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trlProps/ctrlProp5.xml" ContentType="application/vnd.ms-excel.controlproperties+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6.xml" ContentType="application/vnd.openxmlformats-officedocument.drawing+xml"/>
  <Override PartName="/xl/ctrlProps/ctrlProp116.xml" ContentType="application/vnd.ms-excel.controlproperties+xml"/>
  <Override PartName="/xl/ctrlProps/ctrlProp117.xml" ContentType="application/vnd.ms-excel.controlproperties+xml"/>
  <Override PartName="/xl/drawings/drawing7.xml" ContentType="application/vnd.openxmlformats-officedocument.drawing+xml"/>
  <Override PartName="/xl/ctrlProps/ctrlProp118.xml" ContentType="application/vnd.ms-excel.controlproperties+xml"/>
  <Override PartName="/xl/ctrlProps/ctrlProp119.xml" ContentType="application/vnd.ms-excel.controlproperties+xml"/>
  <Override PartName="/xl/drawings/drawing8.xml" ContentType="application/vnd.openxmlformats-officedocument.drawing+xml"/>
  <Override PartName="/xl/ctrlProps/ctrlProp120.xml" ContentType="application/vnd.ms-excel.controlproperties+xml"/>
  <Override PartName="/xl/ctrlProps/ctrlProp121.xml" ContentType="application/vnd.ms-excel.controlproperties+xml"/>
  <Override PartName="/xl/drawings/drawing9.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0.xml" ContentType="application/vnd.openxmlformats-officedocument.drawing+xml"/>
  <Override PartName="/xl/ctrlProps/ctrlProp124.xml" ContentType="application/vnd.ms-excel.controlproperties+xml"/>
  <Override PartName="/xl/ctrlProps/ctrlProp125.xml" ContentType="application/vnd.ms-excel.controlproperties+xml"/>
  <Override PartName="/xl/drawings/drawing11.xml" ContentType="application/vnd.openxmlformats-officedocument.drawing+xml"/>
  <Override PartName="/xl/ctrlProps/ctrlProp126.xml" ContentType="application/vnd.ms-excel.controlproperties+xml"/>
  <Override PartName="/xl/ctrlProps/ctrlProp127.xml" ContentType="application/vnd.ms-excel.controlproperties+xml"/>
  <Override PartName="/xl/drawings/drawing12.xml" ContentType="application/vnd.openxmlformats-officedocument.drawing+xml"/>
  <Override PartName="/xl/ctrlProps/ctrlProp128.xml" ContentType="application/vnd.ms-excel.controlproperties+xml"/>
  <Override PartName="/xl/ctrlProps/ctrlProp129.xml" ContentType="application/vnd.ms-excel.controlproperties+xml"/>
  <Override PartName="/xl/drawings/drawing13.xml" ContentType="application/vnd.openxmlformats-officedocument.drawing+xml"/>
  <Override PartName="/xl/ctrlProps/ctrlProp130.xml" ContentType="application/vnd.ms-excel.controlproperties+xml"/>
  <Override PartName="/xl/ctrlProps/ctrlProp131.xml" ContentType="application/vnd.ms-excel.controlproperties+xml"/>
  <Override PartName="/xl/drawings/drawing14.xml" ContentType="application/vnd.openxmlformats-officedocument.drawing+xml"/>
  <Override PartName="/xl/ctrlProps/ctrlProp132.xml" ContentType="application/vnd.ms-excel.controlproperties+xml"/>
  <Override PartName="/xl/ctrlProps/ctrlProp133.xml" ContentType="application/vnd.ms-excel.controlproperties+xml"/>
  <Override PartName="/xl/drawings/drawing15.xml" ContentType="application/vnd.openxmlformats-officedocument.drawing+xml"/>
  <Override PartName="/xl/ctrlProps/ctrlProp134.xml" ContentType="application/vnd.ms-excel.controlproperties+xml"/>
  <Override PartName="/xl/ctrlProps/ctrlProp135.xml" ContentType="application/vnd.ms-excel.controlproperties+xml"/>
  <Override PartName="/xl/drawings/drawing16.xml" ContentType="application/vnd.openxmlformats-officedocument.drawing+xml"/>
  <Override PartName="/xl/ctrlProps/ctrlProp136.xml" ContentType="application/vnd.ms-excel.controlproperties+xml"/>
  <Override PartName="/xl/ctrlProps/ctrlProp137.xml" ContentType="application/vnd.ms-excel.controlproperties+xml"/>
  <Override PartName="/xl/drawings/drawing17.xml" ContentType="application/vnd.openxmlformats-officedocument.drawing+xml"/>
  <Override PartName="/xl/ctrlProps/ctrlProp138.xml" ContentType="application/vnd.ms-excel.controlproperties+xml"/>
  <Override PartName="/xl/ctrlProps/ctrlProp139.xml" ContentType="application/vnd.ms-excel.controlproperties+xml"/>
  <Override PartName="/xl/drawings/drawing18.xml" ContentType="application/vnd.openxmlformats-officedocument.drawing+xml"/>
  <Override PartName="/xl/ctrlProps/ctrlProp140.xml" ContentType="application/vnd.ms-excel.controlproperties+xml"/>
  <Override PartName="/xl/ctrlProps/ctrlProp141.xml" ContentType="application/vnd.ms-excel.controlproperties+xml"/>
  <Override PartName="/xl/drawings/drawing19.xml" ContentType="application/vnd.openxmlformats-officedocument.drawing+xml"/>
  <Override PartName="/xl/ctrlProps/ctrlProp142.xml" ContentType="application/vnd.ms-excel.controlproperties+xml"/>
  <Override PartName="/xl/ctrlProps/ctrlProp143.xml" ContentType="application/vnd.ms-excel.controlproperties+xml"/>
  <Override PartName="/xl/drawings/drawing20.xml" ContentType="application/vnd.openxmlformats-officedocument.drawing+xml"/>
  <Override PartName="/xl/ctrlProps/ctrlProp144.xml" ContentType="application/vnd.ms-excel.controlproperties+xml"/>
  <Override PartName="/xl/ctrlProps/ctrlProp145.xml" ContentType="application/vnd.ms-excel.controlproperties+xml"/>
  <Override PartName="/xl/drawings/drawing2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drawings/drawing22.xml" ContentType="application/vnd.openxmlformats-officedocument.drawing+xml"/>
  <Override PartName="/xl/ctrlProps/ctrlProp148.xml" ContentType="application/vnd.ms-excel.controlproperties+xml"/>
  <Override PartName="/xl/ctrlProps/ctrlProp149.xml" ContentType="application/vnd.ms-excel.controlproperties+xml"/>
  <Override PartName="/xl/drawings/drawing23.xml" ContentType="application/vnd.openxmlformats-officedocument.drawing+xml"/>
  <Override PartName="/xl/ctrlProps/ctrlProp150.xml" ContentType="application/vnd.ms-excel.controlproperties+xml"/>
  <Override PartName="/xl/ctrlProps/ctrlProp151.xml" ContentType="application/vnd.ms-excel.controlproperties+xml"/>
  <Override PartName="/xl/drawings/drawing24.xml" ContentType="application/vnd.openxmlformats-officedocument.drawing+xml"/>
  <Override PartName="/xl/ctrlProps/ctrlProp152.xml" ContentType="application/vnd.ms-excel.controlproperties+xml"/>
  <Override PartName="/xl/ctrlProps/ctrlProp153.xml" ContentType="application/vnd.ms-excel.controlproperties+xml"/>
  <Override PartName="/xl/drawings/drawing25.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showInkAnnotation="0" saveExternalLinkValues="0" codeName="ThisWorkbook"/>
  <mc:AlternateContent xmlns:mc="http://schemas.openxmlformats.org/markup-compatibility/2006">
    <mc:Choice Requires="x15">
      <x15ac:absPath xmlns:x15ac="http://schemas.microsoft.com/office/spreadsheetml/2010/11/ac" url="D:\TRC\Project-file\Bimal-shared\June-29\"/>
    </mc:Choice>
  </mc:AlternateContent>
  <xr:revisionPtr revIDLastSave="0" documentId="13_ncr:1_{36728FF4-9116-41C6-B8B4-496903C428BE}" xr6:coauthVersionLast="47" xr6:coauthVersionMax="47" xr10:uidLastSave="{00000000-0000-0000-0000-000000000000}"/>
  <workbookProtection workbookAlgorithmName="SHA-512" workbookHashValue="EIL2m7y3U3m8v+6qAoxyAS63RkTtKbirZJwvJV+FuF2e/xwy3HnaKx9/S6xNQrVT0wZD0fZ4i3GjVw6Rztpxww==" workbookSaltValue="/CgnBsa4xNlIa6kieWJBQA==" workbookSpinCount="100000" lockStructure="1"/>
  <bookViews>
    <workbookView xWindow="-120" yWindow="-120" windowWidth="20730" windowHeight="11160" tabRatio="863" firstSheet="4" activeTab="4" xr2:uid="{00000000-000D-0000-FFFF-FFFF00000000}"/>
  </bookViews>
  <sheets>
    <sheet name="FormulaLookup" sheetId="246" state="hidden" r:id="rId1"/>
    <sheet name="Phase_Lookup" sheetId="948" state="hidden" r:id="rId2"/>
    <sheet name="Phase_Template" sheetId="154" state="hidden" r:id="rId3"/>
    <sheet name="Instructions" sheetId="27" r:id="rId4"/>
    <sheet name="INPUT" sheetId="45" r:id="rId5"/>
    <sheet name="Budget Summary" sheetId="35" r:id="rId6"/>
    <sheet name="Budget Detail" sheetId="2" r:id="rId7"/>
    <sheet name="Profitability Summary" sheetId="26" r:id="rId8"/>
    <sheet name="Approval Signatures" sheetId="28" r:id="rId9"/>
    <sheet name="Lab Analysis List" sheetId="19" r:id="rId10"/>
    <sheet name="Travel Charges" sheetId="22" r:id="rId11"/>
    <sheet name="Standard Equipment &amp; Supplies" sheetId="37" r:id="rId12"/>
    <sheet name="Other Supplies &amp; Rental List" sheetId="17" r:id="rId13"/>
    <sheet name="Subcontractors List" sheetId="20" r:id="rId14"/>
    <sheet name="Procurement List" sheetId="18" r:id="rId15"/>
    <sheet name="Printable Rate Sheet" sheetId="39" r:id="rId16"/>
    <sheet name="Phase 1" sheetId="1127" r:id="rId17"/>
    <sheet name="Phase 2" sheetId="1128" r:id="rId18"/>
    <sheet name="Phase 3" sheetId="1129" r:id="rId19"/>
    <sheet name="Phase 4" sheetId="1130" r:id="rId20"/>
    <sheet name="Phase 5" sheetId="1131" r:id="rId21"/>
    <sheet name="Phase 6" sheetId="1132" r:id="rId22"/>
    <sheet name="Phase 7" sheetId="1133" r:id="rId23"/>
    <sheet name="Phase 8" sheetId="1134" r:id="rId24"/>
    <sheet name="Phase 9" sheetId="1135" r:id="rId25"/>
    <sheet name="Phase 10" sheetId="1136" r:id="rId26"/>
    <sheet name="Phase 11" sheetId="1137" r:id="rId27"/>
    <sheet name="Phase 12" sheetId="1138" r:id="rId28"/>
    <sheet name="Phase 13" sheetId="1139" r:id="rId29"/>
    <sheet name="Phase 14" sheetId="1140" r:id="rId30"/>
    <sheet name="Phase 15" sheetId="1141" r:id="rId31"/>
    <sheet name="Phase 16" sheetId="1142" r:id="rId32"/>
    <sheet name="Phase 17" sheetId="1143" r:id="rId33"/>
    <sheet name="Phase 18" sheetId="1144" r:id="rId34"/>
    <sheet name="Phase 19" sheetId="1148" r:id="rId35"/>
    <sheet name="Phase 20" sheetId="1153" r:id="rId36"/>
    <sheet name="RATE Schedules" sheetId="9" state="hidden" r:id="rId37"/>
    <sheet name="Labor &amp; Practice Lookups" sheetId="23" state="hidden" r:id="rId38"/>
    <sheet name="EQUIP RATE SCHEDULE" sheetId="42" state="hidden" r:id="rId39"/>
    <sheet name="VEHICLE RATE SCHEDULE" sheetId="43" state="hidden" r:id="rId40"/>
  </sheets>
  <functionGroups builtInGroupCount="19"/>
  <externalReferences>
    <externalReference r:id="rId41"/>
    <externalReference r:id="rId42"/>
    <externalReference r:id="rId43"/>
    <externalReference r:id="rId44"/>
  </externalReferences>
  <definedNames>
    <definedName name="_" localSheetId="1">'[1]Budget Detail'!#REF!</definedName>
    <definedName name="_AIR1" localSheetId="1">'[1]Lab Analysis List'!$M$68</definedName>
    <definedName name="_AIR1">'Lab Analysis List'!$M$68</definedName>
    <definedName name="_AIR10" localSheetId="1">'[1]Lab Analysis List'!$M$77</definedName>
    <definedName name="_AIR10">'Lab Analysis List'!$M$77</definedName>
    <definedName name="_AIR11" localSheetId="1">'[1]Lab Analysis List'!$M$78</definedName>
    <definedName name="_AIR11">'Lab Analysis List'!$M$78</definedName>
    <definedName name="_AIR12" localSheetId="1">'[1]Lab Analysis List'!$M$79</definedName>
    <definedName name="_AIR12">'Lab Analysis List'!$M$79</definedName>
    <definedName name="_AIR13" localSheetId="1">'[1]Lab Analysis List'!$M$80</definedName>
    <definedName name="_AIR13">'Lab Analysis List'!$M$80</definedName>
    <definedName name="_AIR14" localSheetId="1">'[1]Lab Analysis List'!$M$81</definedName>
    <definedName name="_AIR14">'Lab Analysis List'!$M$81</definedName>
    <definedName name="_AIR15" localSheetId="1">'[1]Lab Analysis List'!$M$82</definedName>
    <definedName name="_AIR15">'Lab Analysis List'!$M$82</definedName>
    <definedName name="_AIR16" localSheetId="1">'[1]Lab Analysis List'!$M$83</definedName>
    <definedName name="_AIR16">'Lab Analysis List'!$M$83</definedName>
    <definedName name="_AIR17" localSheetId="1">'[1]Lab Analysis List'!$M$84</definedName>
    <definedName name="_AIR17">'Lab Analysis List'!$M$84</definedName>
    <definedName name="_AIR18" localSheetId="1">'[1]Lab Analysis List'!$M$85</definedName>
    <definedName name="_AIR18">'Lab Analysis List'!$M$85</definedName>
    <definedName name="_AIR19" localSheetId="1">'[1]Lab Analysis List'!$M$86</definedName>
    <definedName name="_AIR19">'Lab Analysis List'!$M$86</definedName>
    <definedName name="_AIR2" localSheetId="1">'[1]Lab Analysis List'!$M$69</definedName>
    <definedName name="_AIR2">'Lab Analysis List'!$M$69</definedName>
    <definedName name="_AIR20" localSheetId="1">'[1]Lab Analysis List'!$M$87</definedName>
    <definedName name="_AIR20">'Lab Analysis List'!$M$87</definedName>
    <definedName name="_AIR3" localSheetId="1">'[1]Lab Analysis List'!$M$70</definedName>
    <definedName name="_AIR3">'Lab Analysis List'!$M$70</definedName>
    <definedName name="_AIR4" localSheetId="1">'[1]Lab Analysis List'!$M$71</definedName>
    <definedName name="_AIR4">'Lab Analysis List'!$M$71</definedName>
    <definedName name="_AIR5" localSheetId="1">'[1]Lab Analysis List'!$M$72</definedName>
    <definedName name="_AIR5">'Lab Analysis List'!$M$72</definedName>
    <definedName name="_AIR6" localSheetId="1">'[1]Lab Analysis List'!$M$73</definedName>
    <definedName name="_AIR6">'Lab Analysis List'!$M$73</definedName>
    <definedName name="_AIR7" localSheetId="1">'[1]Lab Analysis List'!$M$74</definedName>
    <definedName name="_AIR7">'Lab Analysis List'!$M$74</definedName>
    <definedName name="_AIR8" localSheetId="1">'[1]Lab Analysis List'!$M$75</definedName>
    <definedName name="_AIR8">'Lab Analysis List'!$M$75</definedName>
    <definedName name="_AIR9" localSheetId="1">'[1]Lab Analysis List'!$M$76</definedName>
    <definedName name="_AIR9">'Lab Analysis List'!$M$76</definedName>
    <definedName name="_xlnm._FilterDatabase" localSheetId="38" hidden="1">'EQUIP RATE SCHEDULE'!$A$11:$V$11</definedName>
    <definedName name="_xlnm._FilterDatabase" localSheetId="11" hidden="1">'Standard Equipment &amp; Supplies'!$B$8:$BC$157</definedName>
    <definedName name="_GWE1">'Lab Analysis List'!$M$8</definedName>
    <definedName name="_GWE10">'Lab Analysis List'!$M$17</definedName>
    <definedName name="_GWE11">'Lab Analysis List'!$M$18</definedName>
    <definedName name="_GWE12">'Lab Analysis List'!$M$19</definedName>
    <definedName name="_GWE2">'Lab Analysis List'!$M$9</definedName>
    <definedName name="_GWE3">'Lab Analysis List'!$M$10</definedName>
    <definedName name="_GWE4">'Lab Analysis List'!$M$11</definedName>
    <definedName name="_GWE5">'Lab Analysis List'!$M$12</definedName>
    <definedName name="_GWE6">'Lab Analysis List'!$M$13</definedName>
    <definedName name="_GWE7">'Lab Analysis List'!$M$14</definedName>
    <definedName name="_GWE8">'Lab Analysis List'!$M$15</definedName>
    <definedName name="_GWE9">'Lab Analysis List'!$M$16</definedName>
    <definedName name="_Order1" hidden="1">255</definedName>
    <definedName name="_Order2" hidden="1">255</definedName>
    <definedName name="_Regression_Int" localSheetId="6" hidden="1">1</definedName>
    <definedName name="_Regression_Int" localSheetId="16" hidden="1">1</definedName>
    <definedName name="_Regression_Int" localSheetId="25" hidden="1">1</definedName>
    <definedName name="_Regression_Int" localSheetId="26" hidden="1">1</definedName>
    <definedName name="_Regression_Int" localSheetId="27" hidden="1">1</definedName>
    <definedName name="_Regression_Int" localSheetId="28" hidden="1">1</definedName>
    <definedName name="_Regression_Int" localSheetId="29" hidden="1">1</definedName>
    <definedName name="_Regression_Int" localSheetId="30" hidden="1">1</definedName>
    <definedName name="_Regression_Int" localSheetId="31" hidden="1">1</definedName>
    <definedName name="_Regression_Int" localSheetId="32" hidden="1">1</definedName>
    <definedName name="_Regression_Int" localSheetId="33" hidden="1">1</definedName>
    <definedName name="_Regression_Int" localSheetId="34" hidden="1">1</definedName>
    <definedName name="_Regression_Int" localSheetId="17" hidden="1">1</definedName>
    <definedName name="_Regression_Int" localSheetId="35" hidden="1">1</definedName>
    <definedName name="_Regression_Int" localSheetId="18" hidden="1">1</definedName>
    <definedName name="_Regression_Int" localSheetId="19" hidden="1">1</definedName>
    <definedName name="_Regression_Int" localSheetId="20" hidden="1">1</definedName>
    <definedName name="_Regression_Int" localSheetId="21" hidden="1">1</definedName>
    <definedName name="_Regression_Int" localSheetId="22" hidden="1">1</definedName>
    <definedName name="_Regression_Int" localSheetId="23" hidden="1">1</definedName>
    <definedName name="_Regression_Int" localSheetId="24" hidden="1">1</definedName>
    <definedName name="_Regression_Int" localSheetId="2" hidden="1">1</definedName>
    <definedName name="_SED1" localSheetId="1">'[1]Lab Analysis List'!$M$48</definedName>
    <definedName name="_SED1">'Lab Analysis List'!$M$48</definedName>
    <definedName name="_SED10" localSheetId="1">'[1]Lab Analysis List'!$M$57</definedName>
    <definedName name="_SED10">'Lab Analysis List'!$M$57</definedName>
    <definedName name="_SED11" localSheetId="1">'[1]Lab Analysis List'!$M$58</definedName>
    <definedName name="_SED11">'Lab Analysis List'!$M$58</definedName>
    <definedName name="_SED12" localSheetId="1">'[1]Lab Analysis List'!$M$59</definedName>
    <definedName name="_SED12">'Lab Analysis List'!$M$59</definedName>
    <definedName name="_SED13" localSheetId="1">'[1]Lab Analysis List'!$M$60</definedName>
    <definedName name="_SED13">'Lab Analysis List'!$M$60</definedName>
    <definedName name="_SED14" localSheetId="1">'[1]Lab Analysis List'!$M$61</definedName>
    <definedName name="_SED14">'Lab Analysis List'!$M$61</definedName>
    <definedName name="_SED15" localSheetId="1">'[1]Lab Analysis List'!$M$62</definedName>
    <definedName name="_SED15">'Lab Analysis List'!$M$62</definedName>
    <definedName name="_SED16" localSheetId="1">'[1]Lab Analysis List'!$M$63</definedName>
    <definedName name="_SED16">'Lab Analysis List'!$M$63</definedName>
    <definedName name="_SED17" localSheetId="1">'[1]Lab Analysis List'!$M$64</definedName>
    <definedName name="_SED17">'Lab Analysis List'!$M$64</definedName>
    <definedName name="_SED18" localSheetId="1">'[1]Lab Analysis List'!$M$65</definedName>
    <definedName name="_SED18">'Lab Analysis List'!$M$65</definedName>
    <definedName name="_SED19" localSheetId="1">'[1]Lab Analysis List'!$M$66</definedName>
    <definedName name="_SED19">'Lab Analysis List'!$M$66</definedName>
    <definedName name="_SED2" localSheetId="1">'[1]Lab Analysis List'!$M$49</definedName>
    <definedName name="_SED2">'Lab Analysis List'!$M$49</definedName>
    <definedName name="_SED20" localSheetId="1">'[1]Lab Analysis List'!$M$67</definedName>
    <definedName name="_SED20">'Lab Analysis List'!$M$67</definedName>
    <definedName name="_SED3" localSheetId="1">'[1]Lab Analysis List'!$M$50</definedName>
    <definedName name="_SED3">'Lab Analysis List'!$M$50</definedName>
    <definedName name="_SED4" localSheetId="1">'[1]Lab Analysis List'!$M$51</definedName>
    <definedName name="_SED4">'Lab Analysis List'!$M$51</definedName>
    <definedName name="_SED5" localSheetId="1">'[1]Lab Analysis List'!$M$52</definedName>
    <definedName name="_SED5">'Lab Analysis List'!$M$52</definedName>
    <definedName name="_SED6" localSheetId="1">'[1]Lab Analysis List'!$M$53</definedName>
    <definedName name="_SED6">'Lab Analysis List'!$M$53</definedName>
    <definedName name="_SED7" localSheetId="1">'[1]Lab Analysis List'!$M$54</definedName>
    <definedName name="_SED7">'Lab Analysis List'!$M$54</definedName>
    <definedName name="_SED8" localSheetId="1">'[1]Lab Analysis List'!$M$55</definedName>
    <definedName name="_SED8">'Lab Analysis List'!$M$55</definedName>
    <definedName name="_SED9" localSheetId="1">'[1]Lab Analysis List'!$M$56</definedName>
    <definedName name="_SED9">'Lab Analysis List'!$M$56</definedName>
    <definedName name="_SH1" localSheetId="1">'[1]Lab Analysis List'!$J$129</definedName>
    <definedName name="_SH1">'Lab Analysis List'!$J$128</definedName>
    <definedName name="_SH10" localSheetId="1">'[1]Lab Analysis List'!$J$138</definedName>
    <definedName name="_SH10">'Lab Analysis List'!$J$137</definedName>
    <definedName name="_SH11" localSheetId="1">'[1]Lab Analysis List'!$J$139</definedName>
    <definedName name="_SH11">'Lab Analysis List'!$J$138</definedName>
    <definedName name="_SH12" localSheetId="1">'[1]Lab Analysis List'!$J$140</definedName>
    <definedName name="_SH12">'Lab Analysis List'!$J$139</definedName>
    <definedName name="_SH13" localSheetId="1">'[1]Lab Analysis List'!$J$141</definedName>
    <definedName name="_SH13">'Lab Analysis List'!$J$140</definedName>
    <definedName name="_SH14" localSheetId="1">'[1]Lab Analysis List'!$J$142</definedName>
    <definedName name="_SH14">'Lab Analysis List'!$J$141</definedName>
    <definedName name="_SH15" localSheetId="1">'[1]Lab Analysis List'!$J$143</definedName>
    <definedName name="_SH15">'Lab Analysis List'!$J$142</definedName>
    <definedName name="_SH16" localSheetId="1">'[1]Lab Analysis List'!$J$144</definedName>
    <definedName name="_SH16">'Lab Analysis List'!$J$143</definedName>
    <definedName name="_SH17" localSheetId="1">'[1]Lab Analysis List'!$J$145</definedName>
    <definedName name="_SH17">'Lab Analysis List'!$J$144</definedName>
    <definedName name="_SH18" localSheetId="1">'[1]Lab Analysis List'!$J$146</definedName>
    <definedName name="_SH18">'Lab Analysis List'!$J$145</definedName>
    <definedName name="_SH19" localSheetId="1">'[1]Lab Analysis List'!$J$147</definedName>
    <definedName name="_SH19">'Lab Analysis List'!$J$146</definedName>
    <definedName name="_SH2" localSheetId="1">'[1]Lab Analysis List'!$J$130</definedName>
    <definedName name="_SH2">'Lab Analysis List'!$J$129</definedName>
    <definedName name="_SH20" localSheetId="1">'[1]Lab Analysis List'!$J$148</definedName>
    <definedName name="_SH20">'Lab Analysis List'!$J$147</definedName>
    <definedName name="_SH3" localSheetId="1">'[1]Lab Analysis List'!$J$131</definedName>
    <definedName name="_SH3">'Lab Analysis List'!$J$130</definedName>
    <definedName name="_SH4" localSheetId="1">'[1]Lab Analysis List'!$J$132</definedName>
    <definedName name="_SH4">'Lab Analysis List'!$J$131</definedName>
    <definedName name="_SH5" localSheetId="1">'[1]Lab Analysis List'!$J$133</definedName>
    <definedName name="_SH5">'Lab Analysis List'!$J$132</definedName>
    <definedName name="_SH6" localSheetId="1">'[1]Lab Analysis List'!$J$134</definedName>
    <definedName name="_SH6">'Lab Analysis List'!$J$133</definedName>
    <definedName name="_SH7" localSheetId="1">'[1]Lab Analysis List'!$J$135</definedName>
    <definedName name="_SH7">'Lab Analysis List'!$J$134</definedName>
    <definedName name="_SH8" localSheetId="1">'[1]Lab Analysis List'!$J$136</definedName>
    <definedName name="_SH8">'Lab Analysis List'!$J$135</definedName>
    <definedName name="_SH9" localSheetId="1">'[1]Lab Analysis List'!$J$137</definedName>
    <definedName name="_SH9">'Lab Analysis List'!$J$136</definedName>
    <definedName name="_SS1">'Budget Detail'!$G$58</definedName>
    <definedName name="_SS10">'Budget Detail'!$Y$58</definedName>
    <definedName name="_SS2">'Budget Detail'!$I$58</definedName>
    <definedName name="_SS3">'Budget Detail'!$K$58</definedName>
    <definedName name="_SS4">'Budget Detail'!$M$58</definedName>
    <definedName name="_SS5">'Budget Detail'!$O$58</definedName>
    <definedName name="_SS6">'Budget Detail'!$Q$58</definedName>
    <definedName name="_SS7">'Budget Detail'!$S$58</definedName>
    <definedName name="_SS8">'Budget Detail'!$U$58</definedName>
    <definedName name="_SS9">'Budget Detail'!$W$58</definedName>
    <definedName name="AddedHours1">'Budget Detail'!$CS$9:$CS$37</definedName>
    <definedName name="AddedHours2">'Budget Detail'!$CT$9:$CT$37</definedName>
    <definedName name="AddedHours3">'Budget Detail'!$CU$9:$CU$37</definedName>
    <definedName name="AddedHours4">'Budget Detail'!$CV$9:$CV$37</definedName>
    <definedName name="AddedHours5">'Budget Detail'!$CW$9:$CW$37</definedName>
    <definedName name="AddedHours6">'Budget Detail'!$CX$9:$CX$37</definedName>
    <definedName name="Alias1">#REF!</definedName>
    <definedName name="Alias2" localSheetId="16">'Phase 1'!$AP$1</definedName>
    <definedName name="Alias2" localSheetId="25">'Phase 10'!$AP$1</definedName>
    <definedName name="Alias2" localSheetId="26">'Phase 11'!$AP$1</definedName>
    <definedName name="Alias2" localSheetId="27">'Phase 12'!$AP$1</definedName>
    <definedName name="Alias2" localSheetId="28">'Phase 13'!$AP$1</definedName>
    <definedName name="Alias2" localSheetId="29">'Phase 14'!$AP$1</definedName>
    <definedName name="Alias2" localSheetId="30">'Phase 15'!$AP$1</definedName>
    <definedName name="Alias2" localSheetId="31">'Phase 16'!$AP$1</definedName>
    <definedName name="Alias2" localSheetId="32">'Phase 17'!$AP$1</definedName>
    <definedName name="Alias2" localSheetId="33">'Phase 18'!$AP$1</definedName>
    <definedName name="Alias2" localSheetId="34">'Phase 19'!$AP$1</definedName>
    <definedName name="Alias2" localSheetId="17">'Phase 2'!$AP$1</definedName>
    <definedName name="Alias2" localSheetId="35">'Phase 20'!$AP$1</definedName>
    <definedName name="Alias2" localSheetId="18">'Phase 3'!$AP$1</definedName>
    <definedName name="Alias2" localSheetId="19">'Phase 4'!$AP$1</definedName>
    <definedName name="Alias2" localSheetId="20">'Phase 5'!$AP$1</definedName>
    <definedName name="Alias2" localSheetId="21">'Phase 6'!$AP$1</definedName>
    <definedName name="Alias2" localSheetId="22">'Phase 7'!$AP$1</definedName>
    <definedName name="Alias2" localSheetId="23">'Phase 8'!$AP$1</definedName>
    <definedName name="Alias2" localSheetId="24">'Phase 9'!$AP$1</definedName>
    <definedName name="Alias2" localSheetId="1">#REF!</definedName>
    <definedName name="Alias2" localSheetId="2">Phase_Template!$AP$1</definedName>
    <definedName name="Alias2">#REF!</definedName>
    <definedName name="Alias3" localSheetId="1">#REF!</definedName>
    <definedName name="Alias3">#REF!</definedName>
    <definedName name="Alias4" localSheetId="1">#REF!</definedName>
    <definedName name="Alias4">#REF!</definedName>
    <definedName name="Alias5">#REF!</definedName>
    <definedName name="Alias6">#REF!</definedName>
    <definedName name="AliasBudget">'Budget Detail'!$BE$1</definedName>
    <definedName name="AliasLab">'Lab Analysis List'!$AP$1</definedName>
    <definedName name="AliasOther">'Other Supplies &amp; Rental List'!$AC$1</definedName>
    <definedName name="AliasProcurement">'Procurement List'!$AC$1</definedName>
    <definedName name="AliasRMT" localSheetId="1">#REF!</definedName>
    <definedName name="AliasRMT" localSheetId="39">#REF!</definedName>
    <definedName name="AliasRMT">#REF!</definedName>
    <definedName name="AliasSubs">'Subcontractors List'!$AC$1</definedName>
    <definedName name="AliasSummary" localSheetId="5">'Budget Summary'!#REF!</definedName>
    <definedName name="AliasSummary">INPUT!$AO$1</definedName>
    <definedName name="AliasTravel">'Travel Charges'!$AS$6</definedName>
    <definedName name="AllEquipmentTotal" localSheetId="1">'[1]Budget Detail'!$AU$73</definedName>
    <definedName name="AllEquipmentTotal">'Budget Detail'!$AU$73</definedName>
    <definedName name="AllExpenseTotal">'Budget Detail'!$AU$80</definedName>
    <definedName name="AllLaborTotal" localSheetId="1">'[1]Budget Detail'!$AU$38</definedName>
    <definedName name="AllLaborTotal">'Budget Detail'!$AU$38</definedName>
    <definedName name="AllLabTotal" localSheetId="1">'[1]Budget Detail'!$AU$60</definedName>
    <definedName name="AllLabTotal">'Budget Detail'!$AU$60</definedName>
    <definedName name="AllSubsTotal" localSheetId="1">'[1]Budget Detail'!$AU$70</definedName>
    <definedName name="AllSubsTotal">'Budget Detail'!$AU$70</definedName>
    <definedName name="AllTotalExpenses">'Budget Detail'!$AU$81</definedName>
    <definedName name="AllTravelTotal" localSheetId="1">'[1]Budget Detail'!$AU$50</definedName>
    <definedName name="AllTravelTotal">'Budget Detail'!$AU$50</definedName>
    <definedName name="ApplyContingencyPhase1" localSheetId="1">'[1]Budget Summary'!$Y$1</definedName>
    <definedName name="ApplyContingencyPhase1">'Budget Summary'!$Y$1</definedName>
    <definedName name="ApplyContingencyPhase10" localSheetId="1">'[1]Budget Summary'!$Y$10</definedName>
    <definedName name="ApplyContingencyPhase10">'Budget Summary'!$Y$10</definedName>
    <definedName name="ApplyContingencyPhase11" localSheetId="1">'[1]Budget Summary'!$Z$1</definedName>
    <definedName name="ApplyContingencyPhase11">'Budget Summary'!$Z$1</definedName>
    <definedName name="ApplyContingencyPhase12" localSheetId="1">'[1]Budget Summary'!$Z$2</definedName>
    <definedName name="ApplyContingencyPhase12">'Budget Summary'!$Z$2</definedName>
    <definedName name="ApplyContingencyPhase13" localSheetId="1">'[1]Budget Summary'!$Z$3</definedName>
    <definedName name="ApplyContingencyPhase13">'Budget Summary'!$Z$3</definedName>
    <definedName name="ApplyContingencyPhase14" localSheetId="1">'[1]Budget Summary'!$Z$4</definedName>
    <definedName name="ApplyContingencyPhase14">'Budget Summary'!$Z$4</definedName>
    <definedName name="ApplyContingencyPhase15" localSheetId="1">'[1]Budget Summary'!$Z$5</definedName>
    <definedName name="ApplyContingencyPhase15">'Budget Summary'!$Z$5</definedName>
    <definedName name="ApplyContingencyPhase16" localSheetId="1">'[1]Budget Summary'!$Z$6</definedName>
    <definedName name="ApplyContingencyPhase16">'Budget Summary'!$Z$6</definedName>
    <definedName name="ApplyContingencyPhase17" localSheetId="1">'[1]Budget Summary'!$Z$7</definedName>
    <definedName name="ApplyContingencyPhase17">'Budget Summary'!$Z$7</definedName>
    <definedName name="ApplyContingencyPhase18" localSheetId="1">'[1]Budget Summary'!$Z$8</definedName>
    <definedName name="ApplyContingencyPhase18">'Budget Summary'!$Z$8</definedName>
    <definedName name="ApplyContingencyPhase19" localSheetId="1">'[1]Budget Summary'!$Z$9</definedName>
    <definedName name="ApplyContingencyPhase19">'Budget Summary'!$Z$9</definedName>
    <definedName name="ApplyContingencyPhase2" localSheetId="1">'[1]Budget Summary'!$Y$2</definedName>
    <definedName name="ApplyContingencyPhase2">'Budget Summary'!$Y$2</definedName>
    <definedName name="ApplyContingencyPhase20" localSheetId="1">'[1]Budget Summary'!$Z$10</definedName>
    <definedName name="ApplyContingencyPhase20">'Budget Summary'!$Z$10</definedName>
    <definedName name="ApplyContingencyPhase3" localSheetId="1">'[1]Budget Summary'!$Y$3</definedName>
    <definedName name="ApplyContingencyPhase3">'Budget Summary'!$Y$3</definedName>
    <definedName name="ApplyContingencyPhase4" localSheetId="1">'[1]Budget Summary'!$Y$4</definedName>
    <definedName name="ApplyContingencyPhase4">'Budget Summary'!$Y$4</definedName>
    <definedName name="ApplyContingencyPhase5" localSheetId="1">'[1]Budget Summary'!$Y$5</definedName>
    <definedName name="ApplyContingencyPhase5">'Budget Summary'!$Y$5</definedName>
    <definedName name="ApplyContingencyPhase6" localSheetId="1">'[1]Budget Summary'!$Y$6</definedName>
    <definedName name="ApplyContingencyPhase6">'Budget Summary'!$Y$6</definedName>
    <definedName name="ApplyContingencyPhase7" localSheetId="1">'[1]Budget Summary'!$Y$7</definedName>
    <definedName name="ApplyContingencyPhase7">'Budget Summary'!$Y$7</definedName>
    <definedName name="ApplyContingencyPhase8" localSheetId="1">'[1]Budget Summary'!$Y$8</definedName>
    <definedName name="ApplyContingencyPhase8">'Budget Summary'!$Y$8</definedName>
    <definedName name="ApplyContingencyPhase9" localSheetId="1">'[1]Budget Summary'!$Y$9</definedName>
    <definedName name="ApplyContingencyPhase9">'Budget Summary'!$Y$9</definedName>
    <definedName name="BillCleaning" localSheetId="1">Phase_Lookup!$H$1</definedName>
    <definedName name="BillCleaning" localSheetId="39">'VEHICLE RATE SCHEDULE'!$H$1</definedName>
    <definedName name="budgetdetailPhase10dollar1">'Phase 10'!$D$44</definedName>
    <definedName name="budgetdetailPhase10dollar10">'Phase 10'!$M$44</definedName>
    <definedName name="budgetdetailPhase10dollar11">'Phase 10'!$N$44</definedName>
    <definedName name="budgetdetailPhase10dollar12">'Phase 10'!$O$44</definedName>
    <definedName name="budgetdetailPhase10dollar13">'Phase 10'!$P$44</definedName>
    <definedName name="budgetdetailPhase10dollar14">'Phase 10'!$Q$44</definedName>
    <definedName name="budgetdetailPhase10dollar15">'Phase 10'!$R$44</definedName>
    <definedName name="budgetdetailPhase10dollar16">'Phase 10'!$S$44</definedName>
    <definedName name="budgetdetailPhase10dollar17">'Phase 10'!$T$44</definedName>
    <definedName name="budgetdetailPhase10dollar18">'Phase 10'!$U$44</definedName>
    <definedName name="budgetdetailPhase10dollar19">'Phase 10'!$V$44</definedName>
    <definedName name="budgetdetailPhase10dollar2">'Phase 10'!$E$44</definedName>
    <definedName name="budgetdetailPhase10dollar20">'Phase 10'!$W$44</definedName>
    <definedName name="budgetdetailPhase10dollar21">'Phase 10'!$X$44</definedName>
    <definedName name="budgetdetailPhase10dollar22">'Phase 10'!$Y$44</definedName>
    <definedName name="budgetdetailPhase10dollar23">'Phase 10'!$Z$44</definedName>
    <definedName name="budgetdetailPhase10dollar24">'Phase 10'!$AA$44</definedName>
    <definedName name="budgetdetailPhase10dollar25">'Phase 10'!$AB$44</definedName>
    <definedName name="budgetdetailPhase10dollar26">'Phase 10'!$AC$44</definedName>
    <definedName name="budgetdetailPhase10dollar27">'Phase 10'!$AD$44</definedName>
    <definedName name="budgetdetailPhase10dollar28">'Phase 10'!$AE$44</definedName>
    <definedName name="budgetdetailPhase10dollar3">'Phase 10'!$F$44</definedName>
    <definedName name="budgetdetailPhase10dollar4">'Phase 10'!$G$44</definedName>
    <definedName name="budgetdetailPhase10dollar5">'Phase 10'!$H$44</definedName>
    <definedName name="budgetdetailPhase10dollar6">'Phase 10'!$I$44</definedName>
    <definedName name="budgetdetailPhase10dollar7">'Phase 10'!$J$44</definedName>
    <definedName name="budgetdetailPhase10dollar8">'Phase 10'!$K$44</definedName>
    <definedName name="budgetdetailPhase10dollar9">'Phase 10'!$L$44</definedName>
    <definedName name="budgetdetailPhase1dollar1">'Phase 1'!$D$44</definedName>
    <definedName name="budgetdetailPhase1dollar10">'Phase 1'!$M$44</definedName>
    <definedName name="budgetdetailPhase1dollar11">'Phase 1'!$N$44</definedName>
    <definedName name="budgetdetailPhase1dollar12">'Phase 1'!$O$44</definedName>
    <definedName name="budgetdetailPhase1dollar13">'Phase 1'!$P$44</definedName>
    <definedName name="budgetdetailPhase1dollar14">'Phase 1'!$Q$44</definedName>
    <definedName name="budgetdetailPhase1dollar15">'Phase 1'!$R$44</definedName>
    <definedName name="budgetdetailPhase1dollar16">'Phase 1'!$S$44</definedName>
    <definedName name="budgetdetailPhase1dollar17">'Phase 1'!$T$44</definedName>
    <definedName name="budgetdetailPhase1dollar18">'Phase 1'!$U$44</definedName>
    <definedName name="budgetdetailPhase1dollar19">'Phase 1'!$V$44</definedName>
    <definedName name="budgetdetailPhase1dollar2">'Phase 1'!$E$44</definedName>
    <definedName name="budgetdetailPhase1dollar20">'Phase 1'!$W$44</definedName>
    <definedName name="budgetdetailPhase1dollar21">'Phase 1'!$X$44</definedName>
    <definedName name="budgetdetailPhase1dollar22">'Phase 1'!$Y$44</definedName>
    <definedName name="budgetdetailPhase1dollar23">'Phase 1'!$Z$44</definedName>
    <definedName name="budgetdetailPhase1dollar24">'Phase 1'!$AA$44</definedName>
    <definedName name="budgetdetailPhase1dollar25">'Phase 1'!$AB$44</definedName>
    <definedName name="budgetdetailPhase1dollar26">'Phase 1'!$AC$44</definedName>
    <definedName name="budgetdetailPhase1dollar27">'Phase 1'!$AD$44</definedName>
    <definedName name="budgetdetailPhase1dollar28">'Phase 1'!$AE$44</definedName>
    <definedName name="budgetdetailPhase1dollar3">'Phase 1'!$F$44</definedName>
    <definedName name="budgetdetailPhase1dollar4">'Phase 1'!$G$44</definedName>
    <definedName name="budgetdetailPhase1dollar5">'Phase 1'!$H$44</definedName>
    <definedName name="budgetdetailPhase1dollar6">'Phase 1'!$I$44</definedName>
    <definedName name="budgetdetailPhase1dollar7">'Phase 1'!$J$44</definedName>
    <definedName name="budgetdetailPhase1dollar8">'Phase 1'!$K$44</definedName>
    <definedName name="budgetdetailPhase1dollar9">'Phase 1'!$L$44</definedName>
    <definedName name="budgetdetailPhase2dollar1">'Phase 2'!$D$44</definedName>
    <definedName name="budgetdetailPhase2dollar10">'Phase 2'!$M$44</definedName>
    <definedName name="budgetdetailPhase2dollar11">'Phase 2'!$N$44</definedName>
    <definedName name="budgetdetailPhase2dollar12">'Phase 2'!$O$44</definedName>
    <definedName name="budgetdetailPhase2dollar13">'Phase 2'!$P$44</definedName>
    <definedName name="budgetdetailPhase2dollar14">'Phase 2'!$Q$44</definedName>
    <definedName name="budgetdetailPhase2dollar15">'Phase 2'!$R$44</definedName>
    <definedName name="budgetdetailPhase2dollar16">'Phase 2'!$S$44</definedName>
    <definedName name="budgetdetailPhase2dollar17">'Phase 2'!$T$44</definedName>
    <definedName name="budgetdetailPhase2dollar18">'Phase 2'!$U$44</definedName>
    <definedName name="budgetdetailPhase2dollar19">'Phase 2'!$V$44</definedName>
    <definedName name="budgetdetailPhase2dollar2">'Phase 2'!$E$44</definedName>
    <definedName name="budgetdetailPhase2dollar20">'Phase 2'!$W$44</definedName>
    <definedName name="budgetdetailPhase2dollar21">'Phase 2'!$X$44</definedName>
    <definedName name="budgetdetailPhase2dollar22">'Phase 2'!$Y$44</definedName>
    <definedName name="budgetdetailPhase2dollar23">'Phase 2'!$Z$44</definedName>
    <definedName name="budgetdetailPhase2dollar24">'Phase 2'!$AA$44</definedName>
    <definedName name="budgetdetailPhase2dollar25">'Phase 2'!$AB$44</definedName>
    <definedName name="budgetdetailPhase2dollar26">'Phase 2'!$AC$44</definedName>
    <definedName name="budgetdetailPhase2dollar27">'Phase 2'!$AD$44</definedName>
    <definedName name="budgetdetailPhase2dollar28">'Phase 2'!$AE$44</definedName>
    <definedName name="budgetdetailPhase2dollar3">'Phase 2'!$F$44</definedName>
    <definedName name="budgetdetailPhase2dollar4">'Phase 2'!$G$44</definedName>
    <definedName name="budgetdetailPhase2dollar5">'Phase 2'!$H$44</definedName>
    <definedName name="budgetdetailPhase2dollar6">'Phase 2'!$I$44</definedName>
    <definedName name="budgetdetailPhase2dollar7">'Phase 2'!$J$44</definedName>
    <definedName name="budgetdetailPhase2dollar8">'Phase 2'!$K$44</definedName>
    <definedName name="budgetdetailPhase2dollar9">'Phase 2'!$L$44</definedName>
    <definedName name="budgetdetailPhase3dollar1">'Phase 3'!$D$44</definedName>
    <definedName name="budgetdetailPhase3dollar10">'Phase 3'!$M$44</definedName>
    <definedName name="budgetdetailPhase3dollar11">'Phase 3'!$N$44</definedName>
    <definedName name="budgetdetailPhase3dollar12">'Phase 3'!$O$44</definedName>
    <definedName name="budgetdetailPhase3dollar13">'Phase 3'!$P$44</definedName>
    <definedName name="budgetdetailPhase3dollar14">'Phase 3'!$Q$44</definedName>
    <definedName name="budgetdetailPhase3dollar15">'Phase 3'!$R$44</definedName>
    <definedName name="budgetdetailPhase3dollar16">'Phase 3'!$S$44</definedName>
    <definedName name="budgetdetailPhase3dollar17">'Phase 3'!$T$44</definedName>
    <definedName name="budgetdetailPhase3dollar18">'Phase 3'!$U$44</definedName>
    <definedName name="budgetdetailPhase3dollar19">'Phase 3'!$V$44</definedName>
    <definedName name="budgetdetailPhase3dollar2">'Phase 3'!$E$44</definedName>
    <definedName name="budgetdetailPhase3dollar20">'Phase 3'!$W$44</definedName>
    <definedName name="budgetdetailPhase3dollar21">'Phase 3'!$X$44</definedName>
    <definedName name="budgetdetailPhase3dollar22">'Phase 3'!$Y$44</definedName>
    <definedName name="budgetdetailPhase3dollar23">'Phase 3'!$Z$44</definedName>
    <definedName name="budgetdetailPhase3dollar24">'Phase 3'!$AA$44</definedName>
    <definedName name="budgetdetailPhase3dollar25">'Phase 3'!$AB$44</definedName>
    <definedName name="budgetdetailPhase3dollar26">'Phase 3'!$AC$44</definedName>
    <definedName name="budgetdetailPhase3dollar27">'Phase 3'!$AD$44</definedName>
    <definedName name="budgetdetailPhase3dollar28">'Phase 3'!$AE$44</definedName>
    <definedName name="budgetdetailPhase3dollar3">'Phase 3'!$F$44</definedName>
    <definedName name="budgetdetailPhase3dollar4">'Phase 3'!$G$44</definedName>
    <definedName name="budgetdetailPhase3dollar5">'Phase 3'!$H$44</definedName>
    <definedName name="budgetdetailPhase3dollar6">'Phase 3'!$I$44</definedName>
    <definedName name="budgetdetailPhase3dollar7">'Phase 3'!$J$44</definedName>
    <definedName name="budgetdetailPhase3dollar8">'Phase 3'!$K$44</definedName>
    <definedName name="budgetdetailPhase3dollar9">'Phase 3'!$L$44</definedName>
    <definedName name="budgetdetailPhase4dollar1">'Phase 4'!$D$44</definedName>
    <definedName name="budgetdetailPhase4dollar10">'Phase 4'!$M$44</definedName>
    <definedName name="budgetdetailPhase4dollar11">'Phase 4'!$N$44</definedName>
    <definedName name="budgetdetailPhase4dollar12">'Phase 4'!$O$44</definedName>
    <definedName name="budgetdetailPhase4dollar13">'Phase 4'!$P$44</definedName>
    <definedName name="budgetdetailPhase4dollar14">'Phase 4'!$Q$44</definedName>
    <definedName name="budgetdetailPhase4dollar15">'Phase 4'!$R$44</definedName>
    <definedName name="budgetdetailPhase4dollar16">'Phase 4'!$S$44</definedName>
    <definedName name="budgetdetailPhase4dollar17">'Phase 4'!$T$44</definedName>
    <definedName name="budgetdetailPhase4dollar18">'Phase 4'!$U$44</definedName>
    <definedName name="budgetdetailPhase4dollar19">'Phase 4'!$V$44</definedName>
    <definedName name="budgetdetailPhase4dollar2">'Phase 4'!$E$44</definedName>
    <definedName name="budgetdetailPhase4dollar20">'Phase 4'!$W$44</definedName>
    <definedName name="budgetdetailPhase4dollar21">'Phase 4'!$X$44</definedName>
    <definedName name="budgetdetailPhase4dollar22">'Phase 4'!$Y$44</definedName>
    <definedName name="budgetdetailPhase4dollar23">'Phase 4'!$Z$44</definedName>
    <definedName name="budgetdetailPhase4dollar24">'Phase 4'!$AA$44</definedName>
    <definedName name="budgetdetailPhase4dollar25">'Phase 4'!$AB$44</definedName>
    <definedName name="budgetdetailPhase4dollar26">'Phase 4'!$AC$44</definedName>
    <definedName name="budgetdetailPhase4dollar27">'Phase 4'!$AD$44</definedName>
    <definedName name="budgetdetailPhase4dollar28">'Phase 4'!$AE$44</definedName>
    <definedName name="budgetdetailPhase4dollar3">'Phase 4'!$F$44</definedName>
    <definedName name="budgetdetailPhase4dollar4">'Phase 4'!$G$44</definedName>
    <definedName name="budgetdetailPhase4dollar5">'Phase 4'!$H$44</definedName>
    <definedName name="budgetdetailPhase4dollar6">'Phase 4'!$I$44</definedName>
    <definedName name="budgetdetailPhase4dollar7">'Phase 4'!$J$44</definedName>
    <definedName name="budgetdetailPhase4dollar8">'Phase 4'!$K$44</definedName>
    <definedName name="budgetdetailPhase4dollar9">'Phase 4'!$L$44</definedName>
    <definedName name="budgetdetailPhase5dollar1">'Phase 5'!$D$45</definedName>
    <definedName name="budgetdetailPhase5dollar10">'Phase 5'!$M$45</definedName>
    <definedName name="budgetdetailPhase5dollar11">'Phase 5'!$N$45</definedName>
    <definedName name="budgetdetailPhase5dollar12">'Phase 5'!$O$45</definedName>
    <definedName name="budgetdetailPhase5dollar13">'Phase 5'!$P$45</definedName>
    <definedName name="budgetdetailPhase5dollar14">'Phase 5'!$Q$45</definedName>
    <definedName name="budgetdetailPhase5dollar15">'Phase 5'!$R$45</definedName>
    <definedName name="budgetdetailPhase5dollar16">'Phase 5'!$S$45</definedName>
    <definedName name="budgetdetailPhase5dollar17">'Phase 5'!$T$45</definedName>
    <definedName name="budgetdetailPhase5dollar18">'Phase 5'!$U$45</definedName>
    <definedName name="budgetdetailPhase5dollar19">'Phase 5'!$V$45</definedName>
    <definedName name="budgetdetailPhase5dollar2">'Phase 5'!$E$45</definedName>
    <definedName name="budgetdetailPhase5dollar20">'Phase 5'!$W$45</definedName>
    <definedName name="budgetdetailPhase5dollar21">'Phase 5'!$X$45</definedName>
    <definedName name="budgetdetailPhase5dollar22">'Phase 5'!$Y$45</definedName>
    <definedName name="budgetdetailPhase5dollar23">'Phase 5'!$Z$45</definedName>
    <definedName name="budgetdetailPhase5dollar24">'Phase 5'!$AA$45</definedName>
    <definedName name="budgetdetailPhase5dollar25">'Phase 5'!$AB$45</definedName>
    <definedName name="budgetdetailPhase5dollar26">'Phase 5'!$AC$45</definedName>
    <definedName name="budgetdetailPhase5dollar27">'Phase 5'!$AD$45</definedName>
    <definedName name="budgetdetailPhase5dollar28">'Phase 5'!$AE$45</definedName>
    <definedName name="budgetdetailPhase5dollar3">'Phase 5'!$F$45</definedName>
    <definedName name="budgetdetailPhase5dollar4">'Phase 5'!$G$45</definedName>
    <definedName name="budgetdetailPhase5dollar5">'Phase 5'!$H$45</definedName>
    <definedName name="budgetdetailPhase5dollar6">'Phase 5'!$I$45</definedName>
    <definedName name="budgetdetailPhase5dollar7">'Phase 5'!$J$45</definedName>
    <definedName name="budgetdetailPhase5dollar8">'Phase 5'!$K$45</definedName>
    <definedName name="budgetdetailPhase5dollar9">'Phase 5'!$L$45</definedName>
    <definedName name="budgetdetailPhase6dollar1">'Phase 6'!$D$44</definedName>
    <definedName name="budgetdetailPhase6dollar10">'Phase 6'!$M$44</definedName>
    <definedName name="budgetdetailPhase6dollar11">'Phase 6'!$N$44</definedName>
    <definedName name="budgetdetailPhase6dollar12">'Phase 6'!$O$44</definedName>
    <definedName name="budgetdetailPhase6dollar13">'Phase 6'!$P$44</definedName>
    <definedName name="budgetdetailPhase6dollar14">'Phase 6'!$Q$44</definedName>
    <definedName name="budgetdetailPhase6dollar15">'Phase 6'!$R$44</definedName>
    <definedName name="budgetdetailPhase6dollar16">'Phase 6'!$S$44</definedName>
    <definedName name="budgetdetailPhase6dollar17">'Phase 6'!$T$44</definedName>
    <definedName name="budgetdetailPhase6dollar18">'Phase 6'!$U$44</definedName>
    <definedName name="budgetdetailPhase6dollar19">'Phase 6'!$V$44</definedName>
    <definedName name="budgetdetailPhase6dollar2">'Phase 6'!$E$44</definedName>
    <definedName name="budgetdetailPhase6dollar20">'Phase 6'!$W$44</definedName>
    <definedName name="budgetdetailPhase6dollar21">'Phase 6'!$X$44</definedName>
    <definedName name="budgetdetailPhase6dollar22">'Phase 6'!$Y$44</definedName>
    <definedName name="budgetdetailPhase6dollar23">'Phase 6'!$Z$44</definedName>
    <definedName name="budgetdetailPhase6dollar24">'Phase 6'!$AA$44</definedName>
    <definedName name="budgetdetailPhase6dollar25">'Phase 6'!$AB$44</definedName>
    <definedName name="budgetdetailPhase6dollar26">'Phase 6'!$AC$44</definedName>
    <definedName name="budgetdetailPhase6dollar27">'Phase 6'!$AD$44</definedName>
    <definedName name="budgetdetailPhase6dollar28">'Phase 6'!$AE$44</definedName>
    <definedName name="budgetdetailPhase6dollar3">'Phase 6'!$F$44</definedName>
    <definedName name="budgetdetailPhase6dollar4">'Phase 6'!$G$44</definedName>
    <definedName name="budgetdetailPhase6dollar5">'Phase 6'!$H$44</definedName>
    <definedName name="budgetdetailPhase6dollar6">'Phase 6'!$I$44</definedName>
    <definedName name="budgetdetailPhase6dollar7">'Phase 6'!$J$44</definedName>
    <definedName name="budgetdetailPhase6dollar8">'Phase 6'!$K$44</definedName>
    <definedName name="budgetdetailPhase6dollar9">'Phase 6'!$L$44</definedName>
    <definedName name="budgetdetailPhase7dollar1">'Phase 7'!$D$44</definedName>
    <definedName name="budgetdetailPhase7dollar10">'Phase 7'!$M$44</definedName>
    <definedName name="budgetdetailPhase7dollar11">'Phase 7'!$N$44</definedName>
    <definedName name="budgetdetailPhase7dollar12">'Phase 7'!$O$44</definedName>
    <definedName name="budgetdetailPhase7dollar13">'Phase 7'!$P$44</definedName>
    <definedName name="budgetdetailPhase7dollar14">'Phase 7'!$Q$44</definedName>
    <definedName name="budgetdetailPhase7dollar15">'Phase 7'!$R$44</definedName>
    <definedName name="budgetdetailPhase7dollar16">'Phase 7'!$S$44</definedName>
    <definedName name="budgetdetailPhase7dollar17">'Phase 7'!$T$44</definedName>
    <definedName name="budgetdetailPhase7dollar18">'Phase 7'!$U$44</definedName>
    <definedName name="budgetdetailPhase7dollar19">'Phase 7'!$V$44</definedName>
    <definedName name="budgetdetailPhase7dollar2">'Phase 7'!$E$44</definedName>
    <definedName name="budgetdetailPhase7dollar20">'Phase 7'!$W$44</definedName>
    <definedName name="budgetdetailPhase7dollar21">'Phase 7'!$X$44</definedName>
    <definedName name="budgetdetailPhase7dollar22">'Phase 7'!$Y$44</definedName>
    <definedName name="budgetdetailPhase7dollar23">'Phase 7'!$Z$44</definedName>
    <definedName name="budgetdetailPhase7dollar24">'Phase 7'!$AA$44</definedName>
    <definedName name="budgetdetailPhase7dollar25">'Phase 7'!$AB$44</definedName>
    <definedName name="budgetdetailPhase7dollar26">'Phase 7'!$AC$44</definedName>
    <definedName name="budgetdetailPhase7dollar27">'Phase 7'!$AD$44</definedName>
    <definedName name="budgetdetailPhase7dollar28">'Phase 7'!$AE$44</definedName>
    <definedName name="budgetdetailPhase7dollar3">'Phase 7'!$F$44</definedName>
    <definedName name="budgetdetailPhase7dollar4">'Phase 7'!$G$44</definedName>
    <definedName name="budgetdetailPhase7dollar5">'Phase 7'!$H$44</definedName>
    <definedName name="budgetdetailPhase7dollar6">'Phase 7'!$I$44</definedName>
    <definedName name="budgetdetailPhase7dollar7">'Phase 7'!$J$44</definedName>
    <definedName name="budgetdetailPhase7dollar8">'Phase 7'!$K$44</definedName>
    <definedName name="budgetdetailPhase7dollar9">'Phase 7'!$L$44</definedName>
    <definedName name="budgetdetailPhase8dollar1">'Phase 8'!$D$44</definedName>
    <definedName name="budgetdetailPhase8dollar10">'Phase 8'!$M$44</definedName>
    <definedName name="budgetdetailPhase8dollar11">'Phase 8'!$N$44</definedName>
    <definedName name="budgetdetailPhase8dollar12">'Phase 8'!$O$44</definedName>
    <definedName name="budgetdetailPhase8dollar13">'Phase 8'!$P$44</definedName>
    <definedName name="budgetdetailPhase8dollar14">'Phase 8'!$Q$44</definedName>
    <definedName name="budgetdetailPhase8dollar15">'Phase 8'!$R$44</definedName>
    <definedName name="budgetdetailPhase8dollar16">'Phase 8'!$S$44</definedName>
    <definedName name="budgetdetailPhase8dollar17">'Phase 8'!$T$44</definedName>
    <definedName name="budgetdetailPhase8dollar18">'Phase 8'!$U$44</definedName>
    <definedName name="budgetdetailPhase8dollar19">'Phase 8'!$V$44</definedName>
    <definedName name="budgetdetailPhase8dollar2">'Phase 8'!$E$44</definedName>
    <definedName name="budgetdetailPhase8dollar20">'Phase 8'!$W$44</definedName>
    <definedName name="budgetdetailPhase8dollar21">'Phase 8'!$X$44</definedName>
    <definedName name="budgetdetailPhase8dollar22">'Phase 8'!$Y$44</definedName>
    <definedName name="budgetdetailPhase8dollar23">'Phase 8'!$Z$44</definedName>
    <definedName name="budgetdetailPhase8dollar24">'Phase 8'!$AA$44</definedName>
    <definedName name="budgetdetailPhase8dollar25">'Phase 8'!$AB$44</definedName>
    <definedName name="budgetdetailPhase8dollar26">'Phase 8'!$AC$44</definedName>
    <definedName name="budgetdetailPhase8dollar27">'Phase 8'!$AD$44</definedName>
    <definedName name="budgetdetailPhase8dollar28">'Phase 8'!$AE$44</definedName>
    <definedName name="budgetdetailPhase8dollar3">'Phase 8'!$F$44</definedName>
    <definedName name="budgetdetailPhase8dollar4">'Phase 8'!$G$44</definedName>
    <definedName name="budgetdetailPhase8dollar5">'Phase 8'!$H$44</definedName>
    <definedName name="budgetdetailPhase8dollar6">'Phase 8'!$I$44</definedName>
    <definedName name="budgetdetailPhase8dollar7">'Phase 8'!$J$44</definedName>
    <definedName name="budgetdetailPhase8dollar8">'Phase 8'!$K$44</definedName>
    <definedName name="budgetdetailPhase8dollar9">'Phase 8'!$L$44</definedName>
    <definedName name="budgetdetailPhase9dollar1">'Phase 9'!$D$44</definedName>
    <definedName name="budgetdetailPhase9dollar10">'Phase 9'!$M$44</definedName>
    <definedName name="budgetdetailPhase9dollar11">'Phase 9'!$N$44</definedName>
    <definedName name="budgetdetailPhase9dollar12">'Phase 9'!$O$44</definedName>
    <definedName name="budgetdetailPhase9dollar13">'Phase 9'!$P$44</definedName>
    <definedName name="budgetdetailPhase9dollar14">'Phase 9'!$Q$44</definedName>
    <definedName name="budgetdetailPhase9dollar15">'Phase 9'!$R$44</definedName>
    <definedName name="budgetdetailPhase9dollar16">'Phase 9'!$S$44</definedName>
    <definedName name="budgetdetailPhase9dollar17">'Phase 9'!$T$44</definedName>
    <definedName name="budgetdetailPhase9dollar18">'Phase 9'!$U$44</definedName>
    <definedName name="budgetdetailPhase9dollar19">'Phase 9'!$V$44</definedName>
    <definedName name="budgetdetailPhase9dollar2">'Phase 9'!$E$44</definedName>
    <definedName name="budgetdetailPhase9dollar20">'Phase 9'!$W$44</definedName>
    <definedName name="budgetdetailPhase9dollar21">'Phase 9'!$X$44</definedName>
    <definedName name="budgetdetailPhase9dollar22">'Phase 9'!$Y$44</definedName>
    <definedName name="budgetdetailPhase9dollar23">'Phase 9'!$Z$44</definedName>
    <definedName name="budgetdetailPhase9dollar24">'Phase 9'!$AA$44</definedName>
    <definedName name="budgetdetailPhase9dollar25">'Phase 9'!$AB$44</definedName>
    <definedName name="budgetdetailPhase9dollar26">'Phase 9'!$AC$44</definedName>
    <definedName name="budgetdetailPhase9dollar27">'Phase 9'!$AD$44</definedName>
    <definedName name="budgetdetailPhase9dollar28">'Phase 9'!$AE$44</definedName>
    <definedName name="budgetdetailPhase9dollar3">'Phase 9'!$F$44</definedName>
    <definedName name="budgetdetailPhase9dollar4">'Phase 9'!$G$44</definedName>
    <definedName name="budgetdetailPhase9dollar5">'Phase 9'!$H$44</definedName>
    <definedName name="budgetdetailPhase9dollar6">'Phase 9'!$I$44</definedName>
    <definedName name="budgetdetailPhase9dollar7">'Phase 9'!$J$44</definedName>
    <definedName name="budgetdetailPhase9dollar8">'Phase 9'!$K$44</definedName>
    <definedName name="budgetdetailPhase9dollar9">'Phase 9'!$L$44</definedName>
    <definedName name="ButtonTrigger" localSheetId="5">'Budget Summary'!$N$2</definedName>
    <definedName name="ButtonTrigger">INPUT!$N$5</definedName>
    <definedName name="CalcRateA1" localSheetId="1">[1]INPUT1!$J$8</definedName>
    <definedName name="CalcRateA1">INPUT!$J$8</definedName>
    <definedName name="CalcRateA2" localSheetId="1">[1]INPUT1!$J$7</definedName>
    <definedName name="CalcRateA2">INPUT!$J$7</definedName>
    <definedName name="CalcRateA3" localSheetId="1">[1]INPUT1!$J$6</definedName>
    <definedName name="CalcRateA3">INPUT!$J$6</definedName>
    <definedName name="CalcRateA4" localSheetId="1">[1]INPUT1!$J$5</definedName>
    <definedName name="CalcRateA4">INPUT!$J$5</definedName>
    <definedName name="CalcRateB1" localSheetId="1">[1]INPUT1!$J$12</definedName>
    <definedName name="CalcRateB1">INPUT!$J$12</definedName>
    <definedName name="CalcRateB2" localSheetId="1">[1]INPUT1!$J$11</definedName>
    <definedName name="CalcRateB2">INPUT!$J$11</definedName>
    <definedName name="CalcRateB3" localSheetId="1">[1]INPUT1!$J$10</definedName>
    <definedName name="CalcRateB3">INPUT!$J$10</definedName>
    <definedName name="CalcRateB4" localSheetId="1">[1]INPUT1!$J$9</definedName>
    <definedName name="CalcRateB4">INPUT!$J$9</definedName>
    <definedName name="CalcRateC1" localSheetId="1">[1]INPUT1!$J$16</definedName>
    <definedName name="CalcRateC1">INPUT!$J$16</definedName>
    <definedName name="CalcRateC2" localSheetId="1">[1]INPUT1!$J$15</definedName>
    <definedName name="CalcRateC2">INPUT!$J$15</definedName>
    <definedName name="CalcRateC3" localSheetId="1">[1]INPUT1!$J$14</definedName>
    <definedName name="CalcRateC3">INPUT!$J$14</definedName>
    <definedName name="CalcRateC4" localSheetId="1">[1]INPUT1!$J$13</definedName>
    <definedName name="CalcRateC4">INPUT!$J$13</definedName>
    <definedName name="CalcRateD1" localSheetId="1">[1]INPUT1!$J$20</definedName>
    <definedName name="CalcRateD1">INPUT!$J$20</definedName>
    <definedName name="CalcRateD2" localSheetId="1">[1]INPUT1!$J$19</definedName>
    <definedName name="CalcRateD2">INPUT!$J$19</definedName>
    <definedName name="CalcRateD3" localSheetId="1">[1]INPUT1!$J$18</definedName>
    <definedName name="CalcRateD3">INPUT!$J$18</definedName>
    <definedName name="CalcRateD4" localSheetId="1">[1]INPUT1!$J$17</definedName>
    <definedName name="CalcRateD4">INPUT!$J$17</definedName>
    <definedName name="CalcRateE1" localSheetId="1">[1]INPUT1!$J$24</definedName>
    <definedName name="CalcRateE1">INPUT!$J$24</definedName>
    <definedName name="CalcRateE2" localSheetId="1">[1]INPUT1!$J$23</definedName>
    <definedName name="CalcRateE2">INPUT!$J$23</definedName>
    <definedName name="CalcRateE3" localSheetId="1">[1]INPUT1!$J$22</definedName>
    <definedName name="CalcRateE3">INPUT!$J$22</definedName>
    <definedName name="CalcRateE4" localSheetId="1">[1]INPUT1!$J$21</definedName>
    <definedName name="CalcRateE4">INPUT!$J$21</definedName>
    <definedName name="CalcRateF1" localSheetId="1">[1]INPUT1!$J$28</definedName>
    <definedName name="CalcRateF1">INPUT!$J$28</definedName>
    <definedName name="CalcRateF2" localSheetId="1">[1]INPUT1!$J$27</definedName>
    <definedName name="CalcRateF2">INPUT!$J$27</definedName>
    <definedName name="CalcRateF3" localSheetId="1">[1]INPUT1!$J$26</definedName>
    <definedName name="CalcRateF3">INPUT!$J$26</definedName>
    <definedName name="CalcRateF4" localSheetId="1">[1]INPUT1!$J$25</definedName>
    <definedName name="CalcRateF4">INPUT!$J$25</definedName>
    <definedName name="CalcRateG1" localSheetId="1">[1]INPUT1!$J$32</definedName>
    <definedName name="CalcRateG1">INPUT!$J$32</definedName>
    <definedName name="CalcRateG2" localSheetId="1">[1]INPUT1!$J$31</definedName>
    <definedName name="CalcRateG2">INPUT!$J$31</definedName>
    <definedName name="CalcRateG3" localSheetId="1">[1]INPUT1!$J$30</definedName>
    <definedName name="CalcRateG3">INPUT!$J$30</definedName>
    <definedName name="CalcRateG4" localSheetId="1">[1]INPUT1!$J$29</definedName>
    <definedName name="CalcRateG4">INPUT!$J$29</definedName>
    <definedName name="ChargeCleaning1" localSheetId="1">#REF!</definedName>
    <definedName name="ChargeCleaning1" localSheetId="39">#REF!</definedName>
    <definedName name="ChargeCleaning1">#REF!</definedName>
    <definedName name="ChargeCleaning2" localSheetId="39">#REF!</definedName>
    <definedName name="ChargeCleaning2">#REF!</definedName>
    <definedName name="ChargeCleaning3" localSheetId="39">#REF!</definedName>
    <definedName name="ChargeCleaning3">#REF!</definedName>
    <definedName name="ChargeCleaning4" localSheetId="39">#REF!</definedName>
    <definedName name="ChargeCleaning4">#REF!</definedName>
    <definedName name="ChargeCleaning5" localSheetId="39">#REF!</definedName>
    <definedName name="ChargeCleaning5">#REF!</definedName>
    <definedName name="ChargeCleaning6" localSheetId="39">#REF!</definedName>
    <definedName name="ChargeCleaning6">#REF!</definedName>
    <definedName name="CleaningTimes" localSheetId="39">#REF!</definedName>
    <definedName name="CleaningTimes">#REF!</definedName>
    <definedName name="ClientFeeSchedule">'RATE Schedules'!$B$26:$B$58</definedName>
    <definedName name="ClientFeeScheduleLookup">'RATE Schedules'!$B$26:$B$58</definedName>
    <definedName name="ClientFeeTable" localSheetId="1">'[1]RATE Schedules'!$A$26:$AK$57</definedName>
    <definedName name="ClientFeeTable">'RATE Schedules'!$A$26:$AK$57</definedName>
    <definedName name="ClientLookupTable">'RATE Schedules'!$B$26:$AK$26</definedName>
    <definedName name="CodeA1" localSheetId="1">[1]INPUT1!$F$8</definedName>
    <definedName name="CodeA1">INPUT!$F$8</definedName>
    <definedName name="CodeA2" localSheetId="1">[1]INPUT1!$F$7</definedName>
    <definedName name="CodeA2">INPUT!$F$7</definedName>
    <definedName name="CodeA3" localSheetId="1">[1]INPUT1!$F$6</definedName>
    <definedName name="CodeA3">INPUT!$F$6</definedName>
    <definedName name="CodeA4" localSheetId="1">[1]INPUT1!$F$5</definedName>
    <definedName name="CodeA4">INPUT!$F$5</definedName>
    <definedName name="CodeB1" localSheetId="1">[1]INPUT1!$F$12</definedName>
    <definedName name="CodeB1">INPUT!$F$12</definedName>
    <definedName name="CodeB2" localSheetId="1">[1]INPUT1!$F$11</definedName>
    <definedName name="CodeB2">INPUT!$F$11</definedName>
    <definedName name="CodeB3" localSheetId="1">[1]INPUT1!$F$10</definedName>
    <definedName name="CodeB3">INPUT!$F$10</definedName>
    <definedName name="CodeB4" localSheetId="1">[1]INPUT1!$F$9</definedName>
    <definedName name="CodeB4">INPUT!$F$9</definedName>
    <definedName name="CodeC1" localSheetId="1">[1]INPUT1!$F$16</definedName>
    <definedName name="CodeC1">INPUT!$F$16</definedName>
    <definedName name="CodeC2" localSheetId="1">[1]INPUT1!$F$15</definedName>
    <definedName name="CodeC2">INPUT!$F$15</definedName>
    <definedName name="CodeC3" localSheetId="1">[1]INPUT1!$F$14</definedName>
    <definedName name="CodeC3">INPUT!$F$14</definedName>
    <definedName name="CodeC4" localSheetId="1">[1]INPUT1!$F$13</definedName>
    <definedName name="CodeC4">INPUT!$F$13</definedName>
    <definedName name="CodeD1" localSheetId="1">[1]INPUT1!$F$20</definedName>
    <definedName name="CodeD1">INPUT!$F$20</definedName>
    <definedName name="CodeD2" localSheetId="1">[1]INPUT1!$F$19</definedName>
    <definedName name="CodeD2">INPUT!$F$19</definedName>
    <definedName name="CodeD3" localSheetId="1">[1]INPUT1!$F$18</definedName>
    <definedName name="CodeD3">INPUT!$F$18</definedName>
    <definedName name="CodeD4" localSheetId="1">[1]INPUT1!$F$17</definedName>
    <definedName name="CodeD4">INPUT!$F$17</definedName>
    <definedName name="CodeE1" localSheetId="1">[1]INPUT1!$F$24</definedName>
    <definedName name="CodeE1">INPUT!$F$24</definedName>
    <definedName name="CodeE2" localSheetId="1">[1]INPUT1!$F$23</definedName>
    <definedName name="CodeE2">INPUT!$F$23</definedName>
    <definedName name="CodeE3" localSheetId="1">[1]INPUT1!$F$22</definedName>
    <definedName name="CodeE3">INPUT!$F$22</definedName>
    <definedName name="CodeE4" localSheetId="1">[1]INPUT1!$F$21</definedName>
    <definedName name="CodeE4">INPUT!$F$21</definedName>
    <definedName name="CodeF1" localSheetId="1">[1]INPUT1!$F$28</definedName>
    <definedName name="CodeF1">INPUT!$F$28</definedName>
    <definedName name="CodeF2" localSheetId="1">[1]INPUT1!$F$27</definedName>
    <definedName name="CodeF2">INPUT!$F$27</definedName>
    <definedName name="CodeF3" localSheetId="1">[1]INPUT1!$F$26</definedName>
    <definedName name="CodeF3">INPUT!$F$26</definedName>
    <definedName name="CodeF4" localSheetId="1">[1]INPUT1!$F$25</definedName>
    <definedName name="CodeF4">INPUT!$F$25</definedName>
    <definedName name="CodeG1" localSheetId="1">[1]INPUT1!$F$32</definedName>
    <definedName name="CodeG1">INPUT!$F$32</definedName>
    <definedName name="CodeG2" localSheetId="1">[1]INPUT1!$F$31</definedName>
    <definedName name="CodeG2">INPUT!$F$31</definedName>
    <definedName name="CodeG3" localSheetId="1">[1]INPUT1!$F$30</definedName>
    <definedName name="CodeG3">INPUT!$F$30</definedName>
    <definedName name="CodeG4" localSheetId="1">[1]INPUT1!$F$29</definedName>
    <definedName name="CodeG4">INPUT!$F$29</definedName>
    <definedName name="Contingency" localSheetId="1">'[1]RATE Schedules'!$A$2</definedName>
    <definedName name="Contingency">'RATE Schedules'!$A$2</definedName>
    <definedName name="ContingencyExpense" localSheetId="5">'Budget Summary'!$D$72</definedName>
    <definedName name="ContingencyLab" localSheetId="5">'Budget Summary'!$D$73</definedName>
    <definedName name="ContingencyLabor" localSheetId="5">'Budget Summary'!$D$71</definedName>
    <definedName name="ContingencyProcurement" localSheetId="5">'Budget Summary'!$D$75</definedName>
    <definedName name="ContingencyRange" localSheetId="5">'Budget Summary'!$D$71:$D$75</definedName>
    <definedName name="ContingencyRange" localSheetId="4">INPUT!$D$54:$D$58</definedName>
    <definedName name="ContingencyRange">INPUT!$D$54:$D$58</definedName>
    <definedName name="ContingencySubs" localSheetId="5">'Budget Summary'!$D$74</definedName>
    <definedName name="DailyTable" localSheetId="1">Phase_Lookup!$A$3:$D$84</definedName>
    <definedName name="DailyTable" localSheetId="39">'VEHICLE RATE SCHEDULE'!#REF!</definedName>
    <definedName name="DailyTable">#REF!</definedName>
    <definedName name="DateField" localSheetId="5">'Budget Summary'!$B$6</definedName>
    <definedName name="DateField" localSheetId="1">[1]INPUT1!$B$9</definedName>
    <definedName name="DateField">INPUT!$B$9</definedName>
    <definedName name="Day" localSheetId="38">'[2]Equipment Lookups'!$G$11</definedName>
    <definedName name="Day" localSheetId="1">Phase_Lookup!$H$11</definedName>
    <definedName name="Day" localSheetId="39">'VEHICLE RATE SCHEDULE'!$H$11</definedName>
    <definedName name="Day">#REF!</definedName>
    <definedName name="DayMonth" localSheetId="1">Phase_Lookup!$H$9:$H$10</definedName>
    <definedName name="DayMonth" localSheetId="39">'VEHICLE RATE SCHEDULE'!$H$9:$H$10</definedName>
    <definedName name="DayMonth">#REF!</definedName>
    <definedName name="DayWeek" localSheetId="38">'[2]Equipment Lookups'!$G$3:$G$4</definedName>
    <definedName name="DayWeek" localSheetId="1">Phase_Lookup!$H$3:$H$4</definedName>
    <definedName name="DayWeek" localSheetId="39">'VEHICLE RATE SCHEDULE'!$H$3:$H$4</definedName>
    <definedName name="DayWeek">Phase_Lookup!$H$3:$H$4</definedName>
    <definedName name="DayWeekMonth" localSheetId="1">Phase_Lookup!$H$12:$H$14</definedName>
    <definedName name="DayWeekMonth" localSheetId="39">'VEHICLE RATE SCHEDULE'!$H$12:$H$14</definedName>
    <definedName name="DayWeekMonth">#REF!</definedName>
    <definedName name="DiscountDollarA1">INPUT!$L$8</definedName>
    <definedName name="DiscountDollarA2">INPUT!$L$7</definedName>
    <definedName name="DiscountDollarA3">INPUT!$L$6</definedName>
    <definedName name="DiscountDollarA4">INPUT!$L$5</definedName>
    <definedName name="DiscountDollarB1">INPUT!$L$12</definedName>
    <definedName name="DiscountDollarB2">INPUT!$L$11</definedName>
    <definedName name="DiscountDollarB3">INPUT!$L$10</definedName>
    <definedName name="DiscountDollarB4">INPUT!$L$9</definedName>
    <definedName name="DiscountDollarC1">INPUT!$L$16</definedName>
    <definedName name="DiscountDollarC2">INPUT!$L$15</definedName>
    <definedName name="DiscountDollarC3">INPUT!$L$14</definedName>
    <definedName name="DiscountDollarC4">INPUT!$L$13</definedName>
    <definedName name="DiscountDollarD1">INPUT!$L$20</definedName>
    <definedName name="DiscountDollarD2">INPUT!$L$19</definedName>
    <definedName name="DiscountDollarD3">INPUT!$L$18</definedName>
    <definedName name="DiscountDollarD4">INPUT!$L$17</definedName>
    <definedName name="DiscountDollarE1">INPUT!$L$24</definedName>
    <definedName name="DiscountDollarE2">INPUT!$L$23</definedName>
    <definedName name="DiscountDollarE3">INPUT!$L$22</definedName>
    <definedName name="DiscountDollarE4">INPUT!$L$21</definedName>
    <definedName name="DiscountDollarF1">INPUT!$L$28</definedName>
    <definedName name="DiscountDollarF2">INPUT!$L$27</definedName>
    <definedName name="DiscountDollarF3">INPUT!$L$26</definedName>
    <definedName name="DiscountDollarF4">INPUT!$L$25</definedName>
    <definedName name="DiscountDollarG1">INPUT!$L$32</definedName>
    <definedName name="DiscountDollarG2">INPUT!$L$31</definedName>
    <definedName name="DiscountDollarG3">INPUT!$L$30</definedName>
    <definedName name="DiscountDollarG4">INPUT!$L$29</definedName>
    <definedName name="DollarA1">INPUT!$K$8</definedName>
    <definedName name="DollarA2">INPUT!$K$7</definedName>
    <definedName name="DollarA3">INPUT!$K$6</definedName>
    <definedName name="DollarA4">INPUT!$K$5</definedName>
    <definedName name="DollarB1">INPUT!$K$12</definedName>
    <definedName name="DollarB2">INPUT!$K$11</definedName>
    <definedName name="DollarB3">INPUT!$K$10</definedName>
    <definedName name="DollarB4">INPUT!$K$9</definedName>
    <definedName name="DollarC1">INPUT!$K$16</definedName>
    <definedName name="DollarC2">INPUT!$K$15</definedName>
    <definedName name="DollarC3">INPUT!$K$14</definedName>
    <definedName name="DollarC4">INPUT!$K$13</definedName>
    <definedName name="DollarD1">INPUT!$K$20</definedName>
    <definedName name="DollarD2">INPUT!$K$19</definedName>
    <definedName name="DollarD3">INPUT!$K$18</definedName>
    <definedName name="DollarD4">INPUT!$K$17</definedName>
    <definedName name="DollarE1">INPUT!$K$24</definedName>
    <definedName name="DollarE2">INPUT!$K$23</definedName>
    <definedName name="DollarE3">INPUT!$K$22</definedName>
    <definedName name="DollarE4">INPUT!$K$21</definedName>
    <definedName name="DollarF1">INPUT!$K$28</definedName>
    <definedName name="DollarF2">INPUT!$K$27</definedName>
    <definedName name="DollarF3">INPUT!$K$26</definedName>
    <definedName name="DollarF4">INPUT!$K$25</definedName>
    <definedName name="DollarG1">INPUT!$K$32</definedName>
    <definedName name="DollarG2" localSheetId="1">[1]INPUT1!$K$31</definedName>
    <definedName name="DollarG2">INPUT!$K$31</definedName>
    <definedName name="DollarG3">INPUT!$K$30</definedName>
    <definedName name="DollarG4">INPUT!$K$29</definedName>
    <definedName name="DynamicBudgetDetailRange" localSheetId="16">INDIRECT(GetRangeAddress())</definedName>
    <definedName name="DynamicBudgetDetailRange" localSheetId="25">INDIRECT(GetRangeAddress())</definedName>
    <definedName name="DynamicBudgetDetailRange" localSheetId="26">INDIRECT(GetRangeAddress())</definedName>
    <definedName name="DynamicBudgetDetailRange" localSheetId="27">INDIRECT(GetRangeAddress())</definedName>
    <definedName name="DynamicBudgetDetailRange" localSheetId="28">INDIRECT(GetRangeAddress())</definedName>
    <definedName name="DynamicBudgetDetailRange" localSheetId="29">INDIRECT(GetRangeAddress())</definedName>
    <definedName name="DynamicBudgetDetailRange" localSheetId="30">INDIRECT(GetRangeAddress())</definedName>
    <definedName name="DynamicBudgetDetailRange" localSheetId="31">INDIRECT(GetRangeAddress())</definedName>
    <definedName name="DynamicBudgetDetailRange" localSheetId="32">INDIRECT(GetRangeAddress())</definedName>
    <definedName name="DynamicBudgetDetailRange" localSheetId="33">INDIRECT(GetRangeAddress())</definedName>
    <definedName name="DynamicBudgetDetailRange" localSheetId="34">INDIRECT(GetRangeAddress())</definedName>
    <definedName name="DynamicBudgetDetailRange" localSheetId="17">INDIRECT(GetRangeAddress())</definedName>
    <definedName name="DynamicBudgetDetailRange" localSheetId="35">INDIRECT(GetRangeAddress())</definedName>
    <definedName name="DynamicBudgetDetailRange" localSheetId="18">INDIRECT(GetRangeAddress())</definedName>
    <definedName name="DynamicBudgetDetailRange" localSheetId="19">INDIRECT(GetRangeAddress())</definedName>
    <definedName name="DynamicBudgetDetailRange" localSheetId="20">INDIRECT(GetRangeAddress())</definedName>
    <definedName name="DynamicBudgetDetailRange" localSheetId="21">INDIRECT(GetRangeAddress())</definedName>
    <definedName name="DynamicBudgetDetailRange" localSheetId="22">INDIRECT(GetRangeAddress())</definedName>
    <definedName name="DynamicBudgetDetailRange" localSheetId="23">INDIRECT(GetRangeAddress())</definedName>
    <definedName name="DynamicBudgetDetailRange" localSheetId="24">INDIRECT(GetRangeAddress())</definedName>
    <definedName name="DynamicBudgetDetailRange" localSheetId="1">INDIRECT(GetRangeAddress())</definedName>
    <definedName name="DynamicBudgetDetailRange">INDIRECT(GetRangeAddress())</definedName>
    <definedName name="DynamicTotalAmount" localSheetId="16">INDIRECT(GetRangeAddressTotalAmountCalculation())</definedName>
    <definedName name="DynamicTotalAmount" localSheetId="25">INDIRECT(GetRangeAddressTotalAmountCalculation())</definedName>
    <definedName name="DynamicTotalAmount" localSheetId="26">INDIRECT(GetRangeAddressTotalAmountCalculation())</definedName>
    <definedName name="DynamicTotalAmount" localSheetId="27">INDIRECT(GetRangeAddressTotalAmountCalculation())</definedName>
    <definedName name="DynamicTotalAmount" localSheetId="28">INDIRECT(GetRangeAddressTotalAmountCalculation())</definedName>
    <definedName name="DynamicTotalAmount" localSheetId="29">INDIRECT(GetRangeAddressTotalAmountCalculation())</definedName>
    <definedName name="DynamicTotalAmount" localSheetId="30">INDIRECT(GetRangeAddressTotalAmountCalculation())</definedName>
    <definedName name="DynamicTotalAmount" localSheetId="31">INDIRECT(GetRangeAddressTotalAmountCalculation())</definedName>
    <definedName name="DynamicTotalAmount" localSheetId="32">INDIRECT(GetRangeAddressTotalAmountCalculation())</definedName>
    <definedName name="DynamicTotalAmount" localSheetId="33">INDIRECT(GetRangeAddressTotalAmountCalculation())</definedName>
    <definedName name="DynamicTotalAmount" localSheetId="34">INDIRECT(GetRangeAddressTotalAmountCalculation())</definedName>
    <definedName name="DynamicTotalAmount" localSheetId="17">INDIRECT(GetRangeAddressTotalAmountCalculation())</definedName>
    <definedName name="DynamicTotalAmount" localSheetId="35">INDIRECT(GetRangeAddressTotalAmountCalculation())</definedName>
    <definedName name="DynamicTotalAmount" localSheetId="18">INDIRECT(GetRangeAddressTotalAmountCalculation())</definedName>
    <definedName name="DynamicTotalAmount" localSheetId="19">INDIRECT(GetRangeAddressTotalAmountCalculation())</definedName>
    <definedName name="DynamicTotalAmount" localSheetId="20">INDIRECT(GetRangeAddressTotalAmountCalculation())</definedName>
    <definedName name="DynamicTotalAmount" localSheetId="21">INDIRECT(GetRangeAddressTotalAmountCalculation())</definedName>
    <definedName name="DynamicTotalAmount" localSheetId="22">INDIRECT(GetRangeAddressTotalAmountCalculation())</definedName>
    <definedName name="DynamicTotalAmount" localSheetId="23">INDIRECT(GetRangeAddressTotalAmountCalculation())</definedName>
    <definedName name="DynamicTotalAmount" localSheetId="24">INDIRECT(GetRangeAddressTotalAmountCalculation())</definedName>
    <definedName name="DynamicTotalAmount" localSheetId="1">INDIRECT(GetRangeAddressTotalAmountCalculation())</definedName>
    <definedName name="DynamicTotalAmount">INDIRECT(GetRangeAddressTotalAmountCalculation())</definedName>
    <definedName name="E10ADDA1">'Budget Detail'!$DB$12</definedName>
    <definedName name="E10ADDA2">'Budget Detail'!$DB$11</definedName>
    <definedName name="E10ADDA3">'Budget Detail'!$DB$10</definedName>
    <definedName name="E10ADDA4">'Budget Detail'!$DB$9</definedName>
    <definedName name="E10ADDB1">'Budget Detail'!$DB$16</definedName>
    <definedName name="E10ADDB2">'Budget Detail'!$DB$15</definedName>
    <definedName name="E10ADDB3">'Budget Detail'!$DB$14</definedName>
    <definedName name="E10ADDB4">'Budget Detail'!$DB$13</definedName>
    <definedName name="E10ADDC1">'Budget Detail'!$DB$20</definedName>
    <definedName name="E10ADDC2">'Budget Detail'!$DB$19</definedName>
    <definedName name="E10ADDC3">'Budget Detail'!$DB$18</definedName>
    <definedName name="E10ADDC4">'Budget Detail'!$DB$17</definedName>
    <definedName name="E10ADDD1">'Budget Detail'!$DB$24</definedName>
    <definedName name="E10ADDD2">'Budget Detail'!$DB$23</definedName>
    <definedName name="E10ADDD3">'Budget Detail'!$DB$22</definedName>
    <definedName name="E10ADDD4">'Budget Detail'!$DB$21</definedName>
    <definedName name="E10ADDE1">'Budget Detail'!$DB$28</definedName>
    <definedName name="E10ADDE2">'Budget Detail'!$DB$27</definedName>
    <definedName name="E10ADDE3">'Budget Detail'!$DB$26</definedName>
    <definedName name="E10ADDE4">'Budget Detail'!$DB$25</definedName>
    <definedName name="E10ADDF1">'Budget Detail'!$DB$32</definedName>
    <definedName name="E10ADDF2">'Budget Detail'!$DB$31</definedName>
    <definedName name="E10ADDF3">'Budget Detail'!$DB$30</definedName>
    <definedName name="E10ADDF4">'Budget Detail'!$DB$29</definedName>
    <definedName name="E10ADDG1">'Budget Detail'!$DB$36</definedName>
    <definedName name="E10ADDG2">'Budget Detail'!$DB$35</definedName>
    <definedName name="E10ADDG3">'Budget Detail'!$DB$34</definedName>
    <definedName name="E10ADDG4">'Budget Detail'!$DB$33</definedName>
    <definedName name="E10ATransfer" localSheetId="1">'[1]Travel Charges'!$W$57</definedName>
    <definedName name="E10ATransfer">'Travel Charges'!$W$57</definedName>
    <definedName name="E10B" localSheetId="1">'[1]Subcontractors List'!$N$80</definedName>
    <definedName name="E10B">'Subcontractors List'!$N$80</definedName>
    <definedName name="E10BASEA1" localSheetId="1">'[1]Phase 10'!$G$43</definedName>
    <definedName name="E10BASEA1">'Phase 10'!$G$43</definedName>
    <definedName name="E10BASEA2" localSheetId="1">'[1]Phase 10'!$F$43</definedName>
    <definedName name="E10BASEA2">'Phase 10'!$F$43</definedName>
    <definedName name="E10BASEA3" localSheetId="1">'[1]Phase 10'!$E$43</definedName>
    <definedName name="E10BASEA3">'Phase 10'!$E$43</definedName>
    <definedName name="E10BASEA4" localSheetId="1">'[1]Phase 10'!$D$43</definedName>
    <definedName name="E10BASEA4">'Phase 10'!$D$43</definedName>
    <definedName name="E10BASEB1" localSheetId="1">'[1]Phase 10'!$K$43</definedName>
    <definedName name="E10BASEB1">'Phase 10'!$K$43</definedName>
    <definedName name="E10BASEB2" localSheetId="1">'[1]Phase 10'!$J$43</definedName>
    <definedName name="E10BASEB2">'Phase 10'!$J$43</definedName>
    <definedName name="E10BASEB3" localSheetId="1">'[1]Phase 10'!$I$43</definedName>
    <definedName name="E10BASEB3">'Phase 10'!$I$43</definedName>
    <definedName name="E10BASEB4" localSheetId="1">'[1]Phase 10'!$H$43</definedName>
    <definedName name="E10BASEB4">'Phase 10'!$H$43</definedName>
    <definedName name="E10BASEC1" localSheetId="1">'[1]Phase 10'!$O$43</definedName>
    <definedName name="E10BASEC1">'Phase 10'!$O$43</definedName>
    <definedName name="E10BASEC2" localSheetId="1">'[1]Phase 10'!$N$43</definedName>
    <definedName name="E10BASEC2">'Phase 10'!$N$43</definedName>
    <definedName name="E10BASEC3" localSheetId="1">'[1]Phase 10'!$M$43</definedName>
    <definedName name="E10BASEC3">'Phase 10'!$M$43</definedName>
    <definedName name="E10BASEC4" localSheetId="1">'[1]Phase 10'!$L$43</definedName>
    <definedName name="E10BASEC4">'Phase 10'!$L$43</definedName>
    <definedName name="E10BASED1" localSheetId="1">'[1]Phase 10'!$S$43</definedName>
    <definedName name="E10BASED1">'Phase 10'!$S$43</definedName>
    <definedName name="E10BASED2" localSheetId="1">'[1]Phase 10'!$R$43</definedName>
    <definedName name="E10BASED2">'Phase 10'!$R$43</definedName>
    <definedName name="E10BASED3" localSheetId="1">'[1]Phase 10'!$Q$43</definedName>
    <definedName name="E10BASED3">'Phase 10'!$Q$43</definedName>
    <definedName name="E10BASED4" localSheetId="1">'[1]Phase 10'!$P$43</definedName>
    <definedName name="E10BASED4">'Phase 10'!$P$43</definedName>
    <definedName name="E10BASEE1" localSheetId="1">'[1]Phase 10'!$W$43</definedName>
    <definedName name="E10BASEE1">'Phase 10'!$W$43</definedName>
    <definedName name="E10BASEE2" localSheetId="1">'[1]Phase 10'!$V$43</definedName>
    <definedName name="E10BASEE2">'Phase 10'!$V$43</definedName>
    <definedName name="E10BASEE3" localSheetId="1">'[1]Phase 10'!$U$43</definedName>
    <definedName name="E10BASEE3">'Phase 10'!$U$43</definedName>
    <definedName name="E10BASEE4" localSheetId="1">'[1]Phase 10'!$T$43</definedName>
    <definedName name="E10BASEE4">'Phase 10'!$T$43</definedName>
    <definedName name="E10BASEF1" localSheetId="1">'[1]Phase 10'!$AA$43</definedName>
    <definedName name="E10BASEF1">'Phase 10'!$AA$43</definedName>
    <definedName name="E10BASEF2" localSheetId="1">'[1]Phase 10'!$Z$43</definedName>
    <definedName name="E10BASEF2">'Phase 10'!$Z$43</definedName>
    <definedName name="E10BASEF3" localSheetId="1">'[1]Phase 10'!$Y$43</definedName>
    <definedName name="E10BASEF3">'Phase 10'!$Y$43</definedName>
    <definedName name="E10BASEF4" localSheetId="1">'[1]Phase 10'!$X$43</definedName>
    <definedName name="E10BASEF4">'Phase 10'!$X$43</definedName>
    <definedName name="E10BASEG1" localSheetId="1">'[1]Phase 10'!$AE$43</definedName>
    <definedName name="E10BASEG1">'Phase 10'!$AE$43</definedName>
    <definedName name="E10BASEG2" localSheetId="1">'[1]Phase 10'!$AD$43</definedName>
    <definedName name="E10BASEG2">'Phase 10'!$AD$43</definedName>
    <definedName name="E10BASEG3" localSheetId="1">'[1]Phase 10'!$AC$43</definedName>
    <definedName name="E10BASEG3">'Phase 10'!$AC$43</definedName>
    <definedName name="E10BASEG4" localSheetId="1">'[1]Phase 10'!$AB$43</definedName>
    <definedName name="E10BASEG4">'Phase 10'!$AB$43</definedName>
    <definedName name="E10C" localSheetId="1">'[1]Subcontractors List'!$N$87</definedName>
    <definedName name="E10C">'Subcontractors List'!$N$87</definedName>
    <definedName name="E10DirectLaborAA45">'Phase 10'!$AA$45</definedName>
    <definedName name="E10DirectLaborAB45">'Phase 10'!$AB$45</definedName>
    <definedName name="E10DirectLaborAC45">'Phase 10'!$AC$45</definedName>
    <definedName name="E10DirectLaborAD45">'Phase 10'!$AD$45</definedName>
    <definedName name="E10DirectLaborAE45">'Phase 10'!$AE$45</definedName>
    <definedName name="E10DirectLaborD45">'Phase 10'!$D$45</definedName>
    <definedName name="E10DirectLaborE45">'Phase 10'!$E$45</definedName>
    <definedName name="E10DirectLaborF45">'Phase 10'!$F$45</definedName>
    <definedName name="E10DirectLaborG45">'Phase 10'!$G$45</definedName>
    <definedName name="E10DirectLaborH45">'Phase 10'!$H$45</definedName>
    <definedName name="E10DirectLaborI45">'Phase 10'!$I$45</definedName>
    <definedName name="E10DirectLaborJ45">'Phase 10'!$J$45</definedName>
    <definedName name="E10DirectLaborK45">'Phase 10'!$K$45</definedName>
    <definedName name="E10DirectLaborL45">'Phase 10'!$L$45</definedName>
    <definedName name="E10DirectLaborM45">'Phase 10'!$M$45</definedName>
    <definedName name="E10DirectLaborN45">'Phase 10'!$N$45</definedName>
    <definedName name="E10DirectLaborO45">'Phase 10'!$O$45</definedName>
    <definedName name="E10DirectLaborP45">'Phase 10'!$P$45</definedName>
    <definedName name="E10DirectLaborQ45">'Phase 10'!$Q$45</definedName>
    <definedName name="E10DirectLaborR45">'Phase 10'!$R$45</definedName>
    <definedName name="E10DirectLaborS45">'Phase 10'!$S$45</definedName>
    <definedName name="E10DirectLaborT45">'Phase 10'!$T$45</definedName>
    <definedName name="E10DirectLaborTotal" localSheetId="1">'[1]Phase 10'!$AG$35</definedName>
    <definedName name="E10DirectLaborTotal">'Phase 10'!$AG$35</definedName>
    <definedName name="E10DirectLaborU45">'Phase 10'!$U$45</definedName>
    <definedName name="E10DirectLaborV45">'Phase 10'!$V$45</definedName>
    <definedName name="E10DirectLaborW45">'Phase 10'!$W$45</definedName>
    <definedName name="E10DirectLaborX45">'Phase 10'!$X$45</definedName>
    <definedName name="E10DirectLaborY45">'Phase 10'!$Y$45</definedName>
    <definedName name="E10DirectLaborZ45">'Phase 10'!$Z$45</definedName>
    <definedName name="E10Dropdown">'RATE Schedules'!$AM$10</definedName>
    <definedName name="E10EquipmentTotal" localSheetId="1">'[1]Budget Detail'!$Y$73</definedName>
    <definedName name="E10EquipmentTotal">'Budget Detail'!$Y$73</definedName>
    <definedName name="E10ETransfer" localSheetId="1">'[1]Standard Equipment &amp; Supplies'!$G$187</definedName>
    <definedName name="E10ETransfer">'Standard Equipment &amp; Supplies'!$G$187</definedName>
    <definedName name="E10ExpenseTotal" localSheetId="1">'[1]Budget Detail'!$Y$80</definedName>
    <definedName name="E10ExpenseTotal">'Budget Detail'!$Y$80</definedName>
    <definedName name="E10GEN" localSheetId="1">'[1]Subcontractors List'!$N$82</definedName>
    <definedName name="E10GEN">'Subcontractors List'!$N$82</definedName>
    <definedName name="E10IncludeExpenses">'Budget Summary'!$Y$17</definedName>
    <definedName name="E10IncludeLab">'Budget Summary'!$Y$21</definedName>
    <definedName name="E10IncludeLabor">'Budget Summary'!$Y$15</definedName>
    <definedName name="E10IncludeProcure">'Budget Summary'!$Y$20</definedName>
    <definedName name="E10IncludeSubs">'Budget Summary'!$Y$22</definedName>
    <definedName name="E10InsuranceFee">'Budget Detail'!$Y$82</definedName>
    <definedName name="E10LaborTotal" localSheetId="1">'[1]Budget Detail'!$Y$38</definedName>
    <definedName name="E10LaborTotal">'Budget Detail'!$Y$38</definedName>
    <definedName name="E10LabTotal" localSheetId="1">'[1]Budget Detail'!$Y$60</definedName>
    <definedName name="E10LabTotal">'Budget Detail'!$Y$60</definedName>
    <definedName name="E10LTransfer" localSheetId="1">'[1]Travel Charges'!$W$56</definedName>
    <definedName name="E10LTransfer">'Travel Charges'!$W$56</definedName>
    <definedName name="E10M" localSheetId="1">'[1]Subcontractors List'!$N$86</definedName>
    <definedName name="E10M">'Subcontractors List'!$N$86</definedName>
    <definedName name="E10MTransfer" localSheetId="1">'[1]Travel Charges'!$W$55</definedName>
    <definedName name="E10MTransfer">'Travel Charges'!$W$55</definedName>
    <definedName name="E10O" localSheetId="1">'[1]Other Supplies &amp; Rental List'!$N$37</definedName>
    <definedName name="E10O">'Other Supplies &amp; Rental List'!$N$37</definedName>
    <definedName name="E10OTHER" localSheetId="1">'[1]Subcontractors List'!$N$85</definedName>
    <definedName name="E10OTHER">'Subcontractors List'!$N$85</definedName>
    <definedName name="E10OverheadAA46">'Phase 10'!$AA$46</definedName>
    <definedName name="E10OverheadAB46">'Phase 10'!$AB$46</definedName>
    <definedName name="E10OverheadAC46">'Phase 10'!$AC$46</definedName>
    <definedName name="E10OverheadAD46">'Phase 10'!$AD$46</definedName>
    <definedName name="E10OverheadAE46">'Phase 10'!$AE$46</definedName>
    <definedName name="E10OverheadD46">'Phase 10'!$D$46</definedName>
    <definedName name="E10OverheadE46">'Phase 10'!$E$46</definedName>
    <definedName name="E10OverheadF46">'Phase 10'!$F$46</definedName>
    <definedName name="E10OverheadG46">'Phase 10'!$G$46</definedName>
    <definedName name="E10OverheadH46">'Phase 10'!$H$46</definedName>
    <definedName name="E10OverheadI46">'Phase 10'!$I$46</definedName>
    <definedName name="E10OverheadJ46">'Phase 10'!$J$46</definedName>
    <definedName name="E10OverheadK46">'Phase 10'!$K$46</definedName>
    <definedName name="E10OverheadL46">'Phase 10'!$L$46</definedName>
    <definedName name="E10OverheadM46">'Phase 10'!$M$46</definedName>
    <definedName name="E10OverheadN46">'Phase 10'!$N$46</definedName>
    <definedName name="E10OverheadO46">'Phase 10'!$O$46</definedName>
    <definedName name="E10OverheadP46">'Phase 10'!$P$46</definedName>
    <definedName name="E10OverheadQ46">'Phase 10'!$Q$46</definedName>
    <definedName name="E10OverheadR46">'Phase 10'!$R$46</definedName>
    <definedName name="E10OverheadS46">'Phase 10'!$S$46</definedName>
    <definedName name="E10OverheadT46">'Phase 10'!$T$46</definedName>
    <definedName name="E10OverheadTotal" localSheetId="1">'[1]Phase 10'!$AG$37</definedName>
    <definedName name="E10OverheadTotal">'Phase 10'!$AG$37</definedName>
    <definedName name="E10OverheadU46">'Phase 10'!$U$46</definedName>
    <definedName name="E10OverheadV46">'Phase 10'!$V$46</definedName>
    <definedName name="E10OverheadW46">'Phase 10'!$W$46</definedName>
    <definedName name="E10OverheadX46">'Phase 10'!$X$46</definedName>
    <definedName name="E10OverheadY46">'Phase 10'!$Y$46</definedName>
    <definedName name="E10OverheadZ46">'Phase 10'!$Z$46</definedName>
    <definedName name="E10OVTransfer" localSheetId="1">'[1]Travel Charges'!$W$54</definedName>
    <definedName name="E10OVTransfer">'Travel Charges'!$W$54</definedName>
    <definedName name="E10R" localSheetId="1">'[1]Other Supplies &amp; Rental List'!$N$35</definedName>
    <definedName name="E10R">'Other Supplies &amp; Rental List'!$N$35</definedName>
    <definedName name="E10RateA1Total">'Budget Detail'!$BL$12</definedName>
    <definedName name="E10RateA2Total">'Budget Detail'!$BL$11</definedName>
    <definedName name="E10RateA3Total">'Budget Detail'!$BL$10</definedName>
    <definedName name="E10RateA4Total">'Budget Detail'!$BL$9</definedName>
    <definedName name="E10RateB1Total">'Budget Detail'!$BL$16</definedName>
    <definedName name="E10RateB2Total">'Budget Detail'!$BL$15</definedName>
    <definedName name="E10RateB3Total">'Budget Detail'!$BL$14</definedName>
    <definedName name="E10RateB4Total">'Budget Detail'!$BL$13</definedName>
    <definedName name="E10RateC1Total">'Budget Detail'!$BL$20</definedName>
    <definedName name="E10RateC2Total">'Budget Detail'!$BL$19</definedName>
    <definedName name="E10RateC3Total">'Budget Detail'!$BL$18</definedName>
    <definedName name="E10RateC4Total">'Budget Detail'!$BL$17</definedName>
    <definedName name="E10RateD1Total">'Budget Detail'!$BL$24</definedName>
    <definedName name="E10RateD2Total">'Budget Detail'!$BL$23</definedName>
    <definedName name="E10RateD3Total">'Budget Detail'!$BL$22</definedName>
    <definedName name="E10RateD4Total">'Budget Detail'!$BL$21</definedName>
    <definedName name="E10RateE1Total">'Budget Detail'!$BL$28</definedName>
    <definedName name="E10RateE2Total">'Budget Detail'!$BL$27</definedName>
    <definedName name="E10RateE3Total">'Budget Detail'!$BL$26</definedName>
    <definedName name="E10RateE4Total">'Budget Detail'!$BL$25</definedName>
    <definedName name="E10RateF1Total">'Budget Detail'!$BL$32</definedName>
    <definedName name="E10RateF2Total">'Budget Detail'!$BL$31</definedName>
    <definedName name="E10RateF3Total">'Budget Detail'!$BL$30</definedName>
    <definedName name="E10RateF4Total">'Budget Detail'!$BL$29</definedName>
    <definedName name="E10RateG1Total">'Budget Detail'!$BL$36</definedName>
    <definedName name="E10RateG2Total">'Budget Detail'!$BL$35</definedName>
    <definedName name="E10RateG3Total">'Budget Detail'!$BL$34</definedName>
    <definedName name="E10RateG4Total">'Budget Detail'!$BL$33</definedName>
    <definedName name="E10REM" localSheetId="1">'[1]Subcontractors List'!$N$81</definedName>
    <definedName name="E10REM">'Subcontractors List'!$N$81</definedName>
    <definedName name="E10RVTransfer" localSheetId="1">'[1]Travel Charges'!$W$53</definedName>
    <definedName name="E10RVTransfer">'Travel Charges'!$W$53</definedName>
    <definedName name="E10S" localSheetId="1">'[1]Other Supplies &amp; Rental List'!$N$36</definedName>
    <definedName name="E10S">'Other Supplies &amp; Rental List'!$N$36</definedName>
    <definedName name="E10SI" localSheetId="1">'[1]Subcontractors List'!$N$84</definedName>
    <definedName name="E10SI">'Subcontractors List'!$N$84</definedName>
    <definedName name="E10STransfer" localSheetId="1">'[1]Standard Equipment &amp; Supplies'!$G$188</definedName>
    <definedName name="E10STransfer">'Standard Equipment &amp; Supplies'!$G$188</definedName>
    <definedName name="E10SubsTotal" localSheetId="1">'[1]Budget Detail'!$Y$70</definedName>
    <definedName name="E10SubsTotal">'Budget Detail'!$Y$70</definedName>
    <definedName name="E10TDropdowns">'RATE Schedules'!$AP$10</definedName>
    <definedName name="E10TravelTotal" localSheetId="1">'[1]Budget Detail'!$Y$50</definedName>
    <definedName name="E10TravelTotal">'Budget Detail'!$Y$50</definedName>
    <definedName name="E10Units" localSheetId="1">#REF!,#REF!,#REF!,#REF!,#REF!,#REF!,#REF!,#REF!,#REF!,#REF!,#REF!,#REF!,#REF!,#REF!,#REF!,#REF!,#REF!,#REF!,#REF!</definedName>
    <definedName name="E10Units" localSheetId="39">#REF!,#REF!,#REF!,#REF!,#REF!,#REF!,#REF!,#REF!,#REF!,#REF!,#REF!,#REF!,#REF!,#REF!,#REF!,#REF!,#REF!,#REF!,#REF!</definedName>
    <definedName name="E10Units">#REF!,#REF!,#REF!,#REF!,#REF!,#REF!,#REF!,#REF!,#REF!,#REF!,#REF!,#REF!,#REF!,#REF!,#REF!,#REF!,#REF!,#REF!,#REF!</definedName>
    <definedName name="E10UnitsMirror">'RATE Schedules'!$AN$10</definedName>
    <definedName name="E10WH" localSheetId="1">'[1]Subcontractors List'!$N$83</definedName>
    <definedName name="E10WH">'Subcontractors List'!$N$83</definedName>
    <definedName name="E11ADDA1">'Budget Detail'!$DC$12</definedName>
    <definedName name="E11ADDA2">'Budget Detail'!$DC$11</definedName>
    <definedName name="E11ADDA3">'Budget Detail'!$DC$10</definedName>
    <definedName name="E11ADDA4">'Budget Detail'!$DC$9</definedName>
    <definedName name="E11ADDB1">'Budget Detail'!$DC$16</definedName>
    <definedName name="E11ADDB2">'Budget Detail'!$DC$15</definedName>
    <definedName name="E11ADDB3">'Budget Detail'!$DC$14</definedName>
    <definedName name="E11ADDB4">'Budget Detail'!$DC$13</definedName>
    <definedName name="E11ADDC1">'Budget Detail'!$DC$20</definedName>
    <definedName name="E11ADDC2">'Budget Detail'!$DC$19</definedName>
    <definedName name="E11ADDC3">'Budget Detail'!$DC$18</definedName>
    <definedName name="E11ADDC4">'Budget Detail'!$DC$17</definedName>
    <definedName name="E11ADDD1">'Budget Detail'!$DC$24</definedName>
    <definedName name="E11ADDD2">'Budget Detail'!$DC$23</definedName>
    <definedName name="E11ADDD3">'Budget Detail'!$DC$22</definedName>
    <definedName name="E11ADDD4">'Budget Detail'!$DC$21</definedName>
    <definedName name="E11ADDE1">'Budget Detail'!$DC$28</definedName>
    <definedName name="E11ADDE2">'Budget Detail'!$DC$27</definedName>
    <definedName name="E11ADDE3">'Budget Detail'!$DC$26</definedName>
    <definedName name="E11ADDE4">'Budget Detail'!$DC$25</definedName>
    <definedName name="E11ADDF1">'Budget Detail'!$DC$32</definedName>
    <definedName name="E11ADDF2">'Budget Detail'!$DC$31</definedName>
    <definedName name="E11ADDF3">'Budget Detail'!$DC$30</definedName>
    <definedName name="E11ADDF4">'Budget Detail'!$DC$29</definedName>
    <definedName name="E11ADDG1">'Budget Detail'!$DC$36</definedName>
    <definedName name="E11ADDG2">'Budget Detail'!$DC$35</definedName>
    <definedName name="E11ADDG3">'Budget Detail'!$DC$34</definedName>
    <definedName name="E11ADDG4">'Budget Detail'!$DC$33</definedName>
    <definedName name="E11ATransfer" localSheetId="1">'[1]Travel Charges'!$G$87</definedName>
    <definedName name="E11ATransfer">'Travel Charges'!$G$87</definedName>
    <definedName name="E11B" localSheetId="1">'[1]Subcontractors List'!$N$88</definedName>
    <definedName name="E11B">'Subcontractors List'!$N$88</definedName>
    <definedName name="E11BASEA1" localSheetId="1">'[1]Phase 11'!$G$43</definedName>
    <definedName name="E11BASEA1">'Phase 11'!$G$43</definedName>
    <definedName name="E11BASEA2" localSheetId="1">'[1]Phase 11'!$F$43</definedName>
    <definedName name="E11BASEA2">'Phase 11'!$F$43</definedName>
    <definedName name="E11BASEA3" localSheetId="1">'[1]Phase 11'!$E$43</definedName>
    <definedName name="E11BASEA3">'Phase 11'!$E$43</definedName>
    <definedName name="E11BASEA4" localSheetId="1">'[1]Phase 11'!$D$43</definedName>
    <definedName name="E11BASEA4">'Phase 11'!$D$43</definedName>
    <definedName name="E11BASEB1" localSheetId="1">'[1]Phase 11'!$K$43</definedName>
    <definedName name="E11BASEB1">'Phase 11'!$K$43</definedName>
    <definedName name="E11BASEB2" localSheetId="1">'[1]Phase 11'!$J$43</definedName>
    <definedName name="E11BASEB2">'Phase 11'!$J$43</definedName>
    <definedName name="E11BASEB3" localSheetId="1">'[1]Phase 11'!$I$43</definedName>
    <definedName name="E11BASEB3">'Phase 11'!$I$43</definedName>
    <definedName name="E11BASEB4" localSheetId="1">'[1]Phase 11'!$H$43</definedName>
    <definedName name="E11BASEB4">'Phase 11'!$H$43</definedName>
    <definedName name="E11BASEC1" localSheetId="1">'[1]Phase 11'!$O$43</definedName>
    <definedName name="E11BASEC1">'Phase 11'!$O$43</definedName>
    <definedName name="E11BASEC2" localSheetId="1">'[1]Phase 11'!$N$43</definedName>
    <definedName name="E11BASEC2">'Phase 11'!$N$43</definedName>
    <definedName name="E11BASEC3" localSheetId="1">'[1]Phase 11'!$M$43</definedName>
    <definedName name="E11BASEC3">'Phase 11'!$M$43</definedName>
    <definedName name="E11BASEC4" localSheetId="1">'[1]Phase 11'!$L$43</definedName>
    <definedName name="E11BASEC4">'Phase 11'!$L$43</definedName>
    <definedName name="E11BASED1" localSheetId="1">'[1]Phase 11'!$S$43</definedName>
    <definedName name="E11BASED1">'Phase 11'!$S$43</definedName>
    <definedName name="E11BASED2" localSheetId="1">'[1]Phase 11'!$R$43</definedName>
    <definedName name="E11BASED2">'Phase 11'!$R$43</definedName>
    <definedName name="E11BASED3" localSheetId="1">'[1]Phase 11'!$Q$43</definedName>
    <definedName name="E11BASED3">'Phase 11'!$Q$43</definedName>
    <definedName name="E11BASED4" localSheetId="1">'[1]Phase 11'!$P$43</definedName>
    <definedName name="E11BASED4">'Phase 11'!$P$43</definedName>
    <definedName name="E11BASEE1" localSheetId="1">'[1]Phase 11'!$W$43</definedName>
    <definedName name="E11BASEE1">'Phase 11'!$W$43</definedName>
    <definedName name="E11BASEE2" localSheetId="1">'[1]Phase 11'!$V$43</definedName>
    <definedName name="E11BASEE2">'Phase 11'!$V$43</definedName>
    <definedName name="E11BASEE3" localSheetId="1">'[1]Phase 11'!$U$43</definedName>
    <definedName name="E11BASEE3">'Phase 11'!$U$43</definedName>
    <definedName name="E11BASEE4" localSheetId="1">'[1]Phase 11'!$T$43</definedName>
    <definedName name="E11BASEE4">'Phase 11'!$T$43</definedName>
    <definedName name="E11BASEF1" localSheetId="1">'[1]Phase 11'!$AA$43</definedName>
    <definedName name="E11BASEF1">'Phase 11'!$AA$43</definedName>
    <definedName name="E11BASEF2" localSheetId="1">'[1]Phase 11'!$Z$43</definedName>
    <definedName name="E11BASEF2">'Phase 11'!$Z$43</definedName>
    <definedName name="E11BASEF3" localSheetId="1">'[1]Phase 11'!$Y$43</definedName>
    <definedName name="E11BASEF3">'Phase 11'!$Y$43</definedName>
    <definedName name="E11BASEF4" localSheetId="1">'[1]Phase 11'!$X$43</definedName>
    <definedName name="E11BASEF4">'Phase 11'!$X$43</definedName>
    <definedName name="E11BASEG1" localSheetId="1">'[1]Phase 11'!$AE$43</definedName>
    <definedName name="E11BASEG1">'Phase 11'!$AE$43</definedName>
    <definedName name="E11BASEG2" localSheetId="1">'[1]Phase 11'!$AD$43</definedName>
    <definedName name="E11BASEG2">'Phase 11'!$AD$43</definedName>
    <definedName name="E11BASEG3" localSheetId="1">'[1]Phase 11'!$AC$43</definedName>
    <definedName name="E11BASEG3">'Phase 11'!$AC$43</definedName>
    <definedName name="E11BASEG4" localSheetId="1">'[1]Phase 11'!$AB$43</definedName>
    <definedName name="E11BASEG4">'Phase 11'!$AB$43</definedName>
    <definedName name="E11C" localSheetId="1">'[1]Subcontractors List'!$N$95</definedName>
    <definedName name="E11C">'Subcontractors List'!$N$95</definedName>
    <definedName name="E11CommunicationFee">'Budget Detail'!$AA$39</definedName>
    <definedName name="E11DirectLaborAA45">'Phase 11'!$AA$45</definedName>
    <definedName name="E11DirectLaborAB45">'Phase 11'!$AB$45</definedName>
    <definedName name="E11DirectLaborAC45">'Phase 11'!$AC$45</definedName>
    <definedName name="E11DirectLaborAD45">'Phase 11'!$AD$45</definedName>
    <definedName name="E11DirectLaborAE45">'Phase 11'!$AE$45</definedName>
    <definedName name="E11DirectLaborD45">'Phase 11'!$D$45</definedName>
    <definedName name="E11DirectLaborE45">'Phase 11'!$E$45</definedName>
    <definedName name="E11DirectLaborF45">'Phase 11'!$F$45</definedName>
    <definedName name="E11DirectLaborG45">'Phase 11'!$G$45</definedName>
    <definedName name="E11DirectLaborH45">'Phase 11'!$H$45</definedName>
    <definedName name="E11DirectLaborI45">'Phase 11'!$I$45</definedName>
    <definedName name="E11DirectLaborJ45">'Phase 11'!$J$45</definedName>
    <definedName name="E11DirectLaborK45">'Phase 11'!$K$45</definedName>
    <definedName name="E11DirectLaborL45">'Phase 11'!$L$45</definedName>
    <definedName name="E11DirectLaborM45">'Phase 11'!$M$45</definedName>
    <definedName name="E11DirectLaborN45">'Phase 11'!$N$45</definedName>
    <definedName name="E11DirectLaborO45">'Phase 11'!$O$45</definedName>
    <definedName name="E11DirectLaborP45">'Phase 11'!$P$45</definedName>
    <definedName name="E11DirectLaborQ45">'Phase 11'!$Q$45</definedName>
    <definedName name="E11DirectLaborR45">'Phase 11'!$R$45</definedName>
    <definedName name="E11DirectLaborS45">'Phase 11'!$S$45</definedName>
    <definedName name="E11DirectLaborT45">'Phase 11'!$T$45</definedName>
    <definedName name="E11DirectLaborTotal" localSheetId="1">'[1]Phase 11'!$AG$35</definedName>
    <definedName name="E11DirectLaborTotal">'Phase 11'!$AG$35</definedName>
    <definedName name="E11DirectLaborU45">'Phase 11'!$U$45</definedName>
    <definedName name="E11DirectLaborV45">'Phase 11'!$V$45</definedName>
    <definedName name="E11DirectLaborW45">'Phase 11'!$W$45</definedName>
    <definedName name="E11DirectLaborX45">'Phase 11'!$X$45</definedName>
    <definedName name="E11DirectLaborY45">'Phase 11'!$Y$45</definedName>
    <definedName name="E11DirectLaborZ45">'Phase 11'!$Z$45</definedName>
    <definedName name="E11EndTotal">'Phase 11'!$AG$28</definedName>
    <definedName name="E11EquipmentTotal">'Budget Detail'!$AA$73</definedName>
    <definedName name="E11ETransfer" localSheetId="1">'[1]Standard Equipment &amp; Supplies'!$G$190</definedName>
    <definedName name="E11ETransfer">'Standard Equipment &amp; Supplies'!$G$190</definedName>
    <definedName name="E11ExpenseTotal">'Budget Detail'!$AA$80</definedName>
    <definedName name="E11GEN" localSheetId="1">'[1]Subcontractors List'!$N$90</definedName>
    <definedName name="E11GEN">'Subcontractors List'!$N$90</definedName>
    <definedName name="E11InsuranceFee" localSheetId="1">'[1]Budget Detail'!$AA$82</definedName>
    <definedName name="E11InsuranceFee">'Budget Detail'!$AA$82</definedName>
    <definedName name="E11LaborTotal">'Budget Detail'!$AA$38</definedName>
    <definedName name="E11LabTotal">'Budget Detail'!$AA$60</definedName>
    <definedName name="E11LTransfer" localSheetId="1">'[1]Travel Charges'!$G$86</definedName>
    <definedName name="E11LTransfer">'Travel Charges'!$G$86</definedName>
    <definedName name="E11M" localSheetId="1">'[1]Subcontractors List'!$N$94</definedName>
    <definedName name="E11M">'Subcontractors List'!$N$94</definedName>
    <definedName name="E11MTransfer" localSheetId="1">'[1]Travel Charges'!$G$85</definedName>
    <definedName name="E11MTransfer">'Travel Charges'!$G$85</definedName>
    <definedName name="E11O" localSheetId="1">'[1]Other Supplies &amp; Rental List'!$N$40</definedName>
    <definedName name="E11O">'Other Supplies &amp; Rental List'!$N$40</definedName>
    <definedName name="E11OTHER" localSheetId="1">'[1]Subcontractors List'!$N$93</definedName>
    <definedName name="E11OTHER">'Subcontractors List'!$N$93</definedName>
    <definedName name="E11OverheadAA46">'Phase 11'!$AA$46</definedName>
    <definedName name="E11OverheadAB46">'Phase 11'!$AB$46</definedName>
    <definedName name="E11OverheadAC46">'Phase 11'!$AC$46</definedName>
    <definedName name="E11OverheadAD46">'Phase 11'!$AD$46</definedName>
    <definedName name="E11OverheadAE46">'Phase 11'!$AE$46</definedName>
    <definedName name="E11OverheadD46">'Phase 11'!$D$46</definedName>
    <definedName name="E11OverheadE46">'Phase 11'!$E$46</definedName>
    <definedName name="E11OverheadF46">'Phase 11'!$F$46</definedName>
    <definedName name="E11OverheadG46">'Phase 11'!$G$46</definedName>
    <definedName name="E11OverheadH46">'Phase 11'!$H$46</definedName>
    <definedName name="E11OverheadI46">'Phase 11'!$I$46</definedName>
    <definedName name="E11OverheadJ46">'Phase 11'!$J$46</definedName>
    <definedName name="E11OverheadK46">'Phase 11'!$K$46</definedName>
    <definedName name="E11OverheadL46">'Phase 11'!$L$46</definedName>
    <definedName name="E11OverheadM46">'Phase 11'!$M$46</definedName>
    <definedName name="E11OverheadN46">'Phase 11'!$N$46</definedName>
    <definedName name="E11OverheadO46">'Phase 11'!$O$46</definedName>
    <definedName name="E11OverheadP46">'Phase 11'!$P$46</definedName>
    <definedName name="E11OverheadQ46">'Phase 11'!$Q$46</definedName>
    <definedName name="E11OverheadR46">'Phase 11'!$R$46</definedName>
    <definedName name="E11OverheadS46">'Phase 11'!$S$46</definedName>
    <definedName name="E11OverheadT46">'Phase 11'!$T$46</definedName>
    <definedName name="E11OverheadTotal" localSheetId="1">'[1]Phase 11'!$AG$37</definedName>
    <definedName name="E11OverheadTotal">'Phase 11'!$AG$37</definedName>
    <definedName name="E11OverheadU46">'Phase 11'!$U$46</definedName>
    <definedName name="E11OverheadV46">'Phase 11'!$V$46</definedName>
    <definedName name="E11OverheadW46">'Phase 11'!$W$46</definedName>
    <definedName name="E11OverheadX46">'Phase 11'!$X$46</definedName>
    <definedName name="E11OverheadY46">'Phase 11'!$Y$46</definedName>
    <definedName name="E11OverheadZ46">'Phase 11'!$Z$46</definedName>
    <definedName name="E11OVTransfer" localSheetId="1">'[1]Travel Charges'!$G$84</definedName>
    <definedName name="E11OVTransfer">'Travel Charges'!$G$84</definedName>
    <definedName name="E11R" localSheetId="1">'[1]Other Supplies &amp; Rental List'!$N$38</definedName>
    <definedName name="E11R">'Other Supplies &amp; Rental List'!$N$38</definedName>
    <definedName name="E11RateA1Total" localSheetId="1">'[1]Budget Detail'!$BM$12</definedName>
    <definedName name="E11RateA1Total">'Budget Detail'!$BM$12</definedName>
    <definedName name="E11RateA2Total" localSheetId="1">'[1]Budget Detail'!$BM$11</definedName>
    <definedName name="E11RateA2Total">'Budget Detail'!$BM$11</definedName>
    <definedName name="E11RateA3Total" localSheetId="1">'[1]Budget Detail'!$BM$10</definedName>
    <definedName name="E11RateA3Total">'Budget Detail'!$BM$10</definedName>
    <definedName name="E11RateA4Total" localSheetId="1">'[1]Budget Detail'!$BM$9</definedName>
    <definedName name="E11RateA4Total">'Budget Detail'!$BM$9</definedName>
    <definedName name="E11RateB1Total" localSheetId="1">'[1]Budget Detail'!$BM$16</definedName>
    <definedName name="E11RateB1Total">'Budget Detail'!$BM$16</definedName>
    <definedName name="E11RateB2Total" localSheetId="1">'[1]Budget Detail'!$BM$15</definedName>
    <definedName name="E11RateB2Total">'Budget Detail'!$BM$15</definedName>
    <definedName name="E11RateB3Total" localSheetId="1">'[1]Budget Detail'!$BM$14</definedName>
    <definedName name="E11RateB3Total">'Budget Detail'!$BM$14</definedName>
    <definedName name="E11RateB4Total" localSheetId="1">'[1]Budget Detail'!$BM$13</definedName>
    <definedName name="E11RateB4Total">'Budget Detail'!$BM$13</definedName>
    <definedName name="E11RateC1Total" localSheetId="1">'[1]Budget Detail'!$BM$20</definedName>
    <definedName name="E11RateC1Total">'Budget Detail'!$BM$20</definedName>
    <definedName name="E11RateC2Total" localSheetId="1">'[1]Budget Detail'!$BM$19</definedName>
    <definedName name="E11RateC2Total">'Budget Detail'!$BM$19</definedName>
    <definedName name="E11RateC3Total" localSheetId="1">'[1]Budget Detail'!$BM$18</definedName>
    <definedName name="E11RateC3Total">'Budget Detail'!$BM$18</definedName>
    <definedName name="E11RateC4Total" localSheetId="1">'[1]Budget Detail'!$BM$17</definedName>
    <definedName name="E11RateC4Total">'Budget Detail'!$BM$17</definedName>
    <definedName name="E11RateD1Total" localSheetId="1">'[1]Budget Detail'!$BM$24</definedName>
    <definedName name="E11RateD1Total">'Budget Detail'!$BM$24</definedName>
    <definedName name="E11RateD2Total" localSheetId="1">'[1]Budget Detail'!$BM$23</definedName>
    <definedName name="E11RateD2Total">'Budget Detail'!$BM$23</definedName>
    <definedName name="E11RateD3Total" localSheetId="1">'[1]Budget Detail'!$BM$22</definedName>
    <definedName name="E11RateD3Total">'Budget Detail'!$BM$22</definedName>
    <definedName name="E11RateD4Total" localSheetId="1">'[1]Budget Detail'!$BM$21</definedName>
    <definedName name="E11RateD4Total">'Budget Detail'!$BM$21</definedName>
    <definedName name="E11RateE1Total" localSheetId="1">'[1]Budget Detail'!$BM$28</definedName>
    <definedName name="E11RateE1Total">'Budget Detail'!$BM$28</definedName>
    <definedName name="E11RateE2Total" localSheetId="1">'[1]Budget Detail'!$BM$27</definedName>
    <definedName name="E11RateE2Total">'Budget Detail'!$BM$27</definedName>
    <definedName name="E11RateE3Total" localSheetId="1">'[1]Budget Detail'!$BM$26</definedName>
    <definedName name="E11RateE3Total">'Budget Detail'!$BM$26</definedName>
    <definedName name="E11RateE4Total" localSheetId="1">'[1]Budget Detail'!$BM$25</definedName>
    <definedName name="E11RateE4Total">'Budget Detail'!$BM$25</definedName>
    <definedName name="E11RateF1Total" localSheetId="1">'[1]Budget Detail'!$BM$32</definedName>
    <definedName name="E11RateF1Total">'Budget Detail'!$BM$32</definedName>
    <definedName name="E11RateF2Total" localSheetId="1">'[1]Budget Detail'!$BM$31</definedName>
    <definedName name="E11RateF2Total">'Budget Detail'!$BM$31</definedName>
    <definedName name="E11RateF3Total" localSheetId="1">'[1]Budget Detail'!$BM$30</definedName>
    <definedName name="E11RateF3Total">'Budget Detail'!$BM$30</definedName>
    <definedName name="E11RateF4Total" localSheetId="1">'[1]Budget Detail'!$BM$29</definedName>
    <definedName name="E11RateF4Total">'Budget Detail'!$BM$29</definedName>
    <definedName name="E11RateG1Total" localSheetId="1">'[1]Budget Detail'!$BM$36</definedName>
    <definedName name="E11RateG1Total">'Budget Detail'!$BM$36</definedName>
    <definedName name="E11RateG2Total" localSheetId="1">'[1]Budget Detail'!$BM$35</definedName>
    <definedName name="E11RateG2Total">'Budget Detail'!$BM$35</definedName>
    <definedName name="E11RateG3Total" localSheetId="1">'[1]Budget Detail'!$BM$34</definedName>
    <definedName name="E11RateG3Total">'Budget Detail'!$BM$34</definedName>
    <definedName name="E11RateG4Total" localSheetId="1">'[1]Budget Detail'!$BM$33</definedName>
    <definedName name="E11RateG4Total">'Budget Detail'!$BM$33</definedName>
    <definedName name="E11REM" localSheetId="1">'[1]Subcontractors List'!$N$89</definedName>
    <definedName name="E11REM">'Subcontractors List'!$N$89</definedName>
    <definedName name="E11RVTransfer" localSheetId="1">'[1]Travel Charges'!$G$83</definedName>
    <definedName name="E11RVTransfer">'Travel Charges'!$G$83</definedName>
    <definedName name="E11S" localSheetId="1">'[1]Other Supplies &amp; Rental List'!$N$39</definedName>
    <definedName name="E11S">'Other Supplies &amp; Rental List'!$N$39</definedName>
    <definedName name="E11SI" localSheetId="1">'[1]Subcontractors List'!$N$92</definedName>
    <definedName name="E11SI">'Subcontractors List'!$N$92</definedName>
    <definedName name="E11STransfer" localSheetId="1">'[1]Standard Equipment &amp; Supplies'!$G$191</definedName>
    <definedName name="E11STransfer">'Standard Equipment &amp; Supplies'!$G$191</definedName>
    <definedName name="E11SubsTotal">'Budget Detail'!$AA$70</definedName>
    <definedName name="E11TravelTotal">'Budget Detail'!$AA$50</definedName>
    <definedName name="E11WH" localSheetId="1">'[1]Subcontractors List'!$N$91</definedName>
    <definedName name="E11WH">'Subcontractors List'!$N$91</definedName>
    <definedName name="E12ADDA1">'Budget Detail'!$DD$12</definedName>
    <definedName name="E12ADDA2">'Budget Detail'!$DD$11</definedName>
    <definedName name="E12ADDA3">'Budget Detail'!$DD$10</definedName>
    <definedName name="E12ADDA4">'Budget Detail'!$DD$9</definedName>
    <definedName name="E12ADDB1">'Budget Detail'!$DD$16</definedName>
    <definedName name="E12ADDB2">'Budget Detail'!$DD$15</definedName>
    <definedName name="E12ADDB3">'Budget Detail'!$DD$14</definedName>
    <definedName name="E12ADDB4">'Budget Detail'!$DD$13</definedName>
    <definedName name="E12ADDC1">'Budget Detail'!$DD$20</definedName>
    <definedName name="E12ADDC2">'Budget Detail'!$DD$19</definedName>
    <definedName name="E12ADDC3">'Budget Detail'!$DD$18</definedName>
    <definedName name="E12ADDC4">'Budget Detail'!$DD$17</definedName>
    <definedName name="E12ADDD1">'Budget Detail'!$DD$24</definedName>
    <definedName name="E12ADDD2">'Budget Detail'!$DD$23</definedName>
    <definedName name="E12ADDD3">'Budget Detail'!$DD$22</definedName>
    <definedName name="E12ADDD4">'Budget Detail'!$DD$21</definedName>
    <definedName name="E12ADDE1">'Budget Detail'!$DD$28</definedName>
    <definedName name="E12ADDE2">'Budget Detail'!$DD$27</definedName>
    <definedName name="E12ADDE3">'Budget Detail'!$DD$26</definedName>
    <definedName name="E12ADDE4">'Budget Detail'!$DD$25</definedName>
    <definedName name="E12ADDF1">'Budget Detail'!$DD$32</definedName>
    <definedName name="E12ADDF2">'Budget Detail'!$DD$31</definedName>
    <definedName name="E12ADDF3">'Budget Detail'!$DD$30</definedName>
    <definedName name="E12ADDF4">'Budget Detail'!$DD$29</definedName>
    <definedName name="E12ADDG1">'Budget Detail'!$DD$36</definedName>
    <definedName name="E12ADDG2">'Budget Detail'!$DD$35</definedName>
    <definedName name="E12ADDG3">'Budget Detail'!$DD$34</definedName>
    <definedName name="E12ADDG4">'Budget Detail'!$DD$33</definedName>
    <definedName name="E12ATransfer" localSheetId="1">'[1]Travel Charges'!$K$87</definedName>
    <definedName name="E12ATransfer">'Travel Charges'!$K$87</definedName>
    <definedName name="E12B" localSheetId="1">'[1]Subcontractors List'!$N$96</definedName>
    <definedName name="E12B">'Subcontractors List'!$N$96</definedName>
    <definedName name="E12BASEA1" localSheetId="1">'[1]Phase 12'!$G$43</definedName>
    <definedName name="E12BASEA1">'Phase 12'!$G$43</definedName>
    <definedName name="E12BASEA2" localSheetId="1">'[1]Phase 12'!$F$43</definedName>
    <definedName name="E12BASEA2">'Phase 12'!$F$43</definedName>
    <definedName name="E12BASEA3" localSheetId="1">'[1]Phase 12'!$E$43</definedName>
    <definedName name="E12BASEA3">'Phase 12'!$E$43</definedName>
    <definedName name="E12BASEA4" localSheetId="1">'[1]Phase 12'!$D$43</definedName>
    <definedName name="E12BASEA4">'Phase 12'!$D$43</definedName>
    <definedName name="E12BASEB1" localSheetId="1">'[1]Phase 12'!$K$43</definedName>
    <definedName name="E12BASEB1">'Phase 12'!$K$43</definedName>
    <definedName name="E12BASEB2" localSheetId="1">'[1]Phase 12'!$J$43</definedName>
    <definedName name="E12BASEB2">'Phase 12'!$J$43</definedName>
    <definedName name="E12BASEB3" localSheetId="1">'[1]Phase 12'!$I$43</definedName>
    <definedName name="E12BASEB3">'Phase 12'!$I$43</definedName>
    <definedName name="E12BASEB4" localSheetId="1">'[1]Phase 12'!$H$43</definedName>
    <definedName name="E12BASEB4">'Phase 12'!$H$43</definedName>
    <definedName name="E12BASEC1" localSheetId="1">'[1]Phase 12'!$O$43</definedName>
    <definedName name="E12BASEC1">'Phase 12'!$O$43</definedName>
    <definedName name="E12BASEC2" localSheetId="1">'[1]Phase 12'!$N$43</definedName>
    <definedName name="E12BASEC2">'Phase 12'!$N$43</definedName>
    <definedName name="E12BASEC3" localSheetId="1">'[1]Phase 12'!$M$43</definedName>
    <definedName name="E12BASEC3">'Phase 12'!$M$43</definedName>
    <definedName name="E12BASEC4" localSheetId="1">'[1]Phase 12'!$L$43</definedName>
    <definedName name="E12BASEC4">'Phase 12'!$L$43</definedName>
    <definedName name="E12BASED1" localSheetId="1">'[1]Phase 12'!$S$43</definedName>
    <definedName name="E12BASED1">'Phase 12'!$S$43</definedName>
    <definedName name="E12BASED2" localSheetId="1">'[1]Phase 12'!$R$43</definedName>
    <definedName name="E12BASED2">'Phase 12'!$R$43</definedName>
    <definedName name="E12BASED3" localSheetId="1">'[1]Phase 12'!$Q$43</definedName>
    <definedName name="E12BASED3">'Phase 12'!$Q$43</definedName>
    <definedName name="E12BASED4" localSheetId="1">'[1]Phase 12'!$P$43</definedName>
    <definedName name="E12BASED4">'Phase 12'!$P$43</definedName>
    <definedName name="E12BASEE1" localSheetId="1">'[1]Phase 12'!$W$43</definedName>
    <definedName name="E12BASEE1">'Phase 12'!$W$43</definedName>
    <definedName name="E12BASEE2" localSheetId="1">'[1]Phase 12'!$V$43</definedName>
    <definedName name="E12BASEE2">'Phase 12'!$V$43</definedName>
    <definedName name="E12BASEE3" localSheetId="1">'[1]Phase 12'!$U$43</definedName>
    <definedName name="E12BASEE3">'Phase 12'!$U$43</definedName>
    <definedName name="E12BASEE4" localSheetId="1">'[1]Phase 12'!$T$43</definedName>
    <definedName name="E12BASEE4">'Phase 12'!$T$43</definedName>
    <definedName name="E12BASEF1" localSheetId="1">'[1]Phase 12'!$AA$43</definedName>
    <definedName name="E12BASEF1">'Phase 12'!$AA$43</definedName>
    <definedName name="E12BASEF2" localSheetId="1">'[1]Phase 12'!$Z$43</definedName>
    <definedName name="E12BASEF2">'Phase 12'!$Z$43</definedName>
    <definedName name="E12BASEF3" localSheetId="1">'[1]Phase 12'!$Y$43</definedName>
    <definedName name="E12BASEF3">'Phase 12'!$Y$43</definedName>
    <definedName name="E12BASEF4" localSheetId="1">'[1]Phase 12'!$X$43</definedName>
    <definedName name="E12BASEF4">'Phase 12'!$X$43</definedName>
    <definedName name="E12BASEG1" localSheetId="1">'[1]Phase 12'!$AE$43</definedName>
    <definedName name="E12BASEG1">'Phase 12'!$AE$43</definedName>
    <definedName name="E12BASEG2" localSheetId="1">'[1]Phase 12'!$AD$43</definedName>
    <definedName name="E12BASEG2">'Phase 12'!$AD$43</definedName>
    <definedName name="E12BASEG3" localSheetId="1">'[1]Phase 12'!$AC$43</definedName>
    <definedName name="E12BASEG3">'Phase 12'!$AC$43</definedName>
    <definedName name="E12BASEG4" localSheetId="1">'[1]Phase 12'!$AB$43</definedName>
    <definedName name="E12BASEG4">'Phase 12'!$AB$43</definedName>
    <definedName name="E12C" localSheetId="1">'[1]Subcontractors List'!$N$103</definedName>
    <definedName name="E12C">'Subcontractors List'!$N$103</definedName>
    <definedName name="E12CommunicationFee" localSheetId="1">'[1]Budget Detail'!$AC$39</definedName>
    <definedName name="E12CommunicationFee">'Budget Detail'!$AC$39</definedName>
    <definedName name="E12DirectLaborAA45">'Phase 12'!$AA$45</definedName>
    <definedName name="E12DirectLaborAB45">'Phase 12'!$AB$45</definedName>
    <definedName name="E12DirectLaborAC45">'Phase 12'!$AC$45</definedName>
    <definedName name="E12DirectLaborAD45">'Phase 12'!$AD$45</definedName>
    <definedName name="E12DirectLaborAE45">'Phase 12'!$AE$45</definedName>
    <definedName name="E12DirectLaborD45">'Phase 12'!$D$45</definedName>
    <definedName name="E12DirectLaborE45">'Phase 12'!$E$45</definedName>
    <definedName name="E12DirectLaborF45">'Phase 12'!$F$45</definedName>
    <definedName name="E12DirectLaborG45">'Phase 12'!$G$45</definedName>
    <definedName name="E12DirectLaborH45">'Phase 12'!$H$45</definedName>
    <definedName name="E12DirectLaborI45">'Phase 12'!$I$45</definedName>
    <definedName name="E12DirectLaborJ45">'Phase 12'!$J$45</definedName>
    <definedName name="E12DirectLaborK45">'Phase 12'!$K$45</definedName>
    <definedName name="E12DirectLaborL45">'Phase 12'!$L$45</definedName>
    <definedName name="E12DirectLaborM45">'Phase 12'!$M$45</definedName>
    <definedName name="E12DirectLaborN45">'Phase 12'!$N$45</definedName>
    <definedName name="E12DirectLaborO45">'Phase 12'!$O$45</definedName>
    <definedName name="E12DirectLaborP45">'Phase 12'!$P$45</definedName>
    <definedName name="E12DirectLaborQ45">'Phase 12'!$Q$45</definedName>
    <definedName name="E12DirectLaborR45">'Phase 12'!$R$45</definedName>
    <definedName name="E12DirectLaborS45">'Phase 12'!$S$45</definedName>
    <definedName name="E12DirectLaborT45">'Phase 12'!$T$45</definedName>
    <definedName name="E12DirectLaborTotal" localSheetId="1">'[1]Phase 12'!$AG$35</definedName>
    <definedName name="E12DirectLaborTotal">'Phase 12'!$AG$35</definedName>
    <definedName name="E12DirectLaborU45">'Phase 12'!$U$45</definedName>
    <definedName name="E12DirectLaborV45">'Phase 12'!$V$45</definedName>
    <definedName name="E12DirectLaborW45">'Phase 12'!$W$45</definedName>
    <definedName name="E12DirectLaborX45">'Phase 12'!$X$45</definedName>
    <definedName name="E12DirectLaborY45">'Phase 12'!$Y$45</definedName>
    <definedName name="E12DirectLaborZ45">'Phase 12'!$Z$45</definedName>
    <definedName name="E12EndTotal">'Phase 12'!$AG$28</definedName>
    <definedName name="E12EquipmentTotal" localSheetId="1">'[1]Budget Detail'!$AC$73</definedName>
    <definedName name="E12EquipmentTotal">'Budget Detail'!$AC$73</definedName>
    <definedName name="E12ETransfer" localSheetId="1">'[1]Standard Equipment &amp; Supplies'!$G$193</definedName>
    <definedName name="E12ETransfer">'Standard Equipment &amp; Supplies'!$G$193</definedName>
    <definedName name="E12ExpenseTotal" localSheetId="1">'[1]Budget Detail'!$AC$80</definedName>
    <definedName name="E12ExpenseTotal">'Budget Detail'!$AC$80</definedName>
    <definedName name="E12GEN" localSheetId="1">'[1]Subcontractors List'!$N$98</definedName>
    <definedName name="E12GEN">'Subcontractors List'!$N$98</definedName>
    <definedName name="E12InsuranceFee" localSheetId="1">'[1]Budget Detail'!$AC$82</definedName>
    <definedName name="E12InsuranceFee">'Budget Detail'!$AC$82</definedName>
    <definedName name="E12LaborTotal" localSheetId="1">'[1]Budget Detail'!$AC$38</definedName>
    <definedName name="E12LaborTotal">'Budget Detail'!$AC$38</definedName>
    <definedName name="E12LabTotal" localSheetId="1">'[1]Budget Detail'!$AC$60</definedName>
    <definedName name="E12LabTotal">'Budget Detail'!$AC$60</definedName>
    <definedName name="E12LTransfer" localSheetId="1">'[1]Travel Charges'!$K$86</definedName>
    <definedName name="E12LTransfer">'Travel Charges'!$K$86</definedName>
    <definedName name="E12M" localSheetId="1">'[1]Subcontractors List'!$N$102</definedName>
    <definedName name="E12M">'Subcontractors List'!$N$102</definedName>
    <definedName name="E12MTransfer" localSheetId="1">'[1]Travel Charges'!$K$85</definedName>
    <definedName name="E12MTransfer">'Travel Charges'!$K$85</definedName>
    <definedName name="E12O" localSheetId="1">'[1]Other Supplies &amp; Rental List'!$N$43</definedName>
    <definedName name="E12O">'Other Supplies &amp; Rental List'!$N$43</definedName>
    <definedName name="E12OTHER" localSheetId="1">'[1]Subcontractors List'!$N$101</definedName>
    <definedName name="E12OTHER">'Subcontractors List'!$N$101</definedName>
    <definedName name="E12OverheadAA46">'Phase 12'!$AA$46</definedName>
    <definedName name="E12OverheadAB46">'Phase 12'!$AB$46</definedName>
    <definedName name="E12OverheadAC46">'Phase 12'!$AC$46</definedName>
    <definedName name="E12OverheadAD46">'Phase 12'!$AD$46</definedName>
    <definedName name="E12OverheadAE46">'Phase 12'!$AE$46</definedName>
    <definedName name="E12OverheadD46">'Phase 12'!$D$46</definedName>
    <definedName name="E12OverheadE46">'Phase 12'!$E$46</definedName>
    <definedName name="E12OverheadF46">'Phase 12'!$F$46</definedName>
    <definedName name="E12OverheadG46">'Phase 12'!$G$46</definedName>
    <definedName name="E12OverheadH46">'Phase 12'!$H$46</definedName>
    <definedName name="E12OverheadI46">'Phase 12'!$I$46</definedName>
    <definedName name="E12OverheadJ46">'Phase 12'!$J$46</definedName>
    <definedName name="E12OverheadK46">'Phase 12'!$K$46</definedName>
    <definedName name="E12OverheadL46">'Phase 12'!$L$46</definedName>
    <definedName name="E12OverheadM46">'Phase 12'!$M$46</definedName>
    <definedName name="E12OverheadN46">'Phase 12'!$N$46</definedName>
    <definedName name="E12OverheadO46">'Phase 12'!$O$46</definedName>
    <definedName name="E12OverheadP46">'Phase 12'!$P$46</definedName>
    <definedName name="E12OverheadQ46">'Phase 12'!$Q$46</definedName>
    <definedName name="E12OverheadR46">'Phase 12'!$R$46</definedName>
    <definedName name="E12OverheadS46">'Phase 12'!$S$46</definedName>
    <definedName name="E12OverheadT46">'Phase 12'!$T$46</definedName>
    <definedName name="E12OverheadTotal" localSheetId="1">'[1]Phase 12'!$AG$37</definedName>
    <definedName name="E12OverheadTotal">'Phase 12'!$AG$37</definedName>
    <definedName name="E12OverheadU46">'Phase 12'!$U$46</definedName>
    <definedName name="E12OverheadV46">'Phase 12'!$V$46</definedName>
    <definedName name="E12OverheadW46">'Phase 12'!$W$46</definedName>
    <definedName name="E12OverheadX46">'Phase 12'!$X$46</definedName>
    <definedName name="E12OverheadY46">'Phase 12'!$Y$46</definedName>
    <definedName name="E12OverheadZ46">'Phase 12'!$Z$46</definedName>
    <definedName name="E12OVTransfer" localSheetId="1">'[1]Travel Charges'!$K$84</definedName>
    <definedName name="E12OVTransfer">'Travel Charges'!$K$84</definedName>
    <definedName name="E12R" localSheetId="1">'[1]Other Supplies &amp; Rental List'!$N$41</definedName>
    <definedName name="E12R">'Other Supplies &amp; Rental List'!$N$41</definedName>
    <definedName name="E12RateA1Total" localSheetId="1">'[1]Budget Detail'!$BN$12</definedName>
    <definedName name="E12RateA1Total">'Budget Detail'!$BN$12</definedName>
    <definedName name="E12RateA2Total" localSheetId="1">'[1]Budget Detail'!$BN$11</definedName>
    <definedName name="E12RateA2Total">'Budget Detail'!$BN$11</definedName>
    <definedName name="E12RateA3Total" localSheetId="1">'[1]Budget Detail'!$BN$10</definedName>
    <definedName name="E12RateA3Total">'Budget Detail'!$BN$10</definedName>
    <definedName name="E12RateA4Total" localSheetId="1">'[1]Budget Detail'!$BN$9</definedName>
    <definedName name="E12RateA4Total">'Budget Detail'!$BN$9</definedName>
    <definedName name="E12RateB1Total" localSheetId="1">'[1]Budget Detail'!$BN$16</definedName>
    <definedName name="E12RateB1Total">'Budget Detail'!$BN$16</definedName>
    <definedName name="E12RateB2Total" localSheetId="1">'[1]Budget Detail'!$BN$15</definedName>
    <definedName name="E12RateB2Total">'Budget Detail'!$BN$15</definedName>
    <definedName name="E12RateB3Total" localSheetId="1">'[1]Budget Detail'!$BN$14</definedName>
    <definedName name="E12RateB3Total">'Budget Detail'!$BN$14</definedName>
    <definedName name="E12RateB4Total" localSheetId="1">'[1]Budget Detail'!$BN$13</definedName>
    <definedName name="E12RateB4Total">'Budget Detail'!$BN$13</definedName>
    <definedName name="E12RateC1Total" localSheetId="1">'[1]Budget Detail'!$BN$20</definedName>
    <definedName name="E12RateC1Total">'Budget Detail'!$BN$20</definedName>
    <definedName name="E12RateC2Total" localSheetId="1">'[1]Budget Detail'!$BN$19</definedName>
    <definedName name="E12RateC2Total">'Budget Detail'!$BN$19</definedName>
    <definedName name="E12RateC3Total" localSheetId="1">'[1]Budget Detail'!$BN$18</definedName>
    <definedName name="E12RateC3Total">'Budget Detail'!$BN$18</definedName>
    <definedName name="E12RateC4Total" localSheetId="1">'[1]Budget Detail'!$BN$17</definedName>
    <definedName name="E12RateC4Total">'Budget Detail'!$BN$17</definedName>
    <definedName name="E12RateD1Total" localSheetId="1">'[1]Budget Detail'!$BN$24</definedName>
    <definedName name="E12RateD1Total">'Budget Detail'!$BN$24</definedName>
    <definedName name="E12RateD2Total" localSheetId="1">'[1]Budget Detail'!$BN$23</definedName>
    <definedName name="E12RateD2Total">'Budget Detail'!$BN$23</definedName>
    <definedName name="E12RateD3Total" localSheetId="1">'[1]Budget Detail'!$BN$22</definedName>
    <definedName name="E12RateD3Total">'Budget Detail'!$BN$22</definedName>
    <definedName name="E12RateD4Total" localSheetId="1">'[1]Budget Detail'!$BN$21</definedName>
    <definedName name="E12RateD4Total">'Budget Detail'!$BN$21</definedName>
    <definedName name="E12RateE1Total" localSheetId="1">'[1]Budget Detail'!$BN$28</definedName>
    <definedName name="E12RateE1Total">'Budget Detail'!$BN$28</definedName>
    <definedName name="E12RateE2Total" localSheetId="1">'[1]Budget Detail'!$BN$27</definedName>
    <definedName name="E12RateE2Total">'Budget Detail'!$BN$27</definedName>
    <definedName name="E12RateE3Total" localSheetId="1">'[1]Budget Detail'!$BN$26</definedName>
    <definedName name="E12RateE3Total">'Budget Detail'!$BN$26</definedName>
    <definedName name="E12RateE4Total" localSheetId="1">'[1]Budget Detail'!$BN$25</definedName>
    <definedName name="E12RateE4Total">'Budget Detail'!$BN$25</definedName>
    <definedName name="E12RateF1Total" localSheetId="1">'[1]Budget Detail'!$BN$32</definedName>
    <definedName name="E12RateF1Total">'Budget Detail'!$BN$32</definedName>
    <definedName name="E12RateF2Total" localSheetId="1">'[1]Budget Detail'!$BN$31</definedName>
    <definedName name="E12RateF2Total">'Budget Detail'!$BN$31</definedName>
    <definedName name="E12RateF3Total" localSheetId="1">'[1]Budget Detail'!$BN$30</definedName>
    <definedName name="E12RateF3Total">'Budget Detail'!$BN$30</definedName>
    <definedName name="E12RateF4Total" localSheetId="1">'[1]Budget Detail'!$BN$29</definedName>
    <definedName name="E12RateF4Total">'Budget Detail'!$BN$29</definedName>
    <definedName name="E12RateG1Total" localSheetId="1">'[1]Budget Detail'!$BN$36</definedName>
    <definedName name="E12RateG1Total">'Budget Detail'!$BN$36</definedName>
    <definedName name="E12RateG2Total" localSheetId="1">'[1]Budget Detail'!$BN$35</definedName>
    <definedName name="E12RateG2Total">'Budget Detail'!$BN$35</definedName>
    <definedName name="E12RateG3Total" localSheetId="1">'[1]Budget Detail'!$BN$34</definedName>
    <definedName name="E12RateG3Total">'Budget Detail'!$BN$34</definedName>
    <definedName name="E12RateG4Total" localSheetId="1">'[1]Budget Detail'!$BN$33</definedName>
    <definedName name="E12RateG4Total">'Budget Detail'!$BN$33</definedName>
    <definedName name="E12REM" localSheetId="1">'[1]Subcontractors List'!$N$97</definedName>
    <definedName name="E12REM">'Subcontractors List'!$N$97</definedName>
    <definedName name="E12RVTransfer" localSheetId="1">'[1]Travel Charges'!$K$83</definedName>
    <definedName name="E12RVTransfer">'Travel Charges'!$K$83</definedName>
    <definedName name="E12S" localSheetId="1">'[1]Other Supplies &amp; Rental List'!$N$42</definedName>
    <definedName name="E12S">'Other Supplies &amp; Rental List'!$N$42</definedName>
    <definedName name="E12SI" localSheetId="1">'[1]Subcontractors List'!$N$100</definedName>
    <definedName name="E12SI">'Subcontractors List'!$N$100</definedName>
    <definedName name="E12STransfer" localSheetId="1">'[1]Standard Equipment &amp; Supplies'!$G$194</definedName>
    <definedName name="E12STransfer">'Standard Equipment &amp; Supplies'!$G$194</definedName>
    <definedName name="E12SubsTotal" localSheetId="1">'[1]Budget Detail'!$AC$70</definedName>
    <definedName name="E12SubsTotal">'Budget Detail'!$AC$70</definedName>
    <definedName name="E12TravelTotal" localSheetId="1">'[1]Budget Detail'!$AC$50</definedName>
    <definedName name="E12TravelTotal">'Budget Detail'!$AC$50</definedName>
    <definedName name="E12WH" localSheetId="1">'[1]Subcontractors List'!$N$99</definedName>
    <definedName name="E12WH">'Subcontractors List'!$N$99</definedName>
    <definedName name="E13ADDA1">'Budget Detail'!$DE$12</definedName>
    <definedName name="E13ADDA2">'Budget Detail'!$DE$11</definedName>
    <definedName name="E13ADDA3">'Budget Detail'!$DE$10</definedName>
    <definedName name="E13ADDA4">'Budget Detail'!$DE$9</definedName>
    <definedName name="E13ADDB1">'Budget Detail'!$DE$16</definedName>
    <definedName name="E13ADDB2">'Budget Detail'!$DE$15</definedName>
    <definedName name="E13ADDB3">'Budget Detail'!$DE$14</definedName>
    <definedName name="E13ADDB4">'Budget Detail'!$DE$13</definedName>
    <definedName name="E13ADDC1">'Budget Detail'!$DE$20</definedName>
    <definedName name="E13ADDC2">'Budget Detail'!$DE$19</definedName>
    <definedName name="E13ADDC3">'Budget Detail'!$DE$18</definedName>
    <definedName name="E13ADDC4">'Budget Detail'!$DE$17</definedName>
    <definedName name="E13ADDD1">'Budget Detail'!$DE$24</definedName>
    <definedName name="E13ADDD2">'Budget Detail'!$DE$23</definedName>
    <definedName name="E13ADDD3">'Budget Detail'!$DE$22</definedName>
    <definedName name="E13ADDD4">'Budget Detail'!$DE$21</definedName>
    <definedName name="E13ADDE1">'Budget Detail'!$DE$28</definedName>
    <definedName name="E13ADDE2">'Budget Detail'!$DE$27</definedName>
    <definedName name="E13ADDE3">'Budget Detail'!$DE$26</definedName>
    <definedName name="E13ADDE4">'Budget Detail'!$DE$25</definedName>
    <definedName name="E13ADDF1">'Budget Detail'!$DE$32</definedName>
    <definedName name="E13ADDF2">'Budget Detail'!$DE$31</definedName>
    <definedName name="E13ADDF3">'Budget Detail'!$DE$30</definedName>
    <definedName name="E13ADDF4">'Budget Detail'!$DE$29</definedName>
    <definedName name="E13ADDG1">'Budget Detail'!$DE$36</definedName>
    <definedName name="E13ADDG2">'Budget Detail'!$DE$35</definedName>
    <definedName name="E13ADDG3">'Budget Detail'!$DE$34</definedName>
    <definedName name="E13ADDG4">'Budget Detail'!$DE$33</definedName>
    <definedName name="E13ATransfer" localSheetId="1">'[1]Travel Charges'!$O$87</definedName>
    <definedName name="E13ATransfer">'Travel Charges'!$O$87</definedName>
    <definedName name="E13B" localSheetId="1">'[1]Subcontractors List'!$N$104</definedName>
    <definedName name="E13B">'Subcontractors List'!$N$104</definedName>
    <definedName name="E13BASEA1" localSheetId="1">'[1]Phase 13'!$G$43</definedName>
    <definedName name="E13BASEA1">'Phase 13'!$G$43</definedName>
    <definedName name="E13BASEA2" localSheetId="1">'[1]Phase 13'!$F$43</definedName>
    <definedName name="E13BASEA2">'Phase 13'!$F$43</definedName>
    <definedName name="E13BASEA3" localSheetId="1">'[1]Phase 13'!$E$43</definedName>
    <definedName name="E13BASEA3">'Phase 13'!$E$43</definedName>
    <definedName name="E13BASEA4" localSheetId="1">'[1]Phase 13'!$D$43</definedName>
    <definedName name="E13BASEA4">'Phase 13'!$D$43</definedName>
    <definedName name="E13BASEB1" localSheetId="1">'[1]Phase 13'!$K$43</definedName>
    <definedName name="E13BASEB1">'Phase 13'!$K$43</definedName>
    <definedName name="E13BASEB2" localSheetId="1">'[1]Phase 13'!$J$43</definedName>
    <definedName name="E13BASEB2">'Phase 13'!$J$43</definedName>
    <definedName name="E13BASEB3" localSheetId="1">'[1]Phase 13'!$I$43</definedName>
    <definedName name="E13BASEB3">'Phase 13'!$I$43</definedName>
    <definedName name="E13BASEB4" localSheetId="1">'[1]Phase 13'!$H$43</definedName>
    <definedName name="E13BASEB4">'Phase 13'!$H$43</definedName>
    <definedName name="E13BASEC1" localSheetId="1">'[1]Phase 13'!$O$43</definedName>
    <definedName name="E13BASEC1">'Phase 13'!$O$43</definedName>
    <definedName name="E13BASEC2" localSheetId="1">'[1]Phase 13'!$N$43</definedName>
    <definedName name="E13BASEC2">'Phase 13'!$N$43</definedName>
    <definedName name="E13BASEC3" localSheetId="1">'[1]Phase 13'!$M$43</definedName>
    <definedName name="E13BASEC3">'Phase 13'!$M$43</definedName>
    <definedName name="E13BASEC4" localSheetId="1">'[1]Phase 13'!$L$43</definedName>
    <definedName name="E13BASEC4">'Phase 13'!$L$43</definedName>
    <definedName name="E13BASED1" localSheetId="1">'[1]Phase 13'!$S$43</definedName>
    <definedName name="E13BASED1">'Phase 13'!$S$43</definedName>
    <definedName name="E13BASED2" localSheetId="1">'[1]Phase 13'!$R$43</definedName>
    <definedName name="E13BASED2">'Phase 13'!$R$43</definedName>
    <definedName name="E13BASED3" localSheetId="1">'[1]Phase 13'!$Q$43</definedName>
    <definedName name="E13BASED3">'Phase 13'!$Q$43</definedName>
    <definedName name="E13BASED4" localSheetId="1">'[1]Phase 13'!$P$43</definedName>
    <definedName name="E13BASED4">'Phase 13'!$P$43</definedName>
    <definedName name="E13BASEE1" localSheetId="1">'[1]Phase 13'!$W$43</definedName>
    <definedName name="E13BASEE1">'Phase 13'!$W$43</definedName>
    <definedName name="E13BASEE2" localSheetId="1">'[1]Phase 13'!$V$43</definedName>
    <definedName name="E13BASEE2">'Phase 13'!$V$43</definedName>
    <definedName name="E13BASEE3" localSheetId="1">'[1]Phase 13'!$U$43</definedName>
    <definedName name="E13BASEE3">'Phase 13'!$U$43</definedName>
    <definedName name="E13BASEE4" localSheetId="1">'[1]Phase 13'!$T$43</definedName>
    <definedName name="E13BASEE4">'Phase 13'!$T$43</definedName>
    <definedName name="E13BASEF1" localSheetId="1">'[1]Phase 13'!$AA$43</definedName>
    <definedName name="E13BASEF1">'Phase 13'!$AA$43</definedName>
    <definedName name="E13BASEF2" localSheetId="1">'[1]Phase 13'!$Z$43</definedName>
    <definedName name="E13BASEF2">'Phase 13'!$Z$43</definedName>
    <definedName name="E13BASEF3" localSheetId="1">'[1]Phase 13'!$Y$43</definedName>
    <definedName name="E13BASEF3">'Phase 13'!$Y$43</definedName>
    <definedName name="E13BASEF4" localSheetId="1">'[1]Phase 13'!$X$43</definedName>
    <definedName name="E13BASEF4">'Phase 13'!$X$43</definedName>
    <definedName name="E13BASEG1" localSheetId="1">'[1]Phase 13'!$AE$43</definedName>
    <definedName name="E13BASEG1">'Phase 13'!$AE$43</definedName>
    <definedName name="E13BASEG2" localSheetId="1">'[1]Phase 13'!$AD$43</definedName>
    <definedName name="E13BASEG2">'Phase 13'!$AD$43</definedName>
    <definedName name="E13BASEG3" localSheetId="1">'[1]Phase 13'!$AC$43</definedName>
    <definedName name="E13BASEG3">'Phase 13'!$AC$43</definedName>
    <definedName name="E13BASEG4" localSheetId="1">'[1]Phase 13'!$AB$43</definedName>
    <definedName name="E13BASEG4">'Phase 13'!$AB$43</definedName>
    <definedName name="E13C" localSheetId="1">'[1]Subcontractors List'!$N$111</definedName>
    <definedName name="E13C">'Subcontractors List'!$N$111</definedName>
    <definedName name="E13CommunicationFee" localSheetId="1">'[1]Budget Detail'!$AE$39</definedName>
    <definedName name="E13CommunicationFee">'Budget Detail'!$AE$39</definedName>
    <definedName name="E13DirectLaborAA45">'Phase 13'!$AA$45</definedName>
    <definedName name="E13DirectLaborAB45">'Phase 13'!$AB$45</definedName>
    <definedName name="E13DirectLaborAC45">'Phase 13'!$AC$45</definedName>
    <definedName name="E13DirectLaborAD45">'Phase 13'!$AD$45</definedName>
    <definedName name="E13DirectLaborAE45">'Phase 13'!$AE$45</definedName>
    <definedName name="E13DirectLaborD45">'Phase 13'!$D$45</definedName>
    <definedName name="E13DirectLaborE45">'Phase 13'!$E$45</definedName>
    <definedName name="E13DirectLaborF45">'Phase 13'!$F$45</definedName>
    <definedName name="E13DirectLaborG45">'Phase 13'!$G$45</definedName>
    <definedName name="E13DirectLaborH45">'Phase 13'!$H$45</definedName>
    <definedName name="E13DirectLaborI45">'Phase 13'!$I$45</definedName>
    <definedName name="E13DirectLaborJ45">'Phase 13'!$J$45</definedName>
    <definedName name="E13DirectLaborK45">'Phase 13'!$K$45</definedName>
    <definedName name="E13DirectLaborL45">'Phase 13'!$L$45</definedName>
    <definedName name="E13DirectLaborM45">'Phase 13'!$M$45</definedName>
    <definedName name="E13DirectLaborN45">'Phase 13'!$N$45</definedName>
    <definedName name="E13DirectLaborO45">'Phase 13'!$O$45</definedName>
    <definedName name="E13DirectLaborP45">'Phase 13'!$P$45</definedName>
    <definedName name="E13DirectLaborQ45">'Phase 13'!$Q$45</definedName>
    <definedName name="E13DirectLaborR45">'Phase 13'!$R$45</definedName>
    <definedName name="E13DirectLaborS45">'Phase 13'!$S$45</definedName>
    <definedName name="E13DirectLaborT45">'Phase 13'!$T$45</definedName>
    <definedName name="E13DirectLaborTotal" localSheetId="1">'[1]Phase 13'!$AG$35</definedName>
    <definedName name="E13DirectLaborTotal">'Phase 13'!$AG$35</definedName>
    <definedName name="E13DirectLaborU45">'Phase 13'!$U$45</definedName>
    <definedName name="E13DirectLaborV45">'Phase 13'!$V$45</definedName>
    <definedName name="E13DirectLaborW45">'Phase 13'!$W$45</definedName>
    <definedName name="E13DirectLaborX45">'Phase 13'!$X$45</definedName>
    <definedName name="E13DirectLaborY45">'Phase 13'!$Y$45</definedName>
    <definedName name="E13DirectLaborZ45">'Phase 13'!$Z$45</definedName>
    <definedName name="E13EndTotal">'Phase 13'!$AG$28</definedName>
    <definedName name="E13EquipmentTotal" localSheetId="1">'[1]Budget Detail'!$AE$73</definedName>
    <definedName name="E13EquipmentTotal">'Budget Detail'!$AE$73</definedName>
    <definedName name="E13ETransfer" localSheetId="1">'[1]Standard Equipment &amp; Supplies'!$G$196</definedName>
    <definedName name="E13ETransfer">'Standard Equipment &amp; Supplies'!$G$196</definedName>
    <definedName name="E13ExpenseTotal" localSheetId="1">'[1]Budget Detail'!$AE$80</definedName>
    <definedName name="E13ExpenseTotal">'Budget Detail'!$AE$80</definedName>
    <definedName name="E13GEN" localSheetId="1">'[1]Subcontractors List'!$N$106</definedName>
    <definedName name="E13GEN">'Subcontractors List'!$N$106</definedName>
    <definedName name="E13InsuranceFee" localSheetId="1">'[1]Budget Detail'!$AE$82</definedName>
    <definedName name="E13InsuranceFee">'Budget Detail'!$AE$82</definedName>
    <definedName name="E13LaborTotal" localSheetId="1">'[1]Budget Detail'!$AE$38</definedName>
    <definedName name="E13LaborTotal">'Budget Detail'!$AE$38</definedName>
    <definedName name="E13LabTotal" localSheetId="1">'[1]Budget Detail'!$AE$60</definedName>
    <definedName name="E13LabTotal">'Budget Detail'!$AE$60</definedName>
    <definedName name="E13LTransfer" localSheetId="1">'[1]Travel Charges'!$O$86</definedName>
    <definedName name="E13LTransfer">'Travel Charges'!$O$86</definedName>
    <definedName name="E13M" localSheetId="1">'[1]Subcontractors List'!$N$110</definedName>
    <definedName name="E13M">'Subcontractors List'!$N$110</definedName>
    <definedName name="E13MTransfer" localSheetId="1">'[1]Travel Charges'!$O$85</definedName>
    <definedName name="E13MTransfer">'Travel Charges'!$O$85</definedName>
    <definedName name="E13O" localSheetId="1">'[1]Other Supplies &amp; Rental List'!$N$46</definedName>
    <definedName name="E13O">'Other Supplies &amp; Rental List'!$N$46</definedName>
    <definedName name="E13OTHER" localSheetId="1">'[1]Subcontractors List'!$N$109</definedName>
    <definedName name="E13OTHER">'Subcontractors List'!$N$109</definedName>
    <definedName name="E13OverheadAA46">'Phase 13'!$AA$46</definedName>
    <definedName name="E13OverheadAB46">'Phase 13'!$AB$46</definedName>
    <definedName name="E13OverheadAC46">'Phase 13'!$AC$46</definedName>
    <definedName name="E13OverheadAD46">'Phase 13'!$AD$46</definedName>
    <definedName name="E13OverheadAE46">'Phase 13'!$AE$46</definedName>
    <definedName name="E13OverheadD46">'Phase 13'!$D$46</definedName>
    <definedName name="E13OverheadE46">'Phase 13'!$E$46</definedName>
    <definedName name="E13OverheadF46">'Phase 13'!$F$46</definedName>
    <definedName name="E13OverheadG46">'Phase 13'!$G$46</definedName>
    <definedName name="E13OverheadH46">'Phase 13'!$H$46</definedName>
    <definedName name="E13OverheadI46">'Phase 13'!$I$46</definedName>
    <definedName name="E13OverheadJ46">'Phase 13'!$J$46</definedName>
    <definedName name="E13OverheadK46">'Phase 13'!$K$46</definedName>
    <definedName name="E13OverheadL46">'Phase 13'!$L$46</definedName>
    <definedName name="E13OverheadM46">'Phase 13'!$M$46</definedName>
    <definedName name="E13OverheadN46">'Phase 13'!$N$46</definedName>
    <definedName name="E13OverheadO46">'Phase 13'!$O$46</definedName>
    <definedName name="E13OverheadP46">'Phase 13'!$P$46</definedName>
    <definedName name="E13OverheadQ46">'Phase 13'!$Q$46</definedName>
    <definedName name="E13OverheadR46">'Phase 13'!$R$46</definedName>
    <definedName name="E13OverheadS46">'Phase 13'!$S$46</definedName>
    <definedName name="E13OverheadT46">'Phase 13'!$T$46</definedName>
    <definedName name="E13OverheadTotal" localSheetId="1">'[1]Phase 13'!$AG$37</definedName>
    <definedName name="E13OverheadTotal">'Phase 13'!$AG$37</definedName>
    <definedName name="E13OverheadU46">'Phase 13'!$U$46</definedName>
    <definedName name="E13OverheadV46">'Phase 13'!$V$46</definedName>
    <definedName name="E13OverheadW46">'Phase 13'!$W$46</definedName>
    <definedName name="E13OverheadX46">'Phase 13'!$X$46</definedName>
    <definedName name="E13OverheadY46">'Phase 13'!$Y$46</definedName>
    <definedName name="E13OverheadZ46">'Phase 13'!$Z$46</definedName>
    <definedName name="E13OVTransfer" localSheetId="1">'[1]Travel Charges'!$O$84</definedName>
    <definedName name="E13OVTransfer">'Travel Charges'!$O$84</definedName>
    <definedName name="E13R" localSheetId="1">'[1]Other Supplies &amp; Rental List'!$N$44</definedName>
    <definedName name="E13R">'Other Supplies &amp; Rental List'!$N$44</definedName>
    <definedName name="E13RateA1Total" localSheetId="1">'[1]Budget Detail'!$BO$12</definedName>
    <definedName name="E13RateA1Total">'Budget Detail'!$BO$12</definedName>
    <definedName name="E13RateA2Total" localSheetId="1">'[1]Budget Detail'!$BO$11</definedName>
    <definedName name="E13RateA2Total">'Budget Detail'!$BO$11</definedName>
    <definedName name="E13RateA3Total" localSheetId="1">'[1]Budget Detail'!$BO$10</definedName>
    <definedName name="E13RateA3Total">'Budget Detail'!$BO$10</definedName>
    <definedName name="E13RateA4Total" localSheetId="1">'[1]Budget Detail'!$BO$9</definedName>
    <definedName name="E13RateA4Total">'Budget Detail'!$BO$9</definedName>
    <definedName name="E13RateB1Total" localSheetId="1">'[1]Budget Detail'!$BO$16</definedName>
    <definedName name="E13RateB1Total">'Budget Detail'!$BO$16</definedName>
    <definedName name="E13RateB2Total" localSheetId="1">'[1]Budget Detail'!$BO$15</definedName>
    <definedName name="E13RateB2Total">'Budget Detail'!$BO$15</definedName>
    <definedName name="E13RateB3Total" localSheetId="1">'[1]Budget Detail'!$BO$14</definedName>
    <definedName name="E13RateB3Total">'Budget Detail'!$BO$14</definedName>
    <definedName name="E13RateB4Total" localSheetId="1">'[1]Budget Detail'!$BO$13</definedName>
    <definedName name="E13RateB4Total">'Budget Detail'!$BO$13</definedName>
    <definedName name="E13RateC1Total" localSheetId="1">'[1]Budget Detail'!$BO$20</definedName>
    <definedName name="E13RateC1Total">'Budget Detail'!$BO$20</definedName>
    <definedName name="E13RateC2Total" localSheetId="1">'[1]Budget Detail'!$BO$19</definedName>
    <definedName name="E13RateC2Total">'Budget Detail'!$BO$19</definedName>
    <definedName name="E13RateC3Total" localSheetId="1">'[1]Budget Detail'!$BO$18</definedName>
    <definedName name="E13RateC3Total">'Budget Detail'!$BO$18</definedName>
    <definedName name="E13RateC4Total" localSheetId="1">'[1]Budget Detail'!$BO$17</definedName>
    <definedName name="E13RateC4Total">'Budget Detail'!$BO$17</definedName>
    <definedName name="E13RateD1Total" localSheetId="1">'[1]Budget Detail'!$BO$24</definedName>
    <definedName name="E13RateD1Total">'Budget Detail'!$BO$24</definedName>
    <definedName name="E13RateD2Total" localSheetId="1">'[1]Budget Detail'!$BO$23</definedName>
    <definedName name="E13RateD2Total">'Budget Detail'!$BO$23</definedName>
    <definedName name="E13RateD3Total" localSheetId="1">'[1]Budget Detail'!$BO$22</definedName>
    <definedName name="E13RateD3Total">'Budget Detail'!$BO$22</definedName>
    <definedName name="E13RateD4Total" localSheetId="1">'[1]Budget Detail'!$BO$21</definedName>
    <definedName name="E13RateD4Total">'Budget Detail'!$BO$21</definedName>
    <definedName name="E13RateE1Total" localSheetId="1">'[1]Budget Detail'!$BO$28</definedName>
    <definedName name="E13RateE1Total">'Budget Detail'!$BO$28</definedName>
    <definedName name="E13RateE2Total" localSheetId="1">'[1]Budget Detail'!$BO$27</definedName>
    <definedName name="E13RateE2Total">'Budget Detail'!$BO$27</definedName>
    <definedName name="E13RateE3Total" localSheetId="1">'[1]Budget Detail'!$BO$26</definedName>
    <definedName name="E13RateE3Total">'Budget Detail'!$BO$26</definedName>
    <definedName name="E13RateE4Total" localSheetId="1">'[1]Budget Detail'!$BO$25</definedName>
    <definedName name="E13RateE4Total">'Budget Detail'!$BO$25</definedName>
    <definedName name="E13RateF1Total" localSheetId="1">'[1]Budget Detail'!$BO$32</definedName>
    <definedName name="E13RateF1Total">'Budget Detail'!$BO$32</definedName>
    <definedName name="E13RateF2Total" localSheetId="1">'[1]Budget Detail'!$BO$31</definedName>
    <definedName name="E13RateF2Total">'Budget Detail'!$BO$31</definedName>
    <definedName name="E13RateF3Total" localSheetId="1">'[1]Budget Detail'!$BO$30</definedName>
    <definedName name="E13RateF3Total">'Budget Detail'!$BO$30</definedName>
    <definedName name="E13RateF4Total" localSheetId="1">'[1]Budget Detail'!$BO$29</definedName>
    <definedName name="E13RateF4Total">'Budget Detail'!$BO$29</definedName>
    <definedName name="E13RateG1Total" localSheetId="1">'[1]Budget Detail'!$BO$36</definedName>
    <definedName name="E13RateG1Total">'Budget Detail'!$BO$36</definedName>
    <definedName name="E13RateG2Total" localSheetId="1">'[1]Budget Detail'!$BO$35</definedName>
    <definedName name="E13RateG2Total">'Budget Detail'!$BO$35</definedName>
    <definedName name="E13RateG3Total" localSheetId="1">'[1]Budget Detail'!$BO$34</definedName>
    <definedName name="E13RateG3Total">'Budget Detail'!$BO$34</definedName>
    <definedName name="E13RateG4Total" localSheetId="1">'[1]Budget Detail'!$BO$33</definedName>
    <definedName name="E13RateG4Total">'Budget Detail'!$BO$33</definedName>
    <definedName name="E13REM" localSheetId="1">'[1]Subcontractors List'!$N$105</definedName>
    <definedName name="E13REM">'Subcontractors List'!$N$105</definedName>
    <definedName name="E13RVTransfer" localSheetId="1">'[1]Travel Charges'!$O$83</definedName>
    <definedName name="E13RVTransfer">'Travel Charges'!$O$83</definedName>
    <definedName name="E13S" localSheetId="1">'[1]Other Supplies &amp; Rental List'!$N$45</definedName>
    <definedName name="E13S">'Other Supplies &amp; Rental List'!$N$45</definedName>
    <definedName name="E13SI" localSheetId="1">'[1]Subcontractors List'!$N$108</definedName>
    <definedName name="E13SI">'Subcontractors List'!$N$108</definedName>
    <definedName name="E13STransfer" localSheetId="1">'[1]Standard Equipment &amp; Supplies'!$G$197</definedName>
    <definedName name="E13STransfer">'Standard Equipment &amp; Supplies'!$G$197</definedName>
    <definedName name="E13SubsTotal" localSheetId="1">'[1]Budget Detail'!$AE$70</definedName>
    <definedName name="E13SubsTotal">'Budget Detail'!$AE$70</definedName>
    <definedName name="E13TravelTotal" localSheetId="1">'[1]Budget Detail'!$AE$50</definedName>
    <definedName name="E13TravelTotal">'Budget Detail'!$AE$50</definedName>
    <definedName name="E13WH" localSheetId="1">'[1]Subcontractors List'!$N$107</definedName>
    <definedName name="E13WH">'Subcontractors List'!$N$107</definedName>
    <definedName name="E14ADDA1">'Budget Detail'!$DF$12</definedName>
    <definedName name="E14ADDA2">'Budget Detail'!$DF$11</definedName>
    <definedName name="E14ADDA3">'Budget Detail'!$DF$10</definedName>
    <definedName name="E14ADDA4">'Budget Detail'!$DF$9</definedName>
    <definedName name="E14ADDB1">'Budget Detail'!$DF$16</definedName>
    <definedName name="E14ADDB2">'Budget Detail'!$DF$15</definedName>
    <definedName name="E14ADDB3">'Budget Detail'!$DF$14</definedName>
    <definedName name="E14ADDB4">'Budget Detail'!$DF$13</definedName>
    <definedName name="E14ADDC1">'Budget Detail'!$DF$20</definedName>
    <definedName name="E14ADDC2">'Budget Detail'!$DF$19</definedName>
    <definedName name="E14ADDC3">'Budget Detail'!$DF$18</definedName>
    <definedName name="E14ADDC4">'Budget Detail'!$DF$17</definedName>
    <definedName name="E14ADDD1">'Budget Detail'!$DF$24</definedName>
    <definedName name="E14ADDD2">'Budget Detail'!$DF$23</definedName>
    <definedName name="E14ADDD3">'Budget Detail'!$DF$22</definedName>
    <definedName name="E14ADDD4">'Budget Detail'!$DF$21</definedName>
    <definedName name="E14ADDE1">'Budget Detail'!$DF$28</definedName>
    <definedName name="E14ADDE2">'Budget Detail'!$DF$27</definedName>
    <definedName name="E14ADDE3">'Budget Detail'!$DF$26</definedName>
    <definedName name="E14ADDE4">'Budget Detail'!$DF$25</definedName>
    <definedName name="E14ADDF1">'Budget Detail'!$DF$32</definedName>
    <definedName name="E14ADDF2">'Budget Detail'!$DF$31</definedName>
    <definedName name="E14ADDF3">'Budget Detail'!$DF$30</definedName>
    <definedName name="E14ADDF4">'Budget Detail'!$DF$29</definedName>
    <definedName name="E14ADDG1">'Budget Detail'!$DF$36</definedName>
    <definedName name="E14ADDG2">'Budget Detail'!$DF$35</definedName>
    <definedName name="E14ADDG3">'Budget Detail'!$DF$34</definedName>
    <definedName name="E14ADDG4">'Budget Detail'!$DF$33</definedName>
    <definedName name="E14ATransfer" localSheetId="1">'[1]Travel Charges'!$S$87</definedName>
    <definedName name="E14ATransfer">'Travel Charges'!$S$87</definedName>
    <definedName name="E14B" localSheetId="1">'[1]Subcontractors List'!$N$112</definedName>
    <definedName name="E14B">'Subcontractors List'!$N$112</definedName>
    <definedName name="E14BASEA1" localSheetId="1">'[1]Phase 14'!$G$43</definedName>
    <definedName name="E14BASEA1">'Phase 14'!$G$43</definedName>
    <definedName name="E14BASEA2" localSheetId="1">'[1]Phase 14'!$F$43</definedName>
    <definedName name="E14BASEA2">'Phase 14'!$F$43</definedName>
    <definedName name="E14BASEA3" localSheetId="1">'[1]Phase 14'!$E$43</definedName>
    <definedName name="E14BASEA3">'Phase 14'!$E$43</definedName>
    <definedName name="E14BASEA4" localSheetId="1">'[1]Phase 14'!$D$43</definedName>
    <definedName name="E14BASEA4">'Phase 14'!$D$43</definedName>
    <definedName name="E14BASEB1" localSheetId="1">'[1]Phase 14'!$K$43</definedName>
    <definedName name="E14BASEB1">'Phase 14'!$K$43</definedName>
    <definedName name="E14BASEB2" localSheetId="1">'[1]Phase 14'!$J$43</definedName>
    <definedName name="E14BASEB2">'Phase 14'!$J$43</definedName>
    <definedName name="E14BASEB3" localSheetId="1">'[1]Phase 14'!$I$43</definedName>
    <definedName name="E14BASEB3">'Phase 14'!$I$43</definedName>
    <definedName name="E14BASEB4" localSheetId="1">'[1]Phase 14'!$H$43</definedName>
    <definedName name="E14BASEB4">'Phase 14'!$H$43</definedName>
    <definedName name="E14BASEC1" localSheetId="1">'[1]Phase 14'!$O$43</definedName>
    <definedName name="E14BASEC1">'Phase 14'!$O$43</definedName>
    <definedName name="E14BASEC2" localSheetId="1">'[1]Phase 14'!$N$43</definedName>
    <definedName name="E14BASEC2">'Phase 14'!$N$43</definedName>
    <definedName name="E14BASEC3" localSheetId="1">'[1]Phase 14'!$M$43</definedName>
    <definedName name="E14BASEC3">'Phase 14'!$M$43</definedName>
    <definedName name="E14BASEC4" localSheetId="1">'[1]Phase 14'!$L$43</definedName>
    <definedName name="E14BASEC4">'Phase 14'!$L$43</definedName>
    <definedName name="E14BASED1" localSheetId="1">'[1]Phase 14'!$S$43</definedName>
    <definedName name="E14BASED1">'Phase 14'!$S$43</definedName>
    <definedName name="E14BASED2" localSheetId="1">'[1]Phase 14'!$R$43</definedName>
    <definedName name="E14BASED2">'Phase 14'!$R$43</definedName>
    <definedName name="E14BASED3" localSheetId="1">'[1]Phase 14'!$Q$43</definedName>
    <definedName name="E14BASED3">'Phase 14'!$Q$43</definedName>
    <definedName name="E14BASED4" localSheetId="1">'[1]Phase 14'!$P$43</definedName>
    <definedName name="E14BASED4">'Phase 14'!$P$43</definedName>
    <definedName name="E14BASEE1" localSheetId="1">'[1]Phase 14'!$W$43</definedName>
    <definedName name="E14BASEE1">'Phase 14'!$W$43</definedName>
    <definedName name="E14BASEE2" localSheetId="1">'[1]Phase 14'!$V$43</definedName>
    <definedName name="E14BASEE2">'Phase 14'!$V$43</definedName>
    <definedName name="E14BASEE3" localSheetId="1">'[1]Phase 14'!$U$43</definedName>
    <definedName name="E14BASEE3">'Phase 14'!$U$43</definedName>
    <definedName name="E14BASEE4" localSheetId="1">'[1]Phase 14'!$T$43</definedName>
    <definedName name="E14BASEE4">'Phase 14'!$T$43</definedName>
    <definedName name="E14BASEF1" localSheetId="1">'[1]Phase 14'!$AA$43</definedName>
    <definedName name="E14BASEF1">'Phase 14'!$AA$43</definedName>
    <definedName name="E14BASEF2" localSheetId="1">'[1]Phase 14'!$Z$43</definedName>
    <definedName name="E14BASEF2">'Phase 14'!$Z$43</definedName>
    <definedName name="E14BASEF3" localSheetId="1">'[1]Phase 14'!$Y$43</definedName>
    <definedName name="E14BASEF3">'Phase 14'!$Y$43</definedName>
    <definedName name="E14BASEF4" localSheetId="1">'[1]Phase 14'!$X$43</definedName>
    <definedName name="E14BASEF4">'Phase 14'!$X$43</definedName>
    <definedName name="E14BASEG1" localSheetId="1">'[1]Phase 14'!$AE$43</definedName>
    <definedName name="E14BASEG1">'Phase 14'!$AE$43</definedName>
    <definedName name="E14BASEG2" localSheetId="1">'[1]Phase 14'!$AD$43</definedName>
    <definedName name="E14BASEG2">'Phase 14'!$AD$43</definedName>
    <definedName name="E14BASEG3" localSheetId="1">'[1]Phase 14'!$AC$43</definedName>
    <definedName name="E14BASEG3">'Phase 14'!$AC$43</definedName>
    <definedName name="E14BASEG4" localSheetId="1">'[1]Phase 14'!$AB$43</definedName>
    <definedName name="E14BASEG4">'Phase 14'!$AB$43</definedName>
    <definedName name="E14C" localSheetId="1">'[1]Subcontractors List'!$N$119</definedName>
    <definedName name="E14C">'Subcontractors List'!$N$119</definedName>
    <definedName name="E14CommunicationFee" localSheetId="1">'[1]Budget Detail'!$AG$39</definedName>
    <definedName name="E14CommunicationFee">'Budget Detail'!$AG$39</definedName>
    <definedName name="E14DirectLaborAA45">'Phase 14'!$AA$45</definedName>
    <definedName name="E14DirectLaborAB45">'Phase 14'!$AB$45</definedName>
    <definedName name="E14DirectLaborAC45">'Phase 14'!$AC$45</definedName>
    <definedName name="E14DirectLaborAD45">'Phase 14'!$AD$45</definedName>
    <definedName name="E14DirectLaborAE45">'Phase 14'!$AE$45</definedName>
    <definedName name="E14DirectLaborD45">'Phase 14'!$D$45</definedName>
    <definedName name="E14DirectLaborE45">'Phase 14'!$E$45</definedName>
    <definedName name="E14DirectLaborF45">'Phase 14'!$F$45</definedName>
    <definedName name="E14DirectLaborG45">'Phase 14'!$G$45</definedName>
    <definedName name="E14DirectLaborH45">'Phase 14'!$H$45</definedName>
    <definedName name="E14DirectLaborI45">'Phase 14'!$I$45</definedName>
    <definedName name="E14DirectLaborJ45">'Phase 14'!$J$45</definedName>
    <definedName name="E14DirectLaborK45">'Phase 14'!$K$45</definedName>
    <definedName name="E14DirectLaborL45">'Phase 14'!$L$45</definedName>
    <definedName name="E14DirectLaborM45">'Phase 14'!$M$45</definedName>
    <definedName name="E14DirectLaborN45">'Phase 14'!$N$45</definedName>
    <definedName name="E14DirectLaborO45">'Phase 14'!$O$45</definedName>
    <definedName name="E14DirectLaborP45">'Phase 14'!$P$45</definedName>
    <definedName name="E14DirectLaborQ45">'Phase 14'!$Q$45</definedName>
    <definedName name="E14DirectLaborR45">'Phase 14'!$R$45</definedName>
    <definedName name="E14DirectLaborS45">'Phase 14'!$S$45</definedName>
    <definedName name="E14DirectLaborT45">'Phase 14'!$T$45</definedName>
    <definedName name="E14DirectLaborTotal" localSheetId="1">'[1]Phase 14'!$AG$35</definedName>
    <definedName name="E14DirectLaborTotal">'Phase 14'!$AG$35</definedName>
    <definedName name="E14DirectLaborU45">'Phase 14'!$U$45</definedName>
    <definedName name="E14DirectLaborV45">'Phase 14'!$V$45</definedName>
    <definedName name="E14DirectLaborW45">'Phase 14'!$W$45</definedName>
    <definedName name="E14DirectLaborX45">'Phase 14'!$X$45</definedName>
    <definedName name="E14DirectLaborY45">'Phase 14'!$Y$45</definedName>
    <definedName name="E14DirectLaborZ45">'Phase 14'!$Z$45</definedName>
    <definedName name="E14EndTotal">'Phase 14'!$AG$28</definedName>
    <definedName name="E14EquipmentTotal" localSheetId="1">'[1]Budget Detail'!$AG$73</definedName>
    <definedName name="E14EquipmentTotal">'Budget Detail'!$AG$73</definedName>
    <definedName name="E14ETransfer" localSheetId="1">'[1]Standard Equipment &amp; Supplies'!$G$199</definedName>
    <definedName name="E14ETransfer">'Standard Equipment &amp; Supplies'!$G$199</definedName>
    <definedName name="E14ExpenseTotal" localSheetId="1">'[1]Budget Detail'!$AG$80</definedName>
    <definedName name="E14ExpenseTotal">'Budget Detail'!$AG$80</definedName>
    <definedName name="E14GEN" localSheetId="1">'[1]Subcontractors List'!$N$114</definedName>
    <definedName name="E14GEN">'Subcontractors List'!$N$114</definedName>
    <definedName name="E14InsuranceFee" localSheetId="1">'[1]Budget Detail'!$AE$82</definedName>
    <definedName name="E14InsuranceFee">'Budget Detail'!$AE$82</definedName>
    <definedName name="E14LaborTotal" localSheetId="1">'[1]Budget Detail'!$AG$38</definedName>
    <definedName name="E14LaborTotal">'Budget Detail'!$AG$38</definedName>
    <definedName name="E14LabTotal" localSheetId="1">'[1]Budget Detail'!$AG$60</definedName>
    <definedName name="E14LabTotal">'Budget Detail'!$AG$60</definedName>
    <definedName name="E14LTransfer" localSheetId="1">'[1]Travel Charges'!$S$86</definedName>
    <definedName name="E14LTransfer">'Travel Charges'!$S$86</definedName>
    <definedName name="E14M" localSheetId="1">'[1]Subcontractors List'!$N$118</definedName>
    <definedName name="E14M">'Subcontractors List'!$N$118</definedName>
    <definedName name="E14MTransfer" localSheetId="1">'[1]Travel Charges'!$S$85</definedName>
    <definedName name="E14MTransfer">'Travel Charges'!$S$85</definedName>
    <definedName name="E14O" localSheetId="1">'[1]Other Supplies &amp; Rental List'!$N$49</definedName>
    <definedName name="E14O">'Other Supplies &amp; Rental List'!$N$49</definedName>
    <definedName name="E14OTHER" localSheetId="1">'[1]Subcontractors List'!$N$117</definedName>
    <definedName name="E14OTHER">'Subcontractors List'!$N$117</definedName>
    <definedName name="E14OverheadAA46">'Phase 14'!$AA$46</definedName>
    <definedName name="E14OverheadAB46">'Phase 14'!$AB$46</definedName>
    <definedName name="E14OverheadAC46">'Phase 14'!$AC$46</definedName>
    <definedName name="E14OverheadAD46">'Phase 14'!$AD$46</definedName>
    <definedName name="E14OverheadAE46">'Phase 14'!$AE$46</definedName>
    <definedName name="E14OverheadD46">'Phase 14'!$D$46</definedName>
    <definedName name="E14OverheadE46">'Phase 14'!$E$46</definedName>
    <definedName name="E14OverheadF46">'Phase 14'!$F$46</definedName>
    <definedName name="E14OverheadG46">'Phase 14'!$G$46</definedName>
    <definedName name="E14OverheadH46">'Phase 14'!$H$46</definedName>
    <definedName name="E14OverheadI46">'Phase 14'!$I$46</definedName>
    <definedName name="E14OverheadJ46">'Phase 14'!$J$46</definedName>
    <definedName name="E14OverheadK46">'Phase 14'!$K$46</definedName>
    <definedName name="E14OverheadL46">'Phase 14'!$L$46</definedName>
    <definedName name="E14OverheadM46">'Phase 14'!$M$46</definedName>
    <definedName name="E14OverheadN46">'Phase 14'!$N$46</definedName>
    <definedName name="E14OverheadO46">'Phase 14'!$O$46</definedName>
    <definedName name="E14OverheadP46">'Phase 14'!$P$46</definedName>
    <definedName name="E14OverheadQ46">'Phase 14'!$Q$46</definedName>
    <definedName name="E14OverheadR46">'Phase 14'!$R$46</definedName>
    <definedName name="E14OverheadS46">'Phase 14'!$S$46</definedName>
    <definedName name="E14OverheadT46">'Phase 14'!$T$46</definedName>
    <definedName name="E14OverheadTotal" localSheetId="1">'[1]Phase 14'!$AG$37</definedName>
    <definedName name="E14OverheadTotal">'Phase 14'!$AG$37</definedName>
    <definedName name="E14OverheadU46">'Phase 14'!$U$46</definedName>
    <definedName name="E14OverheadV46">'Phase 14'!$V$46</definedName>
    <definedName name="E14OverheadW46">'Phase 14'!$W$46</definedName>
    <definedName name="E14OverheadX46">'Phase 14'!$X$46</definedName>
    <definedName name="E14OverheadY46">'Phase 14'!$Y$46</definedName>
    <definedName name="E14OverheadZ46">'Phase 14'!$Z$46</definedName>
    <definedName name="E14OVTransfer" localSheetId="1">'[1]Travel Charges'!$S$84</definedName>
    <definedName name="E14OVTransfer">'Travel Charges'!$S$84</definedName>
    <definedName name="E14R" localSheetId="1">'[1]Other Supplies &amp; Rental List'!$N$47</definedName>
    <definedName name="E14R">'Other Supplies &amp; Rental List'!$N$47</definedName>
    <definedName name="E14RateA1Total" localSheetId="1">'[1]Budget Detail'!$BP$12</definedName>
    <definedName name="E14RateA1Total">'Budget Detail'!$BP$12</definedName>
    <definedName name="E14RateA2Total" localSheetId="1">'[1]Budget Detail'!$BP$11</definedName>
    <definedName name="E14RateA2Total">'Budget Detail'!$BP$11</definedName>
    <definedName name="E14RateA3Total" localSheetId="1">'[1]Budget Detail'!$BP$10</definedName>
    <definedName name="E14RateA3Total">'Budget Detail'!$BP$10</definedName>
    <definedName name="E14RateA4Total" localSheetId="1">'[1]Budget Detail'!$BP$9</definedName>
    <definedName name="E14RateA4Total">'Budget Detail'!$BP$9</definedName>
    <definedName name="E14RateB1Total" localSheetId="1">'[1]Budget Detail'!$BP$16</definedName>
    <definedName name="E14RateB1Total">'Budget Detail'!$BP$16</definedName>
    <definedName name="E14RateB2Total" localSheetId="1">'[1]Budget Detail'!$BP$15</definedName>
    <definedName name="E14RateB2Total">'Budget Detail'!$BP$15</definedName>
    <definedName name="E14RateB3Total" localSheetId="1">'[1]Budget Detail'!$BP$14</definedName>
    <definedName name="E14RateB3Total">'Budget Detail'!$BP$14</definedName>
    <definedName name="E14RateB4Total" localSheetId="1">'[1]Budget Detail'!$BP$13</definedName>
    <definedName name="E14RateB4Total">'Budget Detail'!$BP$13</definedName>
    <definedName name="E14RateC1Total" localSheetId="1">'[1]Budget Detail'!$BP$20</definedName>
    <definedName name="E14RateC1Total">'Budget Detail'!$BP$20</definedName>
    <definedName name="E14RateC2Total" localSheetId="1">'[1]Budget Detail'!$BP$19</definedName>
    <definedName name="E14RateC2Total">'Budget Detail'!$BP$19</definedName>
    <definedName name="E14RateC3Total" localSheetId="1">'[1]Budget Detail'!$BP$18</definedName>
    <definedName name="E14RateC3Total">'Budget Detail'!$BP$18</definedName>
    <definedName name="E14RateC4Total" localSheetId="1">'[1]Budget Detail'!$BP$17</definedName>
    <definedName name="E14RateC4Total">'Budget Detail'!$BP$17</definedName>
    <definedName name="E14RateD1Total" localSheetId="1">'[1]Budget Detail'!$BP$24</definedName>
    <definedName name="E14RateD1Total">'Budget Detail'!$BP$24</definedName>
    <definedName name="E14RateD2Total" localSheetId="1">'[1]Budget Detail'!$BP$23</definedName>
    <definedName name="E14RateD2Total">'Budget Detail'!$BP$23</definedName>
    <definedName name="E14RateD3Total" localSheetId="1">'[1]Budget Detail'!$BP$22</definedName>
    <definedName name="E14RateD3Total">'Budget Detail'!$BP$22</definedName>
    <definedName name="E14RateD4Total" localSheetId="1">'[1]Budget Detail'!$BP$21</definedName>
    <definedName name="E14RateD4Total">'Budget Detail'!$BP$21</definedName>
    <definedName name="E14RateE1Total" localSheetId="1">'[1]Budget Detail'!$BP$28</definedName>
    <definedName name="E14RateE1Total">'Budget Detail'!$BP$28</definedName>
    <definedName name="E14RateE2Total" localSheetId="1">'[1]Budget Detail'!$BP$27</definedName>
    <definedName name="E14RateE2Total">'Budget Detail'!$BP$27</definedName>
    <definedName name="E14RateE3Total" localSheetId="1">'[1]Budget Detail'!$BP$26</definedName>
    <definedName name="E14RateE3Total">'Budget Detail'!$BP$26</definedName>
    <definedName name="E14RateE4Total" localSheetId="1">'[1]Budget Detail'!$BP$25</definedName>
    <definedName name="E14RateE4Total">'Budget Detail'!$BP$25</definedName>
    <definedName name="E14RateF1Total" localSheetId="1">'[1]Budget Detail'!$BP$32</definedName>
    <definedName name="E14RateF1Total">'Budget Detail'!$BP$32</definedName>
    <definedName name="E14RateF2Total" localSheetId="1">'[1]Budget Detail'!$BP$31</definedName>
    <definedName name="E14RateF2Total">'Budget Detail'!$BP$31</definedName>
    <definedName name="E14RateF3Total" localSheetId="1">'[1]Budget Detail'!$BP$30</definedName>
    <definedName name="E14RateF3Total">'Budget Detail'!$BP$30</definedName>
    <definedName name="E14RateF4Total" localSheetId="1">'[1]Budget Detail'!$BP$29</definedName>
    <definedName name="E14RateF4Total">'Budget Detail'!$BP$29</definedName>
    <definedName name="E14RateG1Total" localSheetId="1">'[1]Budget Detail'!$BP$36</definedName>
    <definedName name="E14RateG1Total">'Budget Detail'!$BP$36</definedName>
    <definedName name="E14RateG2Total" localSheetId="1">'[1]Budget Detail'!$BP$35</definedName>
    <definedName name="E14RateG2Total">'Budget Detail'!$BP$35</definedName>
    <definedName name="E14RateG3Total" localSheetId="1">'[1]Budget Detail'!$BP$34</definedName>
    <definedName name="E14RateG3Total">'Budget Detail'!$BP$34</definedName>
    <definedName name="E14RateG4Total" localSheetId="1">'[1]Budget Detail'!$BP$33</definedName>
    <definedName name="E14RateG4Total">'Budget Detail'!$BP$33</definedName>
    <definedName name="E14REM" localSheetId="1">'[1]Subcontractors List'!$N$113</definedName>
    <definedName name="E14REM">'Subcontractors List'!$N$113</definedName>
    <definedName name="E14RVTransfer" localSheetId="1">'[1]Travel Charges'!$S$83</definedName>
    <definedName name="E14RVTransfer">'Travel Charges'!$S$83</definedName>
    <definedName name="E14S" localSheetId="1">'[1]Other Supplies &amp; Rental List'!$N$48</definedName>
    <definedName name="E14S">'Other Supplies &amp; Rental List'!$N$48</definedName>
    <definedName name="E14SI" localSheetId="1">'[1]Subcontractors List'!$N$116</definedName>
    <definedName name="E14SI">'Subcontractors List'!$N$116</definedName>
    <definedName name="E14STransfer" localSheetId="1">'[1]Standard Equipment &amp; Supplies'!$G$200</definedName>
    <definedName name="E14STransfer">'Standard Equipment &amp; Supplies'!$G$200</definedName>
    <definedName name="E14SubsTotal" localSheetId="1">'[1]Budget Detail'!$AG$70</definedName>
    <definedName name="E14SubsTotal">'Budget Detail'!$AG$70</definedName>
    <definedName name="E14TravelTotal" localSheetId="1">'[1]Budget Detail'!$AG$50</definedName>
    <definedName name="E14TravelTotal">'Budget Detail'!$AG$50</definedName>
    <definedName name="E14WH" localSheetId="1">'[1]Subcontractors List'!$N$115</definedName>
    <definedName name="E14WH">'Subcontractors List'!$N$115</definedName>
    <definedName name="E15ADDA1">'Budget Detail'!$DG$12</definedName>
    <definedName name="E15ADDA2">'Budget Detail'!$DG$11</definedName>
    <definedName name="E15ADDA3">'Budget Detail'!$DG$10</definedName>
    <definedName name="E15ADDA4">'Budget Detail'!$DG$9</definedName>
    <definedName name="E15ADDB1">'Budget Detail'!$DG$16</definedName>
    <definedName name="E15ADDB2">'Budget Detail'!$DG$15</definedName>
    <definedName name="E15ADDB3">'Budget Detail'!$DG$14</definedName>
    <definedName name="E15ADDB4">'Budget Detail'!$DG$13</definedName>
    <definedName name="E15ADDC1">'Budget Detail'!$DG$20</definedName>
    <definedName name="E15ADDC2">'Budget Detail'!$DG$19</definedName>
    <definedName name="E15ADDC3">'Budget Detail'!$DG$18</definedName>
    <definedName name="E15ADDC4">'Budget Detail'!$DG$17</definedName>
    <definedName name="E15ADDD1">'Budget Detail'!$DG$24</definedName>
    <definedName name="E15ADDD2">'Budget Detail'!$DG$23</definedName>
    <definedName name="E15ADDD3">'Budget Detail'!$DG$22</definedName>
    <definedName name="E15ADDD4">'Budget Detail'!$DG$21</definedName>
    <definedName name="E15ADDE1">'Budget Detail'!$DG$28</definedName>
    <definedName name="E15ADDE2">'Budget Detail'!$DG$27</definedName>
    <definedName name="E15ADDE3">'Budget Detail'!$DG$26</definedName>
    <definedName name="E15ADDE4">'Budget Detail'!$DG$25</definedName>
    <definedName name="E15ADDF1">'Budget Detail'!$DG$32</definedName>
    <definedName name="E15ADDF2">'Budget Detail'!$DG$31</definedName>
    <definedName name="E15ADDF3">'Budget Detail'!$DG$30</definedName>
    <definedName name="E15ADDF4">'Budget Detail'!$DG$29</definedName>
    <definedName name="E15ADDG1">'Budget Detail'!$DG$36</definedName>
    <definedName name="E15ADDG2">'Budget Detail'!$DG$35</definedName>
    <definedName name="E15ADDG3">'Budget Detail'!$DG$34</definedName>
    <definedName name="E15ADDG4">'Budget Detail'!$DG$33</definedName>
    <definedName name="E15ATransfer" localSheetId="1">'[1]Travel Charges'!$W$87</definedName>
    <definedName name="E15ATransfer">'Travel Charges'!$W$87</definedName>
    <definedName name="E15B" localSheetId="1">'[1]Subcontractors List'!$N$120</definedName>
    <definedName name="E15B">'Subcontractors List'!$N$120</definedName>
    <definedName name="E15BASEA1" localSheetId="1">'[1]Phase 15'!$G$43</definedName>
    <definedName name="E15BASEA1">'Phase 15'!$G$43</definedName>
    <definedName name="E15BASEA2" localSheetId="1">'[1]Phase 15'!$F$43</definedName>
    <definedName name="E15BASEA2">'Phase 15'!$F$43</definedName>
    <definedName name="E15BASEA3" localSheetId="1">'[1]Phase 15'!$E$43</definedName>
    <definedName name="E15BASEA3">'Phase 15'!$E$43</definedName>
    <definedName name="E15BASEA4" localSheetId="1">'[1]Phase 15'!$D$43</definedName>
    <definedName name="E15BASEA4">'Phase 15'!$D$43</definedName>
    <definedName name="E15BASEB1" localSheetId="1">'[1]Phase 15'!$K$43</definedName>
    <definedName name="E15BASEB1">'Phase 15'!$K$43</definedName>
    <definedName name="E15BASEB2" localSheetId="1">'[1]Phase 15'!$J$43</definedName>
    <definedName name="E15BASEB2">'Phase 15'!$J$43</definedName>
    <definedName name="E15BASEB3" localSheetId="1">'[1]Phase 15'!$I$43</definedName>
    <definedName name="E15BASEB3">'Phase 15'!$I$43</definedName>
    <definedName name="E15BASEB4" localSheetId="1">'[1]Phase 15'!$H$43</definedName>
    <definedName name="E15BASEB4">'Phase 15'!$H$43</definedName>
    <definedName name="E15BASEC1" localSheetId="1">'[1]Phase 15'!$O$43</definedName>
    <definedName name="E15BASEC1">'Phase 15'!$O$43</definedName>
    <definedName name="E15BASEC2" localSheetId="1">'[1]Phase 15'!$N$43</definedName>
    <definedName name="E15BASEC2">'Phase 15'!$N$43</definedName>
    <definedName name="E15BASEC3" localSheetId="1">'[1]Phase 15'!$M$43</definedName>
    <definedName name="E15BASEC3">'Phase 15'!$M$43</definedName>
    <definedName name="E15BASEC4" localSheetId="1">'[1]Phase 15'!$L$43</definedName>
    <definedName name="E15BASEC4">'Phase 15'!$L$43</definedName>
    <definedName name="E15BASED1" localSheetId="1">'[1]Phase 15'!$S$43</definedName>
    <definedName name="E15BASED1">'Phase 15'!$S$43</definedName>
    <definedName name="E15BASED2" localSheetId="1">'[1]Phase 15'!$R$43</definedName>
    <definedName name="E15BASED2">'Phase 15'!$R$43</definedName>
    <definedName name="E15BASED3" localSheetId="1">'[1]Phase 15'!$Q$43</definedName>
    <definedName name="E15BASED3">'Phase 15'!$Q$43</definedName>
    <definedName name="E15BASED4" localSheetId="1">'[1]Phase 15'!$P$43</definedName>
    <definedName name="E15BASED4">'Phase 15'!$P$43</definedName>
    <definedName name="E15BASEE1" localSheetId="1">'[1]Phase 15'!$W$43</definedName>
    <definedName name="E15BASEE1">'Phase 15'!$W$43</definedName>
    <definedName name="E15BASEE2" localSheetId="1">'[1]Phase 15'!$V$43</definedName>
    <definedName name="E15BASEE2">'Phase 15'!$V$43</definedName>
    <definedName name="E15BASEE3" localSheetId="1">'[1]Phase 15'!$U$43</definedName>
    <definedName name="E15BASEE3">'Phase 15'!$U$43</definedName>
    <definedName name="E15BASEE4" localSheetId="1">'[1]Phase 15'!$T$43</definedName>
    <definedName name="E15BASEE4">'Phase 15'!$T$43</definedName>
    <definedName name="E15BASEF1" localSheetId="1">'[1]Phase 15'!$AA$43</definedName>
    <definedName name="E15BASEF1">'Phase 15'!$AA$43</definedName>
    <definedName name="E15BASEF2" localSheetId="1">'[1]Phase 15'!$Z$43</definedName>
    <definedName name="E15BASEF2">'Phase 15'!$Z$43</definedName>
    <definedName name="E15BASEF3" localSheetId="1">'[1]Phase 15'!$Y$43</definedName>
    <definedName name="E15BASEF3">'Phase 15'!$Y$43</definedName>
    <definedName name="E15BASEF4" localSheetId="1">'[1]Phase 15'!$X$43</definedName>
    <definedName name="E15BASEF4">'Phase 15'!$X$43</definedName>
    <definedName name="E15BASEG1" localSheetId="1">'[1]Phase 15'!$AE$43</definedName>
    <definedName name="E15BASEG1">'Phase 15'!$AE$43</definedName>
    <definedName name="E15BASEG2" localSheetId="1">'[1]Phase 15'!$AD$43</definedName>
    <definedName name="E15BASEG2">'Phase 15'!$AD$43</definedName>
    <definedName name="E15BASEG3" localSheetId="1">'[1]Phase 15'!$AC$43</definedName>
    <definedName name="E15BASEG3">'Phase 15'!$AC$43</definedName>
    <definedName name="E15BASEG4" localSheetId="1">'[1]Phase 15'!$AB$43</definedName>
    <definedName name="E15BASEG4">'Phase 15'!$AB$43</definedName>
    <definedName name="E15C" localSheetId="1">'[1]Subcontractors List'!$N$127</definedName>
    <definedName name="E15C">'Subcontractors List'!$N$127</definedName>
    <definedName name="E15CommunicationFee" localSheetId="1">'[1]Budget Detail'!$AI$39</definedName>
    <definedName name="E15CommunicationFee">'Budget Detail'!$AI$39</definedName>
    <definedName name="E15DirectLaborAA45">'Phase 15'!$AA$45</definedName>
    <definedName name="E15DirectLaborAB45">'Phase 15'!$AB$45</definedName>
    <definedName name="E15DirectLaborAC45">'Phase 15'!$AC$45</definedName>
    <definedName name="E15DirectLaborAD45">'Phase 15'!$AD$45</definedName>
    <definedName name="E15DirectLaborAE45">'Phase 15'!$AE$45</definedName>
    <definedName name="E15DirectLaborD45">'Phase 15'!$D$45</definedName>
    <definedName name="E15DirectLaborE45">'Phase 15'!$E$45</definedName>
    <definedName name="E15DirectLaborF45">'Phase 15'!$F$45</definedName>
    <definedName name="E15DirectLaborG45">'Phase 15'!$G$45</definedName>
    <definedName name="E15DirectLaborH45">'Phase 15'!$H$45</definedName>
    <definedName name="E15DirectLaborI45">'Phase 15'!$I$45</definedName>
    <definedName name="E15DirectLaborJ45">'Phase 15'!$J$45</definedName>
    <definedName name="E15DirectLaborK45">'Phase 15'!$K$45</definedName>
    <definedName name="E15DirectLaborL45">'Phase 15'!$L$45</definedName>
    <definedName name="E15DirectLaborM45">'Phase 15'!$M$45</definedName>
    <definedName name="E15DirectLaborN45">'Phase 15'!$N$45</definedName>
    <definedName name="E15DirectLaborO45">'Phase 15'!$O$45</definedName>
    <definedName name="E15DirectLaborP45">'Phase 15'!$P$45</definedName>
    <definedName name="E15DirectLaborQ45">'Phase 15'!$Q$45</definedName>
    <definedName name="E15DirectLaborR45">'Phase 15'!$R$45</definedName>
    <definedName name="E15DirectLaborS45">'Phase 15'!$S$45</definedName>
    <definedName name="E15DirectLaborT45">'Phase 15'!$T$45</definedName>
    <definedName name="E15DirectLaborTotal" localSheetId="1">'[1]Phase 15'!$AG$35</definedName>
    <definedName name="E15DirectLaborTotal">'Phase 15'!$AG$35</definedName>
    <definedName name="E15DirectLaborU45">'Phase 15'!$U$45</definedName>
    <definedName name="E15DirectLaborV45">'Phase 15'!$V$45</definedName>
    <definedName name="E15DirectLaborW45">'Phase 15'!$W$45</definedName>
    <definedName name="E15DirectLaborX45">'Phase 15'!$X$45</definedName>
    <definedName name="E15DirectLaborY45">'Phase 15'!$Y$45</definedName>
    <definedName name="E15DirectLaborZ45">'Phase 15'!$Z$45</definedName>
    <definedName name="E15EndTotal">'Phase 15'!$AG$28</definedName>
    <definedName name="E15EquipmentTotal" localSheetId="1">'[1]Budget Detail'!$AI$73</definedName>
    <definedName name="E15EquipmentTotal">'Budget Detail'!$AI$73</definedName>
    <definedName name="E15ETransfer" localSheetId="1">'[1]Standard Equipment &amp; Supplies'!$G$202</definedName>
    <definedName name="E15ETransfer">'Standard Equipment &amp; Supplies'!$G$202</definedName>
    <definedName name="E15ExpenseTotal" localSheetId="1">'[1]Budget Detail'!$AI$80</definedName>
    <definedName name="E15ExpenseTotal">'Budget Detail'!$AI$80</definedName>
    <definedName name="E15GEN" localSheetId="1">'[1]Subcontractors List'!$N$122</definedName>
    <definedName name="E15GEN">'Subcontractors List'!$N$122</definedName>
    <definedName name="E15InsuranceFee" localSheetId="1">'[1]Budget Detail'!$AI$82</definedName>
    <definedName name="E15InsuranceFee">'Budget Detail'!$AI$82</definedName>
    <definedName name="E15LaborTotal" localSheetId="1">'[1]Budget Detail'!$AI$38</definedName>
    <definedName name="E15LaborTotal">'Budget Detail'!$AI$38</definedName>
    <definedName name="E15LabTotal" localSheetId="1">'[1]Budget Detail'!$AI$60</definedName>
    <definedName name="E15LabTotal">'Budget Detail'!$AI$60</definedName>
    <definedName name="E15LTransfer" localSheetId="1">'[1]Travel Charges'!$W$86</definedName>
    <definedName name="E15LTransfer">'Travel Charges'!$W$86</definedName>
    <definedName name="E15M" localSheetId="1">'[1]Subcontractors List'!$N$126</definedName>
    <definedName name="E15M">'Subcontractors List'!$N$126</definedName>
    <definedName name="E15MTransfer" localSheetId="1">'[1]Travel Charges'!$W$85</definedName>
    <definedName name="E15MTransfer">'Travel Charges'!$W$85</definedName>
    <definedName name="E15O" localSheetId="1">'[1]Other Supplies &amp; Rental List'!$N$52</definedName>
    <definedName name="E15O">'Other Supplies &amp; Rental List'!$N$52</definedName>
    <definedName name="E15OTHER" localSheetId="1">'[1]Subcontractors List'!$N$125</definedName>
    <definedName name="E15OTHER">'Subcontractors List'!$N$125</definedName>
    <definedName name="E15OverheadAA46">'Phase 15'!$AA$46</definedName>
    <definedName name="E15OverheadAB46">'Phase 15'!$AB$46</definedName>
    <definedName name="E15OverheadAC46">'Phase 15'!$AC$46</definedName>
    <definedName name="E15OverheadAD46">'Phase 15'!$AD$46</definedName>
    <definedName name="E15OverheadAE46">'Phase 15'!$AE$46</definedName>
    <definedName name="E15OverheadD46">'Phase 15'!$D$46</definedName>
    <definedName name="E15OverheadE46">'Phase 15'!$E$46</definedName>
    <definedName name="E15OverheadF46">'Phase 15'!$F$46</definedName>
    <definedName name="E15OverheadG46">'Phase 15'!$G$46</definedName>
    <definedName name="E15OverheadH46">'Phase 15'!$H$46</definedName>
    <definedName name="E15OverheadI46">'Phase 15'!$I$46</definedName>
    <definedName name="E15OverheadJ46">'Phase 15'!$J$46</definedName>
    <definedName name="E15OverheadK46">'Phase 15'!$K$46</definedName>
    <definedName name="E15OverheadL46">'Phase 15'!$L$46</definedName>
    <definedName name="E15OverheadM46">'Phase 15'!$M$46</definedName>
    <definedName name="E15OverheadN46">'Phase 15'!$N$46</definedName>
    <definedName name="E15OverheadO46">'Phase 15'!$O$46</definedName>
    <definedName name="E15OverheadP46">'Phase 15'!$P$46</definedName>
    <definedName name="E15OverheadQ46">'Phase 15'!$Q$46</definedName>
    <definedName name="E15OverheadR46">'Phase 15'!$R$46</definedName>
    <definedName name="E15OverheadS46">'Phase 15'!$S$46</definedName>
    <definedName name="E15OverheadT46">'Phase 15'!$T$46</definedName>
    <definedName name="E15OverheadTotal" localSheetId="1">'[1]Phase 15'!$AG$37</definedName>
    <definedName name="E15OverheadTotal">'Phase 15'!$AG$37</definedName>
    <definedName name="E15OverheadU46">'Phase 15'!$U$46</definedName>
    <definedName name="E15OverheadV46">'Phase 15'!$V$46</definedName>
    <definedName name="E15OverheadW46">'Phase 15'!$W$46</definedName>
    <definedName name="E15OverheadX46">'Phase 15'!$X$46</definedName>
    <definedName name="E15OverheadY46">'Phase 15'!$Y$46</definedName>
    <definedName name="E15OverheadZ46">'Phase 15'!$Z$46</definedName>
    <definedName name="E15OVTransfer" localSheetId="1">'[1]Travel Charges'!$W$84</definedName>
    <definedName name="E15OVTransfer">'Travel Charges'!$W$84</definedName>
    <definedName name="E15R" localSheetId="1">'[1]Other Supplies &amp; Rental List'!$N$50</definedName>
    <definedName name="E15R">'Other Supplies &amp; Rental List'!$N$50</definedName>
    <definedName name="E15RateA1Total" localSheetId="1">'[1]Budget Detail'!$BQ$12</definedName>
    <definedName name="E15RateA1Total">'Budget Detail'!$BQ$12</definedName>
    <definedName name="E15RateA2Total" localSheetId="1">'[1]Budget Detail'!$BQ$11</definedName>
    <definedName name="E15RateA2Total">'Budget Detail'!$BQ$11</definedName>
    <definedName name="E15RateA3Total" localSheetId="1">'[1]Budget Detail'!$BQ$10</definedName>
    <definedName name="E15RateA3Total">'Budget Detail'!$BQ$10</definedName>
    <definedName name="E15RateA4Total" localSheetId="1">'[1]Budget Detail'!$BQ$9</definedName>
    <definedName name="E15RateA4Total">'Budget Detail'!$BQ$9</definedName>
    <definedName name="E15RateB1Total" localSheetId="1">'[1]Budget Detail'!$BQ$16</definedName>
    <definedName name="E15RateB1Total">'Budget Detail'!$BQ$16</definedName>
    <definedName name="E15RateB2Total" localSheetId="1">'[1]Budget Detail'!$BQ$15</definedName>
    <definedName name="E15RateB2Total">'Budget Detail'!$BQ$15</definedName>
    <definedName name="E15RateB3Total" localSheetId="1">'[1]Budget Detail'!$BQ$14</definedName>
    <definedName name="E15RateB3Total">'Budget Detail'!$BQ$14</definedName>
    <definedName name="E15RateB4Total" localSheetId="1">'[1]Budget Detail'!$BQ$13</definedName>
    <definedName name="E15RateB4Total">'Budget Detail'!$BQ$13</definedName>
    <definedName name="E15RateC1Total" localSheetId="1">'[1]Budget Detail'!$BQ$20</definedName>
    <definedName name="E15RateC1Total">'Budget Detail'!$BQ$20</definedName>
    <definedName name="E15RateC2Total" localSheetId="1">'[1]Budget Detail'!$BQ$19</definedName>
    <definedName name="E15RateC2Total">'Budget Detail'!$BQ$19</definedName>
    <definedName name="E15RateC3Total" localSheetId="1">'[1]Budget Detail'!$BQ$18</definedName>
    <definedName name="E15RateC3Total">'Budget Detail'!$BQ$18</definedName>
    <definedName name="E15RateC4Total" localSheetId="1">'[1]Budget Detail'!$BQ$17</definedName>
    <definedName name="E15RateC4Total">'Budget Detail'!$BQ$17</definedName>
    <definedName name="E15RateD1Total" localSheetId="1">'[1]Budget Detail'!$BQ$24</definedName>
    <definedName name="E15RateD1Total">'Budget Detail'!$BQ$24</definedName>
    <definedName name="E15RateD2Total" localSheetId="1">'[1]Budget Detail'!$BQ$23</definedName>
    <definedName name="E15RateD2Total">'Budget Detail'!$BQ$23</definedName>
    <definedName name="E15RateD3Total" localSheetId="1">'[1]Budget Detail'!$BQ$22</definedName>
    <definedName name="E15RateD3Total">'Budget Detail'!$BQ$22</definedName>
    <definedName name="E15RateD4Total" localSheetId="1">'[1]Budget Detail'!$BQ$21</definedName>
    <definedName name="E15RateD4Total">'Budget Detail'!$BQ$21</definedName>
    <definedName name="E15RateE1Total" localSheetId="1">'[1]Budget Detail'!$BQ$28</definedName>
    <definedName name="E15RateE1Total">'Budget Detail'!$BQ$28</definedName>
    <definedName name="E15RateE2Total" localSheetId="1">'[1]Budget Detail'!$BQ$27</definedName>
    <definedName name="E15RateE2Total">'Budget Detail'!$BQ$27</definedName>
    <definedName name="E15RateE3Total" localSheetId="1">'[1]Budget Detail'!$BQ$26</definedName>
    <definedName name="E15RateE3Total">'Budget Detail'!$BQ$26</definedName>
    <definedName name="E15RateE4Total" localSheetId="1">'[1]Budget Detail'!$BQ$25</definedName>
    <definedName name="E15RateE4Total">'Budget Detail'!$BQ$25</definedName>
    <definedName name="E15RateF1Total" localSheetId="1">'[1]Budget Detail'!$BQ$32</definedName>
    <definedName name="E15RateF1Total">'Budget Detail'!$BQ$32</definedName>
    <definedName name="E15RateF2Total" localSheetId="1">'[1]Budget Detail'!$BQ$31</definedName>
    <definedName name="E15RateF2Total">'Budget Detail'!$BQ$31</definedName>
    <definedName name="E15RateF3Total" localSheetId="1">'[1]Budget Detail'!$BQ$30</definedName>
    <definedName name="E15RateF3Total">'Budget Detail'!$BQ$30</definedName>
    <definedName name="E15RateF4Total" localSheetId="1">'[1]Budget Detail'!$BQ$29</definedName>
    <definedName name="E15RateF4Total">'Budget Detail'!$BQ$29</definedName>
    <definedName name="E15RateG1Total" localSheetId="1">'[1]Budget Detail'!$BQ$36</definedName>
    <definedName name="E15RateG1Total">'Budget Detail'!$BQ$36</definedName>
    <definedName name="E15RateG2Total" localSheetId="1">'[1]Budget Detail'!$BQ$35</definedName>
    <definedName name="E15RateG2Total">'Budget Detail'!$BQ$35</definedName>
    <definedName name="E15RateG3Total" localSheetId="1">'[1]Budget Detail'!$BQ$34</definedName>
    <definedName name="E15RateG3Total">'Budget Detail'!$BQ$34</definedName>
    <definedName name="E15RateG4Total" localSheetId="1">'[1]Budget Detail'!$BQ$33</definedName>
    <definedName name="E15RateG4Total">'Budget Detail'!$BQ$33</definedName>
    <definedName name="E15REM" localSheetId="1">'[1]Subcontractors List'!$N$121</definedName>
    <definedName name="E15REM">'Subcontractors List'!$N$121</definedName>
    <definedName name="E15RVTransfer" localSheetId="1">'[1]Travel Charges'!$W$83</definedName>
    <definedName name="E15RVTransfer">'Travel Charges'!$W$83</definedName>
    <definedName name="E15S" localSheetId="1">'[1]Other Supplies &amp; Rental List'!$N$51</definedName>
    <definedName name="E15S">'Other Supplies &amp; Rental List'!$N$51</definedName>
    <definedName name="E15SI" localSheetId="1">'[1]Subcontractors List'!$N$124</definedName>
    <definedName name="E15SI">'Subcontractors List'!$N$124</definedName>
    <definedName name="E15STransfer" localSheetId="1">'[1]Standard Equipment &amp; Supplies'!$G$203</definedName>
    <definedName name="E15STransfer">'Standard Equipment &amp; Supplies'!$G$203</definedName>
    <definedName name="E15SubsTotal" localSheetId="1">'[1]Budget Detail'!$AI$70</definedName>
    <definedName name="E15SubsTotal">'Budget Detail'!$AI$70</definedName>
    <definedName name="E15TravelTotal" localSheetId="1">'[1]Budget Detail'!$AI$50</definedName>
    <definedName name="E15TravelTotal">'Budget Detail'!$AI$50</definedName>
    <definedName name="E15WH" localSheetId="1">'[1]Subcontractors List'!$N$123</definedName>
    <definedName name="E15WH">'Subcontractors List'!$N$123</definedName>
    <definedName name="E16ADDA1">'Budget Detail'!$DH$12</definedName>
    <definedName name="E16ADDA2">'Budget Detail'!$DH$11</definedName>
    <definedName name="E16ADDA3">'Budget Detail'!$DH$10</definedName>
    <definedName name="E16ADDA4">'Budget Detail'!$DH$9</definedName>
    <definedName name="E16ADDB1">'Budget Detail'!$DH$16</definedName>
    <definedName name="E16ADDB2">'Budget Detail'!$DH$15</definedName>
    <definedName name="E16ADDB3">'Budget Detail'!$DH$14</definedName>
    <definedName name="E16ADDB4">'Budget Detail'!$DH$13</definedName>
    <definedName name="E16ADDC1">'Budget Detail'!$DH$20</definedName>
    <definedName name="E16ADDC2">'Budget Detail'!$DH$19</definedName>
    <definedName name="E16ADDC3">'Budget Detail'!$DH$18</definedName>
    <definedName name="E16ADDC4">'Budget Detail'!$DH$17</definedName>
    <definedName name="E16ADDD1">'Budget Detail'!$DH$24</definedName>
    <definedName name="E16ADDD2">'Budget Detail'!$DH$23</definedName>
    <definedName name="E16ADDD3">'Budget Detail'!$DH$22</definedName>
    <definedName name="E16ADDD4">'Budget Detail'!$DH$21</definedName>
    <definedName name="E16ADDE1">'Budget Detail'!$DH$28</definedName>
    <definedName name="E16ADDE2">'Budget Detail'!$DH$27</definedName>
    <definedName name="E16ADDE3">'Budget Detail'!$DH$26</definedName>
    <definedName name="E16ADDE4">'Budget Detail'!$DH$25</definedName>
    <definedName name="E16ADDF1">'Budget Detail'!$DH$32</definedName>
    <definedName name="E16ADDF2">'Budget Detail'!$DH$31</definedName>
    <definedName name="E16ADDF3">'Budget Detail'!$DH$30</definedName>
    <definedName name="E16ADDF4">'Budget Detail'!$DH$29</definedName>
    <definedName name="E16ADDG1">'Budget Detail'!$DH$36</definedName>
    <definedName name="E16ADDG2">'Budget Detail'!$DH$35</definedName>
    <definedName name="E16ADDG3">'Budget Detail'!$DH$34</definedName>
    <definedName name="E16ADDG4">'Budget Detail'!$DH$33</definedName>
    <definedName name="E16ATransfer" localSheetId="1">'[1]Travel Charges'!$G$117</definedName>
    <definedName name="E16ATransfer">'Travel Charges'!$G$117</definedName>
    <definedName name="E16B" localSheetId="1">'[1]Subcontractors List'!$N$128</definedName>
    <definedName name="E16B">'Subcontractors List'!$N$128</definedName>
    <definedName name="E16BASEA1" localSheetId="1">'[1]Phase 16'!$G$43</definedName>
    <definedName name="E16BASEA1">'Phase 16'!$G$44</definedName>
    <definedName name="E16BASEA2" localSheetId="1">'[1]Phase 16'!$F$43</definedName>
    <definedName name="E16BASEA2">'Phase 16'!$F$44</definedName>
    <definedName name="E16BASEA3" localSheetId="1">'[1]Phase 16'!$E$43</definedName>
    <definedName name="E16BASEA3">'Phase 16'!$E$44</definedName>
    <definedName name="E16BASEA4" localSheetId="1">'[1]Phase 16'!$D$43</definedName>
    <definedName name="E16BASEA4">'Phase 16'!$D$44</definedName>
    <definedName name="E16BASEB1" localSheetId="1">'[1]Phase 16'!$K$43</definedName>
    <definedName name="E16BASEB1">'Phase 16'!$K$44</definedName>
    <definedName name="E16BASEB2" localSheetId="1">'[1]Phase 16'!$J$43</definedName>
    <definedName name="E16BASEB2">'Phase 16'!$J$44</definedName>
    <definedName name="E16BASEB3" localSheetId="1">'[1]Phase 16'!$I$43</definedName>
    <definedName name="E16BASEB3">'Phase 16'!$I$44</definedName>
    <definedName name="E16BASEB4" localSheetId="1">'[1]Phase 16'!$H$43</definedName>
    <definedName name="E16BASEB4">'Phase 16'!$H$44</definedName>
    <definedName name="E16BASEC1" localSheetId="1">'[1]Phase 16'!$O$43</definedName>
    <definedName name="E16BASEC1">'Phase 16'!$O$44</definedName>
    <definedName name="E16BASEC2" localSheetId="1">'[1]Phase 16'!$N$43</definedName>
    <definedName name="E16BASEC2">'Phase 16'!$N$44</definedName>
    <definedName name="E16BASEC3" localSheetId="1">'[1]Phase 16'!$M$43</definedName>
    <definedName name="E16BASEC3">'Phase 16'!$M$44</definedName>
    <definedName name="E16BASEC4" localSheetId="1">'[1]Phase 16'!$L$43</definedName>
    <definedName name="E16BASEC4">'Phase 16'!$L$44</definedName>
    <definedName name="E16BASED1" localSheetId="1">'[1]Phase 16'!$S$43</definedName>
    <definedName name="E16BASED1">'Phase 16'!$S$44</definedName>
    <definedName name="E16BASED2" localSheetId="1">'[1]Phase 16'!$R$43</definedName>
    <definedName name="E16BASED2">'Phase 16'!$R$44</definedName>
    <definedName name="E16BASED3" localSheetId="1">'[1]Phase 16'!$Q$43</definedName>
    <definedName name="E16BASED3">'Phase 16'!$Q$44</definedName>
    <definedName name="E16BASED4" localSheetId="1">'[1]Phase 16'!$P$43</definedName>
    <definedName name="E16BASED4">'Phase 16'!$P$44</definedName>
    <definedName name="E16BASEE1" localSheetId="1">'[1]Phase 16'!$W$43</definedName>
    <definedName name="E16BASEE1">'Phase 16'!$W$44</definedName>
    <definedName name="E16BASEE2" localSheetId="1">'[1]Phase 16'!$V$43</definedName>
    <definedName name="E16BASEE2">'Phase 16'!$V$44</definedName>
    <definedName name="E16BASEE3" localSheetId="1">'[1]Phase 16'!$U$43</definedName>
    <definedName name="E16BASEE3">'Phase 16'!$U$44</definedName>
    <definedName name="E16BASEE4" localSheetId="1">'[1]Phase 16'!$T$43</definedName>
    <definedName name="E16BASEE4">'Phase 16'!$T$44</definedName>
    <definedName name="E16BASEF1" localSheetId="1">'[1]Phase 16'!$AA$43</definedName>
    <definedName name="E16BASEF1">'Phase 16'!$AA$44</definedName>
    <definedName name="E16BASEF2" localSheetId="1">'[1]Phase 16'!$Z$43</definedName>
    <definedName name="E16BASEF2">'Phase 16'!$Z$44</definedName>
    <definedName name="E16BASEF3" localSheetId="1">'[1]Phase 16'!$Y$43</definedName>
    <definedName name="E16BASEF3">'Phase 16'!$Y$44</definedName>
    <definedName name="E16BASEF4" localSheetId="1">'[1]Phase 16'!$X$43</definedName>
    <definedName name="E16BASEF4">'Phase 16'!$X$44</definedName>
    <definedName name="E16BASEG1" localSheetId="1">'[1]Phase 16'!$AE$43</definedName>
    <definedName name="E16BASEG1">'Phase 16'!$AE$44</definedName>
    <definedName name="E16BASEG2" localSheetId="1">'[1]Phase 16'!$AD$43</definedName>
    <definedName name="E16BASEG2">'Phase 16'!$AD$44</definedName>
    <definedName name="E16BASEG3" localSheetId="1">'[1]Phase 16'!$AC$43</definedName>
    <definedName name="E16BASEG3">'Phase 16'!$AC$44</definedName>
    <definedName name="E16BASEG4" localSheetId="1">'[1]Phase 16'!$AB$43</definedName>
    <definedName name="E16BASEG4">'Phase 16'!$AB$44</definedName>
    <definedName name="E16C" localSheetId="1">'[1]Subcontractors List'!$N$135</definedName>
    <definedName name="E16C">'Subcontractors List'!$N$135</definedName>
    <definedName name="E16CommunicationFee" localSheetId="1">'[1]Budget Detail'!$AK$39</definedName>
    <definedName name="E16CommunicationFee">'Budget Detail'!$AK$39</definedName>
    <definedName name="E16DirectLaborAA45">'Phase 16'!$AA$46</definedName>
    <definedName name="E16DirectLaborAB45">'Phase 16'!$AB$46</definedName>
    <definedName name="E16DirectLaborAC45">'Phase 16'!$AC$46</definedName>
    <definedName name="E16DirectLaborAD45">'Phase 16'!$AD$46</definedName>
    <definedName name="E16DirectLaborAE45">'Phase 16'!$AE$46</definedName>
    <definedName name="E16DirectLaborD45">'Phase 16'!$D$46</definedName>
    <definedName name="E16DirectLaborE45">'Phase 16'!$E$46</definedName>
    <definedName name="E16DirectLaborF45">'Phase 16'!$F$46</definedName>
    <definedName name="E16DirectLaborG45">'Phase 16'!$G$46</definedName>
    <definedName name="E16DirectLaborH45">'Phase 16'!$H$46</definedName>
    <definedName name="E16DirectLaborI45">'Phase 16'!$I$46</definedName>
    <definedName name="E16DirectLaborJ45">'Phase 16'!$J$46</definedName>
    <definedName name="E16DirectLaborK45">'Phase 16'!$K$46</definedName>
    <definedName name="E16DirectLaborL45">'Phase 16'!$L$46</definedName>
    <definedName name="E16DirectLaborM45">'Phase 16'!$M$46</definedName>
    <definedName name="E16DirectLaborN45">'Phase 16'!$N$46</definedName>
    <definedName name="E16DirectLaborO45">'Phase 16'!$O$46</definedName>
    <definedName name="E16DirectLaborP45">'Phase 16'!$P$46</definedName>
    <definedName name="E16DirectLaborQ45">'Phase 16'!$Q$46</definedName>
    <definedName name="E16DirectLaborR45">'Phase 16'!$R$46</definedName>
    <definedName name="E16DirectLaborS45">'Phase 16'!$S$46</definedName>
    <definedName name="E16DirectLaborT45">'Phase 16'!$T$46</definedName>
    <definedName name="E16DirectLaborTotal" localSheetId="1">'[1]Phase 16'!$AG$35</definedName>
    <definedName name="E16DirectLaborTotal">'Phase 16'!$AG$36</definedName>
    <definedName name="E16DirectLaborU45">'Phase 16'!$U$46</definedName>
    <definedName name="E16DirectLaborV45">'Phase 16'!$V$46</definedName>
    <definedName name="E16DirectLaborW45">'Phase 16'!$W$46</definedName>
    <definedName name="E16DirectLaborX45">'Phase 16'!$X$46</definedName>
    <definedName name="E16DirectLaborY45">'Phase 16'!$Y$46</definedName>
    <definedName name="E16DirectLaborZ45">'Phase 16'!$Z$46</definedName>
    <definedName name="E16EndTotal">'Phase 16'!$AG$29</definedName>
    <definedName name="E16EquipmentTotal" localSheetId="1">'[1]Budget Detail'!$AK$73</definedName>
    <definedName name="E16EquipmentTotal">'Budget Detail'!$AK$73</definedName>
    <definedName name="E16ETransfer" localSheetId="1">'[1]Standard Equipment &amp; Supplies'!$G$205</definedName>
    <definedName name="E16ETransfer">'Standard Equipment &amp; Supplies'!$G$205</definedName>
    <definedName name="E16ExpenseTotal" localSheetId="1">'[1]Budget Detail'!$AK$80</definedName>
    <definedName name="E16ExpenseTotal">'Budget Detail'!$AK$80</definedName>
    <definedName name="E16GEN" localSheetId="1">'[1]Subcontractors List'!$N$130</definedName>
    <definedName name="E16GEN">'Subcontractors List'!$N$130</definedName>
    <definedName name="E16InsuranceFee" localSheetId="1">'[1]Budget Detail'!$AK$82</definedName>
    <definedName name="E16InsuranceFee">'Budget Detail'!$AK$82</definedName>
    <definedName name="E16LaborTotal" localSheetId="1">'[1]Budget Detail'!$AK$38</definedName>
    <definedName name="E16LaborTotal">'Budget Detail'!$AK$38</definedName>
    <definedName name="E16LabTotal" localSheetId="1">'[1]Budget Detail'!$AK$60</definedName>
    <definedName name="E16LabTotal">'Budget Detail'!$AK$60</definedName>
    <definedName name="E16LTransfer" localSheetId="1">'[1]Travel Charges'!$G$116</definedName>
    <definedName name="E16LTransfer">'Travel Charges'!$G$116</definedName>
    <definedName name="E16M" localSheetId="1">'[1]Subcontractors List'!$N$134</definedName>
    <definedName name="E16M">'Subcontractors List'!$N$134</definedName>
    <definedName name="E16MTransfer" localSheetId="1">'[1]Travel Charges'!$G$115</definedName>
    <definedName name="E16MTransfer">'Travel Charges'!$G$115</definedName>
    <definedName name="E16O" localSheetId="1">'[1]Other Supplies &amp; Rental List'!$N$55</definedName>
    <definedName name="E16O">'Other Supplies &amp; Rental List'!$N$55</definedName>
    <definedName name="E16OTHER" localSheetId="1">'[1]Subcontractors List'!$N$133</definedName>
    <definedName name="E16OTHER">'Subcontractors List'!$N$133</definedName>
    <definedName name="E16OverheadAA46">'Phase 16'!$AA$47</definedName>
    <definedName name="E16OverheadAB46">'Phase 16'!$AB$47</definedName>
    <definedName name="E16OverheadAC46">'Phase 16'!$AC$47</definedName>
    <definedName name="E16OverheadAD46">'Phase 16'!$AD$47</definedName>
    <definedName name="E16OverheadAE46">'Phase 16'!$AE$47</definedName>
    <definedName name="E16OverheadD46">'Phase 16'!$D$47</definedName>
    <definedName name="E16OverheadE46">'Phase 16'!$E$47</definedName>
    <definedName name="E16OverheadF46">'Phase 16'!$F$47</definedName>
    <definedName name="E16OverheadG46">'Phase 16'!$G$47</definedName>
    <definedName name="E16OverheadH46">'Phase 16'!$H$47</definedName>
    <definedName name="E16OverheadI46">'Phase 16'!$I$47</definedName>
    <definedName name="E16OverheadJ46">'Phase 16'!$J$47</definedName>
    <definedName name="E16OverheadK46">'Phase 16'!$K$47</definedName>
    <definedName name="E16OverheadL46">'Phase 16'!$L$47</definedName>
    <definedName name="E16OverheadM46">'Phase 16'!$M$47</definedName>
    <definedName name="E16OverheadN46">'Phase 16'!$N$47</definedName>
    <definedName name="E16OverheadO46">'Phase 16'!$O$47</definedName>
    <definedName name="E16OverheadP46">'Phase 16'!$P$47</definedName>
    <definedName name="E16OverheadQ46">'Phase 16'!$Q$47</definedName>
    <definedName name="E16OverheadR46">'Phase 16'!$R$47</definedName>
    <definedName name="E16OverheadS46">'Phase 16'!$S$47</definedName>
    <definedName name="E16OverheadT46">'Phase 16'!$T$47</definedName>
    <definedName name="E16OverheadTotal" localSheetId="1">'[1]Phase 16'!$AG$37</definedName>
    <definedName name="E16OverheadTotal">'Phase 16'!$AG$38</definedName>
    <definedName name="E16OverheadU46">'Phase 16'!$U$47</definedName>
    <definedName name="E16OverheadV46">'Phase 16'!$V$47</definedName>
    <definedName name="E16OverheadW46">'Phase 16'!$W$47</definedName>
    <definedName name="E16OverheadX46">'Phase 16'!$X$47</definedName>
    <definedName name="E16OverheadY46">'Phase 16'!$Y$47</definedName>
    <definedName name="E16OverheadZ46">'Phase 16'!$Z$47</definedName>
    <definedName name="E16OVTransfer" localSheetId="1">'[1]Travel Charges'!$G$114</definedName>
    <definedName name="E16OVTransfer">'Travel Charges'!$G$114</definedName>
    <definedName name="E16R" localSheetId="1">'[1]Other Supplies &amp; Rental List'!$N$53</definedName>
    <definedName name="E16R">'Other Supplies &amp; Rental List'!$N$53</definedName>
    <definedName name="E16RateA1Total" localSheetId="1">'[1]Budget Detail'!$BR$12</definedName>
    <definedName name="E16RateA1Total">'Budget Detail'!$BR$12</definedName>
    <definedName name="E16RateA2Total" localSheetId="1">'[1]Budget Detail'!$BR$11</definedName>
    <definedName name="E16RateA2Total">'Budget Detail'!$BR$11</definedName>
    <definedName name="E16RateA3Total" localSheetId="1">'[1]Budget Detail'!$BR$10</definedName>
    <definedName name="E16RateA3Total">'Budget Detail'!$BR$10</definedName>
    <definedName name="E16RateA4Total" localSheetId="1">'[1]Budget Detail'!$BR$9</definedName>
    <definedName name="E16RateA4Total">'Budget Detail'!$BR$9</definedName>
    <definedName name="E16RateB1Total" localSheetId="1">'[1]Budget Detail'!$BR$16</definedName>
    <definedName name="E16RateB1Total">'Budget Detail'!$BR$16</definedName>
    <definedName name="E16RateB2Total" localSheetId="1">'[1]Budget Detail'!$BR$15</definedName>
    <definedName name="E16RateB2Total">'Budget Detail'!$BR$15</definedName>
    <definedName name="E16RateB3Total" localSheetId="1">'[1]Budget Detail'!$BR$14</definedName>
    <definedName name="E16RateB3Total">'Budget Detail'!$BR$14</definedName>
    <definedName name="E16RateB4Total" localSheetId="1">'[1]Budget Detail'!$BR$13</definedName>
    <definedName name="E16RateB4Total">'Budget Detail'!$BR$13</definedName>
    <definedName name="E16RateC1Total" localSheetId="1">'[1]Budget Detail'!$BR$20</definedName>
    <definedName name="E16RateC1Total">'Budget Detail'!$BR$20</definedName>
    <definedName name="E16RateC2Total" localSheetId="1">'[1]Budget Detail'!$BR$19</definedName>
    <definedName name="E16RateC2Total">'Budget Detail'!$BR$19</definedName>
    <definedName name="E16RateC3Total" localSheetId="1">'[1]Budget Detail'!$BR$18</definedName>
    <definedName name="E16RateC3Total">'Budget Detail'!$BR$18</definedName>
    <definedName name="E16RateC4Total" localSheetId="1">'[1]Budget Detail'!$BR$17</definedName>
    <definedName name="E16RateC4Total">'Budget Detail'!$BR$17</definedName>
    <definedName name="E16RateD1Total" localSheetId="1">'[1]Budget Detail'!$BR$24</definedName>
    <definedName name="E16RateD1Total">'Budget Detail'!$BR$24</definedName>
    <definedName name="E16RateD2Total" localSheetId="1">'[1]Budget Detail'!$BR$23</definedName>
    <definedName name="E16RateD2Total">'Budget Detail'!$BR$23</definedName>
    <definedName name="E16RateD3Total" localSheetId="1">'[1]Budget Detail'!$BR$22</definedName>
    <definedName name="E16RateD3Total">'Budget Detail'!$BR$22</definedName>
    <definedName name="E16RateD4Total" localSheetId="1">'[1]Budget Detail'!$BR$21</definedName>
    <definedName name="E16RateD4Total">'Budget Detail'!$BR$21</definedName>
    <definedName name="E16RateE1Total" localSheetId="1">'[1]Budget Detail'!$BR$28</definedName>
    <definedName name="E16RateE1Total">'Budget Detail'!$BR$28</definedName>
    <definedName name="E16RateE2Total" localSheetId="1">'[1]Budget Detail'!$BR$27</definedName>
    <definedName name="E16RateE2Total">'Budget Detail'!$BR$27</definedName>
    <definedName name="E16RateE3Total" localSheetId="1">'[1]Budget Detail'!$BR$26</definedName>
    <definedName name="E16RateE3Total">'Budget Detail'!$BR$26</definedName>
    <definedName name="E16RateE4Total" localSheetId="1">'[1]Budget Detail'!$BR$25</definedName>
    <definedName name="E16RateE4Total">'Budget Detail'!$BR$25</definedName>
    <definedName name="E16RateF1Total" localSheetId="1">'[1]Budget Detail'!$BR$32</definedName>
    <definedName name="E16RateF1Total">'Budget Detail'!$BR$32</definedName>
    <definedName name="E16RateF2Total" localSheetId="1">'[1]Budget Detail'!$BR$31</definedName>
    <definedName name="E16RateF2Total">'Budget Detail'!$BR$31</definedName>
    <definedName name="E16RateF3Total" localSheetId="1">'[1]Budget Detail'!$BR$30</definedName>
    <definedName name="E16RateF3Total">'Budget Detail'!$BR$30</definedName>
    <definedName name="E16RateF4Total" localSheetId="1">'[1]Budget Detail'!$BR$29</definedName>
    <definedName name="E16RateF4Total">'Budget Detail'!$BR$29</definedName>
    <definedName name="E16RateG1Total" localSheetId="1">'[1]Budget Detail'!$BR$36</definedName>
    <definedName name="E16RateG1Total">'Budget Detail'!$BR$36</definedName>
    <definedName name="E16RateG2Total" localSheetId="1">'[1]Budget Detail'!$BR$35</definedName>
    <definedName name="E16RateG2Total">'Budget Detail'!$BR$35</definedName>
    <definedName name="E16RateG3Total" localSheetId="1">'[1]Budget Detail'!$BR$34</definedName>
    <definedName name="E16RateG3Total">'Budget Detail'!$BR$34</definedName>
    <definedName name="E16RateG4Total" localSheetId="1">'[1]Budget Detail'!$BR$33</definedName>
    <definedName name="E16RateG4Total">'Budget Detail'!$BR$33</definedName>
    <definedName name="E16REM" localSheetId="1">'[1]Subcontractors List'!$N$129</definedName>
    <definedName name="E16REM">'Subcontractors List'!$N$129</definedName>
    <definedName name="E16RVTransfer" localSheetId="1">'[1]Travel Charges'!$G$113</definedName>
    <definedName name="E16RVTransfer">'Travel Charges'!$G$113</definedName>
    <definedName name="E16S" localSheetId="1">'[1]Other Supplies &amp; Rental List'!$N$54</definedName>
    <definedName name="E16S">'Other Supplies &amp; Rental List'!$N$54</definedName>
    <definedName name="E16SI" localSheetId="1">'[1]Subcontractors List'!$N$132</definedName>
    <definedName name="E16SI">'Subcontractors List'!$N$132</definedName>
    <definedName name="E16STransfer" localSheetId="1">'[1]Standard Equipment &amp; Supplies'!$G$206</definedName>
    <definedName name="E16STransfer">'Standard Equipment &amp; Supplies'!$G$206</definedName>
    <definedName name="E16SubsTotal" localSheetId="1">'[1]Budget Detail'!$AK$70</definedName>
    <definedName name="E16SubsTotal">'Budget Detail'!$AK$70</definedName>
    <definedName name="E16TravelTotal" localSheetId="1">'[1]Budget Detail'!$AK$50</definedName>
    <definedName name="E16TravelTotal">'Budget Detail'!$AK$50</definedName>
    <definedName name="E16WH" localSheetId="1">'[1]Subcontractors List'!$N$131</definedName>
    <definedName name="E16WH">'Subcontractors List'!$N$131</definedName>
    <definedName name="E17ADDA1">'Budget Detail'!$DI$12</definedName>
    <definedName name="E17ADDA2">'Budget Detail'!$DI$11</definedName>
    <definedName name="E17ADDA3">'Budget Detail'!$DI$10</definedName>
    <definedName name="E17ADDA4">'Budget Detail'!$DI$9</definedName>
    <definedName name="E17ADDB1">'Budget Detail'!$DI$16</definedName>
    <definedName name="E17ADDB2">'Budget Detail'!$DI$15</definedName>
    <definedName name="E17ADDB3">'Budget Detail'!$DI$14</definedName>
    <definedName name="E17ADDB4">'Budget Detail'!$DI$13</definedName>
    <definedName name="E17ADDC1">'Budget Detail'!$DI$20</definedName>
    <definedName name="E17ADDC2">'Budget Detail'!$DI$19</definedName>
    <definedName name="E17ADDC3">'Budget Detail'!$DI$18</definedName>
    <definedName name="E17ADDC4">'Budget Detail'!$DI$17</definedName>
    <definedName name="E17ADDD1">'Budget Detail'!$DI$24</definedName>
    <definedName name="E17ADDD2">'Budget Detail'!$DI$23</definedName>
    <definedName name="E17ADDD3">'Budget Detail'!$DI$22</definedName>
    <definedName name="E17ADDD4">'Budget Detail'!$DI$21</definedName>
    <definedName name="E17ADDE1">'Budget Detail'!$DI$28</definedName>
    <definedName name="E17ADDE2">'Budget Detail'!$DI$27</definedName>
    <definedName name="E17ADDE3">'Budget Detail'!$DI$26</definedName>
    <definedName name="E17ADDE4">'Budget Detail'!$DI$25</definedName>
    <definedName name="E17ADDF1">'Budget Detail'!$DI$32</definedName>
    <definedName name="E17ADDF2">'Budget Detail'!$DI$31</definedName>
    <definedName name="E17ADDF3">'Budget Detail'!$DI$30</definedName>
    <definedName name="E17ADDF4">'Budget Detail'!$DI$29</definedName>
    <definedName name="E17ADDG1">'Budget Detail'!$DI$36</definedName>
    <definedName name="E17ADDG2">'Budget Detail'!$DI$35</definedName>
    <definedName name="E17ADDG3">'Budget Detail'!$DI$34</definedName>
    <definedName name="E17ADDG4">'Budget Detail'!$DI$33</definedName>
    <definedName name="E17ATransfer" localSheetId="1">'[1]Travel Charges'!$K$117</definedName>
    <definedName name="E17ATransfer">'Travel Charges'!$K$117</definedName>
    <definedName name="E17B" localSheetId="1">'[1]Subcontractors List'!$N$136</definedName>
    <definedName name="E17B">'Subcontractors List'!$N$136</definedName>
    <definedName name="E17BASEA1" localSheetId="1">'[1]Phase 17'!$G$43</definedName>
    <definedName name="E17BASEA1">'Phase 17'!$G$43</definedName>
    <definedName name="E17BASEA2" localSheetId="1">'[1]Phase 17'!$F$43</definedName>
    <definedName name="E17BASEA2">'Phase 17'!$F$43</definedName>
    <definedName name="E17BASEA3" localSheetId="1">'[1]Phase 17'!$E$43</definedName>
    <definedName name="E17BASEA3">'Phase 17'!$E$43</definedName>
    <definedName name="E17BASEA4" localSheetId="1">'[1]Phase 17'!$D$43</definedName>
    <definedName name="E17BASEA4">'Phase 17'!$D$43</definedName>
    <definedName name="E17BASEB1" localSheetId="1">'[1]Phase 17'!$K$43</definedName>
    <definedName name="E17BASEB1">'Phase 17'!$K$43</definedName>
    <definedName name="E17BASEB2" localSheetId="1">'[1]Phase 17'!$J$43</definedName>
    <definedName name="E17BASEB2">'Phase 17'!$J$43</definedName>
    <definedName name="E17BASEB3" localSheetId="1">'[1]Phase 17'!$I$43</definedName>
    <definedName name="E17BASEB3">'Phase 17'!$I$43</definedName>
    <definedName name="E17BASEB4" localSheetId="1">'[1]Phase 17'!$H$43</definedName>
    <definedName name="E17BASEB4">'Phase 17'!$H$43</definedName>
    <definedName name="E17BASEC1" localSheetId="1">'[1]Phase 17'!$O$43</definedName>
    <definedName name="E17BASEC1">'Phase 17'!$O$43</definedName>
    <definedName name="E17BASEC2" localSheetId="1">'[1]Phase 17'!$N$43</definedName>
    <definedName name="E17BASEC2">'Phase 17'!$N$43</definedName>
    <definedName name="E17BASEC3" localSheetId="1">'[1]Phase 17'!$M$43</definedName>
    <definedName name="E17BASEC3">'Phase 17'!$M$43</definedName>
    <definedName name="E17BASEC4" localSheetId="1">'[1]Phase 17'!$L$43</definedName>
    <definedName name="E17BASEC4">'Phase 17'!$L$43</definedName>
    <definedName name="E17BASED1" localSheetId="1">'[1]Phase 17'!$S$43</definedName>
    <definedName name="E17BASED1">'Phase 17'!$S$43</definedName>
    <definedName name="E17BASED2" localSheetId="1">'[1]Phase 17'!$R$43</definedName>
    <definedName name="E17BASED2">'Phase 17'!$R$43</definedName>
    <definedName name="E17BASED3" localSheetId="1">'[1]Phase 17'!$Q$43</definedName>
    <definedName name="E17BASED3">'Phase 17'!$Q$43</definedName>
    <definedName name="E17BASED4" localSheetId="1">'[1]Phase 17'!$P$43</definedName>
    <definedName name="E17BASED4">'Phase 17'!$P$43</definedName>
    <definedName name="E17BASEE1" localSheetId="1">'[1]Phase 17'!$W$43</definedName>
    <definedName name="E17BASEE1">'Phase 17'!$W$43</definedName>
    <definedName name="E17BASEE2" localSheetId="1">'[1]Phase 17'!$V$43</definedName>
    <definedName name="E17BASEE2">'Phase 17'!$V$43</definedName>
    <definedName name="E17BASEE3" localSheetId="1">'[1]Phase 17'!$U$43</definedName>
    <definedName name="E17BASEE3">'Phase 17'!$U$43</definedName>
    <definedName name="E17BASEE4" localSheetId="1">'[1]Phase 17'!$T$43</definedName>
    <definedName name="E17BASEE4">'Phase 17'!$T$43</definedName>
    <definedName name="E17BASEF1" localSheetId="1">'[1]Phase 17'!$AA$43</definedName>
    <definedName name="E17BASEF1">'Phase 17'!$AA$43</definedName>
    <definedName name="E17BASEF2" localSheetId="1">'[1]Phase 17'!$Z$43</definedName>
    <definedName name="E17BASEF2">'Phase 17'!$Z$43</definedName>
    <definedName name="E17BASEF3" localSheetId="1">'[1]Phase 17'!$Y$43</definedName>
    <definedName name="E17BASEF3">'Phase 17'!$Y$43</definedName>
    <definedName name="E17BASEF4" localSheetId="1">'[1]Phase 17'!$X$43</definedName>
    <definedName name="E17BASEF4">'Phase 17'!$X$43</definedName>
    <definedName name="E17BASEG1" localSheetId="1">'[1]Phase 17'!$AE$43</definedName>
    <definedName name="E17BASEG1">'Phase 17'!$AE$43</definedName>
    <definedName name="E17BASEG2" localSheetId="1">'[1]Phase 17'!$AD$43</definedName>
    <definedName name="E17BASEG2">'Phase 17'!$AD$43</definedName>
    <definedName name="E17BASEG3" localSheetId="1">'[1]Phase 17'!$AC$43</definedName>
    <definedName name="E17BASEG3">'Phase 17'!$AC$43</definedName>
    <definedName name="E17BASEG4" localSheetId="1">'[1]Phase 17'!$AB$43</definedName>
    <definedName name="E17BASEG4">'Phase 17'!$AB$43</definedName>
    <definedName name="E17C" localSheetId="1">'[1]Subcontractors List'!$N$143</definedName>
    <definedName name="E17C">'Subcontractors List'!$N$143</definedName>
    <definedName name="E17CommunicationFee" localSheetId="1">'[1]Budget Detail'!$AM$39</definedName>
    <definedName name="E17CommunicationFee">'Budget Detail'!$AM$39</definedName>
    <definedName name="E17DirectLaborAA45">'Phase 17'!$AA$45</definedName>
    <definedName name="E17DirectLaborAB45">'Phase 17'!$AB$45</definedName>
    <definedName name="E17DirectLaborAC45">'Phase 17'!$AC$45</definedName>
    <definedName name="E17DirectLaborAD45">'Phase 17'!$AD$45</definedName>
    <definedName name="E17DirectLaborAE45">'Phase 17'!$AE$45</definedName>
    <definedName name="E17DirectLaborD45">'Phase 17'!$D$45</definedName>
    <definedName name="E17DirectLaborE45">'Phase 17'!$E$45</definedName>
    <definedName name="E17DirectLaborF45">'Phase 17'!$F$45</definedName>
    <definedName name="E17DirectLaborG45">'Phase 17'!$G$45</definedName>
    <definedName name="E17DirectLaborH45">'Phase 17'!$H$45</definedName>
    <definedName name="E17DirectLaborI45">'Phase 17'!$I$45</definedName>
    <definedName name="E17DirectLaborJ45">'Phase 17'!$J$45</definedName>
    <definedName name="E17DirectLaborK45">'Phase 17'!$K$45</definedName>
    <definedName name="E17DirectLaborL45">'Phase 17'!$L$45</definedName>
    <definedName name="E17DirectLaborM45">'Phase 17'!$M$45</definedName>
    <definedName name="E17DirectLaborN45">'Phase 17'!$N$45</definedName>
    <definedName name="E17DirectLaborO45">'Phase 17'!$O$45</definedName>
    <definedName name="E17DirectLaborP45">'Phase 17'!$P$45</definedName>
    <definedName name="E17DirectLaborQ45">'Phase 17'!$Q$45</definedName>
    <definedName name="E17DirectLaborR45">'Phase 17'!$R$45</definedName>
    <definedName name="E17DirectLaborS45">'Phase 17'!$S$45</definedName>
    <definedName name="E17DirectLaborT45">'Phase 17'!$T$45</definedName>
    <definedName name="E17DirectLaborTotal" localSheetId="1">'[1]Phase 17'!$AG$35</definedName>
    <definedName name="E17DirectLaborTotal">'Phase 17'!$AG$35</definedName>
    <definedName name="E17DirectLaborU45">'Phase 17'!$U$45</definedName>
    <definedName name="E17DirectLaborV45">'Phase 17'!$V$45</definedName>
    <definedName name="E17DirectLaborW45">'Phase 17'!$W$45</definedName>
    <definedName name="E17DirectLaborX45">'Phase 17'!$X$45</definedName>
    <definedName name="E17DirectLaborY45">'Phase 17'!$Y$45</definedName>
    <definedName name="E17DirectLaborZ45">'Phase 17'!$Z$45</definedName>
    <definedName name="E17EndTotal">'Phase 17'!$AG$28</definedName>
    <definedName name="E17EquipmentTotal" localSheetId="1">'[1]Budget Detail'!$AM$73</definedName>
    <definedName name="E17EquipmentTotal">'Budget Detail'!$AM$73</definedName>
    <definedName name="E17ETransfer" localSheetId="1">'[1]Standard Equipment &amp; Supplies'!$G$208</definedName>
    <definedName name="E17ETransfer">'Standard Equipment &amp; Supplies'!$G$208</definedName>
    <definedName name="E17ExpenseTotal" localSheetId="1">'[1]Budget Detail'!$AM$80</definedName>
    <definedName name="E17ExpenseTotal">'Budget Detail'!$AM$80</definedName>
    <definedName name="E17GEN" localSheetId="1">'[1]Subcontractors List'!$N$138</definedName>
    <definedName name="E17GEN">'Subcontractors List'!$N$138</definedName>
    <definedName name="E17InsuranceFee" localSheetId="1">'[1]Budget Detail'!$AM$82</definedName>
    <definedName name="E17InsuranceFee">'Budget Detail'!$AM$82</definedName>
    <definedName name="E17LaborTotal" localSheetId="1">'[1]Budget Detail'!$AM$38</definedName>
    <definedName name="E17LaborTotal">'Budget Detail'!$AM$38</definedName>
    <definedName name="E17LabTotal" localSheetId="1">'[1]Budget Detail'!$AM$60</definedName>
    <definedName name="E17LabTotal">'Budget Detail'!$AM$60</definedName>
    <definedName name="E17LTransfer" localSheetId="1">'[1]Travel Charges'!$K$116</definedName>
    <definedName name="E17LTransfer">'Travel Charges'!$K$116</definedName>
    <definedName name="E17M" localSheetId="1">'[1]Subcontractors List'!$N$142</definedName>
    <definedName name="E17M">'Subcontractors List'!$N$142</definedName>
    <definedName name="E17MTransfer" localSheetId="1">'[1]Travel Charges'!$K$115</definedName>
    <definedName name="E17MTransfer">'Travel Charges'!$K$115</definedName>
    <definedName name="E17O" localSheetId="1">'[1]Other Supplies &amp; Rental List'!$N$58</definedName>
    <definedName name="E17O">'Other Supplies &amp; Rental List'!$N$58</definedName>
    <definedName name="E17OTHER" localSheetId="1">'[1]Subcontractors List'!$N$141</definedName>
    <definedName name="E17OTHER">'Subcontractors List'!$N$141</definedName>
    <definedName name="E17OverheadAA46">'Phase 17'!$AA$46</definedName>
    <definedName name="E17OverheadAB46">'Phase 17'!$AB$46</definedName>
    <definedName name="E17OverheadAC46">'Phase 17'!$AC$46</definedName>
    <definedName name="E17OverheadAD46">'Phase 17'!$AD$46</definedName>
    <definedName name="E17OverheadAE46">'Phase 17'!$AE$46</definedName>
    <definedName name="E17OverheadD46">'Phase 17'!$D$46</definedName>
    <definedName name="E17OverheadE46">'Phase 17'!$E$46</definedName>
    <definedName name="E17OverheadF46">'Phase 17'!$F$46</definedName>
    <definedName name="E17OverheadG46">'Phase 17'!$G$46</definedName>
    <definedName name="E17OverheadH46">'Phase 17'!$H$46</definedName>
    <definedName name="E17OverheadI46">'Phase 17'!$I$46</definedName>
    <definedName name="E17OverheadJ46">'Phase 17'!$J$46</definedName>
    <definedName name="E17OverheadK46">'Phase 17'!$K$46</definedName>
    <definedName name="E17OverheadL46">'Phase 17'!$L$46</definedName>
    <definedName name="E17OverheadM46">'Phase 17'!$M$46</definedName>
    <definedName name="E17OverheadN46">'Phase 17'!$N$46</definedName>
    <definedName name="E17OverheadO46">'Phase 17'!$O$46</definedName>
    <definedName name="E17OverheadP46">'Phase 17'!$P$46</definedName>
    <definedName name="E17OverheadQ46">'Phase 17'!$Q$46</definedName>
    <definedName name="E17OverheadR46">'Phase 17'!$R$46</definedName>
    <definedName name="E17OverheadS46">'Phase 17'!$S$46</definedName>
    <definedName name="E17OverheadT46">'Phase 17'!$T$46</definedName>
    <definedName name="E17OverheadTotal" localSheetId="1">'[1]Phase 17'!$AG$37</definedName>
    <definedName name="E17OverheadTotal">'Phase 17'!$AG$37</definedName>
    <definedName name="E17OverheadU46">'Phase 17'!$U$46</definedName>
    <definedName name="E17OverheadV46">'Phase 17'!$V$46</definedName>
    <definedName name="E17OverheadW46">'Phase 17'!$W$46</definedName>
    <definedName name="E17OverheadX46">'Phase 17'!$X$46</definedName>
    <definedName name="E17OverheadY46">'Phase 17'!$Y$46</definedName>
    <definedName name="E17OverheadZ46">'Phase 17'!$Z$46</definedName>
    <definedName name="E17OVTransfer" localSheetId="1">'[1]Travel Charges'!$K$114</definedName>
    <definedName name="E17OVTransfer">'Travel Charges'!$K$114</definedName>
    <definedName name="E17R" localSheetId="1">'[1]Other Supplies &amp; Rental List'!$N$56</definedName>
    <definedName name="E17R">'Other Supplies &amp; Rental List'!$N$56</definedName>
    <definedName name="E17RateA1Total" localSheetId="1">'[1]Budget Detail'!$BS$12</definedName>
    <definedName name="E17RateA1Total">'Budget Detail'!$BS$12</definedName>
    <definedName name="E17RateA2Total" localSheetId="1">'[1]Budget Detail'!$BS$11</definedName>
    <definedName name="E17RateA2Total">'Budget Detail'!$BS$11</definedName>
    <definedName name="E17RateA3Total" localSheetId="1">'[1]Budget Detail'!$BS$10</definedName>
    <definedName name="E17RateA3Total">'Budget Detail'!$BS$10</definedName>
    <definedName name="E17RateA4Total" localSheetId="1">'[1]Budget Detail'!$BS$9</definedName>
    <definedName name="E17RateA4Total">'Budget Detail'!$BS$9</definedName>
    <definedName name="E17RateB1Total" localSheetId="1">'[1]Budget Detail'!$BS$16</definedName>
    <definedName name="E17RateB1Total">'Budget Detail'!$BS$16</definedName>
    <definedName name="E17RateB2Total" localSheetId="1">'[1]Budget Detail'!$BS$15</definedName>
    <definedName name="E17RateB2Total">'Budget Detail'!$BS$15</definedName>
    <definedName name="E17RateB3Total" localSheetId="1">'[1]Budget Detail'!$BS$14</definedName>
    <definedName name="E17RateB3Total">'Budget Detail'!$BS$14</definedName>
    <definedName name="E17RateB4Total" localSheetId="1">'[1]Budget Detail'!$BS$13</definedName>
    <definedName name="E17RateB4Total">'Budget Detail'!$BS$13</definedName>
    <definedName name="E17RateC1Total" localSheetId="1">'[1]Budget Detail'!$BS$20</definedName>
    <definedName name="E17RateC1Total">'Budget Detail'!$BS$20</definedName>
    <definedName name="E17RateC2Total" localSheetId="1">'[1]Budget Detail'!$BS$19</definedName>
    <definedName name="E17RateC2Total">'Budget Detail'!$BS$19</definedName>
    <definedName name="E17RateC3Total" localSheetId="1">'[1]Budget Detail'!$BS$18</definedName>
    <definedName name="E17RateC3Total">'Budget Detail'!$BS$18</definedName>
    <definedName name="E17RateC4Total" localSheetId="1">'[1]Budget Detail'!$BS$17</definedName>
    <definedName name="E17RateC4Total">'Budget Detail'!$BS$17</definedName>
    <definedName name="E17RateD1Total" localSheetId="1">'[1]Budget Detail'!$BS$24</definedName>
    <definedName name="E17RateD1Total">'Budget Detail'!$BS$24</definedName>
    <definedName name="E17RateD2Total" localSheetId="1">'[1]Budget Detail'!$BS$23</definedName>
    <definedName name="E17RateD2Total">'Budget Detail'!$BS$23</definedName>
    <definedName name="E17RateD3Total" localSheetId="1">'[1]Budget Detail'!$BS$22</definedName>
    <definedName name="E17RateD3Total">'Budget Detail'!$BS$22</definedName>
    <definedName name="E17RateD4Total" localSheetId="1">'[1]Budget Detail'!$BS$21</definedName>
    <definedName name="E17RateD4Total">'Budget Detail'!$BS$21</definedName>
    <definedName name="E17RateE1Total" localSheetId="1">'[1]Budget Detail'!$BS$28</definedName>
    <definedName name="E17RateE1Total">'Budget Detail'!$BS$28</definedName>
    <definedName name="E17RateE2Total" localSheetId="1">'[1]Budget Detail'!$BS$27</definedName>
    <definedName name="E17RateE2Total">'Budget Detail'!$BS$27</definedName>
    <definedName name="E17RateE3Total" localSheetId="1">'[1]Budget Detail'!$BS$26</definedName>
    <definedName name="E17RateE3Total">'Budget Detail'!$BS$26</definedName>
    <definedName name="E17RateE4Total" localSheetId="1">'[1]Budget Detail'!$BS$25</definedName>
    <definedName name="E17RateE4Total">'Budget Detail'!$BS$25</definedName>
    <definedName name="E17RateF1Total" localSheetId="1">'[1]Budget Detail'!$BS$32</definedName>
    <definedName name="E17RateF1Total">'Budget Detail'!$BS$32</definedName>
    <definedName name="E17RateF2Total" localSheetId="1">'[1]Budget Detail'!$BS$31</definedName>
    <definedName name="E17RateF2Total">'Budget Detail'!$BS$31</definedName>
    <definedName name="E17RateF3Total" localSheetId="1">'[1]Budget Detail'!$BS$30</definedName>
    <definedName name="E17RateF3Total">'Budget Detail'!$BS$30</definedName>
    <definedName name="E17RateF4Total" localSheetId="1">'[1]Budget Detail'!$BS$29</definedName>
    <definedName name="E17RateF4Total">'Budget Detail'!$BS$29</definedName>
    <definedName name="E17RateG1Total" localSheetId="1">'[1]Budget Detail'!$BS$36</definedName>
    <definedName name="E17RateG1Total">'Budget Detail'!$BS$36</definedName>
    <definedName name="E17RateG2Total" localSheetId="1">'[1]Budget Detail'!$BS$35</definedName>
    <definedName name="E17RateG2Total">'Budget Detail'!$BS$35</definedName>
    <definedName name="E17RateG3Total" localSheetId="1">'[1]Budget Detail'!$BS$34</definedName>
    <definedName name="E17RateG3Total">'Budget Detail'!$BS$34</definedName>
    <definedName name="E17RateG4Total" localSheetId="1">'[1]Budget Detail'!$BS$33</definedName>
    <definedName name="E17RateG4Total">'Budget Detail'!$BS$33</definedName>
    <definedName name="E17REM" localSheetId="1">'[1]Subcontractors List'!$N$137</definedName>
    <definedName name="E17REM">'Subcontractors List'!$N$137</definedName>
    <definedName name="E17RVTransfer" localSheetId="1">'[1]Travel Charges'!$K$113</definedName>
    <definedName name="E17RVTransfer">'Travel Charges'!$K$113</definedName>
    <definedName name="E17S" localSheetId="1">'[1]Other Supplies &amp; Rental List'!$N$57</definedName>
    <definedName name="E17S">'Other Supplies &amp; Rental List'!$N$57</definedName>
    <definedName name="E17SI" localSheetId="1">'[1]Subcontractors List'!$N$140</definedName>
    <definedName name="E17SI">'Subcontractors List'!$N$140</definedName>
    <definedName name="E17STransfer" localSheetId="1">'[1]Standard Equipment &amp; Supplies'!$G$209</definedName>
    <definedName name="E17STransfer">'Standard Equipment &amp; Supplies'!$G$209</definedName>
    <definedName name="E17SubsTotal" localSheetId="1">'[1]Budget Detail'!$AM$70</definedName>
    <definedName name="E17SubsTotal">'Budget Detail'!$AM$70</definedName>
    <definedName name="E17TravelTotal" localSheetId="1">'[1]Budget Detail'!$AM$50</definedName>
    <definedName name="E17TravelTotal">'Budget Detail'!$AM$50</definedName>
    <definedName name="E17WH" localSheetId="1">'[1]Subcontractors List'!$N$139</definedName>
    <definedName name="E17WH">'Subcontractors List'!$N$139</definedName>
    <definedName name="E18ADDA1">'Budget Detail'!$DJ$12</definedName>
    <definedName name="E18ADDA2">'Budget Detail'!$DJ$11</definedName>
    <definedName name="E18ADDA3">'Budget Detail'!$DJ$10</definedName>
    <definedName name="E18ADDA4">'Budget Detail'!$DJ$9</definedName>
    <definedName name="E18ADDB1">'Budget Detail'!$DJ$16</definedName>
    <definedName name="E18ADDB2">'Budget Detail'!$DJ$15</definedName>
    <definedName name="E18ADDB3">'Budget Detail'!$DJ$14</definedName>
    <definedName name="E18ADDB4">'Budget Detail'!$DJ$13</definedName>
    <definedName name="E18ADDC1">'Budget Detail'!$DJ$20</definedName>
    <definedName name="E18ADDC2">'Budget Detail'!$DJ$19</definedName>
    <definedName name="E18ADDC3">'Budget Detail'!$DJ$18</definedName>
    <definedName name="E18ADDC4">'Budget Detail'!$DJ$17</definedName>
    <definedName name="E18ADDD1">'Budget Detail'!$DJ$24</definedName>
    <definedName name="E18ADDD2">'Budget Detail'!$DJ$23</definedName>
    <definedName name="E18ADDD3">'Budget Detail'!$DJ$22</definedName>
    <definedName name="E18ADDD4">'Budget Detail'!$DJ$21</definedName>
    <definedName name="E18ADDE1">'Budget Detail'!$DJ$28</definedName>
    <definedName name="E18ADDE2">'Budget Detail'!$DJ$27</definedName>
    <definedName name="E18ADDE3">'Budget Detail'!$DJ$26</definedName>
    <definedName name="E18ADDE4">'Budget Detail'!$DJ$25</definedName>
    <definedName name="E18ADDF1">'Budget Detail'!$DJ$32</definedName>
    <definedName name="E18ADDF2">'Budget Detail'!$DJ$31</definedName>
    <definedName name="E18ADDF3">'Budget Detail'!$DJ$30</definedName>
    <definedName name="E18ADDF4">'Budget Detail'!$DJ$29</definedName>
    <definedName name="E18ADDG1">'Budget Detail'!$DJ$36</definedName>
    <definedName name="E18ADDG2">'Budget Detail'!$DJ$35</definedName>
    <definedName name="E18ADDG3">'Budget Detail'!$DJ$34</definedName>
    <definedName name="E18ADDG4">'Budget Detail'!$DJ$33</definedName>
    <definedName name="E18ATransfer" localSheetId="1">'[1]Travel Charges'!$O$117</definedName>
    <definedName name="E18ATransfer">'Travel Charges'!$O$117</definedName>
    <definedName name="E18B" localSheetId="1">'[1]Subcontractors List'!$N$144</definedName>
    <definedName name="E18B">'Subcontractors List'!$N$144</definedName>
    <definedName name="E18BASEA1" localSheetId="1">'[1]Phase 18'!$G$43</definedName>
    <definedName name="E18BASEA1">'Phase 18'!$G$43</definedName>
    <definedName name="E18BASEA2" localSheetId="1">'[1]Phase 18'!$F$43</definedName>
    <definedName name="E18BASEA2">'Phase 18'!$F$43</definedName>
    <definedName name="E18BASEA3" localSheetId="1">'[1]Phase 18'!$E$43</definedName>
    <definedName name="E18BASEA3">'Phase 18'!$E$43</definedName>
    <definedName name="E18BASEA4" localSheetId="1">'[1]Phase 18'!$D$43</definedName>
    <definedName name="E18BASEA4">'Phase 18'!$D$43</definedName>
    <definedName name="E18BASEB1" localSheetId="1">'[1]Phase 18'!$K$43</definedName>
    <definedName name="E18BASEB1">'Phase 18'!$K$43</definedName>
    <definedName name="E18BASEB2" localSheetId="1">'[1]Phase 18'!$J$43</definedName>
    <definedName name="E18BASEB2">'Phase 18'!$J$43</definedName>
    <definedName name="E18BASEB3" localSheetId="1">'[1]Phase 18'!$I$43</definedName>
    <definedName name="E18BASEB3">'Phase 18'!$I$43</definedName>
    <definedName name="E18BASEB4" localSheetId="1">'[1]Phase 18'!$H$43</definedName>
    <definedName name="E18BASEB4">'Phase 18'!$H$43</definedName>
    <definedName name="E18BASEC1" localSheetId="1">'[1]Phase 18'!$O$43</definedName>
    <definedName name="E18BASEC1">'Phase 18'!$O$43</definedName>
    <definedName name="E18BASEC2" localSheetId="1">'[1]Phase 18'!$N$43</definedName>
    <definedName name="E18BASEC2">'Phase 18'!$N$43</definedName>
    <definedName name="E18BASEC3" localSheetId="1">'[1]Phase 18'!$M$43</definedName>
    <definedName name="E18BASEC3">'Phase 18'!$M$43</definedName>
    <definedName name="E18BASEC4" localSheetId="1">'[1]Phase 18'!$L$43</definedName>
    <definedName name="E18BASEC4">'Phase 18'!$L$43</definedName>
    <definedName name="E18BASED1" localSheetId="1">'[1]Phase 18'!$S$43</definedName>
    <definedName name="E18BASED1">'Phase 18'!$S$43</definedName>
    <definedName name="E18BASED2" localSheetId="1">'[1]Phase 18'!$R$43</definedName>
    <definedName name="E18BASED2">'Phase 18'!$R$43</definedName>
    <definedName name="E18BASED3" localSheetId="1">'[1]Phase 18'!$Q$43</definedName>
    <definedName name="E18BASED3">'Phase 18'!$Q$43</definedName>
    <definedName name="E18BASED4" localSheetId="1">'[1]Phase 18'!$P$43</definedName>
    <definedName name="E18BASED4">'Phase 18'!$P$43</definedName>
    <definedName name="E18BASEE1" localSheetId="1">'[1]Phase 18'!$W$43</definedName>
    <definedName name="E18BASEE1">'Phase 18'!$W$43</definedName>
    <definedName name="E18BASEE2" localSheetId="1">'[1]Phase 18'!$V$43</definedName>
    <definedName name="E18BASEE2">'Phase 18'!$V$43</definedName>
    <definedName name="E18BASEE3" localSheetId="1">'[1]Phase 18'!$U$43</definedName>
    <definedName name="E18BASEE3">'Phase 18'!$U$43</definedName>
    <definedName name="E18BASEE4" localSheetId="1">'[1]Phase 18'!$T$43</definedName>
    <definedName name="E18BASEE4">'Phase 18'!$T$43</definedName>
    <definedName name="E18BASEF1" localSheetId="1">'[1]Phase 18'!$AA$43</definedName>
    <definedName name="E18BASEF1">'Phase 18'!$AA$43</definedName>
    <definedName name="E18BASEF2" localSheetId="1">'[1]Phase 18'!$Z$43</definedName>
    <definedName name="E18BASEF2">'Phase 18'!$Z$43</definedName>
    <definedName name="E18BASEF3" localSheetId="1">'[1]Phase 18'!$Y$43</definedName>
    <definedName name="E18BASEF3">'Phase 18'!$Y$43</definedName>
    <definedName name="E18BASEF4" localSheetId="1">'[1]Phase 18'!$X$43</definedName>
    <definedName name="E18BASEF4">'Phase 18'!$X$43</definedName>
    <definedName name="E18BASEG1" localSheetId="1">'[1]Phase 18'!$AE$43</definedName>
    <definedName name="E18BASEG1">'Phase 18'!$AE$43</definedName>
    <definedName name="E18BASEG2" localSheetId="1">'[1]Phase 18'!$AD$43</definedName>
    <definedName name="E18BASEG2">'Phase 18'!$AD$43</definedName>
    <definedName name="E18BASEG3" localSheetId="1">'[1]Phase 18'!$AC$43</definedName>
    <definedName name="E18BASEG3">'Phase 18'!$AC$43</definedName>
    <definedName name="E18BASEG4" localSheetId="1">'[1]Phase 18'!$AB$43</definedName>
    <definedName name="E18BASEG4">'Phase 18'!$AB$43</definedName>
    <definedName name="E18C" localSheetId="1">'[1]Subcontractors List'!$N$151</definedName>
    <definedName name="E18C">'Subcontractors List'!$N$151</definedName>
    <definedName name="E18CommunicationFee" localSheetId="1">'[1]Budget Detail'!$AO$39</definedName>
    <definedName name="E18CommunicationFee">'Budget Detail'!$AO$39</definedName>
    <definedName name="E18DirectLaborAA45">'Phase 18'!$AA$45</definedName>
    <definedName name="E18DirectLaborAB45">'Phase 18'!$AB$45</definedName>
    <definedName name="E18DirectLaborAC45">'Phase 18'!$AC$45</definedName>
    <definedName name="E18DirectLaborAD45">'Phase 18'!$AD$45</definedName>
    <definedName name="E18DirectLaborAE45">'Phase 18'!$AE$45</definedName>
    <definedName name="E18DirectLaborD45">'Phase 18'!$D$45</definedName>
    <definedName name="E18DirectLaborE45">'Phase 18'!$E$45</definedName>
    <definedName name="E18DirectLaborF45">'Phase 18'!$F$45</definedName>
    <definedName name="E18DirectLaborG45">'Phase 18'!$G$45</definedName>
    <definedName name="E18DirectLaborH45">'Phase 18'!$H$45</definedName>
    <definedName name="E18DirectLaborI45">'Phase 18'!$I$45</definedName>
    <definedName name="E18DirectLaborJ45">'Phase 18'!$J$45</definedName>
    <definedName name="E18DirectLaborK45">'Phase 18'!$K$45</definedName>
    <definedName name="E18DirectLaborL45">'Phase 18'!$L$45</definedName>
    <definedName name="E18DirectLaborM45">'Phase 18'!$M$45</definedName>
    <definedName name="E18DirectLaborN45">'Phase 18'!$N$45</definedName>
    <definedName name="E18DirectLaborO45">'Phase 18'!$O$45</definedName>
    <definedName name="E18DirectLaborP45">'Phase 18'!$P$45</definedName>
    <definedName name="E18DirectLaborQ45">'Phase 18'!$Q$45</definedName>
    <definedName name="E18DirectLaborR45">'Phase 18'!$R$45</definedName>
    <definedName name="E18DirectLaborS45">'Phase 18'!$S$45</definedName>
    <definedName name="E18DirectLaborT45">'Phase 18'!$T$45</definedName>
    <definedName name="E18DirectLaborTotal" localSheetId="1">'[1]Phase 18'!$AG$35</definedName>
    <definedName name="E18DirectLaborTotal">'Phase 18'!$AG$35</definedName>
    <definedName name="E18DirectLaborU45">'Phase 18'!$U$45</definedName>
    <definedName name="E18DirectLaborV45">'Phase 18'!$V$45</definedName>
    <definedName name="E18DirectLaborW45">'Phase 18'!$W$45</definedName>
    <definedName name="E18DirectLaborX45">'Phase 18'!$X$45</definedName>
    <definedName name="E18DirectLaborY45">'Phase 18'!$Y$45</definedName>
    <definedName name="E18DirectLaborZ45">'Phase 18'!$Z$45</definedName>
    <definedName name="E18EndTotal">'Phase 18'!$AG$28</definedName>
    <definedName name="E18EquipmentTotal" localSheetId="1">'[1]Budget Detail'!$AO$73</definedName>
    <definedName name="E18EquipmentTotal">'Budget Detail'!$AO$73</definedName>
    <definedName name="E18ETransfer" localSheetId="1">'[1]Standard Equipment &amp; Supplies'!$G$211</definedName>
    <definedName name="E18ETransfer">'Standard Equipment &amp; Supplies'!$G$211</definedName>
    <definedName name="E18ExpenseTotal" localSheetId="1">'[1]Budget Detail'!$AO$80</definedName>
    <definedName name="E18ExpenseTotal">'Budget Detail'!$AO$80</definedName>
    <definedName name="E18GEN" localSheetId="1">'[1]Subcontractors List'!$N$146</definedName>
    <definedName name="E18GEN">'Subcontractors List'!$N$146</definedName>
    <definedName name="E18InsuranceFee" localSheetId="1">'[1]Budget Detail'!$AO$82</definedName>
    <definedName name="E18InsuranceFee">'Budget Detail'!$AO$82</definedName>
    <definedName name="E18LaborTotal" localSheetId="1">'[1]Budget Detail'!$AO$38</definedName>
    <definedName name="E18LaborTotal">'Budget Detail'!$AO$38</definedName>
    <definedName name="E18LabTotal" localSheetId="1">'[1]Budget Detail'!$AO$60</definedName>
    <definedName name="E18LabTotal">'Budget Detail'!$AO$60</definedName>
    <definedName name="E18LTransfer" localSheetId="1">'[1]Travel Charges'!$O$116</definedName>
    <definedName name="E18LTransfer">'Travel Charges'!$O$116</definedName>
    <definedName name="E18M" localSheetId="1">'[1]Subcontractors List'!$N$150</definedName>
    <definedName name="E18M">'Subcontractors List'!$N$150</definedName>
    <definedName name="E18MTransfer" localSheetId="1">'[1]Travel Charges'!$O$115</definedName>
    <definedName name="E18MTransfer">'Travel Charges'!$O$115</definedName>
    <definedName name="E18O" localSheetId="1">'[1]Other Supplies &amp; Rental List'!$N$61</definedName>
    <definedName name="E18O">'Other Supplies &amp; Rental List'!$N$61</definedName>
    <definedName name="E18OTHER" localSheetId="1">'[1]Subcontractors List'!$N$149</definedName>
    <definedName name="E18OTHER">'Subcontractors List'!$N$149</definedName>
    <definedName name="E18OverheadAA46">'Phase 18'!$AA$46</definedName>
    <definedName name="E18OverheadAB46">'Phase 18'!$AB$46</definedName>
    <definedName name="E18OverheadAC46">'Phase 18'!$AC$46</definedName>
    <definedName name="E18OverheadAD46">'Phase 18'!$AD$46</definedName>
    <definedName name="E18OverheadAE46">'Phase 18'!$AE$46</definedName>
    <definedName name="E18OverheadD46">'Phase 18'!$D$46</definedName>
    <definedName name="E18OverheadE46">'Phase 18'!$E$46</definedName>
    <definedName name="E18OverheadF46">'Phase 18'!$F$46</definedName>
    <definedName name="E18OverheadG46">'Phase 18'!$G$46</definedName>
    <definedName name="E18OverheadH46">'Phase 18'!$H$46</definedName>
    <definedName name="E18OverheadI46">'Phase 18'!$I$46</definedName>
    <definedName name="E18OverheadJ46">'Phase 18'!$J$46</definedName>
    <definedName name="E18OverheadK46">'Phase 18'!$K$46</definedName>
    <definedName name="E18OverheadL46">'Phase 18'!$L$46</definedName>
    <definedName name="E18OverheadM46">'Phase 18'!$M$46</definedName>
    <definedName name="E18OverheadN46">'Phase 18'!$N$46</definedName>
    <definedName name="E18OverheadO46">'Phase 18'!$O$46</definedName>
    <definedName name="E18OverheadP46">'Phase 18'!$P$46</definedName>
    <definedName name="E18OverheadQ46">'Phase 18'!$Q$46</definedName>
    <definedName name="E18OverheadR46">'Phase 18'!$R$46</definedName>
    <definedName name="E18OverheadS46">'Phase 18'!$S$46</definedName>
    <definedName name="E18OverheadT46">'Phase 18'!$T$46</definedName>
    <definedName name="E18OverheadTotal" localSheetId="1">'[1]Phase 18'!$AG$37</definedName>
    <definedName name="E18OverheadTotal">'Phase 18'!$AG$37</definedName>
    <definedName name="E18OverheadU46">'Phase 18'!$U$46</definedName>
    <definedName name="E18OverheadV46">'Phase 18'!$V$46</definedName>
    <definedName name="E18OverheadW46">'Phase 18'!$W$46</definedName>
    <definedName name="E18OverheadX46">'Phase 18'!$X$46</definedName>
    <definedName name="E18OverheadY46">'Phase 18'!$Y$46</definedName>
    <definedName name="E18OverheadZ46">'Phase 18'!$Z$46</definedName>
    <definedName name="E18OVTransfer" localSheetId="1">'[1]Travel Charges'!$O$114</definedName>
    <definedName name="E18OVTransfer">'Travel Charges'!$O$114</definedName>
    <definedName name="E18R" localSheetId="1">'[1]Other Supplies &amp; Rental List'!$N$59</definedName>
    <definedName name="E18R">'Other Supplies &amp; Rental List'!$N$59</definedName>
    <definedName name="E18RateA1Total" localSheetId="1">'[1]Budget Detail'!$BT$12</definedName>
    <definedName name="E18RateA1Total">'Budget Detail'!$BT$12</definedName>
    <definedName name="E18RateA2Total" localSheetId="1">'[1]Budget Detail'!$BT$11</definedName>
    <definedName name="E18RateA2Total">'Budget Detail'!$BT$11</definedName>
    <definedName name="E18RateA3Total" localSheetId="1">'[1]Budget Detail'!$BT$10</definedName>
    <definedName name="E18RateA3Total">'Budget Detail'!$BT$10</definedName>
    <definedName name="E18RateA4Total" localSheetId="1">'[1]Budget Detail'!$BT$9</definedName>
    <definedName name="E18RateA4Total">'Budget Detail'!$BT$9</definedName>
    <definedName name="E18RateB1Total" localSheetId="1">'[1]Budget Detail'!$BT$16</definedName>
    <definedName name="E18RateB1Total">'Budget Detail'!$BT$16</definedName>
    <definedName name="E18RateB2Total" localSheetId="1">'[1]Budget Detail'!$BT$15</definedName>
    <definedName name="E18RateB2Total">'Budget Detail'!$BT$15</definedName>
    <definedName name="E18RateB3Total" localSheetId="1">'[1]Budget Detail'!$BT$14</definedName>
    <definedName name="E18RateB3Total">'Budget Detail'!$BT$14</definedName>
    <definedName name="E18RateB4Total" localSheetId="1">'[1]Budget Detail'!$BT$13</definedName>
    <definedName name="E18RateB4Total">'Budget Detail'!$BT$13</definedName>
    <definedName name="E18RateC1Total" localSheetId="1">'[1]Budget Detail'!$BT$20</definedName>
    <definedName name="E18RateC1Total">'Budget Detail'!$BT$20</definedName>
    <definedName name="E18RateC2Total" localSheetId="1">'[1]Budget Detail'!$BT$19</definedName>
    <definedName name="E18RateC2Total">'Budget Detail'!$BT$19</definedName>
    <definedName name="E18RateC3Total" localSheetId="1">'[1]Budget Detail'!$BT$18</definedName>
    <definedName name="E18RateC3Total">'Budget Detail'!$BT$18</definedName>
    <definedName name="E18RateC4Total" localSheetId="1">'[1]Budget Detail'!$BT$17</definedName>
    <definedName name="E18RateC4Total">'Budget Detail'!$BT$17</definedName>
    <definedName name="E18RateD1Total" localSheetId="1">'[1]Budget Detail'!$BT$24</definedName>
    <definedName name="E18RateD1Total">'Budget Detail'!$BT$24</definedName>
    <definedName name="E18RateD2Total" localSheetId="1">'[1]Budget Detail'!$BT$23</definedName>
    <definedName name="E18RateD2Total">'Budget Detail'!$BT$23</definedName>
    <definedName name="E18RateD3Total" localSheetId="1">'[1]Budget Detail'!$BT$22</definedName>
    <definedName name="E18RateD3Total">'Budget Detail'!$BT$22</definedName>
    <definedName name="E18RateD4Total" localSheetId="1">'[1]Budget Detail'!$BT$21</definedName>
    <definedName name="E18RateD4Total">'Budget Detail'!$BT$21</definedName>
    <definedName name="E18RateE1Total" localSheetId="1">'[1]Budget Detail'!$BT$28</definedName>
    <definedName name="E18RateE1Total">'Budget Detail'!$BT$28</definedName>
    <definedName name="E18RateE2Total" localSheetId="1">'[1]Budget Detail'!$BT$27</definedName>
    <definedName name="E18RateE2Total">'Budget Detail'!$BT$27</definedName>
    <definedName name="E18RateE3Total" localSheetId="1">'[1]Budget Detail'!$BT$26</definedName>
    <definedName name="E18RateE3Total">'Budget Detail'!$BT$26</definedName>
    <definedName name="E18RateE4Total" localSheetId="1">'[1]Budget Detail'!$BT$25</definedName>
    <definedName name="E18RateE4Total">'Budget Detail'!$BT$25</definedName>
    <definedName name="E18RateF1Total" localSheetId="1">'[1]Budget Detail'!$BT$32</definedName>
    <definedName name="E18RateF1Total">'Budget Detail'!$BT$32</definedName>
    <definedName name="E18RateF2Total" localSheetId="1">'[1]Budget Detail'!$BT$31</definedName>
    <definedName name="E18RateF2Total">'Budget Detail'!$BT$31</definedName>
    <definedName name="E18RateF3Total" localSheetId="1">'[1]Budget Detail'!$BT$30</definedName>
    <definedName name="E18RateF3Total">'Budget Detail'!$BT$30</definedName>
    <definedName name="E18RateF4Total" localSheetId="1">'[1]Budget Detail'!$BT$29</definedName>
    <definedName name="E18RateF4Total">'Budget Detail'!$BT$29</definedName>
    <definedName name="E18RateG1Total" localSheetId="1">'[1]Budget Detail'!$BT$36</definedName>
    <definedName name="E18RateG1Total">'Budget Detail'!$BT$36</definedName>
    <definedName name="E18RateG2Total" localSheetId="1">'[1]Budget Detail'!$BT$35</definedName>
    <definedName name="E18RateG2Total">'Budget Detail'!$BT$35</definedName>
    <definedName name="E18RateG3Total" localSheetId="1">'[1]Budget Detail'!$BT$34</definedName>
    <definedName name="E18RateG3Total">'Budget Detail'!$BT$34</definedName>
    <definedName name="E18RateG4Total" localSheetId="1">'[1]Budget Detail'!$BT$33</definedName>
    <definedName name="E18RateG4Total">'Budget Detail'!$BT$33</definedName>
    <definedName name="E18REM" localSheetId="1">'[1]Subcontractors List'!$N$145</definedName>
    <definedName name="E18REM">'Subcontractors List'!$N$145</definedName>
    <definedName name="E18RVTransfer" localSheetId="1">'[1]Travel Charges'!$O$113</definedName>
    <definedName name="E18RVTransfer">'Travel Charges'!$O$113</definedName>
    <definedName name="E18S" localSheetId="1">'[1]Other Supplies &amp; Rental List'!$N$60</definedName>
    <definedName name="E18S">'Other Supplies &amp; Rental List'!$N$60</definedName>
    <definedName name="E18SI" localSheetId="1">'[1]Subcontractors List'!$N$148</definedName>
    <definedName name="E18SI">'Subcontractors List'!$N$148</definedName>
    <definedName name="E18STransfer" localSheetId="1">'[1]Standard Equipment &amp; Supplies'!$G$212</definedName>
    <definedName name="E18STransfer">'Standard Equipment &amp; Supplies'!$G$212</definedName>
    <definedName name="E18SubsTotal" localSheetId="1">'[1]Budget Detail'!$AO$70</definedName>
    <definedName name="E18SubsTotal">'Budget Detail'!$AO$70</definedName>
    <definedName name="E18TravelTotal" localSheetId="1">'[1]Budget Detail'!$AO$50</definedName>
    <definedName name="E18TravelTotal">'Budget Detail'!$AO$50</definedName>
    <definedName name="E18WH" localSheetId="1">'[1]Subcontractors List'!$N$147</definedName>
    <definedName name="E18WH">'Subcontractors List'!$N$147</definedName>
    <definedName name="E19ADDA1">'Budget Detail'!$DK$12</definedName>
    <definedName name="E19ADDA2">'Budget Detail'!$DK$11</definedName>
    <definedName name="E19ADDA3">'Budget Detail'!$DK$10</definedName>
    <definedName name="E19ADDA4">'Budget Detail'!$DK$9</definedName>
    <definedName name="E19ADDB1">'Budget Detail'!$DK$16</definedName>
    <definedName name="E19ADDB2">'Budget Detail'!$DK$15</definedName>
    <definedName name="E19ADDB3">'Budget Detail'!$DK$14</definedName>
    <definedName name="E19ADDB4">'Budget Detail'!$DK$13</definedName>
    <definedName name="E19ADDC1">'Budget Detail'!$DK$20</definedName>
    <definedName name="E19ADDC2">'Budget Detail'!$DK$19</definedName>
    <definedName name="E19ADDC3">'Budget Detail'!$DK$18</definedName>
    <definedName name="E19ADDC4">'Budget Detail'!$DK$17</definedName>
    <definedName name="E19ADDD1">'Budget Detail'!$DK$24</definedName>
    <definedName name="E19ADDD2">'Budget Detail'!$DK$23</definedName>
    <definedName name="E19ADDD3">'Budget Detail'!$DK$22</definedName>
    <definedName name="E19ADDD4">'Budget Detail'!$DK$21</definedName>
    <definedName name="E19ADDE1">'Budget Detail'!$DK$28</definedName>
    <definedName name="E19ADDE2">'Budget Detail'!$DK$27</definedName>
    <definedName name="E19ADDE3">'Budget Detail'!$DK$26</definedName>
    <definedName name="E19ADDE4">'Budget Detail'!$DK$25</definedName>
    <definedName name="E19ADDF1">'Budget Detail'!$DK$32</definedName>
    <definedName name="E19ADDF2">'Budget Detail'!$DK$31</definedName>
    <definedName name="E19ADDF3">'Budget Detail'!$DK$30</definedName>
    <definedName name="E19ADDF4">'Budget Detail'!$DK$29</definedName>
    <definedName name="E19ADDG1">'Budget Detail'!$DK$36</definedName>
    <definedName name="E19ADDG2">'Budget Detail'!$DK$35</definedName>
    <definedName name="E19ADDG3">'Budget Detail'!$DK$34</definedName>
    <definedName name="E19ADDG4">'Budget Detail'!$DK$33</definedName>
    <definedName name="E19ATransfer" localSheetId="1">'[1]Travel Charges'!$S$117</definedName>
    <definedName name="E19ATransfer">'Travel Charges'!$S$117</definedName>
    <definedName name="E19B" localSheetId="1">'[1]Subcontractors List'!$N$152</definedName>
    <definedName name="E19B">'Subcontractors List'!$N$152</definedName>
    <definedName name="E19BASEA1" localSheetId="1">'[1]Phase 19'!$G$43</definedName>
    <definedName name="E19BASEA1">'Phase 19'!$G$43</definedName>
    <definedName name="E19BASEA2" localSheetId="1">'[1]Phase 19'!$F$43</definedName>
    <definedName name="E19BASEA2">'Phase 19'!$F$43</definedName>
    <definedName name="E19BASEA3" localSheetId="1">'[1]Phase 19'!$E$43</definedName>
    <definedName name="E19BASEA3">'Phase 19'!$E$43</definedName>
    <definedName name="E19BASEA4" localSheetId="1">'[1]Phase 19'!$D$43</definedName>
    <definedName name="E19BASEA4">'Phase 19'!$D$43</definedName>
    <definedName name="E19BASEB1" localSheetId="1">'[1]Phase 19'!$K$43</definedName>
    <definedName name="E19BASEB1">'Phase 19'!$K$43</definedName>
    <definedName name="E19BASEB2" localSheetId="1">'[1]Phase 19'!$J$43</definedName>
    <definedName name="E19BASEB2">'Phase 19'!$J$43</definedName>
    <definedName name="E19BASEB3" localSheetId="1">'[1]Phase 19'!$I$43</definedName>
    <definedName name="E19BASEB3">'Phase 19'!$I$43</definedName>
    <definedName name="E19BASEB4" localSheetId="1">'[1]Phase 19'!$H$43</definedName>
    <definedName name="E19BASEB4">'Phase 19'!$H$43</definedName>
    <definedName name="E19BASEC1" localSheetId="1">'[1]Phase 19'!$O$43</definedName>
    <definedName name="E19BASEC1">'Phase 19'!$O$43</definedName>
    <definedName name="E19BASEC2" localSheetId="1">'[1]Phase 19'!$N$43</definedName>
    <definedName name="E19BASEC2">'Phase 19'!$N$43</definedName>
    <definedName name="E19BASEC3" localSheetId="1">'[1]Phase 19'!$M$43</definedName>
    <definedName name="E19BASEC3">'Phase 19'!$M$43</definedName>
    <definedName name="E19BASEC4" localSheetId="1">'[1]Phase 19'!$L$43</definedName>
    <definedName name="E19BASEC4">'Phase 19'!$L$43</definedName>
    <definedName name="E19BASED1" localSheetId="1">'[1]Phase 19'!$S$43</definedName>
    <definedName name="E19BASED1">'Phase 19'!$S$43</definedName>
    <definedName name="E19BASED2" localSheetId="1">'[1]Phase 19'!$R$43</definedName>
    <definedName name="E19BASED2">'Phase 19'!$R$43</definedName>
    <definedName name="E19BASED3" localSheetId="1">'[1]Phase 19'!$Q$43</definedName>
    <definedName name="E19BASED3">'Phase 19'!$Q$43</definedName>
    <definedName name="E19BASED4" localSheetId="1">'[1]Phase 19'!$P$43</definedName>
    <definedName name="E19BASED4">'Phase 19'!$P$43</definedName>
    <definedName name="E19BASEE1" localSheetId="1">'[1]Phase 19'!$W$43</definedName>
    <definedName name="E19BASEE1">'Phase 19'!$W$43</definedName>
    <definedName name="E19BASEE2" localSheetId="1">'[1]Phase 19'!$V$43</definedName>
    <definedName name="E19BASEE2">'Phase 19'!$V$43</definedName>
    <definedName name="E19BASEE3" localSheetId="1">'[1]Phase 19'!$U$43</definedName>
    <definedName name="E19BASEE3">'Phase 19'!$U$43</definedName>
    <definedName name="E19BASEE4" localSheetId="1">'[1]Phase 19'!$T$43</definedName>
    <definedName name="E19BASEE4">'Phase 19'!$T$43</definedName>
    <definedName name="E19BASEF1" localSheetId="1">'[1]Phase 19'!$AA$43</definedName>
    <definedName name="E19BASEF1">'Phase 19'!$AA$43</definedName>
    <definedName name="E19BASEF2" localSheetId="1">'[1]Phase 19'!$Z$43</definedName>
    <definedName name="E19BASEF2">'Phase 19'!$Z$43</definedName>
    <definedName name="E19BASEF3" localSheetId="1">'[1]Phase 19'!$Y$43</definedName>
    <definedName name="E19BASEF3">'Phase 19'!$Y$43</definedName>
    <definedName name="E19BASEF4" localSheetId="1">'[1]Phase 19'!$X$43</definedName>
    <definedName name="E19BASEF4">'Phase 19'!$X$43</definedName>
    <definedName name="E19BASEG1" localSheetId="1">'[1]Phase 19'!$AE$43</definedName>
    <definedName name="E19BASEG1">'Phase 19'!$AE$43</definedName>
    <definedName name="E19BASEG2" localSheetId="1">'[1]Phase 19'!$AD$43</definedName>
    <definedName name="E19BASEG2">'Phase 19'!$AD$43</definedName>
    <definedName name="E19BASEG3" localSheetId="1">'[1]Phase 19'!$AC$43</definedName>
    <definedName name="E19BASEG3">'Phase 19'!$AC$43</definedName>
    <definedName name="E19BASEG4" localSheetId="1">'[1]Phase 19'!$AB$43</definedName>
    <definedName name="E19BASEG4">'Phase 19'!$AB$43</definedName>
    <definedName name="E19C" localSheetId="1">'[1]Subcontractors List'!$N$159</definedName>
    <definedName name="E19C">'Subcontractors List'!$N$159</definedName>
    <definedName name="E19CommunicationFee" localSheetId="1">'[1]Budget Detail'!$AQ$39</definedName>
    <definedName name="E19CommunicationFee">'Budget Detail'!$AQ$39</definedName>
    <definedName name="E19DirectLaborAA45">'Phase 19'!$AA$45</definedName>
    <definedName name="E19DirectLaborAB45">'Phase 19'!$AB$45</definedName>
    <definedName name="E19DirectLaborAC45">'Phase 19'!$AC$45</definedName>
    <definedName name="E19DirectLaborAD45">'Phase 19'!$AD$45</definedName>
    <definedName name="E19DirectLaborAE45">'Phase 19'!$AE$45</definedName>
    <definedName name="E19DirectLaborD45">'Phase 19'!$D$45</definedName>
    <definedName name="E19DirectLaborE45">'Phase 19'!$E$45</definedName>
    <definedName name="E19DirectLaborF45">'Phase 19'!$F$45</definedName>
    <definedName name="E19DirectLaborG45">'Phase 19'!$G$45</definedName>
    <definedName name="E19DirectLaborH45">'Phase 19'!$H$45</definedName>
    <definedName name="E19DirectLaborI45">'Phase 19'!$I$45</definedName>
    <definedName name="E19DirectLaborJ45">'Phase 19'!$J$45</definedName>
    <definedName name="E19DirectLaborK45">'Phase 19'!$K$45</definedName>
    <definedName name="E19DirectLaborL45">'Phase 19'!$L$45</definedName>
    <definedName name="E19DirectLaborM45">'Phase 19'!$M$45</definedName>
    <definedName name="E19DirectLaborN45">'Phase 19'!$N$45</definedName>
    <definedName name="E19DirectLaborO45">'Phase 19'!$O$45</definedName>
    <definedName name="E19DirectLaborP45">'Phase 19'!$P$45</definedName>
    <definedName name="E19DirectLaborQ45">'Phase 19'!$Q$45</definedName>
    <definedName name="E19DirectLaborR45">'Phase 19'!$R$45</definedName>
    <definedName name="E19DirectLaborS45">'Phase 19'!$S$45</definedName>
    <definedName name="E19DirectLaborT45">'Phase 19'!$T$45</definedName>
    <definedName name="E19DirectLaborTotal" localSheetId="1">'[1]Phase 19'!$AG$35</definedName>
    <definedName name="E19DirectLaborTotal">'Phase 19'!$AG$35</definedName>
    <definedName name="E19DirectLaborU45">'Phase 19'!$U$45</definedName>
    <definedName name="E19DirectLaborV45">'Phase 19'!$V$45</definedName>
    <definedName name="E19DirectLaborW45">'Phase 19'!$W$45</definedName>
    <definedName name="E19DirectLaborX45">'Phase 19'!$X$45</definedName>
    <definedName name="E19DirectLaborY45">'Phase 19'!$Y$45</definedName>
    <definedName name="E19DirectLaborZ45">'Phase 19'!$Z$45</definedName>
    <definedName name="E19EndTotal">'Phase 19'!$AG$28</definedName>
    <definedName name="E19EquipmentTotal" localSheetId="1">'[1]Budget Detail'!$AQ$73</definedName>
    <definedName name="E19EquipmentTotal">'Budget Detail'!$AQ$73</definedName>
    <definedName name="E19ETransfer" localSheetId="1">'[1]Standard Equipment &amp; Supplies'!$G$214</definedName>
    <definedName name="E19ETransfer">'Standard Equipment &amp; Supplies'!$G$214</definedName>
    <definedName name="E19ExpenseTotal" localSheetId="1">'[1]Budget Detail'!$AQ$80</definedName>
    <definedName name="E19ExpenseTotal">'Budget Detail'!$AQ$80</definedName>
    <definedName name="E19GEN" localSheetId="1">'[1]Subcontractors List'!$N$154</definedName>
    <definedName name="E19GEN">'Subcontractors List'!$N$154</definedName>
    <definedName name="E19InsuranceFee" localSheetId="1">'[1]Budget Detail'!$AQ$82</definedName>
    <definedName name="E19InsuranceFee">'Budget Detail'!$AQ$82</definedName>
    <definedName name="E19LaborTotal" localSheetId="1">'[1]Budget Detail'!$AQ$38</definedName>
    <definedName name="E19LaborTotal">'Budget Detail'!$AQ$38</definedName>
    <definedName name="E19LabTotal" localSheetId="1">'[1]Budget Detail'!$AQ$60</definedName>
    <definedName name="E19LabTotal">'Budget Detail'!$AQ$60</definedName>
    <definedName name="E19LTransfer" localSheetId="1">'[1]Travel Charges'!$S$116</definedName>
    <definedName name="E19LTransfer">'Travel Charges'!$S$116</definedName>
    <definedName name="E19M" localSheetId="1">'[1]Subcontractors List'!$N$158</definedName>
    <definedName name="E19M">'Subcontractors List'!$N$158</definedName>
    <definedName name="E19MTransfer" localSheetId="1">'[1]Travel Charges'!$S$115</definedName>
    <definedName name="E19MTransfer">'Travel Charges'!$S$115</definedName>
    <definedName name="E19O" localSheetId="1">'[1]Other Supplies &amp; Rental List'!$N$64</definedName>
    <definedName name="E19O">'Other Supplies &amp; Rental List'!$N$64</definedName>
    <definedName name="E19OTHER" localSheetId="1">'[1]Subcontractors List'!$N$157</definedName>
    <definedName name="E19OTHER">'Subcontractors List'!$N$157</definedName>
    <definedName name="E19OverheadAA46">'Phase 19'!$AA$46</definedName>
    <definedName name="E19OverheadAB46">'Phase 19'!$AB$46</definedName>
    <definedName name="E19OverheadAC46">'Phase 19'!$AC$46</definedName>
    <definedName name="E19OverheadAD46">'Phase 19'!$AD$46</definedName>
    <definedName name="E19OverheadAE46">'Phase 19'!$AE$46</definedName>
    <definedName name="E19OverheadD46">'Phase 19'!$D$46</definedName>
    <definedName name="E19OverheadE46">'Phase 19'!$E$46</definedName>
    <definedName name="E19OverheadF46">'Phase 19'!$F$46</definedName>
    <definedName name="E19OverheadG46">'Phase 19'!$G$46</definedName>
    <definedName name="E19OverheadH46">'Phase 19'!$H$46</definedName>
    <definedName name="E19OverheadI46">'Phase 19'!$I$46</definedName>
    <definedName name="E19OverheadJ46">'Phase 19'!$J$46</definedName>
    <definedName name="E19OverheadK46">'Phase 19'!$K$46</definedName>
    <definedName name="E19OverheadL46">'Phase 19'!$L$46</definedName>
    <definedName name="E19OverheadM46">'Phase 19'!$M$46</definedName>
    <definedName name="E19OverheadN46">'Phase 19'!$N$46</definedName>
    <definedName name="E19OverheadO46">'Phase 19'!$O$46</definedName>
    <definedName name="E19OverheadP46">'Phase 19'!$P$46</definedName>
    <definedName name="E19OverheadQ46">'Phase 19'!$Q$46</definedName>
    <definedName name="E19OverheadR46">'Phase 19'!$R$46</definedName>
    <definedName name="E19OverheadS46">'Phase 19'!$S$46</definedName>
    <definedName name="E19OverheadT46">'Phase 19'!$T$46</definedName>
    <definedName name="E19OverheadTotal" localSheetId="1">'[1]Phase 19'!$AG$37</definedName>
    <definedName name="E19OverheadTotal">'Phase 19'!$AG$37</definedName>
    <definedName name="E19OverheadU46">'Phase 19'!$U$46</definedName>
    <definedName name="E19OverheadV46">'Phase 19'!$V$46</definedName>
    <definedName name="E19OverheadW46">'Phase 19'!$W$46</definedName>
    <definedName name="E19OverheadX46">'Phase 19'!$X$46</definedName>
    <definedName name="E19OverheadY46">'Phase 19'!$Y$46</definedName>
    <definedName name="E19OverheadZ46">'Phase 19'!$Z$46</definedName>
    <definedName name="E19OVTransfer" localSheetId="1">'[1]Travel Charges'!$S$114</definedName>
    <definedName name="E19OVTransfer">'Travel Charges'!$S$114</definedName>
    <definedName name="E19R" localSheetId="1">'[1]Other Supplies &amp; Rental List'!$N$62</definedName>
    <definedName name="E19R">'Other Supplies &amp; Rental List'!$N$62</definedName>
    <definedName name="E19RateA1Total" localSheetId="1">'[1]Budget Detail'!$BU$12</definedName>
    <definedName name="E19RateA1Total">'Budget Detail'!$BU$12</definedName>
    <definedName name="E19RateA2Total" localSheetId="1">'[1]Budget Detail'!$BU$11</definedName>
    <definedName name="E19RateA2Total">'Budget Detail'!$BU$11</definedName>
    <definedName name="E19RateA3Total" localSheetId="1">'[1]Budget Detail'!$BU$10</definedName>
    <definedName name="E19RateA3Total">'Budget Detail'!$BU$10</definedName>
    <definedName name="E19RateA4Total" localSheetId="1">'[1]Budget Detail'!$BU$9</definedName>
    <definedName name="E19RateA4Total">'Budget Detail'!$BU$9</definedName>
    <definedName name="E19RateB1Total" localSheetId="1">'[1]Budget Detail'!$BU$16</definedName>
    <definedName name="E19RateB1Total">'Budget Detail'!$BU$16</definedName>
    <definedName name="E19RateB2Total" localSheetId="1">'[1]Budget Detail'!$BU$15</definedName>
    <definedName name="E19RateB2Total">'Budget Detail'!$BU$15</definedName>
    <definedName name="E19RateB3Total" localSheetId="1">'[1]Budget Detail'!$BU$14</definedName>
    <definedName name="E19RateB3Total">'Budget Detail'!$BU$14</definedName>
    <definedName name="E19RateB4Total" localSheetId="1">'[1]Budget Detail'!$BU$13</definedName>
    <definedName name="E19RateB4Total">'Budget Detail'!$BU$13</definedName>
    <definedName name="E19RateC1Total" localSheetId="1">'[1]Budget Detail'!$BU$20</definedName>
    <definedName name="E19RateC1Total">'Budget Detail'!$BU$20</definedName>
    <definedName name="E19RateC2Total" localSheetId="1">'[1]Budget Detail'!$BU$19</definedName>
    <definedName name="E19RateC2Total">'Budget Detail'!$BU$19</definedName>
    <definedName name="E19RateC3Total" localSheetId="1">'[1]Budget Detail'!$BU$18</definedName>
    <definedName name="E19RateC3Total">'Budget Detail'!$BU$18</definedName>
    <definedName name="E19RateC4Total" localSheetId="1">'[1]Budget Detail'!$BU$17</definedName>
    <definedName name="E19RateC4Total">'Budget Detail'!$BU$17</definedName>
    <definedName name="E19RateD1Total" localSheetId="1">'[1]Budget Detail'!$BU$24</definedName>
    <definedName name="E19RateD1Total">'Budget Detail'!$BU$24</definedName>
    <definedName name="E19RateD2Total" localSheetId="1">'[1]Budget Detail'!$BU$23</definedName>
    <definedName name="E19RateD2Total">'Budget Detail'!$BU$23</definedName>
    <definedName name="E19RateD3Total" localSheetId="1">'[1]Budget Detail'!$BU$22</definedName>
    <definedName name="E19RateD3Total">'Budget Detail'!$BU$22</definedName>
    <definedName name="E19RateD4Total" localSheetId="1">'[1]Budget Detail'!$BU$21</definedName>
    <definedName name="E19RateD4Total">'Budget Detail'!$BU$21</definedName>
    <definedName name="E19RateE1Total" localSheetId="1">'[1]Budget Detail'!$BU$28</definedName>
    <definedName name="E19RateE1Total">'Budget Detail'!$BU$28</definedName>
    <definedName name="E19RateE2Total" localSheetId="1">'[1]Budget Detail'!$BU$27</definedName>
    <definedName name="E19RateE2Total">'Budget Detail'!$BU$27</definedName>
    <definedName name="E19RateE3Total" localSheetId="1">'[1]Budget Detail'!$BU$26</definedName>
    <definedName name="E19RateE3Total">'Budget Detail'!$BU$26</definedName>
    <definedName name="E19RateE4Total" localSheetId="1">'[1]Budget Detail'!$BU$25</definedName>
    <definedName name="E19RateE4Total">'Budget Detail'!$BU$25</definedName>
    <definedName name="E19RateF1Total" localSheetId="1">'[1]Budget Detail'!$BU$32</definedName>
    <definedName name="E19RateF1Total">'Budget Detail'!$BU$32</definedName>
    <definedName name="E19RateF2Total" localSheetId="1">'[1]Budget Detail'!$BU$31</definedName>
    <definedName name="E19RateF2Total">'Budget Detail'!$BU$31</definedName>
    <definedName name="E19RateF3Total" localSheetId="1">'[1]Budget Detail'!$BU$30</definedName>
    <definedName name="E19RateF3Total">'Budget Detail'!$BU$30</definedName>
    <definedName name="E19RateF4Total" localSheetId="1">'[1]Budget Detail'!$BU$29</definedName>
    <definedName name="E19RateF4Total">'Budget Detail'!$BU$29</definedName>
    <definedName name="E19RateG1Total" localSheetId="1">'[1]Budget Detail'!$BU$36</definedName>
    <definedName name="E19RateG1Total">'Budget Detail'!$BU$36</definedName>
    <definedName name="E19RateG2Total" localSheetId="1">'[1]Budget Detail'!$BU$35</definedName>
    <definedName name="E19RateG2Total">'Budget Detail'!$BU$35</definedName>
    <definedName name="E19RateG3Total" localSheetId="1">'[1]Budget Detail'!$BU$34</definedName>
    <definedName name="E19RateG3Total">'Budget Detail'!$BU$34</definedName>
    <definedName name="E19RateG4Total" localSheetId="1">'[1]Budget Detail'!$BU$33</definedName>
    <definedName name="E19RateG4Total">'Budget Detail'!$BU$33</definedName>
    <definedName name="E19REM" localSheetId="1">'[1]Subcontractors List'!$N$153</definedName>
    <definedName name="E19REM">'Subcontractors List'!$N$153</definedName>
    <definedName name="E19RVTransfer" localSheetId="1">'[1]Travel Charges'!$S$113</definedName>
    <definedName name="E19RVTransfer">'Travel Charges'!$S$113</definedName>
    <definedName name="E19S" localSheetId="1">'[1]Other Supplies &amp; Rental List'!$N$63</definedName>
    <definedName name="E19S">'Other Supplies &amp; Rental List'!$N$63</definedName>
    <definedName name="E19SI" localSheetId="1">'[1]Subcontractors List'!$N$156</definedName>
    <definedName name="E19SI">'Subcontractors List'!$N$156</definedName>
    <definedName name="E19STransfer" localSheetId="1">'[1]Standard Equipment &amp; Supplies'!$G$215</definedName>
    <definedName name="E19STransfer">'Standard Equipment &amp; Supplies'!$G$215</definedName>
    <definedName name="E19SubsTotal" localSheetId="1">'[1]Budget Detail'!$AQ$70</definedName>
    <definedName name="E19SubsTotal">'Budget Detail'!$AQ$70</definedName>
    <definedName name="E19TravelTotal" localSheetId="1">'[1]Budget Detail'!$AQ$50</definedName>
    <definedName name="E19TravelTotal">'Budget Detail'!$AQ$50</definedName>
    <definedName name="E19WH" localSheetId="1">'[1]Subcontractors List'!$N$155</definedName>
    <definedName name="E19WH">'Subcontractors List'!$N$155</definedName>
    <definedName name="E1ADDA1">'Budget Detail'!$CS$12</definedName>
    <definedName name="E1ADDA2">'Budget Detail'!$CS$11</definedName>
    <definedName name="E1ADDA3">'Budget Detail'!$CS$10</definedName>
    <definedName name="E1ADDA4">'Budget Detail'!$CS$9</definedName>
    <definedName name="E1ADDB1">'Budget Detail'!$CS$16</definedName>
    <definedName name="E1ADDB2">'Budget Detail'!$CS$15</definedName>
    <definedName name="E1ADDB3">'Budget Detail'!$CS$14</definedName>
    <definedName name="E1ADDB4">'Budget Detail'!$CS$13</definedName>
    <definedName name="E1ADDC1">'Budget Detail'!$CS$20</definedName>
    <definedName name="E1ADDC2">'Budget Detail'!$CS$19</definedName>
    <definedName name="E1ADDC3">'Budget Detail'!$CS$18</definedName>
    <definedName name="E1ADDC4">'Budget Detail'!$CS$17</definedName>
    <definedName name="E1ADDD1">'Budget Detail'!$CS$24</definedName>
    <definedName name="E1ADDD2">'Budget Detail'!$CS$23</definedName>
    <definedName name="E1ADDD3">'Budget Detail'!$CS$22</definedName>
    <definedName name="E1ADDD4">'Budget Detail'!$CS$21</definedName>
    <definedName name="E1ADDE1">'Budget Detail'!$CS$28</definedName>
    <definedName name="E1ADDE2">'Budget Detail'!$CS$27</definedName>
    <definedName name="E1ADDE3">'Budget Detail'!$CS$26</definedName>
    <definedName name="E1ADDE4">'Budget Detail'!$CS$25</definedName>
    <definedName name="E1ADDF1">'Budget Detail'!$CS$32</definedName>
    <definedName name="E1ADDF2">'Budget Detail'!$CS$31</definedName>
    <definedName name="E1ADDF3">'Budget Detail'!$CS$30</definedName>
    <definedName name="E1ADDF4">'Budget Detail'!$CS$29</definedName>
    <definedName name="E1ADDG1">'Budget Detail'!$CS$36</definedName>
    <definedName name="E1ADDG2">'Budget Detail'!$CS$35</definedName>
    <definedName name="E1ADDG3">'Budget Detail'!$CS$34</definedName>
    <definedName name="E1ADDG4">'Budget Detail'!$CS$33</definedName>
    <definedName name="E1AllDLProbitabilityTotal">'Phase 1'!$AG$40</definedName>
    <definedName name="E1AllExpenses">'Budget Detail'!$G$81</definedName>
    <definedName name="E1AllOvProbitabilityTotal">'Phase 1'!$AG$42</definedName>
    <definedName name="E1ATransfer" localSheetId="1">'[1]Travel Charges'!$G$27</definedName>
    <definedName name="E1ATransfer">'Travel Charges'!$G$27</definedName>
    <definedName name="E1B" localSheetId="1">'[1]Subcontractors List'!$N$8</definedName>
    <definedName name="E1B">'Subcontractors List'!$N$8</definedName>
    <definedName name="E1BASEA1" localSheetId="1">'[1]Phase 1'!$G$43</definedName>
    <definedName name="E1BASEA1">'Phase 1'!$G$43</definedName>
    <definedName name="E1BASEA2" localSheetId="1">'[1]Phase 1'!$F$43</definedName>
    <definedName name="E1BASEA2">'Phase 1'!$F$43</definedName>
    <definedName name="E1BASEA3" localSheetId="1">'[1]Phase 1'!$E$43</definedName>
    <definedName name="E1BASEA3">'Phase 1'!$E$43</definedName>
    <definedName name="E1BASEA4" localSheetId="1">'[1]Phase 1'!$D$43</definedName>
    <definedName name="E1BASEA4">'Phase 1'!$D$43</definedName>
    <definedName name="E1BASEB1" localSheetId="1">'[1]Phase 1'!$K$43</definedName>
    <definedName name="E1BASEB1">'Phase 1'!$K$43</definedName>
    <definedName name="E1BASEB2" localSheetId="1">'[1]Phase 1'!$J$43</definedName>
    <definedName name="E1BASEB2">'Phase 1'!$J$43</definedName>
    <definedName name="E1BASEB3" localSheetId="1">'[1]Phase 1'!$I$43</definedName>
    <definedName name="E1BASEB3">'Phase 1'!$I$43</definedName>
    <definedName name="E1BASEB4" localSheetId="1">'[1]Phase 1'!$H$43</definedName>
    <definedName name="E1BASEB4">'Phase 1'!$H$43</definedName>
    <definedName name="E1BASEC1" localSheetId="1">'[1]Phase 1'!$O$43</definedName>
    <definedName name="E1BASEC1">'Phase 1'!$O$43</definedName>
    <definedName name="E1BASEC2" localSheetId="1">'[1]Phase 1'!$N$43</definedName>
    <definedName name="E1BASEC2">'Phase 1'!$N$43</definedName>
    <definedName name="E1BASEC3" localSheetId="1">'[1]Phase 1'!$M$43</definedName>
    <definedName name="E1BASEC3">'Phase 1'!$M$43</definedName>
    <definedName name="E1BASEC4" localSheetId="1">'[1]Phase 1'!$L$43</definedName>
    <definedName name="E1BASEC4">'Phase 1'!$L$43</definedName>
    <definedName name="E1BASED1" localSheetId="1">'[1]Phase 1'!$S$43</definedName>
    <definedName name="E1BASED1">'Phase 1'!$S$43</definedName>
    <definedName name="E1BASED2" localSheetId="1">'[1]Phase 1'!$R$43</definedName>
    <definedName name="E1BASED2">'Phase 1'!$R$43</definedName>
    <definedName name="E1BASED3" localSheetId="1">'[1]Phase 1'!$Q$43</definedName>
    <definedName name="E1BASED3">'Phase 1'!$Q$43</definedName>
    <definedName name="E1BASED4" localSheetId="1">'[1]Phase 1'!$P$43</definedName>
    <definedName name="E1BASED4">'Phase 1'!$P$43</definedName>
    <definedName name="E1BASEE1" localSheetId="1">'[1]Phase 1'!$W$43</definedName>
    <definedName name="E1BASEE1">'Phase 1'!$W$43</definedName>
    <definedName name="E1BASEE2" localSheetId="1">'[1]Phase 1'!$V$43</definedName>
    <definedName name="E1BASEE2">'Phase 1'!$V$43</definedName>
    <definedName name="E1BASEE3" localSheetId="1">'[1]Phase 1'!$U$43</definedName>
    <definedName name="E1BASEE3">'Phase 1'!$U$43</definedName>
    <definedName name="E1BASEE4" localSheetId="1">'[1]Phase 1'!$T$43</definedName>
    <definedName name="E1BASEE4">'Phase 1'!$T$43</definedName>
    <definedName name="E1BASEF1" localSheetId="1">'[1]Phase 1'!$AA$43</definedName>
    <definedName name="E1BASEF1">'Phase 1'!$AA$43</definedName>
    <definedName name="E1BASEF2" localSheetId="1">'[1]Phase 1'!$Z$43</definedName>
    <definedName name="E1BASEF2">'Phase 1'!$Z$43</definedName>
    <definedName name="E1BASEF3" localSheetId="1">'[1]Phase 1'!$Y$43</definedName>
    <definedName name="E1BASEF3">'Phase 1'!$Y$43</definedName>
    <definedName name="E1BASEF4" localSheetId="1">'[1]Phase 1'!$X$43</definedName>
    <definedName name="E1BASEF4">'Phase 1'!$X$43</definedName>
    <definedName name="E1BASEG1" localSheetId="1">'[1]Phase 1'!$AE$43</definedName>
    <definedName name="E1BASEG1">'Phase 1'!$AE$43</definedName>
    <definedName name="E1BASEG2" localSheetId="1">'[1]Phase 1'!$AD$43</definedName>
    <definedName name="E1BASEG2">'Phase 1'!$AD$43</definedName>
    <definedName name="E1BASEG3" localSheetId="1">'[1]Phase 1'!$AC$43</definedName>
    <definedName name="E1BASEG3">'Phase 1'!$AC$43</definedName>
    <definedName name="E1BASEG4" localSheetId="1">'[1]Phase 1'!$AB$43</definedName>
    <definedName name="E1BASEG4">'Phase 1'!$AB$43</definedName>
    <definedName name="E1C" localSheetId="1">'[1]Subcontractors List'!$N$15</definedName>
    <definedName name="E1C">'Subcontractors List'!$N$15</definedName>
    <definedName name="E1DirectLaborAA48">'Phase 1'!$AA$48</definedName>
    <definedName name="E1DirectLaborAB48">'Phase 1'!$AB$48</definedName>
    <definedName name="E1DirectLaborAC48">'Phase 1'!$AC$48</definedName>
    <definedName name="E1DirectLaborAD48">'Phase 1'!$AD$48</definedName>
    <definedName name="E1DirectLaborAE48">'Phase 1'!$AE$48</definedName>
    <definedName name="E1DirectLaborD48">'Phase 1'!$D$48</definedName>
    <definedName name="E1DirectLaborE48">'Phase 1'!$E$48</definedName>
    <definedName name="E1DirectLaborF48">'Phase 1'!$F$48</definedName>
    <definedName name="E1DirectLaborG48">'Phase 1'!$G$48</definedName>
    <definedName name="E1DirectLaborH48">'Phase 1'!$H$48</definedName>
    <definedName name="E1DirectLaborI48">'Phase 1'!$I$48</definedName>
    <definedName name="E1DirectLaborJ48">'Phase 1'!$J$48</definedName>
    <definedName name="E1DirectLaborK48">'Phase 1'!$K$48</definedName>
    <definedName name="E1DirectLaborL48">'Phase 1'!$L$48</definedName>
    <definedName name="E1DirectLaborM48">'Phase 1'!$M$48</definedName>
    <definedName name="E1DirectLaborN48">'Phase 1'!$N$48</definedName>
    <definedName name="E1DirectLaborO48">'Phase 1'!$O$48</definedName>
    <definedName name="E1DirectLaborP48">'Phase 1'!$P$48</definedName>
    <definedName name="E1DirectLaborQ48">'Phase 1'!$Q$48</definedName>
    <definedName name="E1DirectLaborR48">'Phase 1'!$R$48</definedName>
    <definedName name="E1DirectLaborS48">'Phase 1'!$S$48</definedName>
    <definedName name="E1DirectLaborT48">'Phase 1'!$T$48</definedName>
    <definedName name="E1DirectLaborTotal">'Phase 1'!$AG$35</definedName>
    <definedName name="E1DirectLaborU48">'Phase 1'!$U$48</definedName>
    <definedName name="E1DirectLaborV48">'Phase 1'!$V$48</definedName>
    <definedName name="E1DirectLaborW48">'Phase 1'!$W$48</definedName>
    <definedName name="E1DirectLaborX48">'Phase 1'!$X$48</definedName>
    <definedName name="E1DirectLaborY48">'Phase 1'!$Y$48</definedName>
    <definedName name="E1DirectLaborZ48">'Phase 1'!$Z$48</definedName>
    <definedName name="E1Dropdown">'RATE Schedules'!$AM$1</definedName>
    <definedName name="E1EquipmentTotal" localSheetId="1">'[1]Budget Detail'!$G$73</definedName>
    <definedName name="E1EquipmentTotal">'Budget Detail'!$G$73</definedName>
    <definedName name="E1ETransfer" localSheetId="1">'[1]Standard Equipment &amp; Supplies'!$G$160</definedName>
    <definedName name="E1ETransfer">'Standard Equipment &amp; Supplies'!$G$160</definedName>
    <definedName name="E1ExpenseTotal" localSheetId="1">'[1]Budget Detail'!$G$80</definedName>
    <definedName name="E1ExpenseTotal">'Budget Detail'!$G$80</definedName>
    <definedName name="E1GEN" localSheetId="1">'[1]Subcontractors List'!$N$10</definedName>
    <definedName name="E1GEN">'Subcontractors List'!$N$10</definedName>
    <definedName name="E1IExpenseTotal" localSheetId="1">'[1]Budget Detail'!#REF!</definedName>
    <definedName name="E1IExpenseTotal">'Budget Detail'!#REF!</definedName>
    <definedName name="E1IncludeExpenses">'Budget Summary'!$P$17</definedName>
    <definedName name="E1IncludeLab">'Budget Summary'!$P$21</definedName>
    <definedName name="E1IncludeLabor">'Budget Summary'!$P$15</definedName>
    <definedName name="E1IncludeProcure">'Budget Summary'!$P$20</definedName>
    <definedName name="E1IncludeSubs">'Budget Summary'!$P$22</definedName>
    <definedName name="E1LaborTotal" localSheetId="1">'[1]Budget Detail'!$G$38</definedName>
    <definedName name="E1LaborTotal">'Budget Detail'!$G$38</definedName>
    <definedName name="E1LabTotal" localSheetId="1">'[1]Budget Detail'!$G$60</definedName>
    <definedName name="E1LabTotal">'Budget Detail'!$G$60</definedName>
    <definedName name="E1LTransfer" localSheetId="1">'[1]Travel Charges'!$G$26</definedName>
    <definedName name="E1LTransfer">'Travel Charges'!$G$26</definedName>
    <definedName name="E1M" localSheetId="1">'[1]Subcontractors List'!$N$14</definedName>
    <definedName name="E1M">'Subcontractors List'!$N$14</definedName>
    <definedName name="E1MTransfer" localSheetId="1">'[1]Travel Charges'!$G$25</definedName>
    <definedName name="E1MTransfer">'Travel Charges'!$G$25</definedName>
    <definedName name="E1O" localSheetId="1">'[1]Other Supplies &amp; Rental List'!$N$10</definedName>
    <definedName name="E1O">'Other Supplies &amp; Rental List'!$N$10</definedName>
    <definedName name="E1OTHER" localSheetId="1">'[1]Subcontractors List'!$N$13</definedName>
    <definedName name="E1OTHER">'Subcontractors List'!$N$13</definedName>
    <definedName name="E1OverheadAA49">'Phase 1'!$AA$49</definedName>
    <definedName name="E1OverheadAB49">'Phase 1'!$AB$49</definedName>
    <definedName name="E1OverheadAC49">'Phase 1'!$AC$49</definedName>
    <definedName name="E1OverheadAD49">'Phase 1'!$AD$49</definedName>
    <definedName name="E1OverheadAE49">'Phase 1'!$AE$49</definedName>
    <definedName name="E1OverheadD49">'Phase 1'!$D$49</definedName>
    <definedName name="E1OverheadE49">'Phase 1'!$E$49</definedName>
    <definedName name="E1OverheadF49">'Phase 1'!$F$49</definedName>
    <definedName name="E1OverheadG49">'Phase 1'!$G$49</definedName>
    <definedName name="E1OverheadH49">'Phase 1'!$H$49</definedName>
    <definedName name="E1OverheadI49">'Phase 1'!$I$49</definedName>
    <definedName name="E1OverheadJ49">'Phase 1'!$J$49</definedName>
    <definedName name="E1OverheadK49">'Phase 1'!$K$49</definedName>
    <definedName name="E1OverheadL49">'Phase 1'!$L$49</definedName>
    <definedName name="E1OverheadM49">'Phase 1'!$M$49</definedName>
    <definedName name="E1OverheadN49">'Phase 1'!$N$49</definedName>
    <definedName name="E1OverheadO49">'Phase 1'!$O$49</definedName>
    <definedName name="E1OverheadP49">'Phase 1'!$P$49</definedName>
    <definedName name="E1OverheadQ49">'Phase 1'!$Q$49</definedName>
    <definedName name="E1OverheadR49">'Phase 1'!$R$49</definedName>
    <definedName name="E1OverheadS49">'Phase 1'!$S$49</definedName>
    <definedName name="E1OverheadT49">'Phase 1'!$T$49</definedName>
    <definedName name="E1OverheadTotal">'Phase 1'!$AG$37</definedName>
    <definedName name="E1OverheadU49">'Phase 1'!$U$49</definedName>
    <definedName name="E1OverheadV49">'Phase 1'!$V$49</definedName>
    <definedName name="E1OverheadW49">'Phase 1'!$W$49</definedName>
    <definedName name="E1OverheadX49">'Phase 1'!$X$49</definedName>
    <definedName name="E1OverheadY49">'Phase 1'!$Y$49</definedName>
    <definedName name="E1OverheadZ49">'Phase 1'!$Z$49</definedName>
    <definedName name="E1OVTransfer" localSheetId="1">'[1]Travel Charges'!$G$24</definedName>
    <definedName name="E1OVTransfer">'Travel Charges'!$G$24</definedName>
    <definedName name="E1QUANTITY" localSheetId="1">#REF!</definedName>
    <definedName name="E1QUANTITY" localSheetId="39">#REF!</definedName>
    <definedName name="E1QUANTITY">#REF!</definedName>
    <definedName name="E1R" localSheetId="1">'[1]Other Supplies &amp; Rental List'!$N$8</definedName>
    <definedName name="E1R">'Other Supplies &amp; Rental List'!$N$8</definedName>
    <definedName name="E1RateA1Total">'Budget Detail'!$BC$12</definedName>
    <definedName name="E1RateA2Total">'Budget Detail'!$BC$11</definedName>
    <definedName name="E1RateA3Total">'Budget Detail'!$BC$10</definedName>
    <definedName name="E1RateA4Total">'Budget Detail'!$BC$9</definedName>
    <definedName name="E1RateB1Total">'Budget Detail'!$BC$16</definedName>
    <definedName name="E1RateB2Total">'Budget Detail'!$BC$15</definedName>
    <definedName name="E1RateB3Total">'Budget Detail'!$BC$14</definedName>
    <definedName name="E1RateB4Total">'Budget Detail'!$BC$13</definedName>
    <definedName name="E1RateC1Total">'Budget Detail'!$BC$20</definedName>
    <definedName name="E1RateC2Total">'Budget Detail'!$BC$19</definedName>
    <definedName name="E1RateC3Total">'Budget Detail'!$BC$18</definedName>
    <definedName name="E1RateC4Total">'Budget Detail'!$BC$17</definedName>
    <definedName name="E1RateD1Total">'Budget Detail'!$BC$24</definedName>
    <definedName name="E1RateD2Total">'Budget Detail'!$BC$23</definedName>
    <definedName name="E1RateD3Total">'Budget Detail'!$BC$22</definedName>
    <definedName name="E1RateD4Total">'Budget Detail'!$BC$21</definedName>
    <definedName name="E1RateE1Total">'Budget Detail'!$BC$28</definedName>
    <definedName name="E1RateE2Total">'Budget Detail'!$BC$27</definedName>
    <definedName name="E1RateE3Total">'Budget Detail'!$BC$26</definedName>
    <definedName name="E1Ratee4Total">'Budget Detail'!$BC$25</definedName>
    <definedName name="E1RateF1Total">'Budget Detail'!$BC$32</definedName>
    <definedName name="E1RateF2Total">'Budget Detail'!$BC$31</definedName>
    <definedName name="E1RateF3Total">'Budget Detail'!$BC$30</definedName>
    <definedName name="E1Ratef4Total">'Budget Detail'!$BC$29</definedName>
    <definedName name="E1RateG1Total">'Budget Detail'!$BC$36</definedName>
    <definedName name="E1RateG2Total">'Budget Detail'!$BC$35</definedName>
    <definedName name="E1RateG3Total">'Budget Detail'!$BC$34</definedName>
    <definedName name="E1RateG4Total">'Budget Detail'!$BC$33</definedName>
    <definedName name="E1REM" localSheetId="1">'[1]Subcontractors List'!$N$9</definedName>
    <definedName name="E1REM">'Subcontractors List'!$N$9</definedName>
    <definedName name="E1RVTransfer" localSheetId="1">'[1]Travel Charges'!$G$23</definedName>
    <definedName name="E1RVTransfer">'Travel Charges'!$G$23</definedName>
    <definedName name="E1S" localSheetId="1">'[1]Other Supplies &amp; Rental List'!$N$9</definedName>
    <definedName name="E1S">'Other Supplies &amp; Rental List'!$N$9</definedName>
    <definedName name="E1SI" localSheetId="1">'[1]Subcontractors List'!$N$12</definedName>
    <definedName name="E1SI">'Subcontractors List'!$N$12</definedName>
    <definedName name="E1STransfer" localSheetId="1">'[1]Standard Equipment &amp; Supplies'!$G$161</definedName>
    <definedName name="E1STransfer">'Standard Equipment &amp; Supplies'!$G$161</definedName>
    <definedName name="E1SubsTotal" localSheetId="1">'[1]Budget Detail'!$G$70</definedName>
    <definedName name="E1SubsTotal">'Budget Detail'!$G$70</definedName>
    <definedName name="E1TDropdowns">'RATE Schedules'!$AP$1</definedName>
    <definedName name="E1TravelTotal" localSheetId="1">'[1]Budget Detail'!$G$50</definedName>
    <definedName name="E1TravelTotal">'Budget Detail'!$G$50</definedName>
    <definedName name="E1Units" localSheetId="39">#REF!,#REF!,#REF!,#REF!,#REF!,#REF!,#REF!,#REF!,#REF!,#REF!,#REF!,#REF!,#REF!,#REF!,#REF!,#REF!,#REF!,#REF!,#REF!</definedName>
    <definedName name="E1Units">#REF!,#REF!,#REF!,#REF!,#REF!,#REF!,#REF!,#REF!,#REF!,#REF!,#REF!,#REF!,#REF!,#REF!,#REF!,#REF!,#REF!,#REF!,#REF!</definedName>
    <definedName name="E1UnitsMirror">'RATE Schedules'!$AN$1</definedName>
    <definedName name="E1WH" localSheetId="1">'[1]Subcontractors List'!$N$11</definedName>
    <definedName name="E1WH">'Subcontractors List'!$N$11</definedName>
    <definedName name="E20ADDA1">'Budget Detail'!$DL$12</definedName>
    <definedName name="E20ADDA2">'Budget Detail'!$DL$11</definedName>
    <definedName name="E20ADDA3">'Budget Detail'!$DL$10</definedName>
    <definedName name="E20ADDA4">'Budget Detail'!$DL$9</definedName>
    <definedName name="E20ADDB1">'Budget Detail'!$DL$16</definedName>
    <definedName name="E20ADDB2">'Budget Detail'!$DL$15</definedName>
    <definedName name="E20ADDB3">'Budget Detail'!$DL$14</definedName>
    <definedName name="E20ADDB4">'Budget Detail'!$DL$13</definedName>
    <definedName name="E20ADDC1">'Budget Detail'!$DL$20</definedName>
    <definedName name="E20ADDC2">'Budget Detail'!$DL$19</definedName>
    <definedName name="E20ADDC3">'Budget Detail'!$DL$18</definedName>
    <definedName name="E20ADDC4">'Budget Detail'!$DL$17</definedName>
    <definedName name="E20ADDD1">'Budget Detail'!$DL$24</definedName>
    <definedName name="E20ADDD2">'Budget Detail'!$DL$23</definedName>
    <definedName name="E20ADDD3">'Budget Detail'!$DL$22</definedName>
    <definedName name="E20ADDD4">'Budget Detail'!$DL$21</definedName>
    <definedName name="E20ADDE1">'Budget Detail'!$DL$28</definedName>
    <definedName name="E20ADDE2">'Budget Detail'!$DL$27</definedName>
    <definedName name="E20ADDE3">'Budget Detail'!$DL$26</definedName>
    <definedName name="E20ADDE4">'Budget Detail'!$DL$25</definedName>
    <definedName name="E20ADDF1">'Budget Detail'!$DL$32</definedName>
    <definedName name="E20ADDF2">'Budget Detail'!$DL$31</definedName>
    <definedName name="E20ADDF3">'Budget Detail'!$DL$30</definedName>
    <definedName name="E20ADDF4">'Budget Detail'!$DL$29</definedName>
    <definedName name="E20ADDG1">'Budget Detail'!$DL$36</definedName>
    <definedName name="E20ADDG2">'Budget Detail'!$DL$35</definedName>
    <definedName name="E20ADDG3">'Budget Detail'!$DL$34</definedName>
    <definedName name="E20ADDG4">'Budget Detail'!$DL$33</definedName>
    <definedName name="E20ATransfer" localSheetId="1">'[1]Travel Charges'!$W$117</definedName>
    <definedName name="E20ATransfer">'Travel Charges'!$W$117</definedName>
    <definedName name="E20B" localSheetId="1">'[1]Subcontractors List'!$N$160</definedName>
    <definedName name="E20B">'Subcontractors List'!$N$160</definedName>
    <definedName name="E20BASEA1" localSheetId="1">'[1]Phase 20'!$G$43</definedName>
    <definedName name="E20BASEA1">'Phase 20'!$G$43</definedName>
    <definedName name="E20BASEA2" localSheetId="1">'[1]Phase 20'!$F$43</definedName>
    <definedName name="E20BASEA2">'Phase 20'!$F$43</definedName>
    <definedName name="E20BASEA3" localSheetId="1">'[1]Phase 20'!$E$43</definedName>
    <definedName name="E20BASEA3">'Phase 20'!$E$43</definedName>
    <definedName name="E20BASEA4" localSheetId="1">'[1]Phase 20'!$D$43</definedName>
    <definedName name="E20BASEA4">'Phase 20'!$D$43</definedName>
    <definedName name="E20BASEB1" localSheetId="1">'[1]Phase 20'!$K$43</definedName>
    <definedName name="E20BASEB1">'Phase 20'!$K$43</definedName>
    <definedName name="E20BASEB2" localSheetId="1">'[1]Phase 20'!$J$43</definedName>
    <definedName name="E20BASEB2">'Phase 20'!$J$43</definedName>
    <definedName name="E20BASEB3" localSheetId="1">'[1]Phase 20'!$I$43</definedName>
    <definedName name="E20BASEB3">'Phase 20'!$I$43</definedName>
    <definedName name="E20BASEB4" localSheetId="1">'[1]Phase 20'!$H$43</definedName>
    <definedName name="E20BASEB4">'Phase 20'!$H$43</definedName>
    <definedName name="E20BASEC1" localSheetId="1">'[1]Phase 20'!$O$43</definedName>
    <definedName name="E20BASEC1">'Phase 20'!$O$43</definedName>
    <definedName name="E20BASEC2" localSheetId="1">'[1]Phase 20'!$N$43</definedName>
    <definedName name="E20BASEC2">'Phase 20'!$N$43</definedName>
    <definedName name="E20BASEC3" localSheetId="1">'[1]Phase 20'!$M$43</definedName>
    <definedName name="E20BASEC3">'Phase 20'!$M$43</definedName>
    <definedName name="E20BASEC4" localSheetId="1">'[1]Phase 20'!$L$43</definedName>
    <definedName name="E20BASEC4">'Phase 20'!$L$43</definedName>
    <definedName name="E20BASED1" localSheetId="1">'[1]Phase 20'!$S$43</definedName>
    <definedName name="E20BASED1">'Phase 20'!$S$43</definedName>
    <definedName name="E20BASED2" localSheetId="1">'[1]Phase 20'!$R$43</definedName>
    <definedName name="E20BASED2">'Phase 20'!$R$43</definedName>
    <definedName name="E20BASED3" localSheetId="1">'[1]Phase 20'!$Q$43</definedName>
    <definedName name="E20BASED3">'Phase 20'!$Q$43</definedName>
    <definedName name="E20BASED4" localSheetId="1">'[1]Phase 20'!$P$43</definedName>
    <definedName name="E20BASED4">'Phase 20'!$P$43</definedName>
    <definedName name="E20BASEE1" localSheetId="1">'[1]Phase 20'!$W$43</definedName>
    <definedName name="E20BASEE1">'Phase 20'!$W$43</definedName>
    <definedName name="E20BASEE2" localSheetId="1">'[1]Phase 20'!$V$43</definedName>
    <definedName name="E20BASEE2">'Phase 20'!$V$43</definedName>
    <definedName name="E20BASEE3" localSheetId="1">'[1]Phase 20'!$U$43</definedName>
    <definedName name="E20BASEE3">'Phase 20'!$U$43</definedName>
    <definedName name="E20BASEE4" localSheetId="1">'[1]Phase 20'!$T$43</definedName>
    <definedName name="E20BASEE4">'Phase 20'!$T$43</definedName>
    <definedName name="E20BASEF1" localSheetId="1">'[1]Phase 20'!$AA$43</definedName>
    <definedName name="E20BASEF1">'Phase 20'!$AA$43</definedName>
    <definedName name="E20BASEF2" localSheetId="1">'[1]Phase 20'!$Z$43</definedName>
    <definedName name="E20BASEF2">'Phase 20'!$Z$43</definedName>
    <definedName name="E20BASEF3" localSheetId="1">'[1]Phase 20'!$Y$43</definedName>
    <definedName name="E20BASEF3">'Phase 20'!$Y$43</definedName>
    <definedName name="E20BASEF4" localSheetId="1">'[1]Phase 20'!$X$43</definedName>
    <definedName name="E20BASEF4">'Phase 20'!$X$43</definedName>
    <definedName name="E20BASEG1" localSheetId="1">'[1]Phase 20'!$AE$43</definedName>
    <definedName name="E20BASEG1">'Phase 20'!$AE$43</definedName>
    <definedName name="E20BASEG2" localSheetId="1">'[1]Phase 20'!$AD$43</definedName>
    <definedName name="E20BASEG2">'Phase 20'!$AD$43</definedName>
    <definedName name="E20BASEG3" localSheetId="1">'[1]Phase 20'!$AC$43</definedName>
    <definedName name="E20BASEG3">'Phase 20'!$AC$43</definedName>
    <definedName name="E20BASEG4" localSheetId="1">'[1]Phase 20'!$AB$43</definedName>
    <definedName name="E20BASEG4">'Phase 20'!$AB$43</definedName>
    <definedName name="E20C" localSheetId="1">'[1]Subcontractors List'!$N$167</definedName>
    <definedName name="E20C">'Subcontractors List'!$N$167</definedName>
    <definedName name="E20CommunicationFee" localSheetId="1">'[1]Budget Detail'!$AS$39</definedName>
    <definedName name="E20CommunicationFee">'Budget Detail'!$AS$39</definedName>
    <definedName name="E20DirectLaborAA45">'Phase 20'!$AA$45</definedName>
    <definedName name="E20DirectLaborAB45">'Phase 20'!$AB$45</definedName>
    <definedName name="E20DirectLaborAC45">'Phase 20'!$AC$45</definedName>
    <definedName name="E20DirectLaborAD45">'Phase 20'!$AD$45</definedName>
    <definedName name="E20DirectLaborAE45">'Phase 20'!$AE$45</definedName>
    <definedName name="E20DirectLaborD45">'Phase 20'!$D$45</definedName>
    <definedName name="E20DirectLaborE45">'Phase 20'!$E$45</definedName>
    <definedName name="E20DirectLaborF45">'Phase 20'!$F$45</definedName>
    <definedName name="E20DirectLaborG45">'Phase 20'!$G$45</definedName>
    <definedName name="E20DirectLaborH45">'Phase 20'!$H$45</definedName>
    <definedName name="E20DirectLaborI45">'Phase 20'!$I$45</definedName>
    <definedName name="E20DirectLaborJ45">'Phase 20'!$J$45</definedName>
    <definedName name="E20DirectLaborK45">'Phase 20'!$K$45</definedName>
    <definedName name="E20DirectLaborL45">'Phase 20'!$L$45</definedName>
    <definedName name="E20DirectLaborM45">'Phase 20'!$M$45</definedName>
    <definedName name="E20DirectLaborN45">'Phase 20'!$N$45</definedName>
    <definedName name="E20DirectLaborO45">'Phase 20'!$O$45</definedName>
    <definedName name="E20DirectLaborP45">'Phase 20'!$P$45</definedName>
    <definedName name="E20DirectLaborQ45">'Phase 20'!$Q$45</definedName>
    <definedName name="E20DirectLaborR45">'Phase 20'!$R$45</definedName>
    <definedName name="E20DirectLaborS45">'Phase 20'!$S$45</definedName>
    <definedName name="E20DirectLaborT45">'Phase 20'!$T$45</definedName>
    <definedName name="E20DirectLaborTotal" localSheetId="1">'[1]Phase 20'!$AG$35</definedName>
    <definedName name="E20DirectLaborTotal">'Phase 20'!$AG$35</definedName>
    <definedName name="E20DirectLaborU45">'Phase 20'!$U$45</definedName>
    <definedName name="E20DirectLaborV45">'Phase 20'!$V$45</definedName>
    <definedName name="E20DirectLaborW45">'Phase 20'!$W$45</definedName>
    <definedName name="E20DirectLaborX45">'Phase 20'!$X$45</definedName>
    <definedName name="E20DirectLaborY45">'Phase 20'!$Y$45</definedName>
    <definedName name="E20DirectLaborZ45">'Phase 20'!$Z$45</definedName>
    <definedName name="E20EndTotal">'Phase 20'!$AG$28</definedName>
    <definedName name="E20EquipmentTotal" localSheetId="1">'[1]Budget Detail'!$AS$73</definedName>
    <definedName name="E20EquipmentTotal">'Budget Detail'!$AS$73</definedName>
    <definedName name="E20ETransfer" localSheetId="1">'[1]Standard Equipment &amp; Supplies'!$G$217</definedName>
    <definedName name="E20ETransfer">'Standard Equipment &amp; Supplies'!$G$217</definedName>
    <definedName name="E20ExpenseTotal" localSheetId="1">'[1]Budget Detail'!$AS$80</definedName>
    <definedName name="E20ExpenseTotal">'Budget Detail'!$AS$80</definedName>
    <definedName name="E20GEN" localSheetId="1">'[1]Subcontractors List'!$N$162</definedName>
    <definedName name="E20GEN">'Subcontractors List'!$N$162</definedName>
    <definedName name="E20InsuranceFee" localSheetId="1">'[1]Budget Detail'!$AS$82</definedName>
    <definedName name="E20InsuranceFee">'Budget Detail'!$AS$82</definedName>
    <definedName name="E20LaborTotal" localSheetId="1">'[1]Budget Detail'!$AS$38</definedName>
    <definedName name="E20LaborTotal">'Budget Detail'!$AS$38</definedName>
    <definedName name="E20LabTotal" localSheetId="1">'[1]Budget Detail'!$AS$60</definedName>
    <definedName name="E20LabTotal">'Budget Detail'!$AS$60</definedName>
    <definedName name="E20LTransfer" localSheetId="1">'[1]Travel Charges'!$W$116</definedName>
    <definedName name="E20LTransfer">'Travel Charges'!$W$116</definedName>
    <definedName name="E20M" localSheetId="1">'[1]Subcontractors List'!$N$166</definedName>
    <definedName name="E20M">'Subcontractors List'!$N$166</definedName>
    <definedName name="E20MTransfer" localSheetId="1">'[1]Travel Charges'!$W$115</definedName>
    <definedName name="E20MTransfer">'Travel Charges'!$W$115</definedName>
    <definedName name="E20O" localSheetId="1">'[1]Other Supplies &amp; Rental List'!$N$67</definedName>
    <definedName name="E20O">'Other Supplies &amp; Rental List'!$N$67</definedName>
    <definedName name="E20OTHER" localSheetId="1">'[1]Subcontractors List'!$N$165</definedName>
    <definedName name="E20OTHER">'Subcontractors List'!$N$165</definedName>
    <definedName name="E20OverheadAA46">'Phase 20'!$AA$46</definedName>
    <definedName name="E20OverheadAB46">'Phase 20'!$AB$46</definedName>
    <definedName name="E20OverheadAC46">'Phase 20'!$AC$46</definedName>
    <definedName name="E20OverheadAD46">'Phase 20'!$AD$46</definedName>
    <definedName name="E20OverheadAE46">'Phase 20'!$AE$46</definedName>
    <definedName name="E20OverheadD46">'Phase 20'!$D$46</definedName>
    <definedName name="E20OverheadE46">'Phase 20'!$E$46</definedName>
    <definedName name="E20OverheadF46">'Phase 20'!$F$46</definedName>
    <definedName name="E20OverheadG46">'Phase 20'!$G$46</definedName>
    <definedName name="E20OverheadH46">'Phase 20'!$H$46</definedName>
    <definedName name="E20OverheadI46">'Phase 20'!$I$46</definedName>
    <definedName name="E20OverheadJ46">'Phase 20'!$J$46</definedName>
    <definedName name="E20OverheadK46">'Phase 20'!$K$46</definedName>
    <definedName name="E20OverheadL46">'Phase 20'!$L$46</definedName>
    <definedName name="E20OverheadM46">'Phase 20'!$M$46</definedName>
    <definedName name="E20OverheadN46">'Phase 20'!$N$46</definedName>
    <definedName name="E20OverheadO46">'Phase 20'!$O$46</definedName>
    <definedName name="E20OverheadP46">'Phase 20'!$P$46</definedName>
    <definedName name="E20OverheadQ46">'Phase 20'!$Q$46</definedName>
    <definedName name="E20OverheadR46">'Phase 20'!$R$46</definedName>
    <definedName name="E20OverheadS46">'Phase 20'!$S$46</definedName>
    <definedName name="E20OverheadT46">'Phase 20'!$T$46</definedName>
    <definedName name="E20OverheadTotal" localSheetId="1">'[1]Phase 20'!$AG$37</definedName>
    <definedName name="E20OverheadTotal">'Phase 20'!$AG$37</definedName>
    <definedName name="E20OverheadU46">'Phase 20'!$U$46</definedName>
    <definedName name="E20OverheadV46">'Phase 20'!$V$46</definedName>
    <definedName name="E20OverheadW46">'Phase 20'!$W$46</definedName>
    <definedName name="E20OverheadX46">'Phase 20'!$X$46</definedName>
    <definedName name="E20OverheadY46">'Phase 20'!$Y$46</definedName>
    <definedName name="E20OverheadZ46">'Phase 20'!$Z$46</definedName>
    <definedName name="E20OVTransfer" localSheetId="1">'[1]Travel Charges'!$W$114</definedName>
    <definedName name="E20OVTransfer">'Travel Charges'!$W$114</definedName>
    <definedName name="E20R" localSheetId="1">'[1]Other Supplies &amp; Rental List'!$N$65</definedName>
    <definedName name="E20R">'Other Supplies &amp; Rental List'!$N$65</definedName>
    <definedName name="E20RateA1Total" localSheetId="1">'[1]Budget Detail'!$BV$12</definedName>
    <definedName name="E20RateA1Total">'Budget Detail'!$BV$12</definedName>
    <definedName name="E20RateA2Total" localSheetId="1">'[1]Budget Detail'!$BV$11</definedName>
    <definedName name="E20RateA2Total">'Budget Detail'!$BV$11</definedName>
    <definedName name="E20RateA3Total" localSheetId="1">'[1]Budget Detail'!$BV$10</definedName>
    <definedName name="E20RateA3Total">'Budget Detail'!$BV$10</definedName>
    <definedName name="E20RateA4Total" localSheetId="1">'[1]Budget Detail'!$BV$9</definedName>
    <definedName name="E20RateA4Total">'Budget Detail'!$BV$9</definedName>
    <definedName name="E20RateB1Total" localSheetId="1">'[1]Budget Detail'!$BV$16</definedName>
    <definedName name="E20RateB1Total">'Budget Detail'!$BV$16</definedName>
    <definedName name="E20RateB2Total" localSheetId="1">'[1]Budget Detail'!$BV$15</definedName>
    <definedName name="E20RateB2Total">'Budget Detail'!$BV$15</definedName>
    <definedName name="E20RateB3Total" localSheetId="1">'[1]Budget Detail'!$BV$14</definedName>
    <definedName name="E20RateB3Total">'Budget Detail'!$BV$14</definedName>
    <definedName name="E20RateB4Total" localSheetId="1">'[1]Budget Detail'!$BV$13</definedName>
    <definedName name="E20RateB4Total">'Budget Detail'!$BV$13</definedName>
    <definedName name="E20RateC1Total" localSheetId="1">'[1]Budget Detail'!$BV$20</definedName>
    <definedName name="E20RateC1Total">'Budget Detail'!$BV$20</definedName>
    <definedName name="E20RateC2Total" localSheetId="1">'[1]Budget Detail'!$BV$19</definedName>
    <definedName name="E20RateC2Total">'Budget Detail'!$BV$19</definedName>
    <definedName name="E20RateC3Total" localSheetId="1">'[1]Budget Detail'!$BV$18</definedName>
    <definedName name="E20RateC3Total">'Budget Detail'!$BV$18</definedName>
    <definedName name="E20RateC4Total" localSheetId="1">'[1]Budget Detail'!$BV$17</definedName>
    <definedName name="E20RateC4Total">'Budget Detail'!$BV$17</definedName>
    <definedName name="E20RateD1Total" localSheetId="1">'[1]Budget Detail'!$BV$24</definedName>
    <definedName name="E20RateD1Total">'Budget Detail'!$BV$24</definedName>
    <definedName name="E20RateD2Total" localSheetId="1">'[1]Budget Detail'!$BV$23</definedName>
    <definedName name="E20RateD2Total">'Budget Detail'!$BV$23</definedName>
    <definedName name="E20RateD3Total" localSheetId="1">'[1]Budget Detail'!$BV$22</definedName>
    <definedName name="E20RateD3Total">'Budget Detail'!$BV$22</definedName>
    <definedName name="E20RateD4Total" localSheetId="1">'[1]Budget Detail'!$BV$21</definedName>
    <definedName name="E20RateD4Total">'Budget Detail'!$BV$21</definedName>
    <definedName name="E20RateE1Total" localSheetId="1">'[1]Budget Detail'!$BV$28</definedName>
    <definedName name="E20RateE1Total">'Budget Detail'!$BV$28</definedName>
    <definedName name="E20RateE2Total" localSheetId="1">'[1]Budget Detail'!$BV$27</definedName>
    <definedName name="E20RateE2Total">'Budget Detail'!$BV$27</definedName>
    <definedName name="E20RateE3Total" localSheetId="1">'[1]Budget Detail'!$BV$26</definedName>
    <definedName name="E20RateE3Total">'Budget Detail'!$BV$26</definedName>
    <definedName name="E20RateE4Total" localSheetId="1">'[1]Budget Detail'!$BV$25</definedName>
    <definedName name="E20RateE4Total">'Budget Detail'!$BV$25</definedName>
    <definedName name="E20RateF1Total" localSheetId="1">'[1]Budget Detail'!$BV$32</definedName>
    <definedName name="E20RateF1Total">'Budget Detail'!$BV$32</definedName>
    <definedName name="E20RateF2Total" localSheetId="1">'[1]Budget Detail'!$BV$31</definedName>
    <definedName name="E20RateF2Total">'Budget Detail'!$BV$31</definedName>
    <definedName name="E20RateF3Total" localSheetId="1">'[1]Budget Detail'!$BV$30</definedName>
    <definedName name="E20RateF3Total">'Budget Detail'!$BV$30</definedName>
    <definedName name="E20RateF4Total" localSheetId="1">'[1]Budget Detail'!$BV$29</definedName>
    <definedName name="E20RateF4Total">'Budget Detail'!$BV$29</definedName>
    <definedName name="E20RateG1Total" localSheetId="1">'[1]Budget Detail'!$BV$36</definedName>
    <definedName name="E20RateG1Total">'Budget Detail'!$BV$36</definedName>
    <definedName name="E20RateG2Total" localSheetId="1">'[1]Budget Detail'!$BV$35</definedName>
    <definedName name="E20RateG2Total">'Budget Detail'!$BV$35</definedName>
    <definedName name="E20RateG3Total" localSheetId="1">'[1]Budget Detail'!$BV$34</definedName>
    <definedName name="E20RateG3Total">'Budget Detail'!$BV$34</definedName>
    <definedName name="E20RateG4Total" localSheetId="1">'[1]Budget Detail'!$BV$33</definedName>
    <definedName name="E20RateG4Total">'Budget Detail'!$BV$33</definedName>
    <definedName name="E20REM" localSheetId="1">'[1]Subcontractors List'!$N$161</definedName>
    <definedName name="E20REM">'Subcontractors List'!$N$161</definedName>
    <definedName name="E20RVTransfer" localSheetId="1">'[1]Travel Charges'!$W$113</definedName>
    <definedName name="E20RVTransfer">'Travel Charges'!$W$113</definedName>
    <definedName name="E20S" localSheetId="1">'[1]Other Supplies &amp; Rental List'!$N$66</definedName>
    <definedName name="E20S">'Other Supplies &amp; Rental List'!$N$66</definedName>
    <definedName name="E20SI" localSheetId="1">'[1]Subcontractors List'!$N$164</definedName>
    <definedName name="E20SI">'Subcontractors List'!$N$164</definedName>
    <definedName name="E20STransfer" localSheetId="1">'[1]Standard Equipment &amp; Supplies'!$G$218</definedName>
    <definedName name="E20STransfer">'Standard Equipment &amp; Supplies'!$G$218</definedName>
    <definedName name="E20SubsTotal" localSheetId="1">'[1]Budget Detail'!$AS$70</definedName>
    <definedName name="E20SubsTotal">'Budget Detail'!$AS$70</definedName>
    <definedName name="E20TravelTotal" localSheetId="1">'[1]Budget Detail'!$AS$50</definedName>
    <definedName name="E20TravelTotal">'Budget Detail'!$AS$50</definedName>
    <definedName name="E20WH" localSheetId="1">'[1]Subcontractors List'!$N$163</definedName>
    <definedName name="E20WH">'Subcontractors List'!$N$163</definedName>
    <definedName name="E2ADDA1">'Budget Detail'!$CT$12</definedName>
    <definedName name="E2ADDA2">'Budget Detail'!$CT$11</definedName>
    <definedName name="E2ADDA3">'Budget Detail'!$CT$10</definedName>
    <definedName name="E2ADDA4">'Budget Detail'!$CT$9</definedName>
    <definedName name="E2ADDB1">'Budget Detail'!$CT$16</definedName>
    <definedName name="E2ADDB2">'Budget Detail'!$CT$15</definedName>
    <definedName name="E2ADDB3">'Budget Detail'!$CT$14</definedName>
    <definedName name="E2ADDB4">'Budget Detail'!$CT$13</definedName>
    <definedName name="E2ADDC1">'Budget Detail'!$CT$20</definedName>
    <definedName name="E2ADDC2">'Budget Detail'!$CT$19</definedName>
    <definedName name="E2ADDC3">'Budget Detail'!$CT$18</definedName>
    <definedName name="E2ADDC4">'Budget Detail'!$CT$17</definedName>
    <definedName name="E2ADDD1">'Budget Detail'!$CT$24</definedName>
    <definedName name="E2ADDD2">'Budget Detail'!$CT$23</definedName>
    <definedName name="E2ADDD3">'Budget Detail'!$CT$22</definedName>
    <definedName name="E2ADDD4">'Budget Detail'!$CT$21</definedName>
    <definedName name="E2ADDE1">'Budget Detail'!$CT$28</definedName>
    <definedName name="E2ADDE2">'Budget Detail'!$CT$27</definedName>
    <definedName name="E2ADDE3">'Budget Detail'!$CT$26</definedName>
    <definedName name="E2ADDe4">'Budget Detail'!$CT$25</definedName>
    <definedName name="E2ADDF1">'Budget Detail'!$CT$32</definedName>
    <definedName name="E2ADDF2">'Budget Detail'!$CT$31</definedName>
    <definedName name="E2ADDF3">'Budget Detail'!$CT$30</definedName>
    <definedName name="E2ADDF4">'Budget Detail'!$CT$29</definedName>
    <definedName name="E2ADDG1">'Budget Detail'!$CT$36</definedName>
    <definedName name="E2ADDG2">'Budget Detail'!$CT$35</definedName>
    <definedName name="E2ADDG3">'Budget Detail'!$CT$34</definedName>
    <definedName name="E2ADDG4">'Budget Detail'!$CT$33</definedName>
    <definedName name="E2AllExpenses">'Budget Detail'!$I$81</definedName>
    <definedName name="E2ATransfer" localSheetId="1">'[1]Travel Charges'!$K$27</definedName>
    <definedName name="E2ATransfer">'Travel Charges'!$K$27</definedName>
    <definedName name="E2B" localSheetId="1">'[1]Subcontractors List'!$N$16</definedName>
    <definedName name="E2B">'Subcontractors List'!$N$16</definedName>
    <definedName name="E2BASEA1" localSheetId="1">'[1]Phase 2'!$G$43</definedName>
    <definedName name="E2BASEA1">'Phase 2'!$G$43</definedName>
    <definedName name="E2BASEA2" localSheetId="1">'[1]Phase 2'!$F$43</definedName>
    <definedName name="E2BASEA2">'Phase 2'!$F$43</definedName>
    <definedName name="E2BASEA3" localSheetId="1">'[1]Phase 2'!$E$43</definedName>
    <definedName name="E2BASEA3">'Phase 2'!$E$43</definedName>
    <definedName name="E2BASEA4" localSheetId="1">'[1]Phase 2'!$D$43</definedName>
    <definedName name="E2BASEA4">'Phase 2'!$D$43</definedName>
    <definedName name="E2BASEB1" localSheetId="1">'[1]Phase 2'!$K$43</definedName>
    <definedName name="E2BASEB1">'Phase 2'!$K$43</definedName>
    <definedName name="E2BASEB2" localSheetId="1">'[1]Phase 2'!$J$43</definedName>
    <definedName name="E2BASEB2">'Phase 2'!$J$43</definedName>
    <definedName name="E2BASEB3" localSheetId="1">'[1]Phase 2'!$I$43</definedName>
    <definedName name="E2BASEB3">'Phase 2'!$I$43</definedName>
    <definedName name="E2BASEB4" localSheetId="1">'[1]Phase 2'!$H$43</definedName>
    <definedName name="E2BASEB4">'Phase 2'!$H$43</definedName>
    <definedName name="E2BASEC1" localSheetId="1">'[1]Phase 2'!$O$43</definedName>
    <definedName name="E2BASEC1">'Phase 2'!$O$43</definedName>
    <definedName name="E2BASEC2" localSheetId="1">'[1]Phase 2'!$N$43</definedName>
    <definedName name="E2BASEC2">'Phase 2'!$N$43</definedName>
    <definedName name="E2BASEC3" localSheetId="1">'[1]Phase 2'!$M$43</definedName>
    <definedName name="E2BASEC3">'Phase 2'!$M$43</definedName>
    <definedName name="E2BASEC4" localSheetId="1">'[1]Phase 2'!$L$43</definedName>
    <definedName name="E2BASEC4">'Phase 2'!$L$43</definedName>
    <definedName name="E2BASED1" localSheetId="1">'[1]Phase 2'!$S$43</definedName>
    <definedName name="E2BASED1">'Phase 2'!$S$43</definedName>
    <definedName name="E2BASED2" localSheetId="1">'[1]Phase 2'!$R$43</definedName>
    <definedName name="E2BASED2">'Phase 2'!$R$43</definedName>
    <definedName name="E2BASED3" localSheetId="1">'[1]Phase 2'!$Q$43</definedName>
    <definedName name="E2BASED3">'Phase 2'!$Q$43</definedName>
    <definedName name="E2BASED4" localSheetId="1">'[1]Phase 2'!$P$43</definedName>
    <definedName name="E2BASED4">'Phase 2'!$P$43</definedName>
    <definedName name="E2BASEE1" localSheetId="1">'[1]Phase 2'!$W$43</definedName>
    <definedName name="E2BASEE1">'Phase 2'!$W$43</definedName>
    <definedName name="E2BASEE2" localSheetId="1">'[1]Phase 2'!$V$43</definedName>
    <definedName name="E2BASEE2">'Phase 2'!$V$43</definedName>
    <definedName name="E2BASEE3" localSheetId="1">'[1]Phase 2'!$U$43</definedName>
    <definedName name="E2BASEE3">'Phase 2'!$U$43</definedName>
    <definedName name="E2BASEE4" localSheetId="1">'[1]Phase 2'!$T$43</definedName>
    <definedName name="E2BASEE4">'Phase 2'!$T$43</definedName>
    <definedName name="E2BASEF1" localSheetId="1">'[1]Phase 2'!$AA$43</definedName>
    <definedName name="E2BASEF1">'Phase 2'!$AA$43</definedName>
    <definedName name="E2BASEF2" localSheetId="1">'[1]Phase 2'!$Z$43</definedName>
    <definedName name="E2BASEF2">'Phase 2'!$Z$43</definedName>
    <definedName name="E2BASEF3" localSheetId="1">'[1]Phase 2'!$Y$43</definedName>
    <definedName name="E2BASEF3">'Phase 2'!$Y$43</definedName>
    <definedName name="E2BASEF4" localSheetId="1">'[1]Phase 2'!$X$43</definedName>
    <definedName name="E2BASEF4">'Phase 2'!$X$43</definedName>
    <definedName name="E2BASEG1" localSheetId="1">'[1]Phase 2'!$AE$43</definedName>
    <definedName name="E2BASEG1">'Phase 2'!$AE$43</definedName>
    <definedName name="E2BASEG2" localSheetId="1">'[1]Phase 2'!$AD$43</definedName>
    <definedName name="E2BASEG2">'Phase 2'!$AD$43</definedName>
    <definedName name="E2BASEG3" localSheetId="1">'[1]Phase 2'!$AC$43</definedName>
    <definedName name="E2BASEG3">'Phase 2'!$AC$43</definedName>
    <definedName name="E2BASEG4" localSheetId="1">'[1]Phase 2'!$AB$43</definedName>
    <definedName name="E2BASEG4">'Phase 2'!$AB$43</definedName>
    <definedName name="E2C" localSheetId="1">'[1]Subcontractors List'!$N$23</definedName>
    <definedName name="E2C">'Subcontractors List'!$N$23</definedName>
    <definedName name="E2DirectLaborAA45">'Phase 2'!$AA$45</definedName>
    <definedName name="E2DirectLaborAB45">'Phase 2'!$AB$45</definedName>
    <definedName name="E2DirectLaborAC45">'Phase 2'!$AC$45</definedName>
    <definedName name="E2DirectLaborAD45">'Phase 2'!$AD$45</definedName>
    <definedName name="E2DirectLaborAE45">'Phase 2'!$AE$45</definedName>
    <definedName name="E2DirectLaborD45">'Phase 2'!$D$45</definedName>
    <definedName name="E2DirectLaborE45">'Phase 2'!$E$45</definedName>
    <definedName name="E2DirectLaborF45">'Phase 2'!$F$45</definedName>
    <definedName name="E2DirectLaborG45">'Phase 2'!$G$45</definedName>
    <definedName name="E2DirectLaborH45">'Phase 2'!$H$45</definedName>
    <definedName name="E2DirectLaborI45">'Phase 2'!$I$45</definedName>
    <definedName name="E2DirectLaborJ45">'Phase 2'!$J$45</definedName>
    <definedName name="E2DirectLaborK45">'Phase 2'!$K$45</definedName>
    <definedName name="E2DirectLaborL45">'Phase 2'!$L$45</definedName>
    <definedName name="E2DirectLaborM45">'Phase 2'!$M$45</definedName>
    <definedName name="E2DirectLaborN45">'Phase 2'!$N$45</definedName>
    <definedName name="E2DirectLaborO45">'Phase 2'!$O$45</definedName>
    <definedName name="E2DirectLaborP45">'Phase 2'!$P$45</definedName>
    <definedName name="E2DirectLaborQ45">'Phase 2'!$Q$45</definedName>
    <definedName name="E2DirectLaborR45">'Phase 2'!$R$45</definedName>
    <definedName name="E2DirectLaborS45">'Phase 2'!$S$45</definedName>
    <definedName name="E2DirectLaborT45">'Phase 2'!$T$45</definedName>
    <definedName name="E2DirectLaborTotal" localSheetId="1">'[1]Phase 2'!$AG$35</definedName>
    <definedName name="E2DirectLaborTotal">'Phase 2'!$AG$35</definedName>
    <definedName name="E2DirectLaborU45">'Phase 2'!$U$45</definedName>
    <definedName name="E2DirectLaborV45">'Phase 2'!$V$45</definedName>
    <definedName name="E2DirectLaborW45">'Phase 2'!$W$45</definedName>
    <definedName name="E2DirectLaborX45">'Phase 2'!$X$45</definedName>
    <definedName name="E2DirectLaborY45">'Phase 2'!$Y$45</definedName>
    <definedName name="E2DirectLaborZ45">'Phase 2'!$Z$45</definedName>
    <definedName name="E2Dropdown">'RATE Schedules'!$AM$2</definedName>
    <definedName name="E2EndTotal" localSheetId="16">'Phase 1'!$AG$28</definedName>
    <definedName name="E2EndTotal" localSheetId="25">'Phase 10'!$AG$28</definedName>
    <definedName name="E2EndTotal" localSheetId="26">'Phase 11'!$AG$28</definedName>
    <definedName name="E2EndTotal" localSheetId="27">'Phase 12'!$AG$28</definedName>
    <definedName name="E2EndTotal" localSheetId="28">'Phase 13'!$AG$28</definedName>
    <definedName name="E2EndTotal" localSheetId="29">'Phase 14'!$AG$28</definedName>
    <definedName name="E2EndTotal" localSheetId="30">'Phase 15'!$AG$28</definedName>
    <definedName name="E2EndTotal" localSheetId="31">'Phase 16'!$AG$29</definedName>
    <definedName name="E2EndTotal" localSheetId="32">'Phase 17'!$AG$28</definedName>
    <definedName name="E2EndTotal" localSheetId="33">'Phase 18'!$AG$28</definedName>
    <definedName name="E2EndTotal" localSheetId="34">'Phase 19'!$AG$28</definedName>
    <definedName name="E2EndTotal" localSheetId="17">'Phase 2'!$AG$28</definedName>
    <definedName name="E2EndTotal" localSheetId="35">'Phase 20'!$AG$28</definedName>
    <definedName name="E2EndTotal" localSheetId="18">'Phase 3'!$AG$28</definedName>
    <definedName name="E2EndTotal" localSheetId="19">'Phase 4'!$AG$28</definedName>
    <definedName name="E2EndTotal" localSheetId="20">'Phase 5'!$AG$29</definedName>
    <definedName name="E2EndTotal" localSheetId="21">'Phase 6'!$AG$28</definedName>
    <definedName name="E2EndTotal" localSheetId="22">'Phase 7'!$AG$28</definedName>
    <definedName name="E2EndTotal" localSheetId="23">'Phase 8'!$AG$28</definedName>
    <definedName name="E2EndTotal" localSheetId="24">'Phase 9'!$AG$28</definedName>
    <definedName name="E2EndTotal" localSheetId="2">Phase_Template!$AG$28</definedName>
    <definedName name="E2EquipmentTotal" localSheetId="1">'[1]Budget Detail'!$I$73</definedName>
    <definedName name="E2EquipmentTotal">'Budget Detail'!$I$73</definedName>
    <definedName name="E2ETransfer" localSheetId="1">'[1]Standard Equipment &amp; Supplies'!$G$163</definedName>
    <definedName name="E2ETransfer">'Standard Equipment &amp; Supplies'!$G$163</definedName>
    <definedName name="E2ExpenseTotal" localSheetId="1">'[1]Budget Detail'!$I$80</definedName>
    <definedName name="E2ExpenseTotal">'Budget Detail'!$I$80</definedName>
    <definedName name="E2GEN" localSheetId="1">'[1]Subcontractors List'!$N$18</definedName>
    <definedName name="E2GEN">'Subcontractors List'!$N$18</definedName>
    <definedName name="E2Hide1" localSheetId="16">'Phase 1'!$F$16:$F$28</definedName>
    <definedName name="E2Hide1" localSheetId="25">'Phase 10'!$F$16:$F$28</definedName>
    <definedName name="E2Hide1" localSheetId="26">'Phase 11'!$F$16:$F$28</definedName>
    <definedName name="E2Hide1" localSheetId="27">'Phase 12'!$F$16:$F$28</definedName>
    <definedName name="E2Hide1" localSheetId="28">'Phase 13'!$F$16:$F$28</definedName>
    <definedName name="E2Hide1" localSheetId="29">'Phase 14'!$F$16:$F$28</definedName>
    <definedName name="E2Hide1" localSheetId="30">'Phase 15'!$F$16:$F$28</definedName>
    <definedName name="E2Hide1" localSheetId="31">'Phase 16'!$F$16:$F$29</definedName>
    <definedName name="E2Hide1" localSheetId="32">'Phase 17'!$F$16:$F$28</definedName>
    <definedName name="E2Hide1" localSheetId="33">'Phase 18'!$F$16:$F$28</definedName>
    <definedName name="E2Hide1" localSheetId="34">'Phase 19'!$F$16:$F$28</definedName>
    <definedName name="E2Hide1" localSheetId="17">'Phase 2'!$F$16:$F$28</definedName>
    <definedName name="E2Hide1" localSheetId="35">'Phase 20'!$F$16:$F$28</definedName>
    <definedName name="E2Hide1" localSheetId="18">'Phase 3'!$F$16:$F$28</definedName>
    <definedName name="E2Hide1" localSheetId="19">'Phase 4'!$F$16:$F$28</definedName>
    <definedName name="E2Hide1" localSheetId="20">'Phase 5'!$F$16:$F$29</definedName>
    <definedName name="E2Hide1" localSheetId="21">'Phase 6'!$F$16:$F$28</definedName>
    <definedName name="E2Hide1" localSheetId="22">'Phase 7'!$F$16:$F$28</definedName>
    <definedName name="E2Hide1" localSheetId="23">'Phase 8'!$F$16:$F$28</definedName>
    <definedName name="E2Hide1" localSheetId="24">'Phase 9'!$F$16:$F$28</definedName>
    <definedName name="E2Hide1" localSheetId="2">Phase_Template!$F$16:$F$28</definedName>
    <definedName name="E2Hide2" localSheetId="16">'Phase 1'!$I$16:$I$28</definedName>
    <definedName name="E2Hide2" localSheetId="25">'Phase 10'!$I$16:$I$28</definedName>
    <definedName name="E2Hide2" localSheetId="26">'Phase 11'!$I$16:$I$28</definedName>
    <definedName name="E2Hide2" localSheetId="27">'Phase 12'!$I$16:$I$28</definedName>
    <definedName name="E2Hide2" localSheetId="28">'Phase 13'!$I$16:$I$28</definedName>
    <definedName name="E2Hide2" localSheetId="29">'Phase 14'!$I$16:$I$28</definedName>
    <definedName name="E2Hide2" localSheetId="30">'Phase 15'!$I$16:$I$28</definedName>
    <definedName name="E2Hide2" localSheetId="31">'Phase 16'!$I$16:$I$29</definedName>
    <definedName name="E2Hide2" localSheetId="32">'Phase 17'!$I$16:$I$28</definedName>
    <definedName name="E2Hide2" localSheetId="33">'Phase 18'!$I$16:$I$28</definedName>
    <definedName name="E2Hide2" localSheetId="34">'Phase 19'!$I$16:$I$28</definedName>
    <definedName name="E2Hide2" localSheetId="17">'Phase 2'!$I$16:$I$28</definedName>
    <definedName name="E2Hide2" localSheetId="35">'Phase 20'!$I$16:$I$28</definedName>
    <definedName name="E2Hide2" localSheetId="18">'Phase 3'!$I$16:$I$28</definedName>
    <definedName name="E2Hide2" localSheetId="19">'Phase 4'!$I$16:$I$28</definedName>
    <definedName name="E2Hide2" localSheetId="20">'Phase 5'!$I$16:$I$29</definedName>
    <definedName name="E2Hide2" localSheetId="21">'Phase 6'!$I$16:$I$28</definedName>
    <definedName name="E2Hide2" localSheetId="22">'Phase 7'!$I$16:$I$28</definedName>
    <definedName name="E2Hide2" localSheetId="23">'Phase 8'!$I$16:$I$28</definedName>
    <definedName name="E2Hide2" localSheetId="24">'Phase 9'!$I$16:$I$28</definedName>
    <definedName name="E2Hide2" localSheetId="2">Phase_Template!$I$16:$I$28</definedName>
    <definedName name="E2Hide3" localSheetId="16">'Phase 1'!$AC$16:$AC$28</definedName>
    <definedName name="E2Hide3" localSheetId="25">'Phase 10'!$AC$16:$AC$28</definedName>
    <definedName name="E2Hide3" localSheetId="26">'Phase 11'!$AC$16:$AC$28</definedName>
    <definedName name="E2Hide3" localSheetId="27">'Phase 12'!$AC$16:$AC$28</definedName>
    <definedName name="E2Hide3" localSheetId="28">'Phase 13'!$AC$16:$AC$28</definedName>
    <definedName name="E2Hide3" localSheetId="29">'Phase 14'!$AC$16:$AC$28</definedName>
    <definedName name="E2Hide3" localSheetId="30">'Phase 15'!$AC$16:$AC$28</definedName>
    <definedName name="E2Hide3" localSheetId="31">'Phase 16'!$AC$16:$AC$29</definedName>
    <definedName name="E2Hide3" localSheetId="32">'Phase 17'!$AC$16:$AC$28</definedName>
    <definedName name="E2Hide3" localSheetId="33">'Phase 18'!$AC$16:$AC$28</definedName>
    <definedName name="E2Hide3" localSheetId="34">'Phase 19'!$AC$16:$AC$28</definedName>
    <definedName name="E2Hide3" localSheetId="17">'Phase 2'!$AC$16:$AC$28</definedName>
    <definedName name="E2Hide3" localSheetId="35">'Phase 20'!$AC$16:$AC$28</definedName>
    <definedName name="E2Hide3" localSheetId="18">'Phase 3'!$AC$16:$AC$28</definedName>
    <definedName name="E2Hide3" localSheetId="19">'Phase 4'!$AC$16:$AC$28</definedName>
    <definedName name="E2Hide3" localSheetId="20">'Phase 5'!$AC$16:$AC$29</definedName>
    <definedName name="E2Hide3" localSheetId="21">'Phase 6'!$AC$16:$AC$28</definedName>
    <definedName name="E2Hide3" localSheetId="22">'Phase 7'!$AC$16:$AC$28</definedName>
    <definedName name="E2Hide3" localSheetId="23">'Phase 8'!$AC$16:$AC$28</definedName>
    <definedName name="E2Hide3" localSheetId="24">'Phase 9'!$AC$16:$AC$28</definedName>
    <definedName name="E2Hide3" localSheetId="2">Phase_Template!$AC$16:$AC$28</definedName>
    <definedName name="E2IncludeExpenses">'Budget Summary'!$Q$17</definedName>
    <definedName name="E2IncludeLab">'Budget Summary'!$Q$21</definedName>
    <definedName name="E2IncludeLabor">'Budget Summary'!$Q$15</definedName>
    <definedName name="E2IncludeProcure">'Budget Summary'!$Q$20</definedName>
    <definedName name="E2IncludeSubs">'Budget Summary'!$Q$22</definedName>
    <definedName name="E2LaborTotal" localSheetId="1">'[1]Budget Detail'!$I$38</definedName>
    <definedName name="E2LaborTotal">'Budget Detail'!$I$38</definedName>
    <definedName name="E2LabTotal" localSheetId="1">'[1]Budget Detail'!$I$60</definedName>
    <definedName name="E2LabTotal">'Budget Detail'!$I$60</definedName>
    <definedName name="E2LastRow" localSheetId="16">'Phase 1'!$A$28:$AG$28</definedName>
    <definedName name="E2LastRow" localSheetId="25">'Phase 10'!$A$28:$AG$28</definedName>
    <definedName name="E2LastRow" localSheetId="26">'Phase 11'!$A$28:$AG$28</definedName>
    <definedName name="E2LastRow" localSheetId="27">'Phase 12'!$A$28:$AG$28</definedName>
    <definedName name="E2LastRow" localSheetId="28">'Phase 13'!$A$28:$AG$28</definedName>
    <definedName name="E2LastRow" localSheetId="29">'Phase 14'!$A$28:$AG$28</definedName>
    <definedName name="E2LastRow" localSheetId="30">'Phase 15'!$A$28:$AG$28</definedName>
    <definedName name="E2LastRow" localSheetId="31">'Phase 16'!$A$29:$AG$29</definedName>
    <definedName name="E2LastRow" localSheetId="32">'Phase 17'!$A$28:$AG$28</definedName>
    <definedName name="E2LastRow" localSheetId="33">'Phase 18'!$A$28:$AG$28</definedName>
    <definedName name="E2LastRow" localSheetId="34">'Phase 19'!$A$28:$AG$28</definedName>
    <definedName name="E2LastRow" localSheetId="17">'Phase 2'!$A$28:$AG$28</definedName>
    <definedName name="E2LastRow" localSheetId="35">'Phase 20'!$A$28:$AG$28</definedName>
    <definedName name="E2LastRow" localSheetId="18">'Phase 3'!$A$28:$AG$28</definedName>
    <definedName name="E2LastRow" localSheetId="19">'Phase 4'!$A$28:$AG$28</definedName>
    <definedName name="E2LastRow" localSheetId="20">'Phase 5'!$A$29:$AG$29</definedName>
    <definedName name="E2LastRow" localSheetId="21">'Phase 6'!$A$28:$AG$28</definedName>
    <definedName name="E2LastRow" localSheetId="22">'Phase 7'!$A$28:$AG$28</definedName>
    <definedName name="E2LastRow" localSheetId="23">'Phase 8'!$A$28:$AG$28</definedName>
    <definedName name="E2LastRow" localSheetId="24">'Phase 9'!$A$28:$AG$28</definedName>
    <definedName name="E2LastRow" localSheetId="2">Phase_Template!$A$28:$AG$28</definedName>
    <definedName name="E2LTransfer" localSheetId="1">'[1]Travel Charges'!$K$26</definedName>
    <definedName name="E2LTransfer">'Travel Charges'!$K$26</definedName>
    <definedName name="E2M" localSheetId="1">'[1]Subcontractors List'!$N$22</definedName>
    <definedName name="E2M">'Subcontractors List'!$N$22</definedName>
    <definedName name="E2MTransfer" localSheetId="1">'[1]Travel Charges'!$K$25</definedName>
    <definedName name="E2MTransfer">'Travel Charges'!$K$25</definedName>
    <definedName name="E2O" localSheetId="1">'[1]Other Supplies &amp; Rental List'!$N$13</definedName>
    <definedName name="E2O">'Other Supplies &amp; Rental List'!$N$13</definedName>
    <definedName name="E2OTHER" localSheetId="1">'[1]Subcontractors List'!$N$21</definedName>
    <definedName name="E2OTHER">'Subcontractors List'!$N$21</definedName>
    <definedName name="E2OverheadAA46">'Phase 2'!$AA$46</definedName>
    <definedName name="E2OverheadAB46">'Phase 2'!$AB$46</definedName>
    <definedName name="E2OverheadAC46">'Phase 2'!$AC$46</definedName>
    <definedName name="E2OverheadAD46">'Phase 2'!$AD$46</definedName>
    <definedName name="E2OverheadAE46">'Phase 2'!$AE$46</definedName>
    <definedName name="E2OverheadD46">'Phase 2'!$D$46</definedName>
    <definedName name="E2OverheadE46">'Phase 2'!$E$46</definedName>
    <definedName name="E2OverheadF46">'Phase 2'!$F$46</definedName>
    <definedName name="E2OverheadG46">'Phase 2'!$G$46</definedName>
    <definedName name="E2OverheadH46">'Phase 2'!$H$46</definedName>
    <definedName name="E2OverheadI46">'Phase 2'!$I$46</definedName>
    <definedName name="E2OverheadJ46">'Phase 2'!$J$46</definedName>
    <definedName name="E2OverheadK46">'Phase 2'!$K$46</definedName>
    <definedName name="E2OverheadL46">'Phase 2'!$L$46</definedName>
    <definedName name="E2OverheadM46">'Phase 2'!$M$46</definedName>
    <definedName name="E2OverheadN46">'Phase 2'!$N$46</definedName>
    <definedName name="E2OverheadO46">'Phase 2'!$O$46</definedName>
    <definedName name="E2OverheadP46">'Phase 2'!$P$46</definedName>
    <definedName name="E2OverheadQ46">'Phase 2'!$Q$46</definedName>
    <definedName name="E2OverheadR46">'Phase 2'!$R$46</definedName>
    <definedName name="E2OverheadS46">'Phase 2'!$S$46</definedName>
    <definedName name="E2OverheadT46">'Phase 2'!$T$46</definedName>
    <definedName name="E2OverheadTotal" localSheetId="1">'[1]Phase 2'!$AG$37</definedName>
    <definedName name="E2OverheadTotal">'Phase 2'!$AG$37</definedName>
    <definedName name="E2OverheadU46">'Phase 2'!$U$46</definedName>
    <definedName name="E2OverheadV46">'Phase 2'!$V$46</definedName>
    <definedName name="E2OverheadW46">'Phase 2'!$W$46</definedName>
    <definedName name="E2OverheadX46">'Phase 2'!$X$46</definedName>
    <definedName name="E2OverheadY46">'Phase 2'!$Y$46</definedName>
    <definedName name="E2OverheadZ46">'Phase 2'!$Z$46</definedName>
    <definedName name="E2OVTransfer" localSheetId="1">'[1]Travel Charges'!$K$24</definedName>
    <definedName name="E2OVTransfer">'Travel Charges'!$K$24</definedName>
    <definedName name="E2PageCount" localSheetId="16">'Phase 1'!$AK$1</definedName>
    <definedName name="E2PageCount" localSheetId="25">'Phase 10'!$AK$1</definedName>
    <definedName name="E2PageCount" localSheetId="26">'Phase 11'!$AK$1</definedName>
    <definedName name="E2PageCount" localSheetId="27">'Phase 12'!$AK$1</definedName>
    <definedName name="E2PageCount" localSheetId="28">'Phase 13'!$AK$1</definedName>
    <definedName name="E2PageCount" localSheetId="29">'Phase 14'!$AK$1</definedName>
    <definedName name="E2PageCount" localSheetId="30">'Phase 15'!$AK$1</definedName>
    <definedName name="E2PageCount" localSheetId="31">'Phase 16'!$AK$1</definedName>
    <definedName name="E2PageCount" localSheetId="32">'Phase 17'!$AK$1</definedName>
    <definedName name="E2PageCount" localSheetId="33">'Phase 18'!$AK$1</definedName>
    <definedName name="E2PageCount" localSheetId="34">'Phase 19'!$AK$1</definedName>
    <definedName name="E2PageCount" localSheetId="17">'Phase 2'!$AK$1</definedName>
    <definedName name="E2PageCount" localSheetId="35">'Phase 20'!$AK$1</definedName>
    <definedName name="E2PageCount" localSheetId="18">'Phase 3'!$AK$1</definedName>
    <definedName name="E2PageCount" localSheetId="19">'Phase 4'!$AK$1</definedName>
    <definedName name="E2PageCount" localSheetId="20">'Phase 5'!$AK$1</definedName>
    <definedName name="E2PageCount" localSheetId="21">'Phase 6'!$AK$1</definedName>
    <definedName name="E2PageCount" localSheetId="22">'Phase 7'!$AK$1</definedName>
    <definedName name="E2PageCount" localSheetId="23">'Phase 8'!$AK$1</definedName>
    <definedName name="E2PageCount" localSheetId="24">'Phase 9'!$AK$1</definedName>
    <definedName name="E2PageCount" localSheetId="2">Phase_Template!$AK$1</definedName>
    <definedName name="E2Pages" localSheetId="16">'Phase 1'!$AL$1</definedName>
    <definedName name="E2Pages" localSheetId="25">'Phase 10'!$AL$1</definedName>
    <definedName name="E2Pages" localSheetId="26">'Phase 11'!$AL$1</definedName>
    <definedName name="E2Pages" localSheetId="27">'Phase 12'!$AL$1</definedName>
    <definedName name="E2Pages" localSheetId="28">'Phase 13'!$AL$1</definedName>
    <definedName name="E2Pages" localSheetId="29">'Phase 14'!$AL$1</definedName>
    <definedName name="E2Pages" localSheetId="30">'Phase 15'!$AL$1</definedName>
    <definedName name="E2Pages" localSheetId="31">'Phase 16'!$AL$1</definedName>
    <definedName name="E2Pages" localSheetId="32">'Phase 17'!$AL$1</definedName>
    <definedName name="E2Pages" localSheetId="33">'Phase 18'!$AL$1</definedName>
    <definedName name="E2Pages" localSheetId="34">'Phase 19'!$AL$1</definedName>
    <definedName name="E2Pages" localSheetId="17">'Phase 2'!$AL$1</definedName>
    <definedName name="E2Pages" localSheetId="35">'Phase 20'!$AL$1</definedName>
    <definedName name="E2Pages" localSheetId="18">'Phase 3'!$AL$1</definedName>
    <definedName name="E2Pages" localSheetId="19">'Phase 4'!$AL$1</definedName>
    <definedName name="E2Pages" localSheetId="20">'Phase 5'!$AL$1</definedName>
    <definedName name="E2Pages" localSheetId="21">'Phase 6'!$AL$1</definedName>
    <definedName name="E2Pages" localSheetId="22">'Phase 7'!$AL$1</definedName>
    <definedName name="E2Pages" localSheetId="23">'Phase 8'!$AL$1</definedName>
    <definedName name="E2Pages" localSheetId="24">'Phase 9'!$AL$1</definedName>
    <definedName name="E2Pages" localSheetId="2">Phase_Template!$AL$1</definedName>
    <definedName name="E2QUANTITY" localSheetId="1">#REF!</definedName>
    <definedName name="E2QUANTITY" localSheetId="39">#REF!</definedName>
    <definedName name="E2QUANTITY">#REF!</definedName>
    <definedName name="E2R" localSheetId="1">'[1]Other Supplies &amp; Rental List'!$N$11</definedName>
    <definedName name="E2R">'Other Supplies &amp; Rental List'!$N$11</definedName>
    <definedName name="E2RateA1Total">'Budget Detail'!$BD$12</definedName>
    <definedName name="E2RateA2Total">'Budget Detail'!$BD$11</definedName>
    <definedName name="E2RateA3Total">'Budget Detail'!$BD$10</definedName>
    <definedName name="E2RateA4Total">'Budget Detail'!$BD$9</definedName>
    <definedName name="E2RateB1Total">'Budget Detail'!$BD$16</definedName>
    <definedName name="E2RateB2Total">'Budget Detail'!$BD$15</definedName>
    <definedName name="E2RateB3Total">'Budget Detail'!$BD$14</definedName>
    <definedName name="E2RateB4Total">'Budget Detail'!$BD$13</definedName>
    <definedName name="E2RateC1Total">'Budget Detail'!$BD$20</definedName>
    <definedName name="E2RateC2Total">'Budget Detail'!$BD$19</definedName>
    <definedName name="E2RateC3Total">'Budget Detail'!$BD$18</definedName>
    <definedName name="E2RateC4Total">'Budget Detail'!$BD$17</definedName>
    <definedName name="E2RateD1Total">'Budget Detail'!$BD$24</definedName>
    <definedName name="E2RateD2Total">'Budget Detail'!$BD$23</definedName>
    <definedName name="E2RateD3Total">'Budget Detail'!$BD$22</definedName>
    <definedName name="E2RateD4Total">'Budget Detail'!$BD$21</definedName>
    <definedName name="E2RateE1Total">'Budget Detail'!$BD$28</definedName>
    <definedName name="E2RateE2Total">'Budget Detail'!$BD$27</definedName>
    <definedName name="E2RateE3Total">'Budget Detail'!$BD$26</definedName>
    <definedName name="E2Ratee4Total">'Budget Detail'!$BD$25</definedName>
    <definedName name="E2RateF1Total">'Budget Detail'!$BD$32</definedName>
    <definedName name="E2RateF2Total">'Budget Detail'!$BD$31</definedName>
    <definedName name="E2RateF3Total">'Budget Detail'!$BD$30</definedName>
    <definedName name="E2RateF4Total">'Budget Detail'!$BD$29</definedName>
    <definedName name="E2RateG1Total">'Budget Detail'!$BD$36</definedName>
    <definedName name="E2RateG2Total">'Budget Detail'!$BD$35</definedName>
    <definedName name="E2RateG3Total">'Budget Detail'!$BD$34</definedName>
    <definedName name="E2RateG4Total">'Budget Detail'!$BD$33</definedName>
    <definedName name="E2Reference" localSheetId="16">'Phase 1'!$BN$1:$CG$1</definedName>
    <definedName name="E2Reference" localSheetId="25">'Phase 10'!$BN$1:$CG$1</definedName>
    <definedName name="E2Reference" localSheetId="26">'Phase 11'!$BN$1:$CG$1</definedName>
    <definedName name="E2Reference" localSheetId="27">'Phase 12'!$BN$1:$CG$1</definedName>
    <definedName name="E2Reference" localSheetId="28">'Phase 13'!$BN$1:$CG$1</definedName>
    <definedName name="E2Reference" localSheetId="29">'Phase 14'!$BN$1:$CG$1</definedName>
    <definedName name="E2Reference" localSheetId="30">'Phase 15'!$BN$1:$CG$1</definedName>
    <definedName name="E2Reference" localSheetId="31">'Phase 16'!$BN$1:$CG$1</definedName>
    <definedName name="E2Reference" localSheetId="32">'Phase 17'!$BN$1:$CG$1</definedName>
    <definedName name="E2Reference" localSheetId="33">'Phase 18'!$BN$1:$CG$1</definedName>
    <definedName name="E2Reference" localSheetId="34">'Phase 19'!$BN$1:$CG$1</definedName>
    <definedName name="E2Reference" localSheetId="17">'Phase 2'!$BN$1:$CG$1</definedName>
    <definedName name="E2Reference" localSheetId="35">'Phase 20'!$BN$1:$CG$1</definedName>
    <definedName name="E2Reference" localSheetId="18">'Phase 3'!$BN$1:$CG$1</definedName>
    <definedName name="E2Reference" localSheetId="19">'Phase 4'!$BN$1:$CG$1</definedName>
    <definedName name="E2Reference" localSheetId="20">'Phase 5'!$BN$1:$CG$1</definedName>
    <definedName name="E2Reference" localSheetId="21">'Phase 6'!$BN$1:$CG$1</definedName>
    <definedName name="E2Reference" localSheetId="22">'Phase 7'!$BN$1:$CG$1</definedName>
    <definedName name="E2Reference" localSheetId="23">'Phase 8'!$BN$1:$CG$1</definedName>
    <definedName name="E2Reference" localSheetId="24">'Phase 9'!$BN$1:$CG$1</definedName>
    <definedName name="E2Reference" localSheetId="2">Phase_Template!$BN$1:$CG$1</definedName>
    <definedName name="E2REM" localSheetId="1">'[1]Subcontractors List'!$N$17</definedName>
    <definedName name="E2REM">'Subcontractors List'!$N$17</definedName>
    <definedName name="E2Row1" localSheetId="16">'Phase 1'!$BN$1</definedName>
    <definedName name="E2Row1" localSheetId="25">'Phase 10'!$BN$1</definedName>
    <definedName name="E2Row1" localSheetId="26">'Phase 11'!$BN$1</definedName>
    <definedName name="E2Row1" localSheetId="27">'Phase 12'!$BN$1</definedName>
    <definedName name="E2Row1" localSheetId="28">'Phase 13'!$BN$1</definedName>
    <definedName name="E2Row1" localSheetId="29">'Phase 14'!$BN$1</definedName>
    <definedName name="E2Row1" localSheetId="30">'Phase 15'!$BN$1</definedName>
    <definedName name="E2Row1" localSheetId="31">'Phase 16'!$BN$1</definedName>
    <definedName name="E2Row1" localSheetId="32">'Phase 17'!$BN$1</definedName>
    <definedName name="E2Row1" localSheetId="33">'Phase 18'!$BN$1</definedName>
    <definedName name="E2Row1" localSheetId="34">'Phase 19'!$BN$1</definedName>
    <definedName name="E2Row1" localSheetId="17">'Phase 2'!$BN$1</definedName>
    <definedName name="E2Row1" localSheetId="35">'Phase 20'!$BN$1</definedName>
    <definedName name="E2Row1" localSheetId="18">'Phase 3'!$BN$1</definedName>
    <definedName name="E2Row1" localSheetId="19">'Phase 4'!$BN$1</definedName>
    <definedName name="E2Row1" localSheetId="20">'Phase 5'!$BN$1</definedName>
    <definedName name="E2Row1" localSheetId="21">'Phase 6'!$BN$1</definedName>
    <definedName name="E2Row1" localSheetId="22">'Phase 7'!$BN$1</definedName>
    <definedName name="E2Row1" localSheetId="23">'Phase 8'!$BN$1</definedName>
    <definedName name="E2Row1" localSheetId="24">'Phase 9'!$BN$1</definedName>
    <definedName name="E2Row1" localSheetId="2">Phase_Template!$BN$1</definedName>
    <definedName name="E2Row10" localSheetId="16">'Phase 1'!$BW$1</definedName>
    <definedName name="E2Row10" localSheetId="25">'Phase 10'!$BW$1</definedName>
    <definedName name="E2Row10" localSheetId="26">'Phase 11'!$BW$1</definedName>
    <definedName name="E2Row10" localSheetId="27">'Phase 12'!$BW$1</definedName>
    <definedName name="E2Row10" localSheetId="28">'Phase 13'!$BW$1</definedName>
    <definedName name="E2Row10" localSheetId="29">'Phase 14'!$BW$1</definedName>
    <definedName name="E2Row10" localSheetId="30">'Phase 15'!$BW$1</definedName>
    <definedName name="E2Row10" localSheetId="31">'Phase 16'!$BW$1</definedName>
    <definedName name="E2Row10" localSheetId="32">'Phase 17'!$BW$1</definedName>
    <definedName name="E2Row10" localSheetId="33">'Phase 18'!$BW$1</definedName>
    <definedName name="E2Row10" localSheetId="34">'Phase 19'!$BW$1</definedName>
    <definedName name="E2Row10" localSheetId="17">'Phase 2'!$BW$1</definedName>
    <definedName name="E2Row10" localSheetId="35">'Phase 20'!$BW$1</definedName>
    <definedName name="E2Row10" localSheetId="18">'Phase 3'!$BW$1</definedName>
    <definedName name="E2Row10" localSheetId="19">'Phase 4'!$BW$1</definedName>
    <definedName name="E2Row10" localSheetId="20">'Phase 5'!$BW$1</definedName>
    <definedName name="E2Row10" localSheetId="21">'Phase 6'!$BW$1</definedName>
    <definedName name="E2Row10" localSheetId="22">'Phase 7'!$BW$1</definedName>
    <definedName name="E2Row10" localSheetId="23">'Phase 8'!$BW$1</definedName>
    <definedName name="E2Row10" localSheetId="24">'Phase 9'!$BW$1</definedName>
    <definedName name="E2Row10" localSheetId="2">Phase_Template!$BW$1</definedName>
    <definedName name="E2Row11" localSheetId="16">'Phase 1'!$BX$1</definedName>
    <definedName name="E2Row11" localSheetId="25">'Phase 10'!$BX$1</definedName>
    <definedName name="E2Row11" localSheetId="26">'Phase 11'!$BX$1</definedName>
    <definedName name="E2Row11" localSheetId="27">'Phase 12'!$BX$1</definedName>
    <definedName name="E2Row11" localSheetId="28">'Phase 13'!$BX$1</definedName>
    <definedName name="E2Row11" localSheetId="29">'Phase 14'!$BX$1</definedName>
    <definedName name="E2Row11" localSheetId="30">'Phase 15'!$BX$1</definedName>
    <definedName name="E2Row11" localSheetId="31">'Phase 16'!$BX$1</definedName>
    <definedName name="E2Row11" localSheetId="32">'Phase 17'!$BX$1</definedName>
    <definedName name="E2Row11" localSheetId="33">'Phase 18'!$BX$1</definedName>
    <definedName name="E2Row11" localSheetId="34">'Phase 19'!$BX$1</definedName>
    <definedName name="E2Row11" localSheetId="17">'Phase 2'!$BX$1</definedName>
    <definedName name="E2Row11" localSheetId="35">'Phase 20'!$BX$1</definedName>
    <definedName name="E2Row11" localSheetId="18">'Phase 3'!$BX$1</definedName>
    <definedName name="E2Row11" localSheetId="19">'Phase 4'!$BX$1</definedName>
    <definedName name="E2Row11" localSheetId="20">'Phase 5'!$BX$1</definedName>
    <definedName name="E2Row11" localSheetId="21">'Phase 6'!$BX$1</definedName>
    <definedName name="E2Row11" localSheetId="22">'Phase 7'!$BX$1</definedName>
    <definedName name="E2Row11" localSheetId="23">'Phase 8'!$BX$1</definedName>
    <definedName name="E2Row11" localSheetId="24">'Phase 9'!$BX$1</definedName>
    <definedName name="E2Row11" localSheetId="1">#REF!</definedName>
    <definedName name="E2Row11" localSheetId="2">Phase_Template!$BX$1</definedName>
    <definedName name="E2Row11">#REF!</definedName>
    <definedName name="E2Row12" localSheetId="16">'Phase 1'!$BY$1</definedName>
    <definedName name="E2Row12" localSheetId="25">'Phase 10'!$BY$1</definedName>
    <definedName name="E2Row12" localSheetId="26">'Phase 11'!$BY$1</definedName>
    <definedName name="E2Row12" localSheetId="27">'Phase 12'!$BY$1</definedName>
    <definedName name="E2Row12" localSheetId="28">'Phase 13'!$BY$1</definedName>
    <definedName name="E2Row12" localSheetId="29">'Phase 14'!$BY$1</definedName>
    <definedName name="E2Row12" localSheetId="30">'Phase 15'!$BY$1</definedName>
    <definedName name="E2Row12" localSheetId="31">'Phase 16'!$BY$1</definedName>
    <definedName name="E2Row12" localSheetId="32">'Phase 17'!$BY$1</definedName>
    <definedName name="E2Row12" localSheetId="33">'Phase 18'!$BY$1</definedName>
    <definedName name="E2Row12" localSheetId="34">'Phase 19'!$BY$1</definedName>
    <definedName name="E2Row12" localSheetId="17">'Phase 2'!$BY$1</definedName>
    <definedName name="E2Row12" localSheetId="35">'Phase 20'!$BY$1</definedName>
    <definedName name="E2Row12" localSheetId="18">'Phase 3'!$BY$1</definedName>
    <definedName name="E2Row12" localSheetId="19">'Phase 4'!$BY$1</definedName>
    <definedName name="E2Row12" localSheetId="20">'Phase 5'!$BY$1</definedName>
    <definedName name="E2Row12" localSheetId="21">'Phase 6'!$BY$1</definedName>
    <definedName name="E2Row12" localSheetId="22">'Phase 7'!$BY$1</definedName>
    <definedName name="E2Row12" localSheetId="23">'Phase 8'!$BY$1</definedName>
    <definedName name="E2Row12" localSheetId="24">'Phase 9'!$BY$1</definedName>
    <definedName name="E2Row12" localSheetId="2">Phase_Template!$BY$1</definedName>
    <definedName name="E2Row13" localSheetId="16">'Phase 1'!$BZ$1</definedName>
    <definedName name="E2Row13" localSheetId="25">'Phase 10'!$BZ$1</definedName>
    <definedName name="E2Row13" localSheetId="26">'Phase 11'!$BZ$1</definedName>
    <definedName name="E2Row13" localSheetId="27">'Phase 12'!$BZ$1</definedName>
    <definedName name="E2Row13" localSheetId="28">'Phase 13'!$BZ$1</definedName>
    <definedName name="E2Row13" localSheetId="29">'Phase 14'!$BZ$1</definedName>
    <definedName name="E2Row13" localSheetId="30">'Phase 15'!$BZ$1</definedName>
    <definedName name="E2Row13" localSheetId="31">'Phase 16'!$BZ$1</definedName>
    <definedName name="E2Row13" localSheetId="32">'Phase 17'!$BZ$1</definedName>
    <definedName name="E2Row13" localSheetId="33">'Phase 18'!$BZ$1</definedName>
    <definedName name="E2Row13" localSheetId="34">'Phase 19'!$BZ$1</definedName>
    <definedName name="E2Row13" localSheetId="17">'Phase 2'!$BZ$1</definedName>
    <definedName name="E2Row13" localSheetId="35">'Phase 20'!$BZ$1</definedName>
    <definedName name="E2Row13" localSheetId="18">'Phase 3'!$BZ$1</definedName>
    <definedName name="E2Row13" localSheetId="19">'Phase 4'!$BZ$1</definedName>
    <definedName name="E2Row13" localSheetId="20">'Phase 5'!$BZ$1</definedName>
    <definedName name="E2Row13" localSheetId="21">'Phase 6'!$BZ$1</definedName>
    <definedName name="E2Row13" localSheetId="22">'Phase 7'!$BZ$1</definedName>
    <definedName name="E2Row13" localSheetId="23">'Phase 8'!$BZ$1</definedName>
    <definedName name="E2Row13" localSheetId="24">'Phase 9'!$BZ$1</definedName>
    <definedName name="E2Row13" localSheetId="2">Phase_Template!$BZ$1</definedName>
    <definedName name="E2Row14" localSheetId="16">'Phase 1'!$CA$1</definedName>
    <definedName name="E2Row14" localSheetId="25">'Phase 10'!$CA$1</definedName>
    <definedName name="E2Row14" localSheetId="26">'Phase 11'!$CA$1</definedName>
    <definedName name="E2Row14" localSheetId="27">'Phase 12'!$CA$1</definedName>
    <definedName name="E2Row14" localSheetId="28">'Phase 13'!$CA$1</definedName>
    <definedName name="E2Row14" localSheetId="29">'Phase 14'!$CA$1</definedName>
    <definedName name="E2Row14" localSheetId="30">'Phase 15'!$CA$1</definedName>
    <definedName name="E2Row14" localSheetId="31">'Phase 16'!$CA$1</definedName>
    <definedName name="E2Row14" localSheetId="32">'Phase 17'!$CA$1</definedName>
    <definedName name="E2Row14" localSheetId="33">'Phase 18'!$CA$1</definedName>
    <definedName name="E2Row14" localSheetId="34">'Phase 19'!$CA$1</definedName>
    <definedName name="E2Row14" localSheetId="17">'Phase 2'!$CA$1</definedName>
    <definedName name="E2Row14" localSheetId="35">'Phase 20'!$CA$1</definedName>
    <definedName name="E2Row14" localSheetId="18">'Phase 3'!$CA$1</definedName>
    <definedName name="E2Row14" localSheetId="19">'Phase 4'!$CA$1</definedName>
    <definedName name="E2Row14" localSheetId="20">'Phase 5'!$CA$1</definedName>
    <definedName name="E2Row14" localSheetId="21">'Phase 6'!$CA$1</definedName>
    <definedName name="E2Row14" localSheetId="22">'Phase 7'!$CA$1</definedName>
    <definedName name="E2Row14" localSheetId="23">'Phase 8'!$CA$1</definedName>
    <definedName name="E2Row14" localSheetId="24">'Phase 9'!$CA$1</definedName>
    <definedName name="E2Row14" localSheetId="2">Phase_Template!$CA$1</definedName>
    <definedName name="E2Row15" localSheetId="16">'Phase 1'!$CB$1</definedName>
    <definedName name="E2Row15" localSheetId="25">'Phase 10'!$CB$1</definedName>
    <definedName name="E2Row15" localSheetId="26">'Phase 11'!$CB$1</definedName>
    <definedName name="E2Row15" localSheetId="27">'Phase 12'!$CB$1</definedName>
    <definedName name="E2Row15" localSheetId="28">'Phase 13'!$CB$1</definedName>
    <definedName name="E2Row15" localSheetId="29">'Phase 14'!$CB$1</definedName>
    <definedName name="E2Row15" localSheetId="30">'Phase 15'!$CB$1</definedName>
    <definedName name="E2Row15" localSheetId="31">'Phase 16'!$CB$1</definedName>
    <definedName name="E2Row15" localSheetId="32">'Phase 17'!$CB$1</definedName>
    <definedName name="E2Row15" localSheetId="33">'Phase 18'!$CB$1</definedName>
    <definedName name="E2Row15" localSheetId="34">'Phase 19'!$CB$1</definedName>
    <definedName name="E2Row15" localSheetId="17">'Phase 2'!$CB$1</definedName>
    <definedName name="E2Row15" localSheetId="35">'Phase 20'!$CB$1</definedName>
    <definedName name="E2Row15" localSheetId="18">'Phase 3'!$CB$1</definedName>
    <definedName name="E2Row15" localSheetId="19">'Phase 4'!$CB$1</definedName>
    <definedName name="E2Row15" localSheetId="20">'Phase 5'!$CB$1</definedName>
    <definedName name="E2Row15" localSheetId="21">'Phase 6'!$CB$1</definedName>
    <definedName name="E2Row15" localSheetId="22">'Phase 7'!$CB$1</definedName>
    <definedName name="E2Row15" localSheetId="23">'Phase 8'!$CB$1</definedName>
    <definedName name="E2Row15" localSheetId="24">'Phase 9'!$CB$1</definedName>
    <definedName name="E2Row15" localSheetId="2">Phase_Template!$CB$1</definedName>
    <definedName name="E2Row16" localSheetId="16">'Phase 1'!$CC$1</definedName>
    <definedName name="E2Row16" localSheetId="25">'Phase 10'!$CC$1</definedName>
    <definedName name="E2Row16" localSheetId="26">'Phase 11'!$CC$1</definedName>
    <definedName name="E2Row16" localSheetId="27">'Phase 12'!$CC$1</definedName>
    <definedName name="E2Row16" localSheetId="28">'Phase 13'!$CC$1</definedName>
    <definedName name="E2Row16" localSheetId="29">'Phase 14'!$CC$1</definedName>
    <definedName name="E2Row16" localSheetId="30">'Phase 15'!$CC$1</definedName>
    <definedName name="E2Row16" localSheetId="31">'Phase 16'!$CC$1</definedName>
    <definedName name="E2Row16" localSheetId="32">'Phase 17'!$CC$1</definedName>
    <definedName name="E2Row16" localSheetId="33">'Phase 18'!$CC$1</definedName>
    <definedName name="E2Row16" localSheetId="34">'Phase 19'!$CC$1</definedName>
    <definedName name="E2Row16" localSheetId="17">'Phase 2'!$CC$1</definedName>
    <definedName name="E2Row16" localSheetId="35">'Phase 20'!$CC$1</definedName>
    <definedName name="E2Row16" localSheetId="18">'Phase 3'!$CC$1</definedName>
    <definedName name="E2Row16" localSheetId="19">'Phase 4'!$CC$1</definedName>
    <definedName name="E2Row16" localSheetId="20">'Phase 5'!$CC$1</definedName>
    <definedName name="E2Row16" localSheetId="21">'Phase 6'!$CC$1</definedName>
    <definedName name="E2Row16" localSheetId="22">'Phase 7'!$CC$1</definedName>
    <definedName name="E2Row16" localSheetId="23">'Phase 8'!$CC$1</definedName>
    <definedName name="E2Row16" localSheetId="24">'Phase 9'!$CC$1</definedName>
    <definedName name="E2Row16" localSheetId="2">Phase_Template!$CC$1</definedName>
    <definedName name="E2Row17" localSheetId="16">'Phase 1'!$CD$1</definedName>
    <definedName name="E2Row17" localSheetId="25">'Phase 10'!$CD$1</definedName>
    <definedName name="E2Row17" localSheetId="26">'Phase 11'!$CD$1</definedName>
    <definedName name="E2Row17" localSheetId="27">'Phase 12'!$CD$1</definedName>
    <definedName name="E2Row17" localSheetId="28">'Phase 13'!$CD$1</definedName>
    <definedName name="E2Row17" localSheetId="29">'Phase 14'!$CD$1</definedName>
    <definedName name="E2Row17" localSheetId="30">'Phase 15'!$CD$1</definedName>
    <definedName name="E2Row17" localSheetId="31">'Phase 16'!$CD$1</definedName>
    <definedName name="E2Row17" localSheetId="32">'Phase 17'!$CD$1</definedName>
    <definedName name="E2Row17" localSheetId="33">'Phase 18'!$CD$1</definedName>
    <definedName name="E2Row17" localSheetId="34">'Phase 19'!$CD$1</definedName>
    <definedName name="E2Row17" localSheetId="17">'Phase 2'!$CD$1</definedName>
    <definedName name="E2Row17" localSheetId="35">'Phase 20'!$CD$1</definedName>
    <definedName name="E2Row17" localSheetId="18">'Phase 3'!$CD$1</definedName>
    <definedName name="E2Row17" localSheetId="19">'Phase 4'!$CD$1</definedName>
    <definedName name="E2Row17" localSheetId="20">'Phase 5'!$CD$1</definedName>
    <definedName name="E2Row17" localSheetId="21">'Phase 6'!$CD$1</definedName>
    <definedName name="E2Row17" localSheetId="22">'Phase 7'!$CD$1</definedName>
    <definedName name="E2Row17" localSheetId="23">'Phase 8'!$CD$1</definedName>
    <definedName name="E2Row17" localSheetId="24">'Phase 9'!$CD$1</definedName>
    <definedName name="E2Row17" localSheetId="2">Phase_Template!$CD$1</definedName>
    <definedName name="E2Row18" localSheetId="16">'Phase 1'!$CE$1</definedName>
    <definedName name="E2Row18" localSheetId="25">'Phase 10'!$CE$1</definedName>
    <definedName name="E2Row18" localSheetId="26">'Phase 11'!$CE$1</definedName>
    <definedName name="E2Row18" localSheetId="27">'Phase 12'!$CE$1</definedName>
    <definedName name="E2Row18" localSheetId="28">'Phase 13'!$CE$1</definedName>
    <definedName name="E2Row18" localSheetId="29">'Phase 14'!$CE$1</definedName>
    <definedName name="E2Row18" localSheetId="30">'Phase 15'!$CE$1</definedName>
    <definedName name="E2Row18" localSheetId="31">'Phase 16'!$CE$1</definedName>
    <definedName name="E2Row18" localSheetId="32">'Phase 17'!$CE$1</definedName>
    <definedName name="E2Row18" localSheetId="33">'Phase 18'!$CE$1</definedName>
    <definedName name="E2Row18" localSheetId="34">'Phase 19'!$CE$1</definedName>
    <definedName name="E2Row18" localSheetId="17">'Phase 2'!$CE$1</definedName>
    <definedName name="E2Row18" localSheetId="35">'Phase 20'!$CE$1</definedName>
    <definedName name="E2Row18" localSheetId="18">'Phase 3'!$CE$1</definedName>
    <definedName name="E2Row18" localSheetId="19">'Phase 4'!$CE$1</definedName>
    <definedName name="E2Row18" localSheetId="20">'Phase 5'!$CE$1</definedName>
    <definedName name="E2Row18" localSheetId="21">'Phase 6'!$CE$1</definedName>
    <definedName name="E2Row18" localSheetId="22">'Phase 7'!$CE$1</definedName>
    <definedName name="E2Row18" localSheetId="23">'Phase 8'!$CE$1</definedName>
    <definedName name="E2Row18" localSheetId="24">'Phase 9'!$CE$1</definedName>
    <definedName name="E2Row18" localSheetId="2">Phase_Template!$CE$1</definedName>
    <definedName name="E2Row19" localSheetId="16">'Phase 1'!$CF$1</definedName>
    <definedName name="E2Row19" localSheetId="25">'Phase 10'!$CF$1</definedName>
    <definedName name="E2Row19" localSheetId="26">'Phase 11'!$CF$1</definedName>
    <definedName name="E2Row19" localSheetId="27">'Phase 12'!$CF$1</definedName>
    <definedName name="E2Row19" localSheetId="28">'Phase 13'!$CF$1</definedName>
    <definedName name="E2Row19" localSheetId="29">'Phase 14'!$CF$1</definedName>
    <definedName name="E2Row19" localSheetId="30">'Phase 15'!$CF$1</definedName>
    <definedName name="E2Row19" localSheetId="31">'Phase 16'!$CF$1</definedName>
    <definedName name="E2Row19" localSheetId="32">'Phase 17'!$CF$1</definedName>
    <definedName name="E2Row19" localSheetId="33">'Phase 18'!$CF$1</definedName>
    <definedName name="E2Row19" localSheetId="34">'Phase 19'!$CF$1</definedName>
    <definedName name="E2Row19" localSheetId="17">'Phase 2'!$CF$1</definedName>
    <definedName name="E2Row19" localSheetId="35">'Phase 20'!$CF$1</definedName>
    <definedName name="E2Row19" localSheetId="18">'Phase 3'!$CF$1</definedName>
    <definedName name="E2Row19" localSheetId="19">'Phase 4'!$CF$1</definedName>
    <definedName name="E2Row19" localSheetId="20">'Phase 5'!$CF$1</definedName>
    <definedName name="E2Row19" localSheetId="21">'Phase 6'!$CF$1</definedName>
    <definedName name="E2Row19" localSheetId="22">'Phase 7'!$CF$1</definedName>
    <definedName name="E2Row19" localSheetId="23">'Phase 8'!$CF$1</definedName>
    <definedName name="E2Row19" localSheetId="24">'Phase 9'!$CF$1</definedName>
    <definedName name="E2Row19" localSheetId="2">Phase_Template!$CF$1</definedName>
    <definedName name="E2Row2" localSheetId="16">'Phase 1'!$BO$1</definedName>
    <definedName name="E2Row2" localSheetId="25">'Phase 10'!$BO$1</definedName>
    <definedName name="E2Row2" localSheetId="26">'Phase 11'!$BO$1</definedName>
    <definedName name="E2Row2" localSheetId="27">'Phase 12'!$BO$1</definedName>
    <definedName name="E2Row2" localSheetId="28">'Phase 13'!$BO$1</definedName>
    <definedName name="E2Row2" localSheetId="29">'Phase 14'!$BO$1</definedName>
    <definedName name="E2Row2" localSheetId="30">'Phase 15'!$BO$1</definedName>
    <definedName name="E2Row2" localSheetId="31">'Phase 16'!$BO$1</definedName>
    <definedName name="E2Row2" localSheetId="32">'Phase 17'!$BO$1</definedName>
    <definedName name="E2Row2" localSheetId="33">'Phase 18'!$BO$1</definedName>
    <definedName name="E2Row2" localSheetId="34">'Phase 19'!$BO$1</definedName>
    <definedName name="E2Row2" localSheetId="17">'Phase 2'!$BO$1</definedName>
    <definedName name="E2Row2" localSheetId="35">'Phase 20'!$BO$1</definedName>
    <definedName name="E2Row2" localSheetId="18">'Phase 3'!$BO$1</definedName>
    <definedName name="E2Row2" localSheetId="19">'Phase 4'!$BO$1</definedName>
    <definedName name="E2Row2" localSheetId="20">'Phase 5'!$BO$1</definedName>
    <definedName name="E2Row2" localSheetId="21">'Phase 6'!$BO$1</definedName>
    <definedName name="E2Row2" localSheetId="22">'Phase 7'!$BO$1</definedName>
    <definedName name="E2Row2" localSheetId="23">'Phase 8'!$BO$1</definedName>
    <definedName name="E2Row2" localSheetId="24">'Phase 9'!$BO$1</definedName>
    <definedName name="E2Row2" localSheetId="2">Phase_Template!$BO$1</definedName>
    <definedName name="E2Row20" localSheetId="16">'Phase 1'!$CG$1</definedName>
    <definedName name="E2Row20" localSheetId="25">'Phase 10'!$CG$1</definedName>
    <definedName name="E2Row20" localSheetId="26">'Phase 11'!$CG$1</definedName>
    <definedName name="E2Row20" localSheetId="27">'Phase 12'!$CG$1</definedName>
    <definedName name="E2Row20" localSheetId="28">'Phase 13'!$CG$1</definedName>
    <definedName name="E2Row20" localSheetId="29">'Phase 14'!$CG$1</definedName>
    <definedName name="E2Row20" localSheetId="30">'Phase 15'!$CG$1</definedName>
    <definedName name="E2Row20" localSheetId="31">'Phase 16'!$CG$1</definedName>
    <definedName name="E2Row20" localSheetId="32">'Phase 17'!$CG$1</definedName>
    <definedName name="E2Row20" localSheetId="33">'Phase 18'!$CG$1</definedName>
    <definedName name="E2Row20" localSheetId="34">'Phase 19'!$CG$1</definedName>
    <definedName name="E2Row20" localSheetId="17">'Phase 2'!$CG$1</definedName>
    <definedName name="E2Row20" localSheetId="35">'Phase 20'!$CG$1</definedName>
    <definedName name="E2Row20" localSheetId="18">'Phase 3'!$CG$1</definedName>
    <definedName name="E2Row20" localSheetId="19">'Phase 4'!$CG$1</definedName>
    <definedName name="E2Row20" localSheetId="20">'Phase 5'!$CG$1</definedName>
    <definedName name="E2Row20" localSheetId="21">'Phase 6'!$CG$1</definedName>
    <definedName name="E2Row20" localSheetId="22">'Phase 7'!$CG$1</definedName>
    <definedName name="E2Row20" localSheetId="23">'Phase 8'!$CG$1</definedName>
    <definedName name="E2Row20" localSheetId="24">'Phase 9'!$CG$1</definedName>
    <definedName name="E2Row20" localSheetId="2">Phase_Template!$CG$1</definedName>
    <definedName name="E2Row3" localSheetId="16">'Phase 1'!$BP$1</definedName>
    <definedName name="E2Row3" localSheetId="25">'Phase 10'!$BP$1</definedName>
    <definedName name="E2Row3" localSheetId="26">'Phase 11'!$BP$1</definedName>
    <definedName name="E2Row3" localSheetId="27">'Phase 12'!$BP$1</definedName>
    <definedName name="E2Row3" localSheetId="28">'Phase 13'!$BP$1</definedName>
    <definedName name="E2Row3" localSheetId="29">'Phase 14'!$BP$1</definedName>
    <definedName name="E2Row3" localSheetId="30">'Phase 15'!$BP$1</definedName>
    <definedName name="E2Row3" localSheetId="31">'Phase 16'!$BP$1</definedName>
    <definedName name="E2Row3" localSheetId="32">'Phase 17'!$BP$1</definedName>
    <definedName name="E2Row3" localSheetId="33">'Phase 18'!$BP$1</definedName>
    <definedName name="E2Row3" localSheetId="34">'Phase 19'!$BP$1</definedName>
    <definedName name="E2Row3" localSheetId="17">'Phase 2'!$BP$1</definedName>
    <definedName name="E2Row3" localSheetId="35">'Phase 20'!$BP$1</definedName>
    <definedName name="E2Row3" localSheetId="18">'Phase 3'!$BP$1</definedName>
    <definedName name="E2Row3" localSheetId="19">'Phase 4'!$BP$1</definedName>
    <definedName name="E2Row3" localSheetId="20">'Phase 5'!$BP$1</definedName>
    <definedName name="E2Row3" localSheetId="21">'Phase 6'!$BP$1</definedName>
    <definedName name="E2Row3" localSheetId="22">'Phase 7'!$BP$1</definedName>
    <definedName name="E2Row3" localSheetId="23">'Phase 8'!$BP$1</definedName>
    <definedName name="E2Row3" localSheetId="24">'Phase 9'!$BP$1</definedName>
    <definedName name="E2Row3" localSheetId="2">Phase_Template!$BP$1</definedName>
    <definedName name="E2Row4" localSheetId="16">'Phase 1'!$BQ$1</definedName>
    <definedName name="E2Row4" localSheetId="25">'Phase 10'!$BQ$1</definedName>
    <definedName name="E2Row4" localSheetId="26">'Phase 11'!$BQ$1</definedName>
    <definedName name="E2Row4" localSheetId="27">'Phase 12'!$BQ$1</definedName>
    <definedName name="E2Row4" localSheetId="28">'Phase 13'!$BQ$1</definedName>
    <definedName name="E2Row4" localSheetId="29">'Phase 14'!$BQ$1</definedName>
    <definedName name="E2Row4" localSheetId="30">'Phase 15'!$BQ$1</definedName>
    <definedName name="E2Row4" localSheetId="31">'Phase 16'!$BQ$1</definedName>
    <definedName name="E2Row4" localSheetId="32">'Phase 17'!$BQ$1</definedName>
    <definedName name="E2Row4" localSheetId="33">'Phase 18'!$BQ$1</definedName>
    <definedName name="E2Row4" localSheetId="34">'Phase 19'!$BQ$1</definedName>
    <definedName name="E2Row4" localSheetId="17">'Phase 2'!$BQ$1</definedName>
    <definedName name="E2Row4" localSheetId="35">'Phase 20'!$BQ$1</definedName>
    <definedName name="E2Row4" localSheetId="18">'Phase 3'!$BQ$1</definedName>
    <definedName name="E2Row4" localSheetId="19">'Phase 4'!$BQ$1</definedName>
    <definedName name="E2Row4" localSheetId="20">'Phase 5'!$BQ$1</definedName>
    <definedName name="E2Row4" localSheetId="21">'Phase 6'!$BQ$1</definedName>
    <definedName name="E2Row4" localSheetId="22">'Phase 7'!$BQ$1</definedName>
    <definedName name="E2Row4" localSheetId="23">'Phase 8'!$BQ$1</definedName>
    <definedName name="E2Row4" localSheetId="24">'Phase 9'!$BQ$1</definedName>
    <definedName name="E2Row4" localSheetId="2">Phase_Template!$BQ$1</definedName>
    <definedName name="E2Row5" localSheetId="16">'Phase 1'!$BR$1</definedName>
    <definedName name="E2Row5" localSheetId="25">'Phase 10'!$BR$1</definedName>
    <definedName name="E2Row5" localSheetId="26">'Phase 11'!$BR$1</definedName>
    <definedName name="E2Row5" localSheetId="27">'Phase 12'!$BR$1</definedName>
    <definedName name="E2Row5" localSheetId="28">'Phase 13'!$BR$1</definedName>
    <definedName name="E2Row5" localSheetId="29">'Phase 14'!$BR$1</definedName>
    <definedName name="E2Row5" localSheetId="30">'Phase 15'!$BR$1</definedName>
    <definedName name="E2Row5" localSheetId="31">'Phase 16'!$BR$1</definedName>
    <definedName name="E2Row5" localSheetId="32">'Phase 17'!$BR$1</definedName>
    <definedName name="E2Row5" localSheetId="33">'Phase 18'!$BR$1</definedName>
    <definedName name="E2Row5" localSheetId="34">'Phase 19'!$BR$1</definedName>
    <definedName name="E2Row5" localSheetId="17">'Phase 2'!$BR$1</definedName>
    <definedName name="E2Row5" localSheetId="35">'Phase 20'!$BR$1</definedName>
    <definedName name="E2Row5" localSheetId="18">'Phase 3'!$BR$1</definedName>
    <definedName name="E2Row5" localSheetId="19">'Phase 4'!$BR$1</definedName>
    <definedName name="E2Row5" localSheetId="20">'Phase 5'!$BR$1</definedName>
    <definedName name="E2Row5" localSheetId="21">'Phase 6'!$BR$1</definedName>
    <definedName name="E2Row5" localSheetId="22">'Phase 7'!$BR$1</definedName>
    <definedName name="E2Row5" localSheetId="23">'Phase 8'!$BR$1</definedName>
    <definedName name="E2Row5" localSheetId="24">'Phase 9'!$BR$1</definedName>
    <definedName name="E2Row5" localSheetId="2">Phase_Template!$BR$1</definedName>
    <definedName name="E2Row6" localSheetId="16">'Phase 1'!$BS$1</definedName>
    <definedName name="E2Row6" localSheetId="25">'Phase 10'!$BS$1</definedName>
    <definedName name="E2Row6" localSheetId="26">'Phase 11'!$BS$1</definedName>
    <definedName name="E2Row6" localSheetId="27">'Phase 12'!$BS$1</definedName>
    <definedName name="E2Row6" localSheetId="28">'Phase 13'!$BS$1</definedName>
    <definedName name="E2Row6" localSheetId="29">'Phase 14'!$BS$1</definedName>
    <definedName name="E2Row6" localSheetId="30">'Phase 15'!$BS$1</definedName>
    <definedName name="E2Row6" localSheetId="31">'Phase 16'!$BS$1</definedName>
    <definedName name="E2Row6" localSheetId="32">'Phase 17'!$BS$1</definedName>
    <definedName name="E2Row6" localSheetId="33">'Phase 18'!$BS$1</definedName>
    <definedName name="E2Row6" localSheetId="34">'Phase 19'!$BS$1</definedName>
    <definedName name="E2Row6" localSheetId="17">'Phase 2'!$BS$1</definedName>
    <definedName name="E2Row6" localSheetId="35">'Phase 20'!$BS$1</definedName>
    <definedName name="E2Row6" localSheetId="18">'Phase 3'!$BS$1</definedName>
    <definedName name="E2Row6" localSheetId="19">'Phase 4'!$BS$1</definedName>
    <definedName name="E2Row6" localSheetId="20">'Phase 5'!$BS$1</definedName>
    <definedName name="E2Row6" localSheetId="21">'Phase 6'!$BS$1</definedName>
    <definedName name="E2Row6" localSheetId="22">'Phase 7'!$BS$1</definedName>
    <definedName name="E2Row6" localSheetId="23">'Phase 8'!$BS$1</definedName>
    <definedName name="E2Row6" localSheetId="24">'Phase 9'!$BS$1</definedName>
    <definedName name="E2Row6" localSheetId="2">Phase_Template!$BS$1</definedName>
    <definedName name="E2Row7" localSheetId="16">'Phase 1'!$BT$1</definedName>
    <definedName name="E2Row7" localSheetId="25">'Phase 10'!$BT$1</definedName>
    <definedName name="E2Row7" localSheetId="26">'Phase 11'!$BT$1</definedName>
    <definedName name="E2Row7" localSheetId="27">'Phase 12'!$BT$1</definedName>
    <definedName name="E2Row7" localSheetId="28">'Phase 13'!$BT$1</definedName>
    <definedName name="E2Row7" localSheetId="29">'Phase 14'!$BT$1</definedName>
    <definedName name="E2Row7" localSheetId="30">'Phase 15'!$BT$1</definedName>
    <definedName name="E2Row7" localSheetId="31">'Phase 16'!$BT$1</definedName>
    <definedName name="E2Row7" localSheetId="32">'Phase 17'!$BT$1</definedName>
    <definedName name="E2Row7" localSheetId="33">'Phase 18'!$BT$1</definedName>
    <definedName name="E2Row7" localSheetId="34">'Phase 19'!$BT$1</definedName>
    <definedName name="E2Row7" localSheetId="17">'Phase 2'!$BT$1</definedName>
    <definedName name="E2Row7" localSheetId="35">'Phase 20'!$BT$1</definedName>
    <definedName name="E2Row7" localSheetId="18">'Phase 3'!$BT$1</definedName>
    <definedName name="E2Row7" localSheetId="19">'Phase 4'!$BT$1</definedName>
    <definedName name="E2Row7" localSheetId="20">'Phase 5'!$BT$1</definedName>
    <definedName name="E2Row7" localSheetId="21">'Phase 6'!$BT$1</definedName>
    <definedName name="E2Row7" localSheetId="22">'Phase 7'!$BT$1</definedName>
    <definedName name="E2Row7" localSheetId="23">'Phase 8'!$BT$1</definedName>
    <definedName name="E2Row7" localSheetId="24">'Phase 9'!$BT$1</definedName>
    <definedName name="E2Row7" localSheetId="2">Phase_Template!$BT$1</definedName>
    <definedName name="E2Row8" localSheetId="16">'Phase 1'!$BU$1</definedName>
    <definedName name="E2Row8" localSheetId="25">'Phase 10'!$BU$1</definedName>
    <definedName name="E2Row8" localSheetId="26">'Phase 11'!$BU$1</definedName>
    <definedName name="E2Row8" localSheetId="27">'Phase 12'!$BU$1</definedName>
    <definedName name="E2Row8" localSheetId="28">'Phase 13'!$BU$1</definedName>
    <definedName name="E2Row8" localSheetId="29">'Phase 14'!$BU$1</definedName>
    <definedName name="E2Row8" localSheetId="30">'Phase 15'!$BU$1</definedName>
    <definedName name="E2Row8" localSheetId="31">'Phase 16'!$BU$1</definedName>
    <definedName name="E2Row8" localSheetId="32">'Phase 17'!$BU$1</definedName>
    <definedName name="E2Row8" localSheetId="33">'Phase 18'!$BU$1</definedName>
    <definedName name="E2Row8" localSheetId="34">'Phase 19'!$BU$1</definedName>
    <definedName name="E2Row8" localSheetId="17">'Phase 2'!$BU$1</definedName>
    <definedName name="E2Row8" localSheetId="35">'Phase 20'!$BU$1</definedName>
    <definedName name="E2Row8" localSheetId="18">'Phase 3'!$BU$1</definedName>
    <definedName name="E2Row8" localSheetId="19">'Phase 4'!$BU$1</definedName>
    <definedName name="E2Row8" localSheetId="20">'Phase 5'!$BU$1</definedName>
    <definedName name="E2Row8" localSheetId="21">'Phase 6'!$BU$1</definedName>
    <definedName name="E2Row8" localSheetId="22">'Phase 7'!$BU$1</definedName>
    <definedName name="E2Row8" localSheetId="23">'Phase 8'!$BU$1</definedName>
    <definedName name="E2Row8" localSheetId="24">'Phase 9'!$BU$1</definedName>
    <definedName name="E2Row8" localSheetId="2">Phase_Template!$BU$1</definedName>
    <definedName name="E2Row9" localSheetId="16">'Phase 1'!$BV$1</definedName>
    <definedName name="E2Row9" localSheetId="25">'Phase 10'!$BV$1</definedName>
    <definedName name="E2Row9" localSheetId="26">'Phase 11'!$BV$1</definedName>
    <definedName name="E2Row9" localSheetId="27">'Phase 12'!$BV$1</definedName>
    <definedName name="E2Row9" localSheetId="28">'Phase 13'!$BV$1</definedName>
    <definedName name="E2Row9" localSheetId="29">'Phase 14'!$BV$1</definedName>
    <definedName name="E2Row9" localSheetId="30">'Phase 15'!$BV$1</definedName>
    <definedName name="E2Row9" localSheetId="31">'Phase 16'!$BV$1</definedName>
    <definedName name="E2Row9" localSheetId="32">'Phase 17'!$BV$1</definedName>
    <definedName name="E2Row9" localSheetId="33">'Phase 18'!$BV$1</definedName>
    <definedName name="E2Row9" localSheetId="34">'Phase 19'!$BV$1</definedName>
    <definedName name="E2Row9" localSheetId="17">'Phase 2'!$BV$1</definedName>
    <definedName name="E2Row9" localSheetId="35">'Phase 20'!$BV$1</definedName>
    <definedName name="E2Row9" localSheetId="18">'Phase 3'!$BV$1</definedName>
    <definedName name="E2Row9" localSheetId="19">'Phase 4'!$BV$1</definedName>
    <definedName name="E2Row9" localSheetId="20">'Phase 5'!$BV$1</definedName>
    <definedName name="E2Row9" localSheetId="21">'Phase 6'!$BV$1</definedName>
    <definedName name="E2Row9" localSheetId="22">'Phase 7'!$BV$1</definedName>
    <definedName name="E2Row9" localSheetId="23">'Phase 8'!$BV$1</definedName>
    <definedName name="E2Row9" localSheetId="24">'Phase 9'!$BV$1</definedName>
    <definedName name="E2Row9" localSheetId="2">Phase_Template!$BV$1</definedName>
    <definedName name="E2RVTransfer" localSheetId="1">'[1]Travel Charges'!$K$23</definedName>
    <definedName name="E2RVTransfer">'Travel Charges'!$K$23</definedName>
    <definedName name="E2S" localSheetId="1">'[1]Other Supplies &amp; Rental List'!$N$12</definedName>
    <definedName name="E2S">'Other Supplies &amp; Rental List'!$N$12</definedName>
    <definedName name="E2SI" localSheetId="1">'[1]Subcontractors List'!$N$20</definedName>
    <definedName name="E2SI">'Subcontractors List'!$N$20</definedName>
    <definedName name="E2STransfer" localSheetId="1">'[1]Standard Equipment &amp; Supplies'!$G$164</definedName>
    <definedName name="E2STransfer">'Standard Equipment &amp; Supplies'!$G$164</definedName>
    <definedName name="E2SubsTotal" localSheetId="1">'[1]Budget Detail'!$I$70</definedName>
    <definedName name="E2SubsTotal">'Budget Detail'!$I$70</definedName>
    <definedName name="E2TDropdowns">'RATE Schedules'!$AP$2</definedName>
    <definedName name="E2TravelTotal" localSheetId="1">'[1]Budget Detail'!$I$50</definedName>
    <definedName name="E2TravelTotal">'Budget Detail'!$I$50</definedName>
    <definedName name="E2Units" localSheetId="39">#REF!,#REF!,#REF!,#REF!,#REF!,#REF!,#REF!,#REF!,#REF!,#REF!,#REF!,#REF!,#REF!,#REF!,#REF!,#REF!,#REF!,#REF!,#REF!</definedName>
    <definedName name="E2Units">#REF!,#REF!,#REF!,#REF!,#REF!,#REF!,#REF!,#REF!,#REF!,#REF!,#REF!,#REF!,#REF!,#REF!,#REF!,#REF!,#REF!,#REF!,#REF!</definedName>
    <definedName name="E2UnitsMirror">'RATE Schedules'!$AN$2</definedName>
    <definedName name="E2WH" localSheetId="1">'[1]Subcontractors List'!$N$19</definedName>
    <definedName name="E2WH">'Subcontractors List'!$N$19</definedName>
    <definedName name="E3ADDA1">'Budget Detail'!$CU$12</definedName>
    <definedName name="E3ADDA2">'Budget Detail'!$CU$11</definedName>
    <definedName name="E3ADDA3">'Budget Detail'!$CU$10</definedName>
    <definedName name="E3ADDA4">'Budget Detail'!$CU$9</definedName>
    <definedName name="E3ADDB1">'Budget Detail'!$CU$16</definedName>
    <definedName name="E3ADDB2">'Budget Detail'!$CU$15</definedName>
    <definedName name="E3ADDB3">'Budget Detail'!$CU$14</definedName>
    <definedName name="E3ADDB4">'Budget Detail'!$CU$13</definedName>
    <definedName name="E3ADDC1">'Budget Detail'!$CU$20</definedName>
    <definedName name="E3ADDC2">'Budget Detail'!$CU$19</definedName>
    <definedName name="E3ADDC3">'Budget Detail'!$CU$18</definedName>
    <definedName name="E3ADDC4">'Budget Detail'!$CU$17</definedName>
    <definedName name="E3ADDD1">'Budget Detail'!$CU$24</definedName>
    <definedName name="E3ADDD2">'Budget Detail'!$CU$23</definedName>
    <definedName name="E3ADDD3">'Budget Detail'!$CU$22</definedName>
    <definedName name="E3ADDD4">'Budget Detail'!$CU$21</definedName>
    <definedName name="E3ADDE1">'Budget Detail'!$CU$28</definedName>
    <definedName name="E3ADDE2">'Budget Detail'!$CU$27</definedName>
    <definedName name="E3ADDE3">'Budget Detail'!$CU$26</definedName>
    <definedName name="E3ADDE4">'Budget Detail'!$CU$25</definedName>
    <definedName name="E3ADDF1">'Budget Detail'!$CU$32</definedName>
    <definedName name="E3ADDF2">'Budget Detail'!$CU$31</definedName>
    <definedName name="E3ADDF3">'Budget Detail'!$CU$30</definedName>
    <definedName name="E3ADDF4">'Budget Detail'!$CU$29</definedName>
    <definedName name="E3ADDG1">'Budget Detail'!$CU$36</definedName>
    <definedName name="E3ADDG2">'Budget Detail'!$CU$35</definedName>
    <definedName name="E3ADDG3">'Budget Detail'!$CU$34</definedName>
    <definedName name="E3ADDG4">'Budget Detail'!$CU$33</definedName>
    <definedName name="E3AllExpenses">'Budget Detail'!$K$81</definedName>
    <definedName name="E3ATransfer" localSheetId="1">'[1]Travel Charges'!$O$27</definedName>
    <definedName name="E3ATransfer">'Travel Charges'!$O$27</definedName>
    <definedName name="E3B" localSheetId="1">'[1]Subcontractors List'!$N$24</definedName>
    <definedName name="E3B">'Subcontractors List'!$N$24</definedName>
    <definedName name="E3BASEA1" localSheetId="1">'[1]Phase 3'!$G$43</definedName>
    <definedName name="E3BASEA1">'Phase 3'!$G$43</definedName>
    <definedName name="E3BASEA2" localSheetId="1">'[1]Phase 3'!$F$43</definedName>
    <definedName name="E3BASEA2">'Phase 3'!$F$43</definedName>
    <definedName name="E3BASEA3" localSheetId="1">'[1]Phase 3'!$E$43</definedName>
    <definedName name="E3BASEA3">'Phase 3'!$E$43</definedName>
    <definedName name="E3BASEA4" localSheetId="1">'[1]Phase 3'!$D$43</definedName>
    <definedName name="E3BASEA4">'Phase 3'!$D$43</definedName>
    <definedName name="E3BASEB1" localSheetId="1">'[1]Phase 3'!$K$43</definedName>
    <definedName name="E3BASEB1">'Phase 3'!$K$43</definedName>
    <definedName name="E3BASEB2" localSheetId="1">'[1]Phase 3'!$J$43</definedName>
    <definedName name="E3BASEB2">'Phase 3'!$J$43</definedName>
    <definedName name="E3BASEB3" localSheetId="1">'[1]Phase 3'!$I$43</definedName>
    <definedName name="E3BASEB3">'Phase 3'!$I$43</definedName>
    <definedName name="E3BASEB4" localSheetId="1">'[1]Phase 3'!$H$43</definedName>
    <definedName name="E3BASEB4">'Phase 3'!$H$43</definedName>
    <definedName name="E3BASEC1" localSheetId="1">'[1]Phase 3'!$O$43</definedName>
    <definedName name="E3BASEC1">'Phase 3'!$O$43</definedName>
    <definedName name="E3BASEC2" localSheetId="1">'[1]Phase 3'!$N$43</definedName>
    <definedName name="E3BASEC2">'Phase 3'!$N$43</definedName>
    <definedName name="E3BASEC3" localSheetId="1">'[1]Phase 3'!$M$43</definedName>
    <definedName name="E3BASEC3">'Phase 3'!$M$43</definedName>
    <definedName name="E3BASEC4" localSheetId="1">'[1]Phase 3'!$L$43</definedName>
    <definedName name="E3BASEC4">'Phase 3'!$L$43</definedName>
    <definedName name="E3BASED1" localSheetId="1">'[1]Phase 3'!$S$43</definedName>
    <definedName name="E3BASED1">'Phase 3'!$S$43</definedName>
    <definedName name="E3BASED2" localSheetId="1">'[1]Phase 3'!$R$43</definedName>
    <definedName name="E3BASED2">'Phase 3'!$R$43</definedName>
    <definedName name="E3BASED3" localSheetId="1">'[1]Phase 3'!$Q$43</definedName>
    <definedName name="E3BASED3">'Phase 3'!$Q$43</definedName>
    <definedName name="E3BASED4" localSheetId="1">'[1]Phase 3'!$P$43</definedName>
    <definedName name="E3BASED4">'Phase 3'!$P$43</definedName>
    <definedName name="E3BASEE1" localSheetId="1">'[1]Phase 3'!$W$43</definedName>
    <definedName name="E3BASEE1">'Phase 3'!$W$43</definedName>
    <definedName name="E3BASEE2" localSheetId="1">'[1]Phase 3'!$V$43</definedName>
    <definedName name="E3BASEE2">'Phase 3'!$V$43</definedName>
    <definedName name="E3BASEE3" localSheetId="1">'[1]Phase 3'!$U$43</definedName>
    <definedName name="E3BASEE3">'Phase 3'!$U$43</definedName>
    <definedName name="E3BASEE4" localSheetId="1">'[1]Phase 3'!$T$43</definedName>
    <definedName name="E3BASEE4">'Phase 3'!$T$43</definedName>
    <definedName name="E3BASEF1" localSheetId="1">'[1]Phase 3'!$AA$43</definedName>
    <definedName name="E3BASEF1">'Phase 3'!$AA$43</definedName>
    <definedName name="E3BASEF2" localSheetId="1">'[1]Phase 3'!$Z$43</definedName>
    <definedName name="E3BASEF2">'Phase 3'!$Z$43</definedName>
    <definedName name="E3BASEF3" localSheetId="1">'[1]Phase 3'!$Y$43</definedName>
    <definedName name="E3BASEF3">'Phase 3'!$Y$43</definedName>
    <definedName name="E3BASEF4" localSheetId="1">'[1]Phase 3'!$X$43</definedName>
    <definedName name="E3BASEF4">'Phase 3'!$X$43</definedName>
    <definedName name="E3BASEG1" localSheetId="1">'[1]Phase 3'!$AE$43</definedName>
    <definedName name="E3BASEG1">'Phase 3'!$AE$43</definedName>
    <definedName name="E3BASEG2" localSheetId="1">'[1]Phase 3'!$AD$43</definedName>
    <definedName name="E3BASEG2">'Phase 3'!$AD$43</definedName>
    <definedName name="E3BASEG3" localSheetId="1">'[1]Phase 3'!$AC$43</definedName>
    <definedName name="E3BASEG3">'Phase 3'!$AC$43</definedName>
    <definedName name="E3BASEG4" localSheetId="1">'[1]Phase 3'!$AB$43</definedName>
    <definedName name="E3BASEG4">'Phase 3'!$AB$43</definedName>
    <definedName name="E3C" localSheetId="1">'[1]Subcontractors List'!$N$31</definedName>
    <definedName name="E3C">'Subcontractors List'!$N$31</definedName>
    <definedName name="E3DirectLaborAA45">'Phase 3'!$AA$45</definedName>
    <definedName name="E3DirectLaborAB45">'Phase 3'!$AB$45</definedName>
    <definedName name="E3DirectLaborAC45">'Phase 3'!$AC$45</definedName>
    <definedName name="E3DirectLaborAD45">'Phase 3'!$AD$45</definedName>
    <definedName name="E3DirectLaborAE45">'Phase 3'!$AE$45</definedName>
    <definedName name="E3DirectLaborD45">'Phase 3'!$D$45</definedName>
    <definedName name="E3DirectLaborE45">'Phase 3'!$E$45</definedName>
    <definedName name="E3DirectLaborF45">'Phase 3'!$F$45</definedName>
    <definedName name="E3DirectLaborG45">'Phase 3'!$G$45</definedName>
    <definedName name="E3DirectLaborH45">'Phase 3'!$H$45</definedName>
    <definedName name="E3DirectLaborI45">'Phase 3'!$I$45</definedName>
    <definedName name="E3DirectLaborJ45">'Phase 3'!$J$45</definedName>
    <definedName name="E3DirectLaborK45">'Phase 3'!$K$45</definedName>
    <definedName name="E3DirectLaborL45">'Phase 3'!$L$45</definedName>
    <definedName name="E3DirectLaborM45">'Phase 3'!$M$45</definedName>
    <definedName name="E3DirectLaborN45">'Phase 3'!$N$45</definedName>
    <definedName name="E3DirectLaborO45">'Phase 3'!$O$45</definedName>
    <definedName name="E3DirectLaborP45">'Phase 3'!$P$45</definedName>
    <definedName name="E3DirectLaborQ45">'Phase 3'!$Q$45</definedName>
    <definedName name="E3DirectLaborR45">'Phase 3'!$R$45</definedName>
    <definedName name="E3DirectLaborS45">'Phase 3'!$S$45</definedName>
    <definedName name="E3DirectLaborT45">'Phase 3'!$T$45</definedName>
    <definedName name="E3DirectLaborTotal" localSheetId="1">'[1]Phase 3'!$AG$35</definedName>
    <definedName name="E3DirectLaborTotal">'Phase 3'!$AG$35</definedName>
    <definedName name="E3DirectLaborU45">'Phase 3'!$U$45</definedName>
    <definedName name="E3DirectLaborV45">'Phase 3'!$V$45</definedName>
    <definedName name="E3DirectLaborW45">'Phase 3'!$W$45</definedName>
    <definedName name="E3DirectLaborX45">'Phase 3'!$X$45</definedName>
    <definedName name="E3DirectLaborY45">'Phase 3'!$Y$45</definedName>
    <definedName name="E3DirectLaborZ45">'Phase 3'!$Z$45</definedName>
    <definedName name="E3Dropdown">'RATE Schedules'!$AM$3</definedName>
    <definedName name="E3EquipmentTotal" localSheetId="1">'[1]Budget Detail'!$K$73</definedName>
    <definedName name="E3EquipmentTotal">'Budget Detail'!$K$73</definedName>
    <definedName name="E3ETransfer" localSheetId="1">'[1]Standard Equipment &amp; Supplies'!$G$166</definedName>
    <definedName name="E3ETransfer">'Standard Equipment &amp; Supplies'!$G$166</definedName>
    <definedName name="E3ExpenseTotal" localSheetId="1">'[1]Budget Detail'!$K$80</definedName>
    <definedName name="E3ExpenseTotal">'Budget Detail'!$K$80</definedName>
    <definedName name="E3GEN" localSheetId="1">'[1]Subcontractors List'!$N$26</definedName>
    <definedName name="E3GEN">'Subcontractors List'!$N$26</definedName>
    <definedName name="E3IncludeExpenses">'Budget Summary'!$R$17</definedName>
    <definedName name="E3IncludeLab">'Budget Summary'!$R$21</definedName>
    <definedName name="E3IncludeLabor">'Budget Summary'!$R$15</definedName>
    <definedName name="E3IncludeProcure">'Budget Summary'!$R$20</definedName>
    <definedName name="E3IncludeSubs">'Budget Summary'!$R$22</definedName>
    <definedName name="E3LaborTotal" localSheetId="1">'[1]Budget Detail'!$K$38</definedName>
    <definedName name="E3LaborTotal">'Budget Detail'!$K$38</definedName>
    <definedName name="E3LabTotal" localSheetId="1">'[1]Budget Detail'!$K$60</definedName>
    <definedName name="E3LabTotal">'Budget Detail'!$K$60</definedName>
    <definedName name="E3LTransfer" localSheetId="1">'[1]Travel Charges'!$O$26</definedName>
    <definedName name="E3LTransfer">'Travel Charges'!$O$26</definedName>
    <definedName name="E3M" localSheetId="1">'[1]Subcontractors List'!$N$30</definedName>
    <definedName name="E3M">'Subcontractors List'!$N$30</definedName>
    <definedName name="E3MTransfer" localSheetId="1">'[1]Travel Charges'!$O$25</definedName>
    <definedName name="E3MTransfer">'Travel Charges'!$O$25</definedName>
    <definedName name="E3O" localSheetId="1">'[1]Other Supplies &amp; Rental List'!$N$16</definedName>
    <definedName name="E3O">'Other Supplies &amp; Rental List'!$N$16</definedName>
    <definedName name="E3OTHER" localSheetId="1">'[1]Subcontractors List'!$N$29</definedName>
    <definedName name="E3OTHER">'Subcontractors List'!$N$29</definedName>
    <definedName name="E3OverheadAA46">'Phase 3'!$AA$46</definedName>
    <definedName name="E3OverheadAB46">'Phase 3'!$AB$46</definedName>
    <definedName name="E3OverheadAC46">'Phase 3'!$AC$46</definedName>
    <definedName name="E3OverheadAD46">'Phase 3'!$AD$46</definedName>
    <definedName name="E3OverheadAE46">'Phase 3'!$AE$46</definedName>
    <definedName name="E3OverheadD46">'Phase 3'!$D$46</definedName>
    <definedName name="E3OverheadE46">'Phase 3'!$E$46</definedName>
    <definedName name="E3OverheadF46">'Phase 3'!$F$46</definedName>
    <definedName name="E3OverheadG46">'Phase 3'!$G$46</definedName>
    <definedName name="E3OverheadH46">'Phase 3'!$H$46</definedName>
    <definedName name="E3OverheadI46">'Phase 3'!$I$46</definedName>
    <definedName name="E3OverheadJ46">'Phase 3'!$J$46</definedName>
    <definedName name="E3OverheadK46">'Phase 3'!$K$46</definedName>
    <definedName name="E3OverheadL46">'Phase 3'!$L$46</definedName>
    <definedName name="E3OverheadM46">'Phase 3'!$M$46</definedName>
    <definedName name="E3OverheadN46">'Phase 3'!$N$46</definedName>
    <definedName name="E3OverheadO46">'Phase 3'!$O$46</definedName>
    <definedName name="E3OverheadP46">'Phase 3'!$P$46</definedName>
    <definedName name="E3OverheadQ46">'Phase 3'!$Q$46</definedName>
    <definedName name="E3OverheadR46">'Phase 3'!$R$46</definedName>
    <definedName name="E3OverheadS46">'Phase 3'!$S$46</definedName>
    <definedName name="E3OverheadT46">'Phase 3'!$T$46</definedName>
    <definedName name="E3OverheadTotal" localSheetId="1">'[1]Phase 3'!$AG$37</definedName>
    <definedName name="E3OverheadTotal">'Phase 3'!$AG$37</definedName>
    <definedName name="E3OverheadU46">'Phase 3'!$U$46</definedName>
    <definedName name="E3OverheadV46">'Phase 3'!$V$46</definedName>
    <definedName name="E3OverheadW46">'Phase 3'!$W$46</definedName>
    <definedName name="E3OverheadX46">'Phase 3'!$X$46</definedName>
    <definedName name="E3OverheadY46">'Phase 3'!$Y$46</definedName>
    <definedName name="E3OverheadZ46">'Phase 3'!$Z$46</definedName>
    <definedName name="E3OVTransfer" localSheetId="1">'[1]Travel Charges'!$O$24</definedName>
    <definedName name="E3OVTransfer">'Travel Charges'!$O$24</definedName>
    <definedName name="E3QUANTITY" localSheetId="1">#REF!</definedName>
    <definedName name="E3QUANTITY" localSheetId="39">#REF!</definedName>
    <definedName name="E3QUANTITY">#REF!</definedName>
    <definedName name="E3R" localSheetId="1">'[1]Other Supplies &amp; Rental List'!$N$14</definedName>
    <definedName name="E3R">'Other Supplies &amp; Rental List'!$N$14</definedName>
    <definedName name="E3RateA1Total">'Budget Detail'!$BE$12</definedName>
    <definedName name="E3RateA2Total">'Budget Detail'!$BE$11</definedName>
    <definedName name="E3RateA3Total">'Budget Detail'!$BE$10</definedName>
    <definedName name="E3RateA4Total">'Budget Detail'!$BE$9</definedName>
    <definedName name="E3RateB1Total">'Budget Detail'!$BE$16</definedName>
    <definedName name="E3RateB2Total">'Budget Detail'!$BE$15</definedName>
    <definedName name="E3RateB3Total">'Budget Detail'!$BE$14</definedName>
    <definedName name="E3RateB4Total">'Budget Detail'!$BE$13</definedName>
    <definedName name="E3RateC1Total">'Budget Detail'!$BE$20</definedName>
    <definedName name="E3RateC2Total">'Budget Detail'!$BE$19</definedName>
    <definedName name="E3RateC3Total">'Budget Detail'!$BE$18</definedName>
    <definedName name="E3RateC4Total">'Budget Detail'!$BE$17</definedName>
    <definedName name="E3RateD1Total">'Budget Detail'!$BE$24</definedName>
    <definedName name="E3RateD2Total">'Budget Detail'!$BE$23</definedName>
    <definedName name="E3RateD3Total">'Budget Detail'!$BE$22</definedName>
    <definedName name="E3RateD4Total">'Budget Detail'!$BE$21</definedName>
    <definedName name="E3RateE1Total">'Budget Detail'!$BE$28</definedName>
    <definedName name="E3RateE2Total">'Budget Detail'!$BE$27</definedName>
    <definedName name="E3RateE3Total">'Budget Detail'!$BE$26</definedName>
    <definedName name="E3Ratee4Total">'Budget Detail'!$BE$25</definedName>
    <definedName name="E3RateF1Total">'Budget Detail'!$BE$32</definedName>
    <definedName name="E3RateF2Total">'Budget Detail'!$BE$31</definedName>
    <definedName name="E3RateF3Total">'Budget Detail'!$BE$30</definedName>
    <definedName name="E3RateF4Total">'Budget Detail'!$BE$29</definedName>
    <definedName name="E3RateG1Total">'Budget Detail'!$BE$36</definedName>
    <definedName name="E3RateG2Total">'Budget Detail'!$BE$35</definedName>
    <definedName name="E3RateG3Total">'Budget Detail'!$BE$34</definedName>
    <definedName name="E3RateG4Total">'Budget Detail'!$BE$33</definedName>
    <definedName name="E3REM" localSheetId="1">'[1]Subcontractors List'!$N$25</definedName>
    <definedName name="E3REM">'Subcontractors List'!$N$25</definedName>
    <definedName name="E3RVTransfer" localSheetId="1">'[1]Travel Charges'!$O$23</definedName>
    <definedName name="E3RVTransfer">'Travel Charges'!$O$23</definedName>
    <definedName name="E3S" localSheetId="1">'[1]Other Supplies &amp; Rental List'!$N$15</definedName>
    <definedName name="E3S">'Other Supplies &amp; Rental List'!$N$15</definedName>
    <definedName name="E3SI" localSheetId="1">'[1]Subcontractors List'!$N$28</definedName>
    <definedName name="E3SI">'Subcontractors List'!$N$28</definedName>
    <definedName name="E3STransfer" localSheetId="1">'[1]Standard Equipment &amp; Supplies'!$G$167</definedName>
    <definedName name="E3STransfer">'Standard Equipment &amp; Supplies'!$G$167</definedName>
    <definedName name="E3SubsTotal" localSheetId="1">'[1]Budget Detail'!$K$70</definedName>
    <definedName name="E3SubsTotal">'Budget Detail'!$K$70</definedName>
    <definedName name="E3TDropdowns">'RATE Schedules'!$AP$3</definedName>
    <definedName name="E3TravelTotal" localSheetId="1">'[1]Budget Detail'!$K$50</definedName>
    <definedName name="E3TravelTotal">'Budget Detail'!$K$50</definedName>
    <definedName name="E3Units" localSheetId="39">#REF!,#REF!,#REF!,#REF!,#REF!,#REF!,#REF!,#REF!,#REF!,#REF!,#REF!,#REF!,#REF!,#REF!,#REF!,#REF!,#REF!,#REF!,#REF!</definedName>
    <definedName name="E3Units">#REF!,#REF!,#REF!,#REF!,#REF!,#REF!,#REF!,#REF!,#REF!,#REF!,#REF!,#REF!,#REF!,#REF!,#REF!,#REF!,#REF!,#REF!,#REF!</definedName>
    <definedName name="E3UnitsMirror">'RATE Schedules'!$AN$3</definedName>
    <definedName name="E3WH" localSheetId="1">'[1]Subcontractors List'!$N$27</definedName>
    <definedName name="E3WH">'Subcontractors List'!$N$27</definedName>
    <definedName name="E4ADDA1">'Budget Detail'!$CV$12</definedName>
    <definedName name="E4ADDA2">'Budget Detail'!$CV$11</definedName>
    <definedName name="E4ADDA3">'Budget Detail'!$CV$10</definedName>
    <definedName name="E4ADDA4">'Budget Detail'!$CV$9</definedName>
    <definedName name="E4ADDB1">'Budget Detail'!$CV$16</definedName>
    <definedName name="E4ADDB2">'Budget Detail'!$CV$15</definedName>
    <definedName name="E4ADDB3">'Budget Detail'!$CV$14</definedName>
    <definedName name="E4ADDB4">'Budget Detail'!$CV$13</definedName>
    <definedName name="E4ADDC1">'Budget Detail'!$CV$20</definedName>
    <definedName name="E4ADDC2">'Budget Detail'!$CV$19</definedName>
    <definedName name="E4ADDC3">'Budget Detail'!$CV$18</definedName>
    <definedName name="E4ADDC4">'Budget Detail'!$CV$17</definedName>
    <definedName name="E4ADDD1">'Budget Detail'!$CV$24</definedName>
    <definedName name="E4ADDD2">'Budget Detail'!$CV$23</definedName>
    <definedName name="E4ADDD3">'Budget Detail'!$CV$22</definedName>
    <definedName name="E4ADDD4">'Budget Detail'!$CV$21</definedName>
    <definedName name="E4ADDE1">'Budget Detail'!$CV$28</definedName>
    <definedName name="E4ADDE2">'Budget Detail'!$CV$27</definedName>
    <definedName name="E4ADDE3">'Budget Detail'!$CV$26</definedName>
    <definedName name="E4ADDE4">'Budget Detail'!$CV$25</definedName>
    <definedName name="E4ADDF1">'Budget Detail'!$CV$32</definedName>
    <definedName name="E4ADDF2">'Budget Detail'!$CV$31</definedName>
    <definedName name="E4ADDF3">'Budget Detail'!$CV$30</definedName>
    <definedName name="E4ADDF4">'Budget Detail'!$CV$29</definedName>
    <definedName name="E4ADDG1">'Budget Detail'!$CV$36</definedName>
    <definedName name="E4ADDG2">'Budget Detail'!$CV$35</definedName>
    <definedName name="E4ADDG3">'Budget Detail'!$CV$34</definedName>
    <definedName name="E4ADDG4">'Budget Detail'!$CV$33</definedName>
    <definedName name="E4AllExpenses">'Budget Detail'!$M$81</definedName>
    <definedName name="E4ATransfer" localSheetId="1">'[1]Travel Charges'!$S$27</definedName>
    <definedName name="E4ATransfer">'Travel Charges'!$S$27</definedName>
    <definedName name="E4B" localSheetId="1">'[1]Subcontractors List'!$N$32</definedName>
    <definedName name="E4B">'Subcontractors List'!$N$32</definedName>
    <definedName name="E4BASEA1" localSheetId="1">'[1]Phase 4'!$G$43</definedName>
    <definedName name="E4BASEA1">'Phase 4'!$G$43</definedName>
    <definedName name="E4BASEA2" localSheetId="1">'[1]Phase 4'!$F$43</definedName>
    <definedName name="E4BASEA2">'Phase 4'!$F$43</definedName>
    <definedName name="E4BASEA3" localSheetId="1">'[1]Phase 4'!$E$43</definedName>
    <definedName name="E4BASEA3">'Phase 4'!$E$43</definedName>
    <definedName name="E4BASEA4" localSheetId="1">'[1]Phase 4'!$D$43</definedName>
    <definedName name="E4BASEA4">'Phase 4'!$D$43</definedName>
    <definedName name="E4BASEB1" localSheetId="1">'[1]Phase 4'!$K$43</definedName>
    <definedName name="E4BASEB1">'Phase 4'!$K$43</definedName>
    <definedName name="E4BASEB2" localSheetId="1">'[1]Phase 4'!$J$43</definedName>
    <definedName name="E4BASEB2">'Phase 4'!$J$43</definedName>
    <definedName name="E4BASEB3" localSheetId="1">'[1]Phase 4'!$I$43</definedName>
    <definedName name="E4BASEB3">'Phase 4'!$I$43</definedName>
    <definedName name="E4BASEB4" localSheetId="1">'[1]Phase 4'!$H$43</definedName>
    <definedName name="E4BASEB4">'Phase 4'!$H$43</definedName>
    <definedName name="E4BASEC1" localSheetId="1">'[1]Phase 4'!$O$43</definedName>
    <definedName name="E4BASEC1">'Phase 4'!$O$43</definedName>
    <definedName name="E4BASEC2" localSheetId="1">'[1]Phase 4'!$N$43</definedName>
    <definedName name="E4BASEC2">'Phase 4'!$N$43</definedName>
    <definedName name="E4BASEC3" localSheetId="1">'[1]Phase 4'!$M$43</definedName>
    <definedName name="E4BASEC3">'Phase 4'!$M$43</definedName>
    <definedName name="E4BASEC4" localSheetId="1">'[1]Phase 4'!$L$43</definedName>
    <definedName name="E4BASEC4">'Phase 4'!$L$43</definedName>
    <definedName name="E4BASED1" localSheetId="1">'[1]Phase 4'!$S$43</definedName>
    <definedName name="E4BASED1">'Phase 4'!$S$43</definedName>
    <definedName name="E4BASED2" localSheetId="1">'[1]Phase 4'!$R$43</definedName>
    <definedName name="E4BASED2">'Phase 4'!$R$43</definedName>
    <definedName name="E4BASED3" localSheetId="1">'[1]Phase 4'!$Q$43</definedName>
    <definedName name="E4BASED3">'Phase 4'!$Q$43</definedName>
    <definedName name="E4BASED4" localSheetId="1">'[1]Phase 4'!$P$43</definedName>
    <definedName name="E4BASED4">'Phase 4'!$P$43</definedName>
    <definedName name="E4BASEE1" localSheetId="1">'[1]Phase 4'!$W$43</definedName>
    <definedName name="E4BASEE1">'Phase 4'!$W$43</definedName>
    <definedName name="E4BASEE2" localSheetId="1">'[1]Phase 4'!$V$43</definedName>
    <definedName name="E4BASEE2">'Phase 4'!$V$43</definedName>
    <definedName name="E4BASEE3" localSheetId="1">'[1]Phase 4'!$U$43</definedName>
    <definedName name="E4BASEE3">'Phase 4'!$U$43</definedName>
    <definedName name="E4BASEE4" localSheetId="1">'[1]Phase 4'!$T$43</definedName>
    <definedName name="E4BASEE4">'Phase 4'!$T$43</definedName>
    <definedName name="E4BASEF1" localSheetId="1">'[1]Phase 4'!$AA$43</definedName>
    <definedName name="E4BASEF1">'Phase 4'!$AA$43</definedName>
    <definedName name="E4BASEF2" localSheetId="1">'[1]Phase 4'!$Z$43</definedName>
    <definedName name="E4BASEF2">'Phase 4'!$Z$43</definedName>
    <definedName name="E4BASEF3" localSheetId="1">'[1]Phase 4'!$Y$43</definedName>
    <definedName name="E4BASEF3">'Phase 4'!$Y$43</definedName>
    <definedName name="E4BASEF4" localSheetId="1">'[1]Phase 4'!$X$43</definedName>
    <definedName name="E4BASEF4">'Phase 4'!$X$43</definedName>
    <definedName name="E4BASEG1" localSheetId="1">'[1]Phase 4'!$AE$43</definedName>
    <definedName name="E4BASEG1">'Phase 4'!$AE$43</definedName>
    <definedName name="E4BASEG2" localSheetId="1">'[1]Phase 4'!$AD$43</definedName>
    <definedName name="E4BASEG2">'Phase 4'!$AD$43</definedName>
    <definedName name="E4BASEG3" localSheetId="1">'[1]Phase 4'!$AC$43</definedName>
    <definedName name="E4BASEG3">'Phase 4'!$AC$43</definedName>
    <definedName name="E4BASEG4" localSheetId="1">'[1]Phase 4'!$AB$43</definedName>
    <definedName name="E4BASEG4">'Phase 4'!$AB$43</definedName>
    <definedName name="E4C" localSheetId="1">'[1]Subcontractors List'!$N$39</definedName>
    <definedName name="E4C">'Subcontractors List'!$N$39</definedName>
    <definedName name="E4DirectLaborAA45">'Phase 4'!$AA$45</definedName>
    <definedName name="E4DirectLaborAB45">'Phase 4'!$AB$45</definedName>
    <definedName name="E4DirectLaborAC45">'Phase 4'!$AC$45</definedName>
    <definedName name="E4DirectLaborAD45">'Phase 4'!$AD$45</definedName>
    <definedName name="E4DirectLaborAE45">'Phase 4'!$AE$45</definedName>
    <definedName name="E4DirectLaborD45">'Phase 4'!$D$45</definedName>
    <definedName name="E4DirectLaborE45">'Phase 4'!$E$45</definedName>
    <definedName name="E4DirectLaborF45">'Phase 4'!$F$45</definedName>
    <definedName name="E4DirectLaborG45">'Phase 4'!$G$45</definedName>
    <definedName name="E4DirectLaborH45">'Phase 4'!$H$45</definedName>
    <definedName name="E4DirectLaborI45">'Phase 4'!$I$45</definedName>
    <definedName name="E4DirectLaborJ45">'Phase 4'!$J$45</definedName>
    <definedName name="E4DirectLaborK45">'Phase 4'!$K$45</definedName>
    <definedName name="E4DirectLaborL45">'Phase 4'!$L$45</definedName>
    <definedName name="E4DirectLaborM45">'Phase 4'!$M$45</definedName>
    <definedName name="E4DirectLaborN45">'Phase 4'!$N$45</definedName>
    <definedName name="E4DirectLaborO45">'Phase 4'!$O$45</definedName>
    <definedName name="E4DirectLaborP45">'Phase 4'!$P$45</definedName>
    <definedName name="E4DirectLaborQ45">'Phase 4'!$Q$45</definedName>
    <definedName name="E4DirectLaborR45">'Phase 4'!$R$45</definedName>
    <definedName name="E4DirectLaborS45">'Phase 4'!$S$45</definedName>
    <definedName name="E4DirectLaborT45">'Phase 4'!$T$45</definedName>
    <definedName name="E4DirectLaborTotal" localSheetId="1">'[1]Phase 4'!$AG$35</definedName>
    <definedName name="E4DirectLaborTotal">'Phase 4'!$AG$35</definedName>
    <definedName name="E4DirectLaborU45">'Phase 4'!$U$45</definedName>
    <definedName name="E4DirectLaborV45">'Phase 4'!$V$45</definedName>
    <definedName name="E4DirectLaborW45">'Phase 4'!$W$45</definedName>
    <definedName name="E4DirectLaborX45">'Phase 4'!$X$45</definedName>
    <definedName name="E4DirectLaborY45">'Phase 4'!$Y$45</definedName>
    <definedName name="E4DirectLaborZ45">'Phase 4'!$Z$45</definedName>
    <definedName name="E4Dropdown">'RATE Schedules'!$AM$4</definedName>
    <definedName name="E4EquipmentTotal" localSheetId="1">'[1]Budget Detail'!$M$73</definedName>
    <definedName name="E4EquipmentTotal">'Budget Detail'!$M$73</definedName>
    <definedName name="E4ETransfer" localSheetId="1">'[1]Standard Equipment &amp; Supplies'!$G$169</definedName>
    <definedName name="E4ETransfer">'Standard Equipment &amp; Supplies'!$G$169</definedName>
    <definedName name="E4ExpenseTotal" localSheetId="1">'[1]Budget Detail'!$M$80</definedName>
    <definedName name="E4ExpenseTotal">'Budget Detail'!$M$80</definedName>
    <definedName name="E4GEN" localSheetId="1">'[1]Subcontractors List'!$N$34</definedName>
    <definedName name="E4GEN">'Subcontractors List'!$N$34</definedName>
    <definedName name="E4IncludeExpenses">'Budget Summary'!$S$17</definedName>
    <definedName name="E4IncludeLab">'Budget Summary'!$S$21</definedName>
    <definedName name="E4IncludeLabor">'Budget Summary'!$S$15</definedName>
    <definedName name="E4IncludeProcure">'Budget Summary'!$S$20</definedName>
    <definedName name="E4IncludeSubs">'Budget Summary'!$S$22</definedName>
    <definedName name="E4LaborTotal" localSheetId="1">'[1]Budget Detail'!$M$38</definedName>
    <definedName name="E4LaborTotal">'Budget Detail'!$M$38</definedName>
    <definedName name="E4LabTotal" localSheetId="1">'[1]Budget Detail'!$M$60</definedName>
    <definedName name="E4LabTotal">'Budget Detail'!$M$60</definedName>
    <definedName name="E4LTransfer" localSheetId="1">'[1]Travel Charges'!$S$26</definedName>
    <definedName name="E4LTransfer">'Travel Charges'!$S$26</definedName>
    <definedName name="E4M" localSheetId="1">'[1]Subcontractors List'!$N$38</definedName>
    <definedName name="E4M">'Subcontractors List'!$N$38</definedName>
    <definedName name="E4MTransfer" localSheetId="1">'[1]Travel Charges'!$S$25</definedName>
    <definedName name="E4MTransfer">'Travel Charges'!$S$25</definedName>
    <definedName name="E4O" localSheetId="1">'[1]Other Supplies &amp; Rental List'!$N$19</definedName>
    <definedName name="E4O">'Other Supplies &amp; Rental List'!$N$19</definedName>
    <definedName name="E4OTHER" localSheetId="1">'[1]Subcontractors List'!$N$37</definedName>
    <definedName name="E4OTHER">'Subcontractors List'!$N$37</definedName>
    <definedName name="E4OverheadAA46">'Phase 4'!$AA$46</definedName>
    <definedName name="E4OverheadAB46">'Phase 4'!$AB$46</definedName>
    <definedName name="E4OverheadAC46">'Phase 4'!$AC$46</definedName>
    <definedName name="E4OverheadAD46">'Phase 4'!$AD$46</definedName>
    <definedName name="E4OverheadAE46">'Phase 4'!$AE$46</definedName>
    <definedName name="E4OverheadD46">'Phase 4'!$D$46</definedName>
    <definedName name="E4OverheadE46">'Phase 4'!$E$46</definedName>
    <definedName name="E4OverheadF46">'Phase 4'!$F$46</definedName>
    <definedName name="E4OverheadG46">'Phase 4'!$G$46</definedName>
    <definedName name="E4OverheadH46">'Phase 4'!$H$46</definedName>
    <definedName name="E4OverheadI46">'Phase 4'!$I$46</definedName>
    <definedName name="E4OverheadJ46">'Phase 4'!$J$46</definedName>
    <definedName name="E4OverheadK46">'Phase 4'!$K$46</definedName>
    <definedName name="E4OverheadL46">'Phase 4'!$L$46</definedName>
    <definedName name="E4OverheadM46">'Phase 4'!$M$46</definedName>
    <definedName name="E4OverheadN46">'Phase 4'!$N$46</definedName>
    <definedName name="E4OverheadO46">'Phase 4'!$O$46</definedName>
    <definedName name="E4OverheadP46">'Phase 4'!$P$46</definedName>
    <definedName name="E4OverheadQ46">'Phase 4'!$Q$46</definedName>
    <definedName name="E4OverheadR46">'Phase 4'!$R$46</definedName>
    <definedName name="E4OverheadS46">'Phase 4'!$S$46</definedName>
    <definedName name="E4OverheadT46">'Phase 4'!$T$46</definedName>
    <definedName name="E4OverheadTotal" localSheetId="1">'[1]Phase 4'!$AG$37</definedName>
    <definedName name="E4OverheadTotal">'Phase 4'!$AG$37</definedName>
    <definedName name="E4OverheadU46">'Phase 4'!$U$46</definedName>
    <definedName name="E4OverheadV46">'Phase 4'!$V$46</definedName>
    <definedName name="E4OverheadW46">'Phase 4'!$W$46</definedName>
    <definedName name="E4OverheadX46">'Phase 4'!$X$46</definedName>
    <definedName name="E4OverheadY46">'Phase 4'!$Y$46</definedName>
    <definedName name="E4OverheadZ46">'Phase 4'!$Z$46</definedName>
    <definedName name="E4OVTransfer" localSheetId="1">'[1]Travel Charges'!$S$24</definedName>
    <definedName name="E4OVTransfer">'Travel Charges'!$S$24</definedName>
    <definedName name="E4R" localSheetId="1">'[1]Other Supplies &amp; Rental List'!$N$17</definedName>
    <definedName name="E4R">'Other Supplies &amp; Rental List'!$N$17</definedName>
    <definedName name="E4RateA1Total">'Budget Detail'!$BF$12</definedName>
    <definedName name="E4RateA2Total">'Budget Detail'!$BF$11</definedName>
    <definedName name="E4RateA3Total">'Budget Detail'!$BF$10</definedName>
    <definedName name="E4RateA4Total">'Budget Detail'!$BF$9</definedName>
    <definedName name="E4RateB1Total">'Budget Detail'!$BF$16</definedName>
    <definedName name="E4RateB2Total">'Budget Detail'!$BF$15</definedName>
    <definedName name="E4RateB3Total">'Budget Detail'!$BF$14</definedName>
    <definedName name="E4RateB4Total">'Budget Detail'!$BF$13</definedName>
    <definedName name="E4RateC1Total">'Budget Detail'!$BF$20</definedName>
    <definedName name="E4RateC2Total">'Budget Detail'!$BF$19</definedName>
    <definedName name="E4RateC3Total">'Budget Detail'!$BF$18</definedName>
    <definedName name="E4RateC4Total">'Budget Detail'!$BF$17</definedName>
    <definedName name="E4RateD1Total">'Budget Detail'!$BF$24</definedName>
    <definedName name="E4RateD2Total">'Budget Detail'!$BF$23</definedName>
    <definedName name="E4RateD3Total">'Budget Detail'!$BF$22</definedName>
    <definedName name="E4RateD4Total">'Budget Detail'!$BF$21</definedName>
    <definedName name="E4RateE1Total">'Budget Detail'!$BF$28</definedName>
    <definedName name="E4RateE2Total">'Budget Detail'!$BF$27</definedName>
    <definedName name="E4RateE3Total">'Budget Detail'!$BF$26</definedName>
    <definedName name="E4RateE4Total">'Budget Detail'!$BF$25</definedName>
    <definedName name="E4RateF1Total">'Budget Detail'!$BF$32</definedName>
    <definedName name="E4RateF2Total">'Budget Detail'!$BF$31</definedName>
    <definedName name="E4RateF3Total">'Budget Detail'!$BF$30</definedName>
    <definedName name="E4RateF4Total">'Budget Detail'!$BF$29</definedName>
    <definedName name="E4RateG1Total">'Budget Detail'!$BF$36</definedName>
    <definedName name="E4RateG2Total">'Budget Detail'!$BF$35</definedName>
    <definedName name="E4RateG3Total">'Budget Detail'!$BF$34</definedName>
    <definedName name="E4RateG4Total">'Budget Detail'!$BF$33</definedName>
    <definedName name="E4REM" localSheetId="1">'[1]Subcontractors List'!$N$33</definedName>
    <definedName name="E4REM">'Subcontractors List'!$N$33</definedName>
    <definedName name="E4RVTransfer" localSheetId="1">'[1]Travel Charges'!$S$23</definedName>
    <definedName name="E4RVTransfer">'Travel Charges'!$S$23</definedName>
    <definedName name="E4S" localSheetId="1">'[1]Other Supplies &amp; Rental List'!$N$18</definedName>
    <definedName name="E4S">'Other Supplies &amp; Rental List'!$N$18</definedName>
    <definedName name="E4SI" localSheetId="1">'[1]Subcontractors List'!$N$36</definedName>
    <definedName name="E4SI">'Subcontractors List'!$N$36</definedName>
    <definedName name="E4STransfer" localSheetId="1">'[1]Standard Equipment &amp; Supplies'!$G$170</definedName>
    <definedName name="E4STransfer">'Standard Equipment &amp; Supplies'!$G$170</definedName>
    <definedName name="E4SubsTotal" localSheetId="1">'[1]Budget Detail'!$M$70</definedName>
    <definedName name="E4SubsTotal">'Budget Detail'!$M$70</definedName>
    <definedName name="E4TDropdowns">'RATE Schedules'!$AP$4</definedName>
    <definedName name="E4TravelTotal" localSheetId="1">'[1]Budget Detail'!$M$50</definedName>
    <definedName name="E4TravelTotal">'Budget Detail'!$M$50</definedName>
    <definedName name="E4Units" localSheetId="39">#REF!,#REF!,#REF!,#REF!,#REF!,#REF!,#REF!,#REF!,#REF!,#REF!,#REF!,#REF!,#REF!,#REF!,#REF!,#REF!,#REF!,#REF!,#REF!</definedName>
    <definedName name="E4Units">#REF!,#REF!,#REF!,#REF!,#REF!,#REF!,#REF!,#REF!,#REF!,#REF!,#REF!,#REF!,#REF!,#REF!,#REF!,#REF!,#REF!,#REF!,#REF!</definedName>
    <definedName name="E4UnitsMirror">'RATE Schedules'!$AN$4</definedName>
    <definedName name="E4WH" localSheetId="1">'[1]Subcontractors List'!$N$35</definedName>
    <definedName name="E4WH">'Subcontractors List'!$N$35</definedName>
    <definedName name="E5ADDA1">'Budget Detail'!$CW$12</definedName>
    <definedName name="E5ADDA2">'Budget Detail'!$CW$11</definedName>
    <definedName name="E5ADDA3">'Budget Detail'!$CW$10</definedName>
    <definedName name="E5ADDA4">'Budget Detail'!$CW$9</definedName>
    <definedName name="E5ADDB1">'Budget Detail'!$CW$16</definedName>
    <definedName name="E5ADDB2">'Budget Detail'!$CW$15</definedName>
    <definedName name="E5ADDB3">'Budget Detail'!$CW$14</definedName>
    <definedName name="E5ADDB4">'Budget Detail'!$CW$13</definedName>
    <definedName name="E5ADDC1">'Budget Detail'!$CW$20</definedName>
    <definedName name="E5ADDC2">'Budget Detail'!$CW$19</definedName>
    <definedName name="E5ADDC3">'Budget Detail'!$CW$18</definedName>
    <definedName name="E5ADDC4">'Budget Detail'!$CW$17</definedName>
    <definedName name="E5ADDD1">'Budget Detail'!$CW$24</definedName>
    <definedName name="E5ADDD2">'Budget Detail'!$CW$23</definedName>
    <definedName name="E5ADDD3">'Budget Detail'!$CW$22</definedName>
    <definedName name="E5ADDD4">'Budget Detail'!$CW$21</definedName>
    <definedName name="E5ADDE1">'Budget Detail'!$CW$28</definedName>
    <definedName name="E5ADDE2">'Budget Detail'!$CW$27</definedName>
    <definedName name="E5ADDE3">'Budget Detail'!$CW$26</definedName>
    <definedName name="E5ADDE4">'Budget Detail'!$CW$25</definedName>
    <definedName name="E5ADDF1">'Budget Detail'!$CW$32</definedName>
    <definedName name="E5ADDF2">'Budget Detail'!$CW$31</definedName>
    <definedName name="E5ADDF3">'Budget Detail'!$CW$30</definedName>
    <definedName name="E5ADDF4">'Budget Detail'!$CW$29</definedName>
    <definedName name="E5ADDG1">'Budget Detail'!$CW$36</definedName>
    <definedName name="E5ADDG2">'Budget Detail'!$CW$35</definedName>
    <definedName name="E5ADDG3">'Budget Detail'!$CW$34</definedName>
    <definedName name="E5ADDG4">'Budget Detail'!$CW$33</definedName>
    <definedName name="E5AllExpenses">'Budget Detail'!$O$81</definedName>
    <definedName name="E5ATransfer" localSheetId="1">'[1]Travel Charges'!$W$27</definedName>
    <definedName name="E5ATransfer">'Travel Charges'!$W$27</definedName>
    <definedName name="E5B" localSheetId="1">'[1]Subcontractors List'!$N$40</definedName>
    <definedName name="E5B">'Subcontractors List'!$N$40</definedName>
    <definedName name="E5BASEA1" localSheetId="1">'[1]Phase 5'!$G$43</definedName>
    <definedName name="E5BASEA1">'Phase 5'!$G$44</definedName>
    <definedName name="E5BASEA2" localSheetId="1">'[1]Phase 5'!$F$43</definedName>
    <definedName name="E5BASEA2">'Phase 5'!$F$44</definedName>
    <definedName name="E5BASEA3" localSheetId="1">'[1]Phase 5'!$E$43</definedName>
    <definedName name="E5BASEA3">'Phase 5'!$E$44</definedName>
    <definedName name="E5BASEA4" localSheetId="1">'[1]Phase 5'!$D$43</definedName>
    <definedName name="E5BASEA4">'Phase 5'!$D$44</definedName>
    <definedName name="E5BASEB1" localSheetId="1">'[1]Phase 5'!$K$43</definedName>
    <definedName name="E5BASEB1">'Phase 5'!$K$44</definedName>
    <definedName name="E5BASEB2" localSheetId="1">'[1]Phase 5'!$J$43</definedName>
    <definedName name="E5BASEB2">'Phase 5'!$J$44</definedName>
    <definedName name="E5BASEB3" localSheetId="1">'[1]Phase 5'!$I$43</definedName>
    <definedName name="E5BASEB3">'Phase 5'!$I$44</definedName>
    <definedName name="E5BASEB4" localSheetId="1">'[1]Phase 5'!$H$43</definedName>
    <definedName name="E5BASEB4">'Phase 5'!$H$44</definedName>
    <definedName name="E5BASEC1" localSheetId="1">'[1]Phase 5'!$O$43</definedName>
    <definedName name="E5BASEC1">'Phase 5'!$O$44</definedName>
    <definedName name="E5BASEC2" localSheetId="1">'[1]Phase 5'!$N$43</definedName>
    <definedName name="E5BASEC2">'Phase 5'!$N$44</definedName>
    <definedName name="E5BASEC3" localSheetId="1">'[1]Phase 5'!$M$43</definedName>
    <definedName name="E5BASEC3">'Phase 5'!$M$44</definedName>
    <definedName name="E5BASEC4" localSheetId="1">'[1]Phase 5'!$L$43</definedName>
    <definedName name="E5BASEC4">'Phase 5'!$L$44</definedName>
    <definedName name="E5BASED1" localSheetId="1">'[1]Phase 5'!$S$43</definedName>
    <definedName name="E5BASED1">'Phase 5'!$S$44</definedName>
    <definedName name="E5BASED2" localSheetId="1">'[1]Phase 5'!$R$43</definedName>
    <definedName name="E5BASED2">'Phase 5'!$R$44</definedName>
    <definedName name="E5BASED3" localSheetId="1">'[1]Phase 5'!$Q$43</definedName>
    <definedName name="E5BASED3">'Phase 5'!$Q$44</definedName>
    <definedName name="E5BASED4" localSheetId="1">'[1]Phase 5'!$P$43</definedName>
    <definedName name="E5BASED4">'Phase 5'!$P$44</definedName>
    <definedName name="E5BASEE1" localSheetId="1">'[1]Phase 5'!$W$43</definedName>
    <definedName name="E5BASEE1">'Phase 5'!$W$44</definedName>
    <definedName name="E5BASEE2" localSheetId="1">'[1]Phase 5'!$V$43</definedName>
    <definedName name="E5BASEE2">'Phase 5'!$V$44</definedName>
    <definedName name="E5BASEE3" localSheetId="1">'[1]Phase 5'!$U$43</definedName>
    <definedName name="E5BASEE3">'Phase 5'!$U$44</definedName>
    <definedName name="E5BASEE4" localSheetId="1">'[1]Phase 5'!$T$43</definedName>
    <definedName name="E5BASEE4">'Phase 5'!$T$44</definedName>
    <definedName name="E5BASEF1" localSheetId="1">'[1]Phase 5'!$AA$43</definedName>
    <definedName name="E5BASEF1">'Phase 5'!$AA$44</definedName>
    <definedName name="E5BASEF2" localSheetId="1">'[1]Phase 5'!$Z$43</definedName>
    <definedName name="E5BASEF2">'Phase 5'!$Z$44</definedName>
    <definedName name="E5BASEF3" localSheetId="1">'[1]Phase 5'!$Y$43</definedName>
    <definedName name="E5BASEF3">'Phase 5'!$Y$44</definedName>
    <definedName name="E5BASEF4" localSheetId="1">'[1]Phase 5'!$X$43</definedName>
    <definedName name="E5BASEF4">'Phase 5'!$X$44</definedName>
    <definedName name="E5BASEG1" localSheetId="1">'[1]Phase 5'!$AE$43</definedName>
    <definedName name="E5BASEG1">'Phase 5'!$AE$44</definedName>
    <definedName name="E5BASEG2" localSheetId="1">'[1]Phase 5'!$AD$43</definedName>
    <definedName name="E5BASEG2">'Phase 5'!$AD$44</definedName>
    <definedName name="E5BASEG3" localSheetId="1">'[1]Phase 5'!$AC$43</definedName>
    <definedName name="E5BASEG3">'Phase 5'!$AC$44</definedName>
    <definedName name="E5BASEG4" localSheetId="1">'[1]Phase 5'!$AB$43</definedName>
    <definedName name="E5BASEG4">'Phase 5'!$AB$44</definedName>
    <definedName name="E5C" localSheetId="1">'[1]Subcontractors List'!$N$47</definedName>
    <definedName name="E5C">'Subcontractors List'!$N$47</definedName>
    <definedName name="E5DirectLaborAA45">'Phase 5'!$AA$46</definedName>
    <definedName name="E5DirectLaborAB45">'Phase 5'!$AB$46</definedName>
    <definedName name="E5DirectLaborAC45">'Phase 5'!$AC$46</definedName>
    <definedName name="E5DirectLaborAD45">'Phase 5'!$AD$46</definedName>
    <definedName name="E5DirectLaborAE45">'Phase 5'!$AE$46</definedName>
    <definedName name="E5DirectLaborD45">'Phase 5'!$D$46</definedName>
    <definedName name="E5DirectLaborE45">'Phase 5'!$E$46</definedName>
    <definedName name="E5DirectLaborF45">'Phase 5'!$F$46</definedName>
    <definedName name="E5DirectLaborG45">'Phase 5'!$G$46</definedName>
    <definedName name="E5DirectLaborH45">'Phase 5'!$H$46</definedName>
    <definedName name="E5DirectLaborI45">'Phase 5'!$I$46</definedName>
    <definedName name="E5DirectLaborJ45">'Phase 5'!$J$46</definedName>
    <definedName name="E5DirectLaborK45">'Phase 5'!$K$46</definedName>
    <definedName name="E5DirectLaborL45">'Phase 5'!$L$46</definedName>
    <definedName name="E5DirectLaborM45">'Phase 5'!$M$46</definedName>
    <definedName name="E5DirectLaborN45">'Phase 5'!$N$46</definedName>
    <definedName name="E5DirectLaborO45">'Phase 5'!$O$46</definedName>
    <definedName name="E5DirectLaborP45">'Phase 5'!$P$46</definedName>
    <definedName name="E5DirectLaborQ45">'Phase 5'!$Q$46</definedName>
    <definedName name="E5DirectLaborR45">'Phase 5'!$R$46</definedName>
    <definedName name="E5DirectLaborS45">'Phase 5'!$S$46</definedName>
    <definedName name="E5DirectLaborT45">'Phase 5'!$T$46</definedName>
    <definedName name="E5DirectLaborTotal" localSheetId="1">'[1]Phase 5'!$AG$35</definedName>
    <definedName name="E5DirectLaborTotal">'Phase 5'!$AG$36</definedName>
    <definedName name="E5DirectLaborU45">'Phase 5'!$U$46</definedName>
    <definedName name="E5DirectLaborV45">'Phase 5'!$V$46</definedName>
    <definedName name="E5DirectLaborW45">'Phase 5'!$W$46</definedName>
    <definedName name="E5DirectLaborX45">'Phase 5'!$X$46</definedName>
    <definedName name="E5DirectLaborY45">'Phase 5'!$Y$46</definedName>
    <definedName name="E5DirectLaborZ45">'Phase 5'!$Z$46</definedName>
    <definedName name="E5Dropdown">'RATE Schedules'!$AM$5</definedName>
    <definedName name="E5EquipmentTotal" localSheetId="1">'[1]Budget Detail'!$O$73</definedName>
    <definedName name="E5EquipmentTotal">'Budget Detail'!$O$73</definedName>
    <definedName name="E5ETransfer" localSheetId="1">'[1]Standard Equipment &amp; Supplies'!$G$172</definedName>
    <definedName name="E5ETransfer">'Standard Equipment &amp; Supplies'!$G$172</definedName>
    <definedName name="E5ExpenseTotal" localSheetId="1">'[1]Budget Detail'!$O$80</definedName>
    <definedName name="E5ExpenseTotal">'Budget Detail'!$O$80</definedName>
    <definedName name="E5GEN" localSheetId="1">'[1]Subcontractors List'!$N$42</definedName>
    <definedName name="E5GEN">'Subcontractors List'!$N$42</definedName>
    <definedName name="E5IncludeExpenses">'Budget Summary'!$T$17</definedName>
    <definedName name="E5IncludeLab">'Budget Summary'!$T$21</definedName>
    <definedName name="E5IncludeLabor">'Budget Summary'!$T$15</definedName>
    <definedName name="E5IncludeProcure">'Budget Summary'!$T$20</definedName>
    <definedName name="E5IncludeSubs">'Budget Summary'!$T$22</definedName>
    <definedName name="E5LaborTotal" localSheetId="1">'[1]Budget Detail'!$O$38</definedName>
    <definedName name="E5LaborTotal">'Budget Detail'!$O$38</definedName>
    <definedName name="E5LabTotal" localSheetId="1">'[1]Budget Detail'!$O$60</definedName>
    <definedName name="E5LabTotal">'Budget Detail'!$O$60</definedName>
    <definedName name="E5LTransfer" localSheetId="1">'[1]Travel Charges'!$W$26</definedName>
    <definedName name="E5LTransfer">'Travel Charges'!$W$26</definedName>
    <definedName name="E5M" localSheetId="1">'[1]Subcontractors List'!$N$46</definedName>
    <definedName name="E5M">'Subcontractors List'!$N$46</definedName>
    <definedName name="E5MTransfer" localSheetId="1">'[1]Travel Charges'!$W$25</definedName>
    <definedName name="E5MTransfer">'Travel Charges'!$W$25</definedName>
    <definedName name="E5O" localSheetId="1">'[1]Other Supplies &amp; Rental List'!$N$22</definedName>
    <definedName name="E5O">'Other Supplies &amp; Rental List'!$N$22</definedName>
    <definedName name="E5OTHER" localSheetId="1">'[1]Subcontractors List'!$N$45</definedName>
    <definedName name="E5OTHER">'Subcontractors List'!$N$45</definedName>
    <definedName name="E5OverheadAA46">'Phase 5'!$AA$47</definedName>
    <definedName name="E5OverheadAB46">'Phase 5'!$AB$47</definedName>
    <definedName name="E5OverheadAC46">'Phase 5'!$AC$47</definedName>
    <definedName name="E5OverheadAD46">'Phase 5'!$AD$47</definedName>
    <definedName name="E5OverheadAE46">'Phase 5'!$AE$47</definedName>
    <definedName name="E5OverheadD46">'Phase 5'!$D$47</definedName>
    <definedName name="E5OverheadE46">'Phase 5'!$E$47</definedName>
    <definedName name="E5OverheadF46">'Phase 5'!$F$47</definedName>
    <definedName name="E5OverheadG46">'Phase 5'!$G$47</definedName>
    <definedName name="E5OverheadH46">'Phase 5'!$H$47</definedName>
    <definedName name="E5OverheadI46">'Phase 5'!$I$47</definedName>
    <definedName name="E5OverheadJ46">'Phase 5'!$J$47</definedName>
    <definedName name="E5OverheadK46">'Phase 5'!$K$47</definedName>
    <definedName name="E5OverheadL46">'Phase 5'!$L$47</definedName>
    <definedName name="E5OverheadM46">'Phase 5'!$M$47</definedName>
    <definedName name="E5OverheadN46">'Phase 5'!$N$47</definedName>
    <definedName name="E5OverheadO46">'Phase 5'!$O$47</definedName>
    <definedName name="E5OverheadP46">'Phase 5'!$P$47</definedName>
    <definedName name="E5OverheadQ46">'Phase 5'!$Q$47</definedName>
    <definedName name="E5OverheadR46">'Phase 5'!$R$47</definedName>
    <definedName name="E5OverheadS46">'Phase 5'!$S$47</definedName>
    <definedName name="E5OverheadT46">'Phase 5'!$T$47</definedName>
    <definedName name="E5OverheadTotal" localSheetId="1">'[1]Phase 5'!$AG$37</definedName>
    <definedName name="E5OverheadTotal">'Phase 5'!$AG$38</definedName>
    <definedName name="E5OverheadU46">'Phase 5'!$U$47</definedName>
    <definedName name="E5OverheadV46">'Phase 5'!$V$47</definedName>
    <definedName name="E5OverheadW46">'Phase 5'!$W$47</definedName>
    <definedName name="E5OverheadX46">'Phase 5'!$X$47</definedName>
    <definedName name="E5OverheadY46">'Phase 5'!$Y$47</definedName>
    <definedName name="E5OverheadZ46">'Phase 5'!$Z$47</definedName>
    <definedName name="E5OVTransfer" localSheetId="1">'[1]Travel Charges'!$W$24</definedName>
    <definedName name="E5OVTransfer">'Travel Charges'!$W$24</definedName>
    <definedName name="E5QUANTITY" localSheetId="1">#REF!</definedName>
    <definedName name="E5QUANTITY" localSheetId="39">#REF!</definedName>
    <definedName name="E5QUANTITY">#REF!</definedName>
    <definedName name="E5R" localSheetId="1">'[1]Other Supplies &amp; Rental List'!$N$20</definedName>
    <definedName name="E5R">'Other Supplies &amp; Rental List'!$N$20</definedName>
    <definedName name="E5RateA1Total">'Budget Detail'!$BG$12</definedName>
    <definedName name="E5RateA2Total">'Budget Detail'!$BG$11</definedName>
    <definedName name="E5RateA3Total">'Budget Detail'!$BG$10</definedName>
    <definedName name="E5RateA4Total">'Budget Detail'!$BG$9</definedName>
    <definedName name="E5RateB1Total">'Budget Detail'!$BG$16</definedName>
    <definedName name="E5rateB2Total">'Budget Detail'!$BG$15</definedName>
    <definedName name="E5RateB3Total">'Budget Detail'!$BG$14</definedName>
    <definedName name="E5RateB4Total">'Budget Detail'!$BG$13</definedName>
    <definedName name="E5RateC1Total">'Budget Detail'!$BG$20</definedName>
    <definedName name="E5RateC2Total">'Budget Detail'!$BG$19</definedName>
    <definedName name="E5RateC3Total">'Budget Detail'!$BG$18</definedName>
    <definedName name="E5RateC4Total">'Budget Detail'!$BG$17</definedName>
    <definedName name="E5RateD1Total">'Budget Detail'!$BG$24</definedName>
    <definedName name="E5RateD2Total">'Budget Detail'!$BG$23</definedName>
    <definedName name="E5RateD3Total">'Budget Detail'!$BG$22</definedName>
    <definedName name="E5RateD4Total">'Budget Detail'!$BG$21</definedName>
    <definedName name="E5RateE1Total">'Budget Detail'!$BG$28</definedName>
    <definedName name="E5RateE2Total">'Budget Detail'!$BG$27</definedName>
    <definedName name="E5RateE3Total">'Budget Detail'!$BG$26</definedName>
    <definedName name="E5RateE4Total">'Budget Detail'!$BG$25</definedName>
    <definedName name="E5RateF1Total">'Budget Detail'!$BG$32</definedName>
    <definedName name="E5RateF2Total">'Budget Detail'!$BG$31</definedName>
    <definedName name="E5RateF3Total">'Budget Detail'!$BG$30</definedName>
    <definedName name="E5RateF4Total">'Budget Detail'!$BG$29</definedName>
    <definedName name="E5RateG1Total">'Budget Detail'!$BG$36</definedName>
    <definedName name="E5RateG2Total">'Budget Detail'!$BG$35</definedName>
    <definedName name="E5RateG3Total">'Budget Detail'!$BG$34</definedName>
    <definedName name="E5RateG4Total">'Budget Detail'!$BG$33</definedName>
    <definedName name="E5REM" localSheetId="1">'[1]Subcontractors List'!$N$41</definedName>
    <definedName name="E5REM">'Subcontractors List'!$N$41</definedName>
    <definedName name="E5RVTransfer" localSheetId="1">'[1]Travel Charges'!$W$23</definedName>
    <definedName name="E5RVTransfer">'Travel Charges'!$W$23</definedName>
    <definedName name="E5S" localSheetId="1">'[1]Other Supplies &amp; Rental List'!$N$21</definedName>
    <definedName name="E5S">'Other Supplies &amp; Rental List'!$N$21</definedName>
    <definedName name="E5SI" localSheetId="1">'[1]Subcontractors List'!$N$44</definedName>
    <definedName name="E5SI">'Subcontractors List'!$N$44</definedName>
    <definedName name="E5STransfer" localSheetId="1">'[1]Standard Equipment &amp; Supplies'!$G$173</definedName>
    <definedName name="E5STransfer">'Standard Equipment &amp; Supplies'!$G$173</definedName>
    <definedName name="E5SubsTotal" localSheetId="1">'[1]Budget Detail'!$O$70</definedName>
    <definedName name="E5SubsTotal">'Budget Detail'!$O$70</definedName>
    <definedName name="E5TDropdowns">'RATE Schedules'!$AP$5</definedName>
    <definedName name="E5TravelTotal" localSheetId="1">'[1]Budget Detail'!$O$50</definedName>
    <definedName name="E5TravelTotal">'Budget Detail'!$O$50</definedName>
    <definedName name="E5Units" localSheetId="39">#REF!,#REF!,#REF!,#REF!,#REF!,#REF!,#REF!,#REF!,#REF!,#REF!,#REF!,#REF!,#REF!,#REF!,#REF!,#REF!,#REF!,#REF!,#REF!</definedName>
    <definedName name="E5Units">#REF!,#REF!,#REF!,#REF!,#REF!,#REF!,#REF!,#REF!,#REF!,#REF!,#REF!,#REF!,#REF!,#REF!,#REF!,#REF!,#REF!,#REF!,#REF!</definedName>
    <definedName name="E5UnitsMirror">'RATE Schedules'!$AN$5</definedName>
    <definedName name="E5WH" localSheetId="1">'[1]Subcontractors List'!$N$43</definedName>
    <definedName name="E5WH">'Subcontractors List'!$N$43</definedName>
    <definedName name="E69ADDE3">'Budget Detail'!$DA$26</definedName>
    <definedName name="E6ADDA1">'Budget Detail'!$CX$12</definedName>
    <definedName name="E6ADDA2">'Budget Detail'!$CX$11</definedName>
    <definedName name="E6ADDA3">'Budget Detail'!$CX$10</definedName>
    <definedName name="E6ADDA4">'Budget Detail'!$CX$9</definedName>
    <definedName name="E6ADDB1">'Budget Detail'!$CX$16</definedName>
    <definedName name="E6ADDB2">'Budget Detail'!$CX$15</definedName>
    <definedName name="E6ADDB3">'Budget Detail'!$CX$14</definedName>
    <definedName name="E6ADDB4">'Budget Detail'!$CX$13</definedName>
    <definedName name="E6ADDC1">'Budget Detail'!$CX$20</definedName>
    <definedName name="E6ADDC2">'Budget Detail'!$CX$19</definedName>
    <definedName name="E6ADDC3">'Budget Detail'!$CX$18</definedName>
    <definedName name="E6ADDC4">'Budget Detail'!$CX$17</definedName>
    <definedName name="E6ADDD1">'Budget Detail'!$CX$24</definedName>
    <definedName name="E6ADDD2">'Budget Detail'!$CX$23</definedName>
    <definedName name="E6ADDD3">'Budget Detail'!$CX$22</definedName>
    <definedName name="E6ADDD4">'Budget Detail'!$CX$21</definedName>
    <definedName name="E6ADDE1">'Budget Detail'!$CX$28</definedName>
    <definedName name="E6ADDE2">'Budget Detail'!$CX$27</definedName>
    <definedName name="E6ADDE3">'Budget Detail'!$CX$26</definedName>
    <definedName name="E6ADDE4">'Budget Detail'!$CX$25</definedName>
    <definedName name="E6ADDF1">'Budget Detail'!$CX$32</definedName>
    <definedName name="E6ADDF2">'Budget Detail'!$CX$31</definedName>
    <definedName name="E6ADDF3">'Budget Detail'!$CX$30</definedName>
    <definedName name="E6ADDF4">'Budget Detail'!$CX$29</definedName>
    <definedName name="E6ADDG1">'Budget Detail'!$CX$36</definedName>
    <definedName name="E6ADDG2">'Budget Detail'!$CX$35</definedName>
    <definedName name="E6ADDG3">'Budget Detail'!$CX$34</definedName>
    <definedName name="E6ADDG4">'Budget Detail'!$CX$33</definedName>
    <definedName name="E6AllExpenses">'Budget Detail'!$Q$81</definedName>
    <definedName name="E6ATransfer" localSheetId="1">'[1]Travel Charges'!$G$57</definedName>
    <definedName name="E6ATransfer">'Travel Charges'!$G$57</definedName>
    <definedName name="E6B" localSheetId="1">'[1]Subcontractors List'!$N$48</definedName>
    <definedName name="E6B">'Subcontractors List'!$N$48</definedName>
    <definedName name="E6BASEA1" localSheetId="1">'[1]Phase 6'!$G$43</definedName>
    <definedName name="E6BASEA1">'Phase 6'!$G$43</definedName>
    <definedName name="E6BASEA2" localSheetId="1">'[1]Phase 6'!$F$43</definedName>
    <definedName name="E6BASEA2">'Phase 6'!$F$43</definedName>
    <definedName name="E6BASEA3" localSheetId="1">'[1]Phase 6'!$E$43</definedName>
    <definedName name="E6BASEA3">'Phase 6'!$E$43</definedName>
    <definedName name="E6BASEA4" localSheetId="1">'[1]Phase 6'!$D$43</definedName>
    <definedName name="E6BASEA4">'Phase 6'!$D$43</definedName>
    <definedName name="E6BASEB1" localSheetId="1">'[1]Phase 6'!$K$43</definedName>
    <definedName name="E6BASEB1">'Phase 6'!$K$43</definedName>
    <definedName name="E6BASEB2" localSheetId="1">'[1]Phase 6'!$J$43</definedName>
    <definedName name="E6BASEB2">'Phase 6'!$J$43</definedName>
    <definedName name="E6BASEB3" localSheetId="1">'[1]Phase 6'!$I$43</definedName>
    <definedName name="E6BASEB3">'Phase 6'!$I$43</definedName>
    <definedName name="E6BASEB4" localSheetId="1">'[1]Phase 6'!$H$43</definedName>
    <definedName name="E6BASEB4">'Phase 6'!$H$43</definedName>
    <definedName name="E6BASEC1" localSheetId="1">'[1]Phase 6'!$O$43</definedName>
    <definedName name="E6BASEC1">'Phase 6'!$O$43</definedName>
    <definedName name="E6BASEC2" localSheetId="1">'[1]Phase 6'!$N$43</definedName>
    <definedName name="E6BASEC2">'Phase 6'!$N$43</definedName>
    <definedName name="E6BASEC3" localSheetId="1">'[1]Phase 6'!$M$43</definedName>
    <definedName name="E6BASEC3">'Phase 6'!$M$43</definedName>
    <definedName name="E6BASEC4" localSheetId="1">'[1]Phase 6'!$L$43</definedName>
    <definedName name="E6BASEC4">'Phase 6'!$L$43</definedName>
    <definedName name="E6BASED1" localSheetId="1">'[1]Phase 6'!$S$43</definedName>
    <definedName name="E6BASED1">'Phase 6'!$S$43</definedName>
    <definedName name="E6BASED2" localSheetId="1">'[1]Phase 6'!$R$43</definedName>
    <definedName name="E6BASED2">'Phase 6'!$R$43</definedName>
    <definedName name="E6BASED3" localSheetId="1">'[1]Phase 6'!$Q$43</definedName>
    <definedName name="E6BASED3">'Phase 6'!$Q$43</definedName>
    <definedName name="E6BASED4" localSheetId="1">'[1]Phase 6'!$P$43</definedName>
    <definedName name="E6BASED4">'Phase 6'!$P$43</definedName>
    <definedName name="E6BASEE1" localSheetId="1">'[1]Phase 6'!$W$43</definedName>
    <definedName name="E6BASEE1">'Phase 6'!$W$43</definedName>
    <definedName name="E6BASEE2" localSheetId="1">'[1]Phase 6'!$V$43</definedName>
    <definedName name="E6BASEE2">'Phase 6'!$V$43</definedName>
    <definedName name="E6BASEE3" localSheetId="1">'[1]Phase 6'!$U$43</definedName>
    <definedName name="E6BASEE3">'Phase 6'!$U$43</definedName>
    <definedName name="E6BASEE4" localSheetId="1">'[1]Phase 6'!$T$43</definedName>
    <definedName name="E6BASEE4">'Phase 6'!$T$43</definedName>
    <definedName name="E6BASEF1" localSheetId="1">'[1]Phase 6'!$AA$43</definedName>
    <definedName name="E6BASEF1">'Phase 6'!$AA$43</definedName>
    <definedName name="E6BASEF2" localSheetId="1">'[1]Phase 6'!$Z$43</definedName>
    <definedName name="E6BASEF2">'Phase 6'!$Z$43</definedName>
    <definedName name="E6BASEF3" localSheetId="1">'[1]Phase 6'!$Y$43</definedName>
    <definedName name="E6BASEF3">'Phase 6'!$Y$43</definedName>
    <definedName name="E6BASEF4" localSheetId="1">'[1]Phase 6'!$X$43</definedName>
    <definedName name="E6BASEF4">'Phase 6'!$X$43</definedName>
    <definedName name="E6BASEG1" localSheetId="1">'[1]Phase 6'!$AE$43</definedName>
    <definedName name="E6BASEG1">'Phase 6'!$AE$43</definedName>
    <definedName name="E6BASEG2" localSheetId="1">'[1]Phase 6'!$AD$43</definedName>
    <definedName name="E6BASEG2">'Phase 6'!$AD$43</definedName>
    <definedName name="E6BASEG3" localSheetId="1">'[1]Phase 6'!$AC$43</definedName>
    <definedName name="E6BASEG3">'Phase 6'!$AC$43</definedName>
    <definedName name="E6BASEG4" localSheetId="1">'[1]Phase 6'!$AB$43</definedName>
    <definedName name="E6BASEG4">'Phase 6'!$AB$43</definedName>
    <definedName name="E6C" localSheetId="1">'[1]Subcontractors List'!$N$55</definedName>
    <definedName name="E6C">'Subcontractors List'!$N$55</definedName>
    <definedName name="E6DirectLaborAA45">'Phase 6'!$AA$45</definedName>
    <definedName name="E6DirectLaborAB45">'Phase 6'!$AB$45</definedName>
    <definedName name="E6DirectLaborAC45">'Phase 6'!$AC$45</definedName>
    <definedName name="E6DirectLaborAD45">'Phase 6'!$AD$45</definedName>
    <definedName name="E6DirectLaborAE45">'Phase 6'!$AE$45</definedName>
    <definedName name="E6DirectLaborD45">'Phase 6'!$D$45</definedName>
    <definedName name="E6DirectLaborE45">'Phase 6'!$E$45</definedName>
    <definedName name="E6DirectLaborF45">'Phase 6'!$F$45</definedName>
    <definedName name="E6DirectLaborG45">'Phase 6'!$G$45</definedName>
    <definedName name="E6DirectLaborH45">'Phase 6'!$H$45</definedName>
    <definedName name="E6DirectLaborI45">'Phase 6'!$I$45</definedName>
    <definedName name="E6DirectLaborJ45">'Phase 6'!$J$45</definedName>
    <definedName name="E6DirectLaborK45">'Phase 6'!$K$45</definedName>
    <definedName name="E6DirectLaborL45">'Phase 6'!$L$45</definedName>
    <definedName name="E6DirectLaborM45">'Phase 6'!$M$45</definedName>
    <definedName name="E6DirectLaborN45">'Phase 6'!$N$45</definedName>
    <definedName name="E6DirectLaborO45">'Phase 6'!$O$45</definedName>
    <definedName name="E6DirectLaborP45">'Phase 6'!$P$45</definedName>
    <definedName name="E6DirectLaborQ45">'Phase 6'!$Q$45</definedName>
    <definedName name="E6DirectLaborR45">'Phase 6'!$R$45</definedName>
    <definedName name="E6DirectLaborS45">'Phase 6'!$S$45</definedName>
    <definedName name="E6DirectLaborT45">'Phase 6'!$T$45</definedName>
    <definedName name="E6DirectLaborTotal" localSheetId="1">'[1]Phase 6'!$AG$35</definedName>
    <definedName name="E6DirectLaborTotal">'Phase 6'!$AG$35</definedName>
    <definedName name="E6DirectLaborU45">'Phase 6'!$U$45</definedName>
    <definedName name="E6DirectLaborV45">'Phase 6'!$V$45</definedName>
    <definedName name="E6DirectLaborW45">'Phase 6'!$W$45</definedName>
    <definedName name="E6DirectLaborX45">'Phase 6'!$X$45</definedName>
    <definedName name="E6DirectLaborY45">'Phase 6'!$Y$45</definedName>
    <definedName name="E6DirectLaborZ45">'Phase 6'!$Z$45</definedName>
    <definedName name="E6Dropdown">'RATE Schedules'!$AM$6</definedName>
    <definedName name="E6EquipmentTotal" localSheetId="1">'[1]Budget Detail'!$Q$73</definedName>
    <definedName name="E6EquipmentTotal">'Budget Detail'!$Q$73</definedName>
    <definedName name="E6ETransfer" localSheetId="1">'[1]Standard Equipment &amp; Supplies'!$G$175</definedName>
    <definedName name="E6ETransfer">'Standard Equipment &amp; Supplies'!$G$175</definedName>
    <definedName name="E6ExpenseTotal" localSheetId="1">'[1]Budget Detail'!$Q$80</definedName>
    <definedName name="E6ExpenseTotal">'Budget Detail'!$Q$80</definedName>
    <definedName name="E6GEN" localSheetId="1">'[1]Subcontractors List'!$N$50</definedName>
    <definedName name="E6GEN">'Subcontractors List'!$N$50</definedName>
    <definedName name="E6IncludeExpenses">'Budget Summary'!$U$17</definedName>
    <definedName name="E6IncludeLab">'Budget Summary'!$U$21</definedName>
    <definedName name="E6IncludeLabor">'Budget Summary'!$U$15</definedName>
    <definedName name="E6IncludeProcure">'Budget Summary'!$U$20</definedName>
    <definedName name="E6IncludeSubs">'Budget Summary'!$U$22</definedName>
    <definedName name="E6LaborTotal" localSheetId="1">'[1]Budget Detail'!$Q$38</definedName>
    <definedName name="E6LaborTotal">'Budget Detail'!$Q$38</definedName>
    <definedName name="E6LabTotal" localSheetId="1">'[1]Budget Detail'!$Q$60</definedName>
    <definedName name="E6LabTotal">'Budget Detail'!$Q$60</definedName>
    <definedName name="E6LTransfer" localSheetId="1">'[1]Travel Charges'!$G$56</definedName>
    <definedName name="E6LTransfer">'Travel Charges'!$G$56</definedName>
    <definedName name="E6M" localSheetId="1">'[1]Subcontractors List'!$N$54</definedName>
    <definedName name="E6M">'Subcontractors List'!$N$54</definedName>
    <definedName name="E6MTransfer" localSheetId="1">'[1]Travel Charges'!$G$55</definedName>
    <definedName name="E6MTransfer">'Travel Charges'!$G$55</definedName>
    <definedName name="E6O" localSheetId="1">'[1]Other Supplies &amp; Rental List'!$N$25</definedName>
    <definedName name="E6O">'Other Supplies &amp; Rental List'!$N$25</definedName>
    <definedName name="E6OTHER" localSheetId="1">'[1]Subcontractors List'!$N$53</definedName>
    <definedName name="E6OTHER">'Subcontractors List'!$N$53</definedName>
    <definedName name="E6OverheadAA46">'Phase 6'!$AA$46</definedName>
    <definedName name="E6OverheadAB46">'Phase 6'!$AB$46</definedName>
    <definedName name="E6OverheadAC46">'Phase 6'!$AC$46</definedName>
    <definedName name="E6OverheadAD46">'Phase 6'!$AD$46</definedName>
    <definedName name="E6OverheadAE46">'Phase 6'!$AE$46</definedName>
    <definedName name="E6OverheadD46">'Phase 6'!$D$46</definedName>
    <definedName name="E6OverheadE46">'Phase 6'!$E$46</definedName>
    <definedName name="E6OverheadF46">'Phase 6'!$F$46</definedName>
    <definedName name="E6OverheadG46">'Phase 6'!$G$46</definedName>
    <definedName name="E6OverheadH46">'Phase 6'!$H$46</definedName>
    <definedName name="E6OverheadI46">'Phase 6'!$I$46</definedName>
    <definedName name="E6OverheadJ46">'Phase 6'!$J$46</definedName>
    <definedName name="E6OverheadK46">'Phase 6'!$K$46</definedName>
    <definedName name="E6OverheadL46">'Phase 6'!$L$46</definedName>
    <definedName name="E6OverheadM46">'Phase 6'!$M$46</definedName>
    <definedName name="E6OverheadN46">'Phase 6'!$N$46</definedName>
    <definedName name="E6OverheadO46">'Phase 6'!$O$46</definedName>
    <definedName name="E6OverheadP46">'Phase 6'!$P$46</definedName>
    <definedName name="E6OverheadQ46">'Phase 6'!$Q$46</definedName>
    <definedName name="E6OverheadR46">'Phase 6'!$R$46</definedName>
    <definedName name="E6OverheadS46">'Phase 6'!$S$46</definedName>
    <definedName name="E6OverheadT46">'Phase 6'!$T$46</definedName>
    <definedName name="E6OverheadTotal" localSheetId="1">'[1]Phase 6'!$AG$37</definedName>
    <definedName name="E6OverheadTotal">'Phase 6'!$AG$37</definedName>
    <definedName name="E6OverheadU46">'Phase 6'!$U$46</definedName>
    <definedName name="E6OverheadV46">'Phase 6'!$V$46</definedName>
    <definedName name="E6OverheadW46">'Phase 6'!$W$46</definedName>
    <definedName name="E6OverheadX46">'Phase 6'!$X$46</definedName>
    <definedName name="E6OverheadY46">'Phase 6'!$Y$46</definedName>
    <definedName name="E6OverheadZ46">'Phase 6'!$Z$46</definedName>
    <definedName name="E6OVTransfer" localSheetId="1">'[1]Travel Charges'!$G$54</definedName>
    <definedName name="E6OVTransfer">'Travel Charges'!$G$54</definedName>
    <definedName name="E6QUANTITY" localSheetId="1">#REF!</definedName>
    <definedName name="E6QUANTITY" localSheetId="39">#REF!</definedName>
    <definedName name="E6QUANTITY">#REF!</definedName>
    <definedName name="E6R" localSheetId="1">'[1]Other Supplies &amp; Rental List'!$N$23</definedName>
    <definedName name="E6R">'Other Supplies &amp; Rental List'!$N$23</definedName>
    <definedName name="E6RateA1Total">'Budget Detail'!$BH$12</definedName>
    <definedName name="E6RateA2Total">'Budget Detail'!$BH$11</definedName>
    <definedName name="E6RateA3Total">'Budget Detail'!$BH$10</definedName>
    <definedName name="E6RateA4Total">'Budget Detail'!$BH$9</definedName>
    <definedName name="E6RateB1Total">'Budget Detail'!$BH$16</definedName>
    <definedName name="E6RateB2Total">'Budget Detail'!$BH$15</definedName>
    <definedName name="E6RateB3Total">'Budget Detail'!$BH$14</definedName>
    <definedName name="E6RateB4Total">'Budget Detail'!$BH$13</definedName>
    <definedName name="E6RateC1Total">'Budget Detail'!$BH$20</definedName>
    <definedName name="E6RateC2Total">'Budget Detail'!$BH$19</definedName>
    <definedName name="E6RateC3Total">'Budget Detail'!$BH$18</definedName>
    <definedName name="E6RateC4Total">'Budget Detail'!$BH$17</definedName>
    <definedName name="E6RateD1Total">'Budget Detail'!$BH$24</definedName>
    <definedName name="E6RateD2Total">'Budget Detail'!$BH$23</definedName>
    <definedName name="E6RateD3Total">'Budget Detail'!$BH$22</definedName>
    <definedName name="E6RateD4Total">'Budget Detail'!$BH$21</definedName>
    <definedName name="E6RateE1Total">'Budget Detail'!$BH$28</definedName>
    <definedName name="E6RateE2Total">'Budget Detail'!$BH$27</definedName>
    <definedName name="E6RateE3Total">'Budget Detail'!$BH$26</definedName>
    <definedName name="E6RateE4Total">'Budget Detail'!$BH$25</definedName>
    <definedName name="E6RateF1Total">'Budget Detail'!$BH$32</definedName>
    <definedName name="E6RateF2Total">'Budget Detail'!$BH$31</definedName>
    <definedName name="E6RateF3Total">'Budget Detail'!$BH$30</definedName>
    <definedName name="E6RateF4Total">'Budget Detail'!$BH$29</definedName>
    <definedName name="E6RateG1Total">'Budget Detail'!$BH$36</definedName>
    <definedName name="E6RateG2Total">'Budget Detail'!$BH$35</definedName>
    <definedName name="E6RateG3Total">'Budget Detail'!$BH$34</definedName>
    <definedName name="E6RateG4Total">'Budget Detail'!$BH$33</definedName>
    <definedName name="E6REM" localSheetId="1">'[1]Subcontractors List'!$N$49</definedName>
    <definedName name="E6REM">'Subcontractors List'!$N$49</definedName>
    <definedName name="E6RVTransfer" localSheetId="1">'[1]Travel Charges'!$G$53</definedName>
    <definedName name="E6RVTransfer">'Travel Charges'!$G$53</definedName>
    <definedName name="E6S" localSheetId="1">'[1]Other Supplies &amp; Rental List'!$N$24</definedName>
    <definedName name="E6S">'Other Supplies &amp; Rental List'!$N$24</definedName>
    <definedName name="E6SI" localSheetId="1">'[1]Subcontractors List'!$N$52</definedName>
    <definedName name="E6SI">'Subcontractors List'!$N$52</definedName>
    <definedName name="E6STransfer" localSheetId="1">'[1]Standard Equipment &amp; Supplies'!$G$176</definedName>
    <definedName name="E6STransfer">'Standard Equipment &amp; Supplies'!$G$176</definedName>
    <definedName name="E6SubsTotal" localSheetId="1">'[1]Budget Detail'!$Q$70</definedName>
    <definedName name="E6SubsTotal">'Budget Detail'!$Q$70</definedName>
    <definedName name="E6TDropdowns">'RATE Schedules'!$AP$6</definedName>
    <definedName name="E6TravelTotal" localSheetId="1">'[1]Budget Detail'!$Q$50</definedName>
    <definedName name="E6TravelTotal">'Budget Detail'!$Q$50</definedName>
    <definedName name="E6Units" localSheetId="39">#REF!,#REF!,#REF!,#REF!,#REF!,#REF!,#REF!,#REF!,#REF!,#REF!,#REF!,#REF!,#REF!,#REF!,#REF!,#REF!,#REF!,#REF!,#REF!</definedName>
    <definedName name="E6Units">#REF!,#REF!,#REF!,#REF!,#REF!,#REF!,#REF!,#REF!,#REF!,#REF!,#REF!,#REF!,#REF!,#REF!,#REF!,#REF!,#REF!,#REF!,#REF!</definedName>
    <definedName name="E6UnitsMirror">'RATE Schedules'!$AN$6</definedName>
    <definedName name="E6WH" localSheetId="1">'[1]Subcontractors List'!$N$51</definedName>
    <definedName name="E6WH">'Subcontractors List'!$N$51</definedName>
    <definedName name="E7ADDA1">'Budget Detail'!$CY$12</definedName>
    <definedName name="E7ADDA2">'Budget Detail'!$CY$11</definedName>
    <definedName name="E7ADDA3">'Budget Detail'!$CY$10</definedName>
    <definedName name="E7ADDA4">'Budget Detail'!$CY$9</definedName>
    <definedName name="E7ADDB1">'Budget Detail'!$CY$16</definedName>
    <definedName name="E7ADDB2">'Budget Detail'!$CY$15</definedName>
    <definedName name="E7ADDB3">'Budget Detail'!$CY$14</definedName>
    <definedName name="E7ADDB4">'Budget Detail'!$CY$13</definedName>
    <definedName name="E7ADDC1">'Budget Detail'!$CY$20</definedName>
    <definedName name="E7ADDC2">'Budget Detail'!$CY$19</definedName>
    <definedName name="E7ADDC3">'Budget Detail'!$CY$18</definedName>
    <definedName name="E7ADDC4">'Budget Detail'!$CY$17</definedName>
    <definedName name="E7ADDD1">'Budget Detail'!$CY$24</definedName>
    <definedName name="E7ADDD2">'Budget Detail'!$CY$23</definedName>
    <definedName name="E7ADDD3">'Budget Detail'!$CY$22</definedName>
    <definedName name="E7ADDD4">'Budget Detail'!$CY$21</definedName>
    <definedName name="E7ADDE1">'Budget Detail'!$CY$28</definedName>
    <definedName name="E7ADDE2">'Budget Detail'!$CY$27</definedName>
    <definedName name="E7ADDE3">'Budget Detail'!$CY$26</definedName>
    <definedName name="E7ADDE4">'Budget Detail'!$CY$25</definedName>
    <definedName name="E7ADDF1">'Budget Detail'!$CY$32</definedName>
    <definedName name="E7ADDF2">'Budget Detail'!$CY$31</definedName>
    <definedName name="E7ADDF3">'Budget Detail'!$CY$30</definedName>
    <definedName name="E7ADDF4">'Budget Detail'!$CY$29</definedName>
    <definedName name="E7ADDG1">'Budget Detail'!$CY$36</definedName>
    <definedName name="E7ADDG2">'Budget Detail'!$CY$35</definedName>
    <definedName name="E7ADDG3">'Budget Detail'!$CY$34</definedName>
    <definedName name="E7ADDG4">'Budget Detail'!$CY$33</definedName>
    <definedName name="E7ATransfer" localSheetId="1">'[1]Travel Charges'!$K$57</definedName>
    <definedName name="E7ATransfer">'Travel Charges'!$K$57</definedName>
    <definedName name="E7B" localSheetId="1">'[1]Subcontractors List'!$N$56</definedName>
    <definedName name="E7B">'Subcontractors List'!$N$56</definedName>
    <definedName name="E7BASEA1" localSheetId="1">'[1]Phase 7'!$G$43</definedName>
    <definedName name="E7BASEA1">'Phase 7'!$G$43</definedName>
    <definedName name="E7BASEA2" localSheetId="1">'[1]Phase 7'!$F$43</definedName>
    <definedName name="E7BASEA2">'Phase 7'!$F$43</definedName>
    <definedName name="E7BASEA3" localSheetId="1">'[1]Phase 7'!$E$43</definedName>
    <definedName name="E7BASEA3">'Phase 7'!$E$43</definedName>
    <definedName name="E7BASEA4" localSheetId="1">'[1]Phase 7'!$D$43</definedName>
    <definedName name="E7BASEA4">'Phase 7'!$D$43</definedName>
    <definedName name="E7BASEB1" localSheetId="1">'[1]Phase 7'!$K$43</definedName>
    <definedName name="E7BASEB1">'Phase 7'!$K$43</definedName>
    <definedName name="E7BASEB2" localSheetId="1">'[1]Phase 7'!$J$43</definedName>
    <definedName name="E7BASEB2">'Phase 7'!$J$43</definedName>
    <definedName name="E7BASEB3" localSheetId="1">'[1]Phase 7'!$I$43</definedName>
    <definedName name="E7BASEB3">'Phase 7'!$I$43</definedName>
    <definedName name="E7BASEB4" localSheetId="1">'[1]Phase 7'!$H$43</definedName>
    <definedName name="E7BASEB4">'Phase 7'!$H$43</definedName>
    <definedName name="E7BASEC1" localSheetId="1">'[1]Phase 7'!$O$43</definedName>
    <definedName name="E7BASEC1">'Phase 7'!$O$43</definedName>
    <definedName name="E7BASEC2" localSheetId="1">'[1]Phase 7'!$N$43</definedName>
    <definedName name="E7BASEC2">'Phase 7'!$N$43</definedName>
    <definedName name="E7BASEC3" localSheetId="1">'[1]Phase 7'!$M$43</definedName>
    <definedName name="E7BASEC3">'Phase 7'!$M$43</definedName>
    <definedName name="E7BASEC4" localSheetId="1">'[1]Phase 7'!$L$43</definedName>
    <definedName name="E7BASEC4">'Phase 7'!$L$43</definedName>
    <definedName name="E7BASED1" localSheetId="1">'[1]Phase 7'!$S$43</definedName>
    <definedName name="E7BASED1">'Phase 7'!$S$43</definedName>
    <definedName name="E7BASED2" localSheetId="1">'[1]Phase 7'!$R$43</definedName>
    <definedName name="E7BASED2">'Phase 7'!$R$43</definedName>
    <definedName name="E7BASED3" localSheetId="1">'[1]Phase 7'!$Q$43</definedName>
    <definedName name="E7BASED3">'Phase 7'!$Q$43</definedName>
    <definedName name="E7BASED4" localSheetId="1">'[1]Phase 7'!$P$43</definedName>
    <definedName name="E7BASED4">'Phase 7'!$P$43</definedName>
    <definedName name="E7BASEE1" localSheetId="1">'[1]Phase 7'!$W$43</definedName>
    <definedName name="E7BASEE1">'Phase 7'!$W$43</definedName>
    <definedName name="E7BASEE2" localSheetId="1">'[1]Phase 7'!$V$43</definedName>
    <definedName name="E7BASEE2">'Phase 7'!$V$43</definedName>
    <definedName name="E7BASEE3" localSheetId="1">'[1]Phase 7'!$U$43</definedName>
    <definedName name="E7BASEE3">'Phase 7'!$U$43</definedName>
    <definedName name="E7BASEE4" localSheetId="1">'[1]Phase 7'!$T$43</definedName>
    <definedName name="E7BASEE4">'Phase 7'!$T$43</definedName>
    <definedName name="E7BASEF1" localSheetId="1">'[1]Phase 7'!$AA$43</definedName>
    <definedName name="E7BASEF1">'Phase 7'!$AA$43</definedName>
    <definedName name="E7BASEF2" localSheetId="1">'[1]Phase 7'!$Z$43</definedName>
    <definedName name="E7BASEF2">'Phase 7'!$Z$43</definedName>
    <definedName name="E7BASEF3" localSheetId="1">'[1]Phase 7'!$Y$43</definedName>
    <definedName name="E7BASEF3">'Phase 7'!$Y$43</definedName>
    <definedName name="E7BASEF4" localSheetId="1">'[1]Phase 7'!$X$43</definedName>
    <definedName name="E7BASEF4">'Phase 7'!$X$43</definedName>
    <definedName name="E7BASEG1" localSheetId="1">'[1]Phase 7'!$AE$43</definedName>
    <definedName name="E7BASEG1">'Phase 7'!$AE$43</definedName>
    <definedName name="E7BASEG2" localSheetId="1">'[1]Phase 7'!$AD$43</definedName>
    <definedName name="E7BASEG2">'Phase 7'!$AD$43</definedName>
    <definedName name="E7BASEG3" localSheetId="1">'[1]Phase 7'!$AC$43</definedName>
    <definedName name="E7BASEG3">'Phase 7'!$AC$43</definedName>
    <definedName name="E7BASEG4" localSheetId="1">'[1]Phase 7'!$AB$43</definedName>
    <definedName name="E7BASEG4">'Phase 7'!$AB$43</definedName>
    <definedName name="E7C" localSheetId="1">'[1]Subcontractors List'!$N$63</definedName>
    <definedName name="E7C">'Subcontractors List'!$N$63</definedName>
    <definedName name="E7DirectLaborAA45">'Phase 7'!$AA$45</definedName>
    <definedName name="E7DirectLaborAB45">'Phase 7'!$AB$45</definedName>
    <definedName name="E7DirectLaborAC45">'Phase 7'!$AC$45</definedName>
    <definedName name="E7DirectLaborAD45">'Phase 7'!$AD$45</definedName>
    <definedName name="E7DirectLaborAE45">'Phase 7'!$AE$45</definedName>
    <definedName name="E7DirectLaborD45">'Phase 7'!$D$45</definedName>
    <definedName name="E7DirectLaborE45">'Phase 7'!$E$45</definedName>
    <definedName name="E7DirectLaborF45">'Phase 7'!$F$45</definedName>
    <definedName name="E7DirectLaborG45">'Phase 7'!$G$45</definedName>
    <definedName name="E7DirectLaborH45">'Phase 7'!$H$45</definedName>
    <definedName name="E7DirectLaborI45">'Phase 7'!$I$45</definedName>
    <definedName name="E7DirectLaborJ45">'Phase 7'!$J$45</definedName>
    <definedName name="E7DirectLaborK45">'Phase 7'!$K$45</definedName>
    <definedName name="E7DirectLaborL45">'Phase 7'!$L$45</definedName>
    <definedName name="E7DirectLaborM45">'Phase 7'!$M$45</definedName>
    <definedName name="E7DirectLaborN45">'Phase 7'!$N$45</definedName>
    <definedName name="E7DirectLaborO45">'Phase 7'!$O$45</definedName>
    <definedName name="E7DirectLaborP45">'Phase 7'!$P$45</definedName>
    <definedName name="E7DirectLaborQ45">'Phase 7'!$Q$45</definedName>
    <definedName name="E7DirectLaborR45">'Phase 7'!$R$45</definedName>
    <definedName name="E7DirectLaborS45">'Phase 7'!$S$45</definedName>
    <definedName name="E7DirectLaborT45">'Phase 7'!$T$45</definedName>
    <definedName name="E7DirectLaborTotal" localSheetId="1">'[1]Phase 7'!$AG$35</definedName>
    <definedName name="E7DirectLaborTotal">'Phase 7'!$AG$35</definedName>
    <definedName name="E7DirectLaborU45">'Phase 7'!$U$45</definedName>
    <definedName name="E7DirectLaborV45">'Phase 7'!$V$45</definedName>
    <definedName name="E7DirectLaborW45">'Phase 7'!$W$45</definedName>
    <definedName name="E7DirectLaborX45">'Phase 7'!$X$45</definedName>
    <definedName name="E7DirectLaborY45">'Phase 7'!$Y$45</definedName>
    <definedName name="E7DirectLaborZ45">'Phase 7'!$Z$45</definedName>
    <definedName name="E7Dropdown">'RATE Schedules'!$AM$7</definedName>
    <definedName name="E7EquipmentTotal" localSheetId="1">'[1]Budget Detail'!$S$73</definedName>
    <definedName name="E7EquipmentTotal">'Budget Detail'!$S$73</definedName>
    <definedName name="E7ETransfer" localSheetId="1">'[1]Standard Equipment &amp; Supplies'!$G$178</definedName>
    <definedName name="E7ETransfer">'Standard Equipment &amp; Supplies'!$G$178</definedName>
    <definedName name="E7ExpenseTotal" localSheetId="1">'[1]Budget Detail'!$S$80</definedName>
    <definedName name="E7ExpenseTotal">'Budget Detail'!$S$80</definedName>
    <definedName name="E7GEN" localSheetId="1">'[1]Subcontractors List'!$N$58</definedName>
    <definedName name="E7GEN">'Subcontractors List'!$N$58</definedName>
    <definedName name="E7IncludeExpenses">'Budget Summary'!$V$17</definedName>
    <definedName name="E7IncludeLab">'Budget Summary'!$V$21</definedName>
    <definedName name="E7IncludeLabor">'Budget Summary'!$V$15</definedName>
    <definedName name="E7IncludeProcure">'Budget Summary'!$V$20</definedName>
    <definedName name="E7IncludeSubs">'Budget Summary'!$V$22</definedName>
    <definedName name="E7InsuranceFee">'Budget Detail'!$S$82</definedName>
    <definedName name="E7LaborTotal" localSheetId="1">'[1]Budget Detail'!$S$38</definedName>
    <definedName name="E7LaborTotal">'Budget Detail'!$S$38</definedName>
    <definedName name="E7LabTotal" localSheetId="1">'[1]Budget Detail'!$S$60</definedName>
    <definedName name="E7LabTotal">'Budget Detail'!$S$60</definedName>
    <definedName name="E7LTransfer" localSheetId="1">'[1]Travel Charges'!$K$56</definedName>
    <definedName name="E7LTransfer">'Travel Charges'!$K$56</definedName>
    <definedName name="E7M" localSheetId="1">'[1]Subcontractors List'!$N$62</definedName>
    <definedName name="E7M">'Subcontractors List'!$N$62</definedName>
    <definedName name="E7MTransfer" localSheetId="1">'[1]Travel Charges'!$K$55</definedName>
    <definedName name="E7MTransfer">'Travel Charges'!$K$55</definedName>
    <definedName name="E7O" localSheetId="1">'[1]Other Supplies &amp; Rental List'!$N$28</definedName>
    <definedName name="E7O">'Other Supplies &amp; Rental List'!$N$28</definedName>
    <definedName name="E7OTHER" localSheetId="1">'[1]Subcontractors List'!$N$61</definedName>
    <definedName name="E7OTHER">'Subcontractors List'!$N$61</definedName>
    <definedName name="E7OverheadAA46">'Phase 7'!$AA$46</definedName>
    <definedName name="E7OverheadAB46">'Phase 7'!$AB$46</definedName>
    <definedName name="E7OverheadAC46">'Phase 7'!$AC$46</definedName>
    <definedName name="E7OverheadAD46">'Phase 7'!$AD$46</definedName>
    <definedName name="E7OverheadAE46">'Phase 7'!$AE$46</definedName>
    <definedName name="E7OverheadD46">'Phase 7'!$D$46</definedName>
    <definedName name="E7OverheadE46">'Phase 7'!$E$46</definedName>
    <definedName name="E7OverheadF46">'Phase 7'!$F$46</definedName>
    <definedName name="E7OverheadG46">'Phase 7'!$G$46</definedName>
    <definedName name="E7OverheadH46">'Phase 7'!$H$46</definedName>
    <definedName name="E7OverheadI46">'Phase 7'!$I$46</definedName>
    <definedName name="E7OverheadJ46">'Phase 7'!$J$46</definedName>
    <definedName name="E7OverheadK46">'Phase 7'!$K$46</definedName>
    <definedName name="E7OverheadL46">'Phase 7'!$L$46</definedName>
    <definedName name="E7OverheadM46">'Phase 7'!$M$46</definedName>
    <definedName name="E7OverheadN46">'Phase 7'!$N$46</definedName>
    <definedName name="E7OverheadO46">'Phase 7'!$O$46</definedName>
    <definedName name="E7OverheadP46">'Phase 7'!$P$46</definedName>
    <definedName name="E7OverheadQ46">'Phase 7'!$Q$46</definedName>
    <definedName name="E7OverheadR46">'Phase 7'!$R$46</definedName>
    <definedName name="E7OverheadS46">'Phase 7'!$S$46</definedName>
    <definedName name="E7OverheadT46">'Phase 7'!$T$46</definedName>
    <definedName name="E7OverheadTotal" localSheetId="1">'[1]Phase 7'!$AG$37</definedName>
    <definedName name="E7OverheadTotal">'Phase 7'!$AG$37</definedName>
    <definedName name="E7OverheadU46">'Phase 7'!$U$46</definedName>
    <definedName name="E7OverheadV46">'Phase 7'!$V$46</definedName>
    <definedName name="E7OverheadW46">'Phase 7'!$W$46</definedName>
    <definedName name="E7OverheadX46">'Phase 7'!$X$46</definedName>
    <definedName name="E7OverheadY46">'Phase 7'!$Y$46</definedName>
    <definedName name="E7OverheadZ46">'Phase 7'!$Z$46</definedName>
    <definedName name="E7OVTransfer" localSheetId="1">'[1]Travel Charges'!$K$54</definedName>
    <definedName name="E7OVTransfer">'Travel Charges'!$K$54</definedName>
    <definedName name="E7R" localSheetId="1">'[1]Other Supplies &amp; Rental List'!$N$26</definedName>
    <definedName name="E7R">'Other Supplies &amp; Rental List'!$N$26</definedName>
    <definedName name="E7RateA1Total">'Budget Detail'!$BI$12</definedName>
    <definedName name="E7RateA2Total">'Budget Detail'!$BI$11</definedName>
    <definedName name="E7RateA3Total">'Budget Detail'!$BI$10</definedName>
    <definedName name="E7RateA4Total">'Budget Detail'!$BI$9</definedName>
    <definedName name="E7RateB1Total">'Budget Detail'!$BI$16</definedName>
    <definedName name="E7RateB2Total">'Budget Detail'!$BI$15</definedName>
    <definedName name="E7Rateb3Total">'Budget Detail'!$BI$14</definedName>
    <definedName name="E7RateB4Total">'Budget Detail'!$BI$13</definedName>
    <definedName name="E7RateC1Total">'Budget Detail'!$BI$20</definedName>
    <definedName name="E7RateC2Total">'Budget Detail'!$BI$19</definedName>
    <definedName name="E7RateC3Total">'Budget Detail'!$BI$18</definedName>
    <definedName name="E7RateC4Total">'Budget Detail'!$BI$17</definedName>
    <definedName name="E7RateD1Total">'Budget Detail'!$BI$24</definedName>
    <definedName name="E7RateD2Total">'Budget Detail'!$BI$23</definedName>
    <definedName name="E7RateD3Total">'Budget Detail'!$BI$22</definedName>
    <definedName name="E7RateD4Total">'Budget Detail'!$BI$21</definedName>
    <definedName name="E7RateE1Total">'Budget Detail'!$BI$28</definedName>
    <definedName name="E7RateE2Total">'Budget Detail'!$BI$27</definedName>
    <definedName name="E7RateE3Total">'Budget Detail'!$BI$26</definedName>
    <definedName name="E7RateE4Total">'Budget Detail'!$BI$25</definedName>
    <definedName name="E7RateF1Total">'Budget Detail'!$BI$32</definedName>
    <definedName name="E7RateF2Total">'Budget Detail'!$BI$31</definedName>
    <definedName name="E7RateF3Total">'Budget Detail'!$BI$30</definedName>
    <definedName name="E7RateF4Total">'Budget Detail'!$BI$29</definedName>
    <definedName name="E7RateG1Total">'Budget Detail'!$BI$36</definedName>
    <definedName name="E7RateG2Total">'Budget Detail'!$BI$35</definedName>
    <definedName name="E7RateG3Total">'Budget Detail'!$BI$34</definedName>
    <definedName name="E7RateG4Total">'Budget Detail'!$BI$33</definedName>
    <definedName name="E7REM" localSheetId="1">'[1]Subcontractors List'!$N$57</definedName>
    <definedName name="E7REM">'Subcontractors List'!$N$57</definedName>
    <definedName name="E7RVTransfer" localSheetId="1">'[1]Travel Charges'!$K$53</definedName>
    <definedName name="E7RVTransfer">'Travel Charges'!$K$53</definedName>
    <definedName name="E7S" localSheetId="1">'[1]Other Supplies &amp; Rental List'!$N$27</definedName>
    <definedName name="E7S">'Other Supplies &amp; Rental List'!$N$27</definedName>
    <definedName name="E7SI" localSheetId="1">'[1]Subcontractors List'!$N$60</definedName>
    <definedName name="E7SI">'Subcontractors List'!$N$60</definedName>
    <definedName name="E7STransfer" localSheetId="1">'[1]Standard Equipment &amp; Supplies'!$G$179</definedName>
    <definedName name="E7STransfer">'Standard Equipment &amp; Supplies'!$G$179</definedName>
    <definedName name="E7SubsTotal" localSheetId="1">'[1]Budget Detail'!$S$70</definedName>
    <definedName name="E7SubsTotal">'Budget Detail'!$S$70</definedName>
    <definedName name="E7TDropdowns">'RATE Schedules'!$AP$7</definedName>
    <definedName name="E7TravelTotal" localSheetId="1">'[1]Budget Detail'!$S$50</definedName>
    <definedName name="E7TravelTotal">'Budget Detail'!$S$50</definedName>
    <definedName name="E7Units" localSheetId="39">#REF!,#REF!,#REF!,#REF!,#REF!,#REF!,#REF!,#REF!,#REF!,#REF!,#REF!,#REF!,#REF!,#REF!,#REF!,#REF!,#REF!,#REF!,#REF!</definedName>
    <definedName name="E7Units">#REF!,#REF!,#REF!,#REF!,#REF!,#REF!,#REF!,#REF!,#REF!,#REF!,#REF!,#REF!,#REF!,#REF!,#REF!,#REF!,#REF!,#REF!,#REF!</definedName>
    <definedName name="E7UnitsMirror">'RATE Schedules'!$AN$7</definedName>
    <definedName name="E7WH" localSheetId="1">'[1]Subcontractors List'!$N$59</definedName>
    <definedName name="E7WH">'Subcontractors List'!$N$59</definedName>
    <definedName name="E8ADDA1">'Budget Detail'!$CZ$12</definedName>
    <definedName name="E8ADDA2">'Budget Detail'!$CZ$11</definedName>
    <definedName name="E8ADDA3">'Budget Detail'!$CZ$10</definedName>
    <definedName name="E8ADDA4">'Budget Detail'!$CZ$9</definedName>
    <definedName name="E8ADDB1">'Budget Detail'!$CZ$16</definedName>
    <definedName name="E8ADDB2">'Budget Detail'!$CZ$15</definedName>
    <definedName name="E8ADDB3">'Budget Detail'!$CZ$14</definedName>
    <definedName name="E8ADDB4">'Budget Detail'!$CZ$13</definedName>
    <definedName name="E8ADDC1">'Budget Detail'!$CZ$20</definedName>
    <definedName name="E8ADDC2">'Budget Detail'!$CZ$19</definedName>
    <definedName name="E8ADDC3">'Budget Detail'!$CZ$18</definedName>
    <definedName name="E8ADDC4">'Budget Detail'!$CZ$17</definedName>
    <definedName name="E8ADDD1">'Budget Detail'!$CZ$24</definedName>
    <definedName name="E8ADDD2">'Budget Detail'!$CZ$23</definedName>
    <definedName name="E8ADDD3">'Budget Detail'!$CZ$22</definedName>
    <definedName name="E8ADDD4">'Budget Detail'!$CZ$21</definedName>
    <definedName name="E8ADDE1">'Budget Detail'!$CZ$28</definedName>
    <definedName name="E8ADDE2">'Budget Detail'!$CZ$27</definedName>
    <definedName name="E8ADDE3">'Budget Detail'!$CZ$26</definedName>
    <definedName name="E8ADDE4">'Budget Detail'!$CZ$25</definedName>
    <definedName name="E8ADDF1">'Budget Detail'!$CZ$32</definedName>
    <definedName name="E8ADDF2">'Budget Detail'!$CZ$31</definedName>
    <definedName name="E8ADDF3">'Budget Detail'!$CZ$30</definedName>
    <definedName name="E8ADDF4">'Budget Detail'!$CZ$29</definedName>
    <definedName name="E8ADDG1">'Budget Detail'!$CZ$36</definedName>
    <definedName name="E8ADDG2">'Budget Detail'!$CZ$35</definedName>
    <definedName name="E8ADDG3">'Budget Detail'!$CZ$34</definedName>
    <definedName name="E8ADDG4">'Budget Detail'!$CZ$33</definedName>
    <definedName name="E8ATransfer" localSheetId="1">'[1]Travel Charges'!$O$57</definedName>
    <definedName name="E8ATransfer">'Travel Charges'!$O$57</definedName>
    <definedName name="E8B" localSheetId="1">'[1]Subcontractors List'!$N$64</definedName>
    <definedName name="E8B">'Subcontractors List'!$N$64</definedName>
    <definedName name="E8BASEA1" localSheetId="1">'[1]Phase 8'!$G$43</definedName>
    <definedName name="E8BASEA1">'Phase 8'!$G$43</definedName>
    <definedName name="E8BASEA2" localSheetId="1">'[1]Phase 8'!$F$43</definedName>
    <definedName name="E8BASEA2">'Phase 8'!$F$43</definedName>
    <definedName name="E8BASEA3" localSheetId="1">'[1]Phase 8'!$E$43</definedName>
    <definedName name="E8BASEA3">'Phase 8'!$E$43</definedName>
    <definedName name="E8BASEA4" localSheetId="1">'[1]Phase 8'!$D$43</definedName>
    <definedName name="E8BASEA4">'Phase 8'!$D$43</definedName>
    <definedName name="E8BASEB1" localSheetId="1">'[1]Phase 8'!$K$43</definedName>
    <definedName name="E8BASEB1">'Phase 8'!$K$43</definedName>
    <definedName name="E8BASEB2" localSheetId="1">'[1]Phase 8'!$J$43</definedName>
    <definedName name="E8BASEB2">'Phase 8'!$J$43</definedName>
    <definedName name="E8BASEB3" localSheetId="1">'[1]Phase 8'!$I$43</definedName>
    <definedName name="E8BASEB3">'Phase 8'!$I$43</definedName>
    <definedName name="E8BASEB4" localSheetId="1">'[1]Phase 8'!$H$43</definedName>
    <definedName name="E8BASEB4">'Phase 8'!$H$43</definedName>
    <definedName name="E8BASEC1" localSheetId="1">'[1]Phase 8'!$O$43</definedName>
    <definedName name="E8BASEC1">'Phase 8'!$O$43</definedName>
    <definedName name="E8BASEC2" localSheetId="1">'[1]Phase 8'!$N$43</definedName>
    <definedName name="E8BASEC2">'Phase 8'!$N$43</definedName>
    <definedName name="E8BASEC3" localSheetId="1">'[1]Phase 8'!$M$43</definedName>
    <definedName name="E8BASEC3">'Phase 8'!$M$43</definedName>
    <definedName name="E8BASEC4" localSheetId="1">'[1]Phase 8'!$L$43</definedName>
    <definedName name="E8BASEC4">'Phase 8'!$L$43</definedName>
    <definedName name="E8BASED1" localSheetId="1">'[1]Phase 8'!$S$43</definedName>
    <definedName name="E8BASED1">'Phase 8'!$S$43</definedName>
    <definedName name="E8BASED2" localSheetId="1">'[1]Phase 8'!$R$43</definedName>
    <definedName name="E8BASED2">'Phase 8'!$R$43</definedName>
    <definedName name="E8BASED3" localSheetId="1">'[1]Phase 8'!$Q$43</definedName>
    <definedName name="E8BASED3">'Phase 8'!$Q$43</definedName>
    <definedName name="E8BASED4" localSheetId="1">'[1]Phase 8'!$P$43</definedName>
    <definedName name="E8BASED4">'Phase 8'!$P$43</definedName>
    <definedName name="E8BASEE1" localSheetId="1">'[1]Phase 8'!$W$43</definedName>
    <definedName name="E8BASEE1">'Phase 8'!$W$43</definedName>
    <definedName name="E8BASEE2" localSheetId="1">'[1]Phase 8'!$V$43</definedName>
    <definedName name="E8BASEE2">'Phase 8'!$V$43</definedName>
    <definedName name="E8BASEE3" localSheetId="1">'[1]Phase 8'!$U$43</definedName>
    <definedName name="E8BASEE3">'Phase 8'!$U$43</definedName>
    <definedName name="E8BASEE4" localSheetId="1">'[1]Phase 8'!$T$43</definedName>
    <definedName name="E8BASEE4">'Phase 8'!$T$43</definedName>
    <definedName name="E8BASEF1" localSheetId="1">'[1]Phase 8'!$AA$43</definedName>
    <definedName name="E8BASEF1">'Phase 8'!$AA$43</definedName>
    <definedName name="E8BASEF2" localSheetId="1">'[1]Phase 8'!$Z$43</definedName>
    <definedName name="E8BASEF2">'Phase 8'!$Z$43</definedName>
    <definedName name="E8BASEF3" localSheetId="1">'[1]Phase 8'!$Y$43</definedName>
    <definedName name="E8BASEF3">'Phase 8'!$Y$43</definedName>
    <definedName name="E8BASEF4" localSheetId="1">'[1]Phase 8'!$X$43</definedName>
    <definedName name="E8BASEF4">'Phase 8'!$X$43</definedName>
    <definedName name="E8BASEG1" localSheetId="1">'[1]Phase 8'!$AE$43</definedName>
    <definedName name="E8BASEG1">'Phase 8'!$AE$43</definedName>
    <definedName name="E8BASEG2" localSheetId="1">'[1]Phase 8'!$AD$43</definedName>
    <definedName name="E8BASEG2">'Phase 8'!$AD$43</definedName>
    <definedName name="E8BASEG3" localSheetId="1">'[1]Phase 8'!$AC$43</definedName>
    <definedName name="E8BASEG3">'Phase 8'!$AC$43</definedName>
    <definedName name="E8BASEG4" localSheetId="1">'[1]Phase 8'!$AB$43</definedName>
    <definedName name="E8BASEG4">'Phase 8'!$AB$43</definedName>
    <definedName name="E8C" localSheetId="1">'[1]Subcontractors List'!$N$71</definedName>
    <definedName name="E8C">'Subcontractors List'!$N$71</definedName>
    <definedName name="E8DirectLaborAA45">'Phase 8'!$AA$45</definedName>
    <definedName name="E8DirectLaborAB45">'Phase 8'!$AB$45</definedName>
    <definedName name="E8DirectLaborAC45">'Phase 8'!$AC$45</definedName>
    <definedName name="E8DirectLaborAD45">'Phase 8'!$AD$45</definedName>
    <definedName name="E8DirectLaborAE45">'Phase 8'!$AE$45</definedName>
    <definedName name="E8DirectLaborD45">'Phase 8'!$D$45</definedName>
    <definedName name="E8DirectLaborE45">'Phase 8'!$E$45</definedName>
    <definedName name="E8DirectLaborF45">'Phase 8'!$F$45</definedName>
    <definedName name="E8DirectLaborG45">'Phase 8'!$G$45</definedName>
    <definedName name="E8DirectLaborH45">'Phase 8'!$H$45</definedName>
    <definedName name="E8DirectLaborI45">'Phase 8'!$I$45</definedName>
    <definedName name="E8DirectLaborJ45">'Phase 8'!$J$45</definedName>
    <definedName name="E8DirectLaborK45">'Phase 8'!$K$45</definedName>
    <definedName name="E8DirectLaborL45">'Phase 8'!$L$45</definedName>
    <definedName name="E8DirectLaborM45">'Phase 8'!$M$45</definedName>
    <definedName name="E8DirectLaborN45">'Phase 8'!$N$45</definedName>
    <definedName name="E8DirectLaborO45">'Phase 8'!$O$45</definedName>
    <definedName name="E8DirectLaborP45">'Phase 8'!$P$45</definedName>
    <definedName name="E8DirectLaborQ45">'Phase 8'!$Q$45</definedName>
    <definedName name="E8DirectLaborR45">'Phase 8'!$R$45</definedName>
    <definedName name="E8DirectLaborS45">'Phase 8'!$S$45</definedName>
    <definedName name="E8DirectLaborT45">'Phase 8'!$T$45</definedName>
    <definedName name="E8DirectLaborTotal" localSheetId="1">'[1]Phase 8'!$AG$35</definedName>
    <definedName name="E8DirectLaborTotal">'Phase 8'!$AG$35</definedName>
    <definedName name="E8DirectLaborU45">'Phase 8'!$U$45</definedName>
    <definedName name="E8DirectLaborV45">'Phase 8'!$V$45</definedName>
    <definedName name="E8DirectLaborW45">'Phase 8'!$W$45</definedName>
    <definedName name="E8DirectLaborX45">'Phase 8'!$X$45</definedName>
    <definedName name="E8DirectLaborY45">'Phase 8'!$Y$45</definedName>
    <definedName name="E8DirectLaborZ45">'Phase 8'!$Z$45</definedName>
    <definedName name="E8Dropdown">'RATE Schedules'!$AM$8</definedName>
    <definedName name="E8EquipmentTotal" localSheetId="1">'[1]Budget Detail'!$U$73</definedName>
    <definedName name="E8EquipmentTotal">'Budget Detail'!$U$73</definedName>
    <definedName name="E8ETransfer" localSheetId="1">'[1]Standard Equipment &amp; Supplies'!$G$181</definedName>
    <definedName name="E8ETransfer">'Standard Equipment &amp; Supplies'!$G$181</definedName>
    <definedName name="E8ExpenseTotal" localSheetId="1">'[1]Budget Detail'!$U$80</definedName>
    <definedName name="E8ExpenseTotal">'Budget Detail'!$U$80</definedName>
    <definedName name="E8GEN" localSheetId="1">'[1]Subcontractors List'!$N$66</definedName>
    <definedName name="E8GEN">'Subcontractors List'!$N$66</definedName>
    <definedName name="E8IncludeExpenses">'Budget Summary'!$W$17</definedName>
    <definedName name="E8IncludeLab">'Budget Summary'!$W$21</definedName>
    <definedName name="E8IncludeLabor">'Budget Summary'!$W$15</definedName>
    <definedName name="E8IncludeProcure">'Budget Summary'!$W$20</definedName>
    <definedName name="E8IncludeSubs">'Budget Summary'!$W$22</definedName>
    <definedName name="E8InsuranceFee">'Budget Detail'!$U$82</definedName>
    <definedName name="E8LaborTotal" localSheetId="1">'[1]Budget Detail'!$U$38</definedName>
    <definedName name="E8LaborTotal">'Budget Detail'!$U$38</definedName>
    <definedName name="E8LabTotal" localSheetId="1">'[1]Budget Detail'!$U$60</definedName>
    <definedName name="E8LabTotal">'Budget Detail'!$U$60</definedName>
    <definedName name="E8LTransfer" localSheetId="1">'[1]Travel Charges'!$O$56</definedName>
    <definedName name="E8LTransfer">'Travel Charges'!$O$56</definedName>
    <definedName name="E8M" localSheetId="1">'[1]Subcontractors List'!$N$70</definedName>
    <definedName name="E8M">'Subcontractors List'!$N$70</definedName>
    <definedName name="E8MTransfer" localSheetId="1">'[1]Travel Charges'!$O$55</definedName>
    <definedName name="E8MTransfer">'Travel Charges'!$O$55</definedName>
    <definedName name="E8O" localSheetId="1">'[1]Other Supplies &amp; Rental List'!$N$31</definedName>
    <definedName name="E8O">'Other Supplies &amp; Rental List'!$N$31</definedName>
    <definedName name="E8OTHER" localSheetId="1">'[1]Subcontractors List'!$N$69</definedName>
    <definedName name="E8OTHER">'Subcontractors List'!$N$69</definedName>
    <definedName name="E8OverheadAA46">'Phase 8'!$AA$46</definedName>
    <definedName name="E8OverheadAB46">'Phase 8'!$AB$46</definedName>
    <definedName name="E8OverheadAC46">'Phase 8'!$AC$46</definedName>
    <definedName name="E8OverheadAD46">'Phase 8'!$AD$46</definedName>
    <definedName name="E8OverheadAE46">'Phase 8'!$AE$46</definedName>
    <definedName name="E8OverheadD46">'Phase 8'!$D$46</definedName>
    <definedName name="E8OverheadE46">'Phase 8'!$E$46</definedName>
    <definedName name="E8OverheadF46">'Phase 8'!$F$46</definedName>
    <definedName name="E8OverheadG46">'Phase 8'!$G$46</definedName>
    <definedName name="E8OverheadH46">'Phase 8'!$H$46</definedName>
    <definedName name="E8OverheadI46">'Phase 8'!$I$46</definedName>
    <definedName name="E8OverheadJ46">'Phase 8'!$J$46</definedName>
    <definedName name="E8OverheadK46">'Phase 8'!$K$46</definedName>
    <definedName name="E8OverheadL46">'Phase 8'!$L$46</definedName>
    <definedName name="E8OverheadM46">'Phase 8'!$M$46</definedName>
    <definedName name="E8OverheadN46">'Phase 8'!$N$46</definedName>
    <definedName name="E8OverheadO46">'Phase 8'!$O$46</definedName>
    <definedName name="E8OverheadP46">'Phase 8'!$P$46</definedName>
    <definedName name="E8OverheadQ46">'Phase 8'!$Q$46</definedName>
    <definedName name="E8OverheadR46">'Phase 8'!$R$46</definedName>
    <definedName name="E8OverheadS46">'Phase 8'!$S$46</definedName>
    <definedName name="E8OverheadT46">'Phase 8'!$T$46</definedName>
    <definedName name="E8OverheadTotal" localSheetId="1">'[1]Phase 8'!$AG$37</definedName>
    <definedName name="E8OverheadTotal">'Phase 8'!$AG$37</definedName>
    <definedName name="E8OverheadU46">'Phase 8'!$U$46</definedName>
    <definedName name="E8OverheadV46">'Phase 8'!$V$46</definedName>
    <definedName name="E8OverheadW46">'Phase 8'!$W$46</definedName>
    <definedName name="E8OverheadX46">'Phase 8'!$X$46</definedName>
    <definedName name="E8OverheadY46">'Phase 8'!$Y$46</definedName>
    <definedName name="E8OverheadZ46">'Phase 8'!$Z$46</definedName>
    <definedName name="E8OVTransfer" localSheetId="1">'[1]Travel Charges'!$O$54</definedName>
    <definedName name="E8OVTransfer">'Travel Charges'!$O$54</definedName>
    <definedName name="E8R" localSheetId="1">'[1]Other Supplies &amp; Rental List'!$N$29</definedName>
    <definedName name="E8R">'Other Supplies &amp; Rental List'!$N$29</definedName>
    <definedName name="E8RateA1Total">'Budget Detail'!$BJ$12</definedName>
    <definedName name="E8RateA2Total">'Budget Detail'!$BJ$11</definedName>
    <definedName name="E8RateA3Total">'Budget Detail'!$BJ$10</definedName>
    <definedName name="E8RateA4Total">'Budget Detail'!$BJ$9</definedName>
    <definedName name="E8RateB1Total">'Budget Detail'!$BJ$16</definedName>
    <definedName name="E8RateB2Total">'Budget Detail'!$BJ$15</definedName>
    <definedName name="E8RateB3Total">'Budget Detail'!$BJ$14</definedName>
    <definedName name="E8RateB4Total">'Budget Detail'!$BJ$13</definedName>
    <definedName name="E8RateC1Total">'Budget Detail'!$BJ$20</definedName>
    <definedName name="E8RateC2Total">'Budget Detail'!$BJ$19</definedName>
    <definedName name="E8RateC3Total">'Budget Detail'!$BJ$18</definedName>
    <definedName name="E8RateC4Total">'Budget Detail'!$BJ$17</definedName>
    <definedName name="E8RateD1Total">'Budget Detail'!$BJ$24</definedName>
    <definedName name="E8RateD2Total">'Budget Detail'!$BJ$23</definedName>
    <definedName name="E8RateD3Total">'Budget Detail'!$BJ$22</definedName>
    <definedName name="E8RateD4Total">'Budget Detail'!$BJ$21</definedName>
    <definedName name="E8RateE1Total">'Budget Detail'!$BJ$28</definedName>
    <definedName name="E8RateE2Total">'Budget Detail'!$BJ$27</definedName>
    <definedName name="E8RateE3Total">'Budget Detail'!$BJ$26</definedName>
    <definedName name="E8RateE4Total">'Budget Detail'!$BJ$25</definedName>
    <definedName name="E8RateF1Total">'Budget Detail'!$BJ$32</definedName>
    <definedName name="E8RateF2Total">'Budget Detail'!$BJ$31</definedName>
    <definedName name="E8RateF3Total">'Budget Detail'!$BJ$30</definedName>
    <definedName name="E8RateF4Total">'Budget Detail'!$BJ$29</definedName>
    <definedName name="E8RateG1Total">'Budget Detail'!$BJ$36</definedName>
    <definedName name="E8RateG2Total">'Budget Detail'!$BJ$35</definedName>
    <definedName name="E8RateG3Total">'Budget Detail'!$BJ$34</definedName>
    <definedName name="E8RateG4Total">'Budget Detail'!$BJ$33</definedName>
    <definedName name="E8REM" localSheetId="1">'[1]Subcontractors List'!$N$65</definedName>
    <definedName name="E8REM">'Subcontractors List'!$N$65</definedName>
    <definedName name="E8RVTransfer" localSheetId="1">'[1]Travel Charges'!$O$53</definedName>
    <definedName name="E8RVTransfer">'Travel Charges'!$O$53</definedName>
    <definedName name="E8S" localSheetId="1">'[1]Other Supplies &amp; Rental List'!$N$30</definedName>
    <definedName name="E8S">'Other Supplies &amp; Rental List'!$N$30</definedName>
    <definedName name="E8SI" localSheetId="1">'[1]Subcontractors List'!$N$68</definedName>
    <definedName name="E8SI">'Subcontractors List'!$N$68</definedName>
    <definedName name="E8STransfer" localSheetId="1">'[1]Standard Equipment &amp; Supplies'!$G$182</definedName>
    <definedName name="E8STransfer">'Standard Equipment &amp; Supplies'!$G$182</definedName>
    <definedName name="E8SubsTotal" localSheetId="1">'[1]Budget Detail'!$U$70</definedName>
    <definedName name="E8SubsTotal">'Budget Detail'!$U$70</definedName>
    <definedName name="E8TDropdowns">'RATE Schedules'!$AP$8</definedName>
    <definedName name="E8TravelTotal" localSheetId="1">'[1]Budget Detail'!$U$50</definedName>
    <definedName name="E8TravelTotal">'Budget Detail'!$U$50</definedName>
    <definedName name="E8Units" localSheetId="39">#REF!,#REF!,#REF!,#REF!,#REF!,#REF!,#REF!,#REF!,#REF!,#REF!,#REF!,#REF!,#REF!,#REF!,#REF!,#REF!,#REF!,#REF!,#REF!,#REF!</definedName>
    <definedName name="E8Units">#REF!,#REF!,#REF!,#REF!,#REF!,#REF!,#REF!,#REF!,#REF!,#REF!,#REF!,#REF!,#REF!,#REF!,#REF!,#REF!,#REF!,#REF!,#REF!,#REF!</definedName>
    <definedName name="E8UnitsMirror">'RATE Schedules'!$AN$8</definedName>
    <definedName name="E8WH" localSheetId="1">'[1]Subcontractors List'!$N$67</definedName>
    <definedName name="E8WH">'Subcontractors List'!$N$67</definedName>
    <definedName name="E9ADDA1">'Budget Detail'!$DA$12</definedName>
    <definedName name="E9ADDA2">'Budget Detail'!$DA$11</definedName>
    <definedName name="E9ADDA3">'Budget Detail'!$DA$10</definedName>
    <definedName name="E9ADDA4">'Budget Detail'!$DA$9</definedName>
    <definedName name="E9ADDB1">'Budget Detail'!$DA$16</definedName>
    <definedName name="E9ADDB2">'Budget Detail'!$DA$15</definedName>
    <definedName name="E9ADDB3">'Budget Detail'!$DA$14</definedName>
    <definedName name="E9ADDB4">'Budget Detail'!$DA$13</definedName>
    <definedName name="E9ADDC1">'Budget Detail'!$DA$20</definedName>
    <definedName name="E9ADDC2">'Budget Detail'!$DA$19</definedName>
    <definedName name="E9ADDC3">'Budget Detail'!$DA$18</definedName>
    <definedName name="E9ADDC4">'Budget Detail'!$DA$17</definedName>
    <definedName name="E9ADDD1">'Budget Detail'!$DA$24</definedName>
    <definedName name="E9ADDD2">'Budget Detail'!$DA$23</definedName>
    <definedName name="E9ADDD3">'Budget Detail'!$DA$22</definedName>
    <definedName name="E9ADDD4">'Budget Detail'!$DA$21</definedName>
    <definedName name="E9ADDE1">'Budget Detail'!$DA$28</definedName>
    <definedName name="E9ADDE2">'Budget Detail'!$DA$27</definedName>
    <definedName name="E9ADDE4">'Budget Detail'!$DA$25</definedName>
    <definedName name="E9ADDF1">'Budget Detail'!$DA$32</definedName>
    <definedName name="E9ADDF2">'Budget Detail'!$DA$31</definedName>
    <definedName name="E9ADDF3">'Budget Detail'!$DA$30</definedName>
    <definedName name="E9ADDF4">'Budget Detail'!$DA$29</definedName>
    <definedName name="E9ADDG1">'Budget Detail'!$DA$36</definedName>
    <definedName name="E9ADDG2">'Budget Detail'!$DA$35</definedName>
    <definedName name="E9ADDG3">'Budget Detail'!$DA$34</definedName>
    <definedName name="E9ADDG4">'Budget Detail'!$DA$33</definedName>
    <definedName name="E9ATransfer" localSheetId="1">'[1]Travel Charges'!$S$57</definedName>
    <definedName name="E9ATransfer">'Travel Charges'!$S$57</definedName>
    <definedName name="E9B" localSheetId="1">'[1]Subcontractors List'!$N$72</definedName>
    <definedName name="E9B">'Subcontractors List'!$N$72</definedName>
    <definedName name="E9BASEA1" localSheetId="1">'[1]Phase 9'!$G$43</definedName>
    <definedName name="E9BASEA1">'Phase 9'!$G$43</definedName>
    <definedName name="E9BASEA2" localSheetId="1">'[1]Phase 9'!$F$43</definedName>
    <definedName name="E9BASEA2">'Phase 9'!$F$43</definedName>
    <definedName name="E9BASEA3" localSheetId="1">'[1]Phase 9'!$E$43</definedName>
    <definedName name="E9BASEA3">'Phase 9'!$E$43</definedName>
    <definedName name="E9BASEA4" localSheetId="1">'[1]Phase 9'!$D$43</definedName>
    <definedName name="E9BASEA4">'Phase 9'!$D$43</definedName>
    <definedName name="E9BASEB1" localSheetId="1">'[1]Phase 9'!$K$43</definedName>
    <definedName name="E9BASEB1">'Phase 9'!$K$43</definedName>
    <definedName name="E9BASEB2" localSheetId="1">'[1]Phase 9'!$J$43</definedName>
    <definedName name="E9BASEB2">'Phase 9'!$J$43</definedName>
    <definedName name="E9BASEB3" localSheetId="1">'[1]Phase 9'!$I$43</definedName>
    <definedName name="E9BASEB3">'Phase 9'!$I$43</definedName>
    <definedName name="E9BASEB4" localSheetId="1">'[1]Phase 9'!$H$43</definedName>
    <definedName name="E9BASEB4">'Phase 9'!$H$43</definedName>
    <definedName name="E9BASEC1" localSheetId="1">'[1]Phase 9'!$O$43</definedName>
    <definedName name="E9BASEC1">'Phase 9'!$O$43</definedName>
    <definedName name="E9BASEC2" localSheetId="1">'[1]Phase 9'!$N$43</definedName>
    <definedName name="E9BASEC2">'Phase 9'!$N$43</definedName>
    <definedName name="E9BASEC3" localSheetId="1">'[1]Phase 9'!$M$43</definedName>
    <definedName name="E9BASEC3">'Phase 9'!$M$43</definedName>
    <definedName name="E9BASEC4" localSheetId="1">'[1]Phase 9'!$L$43</definedName>
    <definedName name="E9BASEC4">'Phase 9'!$L$43</definedName>
    <definedName name="E9BASED1" localSheetId="1">'[1]Phase 9'!$S$43</definedName>
    <definedName name="E9BASED1">'Phase 9'!$S$43</definedName>
    <definedName name="E9BASED2" localSheetId="1">'[1]Phase 9'!$R$43</definedName>
    <definedName name="E9BASED2">'Phase 9'!$R$43</definedName>
    <definedName name="E9BASED3" localSheetId="1">'[1]Phase 9'!$Q$43</definedName>
    <definedName name="E9BASED3">'Phase 9'!$Q$43</definedName>
    <definedName name="E9BASED4" localSheetId="1">'[1]Phase 9'!$P$43</definedName>
    <definedName name="E9BASED4">'Phase 9'!$P$43</definedName>
    <definedName name="E9BASEE1" localSheetId="1">'[1]Phase 9'!$W$43</definedName>
    <definedName name="E9BASEE1">'Phase 9'!$W$43</definedName>
    <definedName name="E9BASEE2" localSheetId="1">'[1]Phase 9'!$V$43</definedName>
    <definedName name="E9BASEE2">'Phase 9'!$V$43</definedName>
    <definedName name="E9BASEE3" localSheetId="1">'[1]Phase 9'!$U$43</definedName>
    <definedName name="E9BASEE3">'Phase 9'!$U$43</definedName>
    <definedName name="E9BASEE4" localSheetId="1">'[1]Phase 9'!$T$43</definedName>
    <definedName name="E9BASEE4">'Phase 9'!$T$43</definedName>
    <definedName name="E9BASEF1" localSheetId="1">'[1]Phase 9'!$AA$43</definedName>
    <definedName name="E9BASEF1">'Phase 9'!$AA$43</definedName>
    <definedName name="E9BASEF2" localSheetId="1">'[1]Phase 9'!$Z$43</definedName>
    <definedName name="E9BASEF2">'Phase 9'!$Z$43</definedName>
    <definedName name="E9BASEF3" localSheetId="1">'[1]Phase 9'!$Y$43</definedName>
    <definedName name="E9BASEF3">'Phase 9'!$Y$43</definedName>
    <definedName name="E9BASEF4" localSheetId="1">'[1]Phase 9'!$X$43</definedName>
    <definedName name="E9BASEF4">'Phase 9'!$X$43</definedName>
    <definedName name="E9BASEG1" localSheetId="1">'[1]Phase 9'!$AE$43</definedName>
    <definedName name="E9BASEG1">'Phase 9'!$AE$43</definedName>
    <definedName name="E9BASEG2" localSheetId="1">'[1]Phase 9'!$AD$43</definedName>
    <definedName name="E9BASEG2">'Phase 9'!$AD$43</definedName>
    <definedName name="E9BASEG3" localSheetId="1">'[1]Phase 9'!$AC$43</definedName>
    <definedName name="E9BASEG3">'Phase 9'!$AC$43</definedName>
    <definedName name="E9BASEG4" localSheetId="1">'[1]Phase 9'!$AB$43</definedName>
    <definedName name="E9BASEG4">'Phase 9'!$AB$43</definedName>
    <definedName name="E9C" localSheetId="1">'[1]Subcontractors List'!$N$79</definedName>
    <definedName name="E9C">'Subcontractors List'!$N$79</definedName>
    <definedName name="E9DirectLaborAA45">'Phase 9'!$AA$45</definedName>
    <definedName name="E9DirectLaborAB45">'Phase 9'!$AB$45</definedName>
    <definedName name="E9DirectLaborAC45">'Phase 9'!$AC$45</definedName>
    <definedName name="E9DirectLaborAD45">'Phase 9'!$AD$45</definedName>
    <definedName name="E9DirectLaborAE45">'Phase 9'!$AE$45</definedName>
    <definedName name="E9DirectLaborD45">'Phase 9'!$D$45</definedName>
    <definedName name="E9DirectLaborE45">'Phase 9'!$E$45</definedName>
    <definedName name="E9DirectLaborF45">'Phase 9'!$F$45</definedName>
    <definedName name="E9DirectLaborG45">'Phase 9'!$G$45</definedName>
    <definedName name="E9DirectLaborH45">'Phase 9'!$H$45</definedName>
    <definedName name="E9DirectLaborI45">'Phase 9'!$I$45</definedName>
    <definedName name="E9DirectLaborJ45">'Phase 9'!$J$45</definedName>
    <definedName name="E9DirectLaborK45">'Phase 9'!$K$45</definedName>
    <definedName name="E9DirectLaborL45">'Phase 9'!$L$45</definedName>
    <definedName name="E9DirectLaborM45">'Phase 9'!$M$45</definedName>
    <definedName name="E9DirectLaborN45">'Phase 9'!$N$45</definedName>
    <definedName name="E9DirectLaborO45">'Phase 9'!$O$45</definedName>
    <definedName name="E9DirectLaborP45">'Phase 9'!$P$45</definedName>
    <definedName name="E9DirectLaborQ45">'Phase 9'!$Q$45</definedName>
    <definedName name="E9DirectLaborR45">'Phase 9'!$R$45</definedName>
    <definedName name="E9DirectLaborS45">'Phase 9'!$S$45</definedName>
    <definedName name="E9DirectLaborT45">'Phase 9'!$T$45</definedName>
    <definedName name="E9DirectLaborTotal" localSheetId="1">'[1]Phase 9'!$AG$35</definedName>
    <definedName name="E9DirectLaborTotal">'Phase 9'!$AG$35</definedName>
    <definedName name="E9DirectLaborU45">'Phase 9'!$U$45</definedName>
    <definedName name="E9DirectLaborV45">'Phase 9'!$V$45</definedName>
    <definedName name="E9DirectLaborW45">'Phase 9'!$W$45</definedName>
    <definedName name="E9DirectLaborX45">'Phase 9'!$X$45</definedName>
    <definedName name="E9DirectLaborY45">'Phase 9'!$Y$45</definedName>
    <definedName name="E9DirectLaborZ45">'Phase 9'!$Z$45</definedName>
    <definedName name="E9Dropdown">'RATE Schedules'!$AM$9</definedName>
    <definedName name="E9EquipmentTotal" localSheetId="1">'[1]Budget Detail'!$W$73</definedName>
    <definedName name="E9EquipmentTotal">'Budget Detail'!$W$73</definedName>
    <definedName name="E9ETransfer" localSheetId="1">'[1]Standard Equipment &amp; Supplies'!$G$184</definedName>
    <definedName name="E9ETransfer">'Standard Equipment &amp; Supplies'!$G$184</definedName>
    <definedName name="E9ExpenseTotal" localSheetId="1">'[1]Budget Detail'!$W$80</definedName>
    <definedName name="E9ExpenseTotal">'Budget Detail'!$W$80</definedName>
    <definedName name="E9GEN" localSheetId="1">'[1]Subcontractors List'!$N$74</definedName>
    <definedName name="E9GEN">'Subcontractors List'!$N$74</definedName>
    <definedName name="E9IncludeExpenses">'Budget Summary'!$X$17</definedName>
    <definedName name="E9IncludeLab">'Budget Summary'!$X$21</definedName>
    <definedName name="E9IncludeLabor">'Budget Summary'!$X$15</definedName>
    <definedName name="E9IncludeProcure">'Budget Summary'!$X$20</definedName>
    <definedName name="E9IncludeSubs">'Budget Summary'!$X$22</definedName>
    <definedName name="E9InsuranceFee">'Budget Detail'!$W$82</definedName>
    <definedName name="E9LaborTotal" localSheetId="1">'[1]Budget Detail'!$W$38</definedName>
    <definedName name="E9LaborTotal">'Budget Detail'!$W$38</definedName>
    <definedName name="E9LabTotal" localSheetId="1">'[1]Budget Detail'!$W$60</definedName>
    <definedName name="E9LabTotal">'Budget Detail'!$W$60</definedName>
    <definedName name="E9LTransfer" localSheetId="1">'[1]Travel Charges'!$S$56</definedName>
    <definedName name="E9LTransfer">'Travel Charges'!$S$56</definedName>
    <definedName name="E9M" localSheetId="1">'[1]Subcontractors List'!$N$78</definedName>
    <definedName name="E9M">'Subcontractors List'!$N$78</definedName>
    <definedName name="E9MTransfer" localSheetId="1">'[1]Travel Charges'!$S$55</definedName>
    <definedName name="E9MTransfer">'Travel Charges'!$S$55</definedName>
    <definedName name="E9O" localSheetId="1">'[1]Other Supplies &amp; Rental List'!$N$34</definedName>
    <definedName name="E9O">'Other Supplies &amp; Rental List'!$N$34</definedName>
    <definedName name="E9OTHER" localSheetId="1">'[1]Subcontractors List'!$N$77</definedName>
    <definedName name="E9OTHER">'Subcontractors List'!$N$77</definedName>
    <definedName name="E9OverheadAA46">'Phase 9'!$AA$46</definedName>
    <definedName name="E9OverheadAB46">'Phase 9'!$AB$46</definedName>
    <definedName name="E9OverheadAC46">'Phase 9'!$AC$46</definedName>
    <definedName name="E9OverheadAD46">'Phase 9'!$AD$46</definedName>
    <definedName name="E9OverheadAE46">'Phase 9'!$AE$46</definedName>
    <definedName name="E9OverheadD46">'Phase 9'!$D$46</definedName>
    <definedName name="E9OverheadE46">'Phase 9'!$E$46</definedName>
    <definedName name="E9OverheadF46">'Phase 9'!$F$46</definedName>
    <definedName name="E9OverheadG46">'Phase 9'!$G$46</definedName>
    <definedName name="E9OverheadH46">'Phase 9'!$H$46</definedName>
    <definedName name="E9OverheadI46">'Phase 9'!$I$46</definedName>
    <definedName name="E9OverheadJ46">'Phase 9'!$J$46</definedName>
    <definedName name="E9OverheadK46">'Phase 9'!$K$46</definedName>
    <definedName name="E9OverheadL46">'Phase 9'!$L$46</definedName>
    <definedName name="E9OverheadM46">'Phase 9'!$M$46</definedName>
    <definedName name="E9OverheadN46">'Phase 9'!$N$46</definedName>
    <definedName name="E9OverheadO46">'Phase 9'!$O$46</definedName>
    <definedName name="E9OverheadP46">'Phase 9'!$P$46</definedName>
    <definedName name="E9OverheadQ46">'Phase 9'!$Q$46</definedName>
    <definedName name="E9OverheadR46">'Phase 9'!$R$46</definedName>
    <definedName name="E9OverheadS46">'Phase 9'!$S$46</definedName>
    <definedName name="E9OverheadT46">'Phase 9'!$T$46</definedName>
    <definedName name="E9OverheadTotal" localSheetId="1">'[1]Phase 9'!$AG$37</definedName>
    <definedName name="E9OverheadTotal">'Phase 9'!$AG$37</definedName>
    <definedName name="E9OverheadU46">'Phase 9'!$U$46</definedName>
    <definedName name="E9OverheadV46">'Phase 9'!$V$46</definedName>
    <definedName name="E9OverheadW46">'Phase 9'!$W$46</definedName>
    <definedName name="E9OverheadX46">'Phase 9'!$X$46</definedName>
    <definedName name="E9OverheadY46">'Phase 9'!$Y$46</definedName>
    <definedName name="E9OverheadZ46">'Phase 9'!$Z$46</definedName>
    <definedName name="E9OVTransfer" localSheetId="1">'[1]Travel Charges'!$S$54</definedName>
    <definedName name="E9OVTransfer">'Travel Charges'!$S$54</definedName>
    <definedName name="E9R" localSheetId="1">'[1]Other Supplies &amp; Rental List'!$N$32</definedName>
    <definedName name="E9R">'Other Supplies &amp; Rental List'!$N$32</definedName>
    <definedName name="E9RateA1Total">'Budget Detail'!$BK$12</definedName>
    <definedName name="E9RateA2Total">'Budget Detail'!$BK$11</definedName>
    <definedName name="E9RateA3Total">'Budget Detail'!$BK$10</definedName>
    <definedName name="E9RateA4Total">'Budget Detail'!$BK$9</definedName>
    <definedName name="E9RateB1Total">'Budget Detail'!$BK$16</definedName>
    <definedName name="E9RateB2Total">'Budget Detail'!$BK$15</definedName>
    <definedName name="E9RateB3Total">'Budget Detail'!$BK$14</definedName>
    <definedName name="E9RateB4Total">'Budget Detail'!$BK$13</definedName>
    <definedName name="E9RateC1Total">'Budget Detail'!$BK$20</definedName>
    <definedName name="E9RateC2Total">'Budget Detail'!$BK$19</definedName>
    <definedName name="E9RateC3Total">'Budget Detail'!$BK$18</definedName>
    <definedName name="E9RateC4Total">'Budget Detail'!$BK$17</definedName>
    <definedName name="E9RateD1Total">'Budget Detail'!$BK$24</definedName>
    <definedName name="E9RateD2Total">'Budget Detail'!$BK$23</definedName>
    <definedName name="E9RateD3Total">'Budget Detail'!$BK$22</definedName>
    <definedName name="E9RateD4Total">'Budget Detail'!$BK$21</definedName>
    <definedName name="E9RateE1Total">'Budget Detail'!$BK$28</definedName>
    <definedName name="E9RateE2Total">'Budget Detail'!$BK$27</definedName>
    <definedName name="E9RateE3Total">'Budget Detail'!$BK$26</definedName>
    <definedName name="E9RateE4Total">'Budget Detail'!$BK$25</definedName>
    <definedName name="E9RateF1Total">'Budget Detail'!$BK$32</definedName>
    <definedName name="E9RateF2Total">'Budget Detail'!$BK$31</definedName>
    <definedName name="E9RateF3Total">'Budget Detail'!$BK$30</definedName>
    <definedName name="E9RateF4Total">'Budget Detail'!$BK$29</definedName>
    <definedName name="E9RateG1Total">'Budget Detail'!$BK$36</definedName>
    <definedName name="E9RateG2Total">'Budget Detail'!$BK$35</definedName>
    <definedName name="E9RateG3Total">'Budget Detail'!$BK$34</definedName>
    <definedName name="E9RateG4Total">'Budget Detail'!$BK$33</definedName>
    <definedName name="E9REM" localSheetId="1">'[1]Subcontractors List'!$N$73</definedName>
    <definedName name="E9REM">'Subcontractors List'!$N$73</definedName>
    <definedName name="E9RVTransfer" localSheetId="1">'[1]Travel Charges'!$S$53</definedName>
    <definedName name="E9RVTransfer">'Travel Charges'!$S$53</definedName>
    <definedName name="E9S" localSheetId="1">'[1]Other Supplies &amp; Rental List'!$N$33</definedName>
    <definedName name="E9S">'Other Supplies &amp; Rental List'!$N$33</definedName>
    <definedName name="E9SI" localSheetId="1">'[1]Subcontractors List'!$N$76</definedName>
    <definedName name="E9SI">'Subcontractors List'!$N$76</definedName>
    <definedName name="E9STransfer" localSheetId="1">'[1]Standard Equipment &amp; Supplies'!$G$185</definedName>
    <definedName name="E9STransfer">'Standard Equipment &amp; Supplies'!$G$185</definedName>
    <definedName name="E9SubsTotal" localSheetId="1">'[1]Budget Detail'!$W$70</definedName>
    <definedName name="E9SubsTotal">'Budget Detail'!$W$70</definedName>
    <definedName name="E9TDropdowns">'RATE Schedules'!$AP$9</definedName>
    <definedName name="E9TravelTotal" localSheetId="1">'[1]Budget Detail'!$W$50</definedName>
    <definedName name="E9TravelTotal">'Budget Detail'!$W$50</definedName>
    <definedName name="E9Units" localSheetId="39">#REF!,#REF!,#REF!,#REF!,#REF!,#REF!,#REF!,#REF!,#REF!,#REF!,#REF!,#REF!,#REF!,#REF!,#REF!,#REF!,#REF!,#REF!,#REF!</definedName>
    <definedName name="E9Units">#REF!,#REF!,#REF!,#REF!,#REF!,#REF!,#REF!,#REF!,#REF!,#REF!,#REF!,#REF!,#REF!,#REF!,#REF!,#REF!,#REF!,#REF!,#REF!</definedName>
    <definedName name="E9UnitsMirror">'RATE Schedules'!$AN$9</definedName>
    <definedName name="E9WH" localSheetId="1">'[1]Subcontractors List'!$N$75</definedName>
    <definedName name="E9WH">'Subcontractors List'!$N$75</definedName>
    <definedName name="Element1" localSheetId="1">[1]INPUT!$C$20</definedName>
    <definedName name="Element1">INPUT!$C$18</definedName>
    <definedName name="Element10" localSheetId="1">[1]INPUT!$C$29</definedName>
    <definedName name="Element10">INPUT!$C$27</definedName>
    <definedName name="Element10Expenses" localSheetId="5">'Budget Summary'!$J$31</definedName>
    <definedName name="Element10LabCosts" localSheetId="5">'Budget Summary'!$J$35</definedName>
    <definedName name="Element10LabCosts">'Budget Summary'!$J$35</definedName>
    <definedName name="Element10Labor" localSheetId="5">'Budget Summary'!$J$29</definedName>
    <definedName name="Element10Procurement" localSheetId="5">'Budget Summary'!$J$34</definedName>
    <definedName name="Element10SubCosts" localSheetId="5">'Budget Summary'!$J$36</definedName>
    <definedName name="Element11" localSheetId="1">[1]INPUT!$C$30</definedName>
    <definedName name="Element11">INPUT!$C$28</definedName>
    <definedName name="Element11Expenses" localSheetId="1">'[1]Budget Summary'!$K$31</definedName>
    <definedName name="Element11Expenses">'Budget Summary'!$K$31</definedName>
    <definedName name="Element11LabCosts" localSheetId="1">'[1]Budget Summary'!$K$35</definedName>
    <definedName name="Element11LabCosts">'Budget Summary'!$K$35</definedName>
    <definedName name="Element11Labor" localSheetId="1">'[1]Budget Summary'!$K$29</definedName>
    <definedName name="Element11Labor">'Budget Summary'!$K$29</definedName>
    <definedName name="Element11Procurement" localSheetId="1">'[1]Budget Summary'!$K$34</definedName>
    <definedName name="Element11Procurement">'Budget Summary'!$K$34</definedName>
    <definedName name="Element11SubCosts" localSheetId="1">'[1]Budget Summary'!$K$36</definedName>
    <definedName name="Element11SubCosts">'Budget Summary'!$K$36</definedName>
    <definedName name="Element12" localSheetId="1">[1]INPUT!$C$31</definedName>
    <definedName name="Element12">INPUT!$C$29</definedName>
    <definedName name="Element12Expenses" localSheetId="1">'[1]Budget Summary'!$L$31</definedName>
    <definedName name="Element12Expenses">'Budget Summary'!$L$31</definedName>
    <definedName name="Element12LabCosts" localSheetId="1">'[1]Budget Summary'!$L$35</definedName>
    <definedName name="Element12LabCosts">'Budget Summary'!$L$35</definedName>
    <definedName name="Element12Labor" localSheetId="1">'[1]Budget Summary'!$L$29</definedName>
    <definedName name="Element12Labor">'Budget Summary'!$L$29</definedName>
    <definedName name="Element12Procurement" localSheetId="1">'[1]Budget Summary'!$L$34</definedName>
    <definedName name="Element12Procurement">'Budget Summary'!$L$34</definedName>
    <definedName name="Element12SubCosts" localSheetId="1">'[1]Budget Summary'!$L$36</definedName>
    <definedName name="Element12SubCosts">'Budget Summary'!$L$36</definedName>
    <definedName name="Element13" localSheetId="1">[1]INPUT!$C$32</definedName>
    <definedName name="Element13">INPUT!$C$30</definedName>
    <definedName name="Element13Expenses" localSheetId="1">'[1]Budget Summary'!$E$46</definedName>
    <definedName name="Element13Expenses">'Budget Summary'!$E$46</definedName>
    <definedName name="Element13LabCosts" localSheetId="1">'[1]Budget Summary'!$E$50</definedName>
    <definedName name="Element13LabCosts">'Budget Summary'!$E$50</definedName>
    <definedName name="Element13Labor" localSheetId="1">'[1]Budget Summary'!$E$44</definedName>
    <definedName name="Element13Labor">'Budget Summary'!$E$44</definedName>
    <definedName name="Element13Procurement" localSheetId="1">'[1]Budget Summary'!$E$49</definedName>
    <definedName name="Element13Procurement">'Budget Summary'!$E$49</definedName>
    <definedName name="Element13SubCosts" localSheetId="1">'[1]Budget Summary'!$E$51</definedName>
    <definedName name="Element13SubCosts">'Budget Summary'!$E$51</definedName>
    <definedName name="Element14" localSheetId="1">[1]INPUT!$C$33</definedName>
    <definedName name="Element14">INPUT!$C$31</definedName>
    <definedName name="Element14Expenses" localSheetId="1">'[1]Budget Summary'!$F$46</definedName>
    <definedName name="Element14Expenses">'Budget Summary'!$F$46</definedName>
    <definedName name="Element14LabCosts" localSheetId="1">'[1]Budget Summary'!$F$50</definedName>
    <definedName name="Element14LabCosts">'Budget Summary'!$F$50</definedName>
    <definedName name="Element14Labor" localSheetId="1">'[1]Budget Summary'!$F$44</definedName>
    <definedName name="Element14Labor">'Budget Summary'!$F$44</definedName>
    <definedName name="Element14Procurement" localSheetId="1">'[1]Budget Summary'!$F$49</definedName>
    <definedName name="Element14Procurement">'Budget Summary'!$F$49</definedName>
    <definedName name="Element14SubCosts" localSheetId="1">'[1]Budget Summary'!$F$51</definedName>
    <definedName name="Element14SubCosts">'Budget Summary'!$F$51</definedName>
    <definedName name="Element15" localSheetId="1">[1]INPUT!$C$34</definedName>
    <definedName name="Element15">INPUT!$C$32</definedName>
    <definedName name="Element15Expenses" localSheetId="1">'[1]Budget Summary'!$H$46</definedName>
    <definedName name="Element15Expenses">'Budget Summary'!$H$46</definedName>
    <definedName name="Element15LabCosts" localSheetId="1">'[1]Budget Summary'!$H$50</definedName>
    <definedName name="Element15LabCosts">'Budget Summary'!$H$50</definedName>
    <definedName name="Element15Labor" localSheetId="1">'[1]Budget Summary'!$H$44</definedName>
    <definedName name="Element15Labor">'Budget Summary'!$H$44</definedName>
    <definedName name="Element15Procurement" localSheetId="1">'[1]Budget Summary'!$H$49</definedName>
    <definedName name="Element15Procurement">'Budget Summary'!$H$49</definedName>
    <definedName name="Element15SubCosts" localSheetId="1">'[1]Budget Summary'!$H$51</definedName>
    <definedName name="Element15SubCosts">'Budget Summary'!$H$51</definedName>
    <definedName name="Element16" localSheetId="1">[1]INPUT!$C$35</definedName>
    <definedName name="Element16">INPUT!$C$33</definedName>
    <definedName name="Element16Expenses" localSheetId="1">'[1]Budget Summary'!$J$46</definedName>
    <definedName name="Element16Expenses">'Budget Summary'!$J$46</definedName>
    <definedName name="Element16LabCosts" localSheetId="1">'[1]Budget Summary'!$J$50</definedName>
    <definedName name="Element16LabCosts">'Budget Summary'!$J$50</definedName>
    <definedName name="Element16Labor" localSheetId="1">'[1]Budget Summary'!$J$44</definedName>
    <definedName name="Element16Labor">'Budget Summary'!$J$44</definedName>
    <definedName name="Element16Procurement" localSheetId="1">'[1]Budget Summary'!$J$49</definedName>
    <definedName name="Element16Procurement">'Budget Summary'!$J$49</definedName>
    <definedName name="Element16SubCosts" localSheetId="1">'[1]Budget Summary'!$J$51</definedName>
    <definedName name="Element16SubCosts">'Budget Summary'!$J$51</definedName>
    <definedName name="Element17" localSheetId="1">[1]INPUT!$C$36</definedName>
    <definedName name="Element17">INPUT!$C$34</definedName>
    <definedName name="Element17Expenses" localSheetId="1">'[1]Budget Summary'!$K$46</definedName>
    <definedName name="Element17Expenses">'Budget Summary'!$K$46</definedName>
    <definedName name="Element17LabCosts" localSheetId="1">'[1]Budget Summary'!$K$50</definedName>
    <definedName name="Element17LabCosts">'Budget Summary'!$K$50</definedName>
    <definedName name="Element17Labor" localSheetId="1">'[1]Budget Summary'!$K$44</definedName>
    <definedName name="Element17Labor">'Budget Summary'!$K$44</definedName>
    <definedName name="Element17Procurement" localSheetId="1">'[1]Budget Summary'!$K$49</definedName>
    <definedName name="Element17Procurement">'Budget Summary'!$K$49</definedName>
    <definedName name="Element17SubCosts" localSheetId="1">'[1]Budget Summary'!$K$51</definedName>
    <definedName name="Element17SubCosts">'Budget Summary'!$K$51</definedName>
    <definedName name="Element18" localSheetId="1">[1]INPUT!$C$37</definedName>
    <definedName name="Element18">INPUT!$C$35</definedName>
    <definedName name="Element18Expenses" localSheetId="1">'[1]Budget Summary'!$L$46</definedName>
    <definedName name="Element18Expenses">'Budget Summary'!$L$46</definedName>
    <definedName name="Element18LabCosts" localSheetId="1">'[1]Budget Summary'!$L$50</definedName>
    <definedName name="Element18LabCosts">'Budget Summary'!$L$50</definedName>
    <definedName name="Element18Labor" localSheetId="1">'[1]Budget Summary'!$L$44</definedName>
    <definedName name="Element18Labor">'Budget Summary'!$L$44</definedName>
    <definedName name="Element18Procurement" localSheetId="1">'[1]Budget Summary'!$L$49</definedName>
    <definedName name="Element18Procurement">'Budget Summary'!$L$49</definedName>
    <definedName name="Element18SubCosts" localSheetId="1">'[1]Budget Summary'!$L$51</definedName>
    <definedName name="Element18SubCosts">'Budget Summary'!$L$51</definedName>
    <definedName name="Element19" localSheetId="1">[1]INPUT!$C$38</definedName>
    <definedName name="Element19">INPUT!$C$36</definedName>
    <definedName name="Element19Expenses" localSheetId="1">'[1]Budget Summary'!$E$62</definedName>
    <definedName name="Element19Expenses">'Budget Summary'!$E$62</definedName>
    <definedName name="Element19LabCosts" localSheetId="1">'[1]Budget Summary'!$E$66</definedName>
    <definedName name="Element19LabCosts">'Budget Summary'!$E$66</definedName>
    <definedName name="Element19Labor" localSheetId="1">'[1]Budget Summary'!$E$60</definedName>
    <definedName name="Element19Labor">'Budget Summary'!$E$60</definedName>
    <definedName name="Element19Procurement" localSheetId="1">'[1]Budget Summary'!$E$65</definedName>
    <definedName name="Element19Procurement">'Budget Summary'!$E$65</definedName>
    <definedName name="Element19SubCosts" localSheetId="1">'[1]Budget Summary'!$E$67</definedName>
    <definedName name="Element19SubCosts">'Budget Summary'!$E$67</definedName>
    <definedName name="Element1Expenses" localSheetId="5">'Budget Summary'!$E$17</definedName>
    <definedName name="Element1LabCosts" localSheetId="5">'Budget Summary'!$E$21</definedName>
    <definedName name="Element1Labor" localSheetId="5">'Budget Summary'!$E$15</definedName>
    <definedName name="Element1Procurement" localSheetId="5">'Budget Summary'!$E$20</definedName>
    <definedName name="Element1SubCosts" localSheetId="5">'Budget Summary'!$E$22</definedName>
    <definedName name="Element1Units" localSheetId="5">#REF!,#REF!,#REF!,#REF!,#REF!,#REF!,#REF!,#REF!,#REF!</definedName>
    <definedName name="Element1Units" localSheetId="1">#REF!,#REF!,#REF!,#REF!,#REF!,#REF!,#REF!,#REF!,#REF!</definedName>
    <definedName name="Element1Units" localSheetId="39">#REF!,#REF!,#REF!,#REF!,#REF!,#REF!,#REF!,#REF!,#REF!</definedName>
    <definedName name="Element1Units">#REF!,#REF!,#REF!,#REF!,#REF!,#REF!,#REF!,#REF!,#REF!</definedName>
    <definedName name="Element2" localSheetId="1">[1]INPUT!$C$21</definedName>
    <definedName name="Element2">INPUT!$C$19</definedName>
    <definedName name="Element20" localSheetId="1">[1]INPUT!$C$39</definedName>
    <definedName name="Element20">INPUT!$C$37</definedName>
    <definedName name="Element20Expenses" localSheetId="1">'[1]Budget Summary'!$F$62</definedName>
    <definedName name="Element20Expenses">'Budget Summary'!$F$62</definedName>
    <definedName name="Element20LabCosts" localSheetId="1">'[1]Budget Summary'!$F$66</definedName>
    <definedName name="Element20LabCosts">'Budget Summary'!$F$66</definedName>
    <definedName name="Element20Labor" localSheetId="1">'[1]Budget Summary'!$F$60</definedName>
    <definedName name="Element20Labor">'Budget Summary'!$F$60</definedName>
    <definedName name="Element20Procurement" localSheetId="1">'[1]Budget Summary'!$F$65</definedName>
    <definedName name="Element20Procurement">'Budget Summary'!$F$65</definedName>
    <definedName name="Element20SubCosts" localSheetId="1">'[1]Budget Summary'!$F$67</definedName>
    <definedName name="Element20SubCosts">'Budget Summary'!$F$67</definedName>
    <definedName name="Element2Expenses" localSheetId="5">'Budget Summary'!$F$17</definedName>
    <definedName name="Element2LabCosts" localSheetId="5">'Budget Summary'!$F$21</definedName>
    <definedName name="Element2Labor" localSheetId="5">'Budget Summary'!$F$15</definedName>
    <definedName name="Element2Procurement" localSheetId="5">'Budget Summary'!$F$20</definedName>
    <definedName name="Element2SubCosts" localSheetId="5">'Budget Summary'!$F$22</definedName>
    <definedName name="Element2Units" localSheetId="5">#REF!,#REF!,#REF!,#REF!,#REF!,#REF!,#REF!,#REF!,#REF!</definedName>
    <definedName name="Element2Units" localSheetId="1">#REF!,#REF!,#REF!,#REF!,#REF!,#REF!,#REF!,#REF!,#REF!</definedName>
    <definedName name="Element2Units" localSheetId="39">#REF!,#REF!,#REF!,#REF!,#REF!,#REF!,#REF!,#REF!,#REF!</definedName>
    <definedName name="Element2Units">#REF!,#REF!,#REF!,#REF!,#REF!,#REF!,#REF!,#REF!,#REF!</definedName>
    <definedName name="Element3" localSheetId="1">[1]INPUT!$C$22</definedName>
    <definedName name="Element3">INPUT!$C$20</definedName>
    <definedName name="Element3Expenses" localSheetId="5">'Budget Summary'!$H$17</definedName>
    <definedName name="Element3LabCosts" localSheetId="5">'Budget Summary'!$H$21</definedName>
    <definedName name="Element3Labor" localSheetId="5">'Budget Summary'!$H$15</definedName>
    <definedName name="Element3Procurement" localSheetId="5">'Budget Summary'!$H$20</definedName>
    <definedName name="Element3SubCosts" localSheetId="5">'Budget Summary'!$H$22</definedName>
    <definedName name="Element3Units" localSheetId="5">#REF!,#REF!,#REF!,#REF!,#REF!,#REF!,#REF!,#REF!</definedName>
    <definedName name="Element3Units" localSheetId="1">#REF!,#REF!,#REF!,#REF!,#REF!,#REF!,#REF!,#REF!</definedName>
    <definedName name="Element3Units" localSheetId="39">#REF!,#REF!,#REF!,#REF!,#REF!,#REF!,#REF!,#REF!</definedName>
    <definedName name="Element3Units">#REF!,#REF!,#REF!,#REF!,#REF!,#REF!,#REF!,#REF!</definedName>
    <definedName name="Element4" localSheetId="1">[1]INPUT!$C$23</definedName>
    <definedName name="Element4">INPUT!$C$21</definedName>
    <definedName name="Element4Expenses" localSheetId="5">'Budget Summary'!$J$17</definedName>
    <definedName name="Element4LabCosts" localSheetId="5">'Budget Summary'!$J$21</definedName>
    <definedName name="Element4Labor" localSheetId="5">'Budget Summary'!$J$15</definedName>
    <definedName name="Element4Procurement" localSheetId="5">'Budget Summary'!$J$20</definedName>
    <definedName name="Element4SubCosts" localSheetId="5">'Budget Summary'!$J$22</definedName>
    <definedName name="Element4Units" localSheetId="5">#REF!,#REF!,#REF!,#REF!,#REF!,#REF!,#REF!,#REF!</definedName>
    <definedName name="Element5" localSheetId="1">[1]INPUT!$C$24</definedName>
    <definedName name="Element5">INPUT!$C$22</definedName>
    <definedName name="Element5Expenses" localSheetId="5">'Budget Summary'!$K$17</definedName>
    <definedName name="Element5LabCosts" localSheetId="5">'Budget Summary'!$K$21</definedName>
    <definedName name="Element5Labor" localSheetId="5">'Budget Summary'!$K$15</definedName>
    <definedName name="Element5Procurement" localSheetId="5">'Budget Summary'!$K$20</definedName>
    <definedName name="Element5SubCosts" localSheetId="5">'Budget Summary'!$K$22</definedName>
    <definedName name="Element6" localSheetId="1">[1]INPUT!$C$25</definedName>
    <definedName name="Element6">INPUT!$C$23</definedName>
    <definedName name="Element6Expenses" localSheetId="5">'Budget Summary'!$L$17</definedName>
    <definedName name="Element6LabCosts" localSheetId="5">'Budget Summary'!$L$21</definedName>
    <definedName name="Element6Labor" localSheetId="5">'Budget Summary'!$L$15</definedName>
    <definedName name="Element6Procurement" localSheetId="5">'Budget Summary'!$L$20</definedName>
    <definedName name="Element6SubCosts" localSheetId="5">'Budget Summary'!$L$22</definedName>
    <definedName name="Element7" localSheetId="1">[1]INPUT!$C$26</definedName>
    <definedName name="Element7">INPUT!$C$24</definedName>
    <definedName name="Element7Expenses" localSheetId="5">'Budget Summary'!$E$31</definedName>
    <definedName name="Element7LabCosts" localSheetId="5">'Budget Summary'!$E$35</definedName>
    <definedName name="Element7Labor" localSheetId="5">'Budget Summary'!$E$29</definedName>
    <definedName name="Element7Procurement" localSheetId="5">'Budget Summary'!$E$34</definedName>
    <definedName name="Element7SubCosts" localSheetId="5">'Budget Summary'!$E$36</definedName>
    <definedName name="Element8" localSheetId="1">[1]INPUT!$C$27</definedName>
    <definedName name="Element8">INPUT!$C$25</definedName>
    <definedName name="Element8Expenses" localSheetId="5">'Budget Summary'!$F$31</definedName>
    <definedName name="Element8LabCosts" localSheetId="5">'Budget Summary'!$F$35</definedName>
    <definedName name="Element8Labor" localSheetId="5">'Budget Summary'!$F$29</definedName>
    <definedName name="Element8Procurement" localSheetId="5">'Budget Summary'!$F$34</definedName>
    <definedName name="Element8SubCosts" localSheetId="5">'Budget Summary'!$F$36</definedName>
    <definedName name="Element9" localSheetId="1">[1]INPUT!$C$28</definedName>
    <definedName name="Element9">INPUT!$C$26</definedName>
    <definedName name="Element9Expenses" localSheetId="5">'Budget Summary'!$H$31</definedName>
    <definedName name="Element9LabCosts" localSheetId="5">'Budget Summary'!$H$35</definedName>
    <definedName name="Element9Labor" localSheetId="5">'Budget Summary'!$H$29</definedName>
    <definedName name="Element9Procurement" localSheetId="5">'Budget Summary'!$H$34</definedName>
    <definedName name="Element9SubCosts" localSheetId="5">'Budget Summary'!$H$36</definedName>
    <definedName name="ElementNames">'RATE Schedules'!$AR$2:$AR$8</definedName>
    <definedName name="EquipmentTable" localSheetId="1">Phase_Lookup!$A$92:$E$121</definedName>
    <definedName name="EquipmentTable" localSheetId="39">'VEHICLE RATE SCHEDULE'!#REF!</definedName>
    <definedName name="EquipmentTable">#REF!</definedName>
    <definedName name="Expmarkup">INPUT!$D$47</definedName>
    <definedName name="ExpMarkupRate" localSheetId="1">'[1]RATE Schedules'!$B$5</definedName>
    <definedName name="ExpMarkupRate">'RATE Schedules'!$B$5</definedName>
    <definedName name="FeeTable" localSheetId="1">'[1]RATE Schedules'!$A$26:$AK$57</definedName>
    <definedName name="FeeTable">'RATE Schedules'!$A$26:$AK$57</definedName>
    <definedName name="FleetVehiclelist" localSheetId="1">'[1]VEHICLE RATE SCHEDULE'!$A$5:$A$7</definedName>
    <definedName name="FleetVehiclelist">'VEHICLE RATE SCHEDULE'!$A$5:$A$7</definedName>
    <definedName name="FleetVehicleRate" localSheetId="5">'Travel Charges'!#REF!</definedName>
    <definedName name="FleetVehicleRate" localSheetId="1">'[1]Travel Charges'!#REF!</definedName>
    <definedName name="FleetVehicleRate" localSheetId="39">'Travel Charges'!#REF!</definedName>
    <definedName name="FleetVehicleRate">'Travel Charges'!#REF!</definedName>
    <definedName name="GetCostColumn" localSheetId="16">INDIRECT(GetCostColumnAddress())</definedName>
    <definedName name="GetCostColumn" localSheetId="25">INDIRECT(GetCostColumnAddress())</definedName>
    <definedName name="GetCostColumn" localSheetId="26">INDIRECT(GetCostColumnAddress())</definedName>
    <definedName name="GetCostColumn" localSheetId="27">INDIRECT(GetCostColumnAddress())</definedName>
    <definedName name="GetCostColumn" localSheetId="28">INDIRECT(GetCostColumnAddress())</definedName>
    <definedName name="GetCostColumn" localSheetId="29">INDIRECT(GetCostColumnAddress())</definedName>
    <definedName name="GetCostColumn" localSheetId="30">INDIRECT(GetCostColumnAddress())</definedName>
    <definedName name="GetCostColumn" localSheetId="31">INDIRECT(GetCostColumnAddress())</definedName>
    <definedName name="GetCostColumn" localSheetId="32">INDIRECT(GetCostColumnAddress())</definedName>
    <definedName name="GetCostColumn" localSheetId="33">INDIRECT(GetCostColumnAddress())</definedName>
    <definedName name="GetCostColumn" localSheetId="34">INDIRECT(GetCostColumnAddress())</definedName>
    <definedName name="GetCostColumn" localSheetId="17">INDIRECT(GetCostColumnAddress())</definedName>
    <definedName name="GetCostColumn" localSheetId="35">INDIRECT(GetCostColumnAddress())</definedName>
    <definedName name="GetCostColumn" localSheetId="18">INDIRECT(GetCostColumnAddress())</definedName>
    <definedName name="GetCostColumn" localSheetId="19">INDIRECT(GetCostColumnAddress())</definedName>
    <definedName name="GetCostColumn" localSheetId="20">INDIRECT(GetCostColumnAddress())</definedName>
    <definedName name="GetCostColumn" localSheetId="21">INDIRECT(GetCostColumnAddress())</definedName>
    <definedName name="GetCostColumn" localSheetId="22">INDIRECT(GetCostColumnAddress())</definedName>
    <definedName name="GetCostColumn" localSheetId="23">INDIRECT(GetCostColumnAddress())</definedName>
    <definedName name="GetCostColumn" localSheetId="24">INDIRECT(GetCostColumnAddress())</definedName>
    <definedName name="GetCostColumn" localSheetId="1">INDIRECT(GetCostColumnAddress())</definedName>
    <definedName name="GetCostColumn">INDIRECT(GetCostColumnAddress())</definedName>
    <definedName name="IC_1" localSheetId="1">'[1]Lab Analysis List'!$M$108</definedName>
    <definedName name="IC_1">'Lab Analysis List'!$M$108</definedName>
    <definedName name="IC_10" localSheetId="1">'[1]Lab Analysis List'!$M$117</definedName>
    <definedName name="IC_10">'Lab Analysis List'!$M$117</definedName>
    <definedName name="IC_11" localSheetId="1">'[1]Lab Analysis List'!$M$118</definedName>
    <definedName name="IC_11">'Lab Analysis List'!$M$118</definedName>
    <definedName name="IC_12" localSheetId="1">'[1]Lab Analysis List'!$M$119</definedName>
    <definedName name="IC_12">'Lab Analysis List'!$M$119</definedName>
    <definedName name="IC_13" localSheetId="1">'[1]Lab Analysis List'!$M$120</definedName>
    <definedName name="IC_13">'Lab Analysis List'!$M$120</definedName>
    <definedName name="IC_14" localSheetId="1">'[1]Lab Analysis List'!$M$121</definedName>
    <definedName name="IC_14">'Lab Analysis List'!$M$121</definedName>
    <definedName name="IC_15" localSheetId="1">'[1]Lab Analysis List'!$M$122</definedName>
    <definedName name="IC_15">'Lab Analysis List'!$M$122</definedName>
    <definedName name="IC_16" localSheetId="1">'[1]Lab Analysis List'!$M$123</definedName>
    <definedName name="IC_16">'Lab Analysis List'!$M$123</definedName>
    <definedName name="IC_17" localSheetId="1">'[1]Lab Analysis List'!$M$124</definedName>
    <definedName name="IC_17">'Lab Analysis List'!$M$124</definedName>
    <definedName name="IC_18" localSheetId="1">'[1]Lab Analysis List'!$M$125</definedName>
    <definedName name="IC_18">'Lab Analysis List'!$M$125</definedName>
    <definedName name="IC_19" localSheetId="1">'[1]Lab Analysis List'!$M$126</definedName>
    <definedName name="IC_19">'Lab Analysis List'!$M$126</definedName>
    <definedName name="IC_2" localSheetId="1">'[1]Lab Analysis List'!$M$109</definedName>
    <definedName name="IC_2">'Lab Analysis List'!$M$109</definedName>
    <definedName name="IC_20">'Lab Analysis List'!$M$127</definedName>
    <definedName name="IC_3" localSheetId="1">'[1]Lab Analysis List'!$M$110</definedName>
    <definedName name="IC_3">'Lab Analysis List'!$M$110</definedName>
    <definedName name="IC_4" localSheetId="1">'[1]Lab Analysis List'!$M$111</definedName>
    <definedName name="IC_4">'Lab Analysis List'!$M$111</definedName>
    <definedName name="IC_5" localSheetId="1">'[1]Lab Analysis List'!$M$112</definedName>
    <definedName name="IC_5">'Lab Analysis List'!$M$112</definedName>
    <definedName name="IC_6" localSheetId="1">'[1]Lab Analysis List'!$M$113</definedName>
    <definedName name="IC_6">'Lab Analysis List'!$M$113</definedName>
    <definedName name="IC_7" localSheetId="1">'[1]Lab Analysis List'!$M$114</definedName>
    <definedName name="IC_7">'Lab Analysis List'!$M$114</definedName>
    <definedName name="IC_8" localSheetId="1">'[1]Lab Analysis List'!$M$115</definedName>
    <definedName name="IC_8">'Lab Analysis List'!$M$115</definedName>
    <definedName name="IC_9" localSheetId="1">'[1]Lab Analysis List'!$M$116</definedName>
    <definedName name="IC_9">'Lab Analysis List'!$M$116</definedName>
    <definedName name="Include1" localSheetId="5">'Budget Summary'!$W$1</definedName>
    <definedName name="Include10" localSheetId="5">'Budget Summary'!$W$10</definedName>
    <definedName name="Include11" localSheetId="1">'[1]Budget Summary'!$X$1</definedName>
    <definedName name="Include11">'Budget Summary'!$X$1</definedName>
    <definedName name="Include12" localSheetId="1">'[1]Budget Summary'!$X$2</definedName>
    <definedName name="Include12">'Budget Summary'!$X$2</definedName>
    <definedName name="Include13" localSheetId="1">'[1]Budget Summary'!$X$3</definedName>
    <definedName name="Include13">'Budget Summary'!$X$3</definedName>
    <definedName name="Include14" localSheetId="1">'[1]Budget Summary'!$X$4</definedName>
    <definedName name="Include14">'Budget Summary'!$X$4</definedName>
    <definedName name="Include15" localSheetId="1">'[1]Budget Summary'!$X$5</definedName>
    <definedName name="Include15">'Budget Summary'!$X$5</definedName>
    <definedName name="Include16" localSheetId="1">'[1]Budget Summary'!$X$6</definedName>
    <definedName name="Include16">'Budget Summary'!$X$6</definedName>
    <definedName name="Include17" localSheetId="1">'[1]Budget Summary'!$X$7</definedName>
    <definedName name="Include17">'Budget Summary'!$X$7</definedName>
    <definedName name="Include18" localSheetId="1">'[1]Budget Summary'!$X$8</definedName>
    <definedName name="Include18">'Budget Summary'!$X$8</definedName>
    <definedName name="Include19" localSheetId="1">'[1]Budget Summary'!$X$9</definedName>
    <definedName name="Include19">'Budget Summary'!$X$9</definedName>
    <definedName name="Include2" localSheetId="5">'Budget Summary'!$W$2</definedName>
    <definedName name="Include20" localSheetId="1">'[1]Budget Summary'!$X$10</definedName>
    <definedName name="Include20">'Budget Summary'!$X$10</definedName>
    <definedName name="Include3" localSheetId="5">'Budget Summary'!$W$3</definedName>
    <definedName name="Include4" localSheetId="5">'Budget Summary'!$W$4</definedName>
    <definedName name="Include5" localSheetId="5">'Budget Summary'!$W$5</definedName>
    <definedName name="Include6" localSheetId="5">'Budget Summary'!$W$6</definedName>
    <definedName name="Include7" localSheetId="5">'Budget Summary'!$W$7</definedName>
    <definedName name="Include8" localSheetId="5">'Budget Summary'!$W$8</definedName>
    <definedName name="Include9" localSheetId="5">'Budget Summary'!$W$9</definedName>
    <definedName name="InsuranceMarkup" localSheetId="1">'[1]RATE Schedules'!$B$6</definedName>
    <definedName name="InsuranceMarkup">'RATE Schedules'!$B$6</definedName>
    <definedName name="InsuranceMarkupMirror" localSheetId="1">'[1]Budget Summary'!$N$18</definedName>
    <definedName name="InsuranceMarkupMirror">'Budget Summary'!$N$18</definedName>
    <definedName name="IS_1" localSheetId="1">'[1]Lab Analysis List'!$M$88</definedName>
    <definedName name="IS_1">'Lab Analysis List'!$M$88</definedName>
    <definedName name="IS_10" localSheetId="1">'[1]Lab Analysis List'!$M$97</definedName>
    <definedName name="IS_10">'Lab Analysis List'!$M$97</definedName>
    <definedName name="IS_11" localSheetId="1">'[1]Lab Analysis List'!$M$98</definedName>
    <definedName name="IS_11">'Lab Analysis List'!$M$98</definedName>
    <definedName name="IS_12" localSheetId="1">'[1]Lab Analysis List'!$M$99</definedName>
    <definedName name="IS_12">'Lab Analysis List'!$M$99</definedName>
    <definedName name="IS_13" localSheetId="1">'[1]Lab Analysis List'!$M$100</definedName>
    <definedName name="IS_13">'Lab Analysis List'!$M$100</definedName>
    <definedName name="IS_14" localSheetId="1">'[1]Lab Analysis List'!$M$101</definedName>
    <definedName name="IS_14">'Lab Analysis List'!$M$101</definedName>
    <definedName name="IS_15" localSheetId="1">'[1]Lab Analysis List'!$M$102</definedName>
    <definedName name="IS_15">'Lab Analysis List'!$M$102</definedName>
    <definedName name="IS_16" localSheetId="1">'[1]Lab Analysis List'!$M$103</definedName>
    <definedName name="IS_16">'Lab Analysis List'!$M$103</definedName>
    <definedName name="IS_17" localSheetId="1">'[1]Lab Analysis List'!$M$104</definedName>
    <definedName name="IS_17">'Lab Analysis List'!$M$104</definedName>
    <definedName name="IS_18" localSheetId="1">'[1]Lab Analysis List'!$M$105</definedName>
    <definedName name="IS_18">'Lab Analysis List'!$M$105</definedName>
    <definedName name="IS_19" localSheetId="1">'[1]Lab Analysis List'!$M$106</definedName>
    <definedName name="IS_19">'Lab Analysis List'!$M$106</definedName>
    <definedName name="IS_2" localSheetId="1">'[1]Lab Analysis List'!$M$89</definedName>
    <definedName name="IS_2">'Lab Analysis List'!$M$89</definedName>
    <definedName name="IS_20" localSheetId="1">'[1]Lab Analysis List'!$M$107</definedName>
    <definedName name="IS_20">'Lab Analysis List'!$M$107</definedName>
    <definedName name="IS_3" localSheetId="1">'[1]Lab Analysis List'!$M$90</definedName>
    <definedName name="IS_3">'Lab Analysis List'!$M$90</definedName>
    <definedName name="IS_4" localSheetId="1">'[1]Lab Analysis List'!$M$91</definedName>
    <definedName name="IS_4">'Lab Analysis List'!$M$91</definedName>
    <definedName name="IS_5" localSheetId="1">'[1]Lab Analysis List'!$M$92</definedName>
    <definedName name="IS_5">'Lab Analysis List'!$M$92</definedName>
    <definedName name="IS_6" localSheetId="1">'[1]Lab Analysis List'!$M$93</definedName>
    <definedName name="IS_6">'Lab Analysis List'!$M$93</definedName>
    <definedName name="IS_7" localSheetId="1">'[1]Lab Analysis List'!$M$94</definedName>
    <definedName name="IS_7">'Lab Analysis List'!$M$94</definedName>
    <definedName name="IS_8" localSheetId="1">'[1]Lab Analysis List'!$M$95</definedName>
    <definedName name="IS_8">'Lab Analysis List'!$M$95</definedName>
    <definedName name="IS_9" localSheetId="1">'[1]Lab Analysis List'!$M$96</definedName>
    <definedName name="IS_9">'Lab Analysis List'!$M$96</definedName>
    <definedName name="LaborDiscountRate" localSheetId="1">'[1]RATE Schedules'!$B$7</definedName>
    <definedName name="LaborDiscountRate">'RATE Schedules'!$B$7</definedName>
    <definedName name="LABSTART">'Lab Analysis List'!$B$8</definedName>
    <definedName name="LabTotal">'Lab Analysis List'!$J$148</definedName>
    <definedName name="LabValidation" localSheetId="1">'[1]Lab Analysis List'!$R$9:$R$13</definedName>
    <definedName name="LabValidation">'Lab Analysis List'!$R$9:$R$13</definedName>
    <definedName name="LookupColumn1" localSheetId="1">'[1]RATE Schedules'!$D$1</definedName>
    <definedName name="LookupColumn1">'RATE Schedules'!$D$1</definedName>
    <definedName name="LookupColumn2">'RATE Schedules'!$D$2</definedName>
    <definedName name="LRDiscount" localSheetId="1">[1]INPUT1!$D$35</definedName>
    <definedName name="LRDiscount">INPUT!$D$50</definedName>
    <definedName name="Markup" localSheetId="1">[1]INPUT1!$D$32</definedName>
    <definedName name="Markup">INPUT!$D$46</definedName>
    <definedName name="MarkupRate" localSheetId="1">'[1]RATE Schedules'!$B$4</definedName>
    <definedName name="MarkupRate">'RATE Schedules'!$B$4</definedName>
    <definedName name="MonthlyTable" localSheetId="1">Phase_Lookup!$A$3:$F$84</definedName>
    <definedName name="MonthlyTable" localSheetId="39">'VEHICLE RATE SCHEDULE'!#REF!</definedName>
    <definedName name="MonthlyTable">#REF!</definedName>
    <definedName name="Multiplier" localSheetId="1">'[1]RATE Schedules'!$B$8</definedName>
    <definedName name="Multiplier">'RATE Schedules'!$B$8</definedName>
    <definedName name="MultiplierRate" localSheetId="1">[1]INPUT!$E$53</definedName>
    <definedName name="MultiplierRate">INPUT!$E$52</definedName>
    <definedName name="Phase1cell">"'Phase 1'!$AE$43"</definedName>
    <definedName name="PhasenamedCellValue">"'Phase 1'!$AE$43"</definedName>
    <definedName name="PilotTest" localSheetId="1">Phase_Lookup!$H$8</definedName>
    <definedName name="PilotTest" localSheetId="39">'VEHICLE RATE SCHEDULE'!$H$8</definedName>
    <definedName name="PilotTest">#REF!</definedName>
    <definedName name="PreparedBy" localSheetId="1">[1]INPUT1!$B$8</definedName>
    <definedName name="PreparedBy">INPUT!$B$8</definedName>
    <definedName name="_xlnm.Print_Area" localSheetId="6">'Budget Detail'!$A$1:$AW$90</definedName>
    <definedName name="_xlnm.Print_Area" localSheetId="5">'Budget Summary'!$A$1:$L$75</definedName>
    <definedName name="_xlnm.Print_Area" localSheetId="38">'EQUIP RATE SCHEDULE'!$C$2:$C$162</definedName>
    <definedName name="_xlnm.Print_Area" localSheetId="4">INPUT!$A$1:$M$55</definedName>
    <definedName name="_xlnm.Print_Area" localSheetId="9">'Lab Analysis List'!$A$1:$K$149</definedName>
    <definedName name="_xlnm.Print_Area" localSheetId="12">'Other Supplies &amp; Rental List'!$A$1:$J$68</definedName>
    <definedName name="_xlnm.Print_Area" localSheetId="16">'Phase 1'!$A$1:$AG$58</definedName>
    <definedName name="_xlnm.Print_Area" localSheetId="25">'Phase 10'!$A$1:$AG$54</definedName>
    <definedName name="_xlnm.Print_Area" localSheetId="26">'Phase 11'!$A$1:$AG$54</definedName>
    <definedName name="_xlnm.Print_Area" localSheetId="27">'Phase 12'!$A$1:$AG$54</definedName>
    <definedName name="_xlnm.Print_Area" localSheetId="28">'Phase 13'!$A$1:$AG$54</definedName>
    <definedName name="_xlnm.Print_Area" localSheetId="29">'Phase 14'!$A$1:$AG$54</definedName>
    <definedName name="_xlnm.Print_Area" localSheetId="30">'Phase 15'!$A$1:$AG$54</definedName>
    <definedName name="_xlnm.Print_Area" localSheetId="31">'Phase 16'!$A$1:$AG$55</definedName>
    <definedName name="_xlnm.Print_Area" localSheetId="32">'Phase 17'!$A$1:$AG$54</definedName>
    <definedName name="_xlnm.Print_Area" localSheetId="33">'Phase 18'!$A$1:$AG$54</definedName>
    <definedName name="_xlnm.Print_Area" localSheetId="34">'Phase 19'!$A$1:$AG$54</definedName>
    <definedName name="_xlnm.Print_Area" localSheetId="17">'Phase 2'!$A$1:$AG$54</definedName>
    <definedName name="_xlnm.Print_Area" localSheetId="35">'Phase 20'!$A$1:$AG$54</definedName>
    <definedName name="_xlnm.Print_Area" localSheetId="18">'Phase 3'!$A$1:$AG$54</definedName>
    <definedName name="_xlnm.Print_Area" localSheetId="19">'Phase 4'!$A$1:$AG$54</definedName>
    <definedName name="_xlnm.Print_Area" localSheetId="20">'Phase 5'!$A$1:$AG$55</definedName>
    <definedName name="_xlnm.Print_Area" localSheetId="21">'Phase 6'!$A$1:$AG$54</definedName>
    <definedName name="_xlnm.Print_Area" localSheetId="22">'Phase 7'!$A$1:$AG$54</definedName>
    <definedName name="_xlnm.Print_Area" localSheetId="23">'Phase 8'!$A$1:$AG$54</definedName>
    <definedName name="_xlnm.Print_Area" localSheetId="24">'Phase 9'!$A$1:$AG$54</definedName>
    <definedName name="_xlnm.Print_Area" localSheetId="2">Phase_Template!$A$1:$AG$58</definedName>
    <definedName name="_xlnm.Print_Area" localSheetId="14">'Procurement List'!$A$1:$J$49</definedName>
    <definedName name="_xlnm.Print_Area" localSheetId="36">'RATE Schedules'!$B$25:$AJ$58</definedName>
    <definedName name="_xlnm.Print_Area" localSheetId="13">'Subcontractors List'!$A$1:$K$49</definedName>
    <definedName name="_xlnm.Print_Area" localSheetId="10">'Travel Charges'!$B$1:$X$65</definedName>
    <definedName name="_xlnm.Print_Titles" localSheetId="3">Instructions!$1:$1</definedName>
    <definedName name="_xlnm.Print_Titles" localSheetId="16">'Phase 1'!$1:$7</definedName>
    <definedName name="_xlnm.Print_Titles" localSheetId="25">'Phase 10'!$1:$7</definedName>
    <definedName name="_xlnm.Print_Titles" localSheetId="26">'Phase 11'!$1:$7</definedName>
    <definedName name="_xlnm.Print_Titles" localSheetId="27">'Phase 12'!$1:$7</definedName>
    <definedName name="_xlnm.Print_Titles" localSheetId="28">'Phase 13'!$1:$7</definedName>
    <definedName name="_xlnm.Print_Titles" localSheetId="29">'Phase 14'!$1:$7</definedName>
    <definedName name="_xlnm.Print_Titles" localSheetId="30">'Phase 15'!$1:$7</definedName>
    <definedName name="_xlnm.Print_Titles" localSheetId="31">'Phase 16'!$1:$7</definedName>
    <definedName name="_xlnm.Print_Titles" localSheetId="32">'Phase 17'!$1:$7</definedName>
    <definedName name="_xlnm.Print_Titles" localSheetId="33">'Phase 18'!$1:$7</definedName>
    <definedName name="_xlnm.Print_Titles" localSheetId="34">'Phase 19'!$1:$7</definedName>
    <definedName name="_xlnm.Print_Titles" localSheetId="17">'Phase 2'!$1:$7</definedName>
    <definedName name="_xlnm.Print_Titles" localSheetId="35">'Phase 20'!$1:$7</definedName>
    <definedName name="_xlnm.Print_Titles" localSheetId="18">'Phase 3'!$1:$7</definedName>
    <definedName name="_xlnm.Print_Titles" localSheetId="19">'Phase 4'!$1:$7</definedName>
    <definedName name="_xlnm.Print_Titles" localSheetId="20">'Phase 5'!$1:$7</definedName>
    <definedName name="_xlnm.Print_Titles" localSheetId="21">'Phase 6'!$1:$7</definedName>
    <definedName name="_xlnm.Print_Titles" localSheetId="22">'Phase 7'!$1:$7</definedName>
    <definedName name="_xlnm.Print_Titles" localSheetId="23">'Phase 8'!$1:$7</definedName>
    <definedName name="_xlnm.Print_Titles" localSheetId="24">'Phase 9'!$1:$7</definedName>
    <definedName name="_xlnm.Print_Titles" localSheetId="2">Phase_Template!$1:$7</definedName>
    <definedName name="_xlnm.Print_Titles" localSheetId="36">'RATE Schedules'!$25:$25</definedName>
    <definedName name="ProcureE1" localSheetId="1">'[1]Procurement List'!$O$8</definedName>
    <definedName name="ProcureE1">'Procurement List'!$O$8</definedName>
    <definedName name="ProcureE10" localSheetId="1">'[1]Procurement List'!$O$17</definedName>
    <definedName name="ProcureE10">'Procurement List'!$O$17</definedName>
    <definedName name="ProcureE11" localSheetId="1">'[1]Procurement List'!$O$18</definedName>
    <definedName name="ProcureE11">'Procurement List'!$O$18</definedName>
    <definedName name="ProcureE12" localSheetId="1">'[1]Procurement List'!$O$19</definedName>
    <definedName name="ProcureE12">'Procurement List'!$O$19</definedName>
    <definedName name="ProcureE13" localSheetId="1">'[1]Procurement List'!$O$20</definedName>
    <definedName name="ProcureE13">'Procurement List'!$O$20</definedName>
    <definedName name="ProcureE14" localSheetId="1">'[1]Procurement List'!$O$21</definedName>
    <definedName name="ProcureE14">'Procurement List'!$O$21</definedName>
    <definedName name="ProcureE15" localSheetId="1">'[1]Procurement List'!$O$22</definedName>
    <definedName name="ProcureE15">'Procurement List'!$O$22</definedName>
    <definedName name="ProcureE16" localSheetId="1">'[1]Procurement List'!$O$23</definedName>
    <definedName name="ProcureE16">'Procurement List'!$O$23</definedName>
    <definedName name="ProcureE17" localSheetId="1">'[1]Procurement List'!$O$24</definedName>
    <definedName name="ProcureE17">'Procurement List'!$O$24</definedName>
    <definedName name="ProcureE18" localSheetId="1">'[1]Procurement List'!$O$25</definedName>
    <definedName name="ProcureE18">'Procurement List'!$O$25</definedName>
    <definedName name="ProcureE19" localSheetId="1">'[1]Procurement List'!$O$26</definedName>
    <definedName name="ProcureE19">'Procurement List'!$O$26</definedName>
    <definedName name="ProcureE2" localSheetId="1">'[1]Procurement List'!$O$9</definedName>
    <definedName name="ProcureE2">'Procurement List'!$O$9</definedName>
    <definedName name="ProcureE20" localSheetId="1">'[1]Procurement List'!$O$27</definedName>
    <definedName name="ProcureE20">'Procurement List'!$O$27</definedName>
    <definedName name="ProcureE3" localSheetId="1">'[1]Procurement List'!$O$10</definedName>
    <definedName name="ProcureE3">'Procurement List'!$O$10</definedName>
    <definedName name="ProcureE4" localSheetId="1">'[1]Procurement List'!$O$11</definedName>
    <definedName name="ProcureE4">'Procurement List'!$O$11</definedName>
    <definedName name="ProcureE5" localSheetId="1">'[1]Procurement List'!$O$12</definedName>
    <definedName name="ProcureE5">'Procurement List'!$O$12</definedName>
    <definedName name="ProcureE6" localSheetId="1">'[1]Procurement List'!$O$13</definedName>
    <definedName name="ProcureE6">'Procurement List'!$O$13</definedName>
    <definedName name="ProcureE7" localSheetId="1">'[1]Procurement List'!$O$14</definedName>
    <definedName name="ProcureE7">'Procurement List'!$O$14</definedName>
    <definedName name="ProcureE8" localSheetId="1">'[1]Procurement List'!$O$15</definedName>
    <definedName name="ProcureE8">'Procurement List'!$O$15</definedName>
    <definedName name="ProcureE9" localSheetId="1">'[1]Procurement List'!$O$16</definedName>
    <definedName name="ProcureE9">'Procurement List'!$O$16</definedName>
    <definedName name="ProcurementStart">'Procurement List'!$B$8</definedName>
    <definedName name="ProcurementTotal" localSheetId="14">'Procurement List'!$I$48</definedName>
    <definedName name="ProjectName" localSheetId="1">[1]INPUT1!$B$6</definedName>
    <definedName name="ProjectName">INPUT!$B$6</definedName>
    <definedName name="ProjectNumber" localSheetId="1">[1]INPUT1!$B$7</definedName>
    <definedName name="ProjectNumber">INPUT!$B$7</definedName>
    <definedName name="PT__19H">#REF!</definedName>
    <definedName name="RateMirror">INPUT!$P$5</definedName>
    <definedName name="RateSchedule" localSheetId="1">'[1]RATE Schedules'!$A$1</definedName>
    <definedName name="RateSchedule">'RATE Schedules'!$A$1</definedName>
    <definedName name="RateScheduleMirror">INPUT!$N$4</definedName>
    <definedName name="RateTableNew">'RATE Schedules'!$B$24:$AK$58</definedName>
    <definedName name="RateTitleUnhide">'Budget Detail'!$D$10:$D$36</definedName>
    <definedName name="RateTotal">'Budget Detail'!$BC$37</definedName>
    <definedName name="RentalTable" localSheetId="1">'[1]VEHICLE RATE SCHEDULE'!$A$11:$E$15</definedName>
    <definedName name="RentalTable">'VEHICLE RATE SCHEDULE'!$A$11:$E$15</definedName>
    <definedName name="rrr">'[3]Equipment Lookups'!$G$11</definedName>
    <definedName name="SOIL1" localSheetId="1">'[1]Lab Analysis List'!$M$28</definedName>
    <definedName name="SOIL1">'Lab Analysis List'!$M$28</definedName>
    <definedName name="SOIL10" localSheetId="1">'[1]Lab Analysis List'!$M$37</definedName>
    <definedName name="SOIL10">'Lab Analysis List'!$M$37</definedName>
    <definedName name="SOIL11" localSheetId="1">'[1]Lab Analysis List'!$M$38</definedName>
    <definedName name="SOIL11">'Lab Analysis List'!$M$38</definedName>
    <definedName name="SOIL12" localSheetId="1">'[1]Lab Analysis List'!$M$39</definedName>
    <definedName name="SOIL12">'Lab Analysis List'!$M$39</definedName>
    <definedName name="SOIL13" localSheetId="1">'[1]Lab Analysis List'!$M$40</definedName>
    <definedName name="SOIL13">'Lab Analysis List'!$M$40</definedName>
    <definedName name="SOIL14" localSheetId="1">'[1]Lab Analysis List'!$M$41</definedName>
    <definedName name="SOIL14">'Lab Analysis List'!$M$41</definedName>
    <definedName name="SOIL15" localSheetId="1">'[1]Lab Analysis List'!$M$42</definedName>
    <definedName name="SOIL15">'Lab Analysis List'!$M$42</definedName>
    <definedName name="SOIL16" localSheetId="1">'[1]Lab Analysis List'!$M$43</definedName>
    <definedName name="SOIL16">'Lab Analysis List'!$M$43</definedName>
    <definedName name="SOIL17" localSheetId="1">'[1]Lab Analysis List'!$M$44</definedName>
    <definedName name="SOIL17">'Lab Analysis List'!$M$44</definedName>
    <definedName name="SOIL18" localSheetId="1">'[1]Lab Analysis List'!$M$45</definedName>
    <definedName name="SOIL18">'Lab Analysis List'!$M$45</definedName>
    <definedName name="SOIL19" localSheetId="1">'[1]Lab Analysis List'!$M$46</definedName>
    <definedName name="SOIL19">'Lab Analysis List'!$M$46</definedName>
    <definedName name="SOIL2" localSheetId="1">'[1]Lab Analysis List'!$M$29</definedName>
    <definedName name="SOIL2">'Lab Analysis List'!$M$29</definedName>
    <definedName name="SOIL20" localSheetId="1">'[1]Lab Analysis List'!$M$47</definedName>
    <definedName name="SOIL20">'Lab Analysis List'!$M$47</definedName>
    <definedName name="SOIL3" localSheetId="1">'[1]Lab Analysis List'!$M$30</definedName>
    <definedName name="SOIL3">'Lab Analysis List'!$M$30</definedName>
    <definedName name="SOIL4" localSheetId="1">'[1]Lab Analysis List'!$M$31</definedName>
    <definedName name="SOIL4">'Lab Analysis List'!$M$31</definedName>
    <definedName name="SOIL5" localSheetId="1">'[1]Lab Analysis List'!$M$32</definedName>
    <definedName name="SOIL5">'Lab Analysis List'!$M$32</definedName>
    <definedName name="SOIL6" localSheetId="1">'[1]Lab Analysis List'!$M$33</definedName>
    <definedName name="SOIL6">'Lab Analysis List'!$M$33</definedName>
    <definedName name="SOIL7" localSheetId="1">'[1]Lab Analysis List'!$M$34</definedName>
    <definedName name="SOIL7">'Lab Analysis List'!$M$34</definedName>
    <definedName name="SOIL8" localSheetId="1">'[1]Lab Analysis List'!$M$35</definedName>
    <definedName name="SOIL8">'Lab Analysis List'!$M$35</definedName>
    <definedName name="SOIL9" localSheetId="1">'[1]Lab Analysis List'!$M$36</definedName>
    <definedName name="SOIL9">'Lab Analysis List'!$M$36</definedName>
    <definedName name="Sr._Consultant" localSheetId="5">VLOOKUP(RateA,LookupFeeTable,[0]!LookupColumn1,FALSE)</definedName>
    <definedName name="Sr._Consultant" localSheetId="4">VLOOKUP(RateA,LookupFeeTable,[0]!LookupColumn1,FALSE)</definedName>
    <definedName name="Sr._Consultant" localSheetId="16">VLOOKUP(RateA,LookupFeeTable,[0]!LookupColumn1,FALSE)</definedName>
    <definedName name="Sr._Consultant" localSheetId="25">VLOOKUP(RateA,LookupFeeTable,[0]!LookupColumn1,FALSE)</definedName>
    <definedName name="Sr._Consultant" localSheetId="26">VLOOKUP(RateA,LookupFeeTable,[0]!LookupColumn1,FALSE)</definedName>
    <definedName name="Sr._Consultant" localSheetId="27">VLOOKUP(RateA,LookupFeeTable,[0]!LookupColumn1,FALSE)</definedName>
    <definedName name="Sr._Consultant" localSheetId="28">VLOOKUP(RateA,LookupFeeTable,[0]!LookupColumn1,FALSE)</definedName>
    <definedName name="Sr._Consultant" localSheetId="29">VLOOKUP(RateA,LookupFeeTable,[0]!LookupColumn1,FALSE)</definedName>
    <definedName name="Sr._Consultant" localSheetId="30">VLOOKUP(RateA,LookupFeeTable,[0]!LookupColumn1,FALSE)</definedName>
    <definedName name="Sr._Consultant" localSheetId="31">VLOOKUP(RateA,LookupFeeTable,[0]!LookupColumn1,FALSE)</definedName>
    <definedName name="Sr._Consultant" localSheetId="32">VLOOKUP(RateA,LookupFeeTable,[0]!LookupColumn1,FALSE)</definedName>
    <definedName name="Sr._Consultant" localSheetId="33">VLOOKUP(RateA,LookupFeeTable,[0]!LookupColumn1,FALSE)</definedName>
    <definedName name="Sr._Consultant" localSheetId="34">VLOOKUP(RateA,LookupFeeTable,[0]!LookupColumn1,FALSE)</definedName>
    <definedName name="Sr._Consultant" localSheetId="17">VLOOKUP(RateA,LookupFeeTable,[0]!LookupColumn1,FALSE)</definedName>
    <definedName name="Sr._Consultant" localSheetId="35">VLOOKUP(RateA,LookupFeeTable,[0]!LookupColumn1,FALSE)</definedName>
    <definedName name="Sr._Consultant" localSheetId="18">VLOOKUP(RateA,LookupFeeTable,[0]!LookupColumn1,FALSE)</definedName>
    <definedName name="Sr._Consultant" localSheetId="19">VLOOKUP(RateA,LookupFeeTable,[0]!LookupColumn1,FALSE)</definedName>
    <definedName name="Sr._Consultant" localSheetId="20">VLOOKUP(RateA,LookupFeeTable,[0]!LookupColumn1,FALSE)</definedName>
    <definedName name="Sr._Consultant" localSheetId="21">VLOOKUP(RateA,LookupFeeTable,[0]!LookupColumn1,FALSE)</definedName>
    <definedName name="Sr._Consultant" localSheetId="22">VLOOKUP(RateA,LookupFeeTable,[0]!LookupColumn1,FALSE)</definedName>
    <definedName name="Sr._Consultant" localSheetId="23">VLOOKUP(RateA,LookupFeeTable,[0]!LookupColumn1,FALSE)</definedName>
    <definedName name="Sr._Consultant" localSheetId="24">VLOOKUP(RateA,LookupFeeTable,[0]!LookupColumn1,FALSE)</definedName>
    <definedName name="Sr._Consultant" localSheetId="1">VLOOKUP(RateA,LookupFeeTable,Phase_Lookup!LookupColumn1,FALSE)</definedName>
    <definedName name="Sr._Consultant" localSheetId="2">VLOOKUP(RateA,LookupFeeTable,[0]!LookupColumn1,FALSE)</definedName>
    <definedName name="Sr._Consultant" localSheetId="14">VLOOKUP(RateA,LookupFeeTable,LookupColumn1,FALSE)</definedName>
    <definedName name="Sr._Consultant">VLOOKUP(RateA,LookupFeeTable,LookupColumn1,FALSE)</definedName>
    <definedName name="StateTax" localSheetId="14">'Procurement List'!$H$7</definedName>
    <definedName name="StateTaxLab" localSheetId="1">'[1]Lab Analysis List'!$I$7</definedName>
    <definedName name="StateTaxLab">'Lab Analysis List'!$I$7</definedName>
    <definedName name="StateTaxProcure" localSheetId="1">'[1]Procurement List'!$H$7</definedName>
    <definedName name="StateTaxProcure">'Procurement List'!$H$7</definedName>
    <definedName name="StateTaxSR">'Other Supplies &amp; Rental List'!$I$7</definedName>
    <definedName name="StateTaxSRL" localSheetId="1">'[1]Other Supplies &amp; Rental List'!$I$7</definedName>
    <definedName name="StateTaxSRL">'Other Supplies &amp; Rental List'!$I$7</definedName>
    <definedName name="StateTaxSub" localSheetId="1">'[1]Subcontractors List'!$I$7</definedName>
    <definedName name="StateTaxSub">'Subcontractors List'!$I$7</definedName>
    <definedName name="SubcontractorStart">'Subcontractors List'!$B$8</definedName>
    <definedName name="SubcontractorsTotal">'Subcontractors List'!$J$48</definedName>
    <definedName name="SubcontractorValidation" localSheetId="1">'[1]Subcontractors List'!$T$8:$T$15</definedName>
    <definedName name="SubcontractorValidation">'Subcontractors List'!$T$8:$T$15</definedName>
    <definedName name="SuppliesStart">'Other Supplies &amp; Rental List'!$B$8</definedName>
    <definedName name="SuppliesTotal">'Other Supplies &amp; Rental List'!$J$68</definedName>
    <definedName name="SupplyValidate" localSheetId="1">'[1]Other Supplies &amp; Rental List'!$T$8:$T$10</definedName>
    <definedName name="SupplyValidate">'Other Supplies &amp; Rental List'!$T$8:$T$10</definedName>
    <definedName name="Surcharge" localSheetId="1">[1]INPUT1!$D$31</definedName>
    <definedName name="Surcharge">INPUT!$D$45</definedName>
    <definedName name="SurchargeMirror" localSheetId="1">'[1]Budget Summary'!$N$16</definedName>
    <definedName name="SurchargeMirror">'Budget Summary'!$N$16</definedName>
    <definedName name="SurchargeRate" localSheetId="1">'[1]RATE Schedules'!$B$3</definedName>
    <definedName name="SurchargeRate">'RATE Schedules'!$B$3</definedName>
    <definedName name="TabName1" localSheetId="1">'[1]RATE Schedules'!$AR$2</definedName>
    <definedName name="TabName1">'RATE Schedules'!$AR$2</definedName>
    <definedName name="tabname10" localSheetId="1">'[1]RATE Schedules'!$AR$11</definedName>
    <definedName name="tabname10">'RATE Schedules'!$AR$11</definedName>
    <definedName name="TabName11" localSheetId="1">'[1]RATE Schedules'!$AR$12</definedName>
    <definedName name="TabName11">'RATE Schedules'!$AT$2</definedName>
    <definedName name="TabName12" localSheetId="1">'[1]RATE Schedules'!$AR$13</definedName>
    <definedName name="TabName12">'RATE Schedules'!$AT$3</definedName>
    <definedName name="TabName13" localSheetId="1">'[1]RATE Schedules'!$AR$14</definedName>
    <definedName name="TabName13">'RATE Schedules'!$AT$4</definedName>
    <definedName name="TabName14" localSheetId="1">'[1]RATE Schedules'!$AR$15</definedName>
    <definedName name="TabName14">'RATE Schedules'!$AT$5</definedName>
    <definedName name="TabName15" localSheetId="1">'[1]RATE Schedules'!$AR$16</definedName>
    <definedName name="TabName15">'RATE Schedules'!$AT$6</definedName>
    <definedName name="TabName16" localSheetId="1">'[1]RATE Schedules'!$AR$17</definedName>
    <definedName name="TabName16">'RATE Schedules'!$AT$7</definedName>
    <definedName name="TabName17" localSheetId="1">'[1]RATE Schedules'!$AR$18</definedName>
    <definedName name="TabName17">'RATE Schedules'!$AT$8</definedName>
    <definedName name="TabName18" localSheetId="1">'[1]RATE Schedules'!$AR$19</definedName>
    <definedName name="TabName18">'RATE Schedules'!$AT$9</definedName>
    <definedName name="TabName19" localSheetId="1">'[1]RATE Schedules'!$AR$20</definedName>
    <definedName name="TabName19">'RATE Schedules'!$AT$10</definedName>
    <definedName name="TabName2" localSheetId="1">'[1]RATE Schedules'!$AR$3</definedName>
    <definedName name="TabName2">'RATE Schedules'!$AR$3</definedName>
    <definedName name="TabName20" localSheetId="1">'[1]RATE Schedules'!$AR$21</definedName>
    <definedName name="TabName20">'RATE Schedules'!$AT$11</definedName>
    <definedName name="TabName3" localSheetId="1">'[1]RATE Schedules'!$AR$4</definedName>
    <definedName name="TabName3">'RATE Schedules'!$AR$4</definedName>
    <definedName name="TabName4" localSheetId="1">'[1]RATE Schedules'!$AR$5</definedName>
    <definedName name="TabName4">'RATE Schedules'!$AR$5</definedName>
    <definedName name="TabName5" localSheetId="1">'[1]RATE Schedules'!$AR$6</definedName>
    <definedName name="TabName5">'RATE Schedules'!$AR$6</definedName>
    <definedName name="TabName6" localSheetId="1">'[1]RATE Schedules'!$AR$7</definedName>
    <definedName name="TabName6">'RATE Schedules'!$AR$7</definedName>
    <definedName name="TabName7" localSheetId="1">'[1]RATE Schedules'!$AR$8</definedName>
    <definedName name="TabName7">'RATE Schedules'!$AR$8</definedName>
    <definedName name="TabName8" localSheetId="1">'[1]RATE Schedules'!$AR$9</definedName>
    <definedName name="TabName8">'RATE Schedules'!$AR$9</definedName>
    <definedName name="TabName9" localSheetId="1">'[1]RATE Schedules'!$AR$10</definedName>
    <definedName name="TabName9">'RATE Schedules'!$AR$10</definedName>
    <definedName name="TabTitles">'RATE Schedules'!$AW$2:$AW$7</definedName>
    <definedName name="TitleA1" localSheetId="1">[1]INPUT1!$G$8</definedName>
    <definedName name="TitleA1">INPUT!$G$8</definedName>
    <definedName name="TitleA2" localSheetId="1">[1]INPUT1!$G$7</definedName>
    <definedName name="TitleA2">INPUT!$G$7</definedName>
    <definedName name="TitleA3" localSheetId="1">[1]INPUT1!$G$6</definedName>
    <definedName name="TitleA3">INPUT!$G$6</definedName>
    <definedName name="TitleA4" localSheetId="1">[1]INPUT1!$G$5</definedName>
    <definedName name="TitleA4">INPUT!$G$5</definedName>
    <definedName name="TitleB1" localSheetId="1">[1]INPUT1!$G$12</definedName>
    <definedName name="TitleB1">INPUT!$G$12</definedName>
    <definedName name="TitleB2" localSheetId="1">[1]INPUT1!$G$11</definedName>
    <definedName name="TitleB2">INPUT!$G$11</definedName>
    <definedName name="TitleB3" localSheetId="1">[1]INPUT1!$G$10</definedName>
    <definedName name="TitleB3">INPUT!$G$10</definedName>
    <definedName name="TitleB4" localSheetId="1">[1]INPUT1!$G$9</definedName>
    <definedName name="TitleB4">INPUT!$G$9</definedName>
    <definedName name="TitleC1" localSheetId="1">[1]INPUT1!$G$16</definedName>
    <definedName name="TitleC1">INPUT!$G$16</definedName>
    <definedName name="TitleC2" localSheetId="1">[1]INPUT1!$G$15</definedName>
    <definedName name="TitleC2">INPUT!$G$15</definedName>
    <definedName name="TitleC3" localSheetId="1">[1]INPUT1!$G$14</definedName>
    <definedName name="TitleC3">INPUT!$G$14</definedName>
    <definedName name="TitleC4" localSheetId="1">[1]INPUT1!$G$13</definedName>
    <definedName name="TitleC4">INPUT!$G$13</definedName>
    <definedName name="TitleD1" localSheetId="1">[1]INPUT1!$G$20</definedName>
    <definedName name="TitleD1">INPUT!$G$20</definedName>
    <definedName name="TitleD2" localSheetId="1">[1]INPUT1!$G$19</definedName>
    <definedName name="TitleD2">INPUT!$G$19</definedName>
    <definedName name="TitleD3" localSheetId="1">[1]INPUT1!$G$18</definedName>
    <definedName name="TitleD3">INPUT!$G$18</definedName>
    <definedName name="TitleD4" localSheetId="1">[1]INPUT1!$G$17</definedName>
    <definedName name="TitleD4">INPUT!$G$17</definedName>
    <definedName name="TitleE1" localSheetId="1">[1]INPUT1!$G$24</definedName>
    <definedName name="TitleE1">INPUT!$G$24</definedName>
    <definedName name="TitleE2" localSheetId="1">[1]INPUT1!$G$23</definedName>
    <definedName name="TitleE2">INPUT!$G$23</definedName>
    <definedName name="TitleE3" localSheetId="1">[1]INPUT1!$G$22</definedName>
    <definedName name="TitleE3">INPUT!$G$22</definedName>
    <definedName name="TitleE4" localSheetId="1">[1]INPUT1!$G$21</definedName>
    <definedName name="TitleE4">INPUT!$G$21</definedName>
    <definedName name="TitleF1" localSheetId="1">[1]INPUT1!$G$28</definedName>
    <definedName name="TitleF1">INPUT!$G$28</definedName>
    <definedName name="TitleF2" localSheetId="1">[1]INPUT1!$G$27</definedName>
    <definedName name="TitleF2">INPUT!$G$27</definedName>
    <definedName name="TitleF3" localSheetId="1">[1]INPUT1!$G$26</definedName>
    <definedName name="TitleF3">INPUT!$G$26</definedName>
    <definedName name="TitleF4" localSheetId="1">[1]INPUT1!$G$25</definedName>
    <definedName name="TitleF4">INPUT!$G$25</definedName>
    <definedName name="TitleG1" localSheetId="1">[1]INPUT1!$G$32</definedName>
    <definedName name="TitleG1">INPUT!$G$32</definedName>
    <definedName name="TitleG2" localSheetId="1">[1]INPUT1!$G$31</definedName>
    <definedName name="TitleG2">INPUT!$G$31</definedName>
    <definedName name="TitleG3" localSheetId="1">[1]INPUT1!$G$30</definedName>
    <definedName name="TitleG3">INPUT!$G$30</definedName>
    <definedName name="TitleG4" localSheetId="1">[1]INPUT1!$G$29</definedName>
    <definedName name="TitleG4">INPUT!$G$29</definedName>
    <definedName name="TotalCommFee">'Budget Summary'!$D$16</definedName>
    <definedName name="TotalExpenses" localSheetId="5">'Budget Summary'!$D$17</definedName>
    <definedName name="TotalLabCosts" localSheetId="5">'Budget Summary'!$D$21</definedName>
    <definedName name="TotalLabor" localSheetId="5">'Budget Summary'!$D$15</definedName>
    <definedName name="TotalProcurement" localSheetId="5">'Budget Summary'!$D$20</definedName>
    <definedName name="TotalSubCosts" localSheetId="5">'Budget Summary'!$D$22</definedName>
    <definedName name="TravelMarkup" localSheetId="1">'[1]RATE Schedules'!$B$9</definedName>
    <definedName name="TravelMarkup">'RATE Schedules'!$B$9</definedName>
    <definedName name="TravelMarkupRate" localSheetId="1">[1]INPUT!$D$51</definedName>
    <definedName name="TravelMarkupRate">INPUT!$D$48</definedName>
    <definedName name="TravelUnits1" localSheetId="1">'[1]Travel Charges'!$D$11,'[1]Travel Charges'!$D$16,'[1]Travel Charges'!$D$17,'[1]Travel Charges'!$D$19</definedName>
    <definedName name="TravelUnits1">'Travel Charges'!$D$11,'Travel Charges'!$D$16,'Travel Charges'!$D$17,'Travel Charges'!$D$19</definedName>
    <definedName name="TravelUnits10Mirror">'RATE Schedules'!$AO$10</definedName>
    <definedName name="TravelUnits1Mirror">'RATE Schedules'!$AO$1</definedName>
    <definedName name="TravelUnits2" localSheetId="1">'[1]Travel Charges'!$H$11,'[1]Travel Charges'!$H$16,'[1]Travel Charges'!$H$17,'[1]Travel Charges'!$H$19</definedName>
    <definedName name="TravelUnits2">'Travel Charges'!$H$11,'Travel Charges'!$H$16,'Travel Charges'!$H$17,'Travel Charges'!$H$19</definedName>
    <definedName name="TravelUnits2Mirror">'RATE Schedules'!$AO$2</definedName>
    <definedName name="TravelUnits3" localSheetId="1">'[1]Travel Charges'!$L$11,'[1]Travel Charges'!$L$16,'[1]Travel Charges'!$L$17,'[1]Travel Charges'!$L$19</definedName>
    <definedName name="TravelUnits3">'Travel Charges'!$L$11,'Travel Charges'!$L$16,'Travel Charges'!$L$17,'Travel Charges'!$L$19</definedName>
    <definedName name="TravelUnits3Mirror">'RATE Schedules'!$AO$3</definedName>
    <definedName name="TravelUnits4" localSheetId="1">'[1]Travel Charges'!$P$11,'[1]Travel Charges'!$P$16,'[1]Travel Charges'!$P$17,'[1]Travel Charges'!$P$19</definedName>
    <definedName name="TravelUnits4">'Travel Charges'!$P$11,'Travel Charges'!$P$16,'Travel Charges'!$P$17,'Travel Charges'!$P$19</definedName>
    <definedName name="TravelUnits4Mirror">'RATE Schedules'!$AO$4</definedName>
    <definedName name="TravelUnits5" localSheetId="1">'[1]Travel Charges'!$T$19,'[1]Travel Charges'!$T$16,'[1]Travel Charges'!$T$11,'[1]Travel Charges'!$T$17</definedName>
    <definedName name="TravelUnits5">'Travel Charges'!$T$19,'Travel Charges'!$T$16,'Travel Charges'!$T$11,'Travel Charges'!$T$17</definedName>
    <definedName name="TravelUnits5Mirror">'RATE Schedules'!$AO$5</definedName>
    <definedName name="TravelUnits6" localSheetId="1">'[1]Travel Charges'!$D$41,'[1]Travel Charges'!$D$46,'[1]Travel Charges'!$D$47,'[1]Travel Charges'!$D$49</definedName>
    <definedName name="TravelUnits6">'Travel Charges'!$D$41,'Travel Charges'!$D$46,'Travel Charges'!$D$47,'Travel Charges'!$D$49</definedName>
    <definedName name="TravelUnits6Mirror">'RATE Schedules'!$AO$6</definedName>
    <definedName name="TravelUnits7Mirror">'RATE Schedules'!$AO$7</definedName>
    <definedName name="TravelUnits8Mirror">'RATE Schedules'!$AO$8</definedName>
    <definedName name="TravelUnits9Mirror">'RATE Schedules'!$AO$9</definedName>
    <definedName name="ttt">'[3]Equipment Lookups'!$G$3:$G$4</definedName>
    <definedName name="Unit">'Travel Charges'!$D$10</definedName>
    <definedName name="Units" localSheetId="5">#REF!,#REF!,#REF!,#REF!</definedName>
    <definedName name="Units" localSheetId="1">#REF!,#REF!,#REF!,#REF!</definedName>
    <definedName name="Units" localSheetId="39">#REF!,#REF!,#REF!,#REF!</definedName>
    <definedName name="Units">#REF!,#REF!,#REF!,#REF!</definedName>
    <definedName name="UserExpMarkupRate" localSheetId="1">[1]INPUT!$E$48</definedName>
    <definedName name="UserExpMarkupRate">INPUT!$E$47</definedName>
    <definedName name="UserInsuranceMarkup" localSheetId="1">[1]INPUT!$E$49</definedName>
    <definedName name="UserInsuranceMarkup">INPUT!$E$49</definedName>
    <definedName name="UserLaborDiscountRate" localSheetId="1">[1]INPUT!$E$50</definedName>
    <definedName name="UserLaborDiscountRate">INPUT!$E$50</definedName>
    <definedName name="UserMarkupRate" localSheetId="1">[1]INPUT!$E$47</definedName>
    <definedName name="UserMarkupRate">INPUT!$E$46</definedName>
    <definedName name="UserSurchargeRate" localSheetId="1">[1]INPUT!$E$46</definedName>
    <definedName name="UserSurchargeRate">INPUT!$E$45</definedName>
    <definedName name="UserTravelMarkupRate" localSheetId="1">[1]INPUT!$E$51</definedName>
    <definedName name="UserTravelMarkupRate">INPUT!$E$48</definedName>
    <definedName name="ValidateTable" localSheetId="1">'[1]RATE Schedules'!$AS$2:$AS$21</definedName>
    <definedName name="ValidateTable">'RATE Schedules'!$AS$2:$AS$21</definedName>
    <definedName name="VehicleList" localSheetId="1">'[1]VEHICLE RATE SCHEDULE'!$A$11:$A$15</definedName>
    <definedName name="VehicleList">'VEHICLE RATE SCHEDULE'!$A$11:$A$15</definedName>
    <definedName name="VehicleTable" localSheetId="1">'[1]VEHICLE RATE SCHEDULE'!$A$5:$E$7</definedName>
    <definedName name="VehicleTable">'VEHICLE RATE SCHEDULE'!$A$5:$E$7</definedName>
    <definedName name="VehicleTableDaily">'VEHICLE RATE SCHEDULE'!$A$5:$E$7</definedName>
    <definedName name="VehicleTableWeekly">'VEHICLE RATE SCHEDULE'!$A$5:$E$7</definedName>
    <definedName name="VersionInfo" localSheetId="5">'Budget Summary'!#REF!</definedName>
    <definedName name="VersionInfo" localSheetId="1">[1]INPUT1!$N$3</definedName>
    <definedName name="VersionInfo">INPUT!$N$3</definedName>
    <definedName name="x">'[4]RATE Schedules'!$A$17:$U$137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8" i="35" l="1"/>
  <c r="AE28" i="1142"/>
  <c r="AD28" i="1142"/>
  <c r="AC28" i="1142"/>
  <c r="AB28" i="1142"/>
  <c r="AA28" i="1142"/>
  <c r="Z28" i="1142"/>
  <c r="Y28" i="1142"/>
  <c r="X28" i="1142"/>
  <c r="W28" i="1142"/>
  <c r="V28" i="1142"/>
  <c r="U28" i="1142"/>
  <c r="T28" i="1142"/>
  <c r="S28" i="1142"/>
  <c r="R28" i="1142"/>
  <c r="Q28" i="1142"/>
  <c r="P28" i="1142"/>
  <c r="O28" i="1142"/>
  <c r="N28" i="1142"/>
  <c r="M28" i="1142"/>
  <c r="L28" i="1142"/>
  <c r="K28" i="1142"/>
  <c r="J28" i="1142"/>
  <c r="I28" i="1142"/>
  <c r="H28" i="1142"/>
  <c r="G28" i="1142"/>
  <c r="F28" i="1142"/>
  <c r="E28" i="1142"/>
  <c r="D28" i="1142"/>
  <c r="AR73" i="2"/>
  <c r="C1" i="1153"/>
  <c r="AR80" i="2"/>
  <c r="AR78" i="2"/>
  <c r="AR77" i="2"/>
  <c r="AR76" i="2"/>
  <c r="AR75" i="2"/>
  <c r="AR74" i="2"/>
  <c r="AR71" i="2"/>
  <c r="AR70" i="2"/>
  <c r="AR68" i="2"/>
  <c r="AR67" i="2"/>
  <c r="AR66" i="2"/>
  <c r="AR65" i="2"/>
  <c r="AR64" i="2"/>
  <c r="AR63" i="2"/>
  <c r="AR62" i="2"/>
  <c r="AR61" i="2"/>
  <c r="AR60" i="2"/>
  <c r="AR58" i="2"/>
  <c r="AR56" i="2"/>
  <c r="AR55" i="2"/>
  <c r="AR53" i="2"/>
  <c r="AR52" i="2"/>
  <c r="AR51" i="2"/>
  <c r="AR50" i="2"/>
  <c r="AR48" i="2"/>
  <c r="AR47" i="2"/>
  <c r="AR46" i="2"/>
  <c r="AR45" i="2"/>
  <c r="AR44" i="2"/>
  <c r="AR5" i="2"/>
  <c r="AE43" i="1153"/>
  <c r="AD43" i="1153"/>
  <c r="AC43" i="1153"/>
  <c r="AB43" i="1153"/>
  <c r="AA43" i="1153"/>
  <c r="Z43" i="1153"/>
  <c r="Y43" i="1153"/>
  <c r="X43" i="1153"/>
  <c r="W43" i="1153"/>
  <c r="V43" i="1153"/>
  <c r="U43" i="1153"/>
  <c r="T43" i="1153"/>
  <c r="S43" i="1153"/>
  <c r="R43" i="1153"/>
  <c r="Q43" i="1153"/>
  <c r="P43" i="1153"/>
  <c r="O43" i="1153"/>
  <c r="N43" i="1153"/>
  <c r="M43" i="1153"/>
  <c r="L43" i="1153"/>
  <c r="J43" i="1153"/>
  <c r="I43" i="1153"/>
  <c r="H43" i="1153"/>
  <c r="G43" i="1153"/>
  <c r="F43" i="1153"/>
  <c r="E43" i="1153"/>
  <c r="D43" i="1153"/>
  <c r="AE52" i="1153"/>
  <c r="AD52" i="1153"/>
  <c r="AC52" i="1153"/>
  <c r="AB52" i="1153"/>
  <c r="AA52" i="1153"/>
  <c r="Z52" i="1153"/>
  <c r="Y52" i="1153"/>
  <c r="X52" i="1153"/>
  <c r="W52" i="1153"/>
  <c r="V52" i="1153"/>
  <c r="U52" i="1153"/>
  <c r="T52" i="1153"/>
  <c r="S52" i="1153"/>
  <c r="R52" i="1153"/>
  <c r="Q52" i="1153"/>
  <c r="P52" i="1153"/>
  <c r="O52" i="1153"/>
  <c r="N52" i="1153"/>
  <c r="M52" i="1153"/>
  <c r="L52" i="1153"/>
  <c r="K52" i="1153"/>
  <c r="J52" i="1153"/>
  <c r="I52" i="1153"/>
  <c r="H52" i="1153"/>
  <c r="G52" i="1153"/>
  <c r="F52" i="1153"/>
  <c r="E52" i="1153"/>
  <c r="D52" i="1153"/>
  <c r="AE51" i="1153"/>
  <c r="AD51" i="1153"/>
  <c r="AC51" i="1153"/>
  <c r="AB51" i="1153"/>
  <c r="AA51" i="1153"/>
  <c r="Z51" i="1153"/>
  <c r="Y51" i="1153"/>
  <c r="X51" i="1153"/>
  <c r="W51" i="1153"/>
  <c r="V51" i="1153"/>
  <c r="U51" i="1153"/>
  <c r="T51" i="1153"/>
  <c r="S51" i="1153"/>
  <c r="R51" i="1153"/>
  <c r="Q51" i="1153"/>
  <c r="P51" i="1153"/>
  <c r="O51" i="1153"/>
  <c r="N51" i="1153"/>
  <c r="M51" i="1153"/>
  <c r="L51" i="1153"/>
  <c r="K51" i="1153"/>
  <c r="J51" i="1153"/>
  <c r="I51" i="1153"/>
  <c r="H51" i="1153"/>
  <c r="G51" i="1153"/>
  <c r="F51" i="1153"/>
  <c r="E51" i="1153"/>
  <c r="D51" i="1153"/>
  <c r="AE50" i="1153"/>
  <c r="AD50" i="1153"/>
  <c r="AC50" i="1153"/>
  <c r="AB50" i="1153"/>
  <c r="AA50" i="1153"/>
  <c r="Z50" i="1153"/>
  <c r="Y50" i="1153"/>
  <c r="X50" i="1153"/>
  <c r="W50" i="1153"/>
  <c r="V50" i="1153"/>
  <c r="U50" i="1153"/>
  <c r="T50" i="1153"/>
  <c r="S50" i="1153"/>
  <c r="R50" i="1153"/>
  <c r="Q50" i="1153"/>
  <c r="P50" i="1153"/>
  <c r="O50" i="1153"/>
  <c r="N50" i="1153"/>
  <c r="M50" i="1153"/>
  <c r="L50" i="1153"/>
  <c r="K50" i="1153"/>
  <c r="J50" i="1153"/>
  <c r="I50" i="1153"/>
  <c r="H50" i="1153"/>
  <c r="G50" i="1153"/>
  <c r="F50" i="1153"/>
  <c r="E50" i="1153"/>
  <c r="D50" i="1153"/>
  <c r="AE49" i="1153"/>
  <c r="AD49" i="1153"/>
  <c r="AC49" i="1153"/>
  <c r="AB49" i="1153"/>
  <c r="AA49" i="1153"/>
  <c r="Z49" i="1153"/>
  <c r="Y49" i="1153"/>
  <c r="X49" i="1153"/>
  <c r="W49" i="1153"/>
  <c r="V49" i="1153"/>
  <c r="U49" i="1153"/>
  <c r="T49" i="1153"/>
  <c r="S49" i="1153"/>
  <c r="R49" i="1153"/>
  <c r="Q49" i="1153"/>
  <c r="P49" i="1153"/>
  <c r="O49" i="1153"/>
  <c r="N49" i="1153"/>
  <c r="M49" i="1153"/>
  <c r="L49" i="1153"/>
  <c r="K49" i="1153"/>
  <c r="J49" i="1153"/>
  <c r="I49" i="1153"/>
  <c r="H49" i="1153"/>
  <c r="G49" i="1153"/>
  <c r="F49" i="1153"/>
  <c r="E49" i="1153"/>
  <c r="D49" i="1153"/>
  <c r="AE48" i="1153"/>
  <c r="AD48" i="1153"/>
  <c r="AC48" i="1153"/>
  <c r="AB48" i="1153"/>
  <c r="AA48" i="1153"/>
  <c r="Z48" i="1153"/>
  <c r="Y48" i="1153"/>
  <c r="X48" i="1153"/>
  <c r="W48" i="1153"/>
  <c r="V48" i="1153"/>
  <c r="U48" i="1153"/>
  <c r="T48" i="1153"/>
  <c r="S48" i="1153"/>
  <c r="R48" i="1153"/>
  <c r="Q48" i="1153"/>
  <c r="P48" i="1153"/>
  <c r="O48" i="1153"/>
  <c r="N48" i="1153"/>
  <c r="M48" i="1153"/>
  <c r="L48" i="1153"/>
  <c r="K48" i="1153"/>
  <c r="J48" i="1153"/>
  <c r="I48" i="1153"/>
  <c r="H48" i="1153"/>
  <c r="G48" i="1153"/>
  <c r="F48" i="1153"/>
  <c r="E48" i="1153"/>
  <c r="D48" i="1153"/>
  <c r="AE40" i="1153"/>
  <c r="AD40" i="1153"/>
  <c r="AC40" i="1153"/>
  <c r="AB40" i="1153"/>
  <c r="AA40" i="1153"/>
  <c r="Z40" i="1153"/>
  <c r="Y40" i="1153"/>
  <c r="X40" i="1153"/>
  <c r="W40" i="1153"/>
  <c r="V40" i="1153"/>
  <c r="U40" i="1153"/>
  <c r="T40" i="1153"/>
  <c r="S40" i="1153"/>
  <c r="R40" i="1153"/>
  <c r="Q40" i="1153"/>
  <c r="P40" i="1153"/>
  <c r="O40" i="1153"/>
  <c r="N40" i="1153"/>
  <c r="M40" i="1153"/>
  <c r="L40" i="1153"/>
  <c r="K40" i="1153"/>
  <c r="J40" i="1153"/>
  <c r="I40" i="1153"/>
  <c r="H40" i="1153"/>
  <c r="G40" i="1153"/>
  <c r="F40" i="1153"/>
  <c r="E40" i="1153"/>
  <c r="D40" i="1153"/>
  <c r="AE39" i="1153"/>
  <c r="AD39" i="1153"/>
  <c r="AC39" i="1153"/>
  <c r="AB39" i="1153"/>
  <c r="AA39" i="1153"/>
  <c r="Z39" i="1153"/>
  <c r="Y39" i="1153"/>
  <c r="X39" i="1153"/>
  <c r="W39" i="1153"/>
  <c r="V39" i="1153"/>
  <c r="U39" i="1153"/>
  <c r="T39" i="1153"/>
  <c r="S39" i="1153"/>
  <c r="R39" i="1153"/>
  <c r="Q39" i="1153"/>
  <c r="P39" i="1153"/>
  <c r="O39" i="1153"/>
  <c r="N39" i="1153"/>
  <c r="M39" i="1153"/>
  <c r="L39" i="1153"/>
  <c r="K39" i="1153"/>
  <c r="J39" i="1153"/>
  <c r="I39" i="1153"/>
  <c r="H39" i="1153"/>
  <c r="G39" i="1153"/>
  <c r="F39" i="1153"/>
  <c r="E39" i="1153"/>
  <c r="D39" i="1153"/>
  <c r="AE36" i="1153"/>
  <c r="AD36" i="1153"/>
  <c r="AC36" i="1153"/>
  <c r="AB36" i="1153"/>
  <c r="AA36" i="1153"/>
  <c r="Z36" i="1153"/>
  <c r="Y36" i="1153"/>
  <c r="X36" i="1153"/>
  <c r="W36" i="1153"/>
  <c r="V36" i="1153"/>
  <c r="U36" i="1153"/>
  <c r="T36" i="1153"/>
  <c r="S36" i="1153"/>
  <c r="R36" i="1153"/>
  <c r="Q36" i="1153"/>
  <c r="P36" i="1153"/>
  <c r="O36" i="1153"/>
  <c r="N36" i="1153"/>
  <c r="M36" i="1153"/>
  <c r="L36" i="1153"/>
  <c r="K36" i="1153"/>
  <c r="J36" i="1153"/>
  <c r="I36" i="1153"/>
  <c r="H36" i="1153"/>
  <c r="G36" i="1153"/>
  <c r="F36" i="1153"/>
  <c r="E36" i="1153"/>
  <c r="D36" i="1153"/>
  <c r="D29" i="1153"/>
  <c r="B28" i="1153"/>
  <c r="AE27" i="1153"/>
  <c r="AD27" i="1153"/>
  <c r="AC27" i="1153"/>
  <c r="AB27" i="1153"/>
  <c r="AA27" i="1153"/>
  <c r="Z27" i="1153"/>
  <c r="Y27" i="1153"/>
  <c r="X27" i="1153"/>
  <c r="W27" i="1153"/>
  <c r="V27" i="1153"/>
  <c r="U27" i="1153"/>
  <c r="T27" i="1153"/>
  <c r="S27" i="1153"/>
  <c r="R27" i="1153"/>
  <c r="Q27" i="1153"/>
  <c r="P27" i="1153"/>
  <c r="O27" i="1153"/>
  <c r="N27" i="1153"/>
  <c r="M27" i="1153"/>
  <c r="L27" i="1153"/>
  <c r="K27" i="1153"/>
  <c r="K43" i="1153" s="1"/>
  <c r="J27" i="1153"/>
  <c r="I27" i="1153"/>
  <c r="H27" i="1153"/>
  <c r="G27" i="1153"/>
  <c r="F27" i="1153"/>
  <c r="E27" i="1153"/>
  <c r="D27" i="1153"/>
  <c r="B27" i="1153"/>
  <c r="C4" i="1153"/>
  <c r="C3" i="1153"/>
  <c r="C2" i="1153"/>
  <c r="AL1" i="1153"/>
  <c r="C1" i="1148"/>
  <c r="AP75" i="2"/>
  <c r="AP74" i="2"/>
  <c r="AP5" i="2"/>
  <c r="AE43" i="1148"/>
  <c r="AD43" i="1148"/>
  <c r="AC43" i="1148"/>
  <c r="AB43" i="1148"/>
  <c r="AA43" i="1148"/>
  <c r="Z43" i="1148"/>
  <c r="Y43" i="1148"/>
  <c r="X43" i="1148"/>
  <c r="W43" i="1148"/>
  <c r="V43" i="1148"/>
  <c r="U43" i="1148"/>
  <c r="T43" i="1148"/>
  <c r="S43" i="1148"/>
  <c r="R43" i="1148"/>
  <c r="Q43" i="1148"/>
  <c r="P43" i="1148"/>
  <c r="O43" i="1148"/>
  <c r="N43" i="1148"/>
  <c r="M43" i="1148"/>
  <c r="L43" i="1148"/>
  <c r="K43" i="1148"/>
  <c r="J43" i="1148"/>
  <c r="H43" i="1148"/>
  <c r="G43" i="1148"/>
  <c r="F43" i="1148"/>
  <c r="E43" i="1148"/>
  <c r="D43" i="1148"/>
  <c r="AE52" i="1148"/>
  <c r="AD52" i="1148"/>
  <c r="AC52" i="1148"/>
  <c r="AB52" i="1148"/>
  <c r="AA52" i="1148"/>
  <c r="Z52" i="1148"/>
  <c r="Y52" i="1148"/>
  <c r="X52" i="1148"/>
  <c r="W52" i="1148"/>
  <c r="V52" i="1148"/>
  <c r="U52" i="1148"/>
  <c r="T52" i="1148"/>
  <c r="S52" i="1148"/>
  <c r="R52" i="1148"/>
  <c r="Q52" i="1148"/>
  <c r="P52" i="1148"/>
  <c r="O52" i="1148"/>
  <c r="N52" i="1148"/>
  <c r="M52" i="1148"/>
  <c r="L52" i="1148"/>
  <c r="K52" i="1148"/>
  <c r="J52" i="1148"/>
  <c r="I52" i="1148"/>
  <c r="H52" i="1148"/>
  <c r="G52" i="1148"/>
  <c r="F52" i="1148"/>
  <c r="E52" i="1148"/>
  <c r="D52" i="1148"/>
  <c r="AE51" i="1148"/>
  <c r="AD51" i="1148"/>
  <c r="AC51" i="1148"/>
  <c r="AB51" i="1148"/>
  <c r="AA51" i="1148"/>
  <c r="Z51" i="1148"/>
  <c r="Y51" i="1148"/>
  <c r="X51" i="1148"/>
  <c r="W51" i="1148"/>
  <c r="V51" i="1148"/>
  <c r="U51" i="1148"/>
  <c r="T51" i="1148"/>
  <c r="S51" i="1148"/>
  <c r="R51" i="1148"/>
  <c r="Q51" i="1148"/>
  <c r="P51" i="1148"/>
  <c r="O51" i="1148"/>
  <c r="N51" i="1148"/>
  <c r="M51" i="1148"/>
  <c r="L51" i="1148"/>
  <c r="K51" i="1148"/>
  <c r="J51" i="1148"/>
  <c r="I51" i="1148"/>
  <c r="H51" i="1148"/>
  <c r="G51" i="1148"/>
  <c r="F51" i="1148"/>
  <c r="E51" i="1148"/>
  <c r="D51" i="1148"/>
  <c r="AE50" i="1148"/>
  <c r="AD50" i="1148"/>
  <c r="AC50" i="1148"/>
  <c r="AB50" i="1148"/>
  <c r="AA50" i="1148"/>
  <c r="Z50" i="1148"/>
  <c r="Y50" i="1148"/>
  <c r="X50" i="1148"/>
  <c r="W50" i="1148"/>
  <c r="V50" i="1148"/>
  <c r="U50" i="1148"/>
  <c r="T50" i="1148"/>
  <c r="S50" i="1148"/>
  <c r="R50" i="1148"/>
  <c r="Q50" i="1148"/>
  <c r="P50" i="1148"/>
  <c r="O50" i="1148"/>
  <c r="N50" i="1148"/>
  <c r="M50" i="1148"/>
  <c r="L50" i="1148"/>
  <c r="K50" i="1148"/>
  <c r="J50" i="1148"/>
  <c r="I50" i="1148"/>
  <c r="H50" i="1148"/>
  <c r="G50" i="1148"/>
  <c r="F50" i="1148"/>
  <c r="E50" i="1148"/>
  <c r="D50" i="1148"/>
  <c r="AE49" i="1148"/>
  <c r="AD49" i="1148"/>
  <c r="AC49" i="1148"/>
  <c r="AB49" i="1148"/>
  <c r="AA49" i="1148"/>
  <c r="Z49" i="1148"/>
  <c r="Y49" i="1148"/>
  <c r="X49" i="1148"/>
  <c r="W49" i="1148"/>
  <c r="V49" i="1148"/>
  <c r="U49" i="1148"/>
  <c r="T49" i="1148"/>
  <c r="S49" i="1148"/>
  <c r="R49" i="1148"/>
  <c r="Q49" i="1148"/>
  <c r="P49" i="1148"/>
  <c r="O49" i="1148"/>
  <c r="N49" i="1148"/>
  <c r="M49" i="1148"/>
  <c r="L49" i="1148"/>
  <c r="K49" i="1148"/>
  <c r="J49" i="1148"/>
  <c r="I49" i="1148"/>
  <c r="H49" i="1148"/>
  <c r="G49" i="1148"/>
  <c r="F49" i="1148"/>
  <c r="E49" i="1148"/>
  <c r="D49" i="1148"/>
  <c r="AE48" i="1148"/>
  <c r="AD48" i="1148"/>
  <c r="AC48" i="1148"/>
  <c r="AB48" i="1148"/>
  <c r="AA48" i="1148"/>
  <c r="Z48" i="1148"/>
  <c r="Y48" i="1148"/>
  <c r="X48" i="1148"/>
  <c r="W48" i="1148"/>
  <c r="V48" i="1148"/>
  <c r="U48" i="1148"/>
  <c r="T48" i="1148"/>
  <c r="S48" i="1148"/>
  <c r="R48" i="1148"/>
  <c r="Q48" i="1148"/>
  <c r="P48" i="1148"/>
  <c r="O48" i="1148"/>
  <c r="N48" i="1148"/>
  <c r="M48" i="1148"/>
  <c r="L48" i="1148"/>
  <c r="K48" i="1148"/>
  <c r="J48" i="1148"/>
  <c r="I48" i="1148"/>
  <c r="H48" i="1148"/>
  <c r="G48" i="1148"/>
  <c r="F48" i="1148"/>
  <c r="E48" i="1148"/>
  <c r="D48" i="1148"/>
  <c r="AE40" i="1148"/>
  <c r="AD40" i="1148"/>
  <c r="AC40" i="1148"/>
  <c r="AC36" i="1148" s="1"/>
  <c r="AB40" i="1148"/>
  <c r="AB36" i="1148" s="1"/>
  <c r="AA40" i="1148"/>
  <c r="Z40" i="1148"/>
  <c r="Y40" i="1148"/>
  <c r="X40" i="1148"/>
  <c r="X36" i="1148" s="1"/>
  <c r="W40" i="1148"/>
  <c r="V40" i="1148"/>
  <c r="U40" i="1148"/>
  <c r="T40" i="1148"/>
  <c r="T36" i="1148" s="1"/>
  <c r="S40" i="1148"/>
  <c r="R40" i="1148"/>
  <c r="Q40" i="1148"/>
  <c r="Q36" i="1148" s="1"/>
  <c r="P40" i="1148"/>
  <c r="P36" i="1148" s="1"/>
  <c r="O40" i="1148"/>
  <c r="N40" i="1148"/>
  <c r="M40" i="1148"/>
  <c r="M36" i="1148" s="1"/>
  <c r="L40" i="1148"/>
  <c r="L36" i="1148" s="1"/>
  <c r="K40" i="1148"/>
  <c r="J40" i="1148"/>
  <c r="I40" i="1148"/>
  <c r="H40" i="1148"/>
  <c r="H36" i="1148" s="1"/>
  <c r="G40" i="1148"/>
  <c r="F40" i="1148"/>
  <c r="E40" i="1148"/>
  <c r="E36" i="1148" s="1"/>
  <c r="D40" i="1148"/>
  <c r="D36" i="1148" s="1"/>
  <c r="AE39" i="1148"/>
  <c r="AD39" i="1148"/>
  <c r="AC39" i="1148"/>
  <c r="AB39" i="1148"/>
  <c r="AA39" i="1148"/>
  <c r="Z39" i="1148"/>
  <c r="Y39" i="1148"/>
  <c r="X39" i="1148"/>
  <c r="W39" i="1148"/>
  <c r="V39" i="1148"/>
  <c r="U39" i="1148"/>
  <c r="T39" i="1148"/>
  <c r="S39" i="1148"/>
  <c r="R39" i="1148"/>
  <c r="Q39" i="1148"/>
  <c r="P39" i="1148"/>
  <c r="O39" i="1148"/>
  <c r="N39" i="1148"/>
  <c r="M39" i="1148"/>
  <c r="L39" i="1148"/>
  <c r="K39" i="1148"/>
  <c r="J39" i="1148"/>
  <c r="I39" i="1148"/>
  <c r="H39" i="1148"/>
  <c r="G39" i="1148"/>
  <c r="F39" i="1148"/>
  <c r="E39" i="1148"/>
  <c r="D39" i="1148"/>
  <c r="AE36" i="1148"/>
  <c r="AD36" i="1148"/>
  <c r="AA36" i="1148"/>
  <c r="Z36" i="1148"/>
  <c r="Y36" i="1148"/>
  <c r="W36" i="1148"/>
  <c r="V36" i="1148"/>
  <c r="U36" i="1148"/>
  <c r="S36" i="1148"/>
  <c r="R36" i="1148"/>
  <c r="O36" i="1148"/>
  <c r="N36" i="1148"/>
  <c r="K36" i="1148"/>
  <c r="J36" i="1148"/>
  <c r="I36" i="1148"/>
  <c r="G36" i="1148"/>
  <c r="F36" i="1148"/>
  <c r="D29" i="1148"/>
  <c r="B28" i="1148"/>
  <c r="AE27" i="1148"/>
  <c r="AE53" i="1148" s="1"/>
  <c r="AD27" i="1148"/>
  <c r="AD53" i="1148" s="1"/>
  <c r="AC27" i="1148"/>
  <c r="AB27" i="1148"/>
  <c r="AA27" i="1148"/>
  <c r="AA53" i="1148" s="1"/>
  <c r="Z27" i="1148"/>
  <c r="Z53" i="1148" s="1"/>
  <c r="Y27" i="1148"/>
  <c r="X27" i="1148"/>
  <c r="W27" i="1148"/>
  <c r="W53" i="1148" s="1"/>
  <c r="V27" i="1148"/>
  <c r="V53" i="1148" s="1"/>
  <c r="U27" i="1148"/>
  <c r="T27" i="1148"/>
  <c r="S27" i="1148"/>
  <c r="S53" i="1148" s="1"/>
  <c r="R27" i="1148"/>
  <c r="R53" i="1148" s="1"/>
  <c r="Q27" i="1148"/>
  <c r="P27" i="1148"/>
  <c r="O27" i="1148"/>
  <c r="O53" i="1148" s="1"/>
  <c r="N27" i="1148"/>
  <c r="N53" i="1148" s="1"/>
  <c r="M27" i="1148"/>
  <c r="L27" i="1148"/>
  <c r="K27" i="1148"/>
  <c r="K53" i="1148" s="1"/>
  <c r="J27" i="1148"/>
  <c r="J53" i="1148" s="1"/>
  <c r="I27" i="1148"/>
  <c r="I43" i="1148" s="1"/>
  <c r="H27" i="1148"/>
  <c r="G27" i="1148"/>
  <c r="G53" i="1148" s="1"/>
  <c r="F27" i="1148"/>
  <c r="F53" i="1148" s="1"/>
  <c r="E27" i="1148"/>
  <c r="D27" i="1148"/>
  <c r="B27" i="1148"/>
  <c r="C4" i="1148"/>
  <c r="C3" i="1148"/>
  <c r="C2" i="1148"/>
  <c r="AL1" i="1148"/>
  <c r="C1" i="1144"/>
  <c r="AN75" i="2"/>
  <c r="AN74" i="2"/>
  <c r="AN5" i="2"/>
  <c r="AE43" i="1144"/>
  <c r="AD43" i="1144"/>
  <c r="AC43" i="1144"/>
  <c r="AB43" i="1144"/>
  <c r="Z43" i="1144"/>
  <c r="X43" i="1144"/>
  <c r="W43" i="1144"/>
  <c r="V43" i="1144"/>
  <c r="U43" i="1144"/>
  <c r="T43" i="1144"/>
  <c r="S43" i="1144"/>
  <c r="R43" i="1144"/>
  <c r="Q43" i="1144"/>
  <c r="P43" i="1144"/>
  <c r="O43" i="1144"/>
  <c r="N43" i="1144"/>
  <c r="M43" i="1144"/>
  <c r="L43" i="1144"/>
  <c r="K43" i="1144"/>
  <c r="J43" i="1144"/>
  <c r="I43" i="1144"/>
  <c r="H43" i="1144"/>
  <c r="G43" i="1144"/>
  <c r="F43" i="1144"/>
  <c r="E43" i="1144"/>
  <c r="AE52" i="1144"/>
  <c r="AD52" i="1144"/>
  <c r="AC52" i="1144"/>
  <c r="AB52" i="1144"/>
  <c r="AA52" i="1144"/>
  <c r="Z52" i="1144"/>
  <c r="Y52" i="1144"/>
  <c r="X52" i="1144"/>
  <c r="W52" i="1144"/>
  <c r="V52" i="1144"/>
  <c r="U52" i="1144"/>
  <c r="T52" i="1144"/>
  <c r="S52" i="1144"/>
  <c r="R52" i="1144"/>
  <c r="Q52" i="1144"/>
  <c r="P52" i="1144"/>
  <c r="O52" i="1144"/>
  <c r="N52" i="1144"/>
  <c r="M52" i="1144"/>
  <c r="L52" i="1144"/>
  <c r="K52" i="1144"/>
  <c r="J52" i="1144"/>
  <c r="I52" i="1144"/>
  <c r="H52" i="1144"/>
  <c r="G52" i="1144"/>
  <c r="F52" i="1144"/>
  <c r="E52" i="1144"/>
  <c r="D52" i="1144"/>
  <c r="AE51" i="1144"/>
  <c r="AD51" i="1144"/>
  <c r="AC51" i="1144"/>
  <c r="AB51" i="1144"/>
  <c r="AA51" i="1144"/>
  <c r="Z51" i="1144"/>
  <c r="Y51" i="1144"/>
  <c r="X51" i="1144"/>
  <c r="W51" i="1144"/>
  <c r="V51" i="1144"/>
  <c r="U51" i="1144"/>
  <c r="T51" i="1144"/>
  <c r="S51" i="1144"/>
  <c r="R51" i="1144"/>
  <c r="Q51" i="1144"/>
  <c r="P51" i="1144"/>
  <c r="O51" i="1144"/>
  <c r="N51" i="1144"/>
  <c r="M51" i="1144"/>
  <c r="L51" i="1144"/>
  <c r="K51" i="1144"/>
  <c r="J51" i="1144"/>
  <c r="I51" i="1144"/>
  <c r="H51" i="1144"/>
  <c r="G51" i="1144"/>
  <c r="F51" i="1144"/>
  <c r="E51" i="1144"/>
  <c r="D51" i="1144"/>
  <c r="AE50" i="1144"/>
  <c r="AD50" i="1144"/>
  <c r="AC50" i="1144"/>
  <c r="AB50" i="1144"/>
  <c r="AA50" i="1144"/>
  <c r="Z50" i="1144"/>
  <c r="Y50" i="1144"/>
  <c r="X50" i="1144"/>
  <c r="W50" i="1144"/>
  <c r="V50" i="1144"/>
  <c r="U50" i="1144"/>
  <c r="T50" i="1144"/>
  <c r="S50" i="1144"/>
  <c r="R50" i="1144"/>
  <c r="Q50" i="1144"/>
  <c r="P50" i="1144"/>
  <c r="O50" i="1144"/>
  <c r="N50" i="1144"/>
  <c r="M50" i="1144"/>
  <c r="L50" i="1144"/>
  <c r="K50" i="1144"/>
  <c r="J50" i="1144"/>
  <c r="I50" i="1144"/>
  <c r="H50" i="1144"/>
  <c r="G50" i="1144"/>
  <c r="F50" i="1144"/>
  <c r="E50" i="1144"/>
  <c r="D50" i="1144"/>
  <c r="AE49" i="1144"/>
  <c r="AD49" i="1144"/>
  <c r="AC49" i="1144"/>
  <c r="AB49" i="1144"/>
  <c r="AA49" i="1144"/>
  <c r="Z49" i="1144"/>
  <c r="Y49" i="1144"/>
  <c r="X49" i="1144"/>
  <c r="W49" i="1144"/>
  <c r="V49" i="1144"/>
  <c r="U49" i="1144"/>
  <c r="T49" i="1144"/>
  <c r="S49" i="1144"/>
  <c r="R49" i="1144"/>
  <c r="Q49" i="1144"/>
  <c r="P49" i="1144"/>
  <c r="O49" i="1144"/>
  <c r="N49" i="1144"/>
  <c r="M49" i="1144"/>
  <c r="L49" i="1144"/>
  <c r="K49" i="1144"/>
  <c r="J49" i="1144"/>
  <c r="I49" i="1144"/>
  <c r="H49" i="1144"/>
  <c r="G49" i="1144"/>
  <c r="F49" i="1144"/>
  <c r="E49" i="1144"/>
  <c r="D49" i="1144"/>
  <c r="AE48" i="1144"/>
  <c r="AD48" i="1144"/>
  <c r="AC48" i="1144"/>
  <c r="AB48" i="1144"/>
  <c r="AA48" i="1144"/>
  <c r="Z48" i="1144"/>
  <c r="Y48" i="1144"/>
  <c r="X48" i="1144"/>
  <c r="W48" i="1144"/>
  <c r="V48" i="1144"/>
  <c r="U48" i="1144"/>
  <c r="T48" i="1144"/>
  <c r="S48" i="1144"/>
  <c r="R48" i="1144"/>
  <c r="Q48" i="1144"/>
  <c r="P48" i="1144"/>
  <c r="O48" i="1144"/>
  <c r="N48" i="1144"/>
  <c r="M48" i="1144"/>
  <c r="L48" i="1144"/>
  <c r="K48" i="1144"/>
  <c r="J48" i="1144"/>
  <c r="I48" i="1144"/>
  <c r="H48" i="1144"/>
  <c r="G48" i="1144"/>
  <c r="F48" i="1144"/>
  <c r="E48" i="1144"/>
  <c r="D48" i="1144"/>
  <c r="AE40" i="1144"/>
  <c r="AE36" i="1144" s="1"/>
  <c r="AD40" i="1144"/>
  <c r="AC40" i="1144"/>
  <c r="AB40" i="1144"/>
  <c r="AB36" i="1144" s="1"/>
  <c r="AA40" i="1144"/>
  <c r="AA36" i="1144" s="1"/>
  <c r="Z40" i="1144"/>
  <c r="Y40" i="1144"/>
  <c r="X40" i="1144"/>
  <c r="X36" i="1144" s="1"/>
  <c r="W40" i="1144"/>
  <c r="W36" i="1144" s="1"/>
  <c r="V40" i="1144"/>
  <c r="U40" i="1144"/>
  <c r="T40" i="1144"/>
  <c r="T36" i="1144" s="1"/>
  <c r="S40" i="1144"/>
  <c r="S36" i="1144" s="1"/>
  <c r="R40" i="1144"/>
  <c r="Q40" i="1144"/>
  <c r="P40" i="1144"/>
  <c r="O40" i="1144"/>
  <c r="O36" i="1144" s="1"/>
  <c r="N40" i="1144"/>
  <c r="M40" i="1144"/>
  <c r="L40" i="1144"/>
  <c r="L36" i="1144" s="1"/>
  <c r="K40" i="1144"/>
  <c r="K36" i="1144" s="1"/>
  <c r="J40" i="1144"/>
  <c r="I40" i="1144"/>
  <c r="H40" i="1144"/>
  <c r="H36" i="1144" s="1"/>
  <c r="G40" i="1144"/>
  <c r="G36" i="1144" s="1"/>
  <c r="F40" i="1144"/>
  <c r="E40" i="1144"/>
  <c r="D40" i="1144"/>
  <c r="D36" i="1144" s="1"/>
  <c r="AE39" i="1144"/>
  <c r="AD39" i="1144"/>
  <c r="AC39" i="1144"/>
  <c r="AB39" i="1144"/>
  <c r="AA39" i="1144"/>
  <c r="Z39" i="1144"/>
  <c r="Y39" i="1144"/>
  <c r="X39" i="1144"/>
  <c r="W39" i="1144"/>
  <c r="V39" i="1144"/>
  <c r="U39" i="1144"/>
  <c r="T39" i="1144"/>
  <c r="S39" i="1144"/>
  <c r="R39" i="1144"/>
  <c r="Q39" i="1144"/>
  <c r="P39" i="1144"/>
  <c r="O39" i="1144"/>
  <c r="N39" i="1144"/>
  <c r="M39" i="1144"/>
  <c r="L39" i="1144"/>
  <c r="K39" i="1144"/>
  <c r="J39" i="1144"/>
  <c r="I39" i="1144"/>
  <c r="H39" i="1144"/>
  <c r="G39" i="1144"/>
  <c r="F39" i="1144"/>
  <c r="E39" i="1144"/>
  <c r="D39" i="1144"/>
  <c r="AD36" i="1144"/>
  <c r="AC36" i="1144"/>
  <c r="Z36" i="1144"/>
  <c r="Y36" i="1144"/>
  <c r="V36" i="1144"/>
  <c r="U36" i="1144"/>
  <c r="R36" i="1144"/>
  <c r="Q36" i="1144"/>
  <c r="P36" i="1144"/>
  <c r="N36" i="1144"/>
  <c r="M36" i="1144"/>
  <c r="J36" i="1144"/>
  <c r="I36" i="1144"/>
  <c r="F36" i="1144"/>
  <c r="E36" i="1144"/>
  <c r="D29" i="1144"/>
  <c r="B28" i="1144"/>
  <c r="AE27" i="1144"/>
  <c r="AD27" i="1144"/>
  <c r="AC27" i="1144"/>
  <c r="AC53" i="1144" s="1"/>
  <c r="AB27" i="1144"/>
  <c r="AA27" i="1144"/>
  <c r="AA43" i="1144" s="1"/>
  <c r="Z27" i="1144"/>
  <c r="Y27" i="1144"/>
  <c r="Y53" i="1144" s="1"/>
  <c r="X27" i="1144"/>
  <c r="W27" i="1144"/>
  <c r="V27" i="1144"/>
  <c r="U27" i="1144"/>
  <c r="U53" i="1144" s="1"/>
  <c r="T27" i="1144"/>
  <c r="S27" i="1144"/>
  <c r="R27" i="1144"/>
  <c r="Q27" i="1144"/>
  <c r="Q53" i="1144" s="1"/>
  <c r="P27" i="1144"/>
  <c r="O27" i="1144"/>
  <c r="N27" i="1144"/>
  <c r="M27" i="1144"/>
  <c r="M53" i="1144" s="1"/>
  <c r="L27" i="1144"/>
  <c r="K27" i="1144"/>
  <c r="J27" i="1144"/>
  <c r="I27" i="1144"/>
  <c r="I53" i="1144" s="1"/>
  <c r="H27" i="1144"/>
  <c r="G27" i="1144"/>
  <c r="F27" i="1144"/>
  <c r="E27" i="1144"/>
  <c r="E53" i="1144" s="1"/>
  <c r="D27" i="1144"/>
  <c r="D43" i="1144" s="1"/>
  <c r="B27" i="1144"/>
  <c r="C4" i="1144"/>
  <c r="C3" i="1144"/>
  <c r="C2" i="1144"/>
  <c r="AL1" i="1144"/>
  <c r="C1" i="1143"/>
  <c r="AL75" i="2"/>
  <c r="AL74" i="2"/>
  <c r="AL5" i="2"/>
  <c r="AE43" i="1143"/>
  <c r="AC43" i="1143"/>
  <c r="AB43" i="1143"/>
  <c r="AA43" i="1143"/>
  <c r="Z43" i="1143"/>
  <c r="Y43" i="1143"/>
  <c r="X43" i="1143"/>
  <c r="W43" i="1143"/>
  <c r="V43" i="1143"/>
  <c r="U43" i="1143"/>
  <c r="T43" i="1143"/>
  <c r="S43" i="1143"/>
  <c r="R43" i="1143"/>
  <c r="Q43" i="1143"/>
  <c r="P43" i="1143"/>
  <c r="N43" i="1143"/>
  <c r="M43" i="1143"/>
  <c r="L43" i="1143"/>
  <c r="K43" i="1143"/>
  <c r="J43" i="1143"/>
  <c r="I43" i="1143"/>
  <c r="H43" i="1143"/>
  <c r="G43" i="1143"/>
  <c r="F43" i="1143"/>
  <c r="E43" i="1143"/>
  <c r="D43" i="1143"/>
  <c r="AE52" i="1143"/>
  <c r="AD52" i="1143"/>
  <c r="AC52" i="1143"/>
  <c r="AB52" i="1143"/>
  <c r="AA52" i="1143"/>
  <c r="Z52" i="1143"/>
  <c r="Y52" i="1143"/>
  <c r="X52" i="1143"/>
  <c r="W52" i="1143"/>
  <c r="V52" i="1143"/>
  <c r="U52" i="1143"/>
  <c r="T52" i="1143"/>
  <c r="S52" i="1143"/>
  <c r="R52" i="1143"/>
  <c r="Q52" i="1143"/>
  <c r="P52" i="1143"/>
  <c r="O52" i="1143"/>
  <c r="N52" i="1143"/>
  <c r="M52" i="1143"/>
  <c r="L52" i="1143"/>
  <c r="K52" i="1143"/>
  <c r="J52" i="1143"/>
  <c r="I52" i="1143"/>
  <c r="H52" i="1143"/>
  <c r="G52" i="1143"/>
  <c r="F52" i="1143"/>
  <c r="E52" i="1143"/>
  <c r="D52" i="1143"/>
  <c r="AE51" i="1143"/>
  <c r="AD51" i="1143"/>
  <c r="AC51" i="1143"/>
  <c r="AB51" i="1143"/>
  <c r="AA51" i="1143"/>
  <c r="Z51" i="1143"/>
  <c r="Y51" i="1143"/>
  <c r="X51" i="1143"/>
  <c r="W51" i="1143"/>
  <c r="V51" i="1143"/>
  <c r="U51" i="1143"/>
  <c r="T51" i="1143"/>
  <c r="S51" i="1143"/>
  <c r="R51" i="1143"/>
  <c r="Q51" i="1143"/>
  <c r="P51" i="1143"/>
  <c r="O51" i="1143"/>
  <c r="N51" i="1143"/>
  <c r="M51" i="1143"/>
  <c r="L51" i="1143"/>
  <c r="K51" i="1143"/>
  <c r="J51" i="1143"/>
  <c r="I51" i="1143"/>
  <c r="H51" i="1143"/>
  <c r="G51" i="1143"/>
  <c r="F51" i="1143"/>
  <c r="E51" i="1143"/>
  <c r="D51" i="1143"/>
  <c r="AE50" i="1143"/>
  <c r="AD50" i="1143"/>
  <c r="AC50" i="1143"/>
  <c r="AB50" i="1143"/>
  <c r="AA50" i="1143"/>
  <c r="Z50" i="1143"/>
  <c r="Y50" i="1143"/>
  <c r="X50" i="1143"/>
  <c r="W50" i="1143"/>
  <c r="V50" i="1143"/>
  <c r="U50" i="1143"/>
  <c r="T50" i="1143"/>
  <c r="S50" i="1143"/>
  <c r="R50" i="1143"/>
  <c r="Q50" i="1143"/>
  <c r="P50" i="1143"/>
  <c r="O50" i="1143"/>
  <c r="N50" i="1143"/>
  <c r="M50" i="1143"/>
  <c r="L50" i="1143"/>
  <c r="K50" i="1143"/>
  <c r="J50" i="1143"/>
  <c r="I50" i="1143"/>
  <c r="H50" i="1143"/>
  <c r="G50" i="1143"/>
  <c r="F50" i="1143"/>
  <c r="E50" i="1143"/>
  <c r="D50" i="1143"/>
  <c r="AE49" i="1143"/>
  <c r="AD49" i="1143"/>
  <c r="AC49" i="1143"/>
  <c r="AB49" i="1143"/>
  <c r="AA49" i="1143"/>
  <c r="Z49" i="1143"/>
  <c r="Y49" i="1143"/>
  <c r="X49" i="1143"/>
  <c r="W49" i="1143"/>
  <c r="V49" i="1143"/>
  <c r="U49" i="1143"/>
  <c r="T49" i="1143"/>
  <c r="S49" i="1143"/>
  <c r="R49" i="1143"/>
  <c r="Q49" i="1143"/>
  <c r="P49" i="1143"/>
  <c r="O49" i="1143"/>
  <c r="N49" i="1143"/>
  <c r="M49" i="1143"/>
  <c r="L49" i="1143"/>
  <c r="K49" i="1143"/>
  <c r="J49" i="1143"/>
  <c r="I49" i="1143"/>
  <c r="H49" i="1143"/>
  <c r="G49" i="1143"/>
  <c r="F49" i="1143"/>
  <c r="E49" i="1143"/>
  <c r="D49" i="1143"/>
  <c r="AE48" i="1143"/>
  <c r="AD48" i="1143"/>
  <c r="AC48" i="1143"/>
  <c r="AB48" i="1143"/>
  <c r="AA48" i="1143"/>
  <c r="Z48" i="1143"/>
  <c r="Y48" i="1143"/>
  <c r="X48" i="1143"/>
  <c r="W48" i="1143"/>
  <c r="V48" i="1143"/>
  <c r="U48" i="1143"/>
  <c r="T48" i="1143"/>
  <c r="S48" i="1143"/>
  <c r="R48" i="1143"/>
  <c r="Q48" i="1143"/>
  <c r="P48" i="1143"/>
  <c r="O48" i="1143"/>
  <c r="N48" i="1143"/>
  <c r="M48" i="1143"/>
  <c r="L48" i="1143"/>
  <c r="K48" i="1143"/>
  <c r="J48" i="1143"/>
  <c r="I48" i="1143"/>
  <c r="H48" i="1143"/>
  <c r="G48" i="1143"/>
  <c r="F48" i="1143"/>
  <c r="E48" i="1143"/>
  <c r="D48" i="1143"/>
  <c r="AE40" i="1143"/>
  <c r="AE36" i="1143" s="1"/>
  <c r="AD40" i="1143"/>
  <c r="AD36" i="1143" s="1"/>
  <c r="AC40" i="1143"/>
  <c r="AC36" i="1143" s="1"/>
  <c r="AB40" i="1143"/>
  <c r="AA40" i="1143"/>
  <c r="AA36" i="1143" s="1"/>
  <c r="Z40" i="1143"/>
  <c r="Z36" i="1143" s="1"/>
  <c r="Y40" i="1143"/>
  <c r="Y36" i="1143" s="1"/>
  <c r="X40" i="1143"/>
  <c r="W40" i="1143"/>
  <c r="W36" i="1143" s="1"/>
  <c r="V40" i="1143"/>
  <c r="V36" i="1143" s="1"/>
  <c r="U40" i="1143"/>
  <c r="U36" i="1143" s="1"/>
  <c r="T40" i="1143"/>
  <c r="S40" i="1143"/>
  <c r="S36" i="1143" s="1"/>
  <c r="R40" i="1143"/>
  <c r="R36" i="1143" s="1"/>
  <c r="Q40" i="1143"/>
  <c r="P40" i="1143"/>
  <c r="O40" i="1143"/>
  <c r="O36" i="1143" s="1"/>
  <c r="N40" i="1143"/>
  <c r="N36" i="1143" s="1"/>
  <c r="M40" i="1143"/>
  <c r="M36" i="1143" s="1"/>
  <c r="L40" i="1143"/>
  <c r="K40" i="1143"/>
  <c r="K36" i="1143" s="1"/>
  <c r="J40" i="1143"/>
  <c r="J36" i="1143" s="1"/>
  <c r="I40" i="1143"/>
  <c r="I36" i="1143" s="1"/>
  <c r="H40" i="1143"/>
  <c r="G40" i="1143"/>
  <c r="G36" i="1143" s="1"/>
  <c r="F40" i="1143"/>
  <c r="E40" i="1143"/>
  <c r="E36" i="1143" s="1"/>
  <c r="D40" i="1143"/>
  <c r="AE39" i="1143"/>
  <c r="AD39" i="1143"/>
  <c r="AC39" i="1143"/>
  <c r="AB39" i="1143"/>
  <c r="AA39" i="1143"/>
  <c r="Z39" i="1143"/>
  <c r="Y39" i="1143"/>
  <c r="X39" i="1143"/>
  <c r="W39" i="1143"/>
  <c r="V39" i="1143"/>
  <c r="U39" i="1143"/>
  <c r="T39" i="1143"/>
  <c r="S39" i="1143"/>
  <c r="R39" i="1143"/>
  <c r="Q39" i="1143"/>
  <c r="P39" i="1143"/>
  <c r="O39" i="1143"/>
  <c r="N39" i="1143"/>
  <c r="M39" i="1143"/>
  <c r="L39" i="1143"/>
  <c r="K39" i="1143"/>
  <c r="J39" i="1143"/>
  <c r="I39" i="1143"/>
  <c r="H39" i="1143"/>
  <c r="G39" i="1143"/>
  <c r="F39" i="1143"/>
  <c r="E39" i="1143"/>
  <c r="D39" i="1143"/>
  <c r="AB36" i="1143"/>
  <c r="X36" i="1143"/>
  <c r="T36" i="1143"/>
  <c r="Q36" i="1143"/>
  <c r="P36" i="1143"/>
  <c r="L36" i="1143"/>
  <c r="H36" i="1143"/>
  <c r="F36" i="1143"/>
  <c r="D36" i="1143"/>
  <c r="D29" i="1143"/>
  <c r="B28" i="1143"/>
  <c r="AE27" i="1143"/>
  <c r="AD27" i="1143"/>
  <c r="AD43" i="1143" s="1"/>
  <c r="AC27" i="1143"/>
  <c r="AC53" i="1143" s="1"/>
  <c r="AB27" i="1143"/>
  <c r="AA27" i="1143"/>
  <c r="Z27" i="1143"/>
  <c r="Y27" i="1143"/>
  <c r="Y53" i="1143" s="1"/>
  <c r="X27" i="1143"/>
  <c r="W27" i="1143"/>
  <c r="V27" i="1143"/>
  <c r="U27" i="1143"/>
  <c r="U53" i="1143" s="1"/>
  <c r="T27" i="1143"/>
  <c r="S27" i="1143"/>
  <c r="R27" i="1143"/>
  <c r="Q27" i="1143"/>
  <c r="Q53" i="1143" s="1"/>
  <c r="P27" i="1143"/>
  <c r="O27" i="1143"/>
  <c r="O43" i="1143" s="1"/>
  <c r="N27" i="1143"/>
  <c r="M27" i="1143"/>
  <c r="M53" i="1143" s="1"/>
  <c r="L27" i="1143"/>
  <c r="K27" i="1143"/>
  <c r="J27" i="1143"/>
  <c r="I27" i="1143"/>
  <c r="H27" i="1143"/>
  <c r="G27" i="1143"/>
  <c r="F27" i="1143"/>
  <c r="E27" i="1143"/>
  <c r="D27" i="1143"/>
  <c r="B27" i="1143"/>
  <c r="C4" i="1143"/>
  <c r="C3" i="1143"/>
  <c r="C2" i="1143"/>
  <c r="AL1" i="1143"/>
  <c r="C1" i="1142"/>
  <c r="AJ75" i="2"/>
  <c r="AJ74" i="2"/>
  <c r="AJ5" i="2"/>
  <c r="AC44" i="1142"/>
  <c r="X44" i="1142"/>
  <c r="T44" i="1142"/>
  <c r="P44" i="1142"/>
  <c r="L44" i="1142"/>
  <c r="H44" i="1142"/>
  <c r="D44" i="1142"/>
  <c r="AE53" i="1142"/>
  <c r="AD53" i="1142"/>
  <c r="AC53" i="1142"/>
  <c r="AB53" i="1142"/>
  <c r="AA53" i="1142"/>
  <c r="Z53" i="1142"/>
  <c r="Y53" i="1142"/>
  <c r="X53" i="1142"/>
  <c r="W53" i="1142"/>
  <c r="V53" i="1142"/>
  <c r="U53" i="1142"/>
  <c r="T53" i="1142"/>
  <c r="S53" i="1142"/>
  <c r="R53" i="1142"/>
  <c r="Q53" i="1142"/>
  <c r="P53" i="1142"/>
  <c r="O53" i="1142"/>
  <c r="N53" i="1142"/>
  <c r="M53" i="1142"/>
  <c r="L53" i="1142"/>
  <c r="K53" i="1142"/>
  <c r="J53" i="1142"/>
  <c r="I53" i="1142"/>
  <c r="H53" i="1142"/>
  <c r="G53" i="1142"/>
  <c r="F53" i="1142"/>
  <c r="E53" i="1142"/>
  <c r="D53" i="1142"/>
  <c r="AE52" i="1142"/>
  <c r="AD52" i="1142"/>
  <c r="AC52" i="1142"/>
  <c r="AB52" i="1142"/>
  <c r="AA52" i="1142"/>
  <c r="Z52" i="1142"/>
  <c r="Y52" i="1142"/>
  <c r="X52" i="1142"/>
  <c r="W52" i="1142"/>
  <c r="V52" i="1142"/>
  <c r="U52" i="1142"/>
  <c r="T52" i="1142"/>
  <c r="S52" i="1142"/>
  <c r="R52" i="1142"/>
  <c r="Q52" i="1142"/>
  <c r="P52" i="1142"/>
  <c r="O52" i="1142"/>
  <c r="N52" i="1142"/>
  <c r="M52" i="1142"/>
  <c r="L52" i="1142"/>
  <c r="K52" i="1142"/>
  <c r="J52" i="1142"/>
  <c r="I52" i="1142"/>
  <c r="H52" i="1142"/>
  <c r="G52" i="1142"/>
  <c r="F52" i="1142"/>
  <c r="E52" i="1142"/>
  <c r="D52" i="1142"/>
  <c r="AE51" i="1142"/>
  <c r="AD51" i="1142"/>
  <c r="AC51" i="1142"/>
  <c r="AB51" i="1142"/>
  <c r="AA51" i="1142"/>
  <c r="Z51" i="1142"/>
  <c r="Y51" i="1142"/>
  <c r="X51" i="1142"/>
  <c r="W51" i="1142"/>
  <c r="V51" i="1142"/>
  <c r="U51" i="1142"/>
  <c r="T51" i="1142"/>
  <c r="S51" i="1142"/>
  <c r="R51" i="1142"/>
  <c r="Q51" i="1142"/>
  <c r="P51" i="1142"/>
  <c r="O51" i="1142"/>
  <c r="N51" i="1142"/>
  <c r="M51" i="1142"/>
  <c r="L51" i="1142"/>
  <c r="K51" i="1142"/>
  <c r="J51" i="1142"/>
  <c r="I51" i="1142"/>
  <c r="H51" i="1142"/>
  <c r="G51" i="1142"/>
  <c r="F51" i="1142"/>
  <c r="E51" i="1142"/>
  <c r="D51" i="1142"/>
  <c r="AE50" i="1142"/>
  <c r="AD50" i="1142"/>
  <c r="AC50" i="1142"/>
  <c r="AB50" i="1142"/>
  <c r="AA50" i="1142"/>
  <c r="Z50" i="1142"/>
  <c r="Y50" i="1142"/>
  <c r="X50" i="1142"/>
  <c r="W50" i="1142"/>
  <c r="V50" i="1142"/>
  <c r="U50" i="1142"/>
  <c r="T50" i="1142"/>
  <c r="S50" i="1142"/>
  <c r="R50" i="1142"/>
  <c r="Q50" i="1142"/>
  <c r="P50" i="1142"/>
  <c r="O50" i="1142"/>
  <c r="N50" i="1142"/>
  <c r="M50" i="1142"/>
  <c r="L50" i="1142"/>
  <c r="K50" i="1142"/>
  <c r="J50" i="1142"/>
  <c r="I50" i="1142"/>
  <c r="H50" i="1142"/>
  <c r="G50" i="1142"/>
  <c r="F50" i="1142"/>
  <c r="E50" i="1142"/>
  <c r="D50" i="1142"/>
  <c r="AE49" i="1142"/>
  <c r="AD49" i="1142"/>
  <c r="AC49" i="1142"/>
  <c r="AB49" i="1142"/>
  <c r="AA49" i="1142"/>
  <c r="Z49" i="1142"/>
  <c r="Y49" i="1142"/>
  <c r="X49" i="1142"/>
  <c r="W49" i="1142"/>
  <c r="V49" i="1142"/>
  <c r="U49" i="1142"/>
  <c r="T49" i="1142"/>
  <c r="S49" i="1142"/>
  <c r="R49" i="1142"/>
  <c r="Q49" i="1142"/>
  <c r="P49" i="1142"/>
  <c r="O49" i="1142"/>
  <c r="N49" i="1142"/>
  <c r="M49" i="1142"/>
  <c r="L49" i="1142"/>
  <c r="K49" i="1142"/>
  <c r="J49" i="1142"/>
  <c r="I49" i="1142"/>
  <c r="H49" i="1142"/>
  <c r="G49" i="1142"/>
  <c r="F49" i="1142"/>
  <c r="E49" i="1142"/>
  <c r="D49" i="1142"/>
  <c r="AE41" i="1142"/>
  <c r="AE37" i="1142" s="1"/>
  <c r="AD41" i="1142"/>
  <c r="AC41" i="1142"/>
  <c r="AC37" i="1142" s="1"/>
  <c r="AB41" i="1142"/>
  <c r="AB37" i="1142" s="1"/>
  <c r="AA41" i="1142"/>
  <c r="AA37" i="1142" s="1"/>
  <c r="Z41" i="1142"/>
  <c r="Y41" i="1142"/>
  <c r="Y37" i="1142" s="1"/>
  <c r="X41" i="1142"/>
  <c r="W41" i="1142"/>
  <c r="W37" i="1142" s="1"/>
  <c r="V41" i="1142"/>
  <c r="U41" i="1142"/>
  <c r="U37" i="1142" s="1"/>
  <c r="T41" i="1142"/>
  <c r="T37" i="1142" s="1"/>
  <c r="S41" i="1142"/>
  <c r="S37" i="1142" s="1"/>
  <c r="R41" i="1142"/>
  <c r="Q41" i="1142"/>
  <c r="Q37" i="1142" s="1"/>
  <c r="P41" i="1142"/>
  <c r="P37" i="1142" s="1"/>
  <c r="O41" i="1142"/>
  <c r="O37" i="1142" s="1"/>
  <c r="N41" i="1142"/>
  <c r="M41" i="1142"/>
  <c r="M37" i="1142" s="1"/>
  <c r="L41" i="1142"/>
  <c r="L37" i="1142" s="1"/>
  <c r="K41" i="1142"/>
  <c r="K37" i="1142" s="1"/>
  <c r="J41" i="1142"/>
  <c r="I41" i="1142"/>
  <c r="I37" i="1142" s="1"/>
  <c r="H41" i="1142"/>
  <c r="H37" i="1142" s="1"/>
  <c r="G41" i="1142"/>
  <c r="G37" i="1142" s="1"/>
  <c r="F41" i="1142"/>
  <c r="E41" i="1142"/>
  <c r="E37" i="1142" s="1"/>
  <c r="D41" i="1142"/>
  <c r="AE40" i="1142"/>
  <c r="AD40" i="1142"/>
  <c r="AC40" i="1142"/>
  <c r="AB40" i="1142"/>
  <c r="AA40" i="1142"/>
  <c r="Z40" i="1142"/>
  <c r="Y40" i="1142"/>
  <c r="X40" i="1142"/>
  <c r="W40" i="1142"/>
  <c r="V40" i="1142"/>
  <c r="U40" i="1142"/>
  <c r="T40" i="1142"/>
  <c r="S40" i="1142"/>
  <c r="R40" i="1142"/>
  <c r="Q40" i="1142"/>
  <c r="P40" i="1142"/>
  <c r="O40" i="1142"/>
  <c r="N40" i="1142"/>
  <c r="M40" i="1142"/>
  <c r="L40" i="1142"/>
  <c r="K40" i="1142"/>
  <c r="J40" i="1142"/>
  <c r="I40" i="1142"/>
  <c r="H40" i="1142"/>
  <c r="G40" i="1142"/>
  <c r="F40" i="1142"/>
  <c r="E40" i="1142"/>
  <c r="D40" i="1142"/>
  <c r="AD37" i="1142"/>
  <c r="Z37" i="1142"/>
  <c r="X37" i="1142"/>
  <c r="V37" i="1142"/>
  <c r="R37" i="1142"/>
  <c r="N37" i="1142"/>
  <c r="J37" i="1142"/>
  <c r="F37" i="1142"/>
  <c r="D37" i="1142"/>
  <c r="D30" i="1142"/>
  <c r="B29" i="1142"/>
  <c r="AE44" i="1142"/>
  <c r="AD44" i="1142"/>
  <c r="AC54" i="1142"/>
  <c r="AB44" i="1142"/>
  <c r="AA44" i="1142"/>
  <c r="Z44" i="1142"/>
  <c r="Y54" i="1142"/>
  <c r="W44" i="1142"/>
  <c r="V44" i="1142"/>
  <c r="U54" i="1142"/>
  <c r="S44" i="1142"/>
  <c r="R44" i="1142"/>
  <c r="Q54" i="1142"/>
  <c r="O44" i="1142"/>
  <c r="N44" i="1142"/>
  <c r="M54" i="1142"/>
  <c r="K44" i="1142"/>
  <c r="J44" i="1142"/>
  <c r="I54" i="1142"/>
  <c r="G44" i="1142"/>
  <c r="F44" i="1142"/>
  <c r="E54" i="1142"/>
  <c r="B28" i="1142"/>
  <c r="C4" i="1142"/>
  <c r="C3" i="1142"/>
  <c r="C2" i="1142"/>
  <c r="AL1" i="1142"/>
  <c r="C1" i="1141"/>
  <c r="AH75" i="2"/>
  <c r="AH74" i="2"/>
  <c r="AH5" i="2"/>
  <c r="AE43" i="1141"/>
  <c r="AD43" i="1141"/>
  <c r="AC43" i="1141"/>
  <c r="AB43" i="1141"/>
  <c r="Y43" i="1141"/>
  <c r="X43" i="1141"/>
  <c r="W43" i="1141"/>
  <c r="U43" i="1141"/>
  <c r="T43" i="1141"/>
  <c r="S43" i="1141"/>
  <c r="Q43" i="1141"/>
  <c r="P43" i="1141"/>
  <c r="O43" i="1141"/>
  <c r="M43" i="1141"/>
  <c r="L43" i="1141"/>
  <c r="J43" i="1141"/>
  <c r="H43" i="1141"/>
  <c r="G43" i="1141"/>
  <c r="F43" i="1141"/>
  <c r="E43" i="1141"/>
  <c r="D43" i="1141"/>
  <c r="AE52" i="1141"/>
  <c r="AD52" i="1141"/>
  <c r="AC52" i="1141"/>
  <c r="AB52" i="1141"/>
  <c r="AA52" i="1141"/>
  <c r="Z52" i="1141"/>
  <c r="Y52" i="1141"/>
  <c r="X52" i="1141"/>
  <c r="W52" i="1141"/>
  <c r="V52" i="1141"/>
  <c r="U52" i="1141"/>
  <c r="T52" i="1141"/>
  <c r="S52" i="1141"/>
  <c r="R52" i="1141"/>
  <c r="Q52" i="1141"/>
  <c r="P52" i="1141"/>
  <c r="O52" i="1141"/>
  <c r="N52" i="1141"/>
  <c r="M52" i="1141"/>
  <c r="L52" i="1141"/>
  <c r="K52" i="1141"/>
  <c r="J52" i="1141"/>
  <c r="I52" i="1141"/>
  <c r="H52" i="1141"/>
  <c r="G52" i="1141"/>
  <c r="F52" i="1141"/>
  <c r="E52" i="1141"/>
  <c r="D52" i="1141"/>
  <c r="AE51" i="1141"/>
  <c r="AD51" i="1141"/>
  <c r="AC51" i="1141"/>
  <c r="AB51" i="1141"/>
  <c r="AA51" i="1141"/>
  <c r="Z51" i="1141"/>
  <c r="Y51" i="1141"/>
  <c r="X51" i="1141"/>
  <c r="W51" i="1141"/>
  <c r="V51" i="1141"/>
  <c r="U51" i="1141"/>
  <c r="T51" i="1141"/>
  <c r="S51" i="1141"/>
  <c r="R51" i="1141"/>
  <c r="Q51" i="1141"/>
  <c r="P51" i="1141"/>
  <c r="O51" i="1141"/>
  <c r="N51" i="1141"/>
  <c r="M51" i="1141"/>
  <c r="L51" i="1141"/>
  <c r="K51" i="1141"/>
  <c r="J51" i="1141"/>
  <c r="I51" i="1141"/>
  <c r="H51" i="1141"/>
  <c r="G51" i="1141"/>
  <c r="F51" i="1141"/>
  <c r="E51" i="1141"/>
  <c r="D51" i="1141"/>
  <c r="AE50" i="1141"/>
  <c r="AD50" i="1141"/>
  <c r="AC50" i="1141"/>
  <c r="AB50" i="1141"/>
  <c r="AA50" i="1141"/>
  <c r="Z50" i="1141"/>
  <c r="Y50" i="1141"/>
  <c r="X50" i="1141"/>
  <c r="W50" i="1141"/>
  <c r="V50" i="1141"/>
  <c r="U50" i="1141"/>
  <c r="T50" i="1141"/>
  <c r="S50" i="1141"/>
  <c r="R50" i="1141"/>
  <c r="Q50" i="1141"/>
  <c r="P50" i="1141"/>
  <c r="O50" i="1141"/>
  <c r="N50" i="1141"/>
  <c r="M50" i="1141"/>
  <c r="L50" i="1141"/>
  <c r="K50" i="1141"/>
  <c r="J50" i="1141"/>
  <c r="I50" i="1141"/>
  <c r="H50" i="1141"/>
  <c r="G50" i="1141"/>
  <c r="F50" i="1141"/>
  <c r="E50" i="1141"/>
  <c r="D50" i="1141"/>
  <c r="AE49" i="1141"/>
  <c r="AD49" i="1141"/>
  <c r="AC49" i="1141"/>
  <c r="AB49" i="1141"/>
  <c r="AA49" i="1141"/>
  <c r="Z49" i="1141"/>
  <c r="Y49" i="1141"/>
  <c r="X49" i="1141"/>
  <c r="W49" i="1141"/>
  <c r="V49" i="1141"/>
  <c r="U49" i="1141"/>
  <c r="T49" i="1141"/>
  <c r="S49" i="1141"/>
  <c r="R49" i="1141"/>
  <c r="Q49" i="1141"/>
  <c r="P49" i="1141"/>
  <c r="O49" i="1141"/>
  <c r="N49" i="1141"/>
  <c r="M49" i="1141"/>
  <c r="L49" i="1141"/>
  <c r="K49" i="1141"/>
  <c r="J49" i="1141"/>
  <c r="I49" i="1141"/>
  <c r="H49" i="1141"/>
  <c r="G49" i="1141"/>
  <c r="F49" i="1141"/>
  <c r="E49" i="1141"/>
  <c r="D49" i="1141"/>
  <c r="AE48" i="1141"/>
  <c r="AD48" i="1141"/>
  <c r="AC48" i="1141"/>
  <c r="AB48" i="1141"/>
  <c r="AA48" i="1141"/>
  <c r="Z48" i="1141"/>
  <c r="Y48" i="1141"/>
  <c r="X48" i="1141"/>
  <c r="W48" i="1141"/>
  <c r="V48" i="1141"/>
  <c r="U48" i="1141"/>
  <c r="T48" i="1141"/>
  <c r="S48" i="1141"/>
  <c r="R48" i="1141"/>
  <c r="Q48" i="1141"/>
  <c r="P48" i="1141"/>
  <c r="O48" i="1141"/>
  <c r="N48" i="1141"/>
  <c r="M48" i="1141"/>
  <c r="L48" i="1141"/>
  <c r="K48" i="1141"/>
  <c r="J48" i="1141"/>
  <c r="I48" i="1141"/>
  <c r="H48" i="1141"/>
  <c r="G48" i="1141"/>
  <c r="F48" i="1141"/>
  <c r="E48" i="1141"/>
  <c r="D48" i="1141"/>
  <c r="AE40" i="1141"/>
  <c r="AE36" i="1141" s="1"/>
  <c r="AD40" i="1141"/>
  <c r="AC40" i="1141"/>
  <c r="AC36" i="1141" s="1"/>
  <c r="AB40" i="1141"/>
  <c r="AB36" i="1141" s="1"/>
  <c r="AA40" i="1141"/>
  <c r="AA36" i="1141" s="1"/>
  <c r="Z40" i="1141"/>
  <c r="Y40" i="1141"/>
  <c r="Y36" i="1141" s="1"/>
  <c r="X40" i="1141"/>
  <c r="X36" i="1141" s="1"/>
  <c r="W40" i="1141"/>
  <c r="W36" i="1141" s="1"/>
  <c r="V40" i="1141"/>
  <c r="V36" i="1141" s="1"/>
  <c r="U40" i="1141"/>
  <c r="T40" i="1141"/>
  <c r="T36" i="1141" s="1"/>
  <c r="S40" i="1141"/>
  <c r="S36" i="1141" s="1"/>
  <c r="R40" i="1141"/>
  <c r="Q40" i="1141"/>
  <c r="Q36" i="1141" s="1"/>
  <c r="P40" i="1141"/>
  <c r="P36" i="1141" s="1"/>
  <c r="O40" i="1141"/>
  <c r="O36" i="1141" s="1"/>
  <c r="N40" i="1141"/>
  <c r="M40" i="1141"/>
  <c r="M36" i="1141" s="1"/>
  <c r="L40" i="1141"/>
  <c r="L36" i="1141" s="1"/>
  <c r="K40" i="1141"/>
  <c r="K36" i="1141" s="1"/>
  <c r="J40" i="1141"/>
  <c r="I40" i="1141"/>
  <c r="I36" i="1141" s="1"/>
  <c r="H40" i="1141"/>
  <c r="H36" i="1141" s="1"/>
  <c r="G40" i="1141"/>
  <c r="G36" i="1141" s="1"/>
  <c r="F40" i="1141"/>
  <c r="E40" i="1141"/>
  <c r="E36" i="1141" s="1"/>
  <c r="D40" i="1141"/>
  <c r="D36" i="1141" s="1"/>
  <c r="AE39" i="1141"/>
  <c r="AD39" i="1141"/>
  <c r="AC39" i="1141"/>
  <c r="AB39" i="1141"/>
  <c r="AA39" i="1141"/>
  <c r="Z39" i="1141"/>
  <c r="Y39" i="1141"/>
  <c r="X39" i="1141"/>
  <c r="W39" i="1141"/>
  <c r="V39" i="1141"/>
  <c r="U39" i="1141"/>
  <c r="T39" i="1141"/>
  <c r="S39" i="1141"/>
  <c r="R39" i="1141"/>
  <c r="Q39" i="1141"/>
  <c r="P39" i="1141"/>
  <c r="O39" i="1141"/>
  <c r="N39" i="1141"/>
  <c r="M39" i="1141"/>
  <c r="L39" i="1141"/>
  <c r="K39" i="1141"/>
  <c r="J39" i="1141"/>
  <c r="I39" i="1141"/>
  <c r="H39" i="1141"/>
  <c r="G39" i="1141"/>
  <c r="F39" i="1141"/>
  <c r="E39" i="1141"/>
  <c r="D39" i="1141"/>
  <c r="AD36" i="1141"/>
  <c r="Z36" i="1141"/>
  <c r="U36" i="1141"/>
  <c r="R36" i="1141"/>
  <c r="N36" i="1141"/>
  <c r="J36" i="1141"/>
  <c r="F36" i="1141"/>
  <c r="D29" i="1141"/>
  <c r="B28" i="1141"/>
  <c r="AE27" i="1141"/>
  <c r="AD27" i="1141"/>
  <c r="AD53" i="1141" s="1"/>
  <c r="AC27" i="1141"/>
  <c r="AC53" i="1141" s="1"/>
  <c r="AB27" i="1141"/>
  <c r="AA27" i="1141"/>
  <c r="AA43" i="1141" s="1"/>
  <c r="Z27" i="1141"/>
  <c r="Z53" i="1141" s="1"/>
  <c r="Y27" i="1141"/>
  <c r="Y53" i="1141" s="1"/>
  <c r="X27" i="1141"/>
  <c r="W27" i="1141"/>
  <c r="V27" i="1141"/>
  <c r="V53" i="1141" s="1"/>
  <c r="U27" i="1141"/>
  <c r="U53" i="1141" s="1"/>
  <c r="T27" i="1141"/>
  <c r="S27" i="1141"/>
  <c r="R27" i="1141"/>
  <c r="R53" i="1141" s="1"/>
  <c r="Q27" i="1141"/>
  <c r="Q53" i="1141" s="1"/>
  <c r="P27" i="1141"/>
  <c r="O27" i="1141"/>
  <c r="N27" i="1141"/>
  <c r="N53" i="1141" s="1"/>
  <c r="M27" i="1141"/>
  <c r="M53" i="1141" s="1"/>
  <c r="L27" i="1141"/>
  <c r="K27" i="1141"/>
  <c r="K43" i="1141" s="1"/>
  <c r="J27" i="1141"/>
  <c r="J53" i="1141" s="1"/>
  <c r="I27" i="1141"/>
  <c r="I53" i="1141" s="1"/>
  <c r="H27" i="1141"/>
  <c r="H53" i="1141" s="1"/>
  <c r="G27" i="1141"/>
  <c r="F27" i="1141"/>
  <c r="F53" i="1141" s="1"/>
  <c r="E27" i="1141"/>
  <c r="E53" i="1141" s="1"/>
  <c r="D27" i="1141"/>
  <c r="B27" i="1141"/>
  <c r="C4" i="1141"/>
  <c r="C3" i="1141"/>
  <c r="C2" i="1141"/>
  <c r="AL1" i="1141"/>
  <c r="C1" i="1140"/>
  <c r="AF75" i="2"/>
  <c r="AF74" i="2"/>
  <c r="AF5" i="2"/>
  <c r="AE43" i="1140"/>
  <c r="AD43" i="1140"/>
  <c r="AC43" i="1140"/>
  <c r="Z43" i="1140"/>
  <c r="W43" i="1140"/>
  <c r="T43" i="1140"/>
  <c r="S43" i="1140"/>
  <c r="Q43" i="1140"/>
  <c r="O43" i="1140"/>
  <c r="N43" i="1140"/>
  <c r="M43" i="1140"/>
  <c r="K43" i="1140"/>
  <c r="I43" i="1140"/>
  <c r="H43" i="1140"/>
  <c r="G43" i="1140"/>
  <c r="F43" i="1140"/>
  <c r="AE52" i="1140"/>
  <c r="AD52" i="1140"/>
  <c r="AC52" i="1140"/>
  <c r="AB52" i="1140"/>
  <c r="AA52" i="1140"/>
  <c r="Z52" i="1140"/>
  <c r="Y52" i="1140"/>
  <c r="X52" i="1140"/>
  <c r="W52" i="1140"/>
  <c r="V52" i="1140"/>
  <c r="U52" i="1140"/>
  <c r="T52" i="1140"/>
  <c r="S52" i="1140"/>
  <c r="R52" i="1140"/>
  <c r="Q52" i="1140"/>
  <c r="P52" i="1140"/>
  <c r="O52" i="1140"/>
  <c r="N52" i="1140"/>
  <c r="M52" i="1140"/>
  <c r="L52" i="1140"/>
  <c r="K52" i="1140"/>
  <c r="J52" i="1140"/>
  <c r="I52" i="1140"/>
  <c r="H52" i="1140"/>
  <c r="G52" i="1140"/>
  <c r="F52" i="1140"/>
  <c r="E52" i="1140"/>
  <c r="D52" i="1140"/>
  <c r="AE51" i="1140"/>
  <c r="AD51" i="1140"/>
  <c r="AC51" i="1140"/>
  <c r="AB51" i="1140"/>
  <c r="AA51" i="1140"/>
  <c r="Z51" i="1140"/>
  <c r="Y51" i="1140"/>
  <c r="X51" i="1140"/>
  <c r="W51" i="1140"/>
  <c r="V51" i="1140"/>
  <c r="U51" i="1140"/>
  <c r="T51" i="1140"/>
  <c r="S51" i="1140"/>
  <c r="R51" i="1140"/>
  <c r="Q51" i="1140"/>
  <c r="P51" i="1140"/>
  <c r="O51" i="1140"/>
  <c r="N51" i="1140"/>
  <c r="M51" i="1140"/>
  <c r="L51" i="1140"/>
  <c r="K51" i="1140"/>
  <c r="J51" i="1140"/>
  <c r="I51" i="1140"/>
  <c r="H51" i="1140"/>
  <c r="G51" i="1140"/>
  <c r="F51" i="1140"/>
  <c r="E51" i="1140"/>
  <c r="D51" i="1140"/>
  <c r="AE50" i="1140"/>
  <c r="AD50" i="1140"/>
  <c r="AC50" i="1140"/>
  <c r="AB50" i="1140"/>
  <c r="AA50" i="1140"/>
  <c r="Z50" i="1140"/>
  <c r="Y50" i="1140"/>
  <c r="X50" i="1140"/>
  <c r="W50" i="1140"/>
  <c r="V50" i="1140"/>
  <c r="U50" i="1140"/>
  <c r="T50" i="1140"/>
  <c r="S50" i="1140"/>
  <c r="R50" i="1140"/>
  <c r="Q50" i="1140"/>
  <c r="P50" i="1140"/>
  <c r="O50" i="1140"/>
  <c r="N50" i="1140"/>
  <c r="M50" i="1140"/>
  <c r="L50" i="1140"/>
  <c r="K50" i="1140"/>
  <c r="J50" i="1140"/>
  <c r="I50" i="1140"/>
  <c r="H50" i="1140"/>
  <c r="G50" i="1140"/>
  <c r="F50" i="1140"/>
  <c r="E50" i="1140"/>
  <c r="D50" i="1140"/>
  <c r="AE49" i="1140"/>
  <c r="AD49" i="1140"/>
  <c r="AC49" i="1140"/>
  <c r="AB49" i="1140"/>
  <c r="AA49" i="1140"/>
  <c r="Z49" i="1140"/>
  <c r="Y49" i="1140"/>
  <c r="X49" i="1140"/>
  <c r="W49" i="1140"/>
  <c r="V49" i="1140"/>
  <c r="U49" i="1140"/>
  <c r="T49" i="1140"/>
  <c r="S49" i="1140"/>
  <c r="R49" i="1140"/>
  <c r="Q49" i="1140"/>
  <c r="P49" i="1140"/>
  <c r="O49" i="1140"/>
  <c r="N49" i="1140"/>
  <c r="M49" i="1140"/>
  <c r="L49" i="1140"/>
  <c r="K49" i="1140"/>
  <c r="J49" i="1140"/>
  <c r="I49" i="1140"/>
  <c r="H49" i="1140"/>
  <c r="G49" i="1140"/>
  <c r="F49" i="1140"/>
  <c r="E49" i="1140"/>
  <c r="D49" i="1140"/>
  <c r="AE48" i="1140"/>
  <c r="AD48" i="1140"/>
  <c r="AC48" i="1140"/>
  <c r="AB48" i="1140"/>
  <c r="AA48" i="1140"/>
  <c r="Z48" i="1140"/>
  <c r="Y48" i="1140"/>
  <c r="X48" i="1140"/>
  <c r="W48" i="1140"/>
  <c r="V48" i="1140"/>
  <c r="U48" i="1140"/>
  <c r="T48" i="1140"/>
  <c r="S48" i="1140"/>
  <c r="R48" i="1140"/>
  <c r="Q48" i="1140"/>
  <c r="P48" i="1140"/>
  <c r="O48" i="1140"/>
  <c r="N48" i="1140"/>
  <c r="M48" i="1140"/>
  <c r="L48" i="1140"/>
  <c r="K48" i="1140"/>
  <c r="J48" i="1140"/>
  <c r="I48" i="1140"/>
  <c r="H48" i="1140"/>
  <c r="G48" i="1140"/>
  <c r="F48" i="1140"/>
  <c r="E48" i="1140"/>
  <c r="D48" i="1140"/>
  <c r="AE40" i="1140"/>
  <c r="AE36" i="1140" s="1"/>
  <c r="AD40" i="1140"/>
  <c r="AD36" i="1140" s="1"/>
  <c r="AC40" i="1140"/>
  <c r="AC36" i="1140" s="1"/>
  <c r="AB40" i="1140"/>
  <c r="AB36" i="1140" s="1"/>
  <c r="AA40" i="1140"/>
  <c r="AA36" i="1140" s="1"/>
  <c r="Z40" i="1140"/>
  <c r="Z36" i="1140" s="1"/>
  <c r="Y40" i="1140"/>
  <c r="X40" i="1140"/>
  <c r="X36" i="1140" s="1"/>
  <c r="W40" i="1140"/>
  <c r="W36" i="1140" s="1"/>
  <c r="V40" i="1140"/>
  <c r="V36" i="1140" s="1"/>
  <c r="U40" i="1140"/>
  <c r="U36" i="1140" s="1"/>
  <c r="T40" i="1140"/>
  <c r="T36" i="1140" s="1"/>
  <c r="S40" i="1140"/>
  <c r="S36" i="1140" s="1"/>
  <c r="R40" i="1140"/>
  <c r="Q40" i="1140"/>
  <c r="P40" i="1140"/>
  <c r="P36" i="1140" s="1"/>
  <c r="O40" i="1140"/>
  <c r="O36" i="1140" s="1"/>
  <c r="N40" i="1140"/>
  <c r="N36" i="1140" s="1"/>
  <c r="M40" i="1140"/>
  <c r="L40" i="1140"/>
  <c r="L36" i="1140" s="1"/>
  <c r="K40" i="1140"/>
  <c r="K36" i="1140" s="1"/>
  <c r="J40" i="1140"/>
  <c r="J36" i="1140" s="1"/>
  <c r="I40" i="1140"/>
  <c r="H40" i="1140"/>
  <c r="H36" i="1140" s="1"/>
  <c r="G40" i="1140"/>
  <c r="G36" i="1140" s="1"/>
  <c r="F40" i="1140"/>
  <c r="F36" i="1140" s="1"/>
  <c r="E40" i="1140"/>
  <c r="D40" i="1140"/>
  <c r="D36" i="1140" s="1"/>
  <c r="AE39" i="1140"/>
  <c r="AD39" i="1140"/>
  <c r="AC39" i="1140"/>
  <c r="AB39" i="1140"/>
  <c r="AA39" i="1140"/>
  <c r="Z39" i="1140"/>
  <c r="Y39" i="1140"/>
  <c r="X39" i="1140"/>
  <c r="W39" i="1140"/>
  <c r="V39" i="1140"/>
  <c r="U39" i="1140"/>
  <c r="T39" i="1140"/>
  <c r="S39" i="1140"/>
  <c r="R39" i="1140"/>
  <c r="Q39" i="1140"/>
  <c r="P39" i="1140"/>
  <c r="O39" i="1140"/>
  <c r="N39" i="1140"/>
  <c r="M39" i="1140"/>
  <c r="L39" i="1140"/>
  <c r="K39" i="1140"/>
  <c r="J39" i="1140"/>
  <c r="I39" i="1140"/>
  <c r="H39" i="1140"/>
  <c r="G39" i="1140"/>
  <c r="F39" i="1140"/>
  <c r="E39" i="1140"/>
  <c r="D39" i="1140"/>
  <c r="Y36" i="1140"/>
  <c r="R36" i="1140"/>
  <c r="Q36" i="1140"/>
  <c r="M36" i="1140"/>
  <c r="I36" i="1140"/>
  <c r="E36" i="1140"/>
  <c r="D29" i="1140"/>
  <c r="B28" i="1140"/>
  <c r="AE27" i="1140"/>
  <c r="AD27" i="1140"/>
  <c r="AD53" i="1140" s="1"/>
  <c r="AC27" i="1140"/>
  <c r="AC53" i="1140" s="1"/>
  <c r="AB27" i="1140"/>
  <c r="AB43" i="1140" s="1"/>
  <c r="AA27" i="1140"/>
  <c r="AA43" i="1140" s="1"/>
  <c r="Z27" i="1140"/>
  <c r="Y27" i="1140"/>
  <c r="Y53" i="1140" s="1"/>
  <c r="X27" i="1140"/>
  <c r="X43" i="1140" s="1"/>
  <c r="W27" i="1140"/>
  <c r="V27" i="1140"/>
  <c r="V53" i="1140" s="1"/>
  <c r="U27" i="1140"/>
  <c r="U53" i="1140" s="1"/>
  <c r="T27" i="1140"/>
  <c r="S27" i="1140"/>
  <c r="R27" i="1140"/>
  <c r="R43" i="1140" s="1"/>
  <c r="Q27" i="1140"/>
  <c r="Q53" i="1140" s="1"/>
  <c r="P27" i="1140"/>
  <c r="P43" i="1140" s="1"/>
  <c r="O27" i="1140"/>
  <c r="N27" i="1140"/>
  <c r="N53" i="1140" s="1"/>
  <c r="M27" i="1140"/>
  <c r="M53" i="1140" s="1"/>
  <c r="L27" i="1140"/>
  <c r="L43" i="1140" s="1"/>
  <c r="K27" i="1140"/>
  <c r="J27" i="1140"/>
  <c r="J43" i="1140" s="1"/>
  <c r="I27" i="1140"/>
  <c r="I53" i="1140" s="1"/>
  <c r="H27" i="1140"/>
  <c r="G27" i="1140"/>
  <c r="F27" i="1140"/>
  <c r="F53" i="1140" s="1"/>
  <c r="E27" i="1140"/>
  <c r="E53" i="1140" s="1"/>
  <c r="D27" i="1140"/>
  <c r="D43" i="1140" s="1"/>
  <c r="B27" i="1140"/>
  <c r="C4" i="1140"/>
  <c r="C3" i="1140"/>
  <c r="C2" i="1140"/>
  <c r="AL1" i="1140"/>
  <c r="C1" i="1139"/>
  <c r="AD75" i="2"/>
  <c r="AD74" i="2"/>
  <c r="AD5" i="2"/>
  <c r="AD43" i="1139"/>
  <c r="AC43" i="1139"/>
  <c r="AB43" i="1139"/>
  <c r="Y43" i="1139"/>
  <c r="X43" i="1139"/>
  <c r="W43" i="1139"/>
  <c r="V43" i="1139"/>
  <c r="U43" i="1139"/>
  <c r="T43" i="1139"/>
  <c r="S43" i="1139"/>
  <c r="R43" i="1139"/>
  <c r="Q43" i="1139"/>
  <c r="P43" i="1139"/>
  <c r="O43" i="1139"/>
  <c r="N43" i="1139"/>
  <c r="M43" i="1139"/>
  <c r="L43" i="1139"/>
  <c r="K43" i="1139"/>
  <c r="J43" i="1139"/>
  <c r="I43" i="1139"/>
  <c r="H43" i="1139"/>
  <c r="G43" i="1139"/>
  <c r="F43" i="1139"/>
  <c r="E43" i="1139"/>
  <c r="D43" i="1139"/>
  <c r="AE52" i="1139"/>
  <c r="AD52" i="1139"/>
  <c r="AC52" i="1139"/>
  <c r="AB52" i="1139"/>
  <c r="AA52" i="1139"/>
  <c r="Z52" i="1139"/>
  <c r="Y52" i="1139"/>
  <c r="X52" i="1139"/>
  <c r="W52" i="1139"/>
  <c r="V52" i="1139"/>
  <c r="U52" i="1139"/>
  <c r="T52" i="1139"/>
  <c r="S52" i="1139"/>
  <c r="R52" i="1139"/>
  <c r="Q52" i="1139"/>
  <c r="P52" i="1139"/>
  <c r="O52" i="1139"/>
  <c r="N52" i="1139"/>
  <c r="M52" i="1139"/>
  <c r="L52" i="1139"/>
  <c r="K52" i="1139"/>
  <c r="J52" i="1139"/>
  <c r="I52" i="1139"/>
  <c r="H52" i="1139"/>
  <c r="G52" i="1139"/>
  <c r="F52" i="1139"/>
  <c r="E52" i="1139"/>
  <c r="D52" i="1139"/>
  <c r="AE51" i="1139"/>
  <c r="AD51" i="1139"/>
  <c r="AC51" i="1139"/>
  <c r="AB51" i="1139"/>
  <c r="AA51" i="1139"/>
  <c r="Z51" i="1139"/>
  <c r="Y51" i="1139"/>
  <c r="X51" i="1139"/>
  <c r="W51" i="1139"/>
  <c r="V51" i="1139"/>
  <c r="U51" i="1139"/>
  <c r="T51" i="1139"/>
  <c r="S51" i="1139"/>
  <c r="R51" i="1139"/>
  <c r="Q51" i="1139"/>
  <c r="P51" i="1139"/>
  <c r="O51" i="1139"/>
  <c r="N51" i="1139"/>
  <c r="M51" i="1139"/>
  <c r="L51" i="1139"/>
  <c r="K51" i="1139"/>
  <c r="J51" i="1139"/>
  <c r="I51" i="1139"/>
  <c r="H51" i="1139"/>
  <c r="G51" i="1139"/>
  <c r="F51" i="1139"/>
  <c r="E51" i="1139"/>
  <c r="D51" i="1139"/>
  <c r="AE50" i="1139"/>
  <c r="AD50" i="1139"/>
  <c r="AC50" i="1139"/>
  <c r="AB50" i="1139"/>
  <c r="AA50" i="1139"/>
  <c r="Z50" i="1139"/>
  <c r="Y50" i="1139"/>
  <c r="X50" i="1139"/>
  <c r="W50" i="1139"/>
  <c r="V50" i="1139"/>
  <c r="U50" i="1139"/>
  <c r="T50" i="1139"/>
  <c r="S50" i="1139"/>
  <c r="R50" i="1139"/>
  <c r="Q50" i="1139"/>
  <c r="P50" i="1139"/>
  <c r="O50" i="1139"/>
  <c r="N50" i="1139"/>
  <c r="M50" i="1139"/>
  <c r="L50" i="1139"/>
  <c r="K50" i="1139"/>
  <c r="J50" i="1139"/>
  <c r="I50" i="1139"/>
  <c r="H50" i="1139"/>
  <c r="G50" i="1139"/>
  <c r="F50" i="1139"/>
  <c r="E50" i="1139"/>
  <c r="D50" i="1139"/>
  <c r="AE49" i="1139"/>
  <c r="AD49" i="1139"/>
  <c r="AC49" i="1139"/>
  <c r="AB49" i="1139"/>
  <c r="AA49" i="1139"/>
  <c r="Z49" i="1139"/>
  <c r="Y49" i="1139"/>
  <c r="X49" i="1139"/>
  <c r="W49" i="1139"/>
  <c r="V49" i="1139"/>
  <c r="U49" i="1139"/>
  <c r="T49" i="1139"/>
  <c r="S49" i="1139"/>
  <c r="R49" i="1139"/>
  <c r="Q49" i="1139"/>
  <c r="P49" i="1139"/>
  <c r="O49" i="1139"/>
  <c r="N49" i="1139"/>
  <c r="M49" i="1139"/>
  <c r="L49" i="1139"/>
  <c r="K49" i="1139"/>
  <c r="J49" i="1139"/>
  <c r="I49" i="1139"/>
  <c r="H49" i="1139"/>
  <c r="G49" i="1139"/>
  <c r="F49" i="1139"/>
  <c r="E49" i="1139"/>
  <c r="D49" i="1139"/>
  <c r="AE48" i="1139"/>
  <c r="AD48" i="1139"/>
  <c r="AC48" i="1139"/>
  <c r="AB48" i="1139"/>
  <c r="AA48" i="1139"/>
  <c r="Z48" i="1139"/>
  <c r="Y48" i="1139"/>
  <c r="X48" i="1139"/>
  <c r="W48" i="1139"/>
  <c r="V48" i="1139"/>
  <c r="U48" i="1139"/>
  <c r="T48" i="1139"/>
  <c r="S48" i="1139"/>
  <c r="R48" i="1139"/>
  <c r="Q48" i="1139"/>
  <c r="P48" i="1139"/>
  <c r="O48" i="1139"/>
  <c r="N48" i="1139"/>
  <c r="M48" i="1139"/>
  <c r="L48" i="1139"/>
  <c r="K48" i="1139"/>
  <c r="J48" i="1139"/>
  <c r="I48" i="1139"/>
  <c r="H48" i="1139"/>
  <c r="G48" i="1139"/>
  <c r="F48" i="1139"/>
  <c r="E48" i="1139"/>
  <c r="D48" i="1139"/>
  <c r="AE40" i="1139"/>
  <c r="AE36" i="1139" s="1"/>
  <c r="AD40" i="1139"/>
  <c r="AC40" i="1139"/>
  <c r="AC36" i="1139" s="1"/>
  <c r="AB40" i="1139"/>
  <c r="AB36" i="1139" s="1"/>
  <c r="AA40" i="1139"/>
  <c r="AA36" i="1139" s="1"/>
  <c r="Z40" i="1139"/>
  <c r="Y40" i="1139"/>
  <c r="Y36" i="1139" s="1"/>
  <c r="X40" i="1139"/>
  <c r="W40" i="1139"/>
  <c r="W36" i="1139" s="1"/>
  <c r="V40" i="1139"/>
  <c r="U40" i="1139"/>
  <c r="U36" i="1139" s="1"/>
  <c r="T40" i="1139"/>
  <c r="T36" i="1139" s="1"/>
  <c r="S40" i="1139"/>
  <c r="S36" i="1139" s="1"/>
  <c r="R40" i="1139"/>
  <c r="Q40" i="1139"/>
  <c r="P40" i="1139"/>
  <c r="P36" i="1139" s="1"/>
  <c r="O40" i="1139"/>
  <c r="O36" i="1139" s="1"/>
  <c r="N40" i="1139"/>
  <c r="M40" i="1139"/>
  <c r="M36" i="1139" s="1"/>
  <c r="L40" i="1139"/>
  <c r="L36" i="1139" s="1"/>
  <c r="K40" i="1139"/>
  <c r="K36" i="1139" s="1"/>
  <c r="J40" i="1139"/>
  <c r="I40" i="1139"/>
  <c r="I36" i="1139" s="1"/>
  <c r="H40" i="1139"/>
  <c r="H36" i="1139" s="1"/>
  <c r="G40" i="1139"/>
  <c r="G36" i="1139" s="1"/>
  <c r="F40" i="1139"/>
  <c r="E40" i="1139"/>
  <c r="E36" i="1139" s="1"/>
  <c r="D40" i="1139"/>
  <c r="D36" i="1139" s="1"/>
  <c r="AE39" i="1139"/>
  <c r="AD39" i="1139"/>
  <c r="AC39" i="1139"/>
  <c r="AB39" i="1139"/>
  <c r="AA39" i="1139"/>
  <c r="Z39" i="1139"/>
  <c r="Y39" i="1139"/>
  <c r="X39" i="1139"/>
  <c r="W39" i="1139"/>
  <c r="V39" i="1139"/>
  <c r="U39" i="1139"/>
  <c r="T39" i="1139"/>
  <c r="S39" i="1139"/>
  <c r="R39" i="1139"/>
  <c r="Q39" i="1139"/>
  <c r="P39" i="1139"/>
  <c r="O39" i="1139"/>
  <c r="N39" i="1139"/>
  <c r="M39" i="1139"/>
  <c r="L39" i="1139"/>
  <c r="K39" i="1139"/>
  <c r="J39" i="1139"/>
  <c r="I39" i="1139"/>
  <c r="H39" i="1139"/>
  <c r="G39" i="1139"/>
  <c r="F39" i="1139"/>
  <c r="E39" i="1139"/>
  <c r="D39" i="1139"/>
  <c r="AD36" i="1139"/>
  <c r="Z36" i="1139"/>
  <c r="X36" i="1139"/>
  <c r="V36" i="1139"/>
  <c r="R36" i="1139"/>
  <c r="Q36" i="1139"/>
  <c r="N36" i="1139"/>
  <c r="J36" i="1139"/>
  <c r="F36" i="1139"/>
  <c r="D29" i="1139"/>
  <c r="B28" i="1139"/>
  <c r="AE27" i="1139"/>
  <c r="AE43" i="1139" s="1"/>
  <c r="AD27" i="1139"/>
  <c r="AC27" i="1139"/>
  <c r="AC53" i="1139" s="1"/>
  <c r="AB27" i="1139"/>
  <c r="AA27" i="1139"/>
  <c r="AA43" i="1139" s="1"/>
  <c r="Z27" i="1139"/>
  <c r="Z43" i="1139" s="1"/>
  <c r="Y27" i="1139"/>
  <c r="Y53" i="1139" s="1"/>
  <c r="X27" i="1139"/>
  <c r="W27" i="1139"/>
  <c r="V27" i="1139"/>
  <c r="U27" i="1139"/>
  <c r="U53" i="1139" s="1"/>
  <c r="T27" i="1139"/>
  <c r="S27" i="1139"/>
  <c r="R27" i="1139"/>
  <c r="Q27" i="1139"/>
  <c r="Q53" i="1139" s="1"/>
  <c r="P27" i="1139"/>
  <c r="O27" i="1139"/>
  <c r="N27" i="1139"/>
  <c r="M27" i="1139"/>
  <c r="M53" i="1139" s="1"/>
  <c r="L27" i="1139"/>
  <c r="K27" i="1139"/>
  <c r="J27" i="1139"/>
  <c r="I27" i="1139"/>
  <c r="I53" i="1139" s="1"/>
  <c r="H27" i="1139"/>
  <c r="G27" i="1139"/>
  <c r="F27" i="1139"/>
  <c r="E27" i="1139"/>
  <c r="D27" i="1139"/>
  <c r="B27" i="1139"/>
  <c r="C4" i="1139"/>
  <c r="C3" i="1139"/>
  <c r="C2" i="1139"/>
  <c r="AL1" i="1139"/>
  <c r="C1" i="1138"/>
  <c r="AB75" i="2"/>
  <c r="AB74" i="2"/>
  <c r="AB5" i="2"/>
  <c r="AE43" i="1138"/>
  <c r="AD43" i="1138"/>
  <c r="AC43" i="1138"/>
  <c r="AB43" i="1138"/>
  <c r="AA43" i="1138"/>
  <c r="Z43" i="1138"/>
  <c r="Y43" i="1138"/>
  <c r="W43" i="1138"/>
  <c r="U43" i="1138"/>
  <c r="S43" i="1138"/>
  <c r="R43" i="1138"/>
  <c r="Q43" i="1138"/>
  <c r="P43" i="1138"/>
  <c r="O43" i="1138"/>
  <c r="N43" i="1138"/>
  <c r="M43" i="1138"/>
  <c r="L43" i="1138"/>
  <c r="J43" i="1138"/>
  <c r="I43" i="1138"/>
  <c r="G43" i="1138"/>
  <c r="F43" i="1138"/>
  <c r="AE52" i="1138"/>
  <c r="AD52" i="1138"/>
  <c r="AC52" i="1138"/>
  <c r="AB52" i="1138"/>
  <c r="AA52" i="1138"/>
  <c r="Z52" i="1138"/>
  <c r="Y52" i="1138"/>
  <c r="X52" i="1138"/>
  <c r="W52" i="1138"/>
  <c r="V52" i="1138"/>
  <c r="U52" i="1138"/>
  <c r="T52" i="1138"/>
  <c r="S52" i="1138"/>
  <c r="R52" i="1138"/>
  <c r="Q52" i="1138"/>
  <c r="P52" i="1138"/>
  <c r="O52" i="1138"/>
  <c r="N52" i="1138"/>
  <c r="M52" i="1138"/>
  <c r="L52" i="1138"/>
  <c r="K52" i="1138"/>
  <c r="J52" i="1138"/>
  <c r="I52" i="1138"/>
  <c r="H52" i="1138"/>
  <c r="G52" i="1138"/>
  <c r="F52" i="1138"/>
  <c r="E52" i="1138"/>
  <c r="D52" i="1138"/>
  <c r="AE51" i="1138"/>
  <c r="AD51" i="1138"/>
  <c r="AC51" i="1138"/>
  <c r="AB51" i="1138"/>
  <c r="AA51" i="1138"/>
  <c r="Z51" i="1138"/>
  <c r="Y51" i="1138"/>
  <c r="X51" i="1138"/>
  <c r="W51" i="1138"/>
  <c r="V51" i="1138"/>
  <c r="U51" i="1138"/>
  <c r="T51" i="1138"/>
  <c r="S51" i="1138"/>
  <c r="R51" i="1138"/>
  <c r="Q51" i="1138"/>
  <c r="P51" i="1138"/>
  <c r="O51" i="1138"/>
  <c r="N51" i="1138"/>
  <c r="M51" i="1138"/>
  <c r="L51" i="1138"/>
  <c r="K51" i="1138"/>
  <c r="J51" i="1138"/>
  <c r="I51" i="1138"/>
  <c r="H51" i="1138"/>
  <c r="G51" i="1138"/>
  <c r="F51" i="1138"/>
  <c r="E51" i="1138"/>
  <c r="D51" i="1138"/>
  <c r="AE50" i="1138"/>
  <c r="AD50" i="1138"/>
  <c r="AC50" i="1138"/>
  <c r="AB50" i="1138"/>
  <c r="AA50" i="1138"/>
  <c r="Z50" i="1138"/>
  <c r="Y50" i="1138"/>
  <c r="X50" i="1138"/>
  <c r="W50" i="1138"/>
  <c r="V50" i="1138"/>
  <c r="U50" i="1138"/>
  <c r="T50" i="1138"/>
  <c r="S50" i="1138"/>
  <c r="R50" i="1138"/>
  <c r="Q50" i="1138"/>
  <c r="P50" i="1138"/>
  <c r="O50" i="1138"/>
  <c r="N50" i="1138"/>
  <c r="M50" i="1138"/>
  <c r="L50" i="1138"/>
  <c r="K50" i="1138"/>
  <c r="J50" i="1138"/>
  <c r="I50" i="1138"/>
  <c r="H50" i="1138"/>
  <c r="G50" i="1138"/>
  <c r="F50" i="1138"/>
  <c r="E50" i="1138"/>
  <c r="D50" i="1138"/>
  <c r="AE49" i="1138"/>
  <c r="AD49" i="1138"/>
  <c r="AC49" i="1138"/>
  <c r="AB49" i="1138"/>
  <c r="AA49" i="1138"/>
  <c r="Z49" i="1138"/>
  <c r="Y49" i="1138"/>
  <c r="X49" i="1138"/>
  <c r="W49" i="1138"/>
  <c r="V49" i="1138"/>
  <c r="U49" i="1138"/>
  <c r="T49" i="1138"/>
  <c r="S49" i="1138"/>
  <c r="R49" i="1138"/>
  <c r="Q49" i="1138"/>
  <c r="P49" i="1138"/>
  <c r="O49" i="1138"/>
  <c r="N49" i="1138"/>
  <c r="M49" i="1138"/>
  <c r="L49" i="1138"/>
  <c r="K49" i="1138"/>
  <c r="J49" i="1138"/>
  <c r="I49" i="1138"/>
  <c r="H49" i="1138"/>
  <c r="G49" i="1138"/>
  <c r="F49" i="1138"/>
  <c r="E49" i="1138"/>
  <c r="D49" i="1138"/>
  <c r="AE48" i="1138"/>
  <c r="AD48" i="1138"/>
  <c r="AC48" i="1138"/>
  <c r="AB48" i="1138"/>
  <c r="AA48" i="1138"/>
  <c r="Z48" i="1138"/>
  <c r="Y48" i="1138"/>
  <c r="X48" i="1138"/>
  <c r="W48" i="1138"/>
  <c r="V48" i="1138"/>
  <c r="U48" i="1138"/>
  <c r="T48" i="1138"/>
  <c r="S48" i="1138"/>
  <c r="R48" i="1138"/>
  <c r="Q48" i="1138"/>
  <c r="P48" i="1138"/>
  <c r="O48" i="1138"/>
  <c r="N48" i="1138"/>
  <c r="M48" i="1138"/>
  <c r="L48" i="1138"/>
  <c r="K48" i="1138"/>
  <c r="J48" i="1138"/>
  <c r="I48" i="1138"/>
  <c r="H48" i="1138"/>
  <c r="G48" i="1138"/>
  <c r="F48" i="1138"/>
  <c r="E48" i="1138"/>
  <c r="D48" i="1138"/>
  <c r="AE40" i="1138"/>
  <c r="AE36" i="1138" s="1"/>
  <c r="AD40" i="1138"/>
  <c r="AC40" i="1138"/>
  <c r="AB40" i="1138"/>
  <c r="AB36" i="1138" s="1"/>
  <c r="AA40" i="1138"/>
  <c r="AA36" i="1138" s="1"/>
  <c r="Z40" i="1138"/>
  <c r="Y40" i="1138"/>
  <c r="X40" i="1138"/>
  <c r="X36" i="1138" s="1"/>
  <c r="W40" i="1138"/>
  <c r="W36" i="1138" s="1"/>
  <c r="V40" i="1138"/>
  <c r="U40" i="1138"/>
  <c r="T40" i="1138"/>
  <c r="T36" i="1138" s="1"/>
  <c r="S40" i="1138"/>
  <c r="S36" i="1138" s="1"/>
  <c r="R40" i="1138"/>
  <c r="Q40" i="1138"/>
  <c r="P40" i="1138"/>
  <c r="O40" i="1138"/>
  <c r="O36" i="1138" s="1"/>
  <c r="N40" i="1138"/>
  <c r="M40" i="1138"/>
  <c r="L40" i="1138"/>
  <c r="L36" i="1138" s="1"/>
  <c r="K40" i="1138"/>
  <c r="K36" i="1138" s="1"/>
  <c r="J40" i="1138"/>
  <c r="I40" i="1138"/>
  <c r="H40" i="1138"/>
  <c r="H36" i="1138" s="1"/>
  <c r="G40" i="1138"/>
  <c r="G36" i="1138" s="1"/>
  <c r="F40" i="1138"/>
  <c r="E40" i="1138"/>
  <c r="D40" i="1138"/>
  <c r="D36" i="1138" s="1"/>
  <c r="AE39" i="1138"/>
  <c r="AD39" i="1138"/>
  <c r="AC39" i="1138"/>
  <c r="AB39" i="1138"/>
  <c r="AA39" i="1138"/>
  <c r="Z39" i="1138"/>
  <c r="Y39" i="1138"/>
  <c r="X39" i="1138"/>
  <c r="W39" i="1138"/>
  <c r="V39" i="1138"/>
  <c r="U39" i="1138"/>
  <c r="T39" i="1138"/>
  <c r="S39" i="1138"/>
  <c r="R39" i="1138"/>
  <c r="Q39" i="1138"/>
  <c r="P39" i="1138"/>
  <c r="O39" i="1138"/>
  <c r="N39" i="1138"/>
  <c r="M39" i="1138"/>
  <c r="L39" i="1138"/>
  <c r="K39" i="1138"/>
  <c r="J39" i="1138"/>
  <c r="I39" i="1138"/>
  <c r="H39" i="1138"/>
  <c r="G39" i="1138"/>
  <c r="F39" i="1138"/>
  <c r="E39" i="1138"/>
  <c r="D39" i="1138"/>
  <c r="AD36" i="1138"/>
  <c r="AC36" i="1138"/>
  <c r="Z36" i="1138"/>
  <c r="Y36" i="1138"/>
  <c r="V36" i="1138"/>
  <c r="U36" i="1138"/>
  <c r="R36" i="1138"/>
  <c r="Q36" i="1138"/>
  <c r="P36" i="1138"/>
  <c r="N36" i="1138"/>
  <c r="M36" i="1138"/>
  <c r="J36" i="1138"/>
  <c r="I36" i="1138"/>
  <c r="F36" i="1138"/>
  <c r="E36" i="1138"/>
  <c r="D29" i="1138"/>
  <c r="B28" i="1138"/>
  <c r="AE27" i="1138"/>
  <c r="AD27" i="1138"/>
  <c r="AC27" i="1138"/>
  <c r="AC53" i="1138" s="1"/>
  <c r="AB27" i="1138"/>
  <c r="AA27" i="1138"/>
  <c r="Z27" i="1138"/>
  <c r="Y27" i="1138"/>
  <c r="Y53" i="1138" s="1"/>
  <c r="X27" i="1138"/>
  <c r="X43" i="1138" s="1"/>
  <c r="W27" i="1138"/>
  <c r="V27" i="1138"/>
  <c r="V43" i="1138" s="1"/>
  <c r="U27" i="1138"/>
  <c r="U53" i="1138" s="1"/>
  <c r="T27" i="1138"/>
  <c r="T43" i="1138" s="1"/>
  <c r="S27" i="1138"/>
  <c r="R27" i="1138"/>
  <c r="Q27" i="1138"/>
  <c r="Q53" i="1138" s="1"/>
  <c r="P27" i="1138"/>
  <c r="O27" i="1138"/>
  <c r="N27" i="1138"/>
  <c r="M27" i="1138"/>
  <c r="M53" i="1138" s="1"/>
  <c r="L27" i="1138"/>
  <c r="K27" i="1138"/>
  <c r="K43" i="1138" s="1"/>
  <c r="J27" i="1138"/>
  <c r="I27" i="1138"/>
  <c r="I53" i="1138" s="1"/>
  <c r="H27" i="1138"/>
  <c r="H43" i="1138" s="1"/>
  <c r="G27" i="1138"/>
  <c r="F27" i="1138"/>
  <c r="E27" i="1138"/>
  <c r="E53" i="1138" s="1"/>
  <c r="D27" i="1138"/>
  <c r="D43" i="1138" s="1"/>
  <c r="B27" i="1138"/>
  <c r="C4" i="1138"/>
  <c r="C3" i="1138"/>
  <c r="C2" i="1138"/>
  <c r="AL1" i="1138"/>
  <c r="C1" i="1137"/>
  <c r="Z75" i="2"/>
  <c r="Z74" i="2"/>
  <c r="Z5" i="2"/>
  <c r="AD43" i="1137"/>
  <c r="AC43" i="1137"/>
  <c r="AB43" i="1137"/>
  <c r="AA43" i="1137"/>
  <c r="Z43" i="1137"/>
  <c r="Y43" i="1137"/>
  <c r="X43" i="1137"/>
  <c r="V43" i="1137"/>
  <c r="T43" i="1137"/>
  <c r="S43" i="1137"/>
  <c r="R43" i="1137"/>
  <c r="P43" i="1137"/>
  <c r="O43" i="1137"/>
  <c r="M43" i="1137"/>
  <c r="L43" i="1137"/>
  <c r="K43" i="1137"/>
  <c r="J43" i="1137"/>
  <c r="I43" i="1137"/>
  <c r="H43" i="1137"/>
  <c r="D43" i="1137"/>
  <c r="AE52" i="1137"/>
  <c r="AD52" i="1137"/>
  <c r="AC52" i="1137"/>
  <c r="AB52" i="1137"/>
  <c r="AA52" i="1137"/>
  <c r="Z52" i="1137"/>
  <c r="Y52" i="1137"/>
  <c r="X52" i="1137"/>
  <c r="W52" i="1137"/>
  <c r="V52" i="1137"/>
  <c r="U52" i="1137"/>
  <c r="T52" i="1137"/>
  <c r="S52" i="1137"/>
  <c r="R52" i="1137"/>
  <c r="Q52" i="1137"/>
  <c r="P52" i="1137"/>
  <c r="O52" i="1137"/>
  <c r="N52" i="1137"/>
  <c r="M52" i="1137"/>
  <c r="L52" i="1137"/>
  <c r="K52" i="1137"/>
  <c r="J52" i="1137"/>
  <c r="I52" i="1137"/>
  <c r="H52" i="1137"/>
  <c r="G52" i="1137"/>
  <c r="F52" i="1137"/>
  <c r="E52" i="1137"/>
  <c r="D52" i="1137"/>
  <c r="AE51" i="1137"/>
  <c r="AD51" i="1137"/>
  <c r="AC51" i="1137"/>
  <c r="AB51" i="1137"/>
  <c r="AA51" i="1137"/>
  <c r="Z51" i="1137"/>
  <c r="Y51" i="1137"/>
  <c r="X51" i="1137"/>
  <c r="W51" i="1137"/>
  <c r="V51" i="1137"/>
  <c r="U51" i="1137"/>
  <c r="T51" i="1137"/>
  <c r="S51" i="1137"/>
  <c r="R51" i="1137"/>
  <c r="Q51" i="1137"/>
  <c r="P51" i="1137"/>
  <c r="O51" i="1137"/>
  <c r="N51" i="1137"/>
  <c r="M51" i="1137"/>
  <c r="L51" i="1137"/>
  <c r="K51" i="1137"/>
  <c r="J51" i="1137"/>
  <c r="I51" i="1137"/>
  <c r="H51" i="1137"/>
  <c r="G51" i="1137"/>
  <c r="F51" i="1137"/>
  <c r="E51" i="1137"/>
  <c r="D51" i="1137"/>
  <c r="AE50" i="1137"/>
  <c r="AD50" i="1137"/>
  <c r="AC50" i="1137"/>
  <c r="AB50" i="1137"/>
  <c r="AA50" i="1137"/>
  <c r="Z50" i="1137"/>
  <c r="Y50" i="1137"/>
  <c r="X50" i="1137"/>
  <c r="W50" i="1137"/>
  <c r="V50" i="1137"/>
  <c r="U50" i="1137"/>
  <c r="T50" i="1137"/>
  <c r="S50" i="1137"/>
  <c r="R50" i="1137"/>
  <c r="Q50" i="1137"/>
  <c r="P50" i="1137"/>
  <c r="O50" i="1137"/>
  <c r="N50" i="1137"/>
  <c r="M50" i="1137"/>
  <c r="L50" i="1137"/>
  <c r="K50" i="1137"/>
  <c r="J50" i="1137"/>
  <c r="I50" i="1137"/>
  <c r="H50" i="1137"/>
  <c r="G50" i="1137"/>
  <c r="F50" i="1137"/>
  <c r="E50" i="1137"/>
  <c r="D50" i="1137"/>
  <c r="AE49" i="1137"/>
  <c r="AD49" i="1137"/>
  <c r="AC49" i="1137"/>
  <c r="AB49" i="1137"/>
  <c r="AA49" i="1137"/>
  <c r="Z49" i="1137"/>
  <c r="Y49" i="1137"/>
  <c r="X49" i="1137"/>
  <c r="W49" i="1137"/>
  <c r="V49" i="1137"/>
  <c r="U49" i="1137"/>
  <c r="T49" i="1137"/>
  <c r="S49" i="1137"/>
  <c r="R49" i="1137"/>
  <c r="Q49" i="1137"/>
  <c r="P49" i="1137"/>
  <c r="O49" i="1137"/>
  <c r="N49" i="1137"/>
  <c r="M49" i="1137"/>
  <c r="L49" i="1137"/>
  <c r="K49" i="1137"/>
  <c r="J49" i="1137"/>
  <c r="I49" i="1137"/>
  <c r="H49" i="1137"/>
  <c r="G49" i="1137"/>
  <c r="F49" i="1137"/>
  <c r="E49" i="1137"/>
  <c r="D49" i="1137"/>
  <c r="AE48" i="1137"/>
  <c r="AD48" i="1137"/>
  <c r="AC48" i="1137"/>
  <c r="AB48" i="1137"/>
  <c r="AA48" i="1137"/>
  <c r="Z48" i="1137"/>
  <c r="Y48" i="1137"/>
  <c r="X48" i="1137"/>
  <c r="W48" i="1137"/>
  <c r="V48" i="1137"/>
  <c r="U48" i="1137"/>
  <c r="T48" i="1137"/>
  <c r="S48" i="1137"/>
  <c r="R48" i="1137"/>
  <c r="Q48" i="1137"/>
  <c r="P48" i="1137"/>
  <c r="O48" i="1137"/>
  <c r="N48" i="1137"/>
  <c r="M48" i="1137"/>
  <c r="L48" i="1137"/>
  <c r="K48" i="1137"/>
  <c r="J48" i="1137"/>
  <c r="I48" i="1137"/>
  <c r="H48" i="1137"/>
  <c r="G48" i="1137"/>
  <c r="F48" i="1137"/>
  <c r="E48" i="1137"/>
  <c r="D48" i="1137"/>
  <c r="AE40" i="1137"/>
  <c r="AE36" i="1137" s="1"/>
  <c r="AD40" i="1137"/>
  <c r="AC40" i="1137"/>
  <c r="AC36" i="1137" s="1"/>
  <c r="AB40" i="1137"/>
  <c r="AA40" i="1137"/>
  <c r="AA36" i="1137" s="1"/>
  <c r="Z40" i="1137"/>
  <c r="Y40" i="1137"/>
  <c r="X40" i="1137"/>
  <c r="X36" i="1137" s="1"/>
  <c r="W40" i="1137"/>
  <c r="W36" i="1137" s="1"/>
  <c r="V40" i="1137"/>
  <c r="U40" i="1137"/>
  <c r="T40" i="1137"/>
  <c r="T36" i="1137" s="1"/>
  <c r="S40" i="1137"/>
  <c r="S36" i="1137" s="1"/>
  <c r="R40" i="1137"/>
  <c r="Q40" i="1137"/>
  <c r="Q36" i="1137" s="1"/>
  <c r="P40" i="1137"/>
  <c r="O40" i="1137"/>
  <c r="O36" i="1137" s="1"/>
  <c r="N40" i="1137"/>
  <c r="M40" i="1137"/>
  <c r="L40" i="1137"/>
  <c r="L36" i="1137" s="1"/>
  <c r="K40" i="1137"/>
  <c r="K36" i="1137" s="1"/>
  <c r="J40" i="1137"/>
  <c r="I40" i="1137"/>
  <c r="H40" i="1137"/>
  <c r="G40" i="1137"/>
  <c r="G36" i="1137" s="1"/>
  <c r="F40" i="1137"/>
  <c r="E40" i="1137"/>
  <c r="D40" i="1137"/>
  <c r="D36" i="1137" s="1"/>
  <c r="AE39" i="1137"/>
  <c r="AD39" i="1137"/>
  <c r="AC39" i="1137"/>
  <c r="AB39" i="1137"/>
  <c r="AA39" i="1137"/>
  <c r="Z39" i="1137"/>
  <c r="Y39" i="1137"/>
  <c r="X39" i="1137"/>
  <c r="W39" i="1137"/>
  <c r="V39" i="1137"/>
  <c r="U39" i="1137"/>
  <c r="T39" i="1137"/>
  <c r="S39" i="1137"/>
  <c r="R39" i="1137"/>
  <c r="Q39" i="1137"/>
  <c r="P39" i="1137"/>
  <c r="O39" i="1137"/>
  <c r="N39" i="1137"/>
  <c r="M39" i="1137"/>
  <c r="L39" i="1137"/>
  <c r="K39" i="1137"/>
  <c r="J39" i="1137"/>
  <c r="I39" i="1137"/>
  <c r="H39" i="1137"/>
  <c r="G39" i="1137"/>
  <c r="F39" i="1137"/>
  <c r="E39" i="1137"/>
  <c r="D39" i="1137"/>
  <c r="AD36" i="1137"/>
  <c r="AB36" i="1137"/>
  <c r="Z36" i="1137"/>
  <c r="Y36" i="1137"/>
  <c r="V36" i="1137"/>
  <c r="U36" i="1137"/>
  <c r="R36" i="1137"/>
  <c r="P36" i="1137"/>
  <c r="N36" i="1137"/>
  <c r="M36" i="1137"/>
  <c r="J36" i="1137"/>
  <c r="I36" i="1137"/>
  <c r="H36" i="1137"/>
  <c r="F36" i="1137"/>
  <c r="E36" i="1137"/>
  <c r="D29" i="1137"/>
  <c r="B28" i="1137"/>
  <c r="AE27" i="1137"/>
  <c r="AE43" i="1137" s="1"/>
  <c r="AD27" i="1137"/>
  <c r="AD53" i="1137" s="1"/>
  <c r="AC27" i="1137"/>
  <c r="AB27" i="1137"/>
  <c r="AA27" i="1137"/>
  <c r="Z27" i="1137"/>
  <c r="Z53" i="1137" s="1"/>
  <c r="Y27" i="1137"/>
  <c r="X27" i="1137"/>
  <c r="W27" i="1137"/>
  <c r="W43" i="1137" s="1"/>
  <c r="V27" i="1137"/>
  <c r="V53" i="1137" s="1"/>
  <c r="U27" i="1137"/>
  <c r="U53" i="1137" s="1"/>
  <c r="T27" i="1137"/>
  <c r="S27" i="1137"/>
  <c r="R27" i="1137"/>
  <c r="R53" i="1137" s="1"/>
  <c r="Q27" i="1137"/>
  <c r="Q53" i="1137" s="1"/>
  <c r="P27" i="1137"/>
  <c r="O27" i="1137"/>
  <c r="N27" i="1137"/>
  <c r="N53" i="1137" s="1"/>
  <c r="M27" i="1137"/>
  <c r="L27" i="1137"/>
  <c r="K27" i="1137"/>
  <c r="J27" i="1137"/>
  <c r="J53" i="1137" s="1"/>
  <c r="I27" i="1137"/>
  <c r="H27" i="1137"/>
  <c r="G27" i="1137"/>
  <c r="G43" i="1137" s="1"/>
  <c r="F27" i="1137"/>
  <c r="F53" i="1137" s="1"/>
  <c r="E27" i="1137"/>
  <c r="E53" i="1137" s="1"/>
  <c r="D27" i="1137"/>
  <c r="B27" i="1137"/>
  <c r="C4" i="1137"/>
  <c r="C3" i="1137"/>
  <c r="C2" i="1137"/>
  <c r="AL1" i="1137"/>
  <c r="C1" i="1136"/>
  <c r="AE43" i="1136"/>
  <c r="AD43" i="1136"/>
  <c r="AC43" i="1136"/>
  <c r="AB43" i="1136"/>
  <c r="AA43" i="1136"/>
  <c r="Z43" i="1136"/>
  <c r="Y43" i="1136"/>
  <c r="X43" i="1136"/>
  <c r="W43" i="1136"/>
  <c r="V43" i="1136"/>
  <c r="U43" i="1136"/>
  <c r="T43" i="1136"/>
  <c r="S43" i="1136"/>
  <c r="R43" i="1136"/>
  <c r="Q43" i="1136"/>
  <c r="P43" i="1136"/>
  <c r="O43" i="1136"/>
  <c r="N43" i="1136"/>
  <c r="M43" i="1136"/>
  <c r="L43" i="1136"/>
  <c r="J43" i="1136"/>
  <c r="G43" i="1136"/>
  <c r="E43" i="1136"/>
  <c r="D43" i="1136"/>
  <c r="AE52" i="1136"/>
  <c r="AD52" i="1136"/>
  <c r="AC52" i="1136"/>
  <c r="AB52" i="1136"/>
  <c r="AA52" i="1136"/>
  <c r="Z52" i="1136"/>
  <c r="Y52" i="1136"/>
  <c r="X52" i="1136"/>
  <c r="W52" i="1136"/>
  <c r="V52" i="1136"/>
  <c r="U52" i="1136"/>
  <c r="T52" i="1136"/>
  <c r="S52" i="1136"/>
  <c r="R52" i="1136"/>
  <c r="Q52" i="1136"/>
  <c r="P52" i="1136"/>
  <c r="O52" i="1136"/>
  <c r="N52" i="1136"/>
  <c r="M52" i="1136"/>
  <c r="L52" i="1136"/>
  <c r="K52" i="1136"/>
  <c r="J52" i="1136"/>
  <c r="I52" i="1136"/>
  <c r="H52" i="1136"/>
  <c r="G52" i="1136"/>
  <c r="F52" i="1136"/>
  <c r="E52" i="1136"/>
  <c r="D52" i="1136"/>
  <c r="AE51" i="1136"/>
  <c r="AD51" i="1136"/>
  <c r="AC51" i="1136"/>
  <c r="AB51" i="1136"/>
  <c r="AA51" i="1136"/>
  <c r="Z51" i="1136"/>
  <c r="Y51" i="1136"/>
  <c r="X51" i="1136"/>
  <c r="W51" i="1136"/>
  <c r="V51" i="1136"/>
  <c r="U51" i="1136"/>
  <c r="T51" i="1136"/>
  <c r="S51" i="1136"/>
  <c r="R51" i="1136"/>
  <c r="Q51" i="1136"/>
  <c r="P51" i="1136"/>
  <c r="O51" i="1136"/>
  <c r="N51" i="1136"/>
  <c r="M51" i="1136"/>
  <c r="L51" i="1136"/>
  <c r="K51" i="1136"/>
  <c r="J51" i="1136"/>
  <c r="I51" i="1136"/>
  <c r="H51" i="1136"/>
  <c r="G51" i="1136"/>
  <c r="F51" i="1136"/>
  <c r="E51" i="1136"/>
  <c r="D51" i="1136"/>
  <c r="AE50" i="1136"/>
  <c r="AD50" i="1136"/>
  <c r="AC50" i="1136"/>
  <c r="AB50" i="1136"/>
  <c r="AA50" i="1136"/>
  <c r="Z50" i="1136"/>
  <c r="Y50" i="1136"/>
  <c r="X50" i="1136"/>
  <c r="W50" i="1136"/>
  <c r="V50" i="1136"/>
  <c r="U50" i="1136"/>
  <c r="T50" i="1136"/>
  <c r="S50" i="1136"/>
  <c r="R50" i="1136"/>
  <c r="Q50" i="1136"/>
  <c r="P50" i="1136"/>
  <c r="O50" i="1136"/>
  <c r="N50" i="1136"/>
  <c r="M50" i="1136"/>
  <c r="L50" i="1136"/>
  <c r="K50" i="1136"/>
  <c r="J50" i="1136"/>
  <c r="I50" i="1136"/>
  <c r="H50" i="1136"/>
  <c r="G50" i="1136"/>
  <c r="F50" i="1136"/>
  <c r="E50" i="1136"/>
  <c r="D50" i="1136"/>
  <c r="AE49" i="1136"/>
  <c r="AD49" i="1136"/>
  <c r="AC49" i="1136"/>
  <c r="AB49" i="1136"/>
  <c r="AA49" i="1136"/>
  <c r="Z49" i="1136"/>
  <c r="Y49" i="1136"/>
  <c r="X49" i="1136"/>
  <c r="W49" i="1136"/>
  <c r="V49" i="1136"/>
  <c r="U49" i="1136"/>
  <c r="T49" i="1136"/>
  <c r="S49" i="1136"/>
  <c r="R49" i="1136"/>
  <c r="Q49" i="1136"/>
  <c r="P49" i="1136"/>
  <c r="O49" i="1136"/>
  <c r="N49" i="1136"/>
  <c r="M49" i="1136"/>
  <c r="L49" i="1136"/>
  <c r="K49" i="1136"/>
  <c r="J49" i="1136"/>
  <c r="I49" i="1136"/>
  <c r="H49" i="1136"/>
  <c r="G49" i="1136"/>
  <c r="F49" i="1136"/>
  <c r="E49" i="1136"/>
  <c r="D49" i="1136"/>
  <c r="AE48" i="1136"/>
  <c r="AD48" i="1136"/>
  <c r="AC48" i="1136"/>
  <c r="AB48" i="1136"/>
  <c r="AA48" i="1136"/>
  <c r="Z48" i="1136"/>
  <c r="Y48" i="1136"/>
  <c r="X48" i="1136"/>
  <c r="W48" i="1136"/>
  <c r="V48" i="1136"/>
  <c r="U48" i="1136"/>
  <c r="T48" i="1136"/>
  <c r="S48" i="1136"/>
  <c r="R48" i="1136"/>
  <c r="Q48" i="1136"/>
  <c r="P48" i="1136"/>
  <c r="O48" i="1136"/>
  <c r="N48" i="1136"/>
  <c r="M48" i="1136"/>
  <c r="L48" i="1136"/>
  <c r="K48" i="1136"/>
  <c r="J48" i="1136"/>
  <c r="I48" i="1136"/>
  <c r="H48" i="1136"/>
  <c r="G48" i="1136"/>
  <c r="F48" i="1136"/>
  <c r="E48" i="1136"/>
  <c r="D48" i="1136"/>
  <c r="AE40" i="1136"/>
  <c r="AE36" i="1136" s="1"/>
  <c r="AD40" i="1136"/>
  <c r="AC40" i="1136"/>
  <c r="AC36" i="1136" s="1"/>
  <c r="AB40" i="1136"/>
  <c r="AB36" i="1136" s="1"/>
  <c r="AA40" i="1136"/>
  <c r="AA36" i="1136" s="1"/>
  <c r="Z40" i="1136"/>
  <c r="Y40" i="1136"/>
  <c r="Y36" i="1136" s="1"/>
  <c r="X40" i="1136"/>
  <c r="X36" i="1136" s="1"/>
  <c r="W40" i="1136"/>
  <c r="W36" i="1136" s="1"/>
  <c r="V40" i="1136"/>
  <c r="U40" i="1136"/>
  <c r="T40" i="1136"/>
  <c r="T36" i="1136" s="1"/>
  <c r="S40" i="1136"/>
  <c r="S36" i="1136" s="1"/>
  <c r="R40" i="1136"/>
  <c r="Q40" i="1136"/>
  <c r="P40" i="1136"/>
  <c r="O40" i="1136"/>
  <c r="O36" i="1136" s="1"/>
  <c r="N40" i="1136"/>
  <c r="M40" i="1136"/>
  <c r="M36" i="1136" s="1"/>
  <c r="L40" i="1136"/>
  <c r="L36" i="1136" s="1"/>
  <c r="K40" i="1136"/>
  <c r="K36" i="1136" s="1"/>
  <c r="J40" i="1136"/>
  <c r="I40" i="1136"/>
  <c r="I36" i="1136" s="1"/>
  <c r="H40" i="1136"/>
  <c r="H36" i="1136" s="1"/>
  <c r="G40" i="1136"/>
  <c r="G36" i="1136" s="1"/>
  <c r="F40" i="1136"/>
  <c r="E40" i="1136"/>
  <c r="D40" i="1136"/>
  <c r="D36" i="1136" s="1"/>
  <c r="AE39" i="1136"/>
  <c r="AD39" i="1136"/>
  <c r="AC39" i="1136"/>
  <c r="AB39" i="1136"/>
  <c r="AA39" i="1136"/>
  <c r="Z39" i="1136"/>
  <c r="Y39" i="1136"/>
  <c r="X39" i="1136"/>
  <c r="W39" i="1136"/>
  <c r="V39" i="1136"/>
  <c r="U39" i="1136"/>
  <c r="T39" i="1136"/>
  <c r="S39" i="1136"/>
  <c r="R39" i="1136"/>
  <c r="Q39" i="1136"/>
  <c r="P39" i="1136"/>
  <c r="O39" i="1136"/>
  <c r="N39" i="1136"/>
  <c r="M39" i="1136"/>
  <c r="L39" i="1136"/>
  <c r="K39" i="1136"/>
  <c r="J39" i="1136"/>
  <c r="I39" i="1136"/>
  <c r="H39" i="1136"/>
  <c r="G39" i="1136"/>
  <c r="F39" i="1136"/>
  <c r="E39" i="1136"/>
  <c r="D39" i="1136"/>
  <c r="AD36" i="1136"/>
  <c r="Z36" i="1136"/>
  <c r="V36" i="1136"/>
  <c r="U36" i="1136"/>
  <c r="R36" i="1136"/>
  <c r="Q36" i="1136"/>
  <c r="P36" i="1136"/>
  <c r="N36" i="1136"/>
  <c r="J36" i="1136"/>
  <c r="F36" i="1136"/>
  <c r="E36" i="1136"/>
  <c r="D29" i="1136"/>
  <c r="B28" i="1136"/>
  <c r="AE27" i="1136"/>
  <c r="AD27" i="1136"/>
  <c r="AD53" i="1136" s="1"/>
  <c r="AC27" i="1136"/>
  <c r="AC53" i="1136" s="1"/>
  <c r="AB27" i="1136"/>
  <c r="AA27" i="1136"/>
  <c r="Z27" i="1136"/>
  <c r="Y27" i="1136"/>
  <c r="Y53" i="1136" s="1"/>
  <c r="X27" i="1136"/>
  <c r="W27" i="1136"/>
  <c r="V27" i="1136"/>
  <c r="V53" i="1136" s="1"/>
  <c r="U27" i="1136"/>
  <c r="U53" i="1136" s="1"/>
  <c r="T27" i="1136"/>
  <c r="S27" i="1136"/>
  <c r="R27" i="1136"/>
  <c r="Q27" i="1136"/>
  <c r="Q53" i="1136" s="1"/>
  <c r="P27" i="1136"/>
  <c r="O27" i="1136"/>
  <c r="N27" i="1136"/>
  <c r="N53" i="1136" s="1"/>
  <c r="M27" i="1136"/>
  <c r="M53" i="1136" s="1"/>
  <c r="L27" i="1136"/>
  <c r="K27" i="1136"/>
  <c r="K43" i="1136" s="1"/>
  <c r="J27" i="1136"/>
  <c r="I27" i="1136"/>
  <c r="I53" i="1136" s="1"/>
  <c r="H27" i="1136"/>
  <c r="H43" i="1136" s="1"/>
  <c r="G27" i="1136"/>
  <c r="F27" i="1136"/>
  <c r="F53" i="1136" s="1"/>
  <c r="E27" i="1136"/>
  <c r="E53" i="1136" s="1"/>
  <c r="D27" i="1136"/>
  <c r="B27" i="1136"/>
  <c r="C4" i="1136"/>
  <c r="C3" i="1136"/>
  <c r="C2" i="1136"/>
  <c r="AL1" i="1136"/>
  <c r="C1" i="1135"/>
  <c r="AE43" i="1135"/>
  <c r="AD43" i="1135"/>
  <c r="AC43" i="1135"/>
  <c r="AB43" i="1135"/>
  <c r="AA43" i="1135"/>
  <c r="Z43" i="1135"/>
  <c r="Y43" i="1135"/>
  <c r="X43" i="1135"/>
  <c r="T43" i="1135"/>
  <c r="S43" i="1135"/>
  <c r="R43" i="1135"/>
  <c r="P43" i="1135"/>
  <c r="O43" i="1135"/>
  <c r="M43" i="1135"/>
  <c r="L43" i="1135"/>
  <c r="K43" i="1135"/>
  <c r="J43" i="1135"/>
  <c r="I43" i="1135"/>
  <c r="H43" i="1135"/>
  <c r="G43" i="1135"/>
  <c r="F43" i="1135"/>
  <c r="E43" i="1135"/>
  <c r="D43" i="1135"/>
  <c r="AE52" i="1135"/>
  <c r="AD52" i="1135"/>
  <c r="AC52" i="1135"/>
  <c r="AB52" i="1135"/>
  <c r="AA52" i="1135"/>
  <c r="Z52" i="1135"/>
  <c r="Y52" i="1135"/>
  <c r="X52" i="1135"/>
  <c r="W52" i="1135"/>
  <c r="V52" i="1135"/>
  <c r="U52" i="1135"/>
  <c r="T52" i="1135"/>
  <c r="S52" i="1135"/>
  <c r="R52" i="1135"/>
  <c r="Q52" i="1135"/>
  <c r="P52" i="1135"/>
  <c r="O52" i="1135"/>
  <c r="N52" i="1135"/>
  <c r="M52" i="1135"/>
  <c r="L52" i="1135"/>
  <c r="K52" i="1135"/>
  <c r="J52" i="1135"/>
  <c r="I52" i="1135"/>
  <c r="H52" i="1135"/>
  <c r="G52" i="1135"/>
  <c r="F52" i="1135"/>
  <c r="E52" i="1135"/>
  <c r="D52" i="1135"/>
  <c r="AE51" i="1135"/>
  <c r="AD51" i="1135"/>
  <c r="AC51" i="1135"/>
  <c r="AB51" i="1135"/>
  <c r="AA51" i="1135"/>
  <c r="Z51" i="1135"/>
  <c r="Y51" i="1135"/>
  <c r="X51" i="1135"/>
  <c r="W51" i="1135"/>
  <c r="V51" i="1135"/>
  <c r="U51" i="1135"/>
  <c r="T51" i="1135"/>
  <c r="S51" i="1135"/>
  <c r="R51" i="1135"/>
  <c r="Q51" i="1135"/>
  <c r="P51" i="1135"/>
  <c r="O51" i="1135"/>
  <c r="N51" i="1135"/>
  <c r="M51" i="1135"/>
  <c r="L51" i="1135"/>
  <c r="K51" i="1135"/>
  <c r="J51" i="1135"/>
  <c r="I51" i="1135"/>
  <c r="H51" i="1135"/>
  <c r="G51" i="1135"/>
  <c r="F51" i="1135"/>
  <c r="E51" i="1135"/>
  <c r="D51" i="1135"/>
  <c r="AE50" i="1135"/>
  <c r="AD50" i="1135"/>
  <c r="AC50" i="1135"/>
  <c r="AB50" i="1135"/>
  <c r="AA50" i="1135"/>
  <c r="Z50" i="1135"/>
  <c r="Y50" i="1135"/>
  <c r="X50" i="1135"/>
  <c r="W50" i="1135"/>
  <c r="V50" i="1135"/>
  <c r="U50" i="1135"/>
  <c r="T50" i="1135"/>
  <c r="S50" i="1135"/>
  <c r="R50" i="1135"/>
  <c r="Q50" i="1135"/>
  <c r="P50" i="1135"/>
  <c r="O50" i="1135"/>
  <c r="N50" i="1135"/>
  <c r="M50" i="1135"/>
  <c r="L50" i="1135"/>
  <c r="K50" i="1135"/>
  <c r="J50" i="1135"/>
  <c r="I50" i="1135"/>
  <c r="H50" i="1135"/>
  <c r="G50" i="1135"/>
  <c r="F50" i="1135"/>
  <c r="E50" i="1135"/>
  <c r="D50" i="1135"/>
  <c r="AE49" i="1135"/>
  <c r="AD49" i="1135"/>
  <c r="AC49" i="1135"/>
  <c r="AB49" i="1135"/>
  <c r="AA49" i="1135"/>
  <c r="Z49" i="1135"/>
  <c r="Y49" i="1135"/>
  <c r="X49" i="1135"/>
  <c r="W49" i="1135"/>
  <c r="V49" i="1135"/>
  <c r="U49" i="1135"/>
  <c r="T49" i="1135"/>
  <c r="S49" i="1135"/>
  <c r="R49" i="1135"/>
  <c r="Q49" i="1135"/>
  <c r="P49" i="1135"/>
  <c r="O49" i="1135"/>
  <c r="N49" i="1135"/>
  <c r="M49" i="1135"/>
  <c r="L49" i="1135"/>
  <c r="K49" i="1135"/>
  <c r="J49" i="1135"/>
  <c r="I49" i="1135"/>
  <c r="H49" i="1135"/>
  <c r="G49" i="1135"/>
  <c r="F49" i="1135"/>
  <c r="E49" i="1135"/>
  <c r="D49" i="1135"/>
  <c r="AE48" i="1135"/>
  <c r="AD48" i="1135"/>
  <c r="AC48" i="1135"/>
  <c r="AB48" i="1135"/>
  <c r="AA48" i="1135"/>
  <c r="Z48" i="1135"/>
  <c r="Y48" i="1135"/>
  <c r="X48" i="1135"/>
  <c r="W48" i="1135"/>
  <c r="V48" i="1135"/>
  <c r="U48" i="1135"/>
  <c r="T48" i="1135"/>
  <c r="S48" i="1135"/>
  <c r="R48" i="1135"/>
  <c r="Q48" i="1135"/>
  <c r="P48" i="1135"/>
  <c r="O48" i="1135"/>
  <c r="N48" i="1135"/>
  <c r="M48" i="1135"/>
  <c r="L48" i="1135"/>
  <c r="K48" i="1135"/>
  <c r="J48" i="1135"/>
  <c r="I48" i="1135"/>
  <c r="H48" i="1135"/>
  <c r="G48" i="1135"/>
  <c r="F48" i="1135"/>
  <c r="E48" i="1135"/>
  <c r="D48" i="1135"/>
  <c r="AE40" i="1135"/>
  <c r="AE36" i="1135" s="1"/>
  <c r="AD40" i="1135"/>
  <c r="AC40" i="1135"/>
  <c r="AC36" i="1135" s="1"/>
  <c r="AB40" i="1135"/>
  <c r="AB36" i="1135" s="1"/>
  <c r="AA40" i="1135"/>
  <c r="AA36" i="1135" s="1"/>
  <c r="Z40" i="1135"/>
  <c r="Y40" i="1135"/>
  <c r="Y36" i="1135" s="1"/>
  <c r="X40" i="1135"/>
  <c r="X36" i="1135" s="1"/>
  <c r="W40" i="1135"/>
  <c r="W36" i="1135" s="1"/>
  <c r="V40" i="1135"/>
  <c r="U40" i="1135"/>
  <c r="T40" i="1135"/>
  <c r="T36" i="1135" s="1"/>
  <c r="S40" i="1135"/>
  <c r="S36" i="1135" s="1"/>
  <c r="R40" i="1135"/>
  <c r="Q40" i="1135"/>
  <c r="P40" i="1135"/>
  <c r="P36" i="1135" s="1"/>
  <c r="O40" i="1135"/>
  <c r="O36" i="1135" s="1"/>
  <c r="N40" i="1135"/>
  <c r="M40" i="1135"/>
  <c r="M36" i="1135" s="1"/>
  <c r="L40" i="1135"/>
  <c r="L36" i="1135" s="1"/>
  <c r="K40" i="1135"/>
  <c r="K36" i="1135" s="1"/>
  <c r="J40" i="1135"/>
  <c r="I40" i="1135"/>
  <c r="I36" i="1135" s="1"/>
  <c r="H40" i="1135"/>
  <c r="H36" i="1135" s="1"/>
  <c r="G40" i="1135"/>
  <c r="G36" i="1135" s="1"/>
  <c r="F40" i="1135"/>
  <c r="E40" i="1135"/>
  <c r="E36" i="1135" s="1"/>
  <c r="D40" i="1135"/>
  <c r="D36" i="1135" s="1"/>
  <c r="AE39" i="1135"/>
  <c r="AD39" i="1135"/>
  <c r="AC39" i="1135"/>
  <c r="AB39" i="1135"/>
  <c r="AA39" i="1135"/>
  <c r="Z39" i="1135"/>
  <c r="Y39" i="1135"/>
  <c r="X39" i="1135"/>
  <c r="W39" i="1135"/>
  <c r="V39" i="1135"/>
  <c r="U39" i="1135"/>
  <c r="T39" i="1135"/>
  <c r="S39" i="1135"/>
  <c r="R39" i="1135"/>
  <c r="Q39" i="1135"/>
  <c r="P39" i="1135"/>
  <c r="O39" i="1135"/>
  <c r="N39" i="1135"/>
  <c r="M39" i="1135"/>
  <c r="L39" i="1135"/>
  <c r="K39" i="1135"/>
  <c r="J39" i="1135"/>
  <c r="I39" i="1135"/>
  <c r="H39" i="1135"/>
  <c r="G39" i="1135"/>
  <c r="F39" i="1135"/>
  <c r="E39" i="1135"/>
  <c r="D39" i="1135"/>
  <c r="AD36" i="1135"/>
  <c r="Z36" i="1135"/>
  <c r="V36" i="1135"/>
  <c r="U36" i="1135"/>
  <c r="R36" i="1135"/>
  <c r="Q36" i="1135"/>
  <c r="N36" i="1135"/>
  <c r="J36" i="1135"/>
  <c r="F36" i="1135"/>
  <c r="D29" i="1135"/>
  <c r="B28" i="1135"/>
  <c r="AE27" i="1135"/>
  <c r="AD27" i="1135"/>
  <c r="AC27" i="1135"/>
  <c r="AC53" i="1135" s="1"/>
  <c r="AB27" i="1135"/>
  <c r="AA27" i="1135"/>
  <c r="Z27" i="1135"/>
  <c r="Y27" i="1135"/>
  <c r="Y53" i="1135" s="1"/>
  <c r="X27" i="1135"/>
  <c r="W27" i="1135"/>
  <c r="W43" i="1135" s="1"/>
  <c r="V27" i="1135"/>
  <c r="V43" i="1135" s="1"/>
  <c r="U27" i="1135"/>
  <c r="U53" i="1135" s="1"/>
  <c r="T27" i="1135"/>
  <c r="S27" i="1135"/>
  <c r="R27" i="1135"/>
  <c r="Q27" i="1135"/>
  <c r="Q53" i="1135" s="1"/>
  <c r="P27" i="1135"/>
  <c r="O27" i="1135"/>
  <c r="N27" i="1135"/>
  <c r="N43" i="1135" s="1"/>
  <c r="M27" i="1135"/>
  <c r="M53" i="1135" s="1"/>
  <c r="L27" i="1135"/>
  <c r="K27" i="1135"/>
  <c r="J27" i="1135"/>
  <c r="I27" i="1135"/>
  <c r="I53" i="1135" s="1"/>
  <c r="H27" i="1135"/>
  <c r="G27" i="1135"/>
  <c r="F27" i="1135"/>
  <c r="E27" i="1135"/>
  <c r="E53" i="1135" s="1"/>
  <c r="D27" i="1135"/>
  <c r="B27" i="1135"/>
  <c r="C4" i="1135"/>
  <c r="C3" i="1135"/>
  <c r="C2" i="1135"/>
  <c r="AL1" i="1135"/>
  <c r="C1" i="1134"/>
  <c r="AE43" i="1134"/>
  <c r="AD43" i="1134"/>
  <c r="AC43" i="1134"/>
  <c r="AB43" i="1134"/>
  <c r="X43" i="1134"/>
  <c r="U43" i="1134"/>
  <c r="Q43" i="1134"/>
  <c r="P43" i="1134"/>
  <c r="M43" i="1134"/>
  <c r="L43" i="1134"/>
  <c r="K43" i="1134"/>
  <c r="J43" i="1134"/>
  <c r="I43" i="1134"/>
  <c r="H43" i="1134"/>
  <c r="G43" i="1134"/>
  <c r="F43" i="1134"/>
  <c r="E43" i="1134"/>
  <c r="D43" i="1134"/>
  <c r="AE52" i="1134"/>
  <c r="AD52" i="1134"/>
  <c r="AC52" i="1134"/>
  <c r="AB52" i="1134"/>
  <c r="AA52" i="1134"/>
  <c r="Z52" i="1134"/>
  <c r="Y52" i="1134"/>
  <c r="X52" i="1134"/>
  <c r="W52" i="1134"/>
  <c r="V52" i="1134"/>
  <c r="U52" i="1134"/>
  <c r="T52" i="1134"/>
  <c r="S52" i="1134"/>
  <c r="R52" i="1134"/>
  <c r="Q52" i="1134"/>
  <c r="P52" i="1134"/>
  <c r="O52" i="1134"/>
  <c r="N52" i="1134"/>
  <c r="M52" i="1134"/>
  <c r="L52" i="1134"/>
  <c r="K52" i="1134"/>
  <c r="J52" i="1134"/>
  <c r="I52" i="1134"/>
  <c r="H52" i="1134"/>
  <c r="G52" i="1134"/>
  <c r="F52" i="1134"/>
  <c r="E52" i="1134"/>
  <c r="D52" i="1134"/>
  <c r="AE51" i="1134"/>
  <c r="AD51" i="1134"/>
  <c r="AC51" i="1134"/>
  <c r="AB51" i="1134"/>
  <c r="AA51" i="1134"/>
  <c r="Z51" i="1134"/>
  <c r="Y51" i="1134"/>
  <c r="X51" i="1134"/>
  <c r="W51" i="1134"/>
  <c r="V51" i="1134"/>
  <c r="U51" i="1134"/>
  <c r="T51" i="1134"/>
  <c r="S51" i="1134"/>
  <c r="R51" i="1134"/>
  <c r="Q51" i="1134"/>
  <c r="P51" i="1134"/>
  <c r="O51" i="1134"/>
  <c r="N51" i="1134"/>
  <c r="M51" i="1134"/>
  <c r="L51" i="1134"/>
  <c r="K51" i="1134"/>
  <c r="J51" i="1134"/>
  <c r="I51" i="1134"/>
  <c r="H51" i="1134"/>
  <c r="G51" i="1134"/>
  <c r="F51" i="1134"/>
  <c r="E51" i="1134"/>
  <c r="D51" i="1134"/>
  <c r="AE50" i="1134"/>
  <c r="AD50" i="1134"/>
  <c r="AC50" i="1134"/>
  <c r="AB50" i="1134"/>
  <c r="AA50" i="1134"/>
  <c r="Z50" i="1134"/>
  <c r="Y50" i="1134"/>
  <c r="X50" i="1134"/>
  <c r="W50" i="1134"/>
  <c r="V50" i="1134"/>
  <c r="U50" i="1134"/>
  <c r="T50" i="1134"/>
  <c r="S50" i="1134"/>
  <c r="R50" i="1134"/>
  <c r="Q50" i="1134"/>
  <c r="P50" i="1134"/>
  <c r="O50" i="1134"/>
  <c r="N50" i="1134"/>
  <c r="M50" i="1134"/>
  <c r="L50" i="1134"/>
  <c r="K50" i="1134"/>
  <c r="J50" i="1134"/>
  <c r="I50" i="1134"/>
  <c r="H50" i="1134"/>
  <c r="G50" i="1134"/>
  <c r="F50" i="1134"/>
  <c r="E50" i="1134"/>
  <c r="D50" i="1134"/>
  <c r="AE49" i="1134"/>
  <c r="AD49" i="1134"/>
  <c r="AC49" i="1134"/>
  <c r="AB49" i="1134"/>
  <c r="AA49" i="1134"/>
  <c r="Z49" i="1134"/>
  <c r="Y49" i="1134"/>
  <c r="X49" i="1134"/>
  <c r="W49" i="1134"/>
  <c r="V49" i="1134"/>
  <c r="U49" i="1134"/>
  <c r="T49" i="1134"/>
  <c r="S49" i="1134"/>
  <c r="R49" i="1134"/>
  <c r="Q49" i="1134"/>
  <c r="P49" i="1134"/>
  <c r="O49" i="1134"/>
  <c r="N49" i="1134"/>
  <c r="M49" i="1134"/>
  <c r="L49" i="1134"/>
  <c r="K49" i="1134"/>
  <c r="J49" i="1134"/>
  <c r="I49" i="1134"/>
  <c r="H49" i="1134"/>
  <c r="G49" i="1134"/>
  <c r="F49" i="1134"/>
  <c r="E49" i="1134"/>
  <c r="D49" i="1134"/>
  <c r="AE48" i="1134"/>
  <c r="AD48" i="1134"/>
  <c r="AC48" i="1134"/>
  <c r="AB48" i="1134"/>
  <c r="AA48" i="1134"/>
  <c r="Z48" i="1134"/>
  <c r="Y48" i="1134"/>
  <c r="X48" i="1134"/>
  <c r="W48" i="1134"/>
  <c r="V48" i="1134"/>
  <c r="U48" i="1134"/>
  <c r="T48" i="1134"/>
  <c r="S48" i="1134"/>
  <c r="R48" i="1134"/>
  <c r="Q48" i="1134"/>
  <c r="P48" i="1134"/>
  <c r="O48" i="1134"/>
  <c r="N48" i="1134"/>
  <c r="M48" i="1134"/>
  <c r="L48" i="1134"/>
  <c r="K48" i="1134"/>
  <c r="J48" i="1134"/>
  <c r="I48" i="1134"/>
  <c r="H48" i="1134"/>
  <c r="G48" i="1134"/>
  <c r="F48" i="1134"/>
  <c r="E48" i="1134"/>
  <c r="D48" i="1134"/>
  <c r="AE40" i="1134"/>
  <c r="AE36" i="1134" s="1"/>
  <c r="AD40" i="1134"/>
  <c r="AC40" i="1134"/>
  <c r="AB40" i="1134"/>
  <c r="AB36" i="1134" s="1"/>
  <c r="AA40" i="1134"/>
  <c r="AA36" i="1134" s="1"/>
  <c r="Z40" i="1134"/>
  <c r="Y40" i="1134"/>
  <c r="X40" i="1134"/>
  <c r="X36" i="1134" s="1"/>
  <c r="W40" i="1134"/>
  <c r="W36" i="1134" s="1"/>
  <c r="V40" i="1134"/>
  <c r="U40" i="1134"/>
  <c r="T40" i="1134"/>
  <c r="T36" i="1134" s="1"/>
  <c r="S40" i="1134"/>
  <c r="S36" i="1134" s="1"/>
  <c r="R40" i="1134"/>
  <c r="Q40" i="1134"/>
  <c r="P40" i="1134"/>
  <c r="P36" i="1134" s="1"/>
  <c r="O40" i="1134"/>
  <c r="O36" i="1134" s="1"/>
  <c r="N40" i="1134"/>
  <c r="M40" i="1134"/>
  <c r="L40" i="1134"/>
  <c r="L36" i="1134" s="1"/>
  <c r="K40" i="1134"/>
  <c r="K36" i="1134" s="1"/>
  <c r="J40" i="1134"/>
  <c r="I40" i="1134"/>
  <c r="H40" i="1134"/>
  <c r="H36" i="1134" s="1"/>
  <c r="G40" i="1134"/>
  <c r="G36" i="1134" s="1"/>
  <c r="F40" i="1134"/>
  <c r="F36" i="1134" s="1"/>
  <c r="E40" i="1134"/>
  <c r="D40" i="1134"/>
  <c r="D36" i="1134" s="1"/>
  <c r="AE39" i="1134"/>
  <c r="AD39" i="1134"/>
  <c r="AC39" i="1134"/>
  <c r="AB39" i="1134"/>
  <c r="AA39" i="1134"/>
  <c r="Z39" i="1134"/>
  <c r="Y39" i="1134"/>
  <c r="X39" i="1134"/>
  <c r="W39" i="1134"/>
  <c r="V39" i="1134"/>
  <c r="U39" i="1134"/>
  <c r="T39" i="1134"/>
  <c r="S39" i="1134"/>
  <c r="R39" i="1134"/>
  <c r="Q39" i="1134"/>
  <c r="P39" i="1134"/>
  <c r="O39" i="1134"/>
  <c r="N39" i="1134"/>
  <c r="M39" i="1134"/>
  <c r="L39" i="1134"/>
  <c r="K39" i="1134"/>
  <c r="J39" i="1134"/>
  <c r="I39" i="1134"/>
  <c r="H39" i="1134"/>
  <c r="G39" i="1134"/>
  <c r="F39" i="1134"/>
  <c r="E39" i="1134"/>
  <c r="D39" i="1134"/>
  <c r="AD36" i="1134"/>
  <c r="AC36" i="1134"/>
  <c r="Z36" i="1134"/>
  <c r="Y36" i="1134"/>
  <c r="V36" i="1134"/>
  <c r="U36" i="1134"/>
  <c r="R36" i="1134"/>
  <c r="Q36" i="1134"/>
  <c r="N36" i="1134"/>
  <c r="M36" i="1134"/>
  <c r="J36" i="1134"/>
  <c r="I36" i="1134"/>
  <c r="E36" i="1134"/>
  <c r="D29" i="1134"/>
  <c r="B28" i="1134"/>
  <c r="AE27" i="1134"/>
  <c r="AD27" i="1134"/>
  <c r="AC27" i="1134"/>
  <c r="AB27" i="1134"/>
  <c r="AA27" i="1134"/>
  <c r="AA43" i="1134" s="1"/>
  <c r="Z27" i="1134"/>
  <c r="Z43" i="1134" s="1"/>
  <c r="Y27" i="1134"/>
  <c r="Y43" i="1134" s="1"/>
  <c r="X27" i="1134"/>
  <c r="W27" i="1134"/>
  <c r="W43" i="1134" s="1"/>
  <c r="V27" i="1134"/>
  <c r="V43" i="1134" s="1"/>
  <c r="U27" i="1134"/>
  <c r="T27" i="1134"/>
  <c r="T43" i="1134" s="1"/>
  <c r="S27" i="1134"/>
  <c r="S43" i="1134" s="1"/>
  <c r="R27" i="1134"/>
  <c r="R43" i="1134" s="1"/>
  <c r="Q27" i="1134"/>
  <c r="P27" i="1134"/>
  <c r="O27" i="1134"/>
  <c r="O43" i="1134" s="1"/>
  <c r="N27" i="1134"/>
  <c r="N43" i="1134" s="1"/>
  <c r="M27" i="1134"/>
  <c r="L27" i="1134"/>
  <c r="K27" i="1134"/>
  <c r="J27" i="1134"/>
  <c r="I27" i="1134"/>
  <c r="H27" i="1134"/>
  <c r="G27" i="1134"/>
  <c r="F27" i="1134"/>
  <c r="E27" i="1134"/>
  <c r="D27" i="1134"/>
  <c r="B27" i="1134"/>
  <c r="C4" i="1134"/>
  <c r="C3" i="1134"/>
  <c r="C2" i="1134"/>
  <c r="AL1" i="1134"/>
  <c r="C1" i="1133"/>
  <c r="AE43" i="1133"/>
  <c r="AD43" i="1133"/>
  <c r="AC43" i="1133"/>
  <c r="AB43" i="1133"/>
  <c r="AA43" i="1133"/>
  <c r="W43" i="1133"/>
  <c r="V43" i="1133"/>
  <c r="T43" i="1133"/>
  <c r="S43" i="1133"/>
  <c r="R43" i="1133"/>
  <c r="Q43" i="1133"/>
  <c r="P43" i="1133"/>
  <c r="O43" i="1133"/>
  <c r="N43" i="1133"/>
  <c r="M43" i="1133"/>
  <c r="K43" i="1133"/>
  <c r="J43" i="1133"/>
  <c r="H43" i="1133"/>
  <c r="G43" i="1133"/>
  <c r="F43" i="1133"/>
  <c r="E43" i="1133"/>
  <c r="D43" i="1133"/>
  <c r="AE52" i="1133"/>
  <c r="AD52" i="1133"/>
  <c r="AC52" i="1133"/>
  <c r="AB52" i="1133"/>
  <c r="AA52" i="1133"/>
  <c r="Z52" i="1133"/>
  <c r="Y52" i="1133"/>
  <c r="X52" i="1133"/>
  <c r="W52" i="1133"/>
  <c r="V52" i="1133"/>
  <c r="U52" i="1133"/>
  <c r="T52" i="1133"/>
  <c r="S52" i="1133"/>
  <c r="R52" i="1133"/>
  <c r="Q52" i="1133"/>
  <c r="P52" i="1133"/>
  <c r="O52" i="1133"/>
  <c r="N52" i="1133"/>
  <c r="M52" i="1133"/>
  <c r="L52" i="1133"/>
  <c r="K52" i="1133"/>
  <c r="J52" i="1133"/>
  <c r="I52" i="1133"/>
  <c r="H52" i="1133"/>
  <c r="G52" i="1133"/>
  <c r="F52" i="1133"/>
  <c r="E52" i="1133"/>
  <c r="D52" i="1133"/>
  <c r="AE51" i="1133"/>
  <c r="AD51" i="1133"/>
  <c r="AC51" i="1133"/>
  <c r="AB51" i="1133"/>
  <c r="AA51" i="1133"/>
  <c r="Z51" i="1133"/>
  <c r="Y51" i="1133"/>
  <c r="X51" i="1133"/>
  <c r="W51" i="1133"/>
  <c r="V51" i="1133"/>
  <c r="U51" i="1133"/>
  <c r="T51" i="1133"/>
  <c r="S51" i="1133"/>
  <c r="R51" i="1133"/>
  <c r="Q51" i="1133"/>
  <c r="P51" i="1133"/>
  <c r="O51" i="1133"/>
  <c r="N51" i="1133"/>
  <c r="M51" i="1133"/>
  <c r="L51" i="1133"/>
  <c r="K51" i="1133"/>
  <c r="J51" i="1133"/>
  <c r="I51" i="1133"/>
  <c r="H51" i="1133"/>
  <c r="G51" i="1133"/>
  <c r="F51" i="1133"/>
  <c r="E51" i="1133"/>
  <c r="D51" i="1133"/>
  <c r="AE50" i="1133"/>
  <c r="AD50" i="1133"/>
  <c r="AC50" i="1133"/>
  <c r="AB50" i="1133"/>
  <c r="AA50" i="1133"/>
  <c r="Z50" i="1133"/>
  <c r="Y50" i="1133"/>
  <c r="X50" i="1133"/>
  <c r="W50" i="1133"/>
  <c r="V50" i="1133"/>
  <c r="U50" i="1133"/>
  <c r="T50" i="1133"/>
  <c r="S50" i="1133"/>
  <c r="R50" i="1133"/>
  <c r="Q50" i="1133"/>
  <c r="P50" i="1133"/>
  <c r="O50" i="1133"/>
  <c r="N50" i="1133"/>
  <c r="M50" i="1133"/>
  <c r="L50" i="1133"/>
  <c r="K50" i="1133"/>
  <c r="J50" i="1133"/>
  <c r="I50" i="1133"/>
  <c r="H50" i="1133"/>
  <c r="G50" i="1133"/>
  <c r="F50" i="1133"/>
  <c r="E50" i="1133"/>
  <c r="D50" i="1133"/>
  <c r="AE49" i="1133"/>
  <c r="AD49" i="1133"/>
  <c r="AC49" i="1133"/>
  <c r="AB49" i="1133"/>
  <c r="AA49" i="1133"/>
  <c r="Z49" i="1133"/>
  <c r="Y49" i="1133"/>
  <c r="X49" i="1133"/>
  <c r="W49" i="1133"/>
  <c r="V49" i="1133"/>
  <c r="U49" i="1133"/>
  <c r="T49" i="1133"/>
  <c r="S49" i="1133"/>
  <c r="R49" i="1133"/>
  <c r="Q49" i="1133"/>
  <c r="P49" i="1133"/>
  <c r="O49" i="1133"/>
  <c r="N49" i="1133"/>
  <c r="M49" i="1133"/>
  <c r="L49" i="1133"/>
  <c r="K49" i="1133"/>
  <c r="J49" i="1133"/>
  <c r="I49" i="1133"/>
  <c r="H49" i="1133"/>
  <c r="G49" i="1133"/>
  <c r="F49" i="1133"/>
  <c r="E49" i="1133"/>
  <c r="D49" i="1133"/>
  <c r="AE48" i="1133"/>
  <c r="AD48" i="1133"/>
  <c r="AC48" i="1133"/>
  <c r="AB48" i="1133"/>
  <c r="AA48" i="1133"/>
  <c r="Z48" i="1133"/>
  <c r="Y48" i="1133"/>
  <c r="X48" i="1133"/>
  <c r="W48" i="1133"/>
  <c r="V48" i="1133"/>
  <c r="U48" i="1133"/>
  <c r="T48" i="1133"/>
  <c r="S48" i="1133"/>
  <c r="R48" i="1133"/>
  <c r="Q48" i="1133"/>
  <c r="P48" i="1133"/>
  <c r="O48" i="1133"/>
  <c r="N48" i="1133"/>
  <c r="M48" i="1133"/>
  <c r="L48" i="1133"/>
  <c r="K48" i="1133"/>
  <c r="J48" i="1133"/>
  <c r="I48" i="1133"/>
  <c r="H48" i="1133"/>
  <c r="G48" i="1133"/>
  <c r="F48" i="1133"/>
  <c r="E48" i="1133"/>
  <c r="D48" i="1133"/>
  <c r="AE40" i="1133"/>
  <c r="AE36" i="1133" s="1"/>
  <c r="AD40" i="1133"/>
  <c r="AC40" i="1133"/>
  <c r="AB40" i="1133"/>
  <c r="AB36" i="1133" s="1"/>
  <c r="AA40" i="1133"/>
  <c r="AA36" i="1133" s="1"/>
  <c r="Z40" i="1133"/>
  <c r="Y40" i="1133"/>
  <c r="X40" i="1133"/>
  <c r="X36" i="1133" s="1"/>
  <c r="W40" i="1133"/>
  <c r="W36" i="1133" s="1"/>
  <c r="V40" i="1133"/>
  <c r="U40" i="1133"/>
  <c r="T40" i="1133"/>
  <c r="T36" i="1133" s="1"/>
  <c r="S40" i="1133"/>
  <c r="S36" i="1133" s="1"/>
  <c r="R40" i="1133"/>
  <c r="Q40" i="1133"/>
  <c r="P40" i="1133"/>
  <c r="P36" i="1133" s="1"/>
  <c r="O40" i="1133"/>
  <c r="O36" i="1133" s="1"/>
  <c r="N40" i="1133"/>
  <c r="M40" i="1133"/>
  <c r="L40" i="1133"/>
  <c r="L36" i="1133" s="1"/>
  <c r="K40" i="1133"/>
  <c r="J40" i="1133"/>
  <c r="I40" i="1133"/>
  <c r="H40" i="1133"/>
  <c r="H36" i="1133" s="1"/>
  <c r="G40" i="1133"/>
  <c r="F40" i="1133"/>
  <c r="E40" i="1133"/>
  <c r="D40" i="1133"/>
  <c r="D36" i="1133" s="1"/>
  <c r="AE39" i="1133"/>
  <c r="AD39" i="1133"/>
  <c r="AC39" i="1133"/>
  <c r="AB39" i="1133"/>
  <c r="AA39" i="1133"/>
  <c r="Z39" i="1133"/>
  <c r="Y39" i="1133"/>
  <c r="X39" i="1133"/>
  <c r="W39" i="1133"/>
  <c r="V39" i="1133"/>
  <c r="U39" i="1133"/>
  <c r="T39" i="1133"/>
  <c r="S39" i="1133"/>
  <c r="R39" i="1133"/>
  <c r="Q39" i="1133"/>
  <c r="P39" i="1133"/>
  <c r="O39" i="1133"/>
  <c r="N39" i="1133"/>
  <c r="M39" i="1133"/>
  <c r="L39" i="1133"/>
  <c r="K39" i="1133"/>
  <c r="J39" i="1133"/>
  <c r="I39" i="1133"/>
  <c r="H39" i="1133"/>
  <c r="G39" i="1133"/>
  <c r="F39" i="1133"/>
  <c r="E39" i="1133"/>
  <c r="D39" i="1133"/>
  <c r="AD36" i="1133"/>
  <c r="AC36" i="1133"/>
  <c r="Z36" i="1133"/>
  <c r="Y36" i="1133"/>
  <c r="V36" i="1133"/>
  <c r="U36" i="1133"/>
  <c r="R36" i="1133"/>
  <c r="Q36" i="1133"/>
  <c r="N36" i="1133"/>
  <c r="M36" i="1133"/>
  <c r="K36" i="1133"/>
  <c r="J36" i="1133"/>
  <c r="I36" i="1133"/>
  <c r="G36" i="1133"/>
  <c r="F36" i="1133"/>
  <c r="E36" i="1133"/>
  <c r="D29" i="1133"/>
  <c r="B28" i="1133"/>
  <c r="AE27" i="1133"/>
  <c r="AD27" i="1133"/>
  <c r="AC27" i="1133"/>
  <c r="AC53" i="1133" s="1"/>
  <c r="AB27" i="1133"/>
  <c r="AA27" i="1133"/>
  <c r="Z27" i="1133"/>
  <c r="Z43" i="1133" s="1"/>
  <c r="Y27" i="1133"/>
  <c r="Y53" i="1133" s="1"/>
  <c r="X27" i="1133"/>
  <c r="X43" i="1133" s="1"/>
  <c r="W27" i="1133"/>
  <c r="V27" i="1133"/>
  <c r="U27" i="1133"/>
  <c r="U53" i="1133" s="1"/>
  <c r="T27" i="1133"/>
  <c r="S27" i="1133"/>
  <c r="R27" i="1133"/>
  <c r="Q27" i="1133"/>
  <c r="Q53" i="1133" s="1"/>
  <c r="P27" i="1133"/>
  <c r="O27" i="1133"/>
  <c r="N27" i="1133"/>
  <c r="M27" i="1133"/>
  <c r="M53" i="1133" s="1"/>
  <c r="L27" i="1133"/>
  <c r="L43" i="1133" s="1"/>
  <c r="K27" i="1133"/>
  <c r="J27" i="1133"/>
  <c r="I27" i="1133"/>
  <c r="I53" i="1133" s="1"/>
  <c r="H27" i="1133"/>
  <c r="G27" i="1133"/>
  <c r="F27" i="1133"/>
  <c r="E27" i="1133"/>
  <c r="E53" i="1133" s="1"/>
  <c r="D27" i="1133"/>
  <c r="B27" i="1133"/>
  <c r="C4" i="1133"/>
  <c r="C3" i="1133"/>
  <c r="C2" i="1133"/>
  <c r="AL1" i="1133"/>
  <c r="C1" i="1132"/>
  <c r="Y43" i="1132"/>
  <c r="X43" i="1132"/>
  <c r="V43" i="1132"/>
  <c r="Q43" i="1132"/>
  <c r="N43" i="1132"/>
  <c r="M43" i="1132"/>
  <c r="K43" i="1132"/>
  <c r="J43" i="1132"/>
  <c r="I43" i="1132"/>
  <c r="H43" i="1132"/>
  <c r="G43" i="1132"/>
  <c r="AE52" i="1132"/>
  <c r="AD52" i="1132"/>
  <c r="AC52" i="1132"/>
  <c r="AB52" i="1132"/>
  <c r="AA52" i="1132"/>
  <c r="Z52" i="1132"/>
  <c r="Y52" i="1132"/>
  <c r="X52" i="1132"/>
  <c r="W52" i="1132"/>
  <c r="V52" i="1132"/>
  <c r="U52" i="1132"/>
  <c r="T52" i="1132"/>
  <c r="S52" i="1132"/>
  <c r="R52" i="1132"/>
  <c r="Q52" i="1132"/>
  <c r="P52" i="1132"/>
  <c r="O52" i="1132"/>
  <c r="N52" i="1132"/>
  <c r="M52" i="1132"/>
  <c r="L52" i="1132"/>
  <c r="K52" i="1132"/>
  <c r="J52" i="1132"/>
  <c r="I52" i="1132"/>
  <c r="H52" i="1132"/>
  <c r="G52" i="1132"/>
  <c r="F52" i="1132"/>
  <c r="E52" i="1132"/>
  <c r="D52" i="1132"/>
  <c r="AE51" i="1132"/>
  <c r="AD51" i="1132"/>
  <c r="AC51" i="1132"/>
  <c r="AB51" i="1132"/>
  <c r="AA51" i="1132"/>
  <c r="Z51" i="1132"/>
  <c r="Y51" i="1132"/>
  <c r="X51" i="1132"/>
  <c r="W51" i="1132"/>
  <c r="V51" i="1132"/>
  <c r="U51" i="1132"/>
  <c r="T51" i="1132"/>
  <c r="S51" i="1132"/>
  <c r="R51" i="1132"/>
  <c r="Q51" i="1132"/>
  <c r="P51" i="1132"/>
  <c r="O51" i="1132"/>
  <c r="N51" i="1132"/>
  <c r="M51" i="1132"/>
  <c r="L51" i="1132"/>
  <c r="K51" i="1132"/>
  <c r="J51" i="1132"/>
  <c r="I51" i="1132"/>
  <c r="H51" i="1132"/>
  <c r="G51" i="1132"/>
  <c r="F51" i="1132"/>
  <c r="E51" i="1132"/>
  <c r="D51" i="1132"/>
  <c r="AE50" i="1132"/>
  <c r="AD50" i="1132"/>
  <c r="AC50" i="1132"/>
  <c r="AB50" i="1132"/>
  <c r="AA50" i="1132"/>
  <c r="Z50" i="1132"/>
  <c r="Y50" i="1132"/>
  <c r="X50" i="1132"/>
  <c r="W50" i="1132"/>
  <c r="V50" i="1132"/>
  <c r="U50" i="1132"/>
  <c r="T50" i="1132"/>
  <c r="S50" i="1132"/>
  <c r="R50" i="1132"/>
  <c r="Q50" i="1132"/>
  <c r="P50" i="1132"/>
  <c r="O50" i="1132"/>
  <c r="N50" i="1132"/>
  <c r="M50" i="1132"/>
  <c r="L50" i="1132"/>
  <c r="K50" i="1132"/>
  <c r="J50" i="1132"/>
  <c r="I50" i="1132"/>
  <c r="H50" i="1132"/>
  <c r="G50" i="1132"/>
  <c r="F50" i="1132"/>
  <c r="E50" i="1132"/>
  <c r="D50" i="1132"/>
  <c r="AE49" i="1132"/>
  <c r="AD49" i="1132"/>
  <c r="AC49" i="1132"/>
  <c r="AB49" i="1132"/>
  <c r="AA49" i="1132"/>
  <c r="Z49" i="1132"/>
  <c r="Y49" i="1132"/>
  <c r="X49" i="1132"/>
  <c r="W49" i="1132"/>
  <c r="V49" i="1132"/>
  <c r="U49" i="1132"/>
  <c r="T49" i="1132"/>
  <c r="S49" i="1132"/>
  <c r="R49" i="1132"/>
  <c r="Q49" i="1132"/>
  <c r="P49" i="1132"/>
  <c r="O49" i="1132"/>
  <c r="N49" i="1132"/>
  <c r="M49" i="1132"/>
  <c r="L49" i="1132"/>
  <c r="K49" i="1132"/>
  <c r="J49" i="1132"/>
  <c r="I49" i="1132"/>
  <c r="H49" i="1132"/>
  <c r="G49" i="1132"/>
  <c r="F49" i="1132"/>
  <c r="E49" i="1132"/>
  <c r="D49" i="1132"/>
  <c r="AE48" i="1132"/>
  <c r="AD48" i="1132"/>
  <c r="AC48" i="1132"/>
  <c r="AB48" i="1132"/>
  <c r="AA48" i="1132"/>
  <c r="Z48" i="1132"/>
  <c r="Y48" i="1132"/>
  <c r="X48" i="1132"/>
  <c r="W48" i="1132"/>
  <c r="V48" i="1132"/>
  <c r="U48" i="1132"/>
  <c r="T48" i="1132"/>
  <c r="S48" i="1132"/>
  <c r="R48" i="1132"/>
  <c r="Q48" i="1132"/>
  <c r="P48" i="1132"/>
  <c r="O48" i="1132"/>
  <c r="N48" i="1132"/>
  <c r="M48" i="1132"/>
  <c r="L48" i="1132"/>
  <c r="K48" i="1132"/>
  <c r="J48" i="1132"/>
  <c r="I48" i="1132"/>
  <c r="H48" i="1132"/>
  <c r="G48" i="1132"/>
  <c r="F48" i="1132"/>
  <c r="E48" i="1132"/>
  <c r="D48" i="1132"/>
  <c r="AE40" i="1132"/>
  <c r="AD40" i="1132"/>
  <c r="AC40" i="1132"/>
  <c r="AB40" i="1132"/>
  <c r="AA40" i="1132"/>
  <c r="Z40" i="1132"/>
  <c r="Y40" i="1132"/>
  <c r="X40" i="1132"/>
  <c r="W40" i="1132"/>
  <c r="V40" i="1132"/>
  <c r="U40" i="1132"/>
  <c r="T40" i="1132"/>
  <c r="S40" i="1132"/>
  <c r="R40" i="1132"/>
  <c r="Q40" i="1132"/>
  <c r="P40" i="1132"/>
  <c r="O40" i="1132"/>
  <c r="N40" i="1132"/>
  <c r="M40" i="1132"/>
  <c r="L40" i="1132"/>
  <c r="K40" i="1132"/>
  <c r="J40" i="1132"/>
  <c r="I40" i="1132"/>
  <c r="H40" i="1132"/>
  <c r="G40" i="1132"/>
  <c r="F40" i="1132"/>
  <c r="E40" i="1132"/>
  <c r="D40" i="1132"/>
  <c r="AE39" i="1132"/>
  <c r="AD39" i="1132"/>
  <c r="AC39" i="1132"/>
  <c r="AB39" i="1132"/>
  <c r="AA39" i="1132"/>
  <c r="Z39" i="1132"/>
  <c r="Y39" i="1132"/>
  <c r="X39" i="1132"/>
  <c r="W39" i="1132"/>
  <c r="V39" i="1132"/>
  <c r="U39" i="1132"/>
  <c r="T39" i="1132"/>
  <c r="S39" i="1132"/>
  <c r="R39" i="1132"/>
  <c r="Q39" i="1132"/>
  <c r="P39" i="1132"/>
  <c r="O39" i="1132"/>
  <c r="N39" i="1132"/>
  <c r="M39" i="1132"/>
  <c r="L39" i="1132"/>
  <c r="K39" i="1132"/>
  <c r="J39" i="1132"/>
  <c r="I39" i="1132"/>
  <c r="H39" i="1132"/>
  <c r="G39" i="1132"/>
  <c r="F39" i="1132"/>
  <c r="E39" i="1132"/>
  <c r="D39" i="1132"/>
  <c r="AE36" i="1132"/>
  <c r="AD36" i="1132"/>
  <c r="AC36" i="1132"/>
  <c r="AB36" i="1132"/>
  <c r="AA36" i="1132"/>
  <c r="Z36" i="1132"/>
  <c r="Y36" i="1132"/>
  <c r="X36" i="1132"/>
  <c r="W36" i="1132"/>
  <c r="V36" i="1132"/>
  <c r="U36" i="1132"/>
  <c r="T36" i="1132"/>
  <c r="S36" i="1132"/>
  <c r="R36" i="1132"/>
  <c r="Q36" i="1132"/>
  <c r="P36" i="1132"/>
  <c r="O36" i="1132"/>
  <c r="N36" i="1132"/>
  <c r="M36" i="1132"/>
  <c r="L36" i="1132"/>
  <c r="K36" i="1132"/>
  <c r="J36" i="1132"/>
  <c r="I36" i="1132"/>
  <c r="H36" i="1132"/>
  <c r="G36" i="1132"/>
  <c r="F36" i="1132"/>
  <c r="E36" i="1132"/>
  <c r="D36" i="1132"/>
  <c r="D29" i="1132"/>
  <c r="B28" i="1132"/>
  <c r="AE27" i="1132"/>
  <c r="AE43" i="1132" s="1"/>
  <c r="AD27" i="1132"/>
  <c r="AD43" i="1132" s="1"/>
  <c r="AC27" i="1132"/>
  <c r="AC43" i="1132" s="1"/>
  <c r="AB27" i="1132"/>
  <c r="AB43" i="1132" s="1"/>
  <c r="AA27" i="1132"/>
  <c r="AA43" i="1132" s="1"/>
  <c r="Z27" i="1132"/>
  <c r="Z43" i="1132" s="1"/>
  <c r="Y27" i="1132"/>
  <c r="X27" i="1132"/>
  <c r="W27" i="1132"/>
  <c r="W43" i="1132" s="1"/>
  <c r="V27" i="1132"/>
  <c r="U27" i="1132"/>
  <c r="U43" i="1132" s="1"/>
  <c r="T27" i="1132"/>
  <c r="T43" i="1132" s="1"/>
  <c r="S27" i="1132"/>
  <c r="S43" i="1132" s="1"/>
  <c r="R27" i="1132"/>
  <c r="R43" i="1132" s="1"/>
  <c r="Q27" i="1132"/>
  <c r="P27" i="1132"/>
  <c r="P43" i="1132" s="1"/>
  <c r="O27" i="1132"/>
  <c r="O43" i="1132" s="1"/>
  <c r="N27" i="1132"/>
  <c r="M27" i="1132"/>
  <c r="L27" i="1132"/>
  <c r="L43" i="1132" s="1"/>
  <c r="K27" i="1132"/>
  <c r="J27" i="1132"/>
  <c r="I27" i="1132"/>
  <c r="H27" i="1132"/>
  <c r="G27" i="1132"/>
  <c r="F27" i="1132"/>
  <c r="F43" i="1132" s="1"/>
  <c r="E27" i="1132"/>
  <c r="E43" i="1132" s="1"/>
  <c r="D27" i="1132"/>
  <c r="D43" i="1132" s="1"/>
  <c r="B27" i="1132"/>
  <c r="C4" i="1132"/>
  <c r="C3" i="1132"/>
  <c r="C2" i="1132"/>
  <c r="AL1" i="1132"/>
  <c r="AE28" i="1131"/>
  <c r="AD28" i="1131"/>
  <c r="AC28" i="1131"/>
  <c r="AB28" i="1131"/>
  <c r="AB44" i="1131" s="1"/>
  <c r="AA28" i="1131"/>
  <c r="Z28" i="1131"/>
  <c r="Y28" i="1131"/>
  <c r="X28" i="1131"/>
  <c r="W28" i="1131"/>
  <c r="V28" i="1131"/>
  <c r="V44" i="1131" s="1"/>
  <c r="U28" i="1131"/>
  <c r="T28" i="1131"/>
  <c r="T44" i="1131" s="1"/>
  <c r="S28" i="1131"/>
  <c r="R28" i="1131"/>
  <c r="R44" i="1131" s="1"/>
  <c r="Q28" i="1131"/>
  <c r="P28" i="1131"/>
  <c r="O28" i="1131"/>
  <c r="N28" i="1131"/>
  <c r="M28" i="1131"/>
  <c r="L28" i="1131"/>
  <c r="K28" i="1131"/>
  <c r="J28" i="1131"/>
  <c r="I28" i="1131"/>
  <c r="H28" i="1131"/>
  <c r="H44" i="1131" s="1"/>
  <c r="G28" i="1131"/>
  <c r="F28" i="1131"/>
  <c r="E28" i="1131"/>
  <c r="D28" i="1131"/>
  <c r="D44" i="1131" s="1"/>
  <c r="C1" i="1131"/>
  <c r="AE44" i="1131"/>
  <c r="AA44" i="1131"/>
  <c r="W44" i="1131"/>
  <c r="S44" i="1131"/>
  <c r="O44" i="1131"/>
  <c r="K44" i="1131"/>
  <c r="G44" i="1131"/>
  <c r="AE53" i="1131"/>
  <c r="AD53" i="1131"/>
  <c r="AC53" i="1131"/>
  <c r="AB53" i="1131"/>
  <c r="AA53" i="1131"/>
  <c r="Z53" i="1131"/>
  <c r="Y53" i="1131"/>
  <c r="X53" i="1131"/>
  <c r="W53" i="1131"/>
  <c r="V53" i="1131"/>
  <c r="U53" i="1131"/>
  <c r="T53" i="1131"/>
  <c r="S53" i="1131"/>
  <c r="R53" i="1131"/>
  <c r="Q53" i="1131"/>
  <c r="P53" i="1131"/>
  <c r="O53" i="1131"/>
  <c r="N53" i="1131"/>
  <c r="M53" i="1131"/>
  <c r="L53" i="1131"/>
  <c r="K53" i="1131"/>
  <c r="J53" i="1131"/>
  <c r="I53" i="1131"/>
  <c r="H53" i="1131"/>
  <c r="G53" i="1131"/>
  <c r="F53" i="1131"/>
  <c r="E53" i="1131"/>
  <c r="D53" i="1131"/>
  <c r="AE52" i="1131"/>
  <c r="AD52" i="1131"/>
  <c r="AC52" i="1131"/>
  <c r="AB52" i="1131"/>
  <c r="AA52" i="1131"/>
  <c r="Z52" i="1131"/>
  <c r="Y52" i="1131"/>
  <c r="X52" i="1131"/>
  <c r="W52" i="1131"/>
  <c r="V52" i="1131"/>
  <c r="U52" i="1131"/>
  <c r="T52" i="1131"/>
  <c r="S52" i="1131"/>
  <c r="R52" i="1131"/>
  <c r="Q52" i="1131"/>
  <c r="P52" i="1131"/>
  <c r="O52" i="1131"/>
  <c r="N52" i="1131"/>
  <c r="M52" i="1131"/>
  <c r="L52" i="1131"/>
  <c r="K52" i="1131"/>
  <c r="J52" i="1131"/>
  <c r="I52" i="1131"/>
  <c r="H52" i="1131"/>
  <c r="G52" i="1131"/>
  <c r="F52" i="1131"/>
  <c r="E52" i="1131"/>
  <c r="D52" i="1131"/>
  <c r="AE51" i="1131"/>
  <c r="AD51" i="1131"/>
  <c r="AC51" i="1131"/>
  <c r="AB51" i="1131"/>
  <c r="AA51" i="1131"/>
  <c r="Z51" i="1131"/>
  <c r="Y51" i="1131"/>
  <c r="X51" i="1131"/>
  <c r="W51" i="1131"/>
  <c r="V51" i="1131"/>
  <c r="U51" i="1131"/>
  <c r="T51" i="1131"/>
  <c r="S51" i="1131"/>
  <c r="R51" i="1131"/>
  <c r="Q51" i="1131"/>
  <c r="P51" i="1131"/>
  <c r="O51" i="1131"/>
  <c r="N51" i="1131"/>
  <c r="M51" i="1131"/>
  <c r="L51" i="1131"/>
  <c r="K51" i="1131"/>
  <c r="J51" i="1131"/>
  <c r="I51" i="1131"/>
  <c r="H51" i="1131"/>
  <c r="G51" i="1131"/>
  <c r="F51" i="1131"/>
  <c r="E51" i="1131"/>
  <c r="D51" i="1131"/>
  <c r="AE50" i="1131"/>
  <c r="AD50" i="1131"/>
  <c r="AC50" i="1131"/>
  <c r="AB50" i="1131"/>
  <c r="AA50" i="1131"/>
  <c r="Z50" i="1131"/>
  <c r="Y50" i="1131"/>
  <c r="X50" i="1131"/>
  <c r="W50" i="1131"/>
  <c r="V50" i="1131"/>
  <c r="U50" i="1131"/>
  <c r="T50" i="1131"/>
  <c r="S50" i="1131"/>
  <c r="R50" i="1131"/>
  <c r="Q50" i="1131"/>
  <c r="P50" i="1131"/>
  <c r="O50" i="1131"/>
  <c r="N50" i="1131"/>
  <c r="M50" i="1131"/>
  <c r="L50" i="1131"/>
  <c r="K50" i="1131"/>
  <c r="J50" i="1131"/>
  <c r="I50" i="1131"/>
  <c r="H50" i="1131"/>
  <c r="G50" i="1131"/>
  <c r="F50" i="1131"/>
  <c r="E50" i="1131"/>
  <c r="D50" i="1131"/>
  <c r="AE49" i="1131"/>
  <c r="AD49" i="1131"/>
  <c r="AC49" i="1131"/>
  <c r="AB49" i="1131"/>
  <c r="AA49" i="1131"/>
  <c r="Z49" i="1131"/>
  <c r="Y49" i="1131"/>
  <c r="X49" i="1131"/>
  <c r="W49" i="1131"/>
  <c r="V49" i="1131"/>
  <c r="U49" i="1131"/>
  <c r="T49" i="1131"/>
  <c r="S49" i="1131"/>
  <c r="R49" i="1131"/>
  <c r="Q49" i="1131"/>
  <c r="P49" i="1131"/>
  <c r="O49" i="1131"/>
  <c r="N49" i="1131"/>
  <c r="M49" i="1131"/>
  <c r="L49" i="1131"/>
  <c r="K49" i="1131"/>
  <c r="J49" i="1131"/>
  <c r="I49" i="1131"/>
  <c r="H49" i="1131"/>
  <c r="G49" i="1131"/>
  <c r="F49" i="1131"/>
  <c r="E49" i="1131"/>
  <c r="D49" i="1131"/>
  <c r="AE41" i="1131"/>
  <c r="AD41" i="1131"/>
  <c r="AC41" i="1131"/>
  <c r="AB41" i="1131"/>
  <c r="AA41" i="1131"/>
  <c r="Z41" i="1131"/>
  <c r="Y41" i="1131"/>
  <c r="X41" i="1131"/>
  <c r="W41" i="1131"/>
  <c r="V41" i="1131"/>
  <c r="U41" i="1131"/>
  <c r="T41" i="1131"/>
  <c r="S41" i="1131"/>
  <c r="R41" i="1131"/>
  <c r="Q41" i="1131"/>
  <c r="P41" i="1131"/>
  <c r="O41" i="1131"/>
  <c r="N41" i="1131"/>
  <c r="M41" i="1131"/>
  <c r="L41" i="1131"/>
  <c r="K41" i="1131"/>
  <c r="J41" i="1131"/>
  <c r="I41" i="1131"/>
  <c r="H41" i="1131"/>
  <c r="G41" i="1131"/>
  <c r="F41" i="1131"/>
  <c r="E41" i="1131"/>
  <c r="D41" i="1131"/>
  <c r="AE40" i="1131"/>
  <c r="AD40" i="1131"/>
  <c r="AC40" i="1131"/>
  <c r="AB40" i="1131"/>
  <c r="AA40" i="1131"/>
  <c r="Z40" i="1131"/>
  <c r="Y40" i="1131"/>
  <c r="X40" i="1131"/>
  <c r="W40" i="1131"/>
  <c r="V40" i="1131"/>
  <c r="U40" i="1131"/>
  <c r="T40" i="1131"/>
  <c r="S40" i="1131"/>
  <c r="R40" i="1131"/>
  <c r="Q40" i="1131"/>
  <c r="P40" i="1131"/>
  <c r="O40" i="1131"/>
  <c r="N40" i="1131"/>
  <c r="M40" i="1131"/>
  <c r="L40" i="1131"/>
  <c r="K40" i="1131"/>
  <c r="J40" i="1131"/>
  <c r="I40" i="1131"/>
  <c r="H40" i="1131"/>
  <c r="G40" i="1131"/>
  <c r="F40" i="1131"/>
  <c r="E40" i="1131"/>
  <c r="D40" i="1131"/>
  <c r="AE37" i="1131"/>
  <c r="AD37" i="1131"/>
  <c r="AC37" i="1131"/>
  <c r="AB37" i="1131"/>
  <c r="AA37" i="1131"/>
  <c r="Z37" i="1131"/>
  <c r="Y37" i="1131"/>
  <c r="X37" i="1131"/>
  <c r="W37" i="1131"/>
  <c r="V37" i="1131"/>
  <c r="U37" i="1131"/>
  <c r="T37" i="1131"/>
  <c r="S37" i="1131"/>
  <c r="R37" i="1131"/>
  <c r="Q37" i="1131"/>
  <c r="P37" i="1131"/>
  <c r="O37" i="1131"/>
  <c r="N37" i="1131"/>
  <c r="M37" i="1131"/>
  <c r="L37" i="1131"/>
  <c r="K37" i="1131"/>
  <c r="J37" i="1131"/>
  <c r="I37" i="1131"/>
  <c r="H37" i="1131"/>
  <c r="G37" i="1131"/>
  <c r="F37" i="1131"/>
  <c r="E37" i="1131"/>
  <c r="D37" i="1131"/>
  <c r="D30" i="1131"/>
  <c r="B29" i="1131"/>
  <c r="AD44" i="1131"/>
  <c r="AC44" i="1131"/>
  <c r="Z44" i="1131"/>
  <c r="Y44" i="1131"/>
  <c r="X44" i="1131"/>
  <c r="U44" i="1131"/>
  <c r="Q44" i="1131"/>
  <c r="P44" i="1131"/>
  <c r="N44" i="1131"/>
  <c r="M44" i="1131"/>
  <c r="L44" i="1131"/>
  <c r="J44" i="1131"/>
  <c r="I44" i="1131"/>
  <c r="F44" i="1131"/>
  <c r="E44" i="1131"/>
  <c r="B28" i="1131"/>
  <c r="C4" i="1131"/>
  <c r="C3" i="1131"/>
  <c r="C2" i="1131"/>
  <c r="AL1" i="1131"/>
  <c r="C1" i="1130"/>
  <c r="AE43" i="1130"/>
  <c r="AD43" i="1130"/>
  <c r="AC43" i="1130"/>
  <c r="AB43" i="1130"/>
  <c r="AA43" i="1130"/>
  <c r="Z43" i="1130"/>
  <c r="Y43" i="1130"/>
  <c r="X43" i="1130"/>
  <c r="W43" i="1130"/>
  <c r="V43" i="1130"/>
  <c r="U43" i="1130"/>
  <c r="T43" i="1130"/>
  <c r="S43" i="1130"/>
  <c r="R43" i="1130"/>
  <c r="O43" i="1130"/>
  <c r="N43" i="1130"/>
  <c r="L43" i="1130"/>
  <c r="K43" i="1130"/>
  <c r="I43" i="1130"/>
  <c r="G43" i="1130"/>
  <c r="E43" i="1130"/>
  <c r="AE52" i="1130"/>
  <c r="AD52" i="1130"/>
  <c r="AC52" i="1130"/>
  <c r="AB52" i="1130"/>
  <c r="AA52" i="1130"/>
  <c r="Z52" i="1130"/>
  <c r="Y52" i="1130"/>
  <c r="X52" i="1130"/>
  <c r="W52" i="1130"/>
  <c r="V52" i="1130"/>
  <c r="U52" i="1130"/>
  <c r="T52" i="1130"/>
  <c r="S52" i="1130"/>
  <c r="R52" i="1130"/>
  <c r="Q52" i="1130"/>
  <c r="P52" i="1130"/>
  <c r="O52" i="1130"/>
  <c r="N52" i="1130"/>
  <c r="M52" i="1130"/>
  <c r="L52" i="1130"/>
  <c r="K52" i="1130"/>
  <c r="J52" i="1130"/>
  <c r="I52" i="1130"/>
  <c r="H52" i="1130"/>
  <c r="G52" i="1130"/>
  <c r="F52" i="1130"/>
  <c r="E52" i="1130"/>
  <c r="D52" i="1130"/>
  <c r="AE51" i="1130"/>
  <c r="AD51" i="1130"/>
  <c r="AC51" i="1130"/>
  <c r="AB51" i="1130"/>
  <c r="AA51" i="1130"/>
  <c r="Z51" i="1130"/>
  <c r="Y51" i="1130"/>
  <c r="X51" i="1130"/>
  <c r="W51" i="1130"/>
  <c r="V51" i="1130"/>
  <c r="U51" i="1130"/>
  <c r="T51" i="1130"/>
  <c r="S51" i="1130"/>
  <c r="R51" i="1130"/>
  <c r="Q51" i="1130"/>
  <c r="P51" i="1130"/>
  <c r="O51" i="1130"/>
  <c r="N51" i="1130"/>
  <c r="M51" i="1130"/>
  <c r="L51" i="1130"/>
  <c r="K51" i="1130"/>
  <c r="J51" i="1130"/>
  <c r="I51" i="1130"/>
  <c r="H51" i="1130"/>
  <c r="G51" i="1130"/>
  <c r="F51" i="1130"/>
  <c r="E51" i="1130"/>
  <c r="D51" i="1130"/>
  <c r="AE50" i="1130"/>
  <c r="AD50" i="1130"/>
  <c r="AC50" i="1130"/>
  <c r="AB50" i="1130"/>
  <c r="AA50" i="1130"/>
  <c r="Z50" i="1130"/>
  <c r="Y50" i="1130"/>
  <c r="X50" i="1130"/>
  <c r="W50" i="1130"/>
  <c r="V50" i="1130"/>
  <c r="U50" i="1130"/>
  <c r="T50" i="1130"/>
  <c r="S50" i="1130"/>
  <c r="R50" i="1130"/>
  <c r="Q50" i="1130"/>
  <c r="P50" i="1130"/>
  <c r="O50" i="1130"/>
  <c r="N50" i="1130"/>
  <c r="M50" i="1130"/>
  <c r="L50" i="1130"/>
  <c r="K50" i="1130"/>
  <c r="J50" i="1130"/>
  <c r="I50" i="1130"/>
  <c r="H50" i="1130"/>
  <c r="G50" i="1130"/>
  <c r="F50" i="1130"/>
  <c r="E50" i="1130"/>
  <c r="D50" i="1130"/>
  <c r="AE49" i="1130"/>
  <c r="AD49" i="1130"/>
  <c r="AC49" i="1130"/>
  <c r="AB49" i="1130"/>
  <c r="AA49" i="1130"/>
  <c r="Z49" i="1130"/>
  <c r="Y49" i="1130"/>
  <c r="X49" i="1130"/>
  <c r="W49" i="1130"/>
  <c r="V49" i="1130"/>
  <c r="U49" i="1130"/>
  <c r="T49" i="1130"/>
  <c r="S49" i="1130"/>
  <c r="R49" i="1130"/>
  <c r="Q49" i="1130"/>
  <c r="P49" i="1130"/>
  <c r="O49" i="1130"/>
  <c r="N49" i="1130"/>
  <c r="M49" i="1130"/>
  <c r="L49" i="1130"/>
  <c r="K49" i="1130"/>
  <c r="J49" i="1130"/>
  <c r="I49" i="1130"/>
  <c r="H49" i="1130"/>
  <c r="G49" i="1130"/>
  <c r="F49" i="1130"/>
  <c r="E49" i="1130"/>
  <c r="D49" i="1130"/>
  <c r="AE48" i="1130"/>
  <c r="AD48" i="1130"/>
  <c r="AC48" i="1130"/>
  <c r="AB48" i="1130"/>
  <c r="AA48" i="1130"/>
  <c r="Z48" i="1130"/>
  <c r="Y48" i="1130"/>
  <c r="X48" i="1130"/>
  <c r="W48" i="1130"/>
  <c r="V48" i="1130"/>
  <c r="U48" i="1130"/>
  <c r="T48" i="1130"/>
  <c r="S48" i="1130"/>
  <c r="R48" i="1130"/>
  <c r="Q48" i="1130"/>
  <c r="P48" i="1130"/>
  <c r="O48" i="1130"/>
  <c r="N48" i="1130"/>
  <c r="M48" i="1130"/>
  <c r="L48" i="1130"/>
  <c r="K48" i="1130"/>
  <c r="J48" i="1130"/>
  <c r="I48" i="1130"/>
  <c r="H48" i="1130"/>
  <c r="G48" i="1130"/>
  <c r="F48" i="1130"/>
  <c r="E48" i="1130"/>
  <c r="D48" i="1130"/>
  <c r="AE40" i="1130"/>
  <c r="AE36" i="1130" s="1"/>
  <c r="AD40" i="1130"/>
  <c r="AC40" i="1130"/>
  <c r="AB40" i="1130"/>
  <c r="AB36" i="1130" s="1"/>
  <c r="AA40" i="1130"/>
  <c r="AA36" i="1130" s="1"/>
  <c r="Z40" i="1130"/>
  <c r="Y40" i="1130"/>
  <c r="X40" i="1130"/>
  <c r="X36" i="1130" s="1"/>
  <c r="W40" i="1130"/>
  <c r="W36" i="1130" s="1"/>
  <c r="V40" i="1130"/>
  <c r="U40" i="1130"/>
  <c r="T40" i="1130"/>
  <c r="T36" i="1130" s="1"/>
  <c r="S40" i="1130"/>
  <c r="S36" i="1130" s="1"/>
  <c r="R40" i="1130"/>
  <c r="Q40" i="1130"/>
  <c r="P40" i="1130"/>
  <c r="O40" i="1130"/>
  <c r="O36" i="1130" s="1"/>
  <c r="N40" i="1130"/>
  <c r="M40" i="1130"/>
  <c r="L40" i="1130"/>
  <c r="L36" i="1130" s="1"/>
  <c r="K40" i="1130"/>
  <c r="K36" i="1130" s="1"/>
  <c r="J40" i="1130"/>
  <c r="I40" i="1130"/>
  <c r="H40" i="1130"/>
  <c r="H36" i="1130" s="1"/>
  <c r="G40" i="1130"/>
  <c r="G36" i="1130" s="1"/>
  <c r="F40" i="1130"/>
  <c r="E40" i="1130"/>
  <c r="D40" i="1130"/>
  <c r="D36" i="1130" s="1"/>
  <c r="AE39" i="1130"/>
  <c r="AD39" i="1130"/>
  <c r="AC39" i="1130"/>
  <c r="AB39" i="1130"/>
  <c r="AA39" i="1130"/>
  <c r="Z39" i="1130"/>
  <c r="Y39" i="1130"/>
  <c r="X39" i="1130"/>
  <c r="W39" i="1130"/>
  <c r="V39" i="1130"/>
  <c r="U39" i="1130"/>
  <c r="T39" i="1130"/>
  <c r="S39" i="1130"/>
  <c r="R39" i="1130"/>
  <c r="Q39" i="1130"/>
  <c r="P39" i="1130"/>
  <c r="O39" i="1130"/>
  <c r="N39" i="1130"/>
  <c r="M39" i="1130"/>
  <c r="L39" i="1130"/>
  <c r="K39" i="1130"/>
  <c r="J39" i="1130"/>
  <c r="I39" i="1130"/>
  <c r="H39" i="1130"/>
  <c r="G39" i="1130"/>
  <c r="F39" i="1130"/>
  <c r="E39" i="1130"/>
  <c r="D39" i="1130"/>
  <c r="AD36" i="1130"/>
  <c r="AC36" i="1130"/>
  <c r="Z36" i="1130"/>
  <c r="Y36" i="1130"/>
  <c r="V36" i="1130"/>
  <c r="U36" i="1130"/>
  <c r="R36" i="1130"/>
  <c r="Q36" i="1130"/>
  <c r="P36" i="1130"/>
  <c r="N36" i="1130"/>
  <c r="M36" i="1130"/>
  <c r="J36" i="1130"/>
  <c r="I36" i="1130"/>
  <c r="F36" i="1130"/>
  <c r="E36" i="1130"/>
  <c r="D29" i="1130"/>
  <c r="B28" i="1130"/>
  <c r="AE27" i="1130"/>
  <c r="AD27" i="1130"/>
  <c r="AD53" i="1130" s="1"/>
  <c r="AC27" i="1130"/>
  <c r="AC53" i="1130" s="1"/>
  <c r="AB27" i="1130"/>
  <c r="AA27" i="1130"/>
  <c r="Z27" i="1130"/>
  <c r="Z53" i="1130" s="1"/>
  <c r="Y27" i="1130"/>
  <c r="Y53" i="1130" s="1"/>
  <c r="X27" i="1130"/>
  <c r="W27" i="1130"/>
  <c r="V27" i="1130"/>
  <c r="V53" i="1130" s="1"/>
  <c r="U27" i="1130"/>
  <c r="U53" i="1130" s="1"/>
  <c r="T27" i="1130"/>
  <c r="S27" i="1130"/>
  <c r="R27" i="1130"/>
  <c r="R53" i="1130" s="1"/>
  <c r="Q27" i="1130"/>
  <c r="Q53" i="1130" s="1"/>
  <c r="P27" i="1130"/>
  <c r="P43" i="1130" s="1"/>
  <c r="O27" i="1130"/>
  <c r="N27" i="1130"/>
  <c r="N53" i="1130" s="1"/>
  <c r="M27" i="1130"/>
  <c r="M53" i="1130" s="1"/>
  <c r="L27" i="1130"/>
  <c r="K27" i="1130"/>
  <c r="J27" i="1130"/>
  <c r="J53" i="1130" s="1"/>
  <c r="I27" i="1130"/>
  <c r="I53" i="1130" s="1"/>
  <c r="H27" i="1130"/>
  <c r="H53" i="1130" s="1"/>
  <c r="G27" i="1130"/>
  <c r="F27" i="1130"/>
  <c r="F53" i="1130" s="1"/>
  <c r="E27" i="1130"/>
  <c r="E53" i="1130" s="1"/>
  <c r="D27" i="1130"/>
  <c r="D43" i="1130" s="1"/>
  <c r="B27" i="1130"/>
  <c r="C4" i="1130"/>
  <c r="C3" i="1130"/>
  <c r="C2" i="1130"/>
  <c r="AL1" i="1130"/>
  <c r="C1" i="1129"/>
  <c r="AE43" i="1129"/>
  <c r="AD43" i="1129"/>
  <c r="AC43" i="1129"/>
  <c r="AB43" i="1129"/>
  <c r="AA43" i="1129"/>
  <c r="Z43" i="1129"/>
  <c r="Y43" i="1129"/>
  <c r="X43" i="1129"/>
  <c r="W43" i="1129"/>
  <c r="V43" i="1129"/>
  <c r="U43" i="1129"/>
  <c r="S43" i="1129"/>
  <c r="R43" i="1129"/>
  <c r="Q43" i="1129"/>
  <c r="P43" i="1129"/>
  <c r="O43" i="1129"/>
  <c r="N43" i="1129"/>
  <c r="L43" i="1129"/>
  <c r="K43" i="1129"/>
  <c r="J43" i="1129"/>
  <c r="I43" i="1129"/>
  <c r="H43" i="1129"/>
  <c r="F43" i="1129"/>
  <c r="E43" i="1129"/>
  <c r="D43" i="1129"/>
  <c r="AE52" i="1129"/>
  <c r="AD52" i="1129"/>
  <c r="AC52" i="1129"/>
  <c r="AB52" i="1129"/>
  <c r="AA52" i="1129"/>
  <c r="Z52" i="1129"/>
  <c r="Y52" i="1129"/>
  <c r="X52" i="1129"/>
  <c r="W52" i="1129"/>
  <c r="V52" i="1129"/>
  <c r="U52" i="1129"/>
  <c r="T52" i="1129"/>
  <c r="S52" i="1129"/>
  <c r="R52" i="1129"/>
  <c r="Q52" i="1129"/>
  <c r="P52" i="1129"/>
  <c r="O52" i="1129"/>
  <c r="N52" i="1129"/>
  <c r="M52" i="1129"/>
  <c r="L52" i="1129"/>
  <c r="K52" i="1129"/>
  <c r="J52" i="1129"/>
  <c r="I52" i="1129"/>
  <c r="H52" i="1129"/>
  <c r="G52" i="1129"/>
  <c r="F52" i="1129"/>
  <c r="E52" i="1129"/>
  <c r="D52" i="1129"/>
  <c r="AE51" i="1129"/>
  <c r="AD51" i="1129"/>
  <c r="AC51" i="1129"/>
  <c r="AB51" i="1129"/>
  <c r="AA51" i="1129"/>
  <c r="Z51" i="1129"/>
  <c r="Y51" i="1129"/>
  <c r="X51" i="1129"/>
  <c r="W51" i="1129"/>
  <c r="V51" i="1129"/>
  <c r="U51" i="1129"/>
  <c r="T51" i="1129"/>
  <c r="S51" i="1129"/>
  <c r="R51" i="1129"/>
  <c r="Q51" i="1129"/>
  <c r="P51" i="1129"/>
  <c r="O51" i="1129"/>
  <c r="N51" i="1129"/>
  <c r="M51" i="1129"/>
  <c r="L51" i="1129"/>
  <c r="K51" i="1129"/>
  <c r="J51" i="1129"/>
  <c r="I51" i="1129"/>
  <c r="H51" i="1129"/>
  <c r="G51" i="1129"/>
  <c r="F51" i="1129"/>
  <c r="E51" i="1129"/>
  <c r="D51" i="1129"/>
  <c r="AE50" i="1129"/>
  <c r="AD50" i="1129"/>
  <c r="AC50" i="1129"/>
  <c r="AB50" i="1129"/>
  <c r="AA50" i="1129"/>
  <c r="Z50" i="1129"/>
  <c r="Y50" i="1129"/>
  <c r="X50" i="1129"/>
  <c r="W50" i="1129"/>
  <c r="V50" i="1129"/>
  <c r="U50" i="1129"/>
  <c r="T50" i="1129"/>
  <c r="S50" i="1129"/>
  <c r="R50" i="1129"/>
  <c r="Q50" i="1129"/>
  <c r="P50" i="1129"/>
  <c r="O50" i="1129"/>
  <c r="N50" i="1129"/>
  <c r="M50" i="1129"/>
  <c r="L50" i="1129"/>
  <c r="K50" i="1129"/>
  <c r="J50" i="1129"/>
  <c r="I50" i="1129"/>
  <c r="H50" i="1129"/>
  <c r="G50" i="1129"/>
  <c r="F50" i="1129"/>
  <c r="E50" i="1129"/>
  <c r="D50" i="1129"/>
  <c r="AE49" i="1129"/>
  <c r="AD49" i="1129"/>
  <c r="AC49" i="1129"/>
  <c r="AB49" i="1129"/>
  <c r="AA49" i="1129"/>
  <c r="Z49" i="1129"/>
  <c r="Y49" i="1129"/>
  <c r="X49" i="1129"/>
  <c r="W49" i="1129"/>
  <c r="V49" i="1129"/>
  <c r="U49" i="1129"/>
  <c r="T49" i="1129"/>
  <c r="S49" i="1129"/>
  <c r="R49" i="1129"/>
  <c r="Q49" i="1129"/>
  <c r="P49" i="1129"/>
  <c r="O49" i="1129"/>
  <c r="N49" i="1129"/>
  <c r="M49" i="1129"/>
  <c r="L49" i="1129"/>
  <c r="K49" i="1129"/>
  <c r="J49" i="1129"/>
  <c r="I49" i="1129"/>
  <c r="H49" i="1129"/>
  <c r="G49" i="1129"/>
  <c r="F49" i="1129"/>
  <c r="E49" i="1129"/>
  <c r="D49" i="1129"/>
  <c r="AE48" i="1129"/>
  <c r="AD48" i="1129"/>
  <c r="AC48" i="1129"/>
  <c r="AB48" i="1129"/>
  <c r="AA48" i="1129"/>
  <c r="Z48" i="1129"/>
  <c r="Y48" i="1129"/>
  <c r="X48" i="1129"/>
  <c r="W48" i="1129"/>
  <c r="V48" i="1129"/>
  <c r="U48" i="1129"/>
  <c r="T48" i="1129"/>
  <c r="S48" i="1129"/>
  <c r="R48" i="1129"/>
  <c r="Q48" i="1129"/>
  <c r="P48" i="1129"/>
  <c r="O48" i="1129"/>
  <c r="N48" i="1129"/>
  <c r="M48" i="1129"/>
  <c r="L48" i="1129"/>
  <c r="K48" i="1129"/>
  <c r="J48" i="1129"/>
  <c r="I48" i="1129"/>
  <c r="H48" i="1129"/>
  <c r="G48" i="1129"/>
  <c r="F48" i="1129"/>
  <c r="E48" i="1129"/>
  <c r="D48" i="1129"/>
  <c r="AE40" i="1129"/>
  <c r="AD40" i="1129"/>
  <c r="AC40" i="1129"/>
  <c r="AB40" i="1129"/>
  <c r="AA40" i="1129"/>
  <c r="Z40" i="1129"/>
  <c r="Y40" i="1129"/>
  <c r="X40" i="1129"/>
  <c r="W40" i="1129"/>
  <c r="V40" i="1129"/>
  <c r="U40" i="1129"/>
  <c r="T40" i="1129"/>
  <c r="S40" i="1129"/>
  <c r="R40" i="1129"/>
  <c r="Q40" i="1129"/>
  <c r="P40" i="1129"/>
  <c r="O40" i="1129"/>
  <c r="N40" i="1129"/>
  <c r="M40" i="1129"/>
  <c r="L40" i="1129"/>
  <c r="K40" i="1129"/>
  <c r="J40" i="1129"/>
  <c r="I40" i="1129"/>
  <c r="H40" i="1129"/>
  <c r="G40" i="1129"/>
  <c r="F40" i="1129"/>
  <c r="E40" i="1129"/>
  <c r="D40" i="1129"/>
  <c r="AE39" i="1129"/>
  <c r="AD39" i="1129"/>
  <c r="AC39" i="1129"/>
  <c r="AB39" i="1129"/>
  <c r="AA39" i="1129"/>
  <c r="Z39" i="1129"/>
  <c r="Y39" i="1129"/>
  <c r="X39" i="1129"/>
  <c r="W39" i="1129"/>
  <c r="V39" i="1129"/>
  <c r="U39" i="1129"/>
  <c r="T39" i="1129"/>
  <c r="S39" i="1129"/>
  <c r="R39" i="1129"/>
  <c r="Q39" i="1129"/>
  <c r="P39" i="1129"/>
  <c r="O39" i="1129"/>
  <c r="N39" i="1129"/>
  <c r="M39" i="1129"/>
  <c r="L39" i="1129"/>
  <c r="K39" i="1129"/>
  <c r="J39" i="1129"/>
  <c r="I39" i="1129"/>
  <c r="H39" i="1129"/>
  <c r="G39" i="1129"/>
  <c r="F39" i="1129"/>
  <c r="E39" i="1129"/>
  <c r="D39" i="1129"/>
  <c r="AE36" i="1129"/>
  <c r="AD36" i="1129"/>
  <c r="AC36" i="1129"/>
  <c r="AB36" i="1129"/>
  <c r="AA36" i="1129"/>
  <c r="Z36" i="1129"/>
  <c r="Y36" i="1129"/>
  <c r="X36" i="1129"/>
  <c r="W36" i="1129"/>
  <c r="V36" i="1129"/>
  <c r="U36" i="1129"/>
  <c r="T36" i="1129"/>
  <c r="S36" i="1129"/>
  <c r="R36" i="1129"/>
  <c r="Q36" i="1129"/>
  <c r="P36" i="1129"/>
  <c r="O36" i="1129"/>
  <c r="N36" i="1129"/>
  <c r="M36" i="1129"/>
  <c r="L36" i="1129"/>
  <c r="K36" i="1129"/>
  <c r="J36" i="1129"/>
  <c r="I36" i="1129"/>
  <c r="H36" i="1129"/>
  <c r="G36" i="1129"/>
  <c r="F36" i="1129"/>
  <c r="E36" i="1129"/>
  <c r="D36" i="1129"/>
  <c r="D29" i="1129"/>
  <c r="B28" i="1129"/>
  <c r="AE27" i="1129"/>
  <c r="AD27" i="1129"/>
  <c r="AC27" i="1129"/>
  <c r="AB27" i="1129"/>
  <c r="AA27" i="1129"/>
  <c r="Z27" i="1129"/>
  <c r="Y27" i="1129"/>
  <c r="X27" i="1129"/>
  <c r="W27" i="1129"/>
  <c r="V27" i="1129"/>
  <c r="U27" i="1129"/>
  <c r="T27" i="1129"/>
  <c r="T43" i="1129" s="1"/>
  <c r="S27" i="1129"/>
  <c r="R27" i="1129"/>
  <c r="Q27" i="1129"/>
  <c r="P27" i="1129"/>
  <c r="O27" i="1129"/>
  <c r="N27" i="1129"/>
  <c r="M27" i="1129"/>
  <c r="M43" i="1129" s="1"/>
  <c r="L27" i="1129"/>
  <c r="K27" i="1129"/>
  <c r="J27" i="1129"/>
  <c r="I27" i="1129"/>
  <c r="H27" i="1129"/>
  <c r="G27" i="1129"/>
  <c r="G43" i="1129" s="1"/>
  <c r="F27" i="1129"/>
  <c r="E27" i="1129"/>
  <c r="D27" i="1129"/>
  <c r="B27" i="1129"/>
  <c r="C4" i="1129"/>
  <c r="C3" i="1129"/>
  <c r="C2" i="1129"/>
  <c r="AL1" i="1129"/>
  <c r="C1" i="1128"/>
  <c r="AE43" i="1128"/>
  <c r="AD43" i="1128"/>
  <c r="AC43" i="1128"/>
  <c r="AB43" i="1128"/>
  <c r="AA43" i="1128"/>
  <c r="Y43" i="1128"/>
  <c r="X43" i="1128"/>
  <c r="W43" i="1128"/>
  <c r="V43" i="1128"/>
  <c r="U43" i="1128"/>
  <c r="T43" i="1128"/>
  <c r="S43" i="1128"/>
  <c r="R43" i="1128"/>
  <c r="Q43" i="1128"/>
  <c r="O43" i="1128"/>
  <c r="N43" i="1128"/>
  <c r="M43" i="1128"/>
  <c r="L43" i="1128"/>
  <c r="J43" i="1128"/>
  <c r="I43" i="1128"/>
  <c r="G43" i="1128"/>
  <c r="E43" i="1128"/>
  <c r="AE52" i="1128"/>
  <c r="AD52" i="1128"/>
  <c r="AC52" i="1128"/>
  <c r="AB52" i="1128"/>
  <c r="AA52" i="1128"/>
  <c r="Z52" i="1128"/>
  <c r="Y52" i="1128"/>
  <c r="X52" i="1128"/>
  <c r="W52" i="1128"/>
  <c r="V52" i="1128"/>
  <c r="U52" i="1128"/>
  <c r="T52" i="1128"/>
  <c r="S52" i="1128"/>
  <c r="R52" i="1128"/>
  <c r="Q52" i="1128"/>
  <c r="P52" i="1128"/>
  <c r="O52" i="1128"/>
  <c r="N52" i="1128"/>
  <c r="M52" i="1128"/>
  <c r="L52" i="1128"/>
  <c r="K52" i="1128"/>
  <c r="J52" i="1128"/>
  <c r="I52" i="1128"/>
  <c r="H52" i="1128"/>
  <c r="G52" i="1128"/>
  <c r="F52" i="1128"/>
  <c r="E52" i="1128"/>
  <c r="D52" i="1128"/>
  <c r="AE51" i="1128"/>
  <c r="AD51" i="1128"/>
  <c r="AC51" i="1128"/>
  <c r="AB51" i="1128"/>
  <c r="AA51" i="1128"/>
  <c r="Z51" i="1128"/>
  <c r="Y51" i="1128"/>
  <c r="X51" i="1128"/>
  <c r="W51" i="1128"/>
  <c r="V51" i="1128"/>
  <c r="U51" i="1128"/>
  <c r="T51" i="1128"/>
  <c r="S51" i="1128"/>
  <c r="R51" i="1128"/>
  <c r="Q51" i="1128"/>
  <c r="P51" i="1128"/>
  <c r="O51" i="1128"/>
  <c r="N51" i="1128"/>
  <c r="M51" i="1128"/>
  <c r="L51" i="1128"/>
  <c r="K51" i="1128"/>
  <c r="J51" i="1128"/>
  <c r="I51" i="1128"/>
  <c r="H51" i="1128"/>
  <c r="G51" i="1128"/>
  <c r="F51" i="1128"/>
  <c r="E51" i="1128"/>
  <c r="D51" i="1128"/>
  <c r="AE50" i="1128"/>
  <c r="AD50" i="1128"/>
  <c r="AC50" i="1128"/>
  <c r="AB50" i="1128"/>
  <c r="AA50" i="1128"/>
  <c r="Z50" i="1128"/>
  <c r="Y50" i="1128"/>
  <c r="X50" i="1128"/>
  <c r="W50" i="1128"/>
  <c r="V50" i="1128"/>
  <c r="U50" i="1128"/>
  <c r="T50" i="1128"/>
  <c r="S50" i="1128"/>
  <c r="R50" i="1128"/>
  <c r="Q50" i="1128"/>
  <c r="P50" i="1128"/>
  <c r="O50" i="1128"/>
  <c r="N50" i="1128"/>
  <c r="M50" i="1128"/>
  <c r="L50" i="1128"/>
  <c r="K50" i="1128"/>
  <c r="J50" i="1128"/>
  <c r="I50" i="1128"/>
  <c r="H50" i="1128"/>
  <c r="G50" i="1128"/>
  <c r="F50" i="1128"/>
  <c r="E50" i="1128"/>
  <c r="D50" i="1128"/>
  <c r="AE49" i="1128"/>
  <c r="AD49" i="1128"/>
  <c r="AC49" i="1128"/>
  <c r="AB49" i="1128"/>
  <c r="AA49" i="1128"/>
  <c r="Z49" i="1128"/>
  <c r="Y49" i="1128"/>
  <c r="X49" i="1128"/>
  <c r="W49" i="1128"/>
  <c r="V49" i="1128"/>
  <c r="U49" i="1128"/>
  <c r="T49" i="1128"/>
  <c r="S49" i="1128"/>
  <c r="R49" i="1128"/>
  <c r="Q49" i="1128"/>
  <c r="P49" i="1128"/>
  <c r="O49" i="1128"/>
  <c r="N49" i="1128"/>
  <c r="M49" i="1128"/>
  <c r="L49" i="1128"/>
  <c r="K49" i="1128"/>
  <c r="J49" i="1128"/>
  <c r="I49" i="1128"/>
  <c r="H49" i="1128"/>
  <c r="G49" i="1128"/>
  <c r="F49" i="1128"/>
  <c r="E49" i="1128"/>
  <c r="D49" i="1128"/>
  <c r="AE48" i="1128"/>
  <c r="AD48" i="1128"/>
  <c r="AC48" i="1128"/>
  <c r="AB48" i="1128"/>
  <c r="AA48" i="1128"/>
  <c r="Z48" i="1128"/>
  <c r="Y48" i="1128"/>
  <c r="X48" i="1128"/>
  <c r="W48" i="1128"/>
  <c r="V48" i="1128"/>
  <c r="U48" i="1128"/>
  <c r="T48" i="1128"/>
  <c r="S48" i="1128"/>
  <c r="R48" i="1128"/>
  <c r="Q48" i="1128"/>
  <c r="P48" i="1128"/>
  <c r="O48" i="1128"/>
  <c r="N48" i="1128"/>
  <c r="M48" i="1128"/>
  <c r="L48" i="1128"/>
  <c r="K48" i="1128"/>
  <c r="J48" i="1128"/>
  <c r="I48" i="1128"/>
  <c r="H48" i="1128"/>
  <c r="G48" i="1128"/>
  <c r="F48" i="1128"/>
  <c r="E48" i="1128"/>
  <c r="D48" i="1128"/>
  <c r="AE40" i="1128"/>
  <c r="AE36" i="1128" s="1"/>
  <c r="AD40" i="1128"/>
  <c r="AD36" i="1128" s="1"/>
  <c r="AC40" i="1128"/>
  <c r="AC36" i="1128" s="1"/>
  <c r="AB40" i="1128"/>
  <c r="AB36" i="1128" s="1"/>
  <c r="AA40" i="1128"/>
  <c r="AA36" i="1128" s="1"/>
  <c r="Z40" i="1128"/>
  <c r="Z36" i="1128" s="1"/>
  <c r="Y40" i="1128"/>
  <c r="Y36" i="1128" s="1"/>
  <c r="X40" i="1128"/>
  <c r="X36" i="1128" s="1"/>
  <c r="W40" i="1128"/>
  <c r="W36" i="1128" s="1"/>
  <c r="V40" i="1128"/>
  <c r="V36" i="1128" s="1"/>
  <c r="U40" i="1128"/>
  <c r="U36" i="1128" s="1"/>
  <c r="T40" i="1128"/>
  <c r="T36" i="1128" s="1"/>
  <c r="S40" i="1128"/>
  <c r="S36" i="1128" s="1"/>
  <c r="R40" i="1128"/>
  <c r="R36" i="1128" s="1"/>
  <c r="Q40" i="1128"/>
  <c r="P40" i="1128"/>
  <c r="P36" i="1128" s="1"/>
  <c r="O40" i="1128"/>
  <c r="O36" i="1128" s="1"/>
  <c r="N40" i="1128"/>
  <c r="N36" i="1128" s="1"/>
  <c r="M40" i="1128"/>
  <c r="M36" i="1128" s="1"/>
  <c r="L40" i="1128"/>
  <c r="L36" i="1128" s="1"/>
  <c r="K40" i="1128"/>
  <c r="K36" i="1128" s="1"/>
  <c r="J40" i="1128"/>
  <c r="J36" i="1128" s="1"/>
  <c r="I40" i="1128"/>
  <c r="I36" i="1128" s="1"/>
  <c r="H40" i="1128"/>
  <c r="H36" i="1128" s="1"/>
  <c r="G40" i="1128"/>
  <c r="G36" i="1128" s="1"/>
  <c r="F40" i="1128"/>
  <c r="F36" i="1128" s="1"/>
  <c r="E40" i="1128"/>
  <c r="E36" i="1128" s="1"/>
  <c r="D40" i="1128"/>
  <c r="D36" i="1128" s="1"/>
  <c r="AE39" i="1128"/>
  <c r="AD39" i="1128"/>
  <c r="AC39" i="1128"/>
  <c r="AB39" i="1128"/>
  <c r="AA39" i="1128"/>
  <c r="Z39" i="1128"/>
  <c r="Y39" i="1128"/>
  <c r="X39" i="1128"/>
  <c r="W39" i="1128"/>
  <c r="V39" i="1128"/>
  <c r="U39" i="1128"/>
  <c r="T39" i="1128"/>
  <c r="S39" i="1128"/>
  <c r="R39" i="1128"/>
  <c r="Q39" i="1128"/>
  <c r="P39" i="1128"/>
  <c r="O39" i="1128"/>
  <c r="N39" i="1128"/>
  <c r="M39" i="1128"/>
  <c r="L39" i="1128"/>
  <c r="K39" i="1128"/>
  <c r="J39" i="1128"/>
  <c r="I39" i="1128"/>
  <c r="H39" i="1128"/>
  <c r="G39" i="1128"/>
  <c r="F39" i="1128"/>
  <c r="E39" i="1128"/>
  <c r="D39" i="1128"/>
  <c r="Q36" i="1128"/>
  <c r="D29" i="1128"/>
  <c r="B28" i="1128"/>
  <c r="AE27" i="1128"/>
  <c r="AE53" i="1128" s="1"/>
  <c r="AD27" i="1128"/>
  <c r="AD53" i="1128" s="1"/>
  <c r="AC27" i="1128"/>
  <c r="AB27" i="1128"/>
  <c r="AA27" i="1128"/>
  <c r="AA53" i="1128" s="1"/>
  <c r="Z27" i="1128"/>
  <c r="Z43" i="1128" s="1"/>
  <c r="Y27" i="1128"/>
  <c r="X27" i="1128"/>
  <c r="W27" i="1128"/>
  <c r="W53" i="1128" s="1"/>
  <c r="V27" i="1128"/>
  <c r="V53" i="1128" s="1"/>
  <c r="U27" i="1128"/>
  <c r="U53" i="1128" s="1"/>
  <c r="T27" i="1128"/>
  <c r="S27" i="1128"/>
  <c r="S53" i="1128" s="1"/>
  <c r="R27" i="1128"/>
  <c r="R53" i="1128" s="1"/>
  <c r="Q27" i="1128"/>
  <c r="P27" i="1128"/>
  <c r="P43" i="1128" s="1"/>
  <c r="O27" i="1128"/>
  <c r="O53" i="1128" s="1"/>
  <c r="N27" i="1128"/>
  <c r="N53" i="1128" s="1"/>
  <c r="M27" i="1128"/>
  <c r="L27" i="1128"/>
  <c r="K27" i="1128"/>
  <c r="K53" i="1128" s="1"/>
  <c r="J27" i="1128"/>
  <c r="I27" i="1128"/>
  <c r="H27" i="1128"/>
  <c r="H43" i="1128" s="1"/>
  <c r="G27" i="1128"/>
  <c r="G53" i="1128" s="1"/>
  <c r="F27" i="1128"/>
  <c r="F53" i="1128" s="1"/>
  <c r="E27" i="1128"/>
  <c r="D27" i="1128"/>
  <c r="D43" i="1128" s="1"/>
  <c r="B27" i="1128"/>
  <c r="C4" i="1128"/>
  <c r="C3" i="1128"/>
  <c r="C2" i="1128"/>
  <c r="AL1" i="1128"/>
  <c r="C1" i="1127"/>
  <c r="AC43" i="1127"/>
  <c r="AA43" i="1127"/>
  <c r="Z43" i="1127"/>
  <c r="X43" i="1127"/>
  <c r="V43" i="1127"/>
  <c r="U43" i="1127"/>
  <c r="T43" i="1127"/>
  <c r="S43" i="1127"/>
  <c r="R43" i="1127"/>
  <c r="Q43" i="1127"/>
  <c r="P43" i="1127"/>
  <c r="O43" i="1127"/>
  <c r="N43" i="1127"/>
  <c r="M43" i="1127"/>
  <c r="K43" i="1127"/>
  <c r="J43" i="1127"/>
  <c r="H43" i="1127"/>
  <c r="F43" i="1127"/>
  <c r="E43" i="1127"/>
  <c r="AE56" i="1127"/>
  <c r="AD56" i="1127"/>
  <c r="AC56" i="1127"/>
  <c r="AB56" i="1127"/>
  <c r="AA56" i="1127"/>
  <c r="Z56" i="1127"/>
  <c r="Y56" i="1127"/>
  <c r="X56" i="1127"/>
  <c r="W56" i="1127"/>
  <c r="V56" i="1127"/>
  <c r="U56" i="1127"/>
  <c r="T56" i="1127"/>
  <c r="S56" i="1127"/>
  <c r="R56" i="1127"/>
  <c r="Q56" i="1127"/>
  <c r="P56" i="1127"/>
  <c r="O56" i="1127"/>
  <c r="N56" i="1127"/>
  <c r="M56" i="1127"/>
  <c r="L56" i="1127"/>
  <c r="K56" i="1127"/>
  <c r="J56" i="1127"/>
  <c r="I56" i="1127"/>
  <c r="H56" i="1127"/>
  <c r="G56" i="1127"/>
  <c r="F56" i="1127"/>
  <c r="E56" i="1127"/>
  <c r="D56" i="1127"/>
  <c r="AE55" i="1127"/>
  <c r="AD55" i="1127"/>
  <c r="AC55" i="1127"/>
  <c r="AB55" i="1127"/>
  <c r="AA55" i="1127"/>
  <c r="Z55" i="1127"/>
  <c r="Y55" i="1127"/>
  <c r="X55" i="1127"/>
  <c r="W55" i="1127"/>
  <c r="V55" i="1127"/>
  <c r="U55" i="1127"/>
  <c r="T55" i="1127"/>
  <c r="S55" i="1127"/>
  <c r="R55" i="1127"/>
  <c r="Q55" i="1127"/>
  <c r="P55" i="1127"/>
  <c r="O55" i="1127"/>
  <c r="N55" i="1127"/>
  <c r="M55" i="1127"/>
  <c r="L55" i="1127"/>
  <c r="K55" i="1127"/>
  <c r="J55" i="1127"/>
  <c r="I55" i="1127"/>
  <c r="H55" i="1127"/>
  <c r="G55" i="1127"/>
  <c r="F55" i="1127"/>
  <c r="E55" i="1127"/>
  <c r="D55" i="1127"/>
  <c r="AE54" i="1127"/>
  <c r="AD54" i="1127"/>
  <c r="AC54" i="1127"/>
  <c r="AB54" i="1127"/>
  <c r="AA54" i="1127"/>
  <c r="Z54" i="1127"/>
  <c r="Y54" i="1127"/>
  <c r="X54" i="1127"/>
  <c r="W54" i="1127"/>
  <c r="V54" i="1127"/>
  <c r="U54" i="1127"/>
  <c r="T54" i="1127"/>
  <c r="S54" i="1127"/>
  <c r="R54" i="1127"/>
  <c r="Q54" i="1127"/>
  <c r="P54" i="1127"/>
  <c r="O54" i="1127"/>
  <c r="N54" i="1127"/>
  <c r="M54" i="1127"/>
  <c r="L54" i="1127"/>
  <c r="K54" i="1127"/>
  <c r="J54" i="1127"/>
  <c r="I54" i="1127"/>
  <c r="H54" i="1127"/>
  <c r="G54" i="1127"/>
  <c r="F54" i="1127"/>
  <c r="E54" i="1127"/>
  <c r="D54" i="1127"/>
  <c r="AE53" i="1127"/>
  <c r="AD53" i="1127"/>
  <c r="AC53" i="1127"/>
  <c r="AB53" i="1127"/>
  <c r="AA53" i="1127"/>
  <c r="Z53" i="1127"/>
  <c r="Y53" i="1127"/>
  <c r="X53" i="1127"/>
  <c r="W53" i="1127"/>
  <c r="V53" i="1127"/>
  <c r="U53" i="1127"/>
  <c r="T53" i="1127"/>
  <c r="S53" i="1127"/>
  <c r="R53" i="1127"/>
  <c r="Q53" i="1127"/>
  <c r="P53" i="1127"/>
  <c r="O53" i="1127"/>
  <c r="N53" i="1127"/>
  <c r="M53" i="1127"/>
  <c r="L53" i="1127"/>
  <c r="K53" i="1127"/>
  <c r="J53" i="1127"/>
  <c r="I53" i="1127"/>
  <c r="H53" i="1127"/>
  <c r="G53" i="1127"/>
  <c r="F53" i="1127"/>
  <c r="E53" i="1127"/>
  <c r="D53" i="1127"/>
  <c r="AE52" i="1127"/>
  <c r="AD52" i="1127"/>
  <c r="AC52" i="1127"/>
  <c r="AB52" i="1127"/>
  <c r="AA52" i="1127"/>
  <c r="Z52" i="1127"/>
  <c r="Y52" i="1127"/>
  <c r="X52" i="1127"/>
  <c r="W52" i="1127"/>
  <c r="V52" i="1127"/>
  <c r="U52" i="1127"/>
  <c r="T52" i="1127"/>
  <c r="S52" i="1127"/>
  <c r="R52" i="1127"/>
  <c r="Q52" i="1127"/>
  <c r="P52" i="1127"/>
  <c r="O52" i="1127"/>
  <c r="N52" i="1127"/>
  <c r="M52" i="1127"/>
  <c r="L52" i="1127"/>
  <c r="K52" i="1127"/>
  <c r="J52" i="1127"/>
  <c r="I52" i="1127"/>
  <c r="H52" i="1127"/>
  <c r="G52" i="1127"/>
  <c r="F52" i="1127"/>
  <c r="E52" i="1127"/>
  <c r="D52" i="1127"/>
  <c r="AE50" i="1127"/>
  <c r="AD50" i="1127"/>
  <c r="AC50" i="1127"/>
  <c r="AB50" i="1127"/>
  <c r="AA50" i="1127"/>
  <c r="Z50" i="1127"/>
  <c r="Y50" i="1127"/>
  <c r="X50" i="1127"/>
  <c r="W50" i="1127"/>
  <c r="V50" i="1127"/>
  <c r="U50" i="1127"/>
  <c r="T50" i="1127"/>
  <c r="S50" i="1127"/>
  <c r="R50" i="1127"/>
  <c r="Q50" i="1127"/>
  <c r="P50" i="1127"/>
  <c r="O50" i="1127"/>
  <c r="N50" i="1127"/>
  <c r="M50" i="1127"/>
  <c r="L50" i="1127"/>
  <c r="K50" i="1127"/>
  <c r="J50" i="1127"/>
  <c r="I50" i="1127"/>
  <c r="H50" i="1127"/>
  <c r="G50" i="1127"/>
  <c r="F50" i="1127"/>
  <c r="E50" i="1127"/>
  <c r="D50" i="1127"/>
  <c r="AE40" i="1127"/>
  <c r="AD40" i="1127"/>
  <c r="AD36" i="1127" s="1"/>
  <c r="AC40" i="1127"/>
  <c r="AB40" i="1127"/>
  <c r="AA40" i="1127"/>
  <c r="Z40" i="1127"/>
  <c r="Y40" i="1127"/>
  <c r="X40" i="1127"/>
  <c r="W40" i="1127"/>
  <c r="V40" i="1127"/>
  <c r="U40" i="1127"/>
  <c r="T40" i="1127"/>
  <c r="S40" i="1127"/>
  <c r="R40" i="1127"/>
  <c r="Q40" i="1127"/>
  <c r="P40" i="1127"/>
  <c r="O40" i="1127"/>
  <c r="N40" i="1127"/>
  <c r="M40" i="1127"/>
  <c r="L40" i="1127"/>
  <c r="K40" i="1127"/>
  <c r="J40" i="1127"/>
  <c r="I40" i="1127"/>
  <c r="I36" i="1127" s="1"/>
  <c r="H40" i="1127"/>
  <c r="G40" i="1127"/>
  <c r="F40" i="1127"/>
  <c r="E40" i="1127"/>
  <c r="D40" i="1127"/>
  <c r="AE39" i="1127"/>
  <c r="AD39" i="1127"/>
  <c r="AC39" i="1127"/>
  <c r="AB39" i="1127"/>
  <c r="AA39" i="1127"/>
  <c r="Z39" i="1127"/>
  <c r="Y39" i="1127"/>
  <c r="X39" i="1127"/>
  <c r="W39" i="1127"/>
  <c r="V39" i="1127"/>
  <c r="U39" i="1127"/>
  <c r="T39" i="1127"/>
  <c r="S39" i="1127"/>
  <c r="R39" i="1127"/>
  <c r="Q39" i="1127"/>
  <c r="P39" i="1127"/>
  <c r="O39" i="1127"/>
  <c r="N39" i="1127"/>
  <c r="M39" i="1127"/>
  <c r="L39" i="1127"/>
  <c r="K39" i="1127"/>
  <c r="J39" i="1127"/>
  <c r="I39" i="1127"/>
  <c r="H39" i="1127"/>
  <c r="G39" i="1127"/>
  <c r="F39" i="1127"/>
  <c r="E39" i="1127"/>
  <c r="D39" i="1127"/>
  <c r="AE36" i="1127"/>
  <c r="AC36" i="1127"/>
  <c r="AB36" i="1127"/>
  <c r="AA36" i="1127"/>
  <c r="Z36" i="1127"/>
  <c r="Y36" i="1127"/>
  <c r="X36" i="1127"/>
  <c r="W36" i="1127"/>
  <c r="V36" i="1127"/>
  <c r="U36" i="1127"/>
  <c r="T36" i="1127"/>
  <c r="S36" i="1127"/>
  <c r="R36" i="1127"/>
  <c r="Q36" i="1127"/>
  <c r="P36" i="1127"/>
  <c r="O36" i="1127"/>
  <c r="N36" i="1127"/>
  <c r="M36" i="1127"/>
  <c r="L36" i="1127"/>
  <c r="K36" i="1127"/>
  <c r="J36" i="1127"/>
  <c r="H36" i="1127"/>
  <c r="G36" i="1127"/>
  <c r="F36" i="1127"/>
  <c r="E36" i="1127"/>
  <c r="D36" i="1127"/>
  <c r="D29" i="1127"/>
  <c r="B28" i="1127"/>
  <c r="AE27" i="1127"/>
  <c r="AE43" i="1127" s="1"/>
  <c r="AD27" i="1127"/>
  <c r="AD43" i="1127" s="1"/>
  <c r="AC27" i="1127"/>
  <c r="AB27" i="1127"/>
  <c r="AB43" i="1127" s="1"/>
  <c r="AA27" i="1127"/>
  <c r="Z27" i="1127"/>
  <c r="Y27" i="1127"/>
  <c r="Y43" i="1127" s="1"/>
  <c r="X27" i="1127"/>
  <c r="W27" i="1127"/>
  <c r="W43" i="1127" s="1"/>
  <c r="V27" i="1127"/>
  <c r="U27" i="1127"/>
  <c r="T27" i="1127"/>
  <c r="S27" i="1127"/>
  <c r="R27" i="1127"/>
  <c r="Q27" i="1127"/>
  <c r="P27" i="1127"/>
  <c r="O27" i="1127"/>
  <c r="N27" i="1127"/>
  <c r="M27" i="1127"/>
  <c r="L27" i="1127"/>
  <c r="L43" i="1127" s="1"/>
  <c r="K27" i="1127"/>
  <c r="J27" i="1127"/>
  <c r="I27" i="1127"/>
  <c r="I43" i="1127" s="1"/>
  <c r="H27" i="1127"/>
  <c r="G27" i="1127"/>
  <c r="G43" i="1127" s="1"/>
  <c r="F27" i="1127"/>
  <c r="E27" i="1127"/>
  <c r="D27" i="1127"/>
  <c r="D43" i="1127" s="1"/>
  <c r="B27" i="1127"/>
  <c r="C4" i="1127"/>
  <c r="C3" i="1127"/>
  <c r="C2" i="1127"/>
  <c r="AL1" i="1127"/>
  <c r="I147" i="19"/>
  <c r="AS78" i="2"/>
  <c r="AS77" i="2"/>
  <c r="AS76" i="2"/>
  <c r="AS75" i="2"/>
  <c r="AS74" i="2"/>
  <c r="AS71" i="2"/>
  <c r="AS68" i="2"/>
  <c r="AS67" i="2"/>
  <c r="AS66" i="2"/>
  <c r="AS65" i="2"/>
  <c r="AS64" i="2"/>
  <c r="AS63" i="2"/>
  <c r="AS62" i="2"/>
  <c r="AS61" i="2"/>
  <c r="AS58" i="2"/>
  <c r="AS56" i="2"/>
  <c r="AS55" i="2"/>
  <c r="AS53" i="2"/>
  <c r="AS52" i="2"/>
  <c r="AS51" i="2"/>
  <c r="AS48" i="2"/>
  <c r="AS47" i="2"/>
  <c r="AS46" i="2"/>
  <c r="AS45" i="2"/>
  <c r="AS44" i="2"/>
  <c r="E44" i="1142" l="1"/>
  <c r="I44" i="1142"/>
  <c r="M44" i="1142"/>
  <c r="Q44" i="1142"/>
  <c r="U44" i="1142"/>
  <c r="Y44" i="1142"/>
  <c r="AS73" i="2"/>
  <c r="AS80" i="2"/>
  <c r="AS70" i="2"/>
  <c r="AS60" i="2"/>
  <c r="AS50" i="2"/>
  <c r="E53" i="1153"/>
  <c r="I53" i="1153"/>
  <c r="M53" i="1153"/>
  <c r="Q53" i="1153"/>
  <c r="U53" i="1153"/>
  <c r="Y53" i="1153"/>
  <c r="AC53" i="1153"/>
  <c r="F53" i="1153"/>
  <c r="J53" i="1153"/>
  <c r="N53" i="1153"/>
  <c r="R53" i="1153"/>
  <c r="V53" i="1153"/>
  <c r="Z53" i="1153"/>
  <c r="AD53" i="1153"/>
  <c r="G53" i="1153"/>
  <c r="K53" i="1153"/>
  <c r="O53" i="1153"/>
  <c r="S53" i="1153"/>
  <c r="W53" i="1153"/>
  <c r="AA53" i="1153"/>
  <c r="AE53" i="1153"/>
  <c r="D53" i="1153"/>
  <c r="H53" i="1153"/>
  <c r="L53" i="1153"/>
  <c r="P53" i="1153"/>
  <c r="T53" i="1153"/>
  <c r="X53" i="1153"/>
  <c r="AB53" i="1153"/>
  <c r="Y43" i="1144"/>
  <c r="D53" i="1148"/>
  <c r="H53" i="1148"/>
  <c r="L53" i="1148"/>
  <c r="P53" i="1148"/>
  <c r="T53" i="1148"/>
  <c r="X53" i="1148"/>
  <c r="AB53" i="1148"/>
  <c r="E53" i="1148"/>
  <c r="I53" i="1148"/>
  <c r="M53" i="1148"/>
  <c r="Q53" i="1148"/>
  <c r="U53" i="1148"/>
  <c r="Y53" i="1148"/>
  <c r="AC53" i="1148"/>
  <c r="X53" i="1144"/>
  <c r="D53" i="1144"/>
  <c r="H53" i="1144"/>
  <c r="L53" i="1144"/>
  <c r="P53" i="1144"/>
  <c r="T53" i="1144"/>
  <c r="AB53" i="1144"/>
  <c r="G53" i="1144"/>
  <c r="K53" i="1144"/>
  <c r="O53" i="1144"/>
  <c r="S53" i="1144"/>
  <c r="W53" i="1144"/>
  <c r="AA53" i="1144"/>
  <c r="AE53" i="1144"/>
  <c r="F53" i="1144"/>
  <c r="J53" i="1144"/>
  <c r="N53" i="1144"/>
  <c r="R53" i="1144"/>
  <c r="V53" i="1144"/>
  <c r="Z53" i="1144"/>
  <c r="AD53" i="1144"/>
  <c r="F53" i="1143"/>
  <c r="J53" i="1143"/>
  <c r="N53" i="1143"/>
  <c r="R53" i="1143"/>
  <c r="V53" i="1143"/>
  <c r="Z53" i="1143"/>
  <c r="AD53" i="1143"/>
  <c r="E53" i="1143"/>
  <c r="I53" i="1143"/>
  <c r="P53" i="1143"/>
  <c r="D53" i="1143"/>
  <c r="T53" i="1143"/>
  <c r="G53" i="1143"/>
  <c r="K53" i="1143"/>
  <c r="O53" i="1143"/>
  <c r="S53" i="1143"/>
  <c r="W53" i="1143"/>
  <c r="AA53" i="1143"/>
  <c r="AE53" i="1143"/>
  <c r="H53" i="1143"/>
  <c r="X53" i="1143"/>
  <c r="L53" i="1143"/>
  <c r="AB53" i="1143"/>
  <c r="D54" i="1142"/>
  <c r="H54" i="1142"/>
  <c r="L54" i="1142"/>
  <c r="P54" i="1142"/>
  <c r="T54" i="1142"/>
  <c r="X54" i="1142"/>
  <c r="AB54" i="1142"/>
  <c r="G54" i="1142"/>
  <c r="K54" i="1142"/>
  <c r="O54" i="1142"/>
  <c r="S54" i="1142"/>
  <c r="W54" i="1142"/>
  <c r="AA54" i="1142"/>
  <c r="AE54" i="1142"/>
  <c r="F54" i="1142"/>
  <c r="J54" i="1142"/>
  <c r="N54" i="1142"/>
  <c r="R54" i="1142"/>
  <c r="V54" i="1142"/>
  <c r="Z54" i="1142"/>
  <c r="AD54" i="1142"/>
  <c r="U43" i="1137"/>
  <c r="Q43" i="1137"/>
  <c r="N43" i="1137"/>
  <c r="F43" i="1137"/>
  <c r="E43" i="1137"/>
  <c r="E43" i="1138"/>
  <c r="Y43" i="1140"/>
  <c r="V43" i="1140"/>
  <c r="U43" i="1140"/>
  <c r="E43" i="1140"/>
  <c r="Z43" i="1141"/>
  <c r="V43" i="1141"/>
  <c r="R43" i="1141"/>
  <c r="N43" i="1141"/>
  <c r="I43" i="1141"/>
  <c r="G53" i="1141"/>
  <c r="K53" i="1141"/>
  <c r="O53" i="1141"/>
  <c r="S53" i="1141"/>
  <c r="W53" i="1141"/>
  <c r="AA53" i="1141"/>
  <c r="AE53" i="1141"/>
  <c r="D53" i="1141"/>
  <c r="L53" i="1141"/>
  <c r="T53" i="1141"/>
  <c r="AB53" i="1141"/>
  <c r="P53" i="1141"/>
  <c r="X53" i="1141"/>
  <c r="G53" i="1140"/>
  <c r="K53" i="1140"/>
  <c r="O53" i="1140"/>
  <c r="S53" i="1140"/>
  <c r="W53" i="1140"/>
  <c r="AA53" i="1140"/>
  <c r="AE53" i="1140"/>
  <c r="D53" i="1140"/>
  <c r="L53" i="1140"/>
  <c r="T53" i="1140"/>
  <c r="AB53" i="1140"/>
  <c r="H53" i="1140"/>
  <c r="P53" i="1140"/>
  <c r="J53" i="1140"/>
  <c r="R53" i="1140"/>
  <c r="Z53" i="1140"/>
  <c r="X53" i="1140"/>
  <c r="D53" i="1139"/>
  <c r="H53" i="1139"/>
  <c r="L53" i="1139"/>
  <c r="P53" i="1139"/>
  <c r="T53" i="1139"/>
  <c r="X53" i="1139"/>
  <c r="AB53" i="1139"/>
  <c r="E53" i="1139"/>
  <c r="G53" i="1139"/>
  <c r="K53" i="1139"/>
  <c r="O53" i="1139"/>
  <c r="S53" i="1139"/>
  <c r="W53" i="1139"/>
  <c r="AA53" i="1139"/>
  <c r="AE53" i="1139"/>
  <c r="F53" i="1139"/>
  <c r="J53" i="1139"/>
  <c r="N53" i="1139"/>
  <c r="R53" i="1139"/>
  <c r="V53" i="1139"/>
  <c r="Z53" i="1139"/>
  <c r="AD53" i="1139"/>
  <c r="G53" i="1138"/>
  <c r="K53" i="1138"/>
  <c r="O53" i="1138"/>
  <c r="S53" i="1138"/>
  <c r="W53" i="1138"/>
  <c r="AA53" i="1138"/>
  <c r="AE53" i="1138"/>
  <c r="F53" i="1138"/>
  <c r="J53" i="1138"/>
  <c r="N53" i="1138"/>
  <c r="R53" i="1138"/>
  <c r="V53" i="1138"/>
  <c r="Z53" i="1138"/>
  <c r="AD53" i="1138"/>
  <c r="P53" i="1138"/>
  <c r="D53" i="1138"/>
  <c r="T53" i="1138"/>
  <c r="H53" i="1138"/>
  <c r="X53" i="1138"/>
  <c r="L53" i="1138"/>
  <c r="AB53" i="1138"/>
  <c r="I53" i="1137"/>
  <c r="M53" i="1137"/>
  <c r="Y53" i="1137"/>
  <c r="AC53" i="1137"/>
  <c r="G53" i="1137"/>
  <c r="K53" i="1137"/>
  <c r="O53" i="1137"/>
  <c r="S53" i="1137"/>
  <c r="W53" i="1137"/>
  <c r="AA53" i="1137"/>
  <c r="AE53" i="1137"/>
  <c r="D53" i="1137"/>
  <c r="H53" i="1137"/>
  <c r="L53" i="1137"/>
  <c r="P53" i="1137"/>
  <c r="T53" i="1137"/>
  <c r="X53" i="1137"/>
  <c r="AB53" i="1137"/>
  <c r="Y43" i="1133"/>
  <c r="U43" i="1133"/>
  <c r="I43" i="1133"/>
  <c r="U43" i="1135"/>
  <c r="Q43" i="1135"/>
  <c r="I43" i="1136"/>
  <c r="F43" i="1136"/>
  <c r="D53" i="1136"/>
  <c r="H53" i="1136"/>
  <c r="L53" i="1136"/>
  <c r="P53" i="1136"/>
  <c r="T53" i="1136"/>
  <c r="X53" i="1136"/>
  <c r="AB53" i="1136"/>
  <c r="J53" i="1136"/>
  <c r="R53" i="1136"/>
  <c r="Z53" i="1136"/>
  <c r="G53" i="1136"/>
  <c r="K53" i="1136"/>
  <c r="O53" i="1136"/>
  <c r="S53" i="1136"/>
  <c r="W53" i="1136"/>
  <c r="AA53" i="1136"/>
  <c r="AE53" i="1136"/>
  <c r="G53" i="1135"/>
  <c r="K53" i="1135"/>
  <c r="O53" i="1135"/>
  <c r="S53" i="1135"/>
  <c r="W53" i="1135"/>
  <c r="AA53" i="1135"/>
  <c r="AE53" i="1135"/>
  <c r="F53" i="1135"/>
  <c r="J53" i="1135"/>
  <c r="N53" i="1135"/>
  <c r="R53" i="1135"/>
  <c r="V53" i="1135"/>
  <c r="Z53" i="1135"/>
  <c r="AD53" i="1135"/>
  <c r="P53" i="1135"/>
  <c r="D53" i="1135"/>
  <c r="T53" i="1135"/>
  <c r="H53" i="1135"/>
  <c r="X53" i="1135"/>
  <c r="L53" i="1135"/>
  <c r="AB53" i="1135"/>
  <c r="P53" i="1134"/>
  <c r="V53" i="1134"/>
  <c r="F53" i="1134"/>
  <c r="N53" i="1134"/>
  <c r="AD53" i="1134"/>
  <c r="J53" i="1134"/>
  <c r="R53" i="1134"/>
  <c r="Z53" i="1134"/>
  <c r="E53" i="1134"/>
  <c r="I53" i="1134"/>
  <c r="M53" i="1134"/>
  <c r="Q53" i="1134"/>
  <c r="U53" i="1134"/>
  <c r="Y53" i="1134"/>
  <c r="AC53" i="1134"/>
  <c r="D53" i="1134"/>
  <c r="T53" i="1134"/>
  <c r="G53" i="1134"/>
  <c r="K53" i="1134"/>
  <c r="O53" i="1134"/>
  <c r="S53" i="1134"/>
  <c r="W53" i="1134"/>
  <c r="AA53" i="1134"/>
  <c r="AE53" i="1134"/>
  <c r="H53" i="1134"/>
  <c r="X53" i="1134"/>
  <c r="L53" i="1134"/>
  <c r="AB53" i="1134"/>
  <c r="D53" i="1133"/>
  <c r="H53" i="1133"/>
  <c r="L53" i="1133"/>
  <c r="P53" i="1133"/>
  <c r="T53" i="1133"/>
  <c r="X53" i="1133"/>
  <c r="AB53" i="1133"/>
  <c r="G53" i="1133"/>
  <c r="K53" i="1133"/>
  <c r="O53" i="1133"/>
  <c r="S53" i="1133"/>
  <c r="W53" i="1133"/>
  <c r="AA53" i="1133"/>
  <c r="AE53" i="1133"/>
  <c r="F53" i="1133"/>
  <c r="J53" i="1133"/>
  <c r="N53" i="1133"/>
  <c r="R53" i="1133"/>
  <c r="V53" i="1133"/>
  <c r="Z53" i="1133"/>
  <c r="AD53" i="1133"/>
  <c r="G53" i="1132"/>
  <c r="K53" i="1132"/>
  <c r="O53" i="1132"/>
  <c r="S53" i="1132"/>
  <c r="W53" i="1132"/>
  <c r="AA53" i="1132"/>
  <c r="AE53" i="1132"/>
  <c r="D53" i="1132"/>
  <c r="H53" i="1132"/>
  <c r="L53" i="1132"/>
  <c r="P53" i="1132"/>
  <c r="T53" i="1132"/>
  <c r="X53" i="1132"/>
  <c r="AB53" i="1132"/>
  <c r="E53" i="1132"/>
  <c r="I53" i="1132"/>
  <c r="M53" i="1132"/>
  <c r="Q53" i="1132"/>
  <c r="U53" i="1132"/>
  <c r="Y53" i="1132"/>
  <c r="AC53" i="1132"/>
  <c r="F53" i="1132"/>
  <c r="J53" i="1132"/>
  <c r="N53" i="1132"/>
  <c r="R53" i="1132"/>
  <c r="V53" i="1132"/>
  <c r="Z53" i="1132"/>
  <c r="AD53" i="1132"/>
  <c r="K43" i="1128"/>
  <c r="F43" i="1128"/>
  <c r="J43" i="1130"/>
  <c r="Q43" i="1130"/>
  <c r="M43" i="1130"/>
  <c r="H43" i="1130"/>
  <c r="F43" i="1130"/>
  <c r="E54" i="1131"/>
  <c r="I54" i="1131"/>
  <c r="M54" i="1131"/>
  <c r="Q54" i="1131"/>
  <c r="U54" i="1131"/>
  <c r="Y54" i="1131"/>
  <c r="AC54" i="1131"/>
  <c r="F54" i="1131"/>
  <c r="J54" i="1131"/>
  <c r="N54" i="1131"/>
  <c r="R54" i="1131"/>
  <c r="V54" i="1131"/>
  <c r="Z54" i="1131"/>
  <c r="AD54" i="1131"/>
  <c r="G54" i="1131"/>
  <c r="K54" i="1131"/>
  <c r="O54" i="1131"/>
  <c r="S54" i="1131"/>
  <c r="W54" i="1131"/>
  <c r="AA54" i="1131"/>
  <c r="AE54" i="1131"/>
  <c r="D54" i="1131"/>
  <c r="H54" i="1131"/>
  <c r="L54" i="1131"/>
  <c r="P54" i="1131"/>
  <c r="T54" i="1131"/>
  <c r="X54" i="1131"/>
  <c r="AB54" i="1131"/>
  <c r="G53" i="1130"/>
  <c r="K53" i="1130"/>
  <c r="O53" i="1130"/>
  <c r="S53" i="1130"/>
  <c r="W53" i="1130"/>
  <c r="AA53" i="1130"/>
  <c r="AE53" i="1130"/>
  <c r="D53" i="1130"/>
  <c r="L53" i="1130"/>
  <c r="T53" i="1130"/>
  <c r="AB53" i="1130"/>
  <c r="P53" i="1130"/>
  <c r="X53" i="1130"/>
  <c r="G53" i="1129"/>
  <c r="K53" i="1129"/>
  <c r="O53" i="1129"/>
  <c r="S53" i="1129"/>
  <c r="W53" i="1129"/>
  <c r="AA53" i="1129"/>
  <c r="AE53" i="1129"/>
  <c r="D53" i="1129"/>
  <c r="H53" i="1129"/>
  <c r="L53" i="1129"/>
  <c r="P53" i="1129"/>
  <c r="T53" i="1129"/>
  <c r="X53" i="1129"/>
  <c r="AB53" i="1129"/>
  <c r="E53" i="1129"/>
  <c r="I53" i="1129"/>
  <c r="M53" i="1129"/>
  <c r="Q53" i="1129"/>
  <c r="U53" i="1129"/>
  <c r="Y53" i="1129"/>
  <c r="AC53" i="1129"/>
  <c r="F53" i="1129"/>
  <c r="J53" i="1129"/>
  <c r="N53" i="1129"/>
  <c r="R53" i="1129"/>
  <c r="V53" i="1129"/>
  <c r="Z53" i="1129"/>
  <c r="AD53" i="1129"/>
  <c r="J53" i="1128"/>
  <c r="Z53" i="1128"/>
  <c r="H53" i="1128"/>
  <c r="AB53" i="1128"/>
  <c r="D53" i="1128"/>
  <c r="L53" i="1128"/>
  <c r="T53" i="1128"/>
  <c r="X53" i="1128"/>
  <c r="I53" i="1128"/>
  <c r="M53" i="1128"/>
  <c r="Q53" i="1128"/>
  <c r="Y53" i="1128"/>
  <c r="AC53" i="1128"/>
  <c r="P53" i="1128"/>
  <c r="E53" i="1128"/>
  <c r="F57" i="1127"/>
  <c r="J57" i="1127"/>
  <c r="N57" i="1127"/>
  <c r="R57" i="1127"/>
  <c r="V57" i="1127"/>
  <c r="Z57" i="1127"/>
  <c r="AD57" i="1127"/>
  <c r="G57" i="1127"/>
  <c r="K57" i="1127"/>
  <c r="O57" i="1127"/>
  <c r="S57" i="1127"/>
  <c r="W57" i="1127"/>
  <c r="AA57" i="1127"/>
  <c r="AE57" i="1127"/>
  <c r="D57" i="1127"/>
  <c r="H57" i="1127"/>
  <c r="L57" i="1127"/>
  <c r="P57" i="1127"/>
  <c r="T57" i="1127"/>
  <c r="X57" i="1127"/>
  <c r="AB57" i="1127"/>
  <c r="E57" i="1127"/>
  <c r="I57" i="1127"/>
  <c r="M57" i="1127"/>
  <c r="Q57" i="1127"/>
  <c r="U57" i="1127"/>
  <c r="Y57" i="1127"/>
  <c r="AC57" i="1127"/>
  <c r="N8" i="19"/>
  <c r="AS81" i="2" l="1"/>
  <c r="D128" i="19"/>
  <c r="D129" i="19"/>
  <c r="D130" i="19"/>
  <c r="D131" i="19"/>
  <c r="D132" i="19"/>
  <c r="D133" i="19"/>
  <c r="D134" i="19"/>
  <c r="D135" i="19"/>
  <c r="D136" i="19"/>
  <c r="D137" i="19"/>
  <c r="D138" i="19"/>
  <c r="D139" i="19"/>
  <c r="D140" i="19"/>
  <c r="D141" i="19"/>
  <c r="D142" i="19"/>
  <c r="D143" i="19"/>
  <c r="D144" i="19"/>
  <c r="D145" i="19"/>
  <c r="D146" i="19"/>
  <c r="D147" i="19"/>
  <c r="CT137" i="37"/>
  <c r="CT138" i="37"/>
  <c r="CT139" i="37"/>
  <c r="CT140" i="37"/>
  <c r="CT141" i="37"/>
  <c r="CT142" i="37"/>
  <c r="CT143" i="37"/>
  <c r="CT144" i="37"/>
  <c r="I66" i="20"/>
  <c r="I68" i="20"/>
  <c r="J68" i="20" s="1"/>
  <c r="AL150" i="37" l="1"/>
  <c r="AL149" i="37"/>
  <c r="AN149" i="37" s="1"/>
  <c r="J3" i="28" l="1"/>
  <c r="C1" i="43" l="1"/>
  <c r="I58" i="19"/>
  <c r="I59" i="19"/>
  <c r="I60" i="19"/>
  <c r="I61" i="19"/>
  <c r="I62" i="19"/>
  <c r="X5" i="2"/>
  <c r="E128" i="948"/>
  <c r="E125" i="948"/>
  <c r="H1" i="948"/>
  <c r="D43" i="2" l="1"/>
  <c r="D42" i="2"/>
  <c r="B8" i="35" l="1"/>
  <c r="J6" i="45" l="1"/>
  <c r="AE43" i="43" l="1"/>
  <c r="AD43" i="43"/>
  <c r="AC43" i="43"/>
  <c r="AB43" i="43"/>
  <c r="AA43" i="43"/>
  <c r="Z43" i="43"/>
  <c r="Y43" i="43"/>
  <c r="X43" i="43"/>
  <c r="W43" i="43"/>
  <c r="V43" i="43"/>
  <c r="U43" i="43"/>
  <c r="T43" i="43"/>
  <c r="S43" i="43"/>
  <c r="R43" i="43"/>
  <c r="Q43" i="43"/>
  <c r="P43" i="43"/>
  <c r="O43" i="43"/>
  <c r="N43" i="43"/>
  <c r="M43" i="43"/>
  <c r="L43" i="43"/>
  <c r="K43" i="43"/>
  <c r="J43" i="43"/>
  <c r="I43" i="43"/>
  <c r="H43" i="43"/>
  <c r="G43" i="43"/>
  <c r="F43" i="43"/>
  <c r="E43" i="43"/>
  <c r="D43" i="43"/>
  <c r="D1" i="2" l="1"/>
  <c r="K28" i="35" l="1"/>
  <c r="BF18" i="37" l="1"/>
  <c r="BF16" i="37"/>
  <c r="M138" i="37"/>
  <c r="M137" i="37"/>
  <c r="H146" i="37"/>
  <c r="H145" i="37"/>
  <c r="H138" i="37"/>
  <c r="H137" i="37"/>
  <c r="H9" i="37"/>
  <c r="H10" i="37"/>
  <c r="BZ11" i="37"/>
  <c r="AU2" i="9"/>
  <c r="AU3" i="9"/>
  <c r="AU4" i="9"/>
  <c r="AU5" i="9"/>
  <c r="I128" i="19" l="1"/>
  <c r="I146" i="19"/>
  <c r="I132" i="19"/>
  <c r="I133" i="19"/>
  <c r="I134" i="19"/>
  <c r="I135" i="19"/>
  <c r="I136" i="19"/>
  <c r="I137" i="19"/>
  <c r="I138" i="19"/>
  <c r="I139" i="19"/>
  <c r="I140" i="19"/>
  <c r="I141" i="19"/>
  <c r="I142" i="19"/>
  <c r="I143" i="19"/>
  <c r="I144" i="19"/>
  <c r="I145" i="19"/>
  <c r="I131" i="19"/>
  <c r="I116" i="19"/>
  <c r="I117" i="19"/>
  <c r="I118" i="19"/>
  <c r="I119" i="19"/>
  <c r="I120" i="19"/>
  <c r="I121" i="19"/>
  <c r="I122" i="19"/>
  <c r="I123" i="19"/>
  <c r="I124" i="19"/>
  <c r="I125" i="19"/>
  <c r="I126" i="19"/>
  <c r="I127" i="19"/>
  <c r="I108" i="19"/>
  <c r="I109" i="19"/>
  <c r="I110" i="19"/>
  <c r="I111" i="19"/>
  <c r="I112" i="19"/>
  <c r="I113" i="19"/>
  <c r="I114" i="19"/>
  <c r="I115" i="19"/>
  <c r="I96" i="19"/>
  <c r="I97" i="19"/>
  <c r="I98" i="19"/>
  <c r="I99" i="19"/>
  <c r="I100" i="19"/>
  <c r="I101" i="19"/>
  <c r="I102" i="19"/>
  <c r="I103" i="19"/>
  <c r="I104" i="19"/>
  <c r="I105" i="19"/>
  <c r="I106" i="19"/>
  <c r="I107" i="19"/>
  <c r="I90" i="19"/>
  <c r="I91" i="19"/>
  <c r="I92" i="19"/>
  <c r="I93" i="19"/>
  <c r="I94" i="19"/>
  <c r="I95" i="19"/>
  <c r="I89" i="19"/>
  <c r="I87" i="19"/>
  <c r="I88" i="19"/>
  <c r="I86" i="19"/>
  <c r="I56" i="19"/>
  <c r="F59" i="35"/>
  <c r="E59" i="35"/>
  <c r="L43" i="35"/>
  <c r="K43" i="35"/>
  <c r="J43" i="35"/>
  <c r="H43" i="35"/>
  <c r="F43" i="35"/>
  <c r="E43" i="35"/>
  <c r="L28" i="35"/>
  <c r="J28" i="35"/>
  <c r="E58" i="35"/>
  <c r="L42" i="35"/>
  <c r="K42" i="35"/>
  <c r="J42" i="35"/>
  <c r="H42" i="35"/>
  <c r="F42" i="35"/>
  <c r="E42" i="35"/>
  <c r="L27" i="35"/>
  <c r="K27" i="35"/>
  <c r="J27" i="35"/>
  <c r="H27" i="35"/>
  <c r="F27" i="35"/>
  <c r="E27" i="35"/>
  <c r="L13" i="35"/>
  <c r="K13" i="35"/>
  <c r="J13" i="35"/>
  <c r="H13" i="35"/>
  <c r="F13" i="35"/>
  <c r="E13" i="35"/>
  <c r="AJ54" i="9"/>
  <c r="AJ57" i="9"/>
  <c r="AJ56" i="9"/>
  <c r="AJ55" i="9"/>
  <c r="K33" i="45"/>
  <c r="B8" i="9"/>
  <c r="AE27" i="154"/>
  <c r="AD27" i="154"/>
  <c r="AC27" i="154"/>
  <c r="AB27" i="154"/>
  <c r="AA27" i="154"/>
  <c r="Z27" i="154"/>
  <c r="Y27" i="154"/>
  <c r="X27" i="154"/>
  <c r="W27" i="154"/>
  <c r="V27" i="154"/>
  <c r="U27" i="154"/>
  <c r="T27" i="154"/>
  <c r="S27" i="154"/>
  <c r="R27" i="154"/>
  <c r="Q27" i="154"/>
  <c r="P27" i="154"/>
  <c r="O27" i="154"/>
  <c r="N27" i="154"/>
  <c r="M27" i="154"/>
  <c r="L27" i="154"/>
  <c r="K27" i="154"/>
  <c r="J27" i="154"/>
  <c r="I27" i="154"/>
  <c r="H27" i="154"/>
  <c r="G27" i="154"/>
  <c r="F27" i="154"/>
  <c r="E27" i="154"/>
  <c r="D27" i="154"/>
  <c r="G64" i="35" l="1"/>
  <c r="I48" i="35" l="1"/>
  <c r="G48" i="35"/>
  <c r="E41" i="2" l="1"/>
  <c r="B9" i="9"/>
  <c r="CT9" i="37" l="1"/>
  <c r="CY153" i="37"/>
  <c r="DA153" i="37" s="1"/>
  <c r="CY152" i="37"/>
  <c r="DA152" i="37" s="1"/>
  <c r="CY151" i="37"/>
  <c r="DA151" i="37" s="1"/>
  <c r="CY150" i="37"/>
  <c r="DA150" i="37" s="1"/>
  <c r="CY149" i="37"/>
  <c r="DA149" i="37" s="1"/>
  <c r="DA148" i="37"/>
  <c r="CY148" i="37"/>
  <c r="CY147" i="37"/>
  <c r="DA147" i="37" s="1"/>
  <c r="CY146" i="37"/>
  <c r="DA146" i="37" s="1"/>
  <c r="CY145" i="37"/>
  <c r="DA145" i="37" s="1"/>
  <c r="CY144" i="37"/>
  <c r="DA144" i="37" s="1"/>
  <c r="CY143" i="37"/>
  <c r="DA143" i="37" s="1"/>
  <c r="CY142" i="37"/>
  <c r="DA142" i="37" s="1"/>
  <c r="CY141" i="37"/>
  <c r="DA141" i="37" s="1"/>
  <c r="CY140" i="37"/>
  <c r="DA140" i="37" s="1"/>
  <c r="CY139" i="37"/>
  <c r="DA139" i="37" s="1"/>
  <c r="CY138" i="37"/>
  <c r="DA138" i="37" s="1"/>
  <c r="CY137" i="37"/>
  <c r="DA137" i="37" s="1"/>
  <c r="DA136" i="37"/>
  <c r="CY136" i="37"/>
  <c r="CY135" i="37"/>
  <c r="DA135" i="37" s="1"/>
  <c r="DA134" i="37"/>
  <c r="CY134" i="37"/>
  <c r="CY133" i="37"/>
  <c r="DA133" i="37" s="1"/>
  <c r="DA132" i="37"/>
  <c r="CY132" i="37"/>
  <c r="CY131" i="37"/>
  <c r="DA131" i="37" s="1"/>
  <c r="CY130" i="37"/>
  <c r="DA130" i="37" s="1"/>
  <c r="CY129" i="37"/>
  <c r="DA129" i="37" s="1"/>
  <c r="DA128" i="37"/>
  <c r="CY128" i="37"/>
  <c r="CY127" i="37"/>
  <c r="DA127" i="37" s="1"/>
  <c r="DA126" i="37"/>
  <c r="CY126" i="37"/>
  <c r="CY125" i="37"/>
  <c r="DA125" i="37" s="1"/>
  <c r="CY124" i="37"/>
  <c r="DA124" i="37" s="1"/>
  <c r="CY123" i="37"/>
  <c r="DA123" i="37" s="1"/>
  <c r="CY122" i="37"/>
  <c r="DA122" i="37" s="1"/>
  <c r="CY121" i="37"/>
  <c r="DA121" i="37" s="1"/>
  <c r="CY120" i="37"/>
  <c r="DA120" i="37" s="1"/>
  <c r="CY119" i="37"/>
  <c r="DA119" i="37" s="1"/>
  <c r="CY118" i="37"/>
  <c r="DA118" i="37" s="1"/>
  <c r="CY117" i="37"/>
  <c r="DA117" i="37" s="1"/>
  <c r="CY116" i="37"/>
  <c r="DA116" i="37" s="1"/>
  <c r="CY115" i="37"/>
  <c r="DA115" i="37" s="1"/>
  <c r="CY114" i="37"/>
  <c r="DA114" i="37" s="1"/>
  <c r="CY113" i="37"/>
  <c r="DA113" i="37" s="1"/>
  <c r="DA112" i="37"/>
  <c r="CY112" i="37"/>
  <c r="CY111" i="37"/>
  <c r="DA111" i="37" s="1"/>
  <c r="DA110" i="37"/>
  <c r="CY110" i="37"/>
  <c r="CY109" i="37"/>
  <c r="DA109" i="37" s="1"/>
  <c r="CY108" i="37"/>
  <c r="DA108" i="37" s="1"/>
  <c r="CY107" i="37"/>
  <c r="DA107" i="37" s="1"/>
  <c r="CY106" i="37"/>
  <c r="DA106" i="37" s="1"/>
  <c r="CY105" i="37"/>
  <c r="DA105" i="37" s="1"/>
  <c r="DA104" i="37"/>
  <c r="CY104" i="37"/>
  <c r="CY103" i="37"/>
  <c r="DA103" i="37" s="1"/>
  <c r="DA102" i="37"/>
  <c r="CY102" i="37"/>
  <c r="CY101" i="37"/>
  <c r="DA101" i="37" s="1"/>
  <c r="CY100" i="37"/>
  <c r="DA100" i="37" s="1"/>
  <c r="CY99" i="37"/>
  <c r="DA99" i="37" s="1"/>
  <c r="CY98" i="37"/>
  <c r="DA98" i="37" s="1"/>
  <c r="CY97" i="37"/>
  <c r="DA97" i="37" s="1"/>
  <c r="DA96" i="37"/>
  <c r="CY96" i="37"/>
  <c r="CY95" i="37"/>
  <c r="DA95" i="37" s="1"/>
  <c r="DA94" i="37"/>
  <c r="CY94" i="37"/>
  <c r="CY93" i="37"/>
  <c r="DA93" i="37" s="1"/>
  <c r="CY92" i="37"/>
  <c r="DA92" i="37" s="1"/>
  <c r="CY91" i="37"/>
  <c r="DA91" i="37" s="1"/>
  <c r="CY90" i="37"/>
  <c r="DA90" i="37" s="1"/>
  <c r="CY89" i="37"/>
  <c r="DA89" i="37" s="1"/>
  <c r="DA88" i="37"/>
  <c r="CY88" i="37"/>
  <c r="CY87" i="37"/>
  <c r="DA87" i="37" s="1"/>
  <c r="DA86" i="37"/>
  <c r="CY86" i="37"/>
  <c r="CY85" i="37"/>
  <c r="DA85" i="37" s="1"/>
  <c r="CY84" i="37"/>
  <c r="DA84" i="37" s="1"/>
  <c r="CY83" i="37"/>
  <c r="DA83" i="37" s="1"/>
  <c r="CY82" i="37"/>
  <c r="DA82" i="37" s="1"/>
  <c r="CY81" i="37"/>
  <c r="DA81" i="37" s="1"/>
  <c r="CY80" i="37"/>
  <c r="DA80" i="37" s="1"/>
  <c r="CY79" i="37"/>
  <c r="DA79" i="37" s="1"/>
  <c r="CY78" i="37"/>
  <c r="DA78" i="37" s="1"/>
  <c r="CY77" i="37"/>
  <c r="DA77" i="37" s="1"/>
  <c r="CY76" i="37"/>
  <c r="DA76" i="37" s="1"/>
  <c r="CY75" i="37"/>
  <c r="DA75" i="37" s="1"/>
  <c r="CY74" i="37"/>
  <c r="DA74" i="37" s="1"/>
  <c r="CY73" i="37"/>
  <c r="DA73" i="37" s="1"/>
  <c r="DA72" i="37"/>
  <c r="CY72" i="37"/>
  <c r="CY71" i="37"/>
  <c r="DA71" i="37" s="1"/>
  <c r="CY70" i="37"/>
  <c r="DA70" i="37" s="1"/>
  <c r="CY69" i="37"/>
  <c r="DA69" i="37" s="1"/>
  <c r="CY68" i="37"/>
  <c r="DA68" i="37" s="1"/>
  <c r="CY67" i="37"/>
  <c r="DA67" i="37" s="1"/>
  <c r="DA66" i="37"/>
  <c r="CY66" i="37"/>
  <c r="CY65" i="37"/>
  <c r="DA65" i="37" s="1"/>
  <c r="DA64" i="37"/>
  <c r="CY64" i="37"/>
  <c r="CY63" i="37"/>
  <c r="DA63" i="37" s="1"/>
  <c r="CY62" i="37"/>
  <c r="DA62" i="37" s="1"/>
  <c r="CY61" i="37"/>
  <c r="DA61" i="37" s="1"/>
  <c r="DA60" i="37"/>
  <c r="CY60" i="37"/>
  <c r="CY59" i="37"/>
  <c r="DA59" i="37" s="1"/>
  <c r="DA58" i="37"/>
  <c r="CY58" i="37"/>
  <c r="CY57" i="37"/>
  <c r="DA57" i="37" s="1"/>
  <c r="DA56" i="37"/>
  <c r="CY56" i="37"/>
  <c r="CY55" i="37"/>
  <c r="DA55" i="37" s="1"/>
  <c r="CY54" i="37"/>
  <c r="DA54" i="37" s="1"/>
  <c r="CY53" i="37"/>
  <c r="DA53" i="37" s="1"/>
  <c r="CY52" i="37"/>
  <c r="DA52" i="37" s="1"/>
  <c r="DA51" i="37"/>
  <c r="CY51" i="37"/>
  <c r="CY50" i="37"/>
  <c r="DA50" i="37" s="1"/>
  <c r="CY49" i="37"/>
  <c r="DA49" i="37" s="1"/>
  <c r="DA48" i="37"/>
  <c r="CY48" i="37"/>
  <c r="CY47" i="37"/>
  <c r="DA47" i="37" s="1"/>
  <c r="DA46" i="37"/>
  <c r="CY46" i="37"/>
  <c r="CY45" i="37"/>
  <c r="DA45" i="37" s="1"/>
  <c r="CY44" i="37"/>
  <c r="DA44" i="37" s="1"/>
  <c r="CY43" i="37"/>
  <c r="DA43" i="37" s="1"/>
  <c r="CY42" i="37"/>
  <c r="DA42" i="37" s="1"/>
  <c r="CY41" i="37"/>
  <c r="DA41" i="37" s="1"/>
  <c r="DA40" i="37"/>
  <c r="CY40" i="37"/>
  <c r="CY39" i="37"/>
  <c r="DA39" i="37" s="1"/>
  <c r="DA38" i="37"/>
  <c r="CY38" i="37"/>
  <c r="DA37" i="37"/>
  <c r="CY37" i="37"/>
  <c r="DA36" i="37"/>
  <c r="CY36" i="37"/>
  <c r="CY35" i="37"/>
  <c r="DA35" i="37" s="1"/>
  <c r="CY34" i="37"/>
  <c r="DA34" i="37" s="1"/>
  <c r="CY33" i="37"/>
  <c r="DA33" i="37" s="1"/>
  <c r="CY32" i="37"/>
  <c r="DA32" i="37" s="1"/>
  <c r="CY31" i="37"/>
  <c r="DA31" i="37" s="1"/>
  <c r="DA30" i="37"/>
  <c r="CY30" i="37"/>
  <c r="CY29" i="37"/>
  <c r="DA29" i="37" s="1"/>
  <c r="DA28" i="37"/>
  <c r="CY28" i="37"/>
  <c r="CY27" i="37"/>
  <c r="DA27" i="37" s="1"/>
  <c r="CY26" i="37"/>
  <c r="DA26" i="37" s="1"/>
  <c r="CY25" i="37"/>
  <c r="DA25" i="37" s="1"/>
  <c r="CY24" i="37"/>
  <c r="DA24" i="37" s="1"/>
  <c r="CY23" i="37"/>
  <c r="DA23" i="37" s="1"/>
  <c r="DA22" i="37"/>
  <c r="CY22" i="37"/>
  <c r="CY21" i="37"/>
  <c r="DA21" i="37" s="1"/>
  <c r="DA20" i="37"/>
  <c r="CY20" i="37"/>
  <c r="CY19" i="37"/>
  <c r="DA19" i="37" s="1"/>
  <c r="CY18" i="37"/>
  <c r="DA18" i="37" s="1"/>
  <c r="CY17" i="37"/>
  <c r="DA17" i="37" s="1"/>
  <c r="CY16" i="37"/>
  <c r="DA16" i="37" s="1"/>
  <c r="CY15" i="37"/>
  <c r="DA15" i="37" s="1"/>
  <c r="CY14" i="37"/>
  <c r="DA14" i="37" s="1"/>
  <c r="CY13" i="37"/>
  <c r="DA13" i="37" s="1"/>
  <c r="CY12" i="37"/>
  <c r="DA12" i="37" s="1"/>
  <c r="CY11" i="37"/>
  <c r="DA11" i="37" s="1"/>
  <c r="CY10" i="37"/>
  <c r="DA10" i="37" s="1"/>
  <c r="CY9" i="37"/>
  <c r="DA9" i="37" s="1"/>
  <c r="CT153" i="37"/>
  <c r="CV153" i="37" s="1"/>
  <c r="CT152" i="37"/>
  <c r="CV152" i="37" s="1"/>
  <c r="CT151" i="37"/>
  <c r="CV151" i="37" s="1"/>
  <c r="CT150" i="37"/>
  <c r="CV150" i="37" s="1"/>
  <c r="CT149" i="37"/>
  <c r="CV149" i="37" s="1"/>
  <c r="CV148" i="37"/>
  <c r="CT148" i="37"/>
  <c r="CT147" i="37"/>
  <c r="CV147" i="37" s="1"/>
  <c r="CV146" i="37"/>
  <c r="CT146" i="37"/>
  <c r="CT145" i="37"/>
  <c r="CV145" i="37" s="1"/>
  <c r="CV144" i="37"/>
  <c r="CV143" i="37"/>
  <c r="CV142" i="37"/>
  <c r="CV141" i="37"/>
  <c r="CV140" i="37"/>
  <c r="CV139" i="37"/>
  <c r="CV138" i="37"/>
  <c r="CV137" i="37"/>
  <c r="CT136" i="37"/>
  <c r="CV136" i="37" s="1"/>
  <c r="CT135" i="37"/>
  <c r="CV135" i="37" s="1"/>
  <c r="CT134" i="37"/>
  <c r="CV134" i="37" s="1"/>
  <c r="CT133" i="37"/>
  <c r="CV133" i="37" s="1"/>
  <c r="CT132" i="37"/>
  <c r="CV132" i="37" s="1"/>
  <c r="CT131" i="37"/>
  <c r="CV131" i="37" s="1"/>
  <c r="CT130" i="37"/>
  <c r="CV130" i="37" s="1"/>
  <c r="CT129" i="37"/>
  <c r="CV129" i="37" s="1"/>
  <c r="CT128" i="37"/>
  <c r="CV128" i="37" s="1"/>
  <c r="CT127" i="37"/>
  <c r="CV127" i="37" s="1"/>
  <c r="CT126" i="37"/>
  <c r="CV126" i="37" s="1"/>
  <c r="CT125" i="37"/>
  <c r="CV125" i="37" s="1"/>
  <c r="CT124" i="37"/>
  <c r="CV124" i="37" s="1"/>
  <c r="CT123" i="37"/>
  <c r="CV123" i="37" s="1"/>
  <c r="CT122" i="37"/>
  <c r="CV122" i="37" s="1"/>
  <c r="CT121" i="37"/>
  <c r="CV121" i="37" s="1"/>
  <c r="CT120" i="37"/>
  <c r="CV120" i="37" s="1"/>
  <c r="CT119" i="37"/>
  <c r="CV119" i="37" s="1"/>
  <c r="CT118" i="37"/>
  <c r="CV118" i="37" s="1"/>
  <c r="CT117" i="37"/>
  <c r="CV117" i="37" s="1"/>
  <c r="CT116" i="37"/>
  <c r="CV116" i="37" s="1"/>
  <c r="CT115" i="37"/>
  <c r="CV115" i="37" s="1"/>
  <c r="CT114" i="37"/>
  <c r="CV114" i="37" s="1"/>
  <c r="CT113" i="37"/>
  <c r="CV113" i="37" s="1"/>
  <c r="CT112" i="37"/>
  <c r="CV112" i="37" s="1"/>
  <c r="CT111" i="37"/>
  <c r="CV111" i="37" s="1"/>
  <c r="CT110" i="37"/>
  <c r="CV110" i="37" s="1"/>
  <c r="CT109" i="37"/>
  <c r="CV109" i="37" s="1"/>
  <c r="CT108" i="37"/>
  <c r="CV108" i="37" s="1"/>
  <c r="CT107" i="37"/>
  <c r="CV107" i="37" s="1"/>
  <c r="CT106" i="37"/>
  <c r="CV106" i="37" s="1"/>
  <c r="CT105" i="37"/>
  <c r="CV105" i="37" s="1"/>
  <c r="CV104" i="37"/>
  <c r="CT104" i="37"/>
  <c r="CT103" i="37"/>
  <c r="CV103" i="37" s="1"/>
  <c r="CT102" i="37"/>
  <c r="CV102" i="37" s="1"/>
  <c r="CT101" i="37"/>
  <c r="CV101" i="37" s="1"/>
  <c r="CT100" i="37"/>
  <c r="CV100" i="37" s="1"/>
  <c r="CT99" i="37"/>
  <c r="CV99" i="37" s="1"/>
  <c r="CT98" i="37"/>
  <c r="CV98" i="37" s="1"/>
  <c r="CT97" i="37"/>
  <c r="CV97" i="37" s="1"/>
  <c r="CT96" i="37"/>
  <c r="CV96" i="37" s="1"/>
  <c r="CT95" i="37"/>
  <c r="CV95" i="37" s="1"/>
  <c r="CT94" i="37"/>
  <c r="CV94" i="37" s="1"/>
  <c r="CT93" i="37"/>
  <c r="CV93" i="37" s="1"/>
  <c r="CT92" i="37"/>
  <c r="CV92" i="37" s="1"/>
  <c r="CT91" i="37"/>
  <c r="CV91" i="37" s="1"/>
  <c r="CT90" i="37"/>
  <c r="CV90" i="37" s="1"/>
  <c r="CT89" i="37"/>
  <c r="CV89" i="37" s="1"/>
  <c r="CT88" i="37"/>
  <c r="CV88" i="37" s="1"/>
  <c r="CT87" i="37"/>
  <c r="CV87" i="37" s="1"/>
  <c r="CT86" i="37"/>
  <c r="CV86" i="37" s="1"/>
  <c r="CT85" i="37"/>
  <c r="CV85" i="37" s="1"/>
  <c r="CT84" i="37"/>
  <c r="CV84" i="37" s="1"/>
  <c r="CT83" i="37"/>
  <c r="CV83" i="37" s="1"/>
  <c r="CT82" i="37"/>
  <c r="CV82" i="37" s="1"/>
  <c r="CT81" i="37"/>
  <c r="CV81" i="37" s="1"/>
  <c r="CT80" i="37"/>
  <c r="CV80" i="37" s="1"/>
  <c r="CT79" i="37"/>
  <c r="CV79" i="37" s="1"/>
  <c r="CT78" i="37"/>
  <c r="CV78" i="37" s="1"/>
  <c r="CT77" i="37"/>
  <c r="CV77" i="37" s="1"/>
  <c r="CT76" i="37"/>
  <c r="CV76" i="37" s="1"/>
  <c r="CT75" i="37"/>
  <c r="CV75" i="37" s="1"/>
  <c r="CT74" i="37"/>
  <c r="CV74" i="37" s="1"/>
  <c r="CT73" i="37"/>
  <c r="CV73" i="37" s="1"/>
  <c r="CT72" i="37"/>
  <c r="CV72" i="37" s="1"/>
  <c r="CT71" i="37"/>
  <c r="CV71" i="37" s="1"/>
  <c r="CT70" i="37"/>
  <c r="CV70" i="37" s="1"/>
  <c r="CT69" i="37"/>
  <c r="CV69" i="37" s="1"/>
  <c r="CT68" i="37"/>
  <c r="CV68" i="37" s="1"/>
  <c r="CT67" i="37"/>
  <c r="CV67" i="37" s="1"/>
  <c r="CT66" i="37"/>
  <c r="CV66" i="37" s="1"/>
  <c r="CT65" i="37"/>
  <c r="CV65" i="37" s="1"/>
  <c r="CT64" i="37"/>
  <c r="CV64" i="37" s="1"/>
  <c r="CT63" i="37"/>
  <c r="CV63" i="37" s="1"/>
  <c r="CT62" i="37"/>
  <c r="CV62" i="37" s="1"/>
  <c r="CT61" i="37"/>
  <c r="CV61" i="37" s="1"/>
  <c r="CT60" i="37"/>
  <c r="CV60" i="37" s="1"/>
  <c r="CT59" i="37"/>
  <c r="CV59" i="37" s="1"/>
  <c r="CT58" i="37"/>
  <c r="CV58" i="37" s="1"/>
  <c r="CT57" i="37"/>
  <c r="CV57" i="37" s="1"/>
  <c r="CT56" i="37"/>
  <c r="CV56" i="37" s="1"/>
  <c r="CT55" i="37"/>
  <c r="CV55" i="37" s="1"/>
  <c r="CT54" i="37"/>
  <c r="CV54" i="37" s="1"/>
  <c r="CT53" i="37"/>
  <c r="CV53" i="37" s="1"/>
  <c r="CT52" i="37"/>
  <c r="CV52" i="37" s="1"/>
  <c r="CT51" i="37"/>
  <c r="CV51" i="37" s="1"/>
  <c r="CT50" i="37"/>
  <c r="CV50" i="37" s="1"/>
  <c r="CT49" i="37"/>
  <c r="CV49" i="37" s="1"/>
  <c r="CT48" i="37"/>
  <c r="CV48" i="37" s="1"/>
  <c r="CT47" i="37"/>
  <c r="CV47" i="37" s="1"/>
  <c r="CT46" i="37"/>
  <c r="CV46" i="37" s="1"/>
  <c r="CT45" i="37"/>
  <c r="CV45" i="37" s="1"/>
  <c r="CT44" i="37"/>
  <c r="CV44" i="37" s="1"/>
  <c r="CT43" i="37"/>
  <c r="CV43" i="37" s="1"/>
  <c r="CT42" i="37"/>
  <c r="CV42" i="37" s="1"/>
  <c r="CT41" i="37"/>
  <c r="CV41" i="37" s="1"/>
  <c r="CT40" i="37"/>
  <c r="CV40" i="37" s="1"/>
  <c r="CT39" i="37"/>
  <c r="CV39" i="37" s="1"/>
  <c r="CT38" i="37"/>
  <c r="CV38" i="37" s="1"/>
  <c r="CT37" i="37"/>
  <c r="CV37" i="37" s="1"/>
  <c r="CT36" i="37"/>
  <c r="CV36" i="37" s="1"/>
  <c r="CT35" i="37"/>
  <c r="CV35" i="37" s="1"/>
  <c r="CT34" i="37"/>
  <c r="CV34" i="37" s="1"/>
  <c r="CT33" i="37"/>
  <c r="CV33" i="37" s="1"/>
  <c r="CT32" i="37"/>
  <c r="CV32" i="37" s="1"/>
  <c r="CT31" i="37"/>
  <c r="CV31" i="37" s="1"/>
  <c r="CT30" i="37"/>
  <c r="CV30" i="37" s="1"/>
  <c r="CT29" i="37"/>
  <c r="CV29" i="37" s="1"/>
  <c r="CT28" i="37"/>
  <c r="CV28" i="37" s="1"/>
  <c r="CT27" i="37"/>
  <c r="CV27" i="37" s="1"/>
  <c r="CT26" i="37"/>
  <c r="CV26" i="37" s="1"/>
  <c r="CT25" i="37"/>
  <c r="CV25" i="37" s="1"/>
  <c r="CT24" i="37"/>
  <c r="CV24" i="37" s="1"/>
  <c r="CT23" i="37"/>
  <c r="CV23" i="37" s="1"/>
  <c r="CT22" i="37"/>
  <c r="CV22" i="37" s="1"/>
  <c r="CT21" i="37"/>
  <c r="CV21" i="37" s="1"/>
  <c r="CT20" i="37"/>
  <c r="CV20" i="37" s="1"/>
  <c r="CT19" i="37"/>
  <c r="CV19" i="37" s="1"/>
  <c r="CT18" i="37"/>
  <c r="CV18" i="37" s="1"/>
  <c r="CT17" i="37"/>
  <c r="CV17" i="37" s="1"/>
  <c r="CT16" i="37"/>
  <c r="CV16" i="37" s="1"/>
  <c r="CT15" i="37"/>
  <c r="CV15" i="37" s="1"/>
  <c r="CT14" i="37"/>
  <c r="CV14" i="37" s="1"/>
  <c r="CT13" i="37"/>
  <c r="CV13" i="37" s="1"/>
  <c r="CT12" i="37"/>
  <c r="CV12" i="37" s="1"/>
  <c r="CT11" i="37"/>
  <c r="CV11" i="37" s="1"/>
  <c r="CT10" i="37"/>
  <c r="CV10" i="37" s="1"/>
  <c r="CV9" i="37"/>
  <c r="CQ153" i="37"/>
  <c r="CO153" i="37"/>
  <c r="CO152" i="37"/>
  <c r="CQ152" i="37" s="1"/>
  <c r="CO151" i="37"/>
  <c r="CQ151" i="37" s="1"/>
  <c r="CO150" i="37"/>
  <c r="CQ150" i="37" s="1"/>
  <c r="CO149" i="37"/>
  <c r="CQ149" i="37" s="1"/>
  <c r="CO148" i="37"/>
  <c r="CQ148" i="37" s="1"/>
  <c r="CQ147" i="37"/>
  <c r="CO147" i="37"/>
  <c r="CO146" i="37"/>
  <c r="CQ146" i="37" s="1"/>
  <c r="CO145" i="37"/>
  <c r="CQ145" i="37" s="1"/>
  <c r="CQ144" i="37"/>
  <c r="CO144" i="37"/>
  <c r="CO143" i="37"/>
  <c r="CQ143" i="37" s="1"/>
  <c r="CO142" i="37"/>
  <c r="CQ142" i="37" s="1"/>
  <c r="CO141" i="37"/>
  <c r="CQ141" i="37" s="1"/>
  <c r="CO140" i="37"/>
  <c r="CQ140" i="37" s="1"/>
  <c r="CO139" i="37"/>
  <c r="CQ139" i="37" s="1"/>
  <c r="CO138" i="37"/>
  <c r="CQ138" i="37" s="1"/>
  <c r="CO137" i="37"/>
  <c r="CQ137" i="37" s="1"/>
  <c r="CO136" i="37"/>
  <c r="CQ136" i="37" s="1"/>
  <c r="CQ135" i="37"/>
  <c r="CO135" i="37"/>
  <c r="CO134" i="37"/>
  <c r="CQ134" i="37" s="1"/>
  <c r="CQ133" i="37"/>
  <c r="CO133" i="37"/>
  <c r="CO132" i="37"/>
  <c r="CQ132" i="37" s="1"/>
  <c r="CO131" i="37"/>
  <c r="CQ131" i="37" s="1"/>
  <c r="CO130" i="37"/>
  <c r="CQ130" i="37" s="1"/>
  <c r="CQ129" i="37"/>
  <c r="CO129" i="37"/>
  <c r="CO128" i="37"/>
  <c r="CQ128" i="37" s="1"/>
  <c r="CQ127" i="37"/>
  <c r="CO127" i="37"/>
  <c r="CO126" i="37"/>
  <c r="CQ126" i="37" s="1"/>
  <c r="CO125" i="37"/>
  <c r="CQ125" i="37" s="1"/>
  <c r="CO124" i="37"/>
  <c r="CQ124" i="37" s="1"/>
  <c r="CO123" i="37"/>
  <c r="CQ123" i="37" s="1"/>
  <c r="CO122" i="37"/>
  <c r="CQ122" i="37" s="1"/>
  <c r="CO121" i="37"/>
  <c r="CQ121" i="37" s="1"/>
  <c r="CO120" i="37"/>
  <c r="CQ120" i="37" s="1"/>
  <c r="CO119" i="37"/>
  <c r="CQ119" i="37" s="1"/>
  <c r="CO118" i="37"/>
  <c r="CQ118" i="37" s="1"/>
  <c r="CO117" i="37"/>
  <c r="CQ117" i="37" s="1"/>
  <c r="CO116" i="37"/>
  <c r="CQ116" i="37" s="1"/>
  <c r="CO115" i="37"/>
  <c r="CQ115" i="37" s="1"/>
  <c r="CO114" i="37"/>
  <c r="CQ114" i="37" s="1"/>
  <c r="CO113" i="37"/>
  <c r="CQ113" i="37" s="1"/>
  <c r="CQ112" i="37"/>
  <c r="CO112" i="37"/>
  <c r="CO111" i="37"/>
  <c r="CQ111" i="37" s="1"/>
  <c r="CO110" i="37"/>
  <c r="CQ110" i="37" s="1"/>
  <c r="CO109" i="37"/>
  <c r="CQ109" i="37" s="1"/>
  <c r="CO108" i="37"/>
  <c r="CQ108" i="37" s="1"/>
  <c r="CO107" i="37"/>
  <c r="CQ107" i="37" s="1"/>
  <c r="CO106" i="37"/>
  <c r="CQ106" i="37" s="1"/>
  <c r="CO105" i="37"/>
  <c r="CQ105" i="37" s="1"/>
  <c r="CO104" i="37"/>
  <c r="CQ104" i="37" s="1"/>
  <c r="CO103" i="37"/>
  <c r="CQ103" i="37" s="1"/>
  <c r="CO102" i="37"/>
  <c r="CQ102" i="37" s="1"/>
  <c r="CO101" i="37"/>
  <c r="CQ101" i="37" s="1"/>
  <c r="CO100" i="37"/>
  <c r="CQ100" i="37" s="1"/>
  <c r="CO99" i="37"/>
  <c r="CQ99" i="37" s="1"/>
  <c r="CO98" i="37"/>
  <c r="CQ98" i="37" s="1"/>
  <c r="CO97" i="37"/>
  <c r="CQ97" i="37" s="1"/>
  <c r="CO96" i="37"/>
  <c r="CQ96" i="37" s="1"/>
  <c r="CO95" i="37"/>
  <c r="CQ95" i="37" s="1"/>
  <c r="CO94" i="37"/>
  <c r="CQ94" i="37" s="1"/>
  <c r="CO93" i="37"/>
  <c r="CQ93" i="37" s="1"/>
  <c r="CO92" i="37"/>
  <c r="CQ92" i="37" s="1"/>
  <c r="CO91" i="37"/>
  <c r="CQ91" i="37" s="1"/>
  <c r="CO90" i="37"/>
  <c r="CQ90" i="37" s="1"/>
  <c r="CO89" i="37"/>
  <c r="CQ89" i="37" s="1"/>
  <c r="CO88" i="37"/>
  <c r="CQ88" i="37" s="1"/>
  <c r="CO87" i="37"/>
  <c r="CQ87" i="37" s="1"/>
  <c r="CO86" i="37"/>
  <c r="CQ86" i="37" s="1"/>
  <c r="CO85" i="37"/>
  <c r="CQ85" i="37" s="1"/>
  <c r="CO84" i="37"/>
  <c r="CQ84" i="37" s="1"/>
  <c r="CO83" i="37"/>
  <c r="CQ83" i="37" s="1"/>
  <c r="CO82" i="37"/>
  <c r="CQ82" i="37" s="1"/>
  <c r="CO81" i="37"/>
  <c r="CQ81" i="37" s="1"/>
  <c r="CO80" i="37"/>
  <c r="CQ80" i="37" s="1"/>
  <c r="CO79" i="37"/>
  <c r="CQ79" i="37" s="1"/>
  <c r="CO78" i="37"/>
  <c r="CQ78" i="37" s="1"/>
  <c r="CO77" i="37"/>
  <c r="CQ77" i="37" s="1"/>
  <c r="CO76" i="37"/>
  <c r="CQ76" i="37" s="1"/>
  <c r="CO75" i="37"/>
  <c r="CQ75" i="37" s="1"/>
  <c r="CO74" i="37"/>
  <c r="CQ74" i="37" s="1"/>
  <c r="CO73" i="37"/>
  <c r="CQ73" i="37" s="1"/>
  <c r="CO72" i="37"/>
  <c r="CQ72" i="37" s="1"/>
  <c r="CO71" i="37"/>
  <c r="CQ71" i="37" s="1"/>
  <c r="CO70" i="37"/>
  <c r="CQ70" i="37" s="1"/>
  <c r="CO69" i="37"/>
  <c r="CQ69" i="37" s="1"/>
  <c r="CO68" i="37"/>
  <c r="CQ68" i="37" s="1"/>
  <c r="CO67" i="37"/>
  <c r="CQ67" i="37" s="1"/>
  <c r="CO66" i="37"/>
  <c r="CQ66" i="37" s="1"/>
  <c r="CO65" i="37"/>
  <c r="CQ65" i="37" s="1"/>
  <c r="CO64" i="37"/>
  <c r="CQ64" i="37" s="1"/>
  <c r="CO63" i="37"/>
  <c r="CQ63" i="37" s="1"/>
  <c r="CO62" i="37"/>
  <c r="CQ62" i="37" s="1"/>
  <c r="CO61" i="37"/>
  <c r="CQ61" i="37" s="1"/>
  <c r="CO60" i="37"/>
  <c r="CQ60" i="37" s="1"/>
  <c r="CO59" i="37"/>
  <c r="CQ59" i="37" s="1"/>
  <c r="CO58" i="37"/>
  <c r="CQ58" i="37" s="1"/>
  <c r="CO57" i="37"/>
  <c r="CQ57" i="37" s="1"/>
  <c r="CO56" i="37"/>
  <c r="CQ56" i="37" s="1"/>
  <c r="CO55" i="37"/>
  <c r="CQ55" i="37" s="1"/>
  <c r="CO54" i="37"/>
  <c r="CQ54" i="37" s="1"/>
  <c r="CO53" i="37"/>
  <c r="CQ53" i="37" s="1"/>
  <c r="CO52" i="37"/>
  <c r="CQ52" i="37" s="1"/>
  <c r="CO51" i="37"/>
  <c r="CQ51" i="37" s="1"/>
  <c r="CO50" i="37"/>
  <c r="CQ50" i="37" s="1"/>
  <c r="CO49" i="37"/>
  <c r="CQ49" i="37" s="1"/>
  <c r="CO48" i="37"/>
  <c r="CQ48" i="37" s="1"/>
  <c r="CO47" i="37"/>
  <c r="CQ47" i="37" s="1"/>
  <c r="CO46" i="37"/>
  <c r="CQ46" i="37" s="1"/>
  <c r="CO45" i="37"/>
  <c r="CQ45" i="37" s="1"/>
  <c r="CO44" i="37"/>
  <c r="CQ44" i="37" s="1"/>
  <c r="CO43" i="37"/>
  <c r="CQ43" i="37" s="1"/>
  <c r="CO42" i="37"/>
  <c r="CQ42" i="37" s="1"/>
  <c r="CO41" i="37"/>
  <c r="CQ41" i="37" s="1"/>
  <c r="CO40" i="37"/>
  <c r="CQ40" i="37" s="1"/>
  <c r="CO39" i="37"/>
  <c r="CQ39" i="37" s="1"/>
  <c r="CO38" i="37"/>
  <c r="CQ38" i="37" s="1"/>
  <c r="CO37" i="37"/>
  <c r="CQ37" i="37" s="1"/>
  <c r="CO36" i="37"/>
  <c r="CQ36" i="37" s="1"/>
  <c r="CO35" i="37"/>
  <c r="CQ35" i="37" s="1"/>
  <c r="CO34" i="37"/>
  <c r="CQ34" i="37" s="1"/>
  <c r="CO33" i="37"/>
  <c r="CQ33" i="37" s="1"/>
  <c r="CO32" i="37"/>
  <c r="CQ32" i="37" s="1"/>
  <c r="CO31" i="37"/>
  <c r="CQ31" i="37" s="1"/>
  <c r="CQ30" i="37"/>
  <c r="CO30" i="37"/>
  <c r="CO29" i="37"/>
  <c r="CQ29" i="37" s="1"/>
  <c r="CO28" i="37"/>
  <c r="CQ28" i="37" s="1"/>
  <c r="CO27" i="37"/>
  <c r="CQ27" i="37" s="1"/>
  <c r="CO26" i="37"/>
  <c r="CQ26" i="37" s="1"/>
  <c r="CO25" i="37"/>
  <c r="CQ25" i="37" s="1"/>
  <c r="CO24" i="37"/>
  <c r="CQ24" i="37" s="1"/>
  <c r="CO23" i="37"/>
  <c r="CQ23" i="37" s="1"/>
  <c r="CQ22" i="37"/>
  <c r="CO22" i="37"/>
  <c r="CO21" i="37"/>
  <c r="CQ21" i="37" s="1"/>
  <c r="CO20" i="37"/>
  <c r="CQ20" i="37" s="1"/>
  <c r="CO19" i="37"/>
  <c r="CQ19" i="37" s="1"/>
  <c r="CO18" i="37"/>
  <c r="CQ18" i="37" s="1"/>
  <c r="CO17" i="37"/>
  <c r="CQ17" i="37" s="1"/>
  <c r="CO16" i="37"/>
  <c r="CQ16" i="37" s="1"/>
  <c r="CO15" i="37"/>
  <c r="CQ15" i="37" s="1"/>
  <c r="CO14" i="37"/>
  <c r="CQ14" i="37" s="1"/>
  <c r="CO13" i="37"/>
  <c r="CQ13" i="37" s="1"/>
  <c r="CO12" i="37"/>
  <c r="CQ12" i="37" s="1"/>
  <c r="CO11" i="37"/>
  <c r="CQ11" i="37" s="1"/>
  <c r="CO10" i="37"/>
  <c r="CQ10" i="37" s="1"/>
  <c r="CO9" i="37"/>
  <c r="CQ9" i="37" s="1"/>
  <c r="CL153" i="37"/>
  <c r="CJ153" i="37"/>
  <c r="CJ152" i="37"/>
  <c r="CL152" i="37" s="1"/>
  <c r="CJ151" i="37"/>
  <c r="CL151" i="37" s="1"/>
  <c r="CJ150" i="37"/>
  <c r="CL150" i="37" s="1"/>
  <c r="CL149" i="37"/>
  <c r="CJ149" i="37"/>
  <c r="CJ148" i="37"/>
  <c r="CL148" i="37" s="1"/>
  <c r="CL147" i="37"/>
  <c r="CJ147" i="37"/>
  <c r="CJ146" i="37"/>
  <c r="CL146" i="37" s="1"/>
  <c r="CJ145" i="37"/>
  <c r="CL145" i="37" s="1"/>
  <c r="CJ144" i="37"/>
  <c r="CL144" i="37" s="1"/>
  <c r="CJ143" i="37"/>
  <c r="CL143" i="37" s="1"/>
  <c r="CJ142" i="37"/>
  <c r="CL142" i="37" s="1"/>
  <c r="CJ141" i="37"/>
  <c r="CL141" i="37" s="1"/>
  <c r="CJ140" i="37"/>
  <c r="CL140" i="37" s="1"/>
  <c r="CJ139" i="37"/>
  <c r="CL139" i="37" s="1"/>
  <c r="CJ138" i="37"/>
  <c r="CL138" i="37" s="1"/>
  <c r="CJ137" i="37"/>
  <c r="CL137" i="37" s="1"/>
  <c r="CJ136" i="37"/>
  <c r="CL136" i="37" s="1"/>
  <c r="CJ135" i="37"/>
  <c r="CL135" i="37" s="1"/>
  <c r="CJ134" i="37"/>
  <c r="CL134" i="37" s="1"/>
  <c r="CJ133" i="37"/>
  <c r="CL133" i="37" s="1"/>
  <c r="CJ132" i="37"/>
  <c r="CL132" i="37" s="1"/>
  <c r="CJ131" i="37"/>
  <c r="CL131" i="37" s="1"/>
  <c r="CJ130" i="37"/>
  <c r="CL130" i="37" s="1"/>
  <c r="CJ129" i="37"/>
  <c r="CL129" i="37" s="1"/>
  <c r="CJ128" i="37"/>
  <c r="CL128" i="37" s="1"/>
  <c r="CL127" i="37"/>
  <c r="CJ127" i="37"/>
  <c r="CJ126" i="37"/>
  <c r="CL126" i="37" s="1"/>
  <c r="CJ125" i="37"/>
  <c r="CL125" i="37" s="1"/>
  <c r="CJ124" i="37"/>
  <c r="CL124" i="37" s="1"/>
  <c r="CJ123" i="37"/>
  <c r="CL123" i="37" s="1"/>
  <c r="CJ122" i="37"/>
  <c r="CL122" i="37" s="1"/>
  <c r="CJ121" i="37"/>
  <c r="CL121" i="37" s="1"/>
  <c r="CJ120" i="37"/>
  <c r="CL120" i="37" s="1"/>
  <c r="CJ119" i="37"/>
  <c r="CL119" i="37" s="1"/>
  <c r="CJ118" i="37"/>
  <c r="CL118" i="37" s="1"/>
  <c r="CJ117" i="37"/>
  <c r="CL117" i="37" s="1"/>
  <c r="CJ116" i="37"/>
  <c r="CL116" i="37" s="1"/>
  <c r="CJ115" i="37"/>
  <c r="CL115" i="37" s="1"/>
  <c r="CJ114" i="37"/>
  <c r="CL114" i="37" s="1"/>
  <c r="CJ113" i="37"/>
  <c r="CL113" i="37" s="1"/>
  <c r="CJ112" i="37"/>
  <c r="CL112" i="37" s="1"/>
  <c r="CJ111" i="37"/>
  <c r="CL111" i="37" s="1"/>
  <c r="CJ110" i="37"/>
  <c r="CL110" i="37" s="1"/>
  <c r="CJ109" i="37"/>
  <c r="CL109" i="37" s="1"/>
  <c r="CJ108" i="37"/>
  <c r="CL108" i="37" s="1"/>
  <c r="CJ107" i="37"/>
  <c r="CL107" i="37" s="1"/>
  <c r="CJ106" i="37"/>
  <c r="CL106" i="37" s="1"/>
  <c r="CL105" i="37"/>
  <c r="CJ105" i="37"/>
  <c r="CJ104" i="37"/>
  <c r="CL104" i="37" s="1"/>
  <c r="CJ103" i="37"/>
  <c r="CL103" i="37" s="1"/>
  <c r="CJ102" i="37"/>
  <c r="CL102" i="37" s="1"/>
  <c r="CJ101" i="37"/>
  <c r="CL101" i="37" s="1"/>
  <c r="CJ100" i="37"/>
  <c r="CL100" i="37" s="1"/>
  <c r="CJ99" i="37"/>
  <c r="CL99" i="37" s="1"/>
  <c r="CJ98" i="37"/>
  <c r="CL98" i="37" s="1"/>
  <c r="CJ97" i="37"/>
  <c r="CL97" i="37" s="1"/>
  <c r="CJ96" i="37"/>
  <c r="CL96" i="37" s="1"/>
  <c r="CJ95" i="37"/>
  <c r="CL95" i="37" s="1"/>
  <c r="CJ94" i="37"/>
  <c r="CL94" i="37" s="1"/>
  <c r="CJ93" i="37"/>
  <c r="CL93" i="37" s="1"/>
  <c r="CJ92" i="37"/>
  <c r="CL92" i="37" s="1"/>
  <c r="CJ91" i="37"/>
  <c r="CL91" i="37" s="1"/>
  <c r="CJ90" i="37"/>
  <c r="CL90" i="37" s="1"/>
  <c r="CJ89" i="37"/>
  <c r="CL89" i="37" s="1"/>
  <c r="CJ88" i="37"/>
  <c r="CL88" i="37" s="1"/>
  <c r="CJ87" i="37"/>
  <c r="CL87" i="37" s="1"/>
  <c r="CJ86" i="37"/>
  <c r="CL86" i="37" s="1"/>
  <c r="CJ85" i="37"/>
  <c r="CL85" i="37" s="1"/>
  <c r="CJ84" i="37"/>
  <c r="CL84" i="37" s="1"/>
  <c r="CJ83" i="37"/>
  <c r="CL83" i="37" s="1"/>
  <c r="CJ82" i="37"/>
  <c r="CL82" i="37" s="1"/>
  <c r="CJ81" i="37"/>
  <c r="CL81" i="37" s="1"/>
  <c r="CJ80" i="37"/>
  <c r="CL80" i="37" s="1"/>
  <c r="CJ79" i="37"/>
  <c r="CL79" i="37" s="1"/>
  <c r="CJ78" i="37"/>
  <c r="CL78" i="37" s="1"/>
  <c r="CJ77" i="37"/>
  <c r="CL77" i="37" s="1"/>
  <c r="CJ76" i="37"/>
  <c r="CL76" i="37" s="1"/>
  <c r="CJ75" i="37"/>
  <c r="CL75" i="37" s="1"/>
  <c r="CL74" i="37"/>
  <c r="CJ74" i="37"/>
  <c r="CJ73" i="37"/>
  <c r="CL73" i="37" s="1"/>
  <c r="CJ72" i="37"/>
  <c r="CL72" i="37" s="1"/>
  <c r="CJ71" i="37"/>
  <c r="CL71" i="37" s="1"/>
  <c r="CJ70" i="37"/>
  <c r="CL70" i="37" s="1"/>
  <c r="CJ69" i="37"/>
  <c r="CL69" i="37" s="1"/>
  <c r="CJ68" i="37"/>
  <c r="CL68" i="37" s="1"/>
  <c r="CJ67" i="37"/>
  <c r="CL67" i="37" s="1"/>
  <c r="CJ66" i="37"/>
  <c r="CL66" i="37" s="1"/>
  <c r="CJ65" i="37"/>
  <c r="CL65" i="37" s="1"/>
  <c r="CJ64" i="37"/>
  <c r="CL64" i="37" s="1"/>
  <c r="CJ63" i="37"/>
  <c r="CL63" i="37" s="1"/>
  <c r="CJ62" i="37"/>
  <c r="CL62" i="37" s="1"/>
  <c r="CJ61" i="37"/>
  <c r="CL61" i="37" s="1"/>
  <c r="CJ60" i="37"/>
  <c r="CL60" i="37" s="1"/>
  <c r="CJ59" i="37"/>
  <c r="CL59" i="37" s="1"/>
  <c r="CJ58" i="37"/>
  <c r="CL58" i="37" s="1"/>
  <c r="CJ57" i="37"/>
  <c r="CL57" i="37" s="1"/>
  <c r="CJ56" i="37"/>
  <c r="CL56" i="37" s="1"/>
  <c r="CJ55" i="37"/>
  <c r="CL55" i="37" s="1"/>
  <c r="CJ54" i="37"/>
  <c r="CL54" i="37" s="1"/>
  <c r="CJ53" i="37"/>
  <c r="CL53" i="37" s="1"/>
  <c r="CL52" i="37"/>
  <c r="CJ52" i="37"/>
  <c r="CJ51" i="37"/>
  <c r="CL51" i="37" s="1"/>
  <c r="CJ50" i="37"/>
  <c r="CL50" i="37" s="1"/>
  <c r="CJ49" i="37"/>
  <c r="CL49" i="37" s="1"/>
  <c r="CJ48" i="37"/>
  <c r="CL48" i="37" s="1"/>
  <c r="CJ47" i="37"/>
  <c r="CL47" i="37" s="1"/>
  <c r="CJ46" i="37"/>
  <c r="CL46" i="37" s="1"/>
  <c r="CJ45" i="37"/>
  <c r="CL45" i="37" s="1"/>
  <c r="CJ44" i="37"/>
  <c r="CL44" i="37" s="1"/>
  <c r="CJ43" i="37"/>
  <c r="CL43" i="37" s="1"/>
  <c r="CJ42" i="37"/>
  <c r="CL42" i="37" s="1"/>
  <c r="CJ41" i="37"/>
  <c r="CL41" i="37" s="1"/>
  <c r="CJ40" i="37"/>
  <c r="CL40" i="37" s="1"/>
  <c r="CJ39" i="37"/>
  <c r="CL39" i="37" s="1"/>
  <c r="CJ38" i="37"/>
  <c r="CL38" i="37" s="1"/>
  <c r="CJ37" i="37"/>
  <c r="CL37" i="37" s="1"/>
  <c r="CJ36" i="37"/>
  <c r="CL36" i="37" s="1"/>
  <c r="CJ35" i="37"/>
  <c r="CL35" i="37" s="1"/>
  <c r="CJ34" i="37"/>
  <c r="CL34" i="37" s="1"/>
  <c r="CJ33" i="37"/>
  <c r="CL33" i="37" s="1"/>
  <c r="CJ32" i="37"/>
  <c r="CL32" i="37" s="1"/>
  <c r="CJ31" i="37"/>
  <c r="CL31" i="37" s="1"/>
  <c r="CJ30" i="37"/>
  <c r="CL30" i="37" s="1"/>
  <c r="CJ29" i="37"/>
  <c r="CL29" i="37" s="1"/>
  <c r="CJ28" i="37"/>
  <c r="CL28" i="37" s="1"/>
  <c r="CJ27" i="37"/>
  <c r="CL27" i="37" s="1"/>
  <c r="CJ26" i="37"/>
  <c r="CL26" i="37" s="1"/>
  <c r="CJ25" i="37"/>
  <c r="CL25" i="37" s="1"/>
  <c r="CJ24" i="37"/>
  <c r="CL24" i="37" s="1"/>
  <c r="CJ23" i="37"/>
  <c r="CL23" i="37" s="1"/>
  <c r="CJ22" i="37"/>
  <c r="CL22" i="37" s="1"/>
  <c r="CJ21" i="37"/>
  <c r="CL21" i="37" s="1"/>
  <c r="CJ20" i="37"/>
  <c r="CL20" i="37" s="1"/>
  <c r="CJ19" i="37"/>
  <c r="CL19" i="37" s="1"/>
  <c r="CJ18" i="37"/>
  <c r="CL18" i="37" s="1"/>
  <c r="CJ17" i="37"/>
  <c r="CL17" i="37" s="1"/>
  <c r="CJ16" i="37"/>
  <c r="CL16" i="37" s="1"/>
  <c r="CJ15" i="37"/>
  <c r="CL15" i="37" s="1"/>
  <c r="CJ14" i="37"/>
  <c r="CL14" i="37" s="1"/>
  <c r="CJ13" i="37"/>
  <c r="CL13" i="37" s="1"/>
  <c r="CJ12" i="37"/>
  <c r="CL12" i="37" s="1"/>
  <c r="CJ11" i="37"/>
  <c r="CL11" i="37" s="1"/>
  <c r="CJ10" i="37"/>
  <c r="CL10" i="37" s="1"/>
  <c r="CJ9" i="37"/>
  <c r="CL9" i="37" s="1"/>
  <c r="CE153" i="37"/>
  <c r="CG153" i="37" s="1"/>
  <c r="CG152" i="37"/>
  <c r="CE152" i="37"/>
  <c r="CE151" i="37"/>
  <c r="CG151" i="37" s="1"/>
  <c r="CG150" i="37"/>
  <c r="CE150" i="37"/>
  <c r="CE149" i="37"/>
  <c r="CG149" i="37" s="1"/>
  <c r="CG148" i="37"/>
  <c r="CE148" i="37"/>
  <c r="CE147" i="37"/>
  <c r="CG147" i="37" s="1"/>
  <c r="CE146" i="37"/>
  <c r="CG146" i="37" s="1"/>
  <c r="CE145" i="37"/>
  <c r="CG145" i="37" s="1"/>
  <c r="CE144" i="37"/>
  <c r="CG144" i="37" s="1"/>
  <c r="CE143" i="37"/>
  <c r="CG143" i="37" s="1"/>
  <c r="CG142" i="37"/>
  <c r="CE142" i="37"/>
  <c r="CE141" i="37"/>
  <c r="CG141" i="37" s="1"/>
  <c r="CG140" i="37"/>
  <c r="CE140" i="37"/>
  <c r="CE139" i="37"/>
  <c r="CG139" i="37" s="1"/>
  <c r="CE138" i="37"/>
  <c r="CG138" i="37" s="1"/>
  <c r="CE137" i="37"/>
  <c r="CG137" i="37" s="1"/>
  <c r="CG136" i="37"/>
  <c r="CE136" i="37"/>
  <c r="CE135" i="37"/>
  <c r="CG135" i="37" s="1"/>
  <c r="CG134" i="37"/>
  <c r="CE134" i="37"/>
  <c r="CE133" i="37"/>
  <c r="CG133" i="37" s="1"/>
  <c r="CG132" i="37"/>
  <c r="CE132" i="37"/>
  <c r="CE131" i="37"/>
  <c r="CG131" i="37" s="1"/>
  <c r="CG130" i="37"/>
  <c r="CE130" i="37"/>
  <c r="CE129" i="37"/>
  <c r="CG129" i="37" s="1"/>
  <c r="CG128" i="37"/>
  <c r="CE128" i="37"/>
  <c r="CE127" i="37"/>
  <c r="CG127" i="37" s="1"/>
  <c r="CG126" i="37"/>
  <c r="CE126" i="37"/>
  <c r="CE125" i="37"/>
  <c r="CG125" i="37" s="1"/>
  <c r="CE124" i="37"/>
  <c r="CG124" i="37" s="1"/>
  <c r="CE123" i="37"/>
  <c r="CG123" i="37" s="1"/>
  <c r="CE122" i="37"/>
  <c r="CG122" i="37" s="1"/>
  <c r="CE121" i="37"/>
  <c r="CG121" i="37" s="1"/>
  <c r="CE120" i="37"/>
  <c r="CG120" i="37" s="1"/>
  <c r="CE119" i="37"/>
  <c r="CG119" i="37" s="1"/>
  <c r="CE118" i="37"/>
  <c r="CG118" i="37" s="1"/>
  <c r="CE117" i="37"/>
  <c r="CG117" i="37" s="1"/>
  <c r="CE116" i="37"/>
  <c r="CG116" i="37" s="1"/>
  <c r="CE115" i="37"/>
  <c r="CG115" i="37" s="1"/>
  <c r="CE114" i="37"/>
  <c r="CG114" i="37" s="1"/>
  <c r="CE113" i="37"/>
  <c r="CG113" i="37" s="1"/>
  <c r="CE112" i="37"/>
  <c r="CG112" i="37" s="1"/>
  <c r="CE111" i="37"/>
  <c r="CG111" i="37" s="1"/>
  <c r="CE110" i="37"/>
  <c r="CG110" i="37" s="1"/>
  <c r="CE109" i="37"/>
  <c r="CG109" i="37" s="1"/>
  <c r="CE108" i="37"/>
  <c r="CG108" i="37" s="1"/>
  <c r="CE107" i="37"/>
  <c r="CG107" i="37" s="1"/>
  <c r="CE106" i="37"/>
  <c r="CG106" i="37" s="1"/>
  <c r="CE105" i="37"/>
  <c r="CG105" i="37" s="1"/>
  <c r="CE104" i="37"/>
  <c r="CG104" i="37" s="1"/>
  <c r="CE103" i="37"/>
  <c r="CG103" i="37" s="1"/>
  <c r="CE102" i="37"/>
  <c r="CG102" i="37" s="1"/>
  <c r="CE101" i="37"/>
  <c r="CG101" i="37" s="1"/>
  <c r="CE100" i="37"/>
  <c r="CG100" i="37" s="1"/>
  <c r="CG99" i="37"/>
  <c r="CE99" i="37"/>
  <c r="CE98" i="37"/>
  <c r="CG98" i="37" s="1"/>
  <c r="CE97" i="37"/>
  <c r="CG97" i="37" s="1"/>
  <c r="CE96" i="37"/>
  <c r="CG96" i="37" s="1"/>
  <c r="CE95" i="37"/>
  <c r="CG95" i="37" s="1"/>
  <c r="CG94" i="37"/>
  <c r="CE94" i="37"/>
  <c r="CE93" i="37"/>
  <c r="CG93" i="37" s="1"/>
  <c r="CE92" i="37"/>
  <c r="CG92" i="37" s="1"/>
  <c r="CE91" i="37"/>
  <c r="CG91" i="37" s="1"/>
  <c r="CG90" i="37"/>
  <c r="CE90" i="37"/>
  <c r="CE89" i="37"/>
  <c r="CG89" i="37" s="1"/>
  <c r="CG88" i="37"/>
  <c r="CE88" i="37"/>
  <c r="CE87" i="37"/>
  <c r="CG87" i="37" s="1"/>
  <c r="CE86" i="37"/>
  <c r="CG86" i="37" s="1"/>
  <c r="CE85" i="37"/>
  <c r="CG85" i="37" s="1"/>
  <c r="CE84" i="37"/>
  <c r="CG84" i="37" s="1"/>
  <c r="CE83" i="37"/>
  <c r="CG83" i="37" s="1"/>
  <c r="CG82" i="37"/>
  <c r="CE82" i="37"/>
  <c r="CE81" i="37"/>
  <c r="CG81" i="37" s="1"/>
  <c r="CG80" i="37"/>
  <c r="CE80" i="37"/>
  <c r="CE79" i="37"/>
  <c r="CG79" i="37" s="1"/>
  <c r="CE78" i="37"/>
  <c r="CG78" i="37" s="1"/>
  <c r="CE77" i="37"/>
  <c r="CG77" i="37" s="1"/>
  <c r="CE76" i="37"/>
  <c r="CG76" i="37" s="1"/>
  <c r="CE75" i="37"/>
  <c r="CG75" i="37" s="1"/>
  <c r="CG74" i="37"/>
  <c r="CE74" i="37"/>
  <c r="CE73" i="37"/>
  <c r="CG73" i="37" s="1"/>
  <c r="CE72" i="37"/>
  <c r="CG72" i="37" s="1"/>
  <c r="CE71" i="37"/>
  <c r="CG71" i="37" s="1"/>
  <c r="CE70" i="37"/>
  <c r="CG70" i="37" s="1"/>
  <c r="CE69" i="37"/>
  <c r="CG69" i="37" s="1"/>
  <c r="CE68" i="37"/>
  <c r="CG68" i="37" s="1"/>
  <c r="CE67" i="37"/>
  <c r="CG67" i="37" s="1"/>
  <c r="CE66" i="37"/>
  <c r="CG66" i="37" s="1"/>
  <c r="CE65" i="37"/>
  <c r="CG65" i="37" s="1"/>
  <c r="CE64" i="37"/>
  <c r="CG64" i="37" s="1"/>
  <c r="CE63" i="37"/>
  <c r="CG63" i="37" s="1"/>
  <c r="CE62" i="37"/>
  <c r="CG62" i="37" s="1"/>
  <c r="CE61" i="37"/>
  <c r="CG61" i="37" s="1"/>
  <c r="CG60" i="37"/>
  <c r="CE60" i="37"/>
  <c r="CE59" i="37"/>
  <c r="CG59" i="37" s="1"/>
  <c r="CG58" i="37"/>
  <c r="CE58" i="37"/>
  <c r="CE57" i="37"/>
  <c r="CG57" i="37" s="1"/>
  <c r="CE56" i="37"/>
  <c r="CG56" i="37" s="1"/>
  <c r="CE55" i="37"/>
  <c r="CG55" i="37" s="1"/>
  <c r="CE54" i="37"/>
  <c r="CG54" i="37" s="1"/>
  <c r="CE53" i="37"/>
  <c r="CG53" i="37" s="1"/>
  <c r="CG52" i="37"/>
  <c r="CE52" i="37"/>
  <c r="CE51" i="37"/>
  <c r="CG51" i="37" s="1"/>
  <c r="CG50" i="37"/>
  <c r="CE50" i="37"/>
  <c r="CE49" i="37"/>
  <c r="CG49" i="37" s="1"/>
  <c r="CE48" i="37"/>
  <c r="CG48" i="37" s="1"/>
  <c r="CE47" i="37"/>
  <c r="CG47" i="37" s="1"/>
  <c r="CG46" i="37"/>
  <c r="CE46" i="37"/>
  <c r="CE45" i="37"/>
  <c r="CG45" i="37" s="1"/>
  <c r="CG44" i="37"/>
  <c r="CE44" i="37"/>
  <c r="CE43" i="37"/>
  <c r="CG43" i="37" s="1"/>
  <c r="CE42" i="37"/>
  <c r="CG42" i="37" s="1"/>
  <c r="CE41" i="37"/>
  <c r="CG41" i="37" s="1"/>
  <c r="CE40" i="37"/>
  <c r="CG40" i="37" s="1"/>
  <c r="CE39" i="37"/>
  <c r="CG39" i="37" s="1"/>
  <c r="CG38" i="37"/>
  <c r="CE38" i="37"/>
  <c r="CE37" i="37"/>
  <c r="CG37" i="37" s="1"/>
  <c r="CE36" i="37"/>
  <c r="CG36" i="37" s="1"/>
  <c r="CE35" i="37"/>
  <c r="CG35" i="37" s="1"/>
  <c r="CE34" i="37"/>
  <c r="CG34" i="37" s="1"/>
  <c r="CE33" i="37"/>
  <c r="CG33" i="37" s="1"/>
  <c r="CG32" i="37"/>
  <c r="CE32" i="37"/>
  <c r="CE31" i="37"/>
  <c r="CG31" i="37" s="1"/>
  <c r="CG30" i="37"/>
  <c r="CE30" i="37"/>
  <c r="CE29" i="37"/>
  <c r="CG29" i="37" s="1"/>
  <c r="CE28" i="37"/>
  <c r="CG28" i="37" s="1"/>
  <c r="CE27" i="37"/>
  <c r="CG27" i="37" s="1"/>
  <c r="CE26" i="37"/>
  <c r="CG26" i="37" s="1"/>
  <c r="CE25" i="37"/>
  <c r="CG25" i="37" s="1"/>
  <c r="CG24" i="37"/>
  <c r="CE24" i="37"/>
  <c r="CE23" i="37"/>
  <c r="CG23" i="37" s="1"/>
  <c r="CE22" i="37"/>
  <c r="CG22" i="37" s="1"/>
  <c r="CE21" i="37"/>
  <c r="CG21" i="37" s="1"/>
  <c r="CE20" i="37"/>
  <c r="CG20" i="37" s="1"/>
  <c r="CE19" i="37"/>
  <c r="CG19" i="37" s="1"/>
  <c r="CG18" i="37"/>
  <c r="CE18" i="37"/>
  <c r="CE17" i="37"/>
  <c r="CG17" i="37" s="1"/>
  <c r="CG16" i="37"/>
  <c r="CE16" i="37"/>
  <c r="CE15" i="37"/>
  <c r="CG15" i="37" s="1"/>
  <c r="CE14" i="37"/>
  <c r="CG14" i="37" s="1"/>
  <c r="CE13" i="37"/>
  <c r="CG13" i="37" s="1"/>
  <c r="CE12" i="37"/>
  <c r="CG12" i="37" s="1"/>
  <c r="CE11" i="37"/>
  <c r="CG11" i="37" s="1"/>
  <c r="CE10" i="37"/>
  <c r="CG10" i="37" s="1"/>
  <c r="CE9" i="37"/>
  <c r="CG9" i="37" s="1"/>
  <c r="BZ153" i="37"/>
  <c r="CB153" i="37" s="1"/>
  <c r="BZ152" i="37"/>
  <c r="CB152" i="37" s="1"/>
  <c r="CB151" i="37"/>
  <c r="BZ151" i="37"/>
  <c r="BZ150" i="37"/>
  <c r="CB150" i="37" s="1"/>
  <c r="BZ149" i="37"/>
  <c r="CB149" i="37" s="1"/>
  <c r="CB148" i="37"/>
  <c r="BZ148" i="37"/>
  <c r="BZ147" i="37"/>
  <c r="CB147" i="37" s="1"/>
  <c r="BZ146" i="37"/>
  <c r="CB146" i="37" s="1"/>
  <c r="CB145" i="37"/>
  <c r="BZ145" i="37"/>
  <c r="BZ144" i="37"/>
  <c r="CB144" i="37" s="1"/>
  <c r="BZ143" i="37"/>
  <c r="CB143" i="37" s="1"/>
  <c r="BZ142" i="37"/>
  <c r="CB142" i="37" s="1"/>
  <c r="BZ141" i="37"/>
  <c r="CB141" i="37" s="1"/>
  <c r="BZ140" i="37"/>
  <c r="CB140" i="37" s="1"/>
  <c r="BZ139" i="37"/>
  <c r="CB139" i="37" s="1"/>
  <c r="BZ138" i="37"/>
  <c r="CB138" i="37" s="1"/>
  <c r="BZ137" i="37"/>
  <c r="CB137" i="37" s="1"/>
  <c r="BZ136" i="37"/>
  <c r="CB136" i="37" s="1"/>
  <c r="BZ135" i="37"/>
  <c r="CB135" i="37" s="1"/>
  <c r="CB134" i="37"/>
  <c r="BZ134" i="37"/>
  <c r="BZ133" i="37"/>
  <c r="CB133" i="37" s="1"/>
  <c r="CB132" i="37"/>
  <c r="BZ132" i="37"/>
  <c r="BZ131" i="37"/>
  <c r="CB131" i="37" s="1"/>
  <c r="CB130" i="37"/>
  <c r="BZ130" i="37"/>
  <c r="BZ129" i="37"/>
  <c r="CB129" i="37" s="1"/>
  <c r="CB128" i="37"/>
  <c r="BZ128" i="37"/>
  <c r="BZ127" i="37"/>
  <c r="CB127" i="37" s="1"/>
  <c r="CB126" i="37"/>
  <c r="BZ126" i="37"/>
  <c r="BZ125" i="37"/>
  <c r="CB125" i="37" s="1"/>
  <c r="BZ124" i="37"/>
  <c r="CB124" i="37" s="1"/>
  <c r="BZ123" i="37"/>
  <c r="CB123" i="37" s="1"/>
  <c r="BZ122" i="37"/>
  <c r="CB122" i="37" s="1"/>
  <c r="BZ121" i="37"/>
  <c r="CB121" i="37" s="1"/>
  <c r="BZ120" i="37"/>
  <c r="CB120" i="37" s="1"/>
  <c r="BZ119" i="37"/>
  <c r="CB119" i="37" s="1"/>
  <c r="BZ118" i="37"/>
  <c r="CB118" i="37" s="1"/>
  <c r="BZ117" i="37"/>
  <c r="CB117" i="37" s="1"/>
  <c r="BZ116" i="37"/>
  <c r="CB116" i="37" s="1"/>
  <c r="BZ115" i="37"/>
  <c r="CB115" i="37" s="1"/>
  <c r="BZ114" i="37"/>
  <c r="CB114" i="37" s="1"/>
  <c r="CB113" i="37"/>
  <c r="BZ113" i="37"/>
  <c r="BZ112" i="37"/>
  <c r="CB112" i="37" s="1"/>
  <c r="CB111" i="37"/>
  <c r="BZ111" i="37"/>
  <c r="BZ110" i="37"/>
  <c r="CB110" i="37" s="1"/>
  <c r="CB109" i="37"/>
  <c r="BZ109" i="37"/>
  <c r="BZ108" i="37"/>
  <c r="CB108" i="37" s="1"/>
  <c r="CB107" i="37"/>
  <c r="BZ107" i="37"/>
  <c r="BZ106" i="37"/>
  <c r="CB106" i="37" s="1"/>
  <c r="BZ105" i="37"/>
  <c r="CB105" i="37" s="1"/>
  <c r="BZ104" i="37"/>
  <c r="CB104" i="37" s="1"/>
  <c r="CB103" i="37"/>
  <c r="BZ103" i="37"/>
  <c r="BZ102" i="37"/>
  <c r="CB102" i="37" s="1"/>
  <c r="CB101" i="37"/>
  <c r="BZ101" i="37"/>
  <c r="BZ100" i="37"/>
  <c r="CB100" i="37" s="1"/>
  <c r="BZ99" i="37"/>
  <c r="CB99" i="37" s="1"/>
  <c r="BZ98" i="37"/>
  <c r="CB98" i="37" s="1"/>
  <c r="CB97" i="37"/>
  <c r="BZ97" i="37"/>
  <c r="BZ96" i="37"/>
  <c r="CB96" i="37" s="1"/>
  <c r="BZ95" i="37"/>
  <c r="CB95" i="37" s="1"/>
  <c r="BZ94" i="37"/>
  <c r="CB94" i="37" s="1"/>
  <c r="BZ93" i="37"/>
  <c r="CB93" i="37" s="1"/>
  <c r="BZ92" i="37"/>
  <c r="CB92" i="37" s="1"/>
  <c r="BZ91" i="37"/>
  <c r="CB91" i="37" s="1"/>
  <c r="BZ90" i="37"/>
  <c r="CB90" i="37" s="1"/>
  <c r="BZ89" i="37"/>
  <c r="CB89" i="37" s="1"/>
  <c r="BZ88" i="37"/>
  <c r="CB88" i="37" s="1"/>
  <c r="BZ87" i="37"/>
  <c r="CB87" i="37" s="1"/>
  <c r="BZ86" i="37"/>
  <c r="CB86" i="37" s="1"/>
  <c r="BZ85" i="37"/>
  <c r="CB85" i="37" s="1"/>
  <c r="BZ84" i="37"/>
  <c r="CB84" i="37" s="1"/>
  <c r="BZ83" i="37"/>
  <c r="CB83" i="37" s="1"/>
  <c r="BZ82" i="37"/>
  <c r="CB82" i="37" s="1"/>
  <c r="BZ81" i="37"/>
  <c r="CB81" i="37" s="1"/>
  <c r="BZ80" i="37"/>
  <c r="CB80" i="37" s="1"/>
  <c r="BZ79" i="37"/>
  <c r="CB79" i="37" s="1"/>
  <c r="BZ78" i="37"/>
  <c r="CB78" i="37" s="1"/>
  <c r="BZ77" i="37"/>
  <c r="CB77" i="37" s="1"/>
  <c r="BZ76" i="37"/>
  <c r="CB76" i="37" s="1"/>
  <c r="BZ75" i="37"/>
  <c r="CB75" i="37" s="1"/>
  <c r="CB74" i="37"/>
  <c r="BZ74" i="37"/>
  <c r="BZ73" i="37"/>
  <c r="CB73" i="37" s="1"/>
  <c r="BZ72" i="37"/>
  <c r="CB72" i="37" s="1"/>
  <c r="BZ71" i="37"/>
  <c r="CB71" i="37" s="1"/>
  <c r="BZ70" i="37"/>
  <c r="CB70" i="37" s="1"/>
  <c r="BZ69" i="37"/>
  <c r="CB69" i="37" s="1"/>
  <c r="BZ68" i="37"/>
  <c r="CB68" i="37" s="1"/>
  <c r="BZ67" i="37"/>
  <c r="CB67" i="37" s="1"/>
  <c r="BZ66" i="37"/>
  <c r="CB66" i="37" s="1"/>
  <c r="BZ65" i="37"/>
  <c r="CB65" i="37" s="1"/>
  <c r="BZ64" i="37"/>
  <c r="CB64" i="37" s="1"/>
  <c r="BZ63" i="37"/>
  <c r="CB63" i="37" s="1"/>
  <c r="BZ62" i="37"/>
  <c r="CB62" i="37" s="1"/>
  <c r="BZ61" i="37"/>
  <c r="CB61" i="37" s="1"/>
  <c r="BZ60" i="37"/>
  <c r="CB60" i="37" s="1"/>
  <c r="BZ59" i="37"/>
  <c r="CB59" i="37" s="1"/>
  <c r="BZ58" i="37"/>
  <c r="CB58" i="37" s="1"/>
  <c r="BZ57" i="37"/>
  <c r="CB57" i="37" s="1"/>
  <c r="BZ56" i="37"/>
  <c r="CB56" i="37" s="1"/>
  <c r="BZ55" i="37"/>
  <c r="CB55" i="37" s="1"/>
  <c r="BZ54" i="37"/>
  <c r="CB54" i="37" s="1"/>
  <c r="BZ53" i="37"/>
  <c r="CB53" i="37" s="1"/>
  <c r="BZ52" i="37"/>
  <c r="CB52" i="37" s="1"/>
  <c r="BZ51" i="37"/>
  <c r="CB51" i="37" s="1"/>
  <c r="BZ50" i="37"/>
  <c r="CB50" i="37" s="1"/>
  <c r="BZ49" i="37"/>
  <c r="CB49" i="37" s="1"/>
  <c r="BZ48" i="37"/>
  <c r="CB48" i="37" s="1"/>
  <c r="BZ47" i="37"/>
  <c r="CB47" i="37" s="1"/>
  <c r="BZ46" i="37"/>
  <c r="CB46" i="37" s="1"/>
  <c r="BZ45" i="37"/>
  <c r="CB45" i="37" s="1"/>
  <c r="BZ44" i="37"/>
  <c r="CB44" i="37" s="1"/>
  <c r="BZ43" i="37"/>
  <c r="CB43" i="37" s="1"/>
  <c r="BZ42" i="37"/>
  <c r="CB42" i="37" s="1"/>
  <c r="BZ41" i="37"/>
  <c r="CB41" i="37" s="1"/>
  <c r="BZ40" i="37"/>
  <c r="CB40" i="37" s="1"/>
  <c r="BZ39" i="37"/>
  <c r="CB39" i="37" s="1"/>
  <c r="BZ38" i="37"/>
  <c r="CB38" i="37" s="1"/>
  <c r="BZ37" i="37"/>
  <c r="CB37" i="37" s="1"/>
  <c r="BZ36" i="37"/>
  <c r="CB36" i="37" s="1"/>
  <c r="BZ35" i="37"/>
  <c r="CB35" i="37" s="1"/>
  <c r="BZ34" i="37"/>
  <c r="CB34" i="37" s="1"/>
  <c r="BZ33" i="37"/>
  <c r="CB33" i="37" s="1"/>
  <c r="BZ32" i="37"/>
  <c r="CB32" i="37" s="1"/>
  <c r="BZ31" i="37"/>
  <c r="CB31" i="37" s="1"/>
  <c r="CB30" i="37"/>
  <c r="BZ30" i="37"/>
  <c r="BZ29" i="37"/>
  <c r="CB29" i="37" s="1"/>
  <c r="BZ28" i="37"/>
  <c r="CB28" i="37" s="1"/>
  <c r="BZ27" i="37"/>
  <c r="CB27" i="37" s="1"/>
  <c r="BZ26" i="37"/>
  <c r="CB26" i="37" s="1"/>
  <c r="BZ25" i="37"/>
  <c r="CB25" i="37" s="1"/>
  <c r="BZ24" i="37"/>
  <c r="CB24" i="37" s="1"/>
  <c r="BZ23" i="37"/>
  <c r="CB23" i="37" s="1"/>
  <c r="BZ22" i="37"/>
  <c r="CB22" i="37" s="1"/>
  <c r="BZ21" i="37"/>
  <c r="CB21" i="37" s="1"/>
  <c r="BZ20" i="37"/>
  <c r="CB20" i="37" s="1"/>
  <c r="BZ19" i="37"/>
  <c r="CB19" i="37" s="1"/>
  <c r="BZ18" i="37"/>
  <c r="CB18" i="37" s="1"/>
  <c r="BZ17" i="37"/>
  <c r="CB17" i="37" s="1"/>
  <c r="BZ16" i="37"/>
  <c r="CB16" i="37" s="1"/>
  <c r="BZ15" i="37"/>
  <c r="CB15" i="37" s="1"/>
  <c r="BZ14" i="37"/>
  <c r="CB14" i="37" s="1"/>
  <c r="BZ13" i="37"/>
  <c r="CB13" i="37" s="1"/>
  <c r="BZ12" i="37"/>
  <c r="CB12" i="37" s="1"/>
  <c r="CB11" i="37"/>
  <c r="BZ10" i="37"/>
  <c r="CB10" i="37" s="1"/>
  <c r="BZ9" i="37"/>
  <c r="CB9" i="37" s="1"/>
  <c r="BU153" i="37"/>
  <c r="BW153" i="37" s="1"/>
  <c r="BW152" i="37"/>
  <c r="BU152" i="37"/>
  <c r="BU151" i="37"/>
  <c r="BW151" i="37" s="1"/>
  <c r="BW150" i="37"/>
  <c r="BU150" i="37"/>
  <c r="BU149" i="37"/>
  <c r="BW149" i="37" s="1"/>
  <c r="BW148" i="37"/>
  <c r="BU148" i="37"/>
  <c r="BU147" i="37"/>
  <c r="BW147" i="37" s="1"/>
  <c r="BW146" i="37"/>
  <c r="BU146" i="37"/>
  <c r="BW145" i="37"/>
  <c r="BU145" i="37"/>
  <c r="BU144" i="37"/>
  <c r="BW144" i="37" s="1"/>
  <c r="BU143" i="37"/>
  <c r="BW143" i="37" s="1"/>
  <c r="BW142" i="37"/>
  <c r="BU142" i="37"/>
  <c r="BU141" i="37"/>
  <c r="BW141" i="37" s="1"/>
  <c r="BU140" i="37"/>
  <c r="BW140" i="37" s="1"/>
  <c r="BU139" i="37"/>
  <c r="BW139" i="37" s="1"/>
  <c r="BU138" i="37"/>
  <c r="BW138" i="37" s="1"/>
  <c r="BU137" i="37"/>
  <c r="BW137" i="37" s="1"/>
  <c r="BW136" i="37"/>
  <c r="BU136" i="37"/>
  <c r="BU135" i="37"/>
  <c r="BW135" i="37" s="1"/>
  <c r="BW134" i="37"/>
  <c r="BU134" i="37"/>
  <c r="BU133" i="37"/>
  <c r="BW133" i="37" s="1"/>
  <c r="BW132" i="37"/>
  <c r="BU132" i="37"/>
  <c r="BU131" i="37"/>
  <c r="BW131" i="37" s="1"/>
  <c r="BW130" i="37"/>
  <c r="BU130" i="37"/>
  <c r="BU129" i="37"/>
  <c r="BW129" i="37" s="1"/>
  <c r="BW128" i="37"/>
  <c r="BU128" i="37"/>
  <c r="BU127" i="37"/>
  <c r="BW127" i="37" s="1"/>
  <c r="BW126" i="37"/>
  <c r="BU126" i="37"/>
  <c r="BU125" i="37"/>
  <c r="BW125" i="37" s="1"/>
  <c r="BU124" i="37"/>
  <c r="BW124" i="37" s="1"/>
  <c r="BU123" i="37"/>
  <c r="BW123" i="37" s="1"/>
  <c r="BU122" i="37"/>
  <c r="BW122" i="37" s="1"/>
  <c r="BU121" i="37"/>
  <c r="BW121" i="37" s="1"/>
  <c r="BU120" i="37"/>
  <c r="BW120" i="37" s="1"/>
  <c r="BU119" i="37"/>
  <c r="BW119" i="37" s="1"/>
  <c r="BU118" i="37"/>
  <c r="BW118" i="37" s="1"/>
  <c r="BU117" i="37"/>
  <c r="BW117" i="37" s="1"/>
  <c r="BU116" i="37"/>
  <c r="BW116" i="37" s="1"/>
  <c r="BU115" i="37"/>
  <c r="BW115" i="37" s="1"/>
  <c r="BU114" i="37"/>
  <c r="BW114" i="37" s="1"/>
  <c r="BU113" i="37"/>
  <c r="BW113" i="37" s="1"/>
  <c r="BU112" i="37"/>
  <c r="BW112" i="37" s="1"/>
  <c r="BU111" i="37"/>
  <c r="BW111" i="37" s="1"/>
  <c r="BU110" i="37"/>
  <c r="BW110" i="37" s="1"/>
  <c r="BU109" i="37"/>
  <c r="BW109" i="37" s="1"/>
  <c r="BU108" i="37"/>
  <c r="BW108" i="37" s="1"/>
  <c r="BU107" i="37"/>
  <c r="BW107" i="37" s="1"/>
  <c r="BU106" i="37"/>
  <c r="BW106" i="37" s="1"/>
  <c r="BW105" i="37"/>
  <c r="BU105" i="37"/>
  <c r="BU104" i="37"/>
  <c r="BW104" i="37" s="1"/>
  <c r="BU103" i="37"/>
  <c r="BW103" i="37" s="1"/>
  <c r="BU102" i="37"/>
  <c r="BW102" i="37" s="1"/>
  <c r="BW101" i="37"/>
  <c r="BU101" i="37"/>
  <c r="BU100" i="37"/>
  <c r="BW100" i="37" s="1"/>
  <c r="BU99" i="37"/>
  <c r="BW99" i="37" s="1"/>
  <c r="BU98" i="37"/>
  <c r="BW98" i="37" s="1"/>
  <c r="BU97" i="37"/>
  <c r="BW97" i="37" s="1"/>
  <c r="BU96" i="37"/>
  <c r="BW96" i="37" s="1"/>
  <c r="BU95" i="37"/>
  <c r="BW95" i="37" s="1"/>
  <c r="BU94" i="37"/>
  <c r="BW94" i="37" s="1"/>
  <c r="BU93" i="37"/>
  <c r="BW93" i="37" s="1"/>
  <c r="BU92" i="37"/>
  <c r="BW92" i="37" s="1"/>
  <c r="BU91" i="37"/>
  <c r="BW91" i="37" s="1"/>
  <c r="BU90" i="37"/>
  <c r="BW90" i="37" s="1"/>
  <c r="BW89" i="37"/>
  <c r="BU89" i="37"/>
  <c r="BU88" i="37"/>
  <c r="BW88" i="37" s="1"/>
  <c r="BU87" i="37"/>
  <c r="BW87" i="37" s="1"/>
  <c r="BU86" i="37"/>
  <c r="BW86" i="37" s="1"/>
  <c r="BU85" i="37"/>
  <c r="BW85" i="37" s="1"/>
  <c r="BU84" i="37"/>
  <c r="BW84" i="37" s="1"/>
  <c r="BU83" i="37"/>
  <c r="BW83" i="37" s="1"/>
  <c r="BU82" i="37"/>
  <c r="BW82" i="37" s="1"/>
  <c r="BU81" i="37"/>
  <c r="BW81" i="37" s="1"/>
  <c r="BU80" i="37"/>
  <c r="BW80" i="37" s="1"/>
  <c r="BU79" i="37"/>
  <c r="BW79" i="37" s="1"/>
  <c r="BU78" i="37"/>
  <c r="BW78" i="37" s="1"/>
  <c r="BU77" i="37"/>
  <c r="BW77" i="37" s="1"/>
  <c r="BU76" i="37"/>
  <c r="BW76" i="37" s="1"/>
  <c r="BU75" i="37"/>
  <c r="BW75" i="37" s="1"/>
  <c r="BU74" i="37"/>
  <c r="BW74" i="37" s="1"/>
  <c r="BU73" i="37"/>
  <c r="BW73" i="37" s="1"/>
  <c r="BU72" i="37"/>
  <c r="BW72" i="37" s="1"/>
  <c r="BU71" i="37"/>
  <c r="BW71" i="37" s="1"/>
  <c r="BU70" i="37"/>
  <c r="BW70" i="37" s="1"/>
  <c r="BU69" i="37"/>
  <c r="BW69" i="37" s="1"/>
  <c r="BU68" i="37"/>
  <c r="BW68" i="37" s="1"/>
  <c r="BU67" i="37"/>
  <c r="BW67" i="37" s="1"/>
  <c r="BU66" i="37"/>
  <c r="BW66" i="37" s="1"/>
  <c r="BU65" i="37"/>
  <c r="BW65" i="37" s="1"/>
  <c r="BU64" i="37"/>
  <c r="BW64" i="37" s="1"/>
  <c r="BU63" i="37"/>
  <c r="BW63" i="37" s="1"/>
  <c r="BU62" i="37"/>
  <c r="BW62" i="37" s="1"/>
  <c r="BU61" i="37"/>
  <c r="BW61" i="37" s="1"/>
  <c r="BU60" i="37"/>
  <c r="BW60" i="37" s="1"/>
  <c r="BU59" i="37"/>
  <c r="BW59" i="37" s="1"/>
  <c r="BU58" i="37"/>
  <c r="BW58" i="37" s="1"/>
  <c r="BU57" i="37"/>
  <c r="BW57" i="37" s="1"/>
  <c r="BU56" i="37"/>
  <c r="BW56" i="37" s="1"/>
  <c r="BU55" i="37"/>
  <c r="BW55" i="37" s="1"/>
  <c r="BW54" i="37"/>
  <c r="BU54" i="37"/>
  <c r="BU53" i="37"/>
  <c r="BW53" i="37" s="1"/>
  <c r="BU52" i="37"/>
  <c r="BW52" i="37" s="1"/>
  <c r="BU51" i="37"/>
  <c r="BW51" i="37" s="1"/>
  <c r="BU50" i="37"/>
  <c r="BW50" i="37" s="1"/>
  <c r="BU49" i="37"/>
  <c r="BW49" i="37" s="1"/>
  <c r="BU48" i="37"/>
  <c r="BW48" i="37" s="1"/>
  <c r="BU47" i="37"/>
  <c r="BW47" i="37" s="1"/>
  <c r="BU46" i="37"/>
  <c r="BW46" i="37" s="1"/>
  <c r="BU45" i="37"/>
  <c r="BW45" i="37" s="1"/>
  <c r="BU44" i="37"/>
  <c r="BW44" i="37" s="1"/>
  <c r="BU43" i="37"/>
  <c r="BW43" i="37" s="1"/>
  <c r="BU42" i="37"/>
  <c r="BW42" i="37" s="1"/>
  <c r="BU41" i="37"/>
  <c r="BW41" i="37" s="1"/>
  <c r="BU40" i="37"/>
  <c r="BW40" i="37" s="1"/>
  <c r="BU39" i="37"/>
  <c r="BW39" i="37" s="1"/>
  <c r="BU38" i="37"/>
  <c r="BW38" i="37" s="1"/>
  <c r="BU37" i="37"/>
  <c r="BW37" i="37" s="1"/>
  <c r="BU36" i="37"/>
  <c r="BW36" i="37" s="1"/>
  <c r="BU35" i="37"/>
  <c r="BW35" i="37" s="1"/>
  <c r="BU34" i="37"/>
  <c r="BW34" i="37" s="1"/>
  <c r="BU33" i="37"/>
  <c r="BW33" i="37" s="1"/>
  <c r="BU32" i="37"/>
  <c r="BW32" i="37" s="1"/>
  <c r="BU31" i="37"/>
  <c r="BW31" i="37" s="1"/>
  <c r="BU30" i="37"/>
  <c r="BW30" i="37" s="1"/>
  <c r="BU29" i="37"/>
  <c r="BW29" i="37" s="1"/>
  <c r="BU28" i="37"/>
  <c r="BW28" i="37" s="1"/>
  <c r="BU27" i="37"/>
  <c r="BW27" i="37" s="1"/>
  <c r="BU26" i="37"/>
  <c r="BW26" i="37" s="1"/>
  <c r="BU25" i="37"/>
  <c r="BW25" i="37" s="1"/>
  <c r="BU24" i="37"/>
  <c r="BW24" i="37" s="1"/>
  <c r="BU23" i="37"/>
  <c r="BW23" i="37" s="1"/>
  <c r="BU22" i="37"/>
  <c r="BW22" i="37" s="1"/>
  <c r="BU21" i="37"/>
  <c r="BW21" i="37" s="1"/>
  <c r="BU20" i="37"/>
  <c r="BW20" i="37" s="1"/>
  <c r="BU19" i="37"/>
  <c r="BW19" i="37" s="1"/>
  <c r="BU18" i="37"/>
  <c r="BW18" i="37" s="1"/>
  <c r="BU17" i="37"/>
  <c r="BW17" i="37" s="1"/>
  <c r="BU16" i="37"/>
  <c r="BW16" i="37" s="1"/>
  <c r="BU15" i="37"/>
  <c r="BW15" i="37" s="1"/>
  <c r="BU14" i="37"/>
  <c r="BW14" i="37" s="1"/>
  <c r="BU13" i="37"/>
  <c r="BW13" i="37" s="1"/>
  <c r="BU12" i="37"/>
  <c r="BW12" i="37" s="1"/>
  <c r="BU11" i="37"/>
  <c r="BW11" i="37" s="1"/>
  <c r="BU10" i="37"/>
  <c r="BW10" i="37" s="1"/>
  <c r="BU9" i="37"/>
  <c r="BW9" i="37" s="1"/>
  <c r="BR153" i="37"/>
  <c r="BP153" i="37"/>
  <c r="BP152" i="37"/>
  <c r="BR152" i="37" s="1"/>
  <c r="BR151" i="37"/>
  <c r="BP151" i="37"/>
  <c r="BP150" i="37"/>
  <c r="BR150" i="37" s="1"/>
  <c r="BP149" i="37"/>
  <c r="BR149" i="37" s="1"/>
  <c r="BP148" i="37"/>
  <c r="BR148" i="37" s="1"/>
  <c r="BR147" i="37"/>
  <c r="BP147" i="37"/>
  <c r="BP146" i="37"/>
  <c r="BR146" i="37" s="1"/>
  <c r="BR145" i="37"/>
  <c r="BP145" i="37"/>
  <c r="BP144" i="37"/>
  <c r="BR144" i="37" s="1"/>
  <c r="BR143" i="37"/>
  <c r="BP143" i="37"/>
  <c r="BP142" i="37"/>
  <c r="BR142" i="37" s="1"/>
  <c r="BP141" i="37"/>
  <c r="BR141" i="37" s="1"/>
  <c r="BP140" i="37"/>
  <c r="BR140" i="37" s="1"/>
  <c r="BR139" i="37"/>
  <c r="BP139" i="37"/>
  <c r="BP138" i="37"/>
  <c r="BR138" i="37" s="1"/>
  <c r="BR137" i="37"/>
  <c r="BP137" i="37"/>
  <c r="BP136" i="37"/>
  <c r="BR136" i="37" s="1"/>
  <c r="BR135" i="37"/>
  <c r="BP135" i="37"/>
  <c r="BP134" i="37"/>
  <c r="BR134" i="37" s="1"/>
  <c r="BR133" i="37"/>
  <c r="BP133" i="37"/>
  <c r="BP132" i="37"/>
  <c r="BR132" i="37" s="1"/>
  <c r="BR131" i="37"/>
  <c r="BP131" i="37"/>
  <c r="BP130" i="37"/>
  <c r="BR130" i="37" s="1"/>
  <c r="BR129" i="37"/>
  <c r="BP129" i="37"/>
  <c r="BP128" i="37"/>
  <c r="BR128" i="37" s="1"/>
  <c r="BR127" i="37"/>
  <c r="BP127" i="37"/>
  <c r="BP126" i="37"/>
  <c r="BR126" i="37" s="1"/>
  <c r="BR125" i="37"/>
  <c r="BP125" i="37"/>
  <c r="BP124" i="37"/>
  <c r="BR124" i="37" s="1"/>
  <c r="BP123" i="37"/>
  <c r="BR123" i="37" s="1"/>
  <c r="BP122" i="37"/>
  <c r="BR122" i="37" s="1"/>
  <c r="BP121" i="37"/>
  <c r="BR121" i="37" s="1"/>
  <c r="BP120" i="37"/>
  <c r="BR120" i="37" s="1"/>
  <c r="BP119" i="37"/>
  <c r="BR119" i="37" s="1"/>
  <c r="BP118" i="37"/>
  <c r="BR118" i="37" s="1"/>
  <c r="BP117" i="37"/>
  <c r="BR117" i="37" s="1"/>
  <c r="BP116" i="37"/>
  <c r="BR116" i="37" s="1"/>
  <c r="BP115" i="37"/>
  <c r="BR115" i="37" s="1"/>
  <c r="BP114" i="37"/>
  <c r="BR114" i="37" s="1"/>
  <c r="BP113" i="37"/>
  <c r="BR113" i="37" s="1"/>
  <c r="BP112" i="37"/>
  <c r="BR112" i="37" s="1"/>
  <c r="BP111" i="37"/>
  <c r="BR111" i="37" s="1"/>
  <c r="BP110" i="37"/>
  <c r="BR110" i="37" s="1"/>
  <c r="BR109" i="37"/>
  <c r="BP109" i="37"/>
  <c r="BP108" i="37"/>
  <c r="BR108" i="37" s="1"/>
  <c r="BP107" i="37"/>
  <c r="BR107" i="37" s="1"/>
  <c r="BP106" i="37"/>
  <c r="BR106" i="37" s="1"/>
  <c r="BP105" i="37"/>
  <c r="BR105" i="37" s="1"/>
  <c r="BP104" i="37"/>
  <c r="BR104" i="37" s="1"/>
  <c r="BP103" i="37"/>
  <c r="BR103" i="37" s="1"/>
  <c r="BP102" i="37"/>
  <c r="BR102" i="37" s="1"/>
  <c r="BP101" i="37"/>
  <c r="BR101" i="37" s="1"/>
  <c r="BP100" i="37"/>
  <c r="BR100" i="37" s="1"/>
  <c r="BP99" i="37"/>
  <c r="BR99" i="37" s="1"/>
  <c r="BP98" i="37"/>
  <c r="BR98" i="37" s="1"/>
  <c r="BP97" i="37"/>
  <c r="BR97" i="37" s="1"/>
  <c r="BP96" i="37"/>
  <c r="BR96" i="37" s="1"/>
  <c r="BP95" i="37"/>
  <c r="BR95" i="37" s="1"/>
  <c r="BP94" i="37"/>
  <c r="BR94" i="37" s="1"/>
  <c r="BP93" i="37"/>
  <c r="BR93" i="37" s="1"/>
  <c r="BP92" i="37"/>
  <c r="BR92" i="37" s="1"/>
  <c r="BP91" i="37"/>
  <c r="BR91" i="37" s="1"/>
  <c r="BP90" i="37"/>
  <c r="BR90" i="37" s="1"/>
  <c r="BP89" i="37"/>
  <c r="BR89" i="37" s="1"/>
  <c r="BP88" i="37"/>
  <c r="BR88" i="37" s="1"/>
  <c r="BP87" i="37"/>
  <c r="BR87" i="37" s="1"/>
  <c r="BP86" i="37"/>
  <c r="BR86" i="37" s="1"/>
  <c r="BP85" i="37"/>
  <c r="BR85" i="37" s="1"/>
  <c r="BP84" i="37"/>
  <c r="BR84" i="37" s="1"/>
  <c r="BP83" i="37"/>
  <c r="BR83" i="37" s="1"/>
  <c r="BP82" i="37"/>
  <c r="BR82" i="37" s="1"/>
  <c r="BP81" i="37"/>
  <c r="BR81" i="37" s="1"/>
  <c r="BP80" i="37"/>
  <c r="BR80" i="37" s="1"/>
  <c r="BP79" i="37"/>
  <c r="BR79" i="37" s="1"/>
  <c r="BP78" i="37"/>
  <c r="BR78" i="37" s="1"/>
  <c r="BP77" i="37"/>
  <c r="BR77" i="37" s="1"/>
  <c r="BP76" i="37"/>
  <c r="BR76" i="37" s="1"/>
  <c r="BP75" i="37"/>
  <c r="BR75" i="37" s="1"/>
  <c r="BP74" i="37"/>
  <c r="BR74" i="37" s="1"/>
  <c r="BP73" i="37"/>
  <c r="BR73" i="37" s="1"/>
  <c r="BP72" i="37"/>
  <c r="BR72" i="37" s="1"/>
  <c r="BP71" i="37"/>
  <c r="BR71" i="37" s="1"/>
  <c r="BP70" i="37"/>
  <c r="BR70" i="37" s="1"/>
  <c r="BP69" i="37"/>
  <c r="BR69" i="37" s="1"/>
  <c r="BP68" i="37"/>
  <c r="BR68" i="37" s="1"/>
  <c r="BP67" i="37"/>
  <c r="BR67" i="37" s="1"/>
  <c r="BP66" i="37"/>
  <c r="BR66" i="37" s="1"/>
  <c r="BP65" i="37"/>
  <c r="BR65" i="37" s="1"/>
  <c r="BP64" i="37"/>
  <c r="BR64" i="37" s="1"/>
  <c r="BP63" i="37"/>
  <c r="BR63" i="37" s="1"/>
  <c r="BP62" i="37"/>
  <c r="BR62" i="37" s="1"/>
  <c r="BP61" i="37"/>
  <c r="BR61" i="37" s="1"/>
  <c r="BP60" i="37"/>
  <c r="BR60" i="37" s="1"/>
  <c r="BP59" i="37"/>
  <c r="BR59" i="37" s="1"/>
  <c r="BP58" i="37"/>
  <c r="BR58" i="37" s="1"/>
  <c r="BP57" i="37"/>
  <c r="BR57" i="37" s="1"/>
  <c r="BP56" i="37"/>
  <c r="BR56" i="37" s="1"/>
  <c r="BP55" i="37"/>
  <c r="BR55" i="37" s="1"/>
  <c r="BP54" i="37"/>
  <c r="BR54" i="37" s="1"/>
  <c r="BP53" i="37"/>
  <c r="BR53" i="37" s="1"/>
  <c r="BP52" i="37"/>
  <c r="BR52" i="37" s="1"/>
  <c r="BP51" i="37"/>
  <c r="BR51" i="37" s="1"/>
  <c r="BP50" i="37"/>
  <c r="BR50" i="37" s="1"/>
  <c r="BP49" i="37"/>
  <c r="BR49" i="37" s="1"/>
  <c r="BP48" i="37"/>
  <c r="BR48" i="37" s="1"/>
  <c r="BP47" i="37"/>
  <c r="BR47" i="37" s="1"/>
  <c r="BP46" i="37"/>
  <c r="BR46" i="37" s="1"/>
  <c r="BP45" i="37"/>
  <c r="BR45" i="37" s="1"/>
  <c r="BP44" i="37"/>
  <c r="BR44" i="37" s="1"/>
  <c r="BP43" i="37"/>
  <c r="BR43" i="37" s="1"/>
  <c r="BP42" i="37"/>
  <c r="BR42" i="37" s="1"/>
  <c r="BP41" i="37"/>
  <c r="BR41" i="37" s="1"/>
  <c r="BP40" i="37"/>
  <c r="BR40" i="37" s="1"/>
  <c r="BP39" i="37"/>
  <c r="BR39" i="37" s="1"/>
  <c r="BP38" i="37"/>
  <c r="BR38" i="37" s="1"/>
  <c r="BP37" i="37"/>
  <c r="BR37" i="37" s="1"/>
  <c r="BP36" i="37"/>
  <c r="BR36" i="37" s="1"/>
  <c r="BP35" i="37"/>
  <c r="BR35" i="37" s="1"/>
  <c r="BP34" i="37"/>
  <c r="BR34" i="37" s="1"/>
  <c r="BP33" i="37"/>
  <c r="BR33" i="37" s="1"/>
  <c r="BP32" i="37"/>
  <c r="BR32" i="37" s="1"/>
  <c r="BP31" i="37"/>
  <c r="BR31" i="37" s="1"/>
  <c r="BP30" i="37"/>
  <c r="BR30" i="37" s="1"/>
  <c r="BP29" i="37"/>
  <c r="BR29" i="37" s="1"/>
  <c r="BP28" i="37"/>
  <c r="BR28" i="37" s="1"/>
  <c r="BP27" i="37"/>
  <c r="BR27" i="37" s="1"/>
  <c r="BR26" i="37"/>
  <c r="BP26" i="37"/>
  <c r="BP25" i="37"/>
  <c r="BR25" i="37" s="1"/>
  <c r="BP24" i="37"/>
  <c r="BR24" i="37" s="1"/>
  <c r="BP23" i="37"/>
  <c r="BR23" i="37" s="1"/>
  <c r="BP22" i="37"/>
  <c r="BR22" i="37" s="1"/>
  <c r="BP21" i="37"/>
  <c r="BR21" i="37" s="1"/>
  <c r="BP20" i="37"/>
  <c r="BR20" i="37" s="1"/>
  <c r="BP19" i="37"/>
  <c r="BR19" i="37" s="1"/>
  <c r="BP18" i="37"/>
  <c r="BR18" i="37" s="1"/>
  <c r="BP17" i="37"/>
  <c r="BR17" i="37" s="1"/>
  <c r="BP16" i="37"/>
  <c r="BR16" i="37" s="1"/>
  <c r="BP15" i="37"/>
  <c r="BR15" i="37" s="1"/>
  <c r="BP14" i="37"/>
  <c r="BR14" i="37" s="1"/>
  <c r="BP13" i="37"/>
  <c r="BR13" i="37" s="1"/>
  <c r="BP12" i="37"/>
  <c r="BR12" i="37" s="1"/>
  <c r="BP11" i="37"/>
  <c r="BR11" i="37" s="1"/>
  <c r="BP10" i="37"/>
  <c r="BR10" i="37" s="1"/>
  <c r="BP9" i="37"/>
  <c r="BR9" i="37" s="1"/>
  <c r="BK153" i="37"/>
  <c r="BM153" i="37" s="1"/>
  <c r="BK152" i="37"/>
  <c r="BM152" i="37" s="1"/>
  <c r="BK151" i="37"/>
  <c r="BM151" i="37" s="1"/>
  <c r="BK150" i="37"/>
  <c r="BM150" i="37" s="1"/>
  <c r="BK149" i="37"/>
  <c r="BM149" i="37" s="1"/>
  <c r="BK148" i="37"/>
  <c r="BM148" i="37" s="1"/>
  <c r="BK147" i="37"/>
  <c r="BM147" i="37" s="1"/>
  <c r="BK146" i="37"/>
  <c r="BM146" i="37" s="1"/>
  <c r="BM145" i="37"/>
  <c r="BK145" i="37"/>
  <c r="BK144" i="37"/>
  <c r="BM144" i="37" s="1"/>
  <c r="BM143" i="37"/>
  <c r="BK143" i="37"/>
  <c r="BM142" i="37"/>
  <c r="BK142" i="37"/>
  <c r="BK141" i="37"/>
  <c r="BM141" i="37" s="1"/>
  <c r="BK140" i="37"/>
  <c r="BM140" i="37" s="1"/>
  <c r="BK139" i="37"/>
  <c r="BM139" i="37" s="1"/>
  <c r="BK138" i="37"/>
  <c r="BM138" i="37" s="1"/>
  <c r="BM137" i="37"/>
  <c r="BK137" i="37"/>
  <c r="BK136" i="37"/>
  <c r="BM136" i="37" s="1"/>
  <c r="BM135" i="37"/>
  <c r="BK135" i="37"/>
  <c r="BK134" i="37"/>
  <c r="BM134" i="37" s="1"/>
  <c r="BM133" i="37"/>
  <c r="BK133" i="37"/>
  <c r="BK132" i="37"/>
  <c r="BM132" i="37" s="1"/>
  <c r="BM131" i="37"/>
  <c r="BK131" i="37"/>
  <c r="BK130" i="37"/>
  <c r="BM130" i="37" s="1"/>
  <c r="BK129" i="37"/>
  <c r="BM129" i="37" s="1"/>
  <c r="BK128" i="37"/>
  <c r="BM128" i="37" s="1"/>
  <c r="BK127" i="37"/>
  <c r="BM127" i="37" s="1"/>
  <c r="BK126" i="37"/>
  <c r="BM126" i="37" s="1"/>
  <c r="BK125" i="37"/>
  <c r="BM125" i="37" s="1"/>
  <c r="BK124" i="37"/>
  <c r="BM124" i="37" s="1"/>
  <c r="BK123" i="37"/>
  <c r="BM123" i="37" s="1"/>
  <c r="BK122" i="37"/>
  <c r="BM122" i="37" s="1"/>
  <c r="BK121" i="37"/>
  <c r="BM121" i="37" s="1"/>
  <c r="BK120" i="37"/>
  <c r="BM120" i="37" s="1"/>
  <c r="BK119" i="37"/>
  <c r="BM119" i="37" s="1"/>
  <c r="BK118" i="37"/>
  <c r="BM118" i="37" s="1"/>
  <c r="BK117" i="37"/>
  <c r="BM117" i="37" s="1"/>
  <c r="BK116" i="37"/>
  <c r="BM116" i="37" s="1"/>
  <c r="BK115" i="37"/>
  <c r="BM115" i="37" s="1"/>
  <c r="BK114" i="37"/>
  <c r="BM114" i="37" s="1"/>
  <c r="BK113" i="37"/>
  <c r="BM113" i="37" s="1"/>
  <c r="BK112" i="37"/>
  <c r="BM112" i="37" s="1"/>
  <c r="BK111" i="37"/>
  <c r="BM111" i="37" s="1"/>
  <c r="BK110" i="37"/>
  <c r="BM110" i="37" s="1"/>
  <c r="BK109" i="37"/>
  <c r="BM109" i="37" s="1"/>
  <c r="BK108" i="37"/>
  <c r="BM108" i="37" s="1"/>
  <c r="BK107" i="37"/>
  <c r="BM107" i="37" s="1"/>
  <c r="BK106" i="37"/>
  <c r="BM106" i="37" s="1"/>
  <c r="BK105" i="37"/>
  <c r="BM105" i="37" s="1"/>
  <c r="BK104" i="37"/>
  <c r="BM104" i="37" s="1"/>
  <c r="BK103" i="37"/>
  <c r="BM103" i="37" s="1"/>
  <c r="BK102" i="37"/>
  <c r="BM102" i="37" s="1"/>
  <c r="BK101" i="37"/>
  <c r="BM101" i="37" s="1"/>
  <c r="BK100" i="37"/>
  <c r="BM100" i="37" s="1"/>
  <c r="BK99" i="37"/>
  <c r="BM99" i="37" s="1"/>
  <c r="BK98" i="37"/>
  <c r="BM98" i="37" s="1"/>
  <c r="BM97" i="37"/>
  <c r="BK97" i="37"/>
  <c r="BK96" i="37"/>
  <c r="BM96" i="37" s="1"/>
  <c r="BK95" i="37"/>
  <c r="BM95" i="37" s="1"/>
  <c r="BK94" i="37"/>
  <c r="BM94" i="37" s="1"/>
  <c r="BK93" i="37"/>
  <c r="BM93" i="37" s="1"/>
  <c r="BK92" i="37"/>
  <c r="BM92" i="37" s="1"/>
  <c r="BK91" i="37"/>
  <c r="BM91" i="37" s="1"/>
  <c r="BK90" i="37"/>
  <c r="BM90" i="37" s="1"/>
  <c r="BK89" i="37"/>
  <c r="BM89" i="37" s="1"/>
  <c r="BK88" i="37"/>
  <c r="BM88" i="37" s="1"/>
  <c r="BK87" i="37"/>
  <c r="BM87" i="37" s="1"/>
  <c r="BK86" i="37"/>
  <c r="BM86" i="37" s="1"/>
  <c r="BK85" i="37"/>
  <c r="BM85" i="37" s="1"/>
  <c r="BK84" i="37"/>
  <c r="BM84" i="37" s="1"/>
  <c r="BK83" i="37"/>
  <c r="BM83" i="37" s="1"/>
  <c r="BK82" i="37"/>
  <c r="BM82" i="37" s="1"/>
  <c r="BK81" i="37"/>
  <c r="BM81" i="37" s="1"/>
  <c r="BK80" i="37"/>
  <c r="BM80" i="37" s="1"/>
  <c r="BK79" i="37"/>
  <c r="BM79" i="37" s="1"/>
  <c r="BK78" i="37"/>
  <c r="BM78" i="37" s="1"/>
  <c r="BK77" i="37"/>
  <c r="BM77" i="37" s="1"/>
  <c r="BK76" i="37"/>
  <c r="BM76" i="37" s="1"/>
  <c r="BK75" i="37"/>
  <c r="BM75" i="37" s="1"/>
  <c r="BK74" i="37"/>
  <c r="BM74" i="37" s="1"/>
  <c r="BK73" i="37"/>
  <c r="BM73" i="37" s="1"/>
  <c r="BK72" i="37"/>
  <c r="BM72" i="37" s="1"/>
  <c r="BK71" i="37"/>
  <c r="BM71" i="37" s="1"/>
  <c r="BK70" i="37"/>
  <c r="BM70" i="37" s="1"/>
  <c r="BK69" i="37"/>
  <c r="BM69" i="37" s="1"/>
  <c r="BK68" i="37"/>
  <c r="BM68" i="37" s="1"/>
  <c r="BK67" i="37"/>
  <c r="BM67" i="37" s="1"/>
  <c r="BK66" i="37"/>
  <c r="BM66" i="37" s="1"/>
  <c r="BK65" i="37"/>
  <c r="BM65" i="37" s="1"/>
  <c r="BK64" i="37"/>
  <c r="BM64" i="37" s="1"/>
  <c r="BK63" i="37"/>
  <c r="BM63" i="37" s="1"/>
  <c r="BK62" i="37"/>
  <c r="BM62" i="37" s="1"/>
  <c r="BK61" i="37"/>
  <c r="BM61" i="37" s="1"/>
  <c r="BK60" i="37"/>
  <c r="BM60" i="37" s="1"/>
  <c r="BK59" i="37"/>
  <c r="BM59" i="37" s="1"/>
  <c r="BK58" i="37"/>
  <c r="BM58" i="37" s="1"/>
  <c r="BK57" i="37"/>
  <c r="BM57" i="37" s="1"/>
  <c r="BK56" i="37"/>
  <c r="BM56" i="37" s="1"/>
  <c r="BK55" i="37"/>
  <c r="BM55" i="37" s="1"/>
  <c r="BK54" i="37"/>
  <c r="BM54" i="37" s="1"/>
  <c r="BK53" i="37"/>
  <c r="BM53" i="37" s="1"/>
  <c r="BK52" i="37"/>
  <c r="BM52" i="37" s="1"/>
  <c r="BK51" i="37"/>
  <c r="BM51" i="37" s="1"/>
  <c r="BK50" i="37"/>
  <c r="BM50" i="37" s="1"/>
  <c r="BK49" i="37"/>
  <c r="BM49" i="37" s="1"/>
  <c r="BK48" i="37"/>
  <c r="BM48" i="37" s="1"/>
  <c r="BK47" i="37"/>
  <c r="BM47" i="37" s="1"/>
  <c r="BK46" i="37"/>
  <c r="BM46" i="37" s="1"/>
  <c r="BK45" i="37"/>
  <c r="BM45" i="37" s="1"/>
  <c r="BK44" i="37"/>
  <c r="BM44" i="37" s="1"/>
  <c r="BK43" i="37"/>
  <c r="BM43" i="37" s="1"/>
  <c r="BK42" i="37"/>
  <c r="BM42" i="37" s="1"/>
  <c r="BK41" i="37"/>
  <c r="BM41" i="37" s="1"/>
  <c r="BK40" i="37"/>
  <c r="BM40" i="37" s="1"/>
  <c r="BK39" i="37"/>
  <c r="BM39" i="37" s="1"/>
  <c r="BK38" i="37"/>
  <c r="BM38" i="37" s="1"/>
  <c r="BK37" i="37"/>
  <c r="BM37" i="37" s="1"/>
  <c r="BK36" i="37"/>
  <c r="BM36" i="37" s="1"/>
  <c r="BK35" i="37"/>
  <c r="BM35" i="37" s="1"/>
  <c r="BK34" i="37"/>
  <c r="BM34" i="37" s="1"/>
  <c r="BK33" i="37"/>
  <c r="BM33" i="37" s="1"/>
  <c r="BK32" i="37"/>
  <c r="BM32" i="37" s="1"/>
  <c r="BK31" i="37"/>
  <c r="BM31" i="37" s="1"/>
  <c r="BK30" i="37"/>
  <c r="BM30" i="37" s="1"/>
  <c r="BK29" i="37"/>
  <c r="BM29" i="37" s="1"/>
  <c r="BK28" i="37"/>
  <c r="BM28" i="37" s="1"/>
  <c r="BK27" i="37"/>
  <c r="BM27" i="37" s="1"/>
  <c r="BK26" i="37"/>
  <c r="BM26" i="37" s="1"/>
  <c r="BK25" i="37"/>
  <c r="BM25" i="37" s="1"/>
  <c r="BK24" i="37"/>
  <c r="BM24" i="37" s="1"/>
  <c r="BK23" i="37"/>
  <c r="BM23" i="37" s="1"/>
  <c r="BK22" i="37"/>
  <c r="BM22" i="37" s="1"/>
  <c r="BK21" i="37"/>
  <c r="BM21" i="37" s="1"/>
  <c r="BK20" i="37"/>
  <c r="BM20" i="37" s="1"/>
  <c r="BK19" i="37"/>
  <c r="BM19" i="37" s="1"/>
  <c r="BK18" i="37"/>
  <c r="BM18" i="37" s="1"/>
  <c r="BK17" i="37"/>
  <c r="BM17" i="37" s="1"/>
  <c r="BK16" i="37"/>
  <c r="BM16" i="37" s="1"/>
  <c r="BK15" i="37"/>
  <c r="BM15" i="37" s="1"/>
  <c r="BK14" i="37"/>
  <c r="BM14" i="37" s="1"/>
  <c r="BK13" i="37"/>
  <c r="BM13" i="37" s="1"/>
  <c r="BK12" i="37"/>
  <c r="BM12" i="37" s="1"/>
  <c r="BK11" i="37"/>
  <c r="BM11" i="37" s="1"/>
  <c r="BK10" i="37"/>
  <c r="BM10" i="37" s="1"/>
  <c r="BK9" i="37"/>
  <c r="BM9" i="37" s="1"/>
  <c r="BF153" i="37"/>
  <c r="BH153" i="37" s="1"/>
  <c r="BH152" i="37"/>
  <c r="BF152" i="37"/>
  <c r="BF151" i="37"/>
  <c r="BH151" i="37" s="1"/>
  <c r="BF150" i="37"/>
  <c r="BH150" i="37" s="1"/>
  <c r="BF149" i="37"/>
  <c r="BH149" i="37" s="1"/>
  <c r="BH148" i="37"/>
  <c r="BF148" i="37"/>
  <c r="BF147" i="37"/>
  <c r="BH147" i="37" s="1"/>
  <c r="BH146" i="37"/>
  <c r="BF146" i="37"/>
  <c r="BF145" i="37"/>
  <c r="BH145" i="37" s="1"/>
  <c r="BH144" i="37"/>
  <c r="BF144" i="37"/>
  <c r="BF143" i="37"/>
  <c r="BH143" i="37" s="1"/>
  <c r="BH142" i="37"/>
  <c r="BF142" i="37"/>
  <c r="BF141" i="37"/>
  <c r="BH141" i="37" s="1"/>
  <c r="BF140" i="37"/>
  <c r="BH140" i="37" s="1"/>
  <c r="BF139" i="37"/>
  <c r="BH139" i="37" s="1"/>
  <c r="BF138" i="37"/>
  <c r="BH138" i="37" s="1"/>
  <c r="BH137" i="37"/>
  <c r="BF137" i="37"/>
  <c r="BF136" i="37"/>
  <c r="BH136" i="37" s="1"/>
  <c r="BH135" i="37"/>
  <c r="BF135" i="37"/>
  <c r="BF134" i="37"/>
  <c r="BH134" i="37" s="1"/>
  <c r="BH133" i="37"/>
  <c r="BF133" i="37"/>
  <c r="BF132" i="37"/>
  <c r="BH132" i="37" s="1"/>
  <c r="BH131" i="37"/>
  <c r="BF131" i="37"/>
  <c r="BF130" i="37"/>
  <c r="BH130" i="37" s="1"/>
  <c r="BH129" i="37"/>
  <c r="BF129" i="37"/>
  <c r="BF128" i="37"/>
  <c r="BH128" i="37" s="1"/>
  <c r="BH127" i="37"/>
  <c r="BF127" i="37"/>
  <c r="BF126" i="37"/>
  <c r="BH126" i="37" s="1"/>
  <c r="BF125" i="37"/>
  <c r="BH125" i="37" s="1"/>
  <c r="BF124" i="37"/>
  <c r="BH124" i="37" s="1"/>
  <c r="BF123" i="37"/>
  <c r="BH123" i="37" s="1"/>
  <c r="BF122" i="37"/>
  <c r="BH122" i="37" s="1"/>
  <c r="BF121" i="37"/>
  <c r="BH121" i="37" s="1"/>
  <c r="BF120" i="37"/>
  <c r="BH120" i="37" s="1"/>
  <c r="BF119" i="37"/>
  <c r="BH119" i="37" s="1"/>
  <c r="BF118" i="37"/>
  <c r="BH118" i="37" s="1"/>
  <c r="BF117" i="37"/>
  <c r="BH117" i="37" s="1"/>
  <c r="BF116" i="37"/>
  <c r="BH116" i="37" s="1"/>
  <c r="BF115" i="37"/>
  <c r="BH115" i="37" s="1"/>
  <c r="BF114" i="37"/>
  <c r="BH114" i="37" s="1"/>
  <c r="BF113" i="37"/>
  <c r="BH113" i="37" s="1"/>
  <c r="BH112" i="37"/>
  <c r="BF112" i="37"/>
  <c r="BF111" i="37"/>
  <c r="BH111" i="37" s="1"/>
  <c r="BF110" i="37"/>
  <c r="BH110" i="37" s="1"/>
  <c r="BF109" i="37"/>
  <c r="BH109" i="37" s="1"/>
  <c r="BF108" i="37"/>
  <c r="BH108" i="37" s="1"/>
  <c r="BF107" i="37"/>
  <c r="BH107" i="37" s="1"/>
  <c r="BF106" i="37"/>
  <c r="BH106" i="37" s="1"/>
  <c r="BF105" i="37"/>
  <c r="BH105" i="37" s="1"/>
  <c r="BF104" i="37"/>
  <c r="BH104" i="37" s="1"/>
  <c r="BF103" i="37"/>
  <c r="BH103" i="37" s="1"/>
  <c r="BF102" i="37"/>
  <c r="BH102" i="37" s="1"/>
  <c r="BF101" i="37"/>
  <c r="BH101" i="37" s="1"/>
  <c r="BF100" i="37"/>
  <c r="BH100" i="37" s="1"/>
  <c r="BF99" i="37"/>
  <c r="BH99" i="37" s="1"/>
  <c r="BF98" i="37"/>
  <c r="BH98" i="37" s="1"/>
  <c r="BF97" i="37"/>
  <c r="BH97" i="37" s="1"/>
  <c r="BF96" i="37"/>
  <c r="BH96" i="37" s="1"/>
  <c r="BF95" i="37"/>
  <c r="BH95" i="37" s="1"/>
  <c r="BF94" i="37"/>
  <c r="BH94" i="37" s="1"/>
  <c r="BF93" i="37"/>
  <c r="BH93" i="37" s="1"/>
  <c r="BF92" i="37"/>
  <c r="BH92" i="37" s="1"/>
  <c r="BF91" i="37"/>
  <c r="BH91" i="37" s="1"/>
  <c r="BF90" i="37"/>
  <c r="BH90" i="37" s="1"/>
  <c r="BF89" i="37"/>
  <c r="BH89" i="37" s="1"/>
  <c r="BF88" i="37"/>
  <c r="BH88" i="37" s="1"/>
  <c r="BF87" i="37"/>
  <c r="BH87" i="37" s="1"/>
  <c r="BF86" i="37"/>
  <c r="BH86" i="37" s="1"/>
  <c r="BF85" i="37"/>
  <c r="BH85" i="37" s="1"/>
  <c r="BF84" i="37"/>
  <c r="BH84" i="37" s="1"/>
  <c r="BF83" i="37"/>
  <c r="BH83" i="37" s="1"/>
  <c r="BF82" i="37"/>
  <c r="BH82" i="37" s="1"/>
  <c r="BF81" i="37"/>
  <c r="BH81" i="37" s="1"/>
  <c r="BF80" i="37"/>
  <c r="BH80" i="37" s="1"/>
  <c r="BF79" i="37"/>
  <c r="BH79" i="37" s="1"/>
  <c r="BF78" i="37"/>
  <c r="BH78" i="37" s="1"/>
  <c r="BH77" i="37"/>
  <c r="BF77" i="37"/>
  <c r="BF76" i="37"/>
  <c r="BH76" i="37" s="1"/>
  <c r="BF75" i="37"/>
  <c r="BH75" i="37" s="1"/>
  <c r="BF74" i="37"/>
  <c r="BH74" i="37" s="1"/>
  <c r="BF73" i="37"/>
  <c r="BH73" i="37" s="1"/>
  <c r="BF72" i="37"/>
  <c r="BH72" i="37" s="1"/>
  <c r="BF71" i="37"/>
  <c r="BH71" i="37" s="1"/>
  <c r="BF70" i="37"/>
  <c r="BH70" i="37" s="1"/>
  <c r="BF69" i="37"/>
  <c r="BH69" i="37" s="1"/>
  <c r="BF68" i="37"/>
  <c r="BH68" i="37" s="1"/>
  <c r="BF67" i="37"/>
  <c r="BH67" i="37" s="1"/>
  <c r="BF66" i="37"/>
  <c r="BH66" i="37" s="1"/>
  <c r="BF65" i="37"/>
  <c r="BH65" i="37" s="1"/>
  <c r="BF64" i="37"/>
  <c r="BH64" i="37" s="1"/>
  <c r="BF63" i="37"/>
  <c r="BH63" i="37" s="1"/>
  <c r="BF62" i="37"/>
  <c r="BH62" i="37" s="1"/>
  <c r="BF61" i="37"/>
  <c r="BH61" i="37" s="1"/>
  <c r="BF60" i="37"/>
  <c r="BH60" i="37" s="1"/>
  <c r="BF59" i="37"/>
  <c r="BH59" i="37" s="1"/>
  <c r="BF58" i="37"/>
  <c r="BH58" i="37" s="1"/>
  <c r="BF57" i="37"/>
  <c r="BH57" i="37" s="1"/>
  <c r="BF56" i="37"/>
  <c r="BH56" i="37" s="1"/>
  <c r="BF55" i="37"/>
  <c r="BH55" i="37" s="1"/>
  <c r="BF54" i="37"/>
  <c r="BH54" i="37" s="1"/>
  <c r="BF53" i="37"/>
  <c r="BH53" i="37" s="1"/>
  <c r="BF52" i="37"/>
  <c r="BH52" i="37" s="1"/>
  <c r="BF51" i="37"/>
  <c r="BH51" i="37" s="1"/>
  <c r="BF50" i="37"/>
  <c r="BH50" i="37" s="1"/>
  <c r="BF49" i="37"/>
  <c r="BH49" i="37" s="1"/>
  <c r="BF48" i="37"/>
  <c r="BH48" i="37" s="1"/>
  <c r="BF47" i="37"/>
  <c r="BH47" i="37" s="1"/>
  <c r="BF46" i="37"/>
  <c r="BH46" i="37" s="1"/>
  <c r="BF45" i="37"/>
  <c r="BH45" i="37" s="1"/>
  <c r="BF44" i="37"/>
  <c r="BH44" i="37" s="1"/>
  <c r="BF43" i="37"/>
  <c r="BH43" i="37" s="1"/>
  <c r="BF42" i="37"/>
  <c r="BH42" i="37" s="1"/>
  <c r="BF41" i="37"/>
  <c r="BH41" i="37" s="1"/>
  <c r="BF40" i="37"/>
  <c r="BH40" i="37" s="1"/>
  <c r="BF39" i="37"/>
  <c r="BH39" i="37" s="1"/>
  <c r="BF38" i="37"/>
  <c r="BH38" i="37" s="1"/>
  <c r="BF37" i="37"/>
  <c r="BH37" i="37" s="1"/>
  <c r="BF36" i="37"/>
  <c r="BH36" i="37" s="1"/>
  <c r="BF35" i="37"/>
  <c r="BH35" i="37" s="1"/>
  <c r="BF34" i="37"/>
  <c r="BH34" i="37" s="1"/>
  <c r="BF33" i="37"/>
  <c r="BH33" i="37" s="1"/>
  <c r="BF32" i="37"/>
  <c r="BH32" i="37" s="1"/>
  <c r="BF31" i="37"/>
  <c r="BH31" i="37" s="1"/>
  <c r="BF30" i="37"/>
  <c r="BH30" i="37" s="1"/>
  <c r="BF29" i="37"/>
  <c r="BH29" i="37" s="1"/>
  <c r="BF28" i="37"/>
  <c r="BH28" i="37" s="1"/>
  <c r="BF27" i="37"/>
  <c r="BH27" i="37" s="1"/>
  <c r="BF26" i="37"/>
  <c r="BH26" i="37" s="1"/>
  <c r="BF25" i="37"/>
  <c r="BH25" i="37" s="1"/>
  <c r="BF24" i="37"/>
  <c r="BH24" i="37" s="1"/>
  <c r="BF23" i="37"/>
  <c r="BH23" i="37" s="1"/>
  <c r="BF22" i="37"/>
  <c r="BH22" i="37" s="1"/>
  <c r="BF21" i="37"/>
  <c r="BH21" i="37" s="1"/>
  <c r="BF20" i="37"/>
  <c r="BH20" i="37" s="1"/>
  <c r="BF19" i="37"/>
  <c r="BH19" i="37" s="1"/>
  <c r="BH18" i="37"/>
  <c r="BF17" i="37"/>
  <c r="BH17" i="37" s="1"/>
  <c r="BH16" i="37"/>
  <c r="BF15" i="37"/>
  <c r="BH15" i="37" s="1"/>
  <c r="BF14" i="37"/>
  <c r="BH14" i="37" s="1"/>
  <c r="BF13" i="37"/>
  <c r="BH13" i="37" s="1"/>
  <c r="BF12" i="37"/>
  <c r="BH12" i="37" s="1"/>
  <c r="BF11" i="37"/>
  <c r="BH11" i="37" s="1"/>
  <c r="BF10" i="37"/>
  <c r="BH10" i="37" s="1"/>
  <c r="BF9" i="37"/>
  <c r="BH9" i="37" s="1"/>
  <c r="I67" i="17"/>
  <c r="J67" i="17" s="1"/>
  <c r="I66" i="17"/>
  <c r="J66" i="17" s="1"/>
  <c r="I65" i="17"/>
  <c r="J65" i="17" s="1"/>
  <c r="I64" i="17"/>
  <c r="J64" i="17" s="1"/>
  <c r="I63" i="17"/>
  <c r="J63" i="17" s="1"/>
  <c r="I53" i="17"/>
  <c r="J53" i="17" s="1"/>
  <c r="I54" i="17"/>
  <c r="J54" i="17" s="1"/>
  <c r="I55" i="17"/>
  <c r="J55" i="17" s="1"/>
  <c r="I56" i="17"/>
  <c r="J56" i="17" s="1"/>
  <c r="I57" i="17"/>
  <c r="J57" i="17" s="1"/>
  <c r="I58" i="17"/>
  <c r="J58" i="17" s="1"/>
  <c r="I59" i="17"/>
  <c r="J59" i="17" s="1"/>
  <c r="I60" i="17"/>
  <c r="J60" i="17" s="1"/>
  <c r="I61" i="17"/>
  <c r="J61" i="17" s="1"/>
  <c r="I62" i="17"/>
  <c r="J62" i="17" s="1"/>
  <c r="I45" i="17"/>
  <c r="J45" i="17" s="1"/>
  <c r="I46" i="17"/>
  <c r="J46" i="17" s="1"/>
  <c r="I47" i="17"/>
  <c r="J47" i="17" s="1"/>
  <c r="I48" i="17"/>
  <c r="J48" i="17" s="1"/>
  <c r="I49" i="17"/>
  <c r="J49" i="17" s="1"/>
  <c r="I50" i="17"/>
  <c r="J50" i="17" s="1"/>
  <c r="I51" i="17"/>
  <c r="J51" i="17" s="1"/>
  <c r="I52" i="17"/>
  <c r="J52" i="17" s="1"/>
  <c r="I44" i="17"/>
  <c r="J44" i="17" s="1"/>
  <c r="I43" i="17"/>
  <c r="J43" i="17" s="1"/>
  <c r="I42" i="17"/>
  <c r="J42" i="17" s="1"/>
  <c r="I41" i="17"/>
  <c r="J41" i="17" s="1"/>
  <c r="I40" i="17"/>
  <c r="J40" i="17" s="1"/>
  <c r="I167" i="20"/>
  <c r="J167" i="20" s="1"/>
  <c r="I161" i="20"/>
  <c r="J161" i="20" s="1"/>
  <c r="I162" i="20"/>
  <c r="J162" i="20" s="1"/>
  <c r="I163" i="20"/>
  <c r="J163" i="20" s="1"/>
  <c r="I164" i="20"/>
  <c r="J164" i="20" s="1"/>
  <c r="I165" i="20"/>
  <c r="J165" i="20" s="1"/>
  <c r="I166" i="20"/>
  <c r="J166" i="20" s="1"/>
  <c r="I131" i="20"/>
  <c r="J131" i="20" s="1"/>
  <c r="I132" i="20"/>
  <c r="J132" i="20" s="1"/>
  <c r="I133" i="20"/>
  <c r="J133" i="20" s="1"/>
  <c r="I134" i="20"/>
  <c r="J134" i="20" s="1"/>
  <c r="I135" i="20"/>
  <c r="J135" i="20" s="1"/>
  <c r="I136" i="20"/>
  <c r="J136" i="20" s="1"/>
  <c r="I137" i="20"/>
  <c r="J137" i="20" s="1"/>
  <c r="I138" i="20"/>
  <c r="J138" i="20" s="1"/>
  <c r="I139" i="20"/>
  <c r="J139" i="20" s="1"/>
  <c r="I140" i="20"/>
  <c r="J140" i="20" s="1"/>
  <c r="I141" i="20"/>
  <c r="J141" i="20" s="1"/>
  <c r="I142" i="20"/>
  <c r="J142" i="20" s="1"/>
  <c r="I143" i="20"/>
  <c r="J143" i="20" s="1"/>
  <c r="I144" i="20"/>
  <c r="J144" i="20" s="1"/>
  <c r="I145" i="20"/>
  <c r="J145" i="20" s="1"/>
  <c r="I146" i="20"/>
  <c r="J146" i="20" s="1"/>
  <c r="I147" i="20"/>
  <c r="J147" i="20" s="1"/>
  <c r="I148" i="20"/>
  <c r="J148" i="20" s="1"/>
  <c r="I149" i="20"/>
  <c r="J149" i="20" s="1"/>
  <c r="I150" i="20"/>
  <c r="J150" i="20" s="1"/>
  <c r="I151" i="20"/>
  <c r="J151" i="20" s="1"/>
  <c r="I152" i="20"/>
  <c r="J152" i="20" s="1"/>
  <c r="I153" i="20"/>
  <c r="J153" i="20" s="1"/>
  <c r="I154" i="20"/>
  <c r="J154" i="20" s="1"/>
  <c r="I155" i="20"/>
  <c r="J155" i="20" s="1"/>
  <c r="I156" i="20"/>
  <c r="J156" i="20" s="1"/>
  <c r="I157" i="20"/>
  <c r="J157" i="20" s="1"/>
  <c r="I158" i="20"/>
  <c r="J158" i="20" s="1"/>
  <c r="I159" i="20"/>
  <c r="J159" i="20" s="1"/>
  <c r="I160" i="20"/>
  <c r="J160" i="20" s="1"/>
  <c r="I111" i="20"/>
  <c r="J111" i="20" s="1"/>
  <c r="I112" i="20"/>
  <c r="J112" i="20" s="1"/>
  <c r="I113" i="20"/>
  <c r="J113" i="20" s="1"/>
  <c r="I114" i="20"/>
  <c r="J114" i="20" s="1"/>
  <c r="I115" i="20"/>
  <c r="J115" i="20" s="1"/>
  <c r="I116" i="20"/>
  <c r="J116" i="20" s="1"/>
  <c r="I117" i="20"/>
  <c r="J117" i="20" s="1"/>
  <c r="I118" i="20"/>
  <c r="J118" i="20" s="1"/>
  <c r="I119" i="20"/>
  <c r="J119" i="20" s="1"/>
  <c r="I120" i="20"/>
  <c r="J120" i="20" s="1"/>
  <c r="I121" i="20"/>
  <c r="J121" i="20" s="1"/>
  <c r="I122" i="20"/>
  <c r="J122" i="20" s="1"/>
  <c r="I123" i="20"/>
  <c r="J123" i="20" s="1"/>
  <c r="I124" i="20"/>
  <c r="J124" i="20" s="1"/>
  <c r="I125" i="20"/>
  <c r="J125" i="20" s="1"/>
  <c r="I126" i="20"/>
  <c r="J126" i="20" s="1"/>
  <c r="I127" i="20"/>
  <c r="J127" i="20" s="1"/>
  <c r="I128" i="20"/>
  <c r="J128" i="20" s="1"/>
  <c r="I129" i="20"/>
  <c r="J129" i="20" s="1"/>
  <c r="I130" i="20"/>
  <c r="J130" i="20" s="1"/>
  <c r="I103" i="20"/>
  <c r="J103" i="20" s="1"/>
  <c r="I104" i="20"/>
  <c r="J104" i="20" s="1"/>
  <c r="I105" i="20"/>
  <c r="J105" i="20" s="1"/>
  <c r="I106" i="20"/>
  <c r="J106" i="20" s="1"/>
  <c r="I107" i="20"/>
  <c r="J107" i="20" s="1"/>
  <c r="I108" i="20"/>
  <c r="J108" i="20" s="1"/>
  <c r="I109" i="20"/>
  <c r="J109" i="20" s="1"/>
  <c r="I110" i="20"/>
  <c r="J110" i="20" s="1"/>
  <c r="I75" i="20"/>
  <c r="J75" i="20" s="1"/>
  <c r="I76" i="20"/>
  <c r="J76" i="20" s="1"/>
  <c r="I77" i="20"/>
  <c r="J77" i="20" s="1"/>
  <c r="I78" i="20"/>
  <c r="J78" i="20" s="1"/>
  <c r="I79" i="20"/>
  <c r="J79" i="20" s="1"/>
  <c r="I80" i="20"/>
  <c r="J80" i="20" s="1"/>
  <c r="I81" i="20"/>
  <c r="J81" i="20" s="1"/>
  <c r="I82" i="20"/>
  <c r="J82" i="20" s="1"/>
  <c r="I83" i="20"/>
  <c r="J83" i="20" s="1"/>
  <c r="I84" i="20"/>
  <c r="J84" i="20" s="1"/>
  <c r="I85" i="20"/>
  <c r="J85" i="20" s="1"/>
  <c r="I86" i="20"/>
  <c r="J86" i="20" s="1"/>
  <c r="I87" i="20"/>
  <c r="J87" i="20" s="1"/>
  <c r="I88" i="20"/>
  <c r="J88" i="20" s="1"/>
  <c r="I89" i="20"/>
  <c r="J89" i="20" s="1"/>
  <c r="I90" i="20"/>
  <c r="J90" i="20" s="1"/>
  <c r="I91" i="20"/>
  <c r="J91" i="20" s="1"/>
  <c r="I92" i="20"/>
  <c r="J92" i="20" s="1"/>
  <c r="I93" i="20"/>
  <c r="J93" i="20" s="1"/>
  <c r="I94" i="20"/>
  <c r="J94" i="20" s="1"/>
  <c r="I95" i="20"/>
  <c r="J95" i="20" s="1"/>
  <c r="I96" i="20"/>
  <c r="J96" i="20" s="1"/>
  <c r="I97" i="20"/>
  <c r="J97" i="20" s="1"/>
  <c r="I98" i="20"/>
  <c r="J98" i="20" s="1"/>
  <c r="I99" i="20"/>
  <c r="J99" i="20" s="1"/>
  <c r="I100" i="20"/>
  <c r="J100" i="20" s="1"/>
  <c r="I101" i="20"/>
  <c r="J101" i="20" s="1"/>
  <c r="I102" i="20"/>
  <c r="J102" i="20" s="1"/>
  <c r="I61" i="20"/>
  <c r="J61" i="20" s="1"/>
  <c r="I62" i="20"/>
  <c r="J62" i="20" s="1"/>
  <c r="I63" i="20"/>
  <c r="J63" i="20" s="1"/>
  <c r="I64" i="20"/>
  <c r="J64" i="20" s="1"/>
  <c r="I65" i="20"/>
  <c r="J65" i="20" s="1"/>
  <c r="J66" i="20"/>
  <c r="I67" i="20"/>
  <c r="J67" i="20" s="1"/>
  <c r="I69" i="20"/>
  <c r="J69" i="20" s="1"/>
  <c r="I70" i="20"/>
  <c r="J70" i="20" s="1"/>
  <c r="I71" i="20"/>
  <c r="J71" i="20" s="1"/>
  <c r="I72" i="20"/>
  <c r="J72" i="20" s="1"/>
  <c r="I73" i="20"/>
  <c r="J73" i="20" s="1"/>
  <c r="I74" i="20"/>
  <c r="J74" i="20" s="1"/>
  <c r="I49" i="20"/>
  <c r="J49" i="20" s="1"/>
  <c r="I50" i="20"/>
  <c r="J50" i="20" s="1"/>
  <c r="I51" i="20"/>
  <c r="J51" i="20" s="1"/>
  <c r="I52" i="20"/>
  <c r="J52" i="20" s="1"/>
  <c r="I53" i="20"/>
  <c r="J53" i="20" s="1"/>
  <c r="I54" i="20"/>
  <c r="J54" i="20" s="1"/>
  <c r="I55" i="20"/>
  <c r="J55" i="20" s="1"/>
  <c r="I56" i="20"/>
  <c r="J56" i="20" s="1"/>
  <c r="I57" i="20"/>
  <c r="J57" i="20" s="1"/>
  <c r="I58" i="20"/>
  <c r="J58" i="20" s="1"/>
  <c r="I59" i="20"/>
  <c r="J59" i="20" s="1"/>
  <c r="I60" i="20"/>
  <c r="J60" i="20" s="1"/>
  <c r="I48" i="20"/>
  <c r="I47" i="20"/>
  <c r="J47" i="20" s="1"/>
  <c r="J48" i="20" l="1"/>
  <c r="CK10" i="2"/>
  <c r="BP10" i="2" s="1"/>
  <c r="AF10" i="2" s="1"/>
  <c r="DA154" i="37"/>
  <c r="DA156" i="37"/>
  <c r="G218" i="37" s="1"/>
  <c r="DA155" i="37"/>
  <c r="CV154" i="37"/>
  <c r="CV155" i="37"/>
  <c r="G214" i="37" s="1"/>
  <c r="CV156" i="37"/>
  <c r="G215" i="37" s="1"/>
  <c r="CQ156" i="37"/>
  <c r="G212" i="37" s="1"/>
  <c r="CQ154" i="37"/>
  <c r="CQ155" i="37"/>
  <c r="G211" i="37" s="1"/>
  <c r="CL154" i="37"/>
  <c r="CL156" i="37"/>
  <c r="G209" i="37" s="1"/>
  <c r="CL155" i="37"/>
  <c r="G208" i="37" s="1"/>
  <c r="CG154" i="37"/>
  <c r="CG156" i="37"/>
  <c r="G206" i="37" s="1"/>
  <c r="CG155" i="37"/>
  <c r="G205" i="37" s="1"/>
  <c r="CB154" i="37"/>
  <c r="CB155" i="37"/>
  <c r="G202" i="37" s="1"/>
  <c r="CB156" i="37"/>
  <c r="G203" i="37" s="1"/>
  <c r="BR154" i="37"/>
  <c r="BW154" i="37"/>
  <c r="BW156" i="37"/>
  <c r="BW155" i="37"/>
  <c r="G199" i="37" s="1"/>
  <c r="BR155" i="37"/>
  <c r="G196" i="37" s="1"/>
  <c r="BR156" i="37"/>
  <c r="G197" i="37" s="1"/>
  <c r="BM154" i="37"/>
  <c r="BM155" i="37"/>
  <c r="G193" i="37" s="1"/>
  <c r="BM156" i="37"/>
  <c r="G194" i="37" s="1"/>
  <c r="BH154" i="37"/>
  <c r="BH155" i="37"/>
  <c r="BH156" i="37"/>
  <c r="G191" i="37" s="1"/>
  <c r="CO21" i="2"/>
  <c r="BT21" i="2" s="1"/>
  <c r="AN21" i="2" s="1"/>
  <c r="CN22" i="2"/>
  <c r="BS22" i="2" s="1"/>
  <c r="AL22" i="2" s="1"/>
  <c r="CM13" i="2"/>
  <c r="BR13" i="2" s="1"/>
  <c r="AJ13" i="2" s="1"/>
  <c r="CK13" i="2"/>
  <c r="BP13" i="2" s="1"/>
  <c r="AF13" i="2" s="1"/>
  <c r="CK18" i="2"/>
  <c r="BP18" i="2" s="1"/>
  <c r="AF18" i="2" s="1"/>
  <c r="CK14" i="2"/>
  <c r="BP14" i="2" s="1"/>
  <c r="AF14" i="2" s="1"/>
  <c r="CJ14" i="2"/>
  <c r="BO14" i="2" s="1"/>
  <c r="AD14" i="2" s="1"/>
  <c r="CJ10" i="2"/>
  <c r="BO10" i="2" s="1"/>
  <c r="AD10" i="2" s="1"/>
  <c r="CO20" i="2"/>
  <c r="BT20" i="2" s="1"/>
  <c r="AN20" i="2" s="1"/>
  <c r="CO16" i="2"/>
  <c r="BT16" i="2" s="1"/>
  <c r="AN16" i="2" s="1"/>
  <c r="CN21" i="2"/>
  <c r="BS21" i="2" s="1"/>
  <c r="AL21" i="2" s="1"/>
  <c r="CM15" i="2"/>
  <c r="BR15" i="2" s="1"/>
  <c r="AJ15" i="2" s="1"/>
  <c r="CM12" i="2"/>
  <c r="BR12" i="2" s="1"/>
  <c r="AJ12" i="2" s="1"/>
  <c r="CL24" i="2"/>
  <c r="BQ24" i="2" s="1"/>
  <c r="AH24" i="2" s="1"/>
  <c r="CJ18" i="2"/>
  <c r="BO18" i="2" s="1"/>
  <c r="AD18" i="2" s="1"/>
  <c r="CI33" i="2"/>
  <c r="BN33" i="2" s="1"/>
  <c r="AB33" i="2" s="1"/>
  <c r="CI29" i="2"/>
  <c r="BN29" i="2" s="1"/>
  <c r="AB29" i="2" s="1"/>
  <c r="CI17" i="2"/>
  <c r="BN17" i="2" s="1"/>
  <c r="AB17" i="2" s="1"/>
  <c r="CI9" i="2"/>
  <c r="BN9" i="2" s="1"/>
  <c r="AB9" i="2" s="1"/>
  <c r="CK9" i="2"/>
  <c r="BP9" i="2" s="1"/>
  <c r="AF9" i="2" s="1"/>
  <c r="CM32" i="2"/>
  <c r="BR32" i="2" s="1"/>
  <c r="AJ32" i="2" s="1"/>
  <c r="CM29" i="2"/>
  <c r="BR29" i="2" s="1"/>
  <c r="AJ29" i="2" s="1"/>
  <c r="CM28" i="2"/>
  <c r="BR28" i="2" s="1"/>
  <c r="AJ28" i="2" s="1"/>
  <c r="CM26" i="2"/>
  <c r="BR26" i="2" s="1"/>
  <c r="AJ26" i="2" s="1"/>
  <c r="CM24" i="2"/>
  <c r="BR24" i="2" s="1"/>
  <c r="AJ24" i="2" s="1"/>
  <c r="CM22" i="2"/>
  <c r="BR22" i="2" s="1"/>
  <c r="AJ22" i="2" s="1"/>
  <c r="CM20" i="2"/>
  <c r="CM19" i="2"/>
  <c r="BR19" i="2" s="1"/>
  <c r="AJ19" i="2" s="1"/>
  <c r="CM17" i="2"/>
  <c r="BR17" i="2" s="1"/>
  <c r="AJ17" i="2" s="1"/>
  <c r="CM16" i="2"/>
  <c r="BR16" i="2" s="1"/>
  <c r="AJ16" i="2" s="1"/>
  <c r="CM9" i="2"/>
  <c r="BR9" i="2" s="1"/>
  <c r="AJ9" i="2" s="1"/>
  <c r="CM36" i="2"/>
  <c r="BR36" i="2" s="1"/>
  <c r="AJ36" i="2" s="1"/>
  <c r="CM33" i="2"/>
  <c r="BR33" i="2" s="1"/>
  <c r="AJ33" i="2" s="1"/>
  <c r="CM11" i="2"/>
  <c r="BR11" i="2" s="1"/>
  <c r="AJ11" i="2" s="1"/>
  <c r="J145" i="19"/>
  <c r="AN58" i="2" s="1"/>
  <c r="J146" i="19"/>
  <c r="AP58" i="2" s="1"/>
  <c r="J147" i="19"/>
  <c r="J138" i="19"/>
  <c r="Z58" i="2" s="1"/>
  <c r="J139" i="19"/>
  <c r="AB58" i="2" s="1"/>
  <c r="J140" i="19"/>
  <c r="AD58" i="2" s="1"/>
  <c r="J142" i="19"/>
  <c r="AH58" i="2" s="1"/>
  <c r="J143" i="19"/>
  <c r="AJ58" i="2" s="1"/>
  <c r="J144" i="19"/>
  <c r="AL58" i="2" s="1"/>
  <c r="J110" i="19"/>
  <c r="J123" i="19"/>
  <c r="J124" i="19"/>
  <c r="J125" i="19"/>
  <c r="J126" i="19"/>
  <c r="J127" i="19"/>
  <c r="J112" i="19"/>
  <c r="J113" i="19"/>
  <c r="J114" i="19"/>
  <c r="J115" i="19"/>
  <c r="J116" i="19"/>
  <c r="J117" i="19"/>
  <c r="J118" i="19"/>
  <c r="J119" i="19"/>
  <c r="J120" i="19"/>
  <c r="J121" i="19"/>
  <c r="J122" i="19"/>
  <c r="J111" i="19"/>
  <c r="CQ33" i="2"/>
  <c r="BV33" i="2" s="1"/>
  <c r="AR33" i="2" s="1"/>
  <c r="AS33" i="2" s="1"/>
  <c r="CQ32" i="2"/>
  <c r="BV32" i="2" s="1"/>
  <c r="AR32" i="2" s="1"/>
  <c r="AS32" i="2" s="1"/>
  <c r="CQ29" i="2"/>
  <c r="BV29" i="2" s="1"/>
  <c r="AR29" i="2" s="1"/>
  <c r="AS29" i="2" s="1"/>
  <c r="CQ25" i="2"/>
  <c r="BV25" i="2" s="1"/>
  <c r="AR25" i="2" s="1"/>
  <c r="AS25" i="2" s="1"/>
  <c r="CQ21" i="2"/>
  <c r="BV21" i="2" s="1"/>
  <c r="AR21" i="2" s="1"/>
  <c r="AS21" i="2" s="1"/>
  <c r="CQ20" i="2"/>
  <c r="BV20" i="2" s="1"/>
  <c r="AR20" i="2" s="1"/>
  <c r="AS20" i="2" s="1"/>
  <c r="CQ19" i="2"/>
  <c r="BV19" i="2" s="1"/>
  <c r="AR19" i="2" s="1"/>
  <c r="AS19" i="2" s="1"/>
  <c r="CQ15" i="2"/>
  <c r="BV15" i="2" s="1"/>
  <c r="AR15" i="2" s="1"/>
  <c r="CQ14" i="2"/>
  <c r="BV14" i="2" s="1"/>
  <c r="AR14" i="2" s="1"/>
  <c r="CQ13" i="2"/>
  <c r="BV13" i="2" s="1"/>
  <c r="AR13" i="2" s="1"/>
  <c r="CQ12" i="2"/>
  <c r="BV12" i="2" s="1"/>
  <c r="AR12" i="2" s="1"/>
  <c r="CQ11" i="2"/>
  <c r="BV11" i="2" s="1"/>
  <c r="AR11" i="2" s="1"/>
  <c r="CQ9" i="2"/>
  <c r="BV9" i="2" s="1"/>
  <c r="AR9" i="2" s="1"/>
  <c r="CQ17" i="2"/>
  <c r="BV17" i="2" s="1"/>
  <c r="AR17" i="2" s="1"/>
  <c r="AS17" i="2" s="1"/>
  <c r="CQ23" i="2"/>
  <c r="BV23" i="2" s="1"/>
  <c r="AR23" i="2" s="1"/>
  <c r="AS23" i="2" s="1"/>
  <c r="CP23" i="2"/>
  <c r="BU23" i="2" s="1"/>
  <c r="AP23" i="2" s="1"/>
  <c r="CP20" i="2"/>
  <c r="BU20" i="2" s="1"/>
  <c r="AP20" i="2" s="1"/>
  <c r="CP19" i="2"/>
  <c r="BU19" i="2" s="1"/>
  <c r="AP19" i="2" s="1"/>
  <c r="CP18" i="2"/>
  <c r="BU18" i="2" s="1"/>
  <c r="AP18" i="2" s="1"/>
  <c r="CP17" i="2"/>
  <c r="BU17" i="2" s="1"/>
  <c r="AP17" i="2" s="1"/>
  <c r="CP15" i="2"/>
  <c r="BU15" i="2" s="1"/>
  <c r="AP15" i="2" s="1"/>
  <c r="CP11" i="2"/>
  <c r="J108" i="19"/>
  <c r="J109" i="19"/>
  <c r="J97" i="19"/>
  <c r="J98" i="19"/>
  <c r="J99" i="19"/>
  <c r="J100" i="19"/>
  <c r="J101" i="19"/>
  <c r="J102" i="19"/>
  <c r="J103" i="19"/>
  <c r="J104" i="19"/>
  <c r="J105" i="19"/>
  <c r="J106" i="19"/>
  <c r="J107" i="19"/>
  <c r="I45" i="19"/>
  <c r="J45" i="19" s="1"/>
  <c r="I46" i="19"/>
  <c r="J46" i="19" s="1"/>
  <c r="I47" i="19"/>
  <c r="J47" i="19" s="1"/>
  <c r="I48" i="19"/>
  <c r="J48" i="19" s="1"/>
  <c r="I49" i="19"/>
  <c r="J49" i="19" s="1"/>
  <c r="I50" i="19"/>
  <c r="J50" i="19" s="1"/>
  <c r="I51" i="19"/>
  <c r="J51" i="19" s="1"/>
  <c r="I52" i="19"/>
  <c r="J52" i="19" s="1"/>
  <c r="I53" i="19"/>
  <c r="J53" i="19" s="1"/>
  <c r="I54" i="19"/>
  <c r="J54" i="19" s="1"/>
  <c r="I55" i="19"/>
  <c r="J55" i="19" s="1"/>
  <c r="J56" i="19"/>
  <c r="I57" i="19"/>
  <c r="J57" i="19" s="1"/>
  <c r="J58" i="19"/>
  <c r="J59" i="19"/>
  <c r="J60" i="19"/>
  <c r="J61" i="19"/>
  <c r="J62" i="19"/>
  <c r="I63" i="19"/>
  <c r="J63" i="19" s="1"/>
  <c r="I64" i="19"/>
  <c r="J64" i="19" s="1"/>
  <c r="I65" i="19"/>
  <c r="J65" i="19" s="1"/>
  <c r="I66" i="19"/>
  <c r="J66" i="19" s="1"/>
  <c r="I67" i="19"/>
  <c r="J67" i="19" s="1"/>
  <c r="I68" i="19"/>
  <c r="J68" i="19" s="1"/>
  <c r="I69" i="19"/>
  <c r="J69" i="19" s="1"/>
  <c r="I70" i="19"/>
  <c r="J70" i="19" s="1"/>
  <c r="I71" i="19"/>
  <c r="J71" i="19" s="1"/>
  <c r="I72" i="19"/>
  <c r="J72" i="19" s="1"/>
  <c r="I73" i="19"/>
  <c r="J73" i="19" s="1"/>
  <c r="I74" i="19"/>
  <c r="J74" i="19" s="1"/>
  <c r="I75" i="19"/>
  <c r="J75" i="19" s="1"/>
  <c r="I76" i="19"/>
  <c r="J76" i="19" s="1"/>
  <c r="I77" i="19"/>
  <c r="J77" i="19" s="1"/>
  <c r="I78" i="19"/>
  <c r="J78" i="19" s="1"/>
  <c r="I79" i="19"/>
  <c r="J79" i="19" s="1"/>
  <c r="I80" i="19"/>
  <c r="J80" i="19" s="1"/>
  <c r="I81" i="19"/>
  <c r="J81" i="19" s="1"/>
  <c r="I82" i="19"/>
  <c r="J82" i="19" s="1"/>
  <c r="I83" i="19"/>
  <c r="J83" i="19" s="1"/>
  <c r="I84" i="19"/>
  <c r="J84" i="19" s="1"/>
  <c r="I85" i="19"/>
  <c r="J85" i="19" s="1"/>
  <c r="J86" i="19"/>
  <c r="J87" i="19"/>
  <c r="J88" i="19"/>
  <c r="J89" i="19"/>
  <c r="J90" i="19"/>
  <c r="J91" i="19"/>
  <c r="J92" i="19"/>
  <c r="J93" i="19"/>
  <c r="J94" i="19"/>
  <c r="J95" i="19"/>
  <c r="J96" i="19"/>
  <c r="I31" i="19"/>
  <c r="J31" i="19" s="1"/>
  <c r="I32" i="19"/>
  <c r="J32" i="19" s="1"/>
  <c r="I33" i="19"/>
  <c r="J33" i="19" s="1"/>
  <c r="I34" i="19"/>
  <c r="J34" i="19" s="1"/>
  <c r="I35" i="19"/>
  <c r="J35" i="19" s="1"/>
  <c r="I36" i="19"/>
  <c r="J36" i="19" s="1"/>
  <c r="I37" i="19"/>
  <c r="J37" i="19" s="1"/>
  <c r="I38" i="19"/>
  <c r="J38" i="19" s="1"/>
  <c r="I39" i="19"/>
  <c r="J39" i="19" s="1"/>
  <c r="I40" i="19"/>
  <c r="J40" i="19" s="1"/>
  <c r="I41" i="19"/>
  <c r="J41" i="19" s="1"/>
  <c r="I42" i="19"/>
  <c r="J42" i="19" s="1"/>
  <c r="I43" i="19"/>
  <c r="J43" i="19" s="1"/>
  <c r="I44" i="19"/>
  <c r="J44" i="19" s="1"/>
  <c r="I19" i="19"/>
  <c r="J19" i="19" s="1"/>
  <c r="I20" i="19"/>
  <c r="J20" i="19" s="1"/>
  <c r="I21" i="19"/>
  <c r="J21" i="19" s="1"/>
  <c r="I22" i="19"/>
  <c r="J22" i="19" s="1"/>
  <c r="I23" i="19"/>
  <c r="J23" i="19" s="1"/>
  <c r="I24" i="19"/>
  <c r="J24" i="19" s="1"/>
  <c r="I25" i="19"/>
  <c r="J25" i="19" s="1"/>
  <c r="I26" i="19"/>
  <c r="J26" i="19" s="1"/>
  <c r="I27" i="19"/>
  <c r="J27" i="19" s="1"/>
  <c r="I28" i="19"/>
  <c r="J28" i="19" s="1"/>
  <c r="I29" i="19"/>
  <c r="J29" i="19" s="1"/>
  <c r="I30" i="19"/>
  <c r="J30" i="19" s="1"/>
  <c r="AS14" i="9"/>
  <c r="AS15" i="9"/>
  <c r="AS16" i="9"/>
  <c r="AS17" i="9"/>
  <c r="AS18" i="9"/>
  <c r="AS19" i="9"/>
  <c r="AS20" i="9"/>
  <c r="AS21" i="9"/>
  <c r="AS13" i="9"/>
  <c r="AS12" i="9"/>
  <c r="I18" i="19"/>
  <c r="J18" i="19" s="1"/>
  <c r="CP33" i="2"/>
  <c r="BU33" i="2" s="1"/>
  <c r="AP33" i="2" s="1"/>
  <c r="CP13" i="2"/>
  <c r="BU13" i="2" s="1"/>
  <c r="AP13" i="2" s="1"/>
  <c r="CO32" i="2"/>
  <c r="BT32" i="2" s="1"/>
  <c r="AN32" i="2" s="1"/>
  <c r="CO24" i="2"/>
  <c r="BT24" i="2" s="1"/>
  <c r="AN24" i="2" s="1"/>
  <c r="CO12" i="2"/>
  <c r="BT12" i="2" s="1"/>
  <c r="AN12" i="2" s="1"/>
  <c r="CO36" i="2"/>
  <c r="BT36" i="2" s="1"/>
  <c r="AN36" i="2" s="1"/>
  <c r="CO33" i="2"/>
  <c r="BT33" i="2" s="1"/>
  <c r="AN33" i="2" s="1"/>
  <c r="CO29" i="2"/>
  <c r="BT29" i="2" s="1"/>
  <c r="AN29" i="2" s="1"/>
  <c r="CO28" i="2"/>
  <c r="BT28" i="2" s="1"/>
  <c r="AN28" i="2" s="1"/>
  <c r="CO25" i="2"/>
  <c r="BT25" i="2" s="1"/>
  <c r="AN25" i="2" s="1"/>
  <c r="CO17" i="2"/>
  <c r="BT17" i="2" s="1"/>
  <c r="AN17" i="2" s="1"/>
  <c r="CO9" i="2"/>
  <c r="BT9" i="2" s="1"/>
  <c r="AN9" i="2" s="1"/>
  <c r="CN36" i="2"/>
  <c r="BS36" i="2" s="1"/>
  <c r="AL36" i="2" s="1"/>
  <c r="CN34" i="2"/>
  <c r="BS34" i="2" s="1"/>
  <c r="AL34" i="2" s="1"/>
  <c r="CN33" i="2"/>
  <c r="BS33" i="2" s="1"/>
  <c r="AL33" i="2" s="1"/>
  <c r="CN32" i="2"/>
  <c r="BS32" i="2" s="1"/>
  <c r="AL32" i="2" s="1"/>
  <c r="CN31" i="2"/>
  <c r="BS31" i="2" s="1"/>
  <c r="AL31" i="2" s="1"/>
  <c r="CN29" i="2"/>
  <c r="BS29" i="2" s="1"/>
  <c r="AL29" i="2" s="1"/>
  <c r="CN28" i="2"/>
  <c r="BS28" i="2" s="1"/>
  <c r="AL28" i="2" s="1"/>
  <c r="CN27" i="2"/>
  <c r="BS27" i="2" s="1"/>
  <c r="AL27" i="2" s="1"/>
  <c r="CN25" i="2"/>
  <c r="BS25" i="2" s="1"/>
  <c r="AL25" i="2" s="1"/>
  <c r="CN16" i="2"/>
  <c r="BS16" i="2" s="1"/>
  <c r="AL16" i="2" s="1"/>
  <c r="CN12" i="2"/>
  <c r="BS12" i="2" s="1"/>
  <c r="AL12" i="2" s="1"/>
  <c r="CN9" i="2"/>
  <c r="BS9" i="2" s="1"/>
  <c r="AL9" i="2" s="1"/>
  <c r="CN17" i="2"/>
  <c r="BS17" i="2" s="1"/>
  <c r="AL17" i="2" s="1"/>
  <c r="CN13" i="2"/>
  <c r="BS13" i="2" s="1"/>
  <c r="AL13" i="2" s="1"/>
  <c r="CL33" i="2"/>
  <c r="BQ33" i="2" s="1"/>
  <c r="AH33" i="2" s="1"/>
  <c r="CL29" i="2"/>
  <c r="BQ29" i="2" s="1"/>
  <c r="AH29" i="2" s="1"/>
  <c r="CL22" i="2"/>
  <c r="BQ22" i="2" s="1"/>
  <c r="AH22" i="2" s="1"/>
  <c r="CL21" i="2"/>
  <c r="BQ21" i="2" s="1"/>
  <c r="AH21" i="2" s="1"/>
  <c r="CL17" i="2"/>
  <c r="BQ17" i="2" s="1"/>
  <c r="AH17" i="2" s="1"/>
  <c r="CL34" i="2"/>
  <c r="BQ34" i="2" s="1"/>
  <c r="AH34" i="2" s="1"/>
  <c r="CL26" i="2"/>
  <c r="BQ26" i="2" s="1"/>
  <c r="AH26" i="2" s="1"/>
  <c r="CL25" i="2"/>
  <c r="BQ25" i="2" s="1"/>
  <c r="AH25" i="2" s="1"/>
  <c r="CL13" i="2"/>
  <c r="BQ13" i="2" s="1"/>
  <c r="AH13" i="2" s="1"/>
  <c r="CL10" i="2"/>
  <c r="BQ10" i="2" s="1"/>
  <c r="AH10" i="2" s="1"/>
  <c r="CL9" i="2"/>
  <c r="BQ9" i="2" s="1"/>
  <c r="AH9" i="2" s="1"/>
  <c r="CK35" i="2"/>
  <c r="BP35" i="2" s="1"/>
  <c r="AF35" i="2" s="1"/>
  <c r="CK31" i="2"/>
  <c r="BP31" i="2" s="1"/>
  <c r="AF31" i="2" s="1"/>
  <c r="CK30" i="2"/>
  <c r="BP30" i="2" s="1"/>
  <c r="AF30" i="2" s="1"/>
  <c r="CK26" i="2"/>
  <c r="BP26" i="2" s="1"/>
  <c r="AF26" i="2" s="1"/>
  <c r="CK19" i="2"/>
  <c r="BP19" i="2" s="1"/>
  <c r="AF19" i="2" s="1"/>
  <c r="CK17" i="2"/>
  <c r="BP17" i="2" s="1"/>
  <c r="AF17" i="2" s="1"/>
  <c r="CK11" i="2"/>
  <c r="BP11" i="2" s="1"/>
  <c r="AF11" i="2" s="1"/>
  <c r="CK33" i="2"/>
  <c r="BP33" i="2" s="1"/>
  <c r="AF33" i="2" s="1"/>
  <c r="CK25" i="2"/>
  <c r="BP25" i="2" s="1"/>
  <c r="AF25" i="2" s="1"/>
  <c r="CK22" i="2"/>
  <c r="BP22" i="2" s="1"/>
  <c r="AF22" i="2" s="1"/>
  <c r="CK21" i="2"/>
  <c r="BP21" i="2" s="1"/>
  <c r="AF21" i="2" s="1"/>
  <c r="CJ17" i="2"/>
  <c r="BO17" i="2" s="1"/>
  <c r="AD17" i="2" s="1"/>
  <c r="CJ9" i="2"/>
  <c r="BO9" i="2" s="1"/>
  <c r="AD9" i="2" s="1"/>
  <c r="CJ19" i="2"/>
  <c r="BO19" i="2" s="1"/>
  <c r="AD19" i="2" s="1"/>
  <c r="W110" i="22"/>
  <c r="S110" i="22"/>
  <c r="O110" i="22"/>
  <c r="K110" i="22"/>
  <c r="G110" i="22"/>
  <c r="B109" i="22"/>
  <c r="W108" i="22"/>
  <c r="W117" i="22" s="1"/>
  <c r="S108" i="22"/>
  <c r="S117" i="22" s="1"/>
  <c r="AP46" i="2" s="1"/>
  <c r="O108" i="22"/>
  <c r="O117" i="22" s="1"/>
  <c r="AN46" i="2" s="1"/>
  <c r="K108" i="22"/>
  <c r="K117" i="22" s="1"/>
  <c r="AL46" i="2" s="1"/>
  <c r="G108" i="22"/>
  <c r="W107" i="22"/>
  <c r="W115" i="22" s="1"/>
  <c r="S107" i="22"/>
  <c r="S115" i="22" s="1"/>
  <c r="AP48" i="2" s="1"/>
  <c r="O107" i="22"/>
  <c r="O115" i="22" s="1"/>
  <c r="AN48" i="2" s="1"/>
  <c r="K107" i="22"/>
  <c r="K115" i="22" s="1"/>
  <c r="AL48" i="2" s="1"/>
  <c r="G107" i="22"/>
  <c r="G115" i="22" s="1"/>
  <c r="AJ48" i="2" s="1"/>
  <c r="W106" i="22"/>
  <c r="W116" i="22" s="1"/>
  <c r="S106" i="22"/>
  <c r="S116" i="22" s="1"/>
  <c r="AP47" i="2" s="1"/>
  <c r="O106" i="22"/>
  <c r="O116" i="22" s="1"/>
  <c r="AN47" i="2" s="1"/>
  <c r="K106" i="22"/>
  <c r="K116" i="22" s="1"/>
  <c r="AL47" i="2" s="1"/>
  <c r="G106" i="22"/>
  <c r="G116" i="22" s="1"/>
  <c r="AJ47" i="2" s="1"/>
  <c r="W104" i="22"/>
  <c r="S104" i="22"/>
  <c r="O104" i="22"/>
  <c r="K104" i="22"/>
  <c r="G104" i="22"/>
  <c r="W103" i="22"/>
  <c r="S103" i="22"/>
  <c r="O103" i="22"/>
  <c r="K103" i="22"/>
  <c r="G103" i="22"/>
  <c r="W102" i="22"/>
  <c r="S102" i="22"/>
  <c r="O102" i="22"/>
  <c r="K102" i="22"/>
  <c r="G102" i="22"/>
  <c r="B101" i="22"/>
  <c r="W80" i="22"/>
  <c r="S80" i="22"/>
  <c r="O80" i="22"/>
  <c r="K80" i="22"/>
  <c r="G80" i="22"/>
  <c r="B79" i="22"/>
  <c r="W78" i="22"/>
  <c r="S78" i="22"/>
  <c r="O78" i="22"/>
  <c r="K78" i="22"/>
  <c r="G78" i="22"/>
  <c r="W77" i="22"/>
  <c r="W85" i="22" s="1"/>
  <c r="AH48" i="2" s="1"/>
  <c r="S77" i="22"/>
  <c r="S85" i="22" s="1"/>
  <c r="AF48" i="2" s="1"/>
  <c r="O77" i="22"/>
  <c r="O85" i="22" s="1"/>
  <c r="AD48" i="2" s="1"/>
  <c r="K77" i="22"/>
  <c r="K85" i="22" s="1"/>
  <c r="AB48" i="2" s="1"/>
  <c r="G77" i="22"/>
  <c r="G85" i="22" s="1"/>
  <c r="Z48" i="2" s="1"/>
  <c r="W76" i="22"/>
  <c r="W86" i="22" s="1"/>
  <c r="AH47" i="2" s="1"/>
  <c r="S76" i="22"/>
  <c r="S86" i="22" s="1"/>
  <c r="AF47" i="2" s="1"/>
  <c r="O76" i="22"/>
  <c r="O86" i="22" s="1"/>
  <c r="AD47" i="2" s="1"/>
  <c r="K76" i="22"/>
  <c r="K86" i="22" s="1"/>
  <c r="AB47" i="2" s="1"/>
  <c r="G76" i="22"/>
  <c r="G86" i="22" s="1"/>
  <c r="Z47" i="2" s="1"/>
  <c r="W74" i="22"/>
  <c r="S74" i="22"/>
  <c r="O74" i="22"/>
  <c r="K74" i="22"/>
  <c r="G74" i="22"/>
  <c r="W73" i="22"/>
  <c r="S73" i="22"/>
  <c r="O73" i="22"/>
  <c r="K73" i="22"/>
  <c r="G73" i="22"/>
  <c r="W72" i="22"/>
  <c r="S72" i="22"/>
  <c r="O72" i="22"/>
  <c r="K72" i="22"/>
  <c r="G72" i="22"/>
  <c r="B71" i="22"/>
  <c r="CN30" i="2"/>
  <c r="BS30" i="2" s="1"/>
  <c r="AL30" i="2" s="1"/>
  <c r="DA157" i="37" l="1"/>
  <c r="G217" i="37"/>
  <c r="G117" i="22"/>
  <c r="AJ46" i="2" s="1"/>
  <c r="G87" i="22"/>
  <c r="Z46" i="2" s="1"/>
  <c r="K87" i="22"/>
  <c r="AB46" i="2" s="1"/>
  <c r="O87" i="22"/>
  <c r="AD46" i="2" s="1"/>
  <c r="W87" i="22"/>
  <c r="AH46" i="2" s="1"/>
  <c r="S87" i="22"/>
  <c r="AF46" i="2" s="1"/>
  <c r="BM157" i="37"/>
  <c r="CQ157" i="37"/>
  <c r="CV157" i="37"/>
  <c r="CL157" i="37"/>
  <c r="CG157" i="37"/>
  <c r="CB157" i="37"/>
  <c r="BR157" i="37"/>
  <c r="BW157" i="37"/>
  <c r="G200" i="37"/>
  <c r="C200" i="37"/>
  <c r="C199" i="37"/>
  <c r="BH157" i="37"/>
  <c r="G190" i="37"/>
  <c r="R18" i="17"/>
  <c r="J171" i="37"/>
  <c r="O38" i="17"/>
  <c r="O40" i="17"/>
  <c r="C191" i="37"/>
  <c r="O39" i="17"/>
  <c r="C190" i="37"/>
  <c r="J172" i="37"/>
  <c r="R19" i="17"/>
  <c r="J173" i="37"/>
  <c r="R20" i="17"/>
  <c r="O48" i="17"/>
  <c r="O47" i="17"/>
  <c r="O49" i="17"/>
  <c r="J174" i="37"/>
  <c r="R21" i="17"/>
  <c r="R22" i="17"/>
  <c r="J175" i="37"/>
  <c r="J176" i="37"/>
  <c r="R23" i="17"/>
  <c r="J177" i="37"/>
  <c r="R24" i="17"/>
  <c r="R25" i="17"/>
  <c r="J178" i="37"/>
  <c r="R26" i="17"/>
  <c r="J179" i="37"/>
  <c r="J180" i="37"/>
  <c r="R27" i="17"/>
  <c r="O116" i="20"/>
  <c r="O112" i="20"/>
  <c r="O113" i="20"/>
  <c r="O119" i="20"/>
  <c r="O115" i="20"/>
  <c r="O117" i="20"/>
  <c r="O118" i="20"/>
  <c r="O114" i="20"/>
  <c r="O95" i="20"/>
  <c r="O94" i="20"/>
  <c r="O90" i="20"/>
  <c r="O92" i="20"/>
  <c r="O91" i="20"/>
  <c r="O93" i="20"/>
  <c r="O89" i="20"/>
  <c r="O88" i="20"/>
  <c r="D67" i="22"/>
  <c r="L18" i="18"/>
  <c r="P18" i="19"/>
  <c r="R18" i="20"/>
  <c r="R18" i="18"/>
  <c r="P19" i="19"/>
  <c r="R19" i="20"/>
  <c r="R19" i="18"/>
  <c r="P20" i="19"/>
  <c r="R20" i="20"/>
  <c r="R20" i="18"/>
  <c r="P21" i="19"/>
  <c r="CQ81" i="19" s="1"/>
  <c r="R21" i="20"/>
  <c r="R21" i="18"/>
  <c r="P67" i="22"/>
  <c r="L21" i="18"/>
  <c r="P22" i="19"/>
  <c r="R22" i="20"/>
  <c r="R22" i="18"/>
  <c r="P23" i="19"/>
  <c r="R23" i="20"/>
  <c r="R23" i="18"/>
  <c r="P24" i="19"/>
  <c r="R24" i="20"/>
  <c r="R24" i="18"/>
  <c r="P25" i="19"/>
  <c r="R25" i="20"/>
  <c r="R25" i="18"/>
  <c r="P26" i="19"/>
  <c r="R26" i="20"/>
  <c r="R26" i="18"/>
  <c r="P27" i="19"/>
  <c r="R27" i="20"/>
  <c r="R27" i="18"/>
  <c r="B138" i="19"/>
  <c r="L18" i="19"/>
  <c r="L98" i="19"/>
  <c r="L118" i="19"/>
  <c r="L78" i="19"/>
  <c r="L121" i="19"/>
  <c r="L41" i="19"/>
  <c r="L81" i="19"/>
  <c r="L101" i="19"/>
  <c r="B141" i="19"/>
  <c r="CM35" i="2"/>
  <c r="BR35" i="2" s="1"/>
  <c r="AJ35" i="2" s="1"/>
  <c r="CM34" i="2"/>
  <c r="BR34" i="2" s="1"/>
  <c r="AJ34" i="2" s="1"/>
  <c r="CM31" i="2"/>
  <c r="BR31" i="2" s="1"/>
  <c r="AJ31" i="2" s="1"/>
  <c r="CM27" i="2"/>
  <c r="BR27" i="2" s="1"/>
  <c r="AJ27" i="2" s="1"/>
  <c r="CM23" i="2"/>
  <c r="BR23" i="2" s="1"/>
  <c r="AJ23" i="2" s="1"/>
  <c r="CM10" i="2"/>
  <c r="BR10" i="2" s="1"/>
  <c r="AJ10" i="2" s="1"/>
  <c r="J141" i="19"/>
  <c r="AF58" i="2" s="1"/>
  <c r="CP36" i="2"/>
  <c r="BU36" i="2" s="1"/>
  <c r="AP36" i="2" s="1"/>
  <c r="CP32" i="2"/>
  <c r="BU32" i="2" s="1"/>
  <c r="AP32" i="2" s="1"/>
  <c r="CP27" i="2"/>
  <c r="BU27" i="2" s="1"/>
  <c r="AP27" i="2" s="1"/>
  <c r="CP31" i="2"/>
  <c r="BU31" i="2" s="1"/>
  <c r="AP31" i="2" s="1"/>
  <c r="CP28" i="2"/>
  <c r="BU28" i="2" s="1"/>
  <c r="AP28" i="2" s="1"/>
  <c r="CP24" i="2"/>
  <c r="BU24" i="2" s="1"/>
  <c r="AP24" i="2" s="1"/>
  <c r="CQ10" i="2"/>
  <c r="BV10" i="2" s="1"/>
  <c r="AR10" i="2" s="1"/>
  <c r="AR38" i="2" s="1"/>
  <c r="CQ24" i="2"/>
  <c r="BV24" i="2" s="1"/>
  <c r="AR24" i="2" s="1"/>
  <c r="AS24" i="2" s="1"/>
  <c r="CQ16" i="2"/>
  <c r="BV16" i="2" s="1"/>
  <c r="AR16" i="2" s="1"/>
  <c r="CQ36" i="2"/>
  <c r="BV36" i="2" s="1"/>
  <c r="AR36" i="2" s="1"/>
  <c r="AS36" i="2" s="1"/>
  <c r="CQ35" i="2"/>
  <c r="BV35" i="2" s="1"/>
  <c r="AR35" i="2" s="1"/>
  <c r="AS35" i="2" s="1"/>
  <c r="CQ34" i="2"/>
  <c r="BV34" i="2" s="1"/>
  <c r="AR34" i="2" s="1"/>
  <c r="AS34" i="2" s="1"/>
  <c r="CQ30" i="2"/>
  <c r="BV30" i="2" s="1"/>
  <c r="AR30" i="2" s="1"/>
  <c r="AS30" i="2" s="1"/>
  <c r="CQ31" i="2"/>
  <c r="BV31" i="2" s="1"/>
  <c r="AR31" i="2" s="1"/>
  <c r="AS31" i="2" s="1"/>
  <c r="CQ28" i="2"/>
  <c r="BV28" i="2" s="1"/>
  <c r="AR28" i="2" s="1"/>
  <c r="AS28" i="2" s="1"/>
  <c r="CQ27" i="2"/>
  <c r="BV27" i="2" s="1"/>
  <c r="AR27" i="2" s="1"/>
  <c r="AS27" i="2" s="1"/>
  <c r="L58" i="19"/>
  <c r="L61" i="19"/>
  <c r="L21" i="19"/>
  <c r="L38" i="19"/>
  <c r="CO26" i="2"/>
  <c r="BT26" i="2" s="1"/>
  <c r="AN26" i="2" s="1"/>
  <c r="CO22" i="2"/>
  <c r="BT22" i="2" s="1"/>
  <c r="AN22" i="2" s="1"/>
  <c r="CO18" i="2"/>
  <c r="BT18" i="2" s="1"/>
  <c r="AN18" i="2" s="1"/>
  <c r="CO14" i="2"/>
  <c r="BT14" i="2" s="1"/>
  <c r="AN14" i="2" s="1"/>
  <c r="CO10" i="2"/>
  <c r="BT10" i="2" s="1"/>
  <c r="AN10" i="2" s="1"/>
  <c r="CN35" i="2"/>
  <c r="BS35" i="2" s="1"/>
  <c r="AL35" i="2" s="1"/>
  <c r="CN24" i="2"/>
  <c r="BS24" i="2" s="1"/>
  <c r="AL24" i="2" s="1"/>
  <c r="CN23" i="2"/>
  <c r="BS23" i="2" s="1"/>
  <c r="AL23" i="2" s="1"/>
  <c r="CN20" i="2"/>
  <c r="BS20" i="2" s="1"/>
  <c r="AL20" i="2" s="1"/>
  <c r="CN19" i="2"/>
  <c r="BS19" i="2" s="1"/>
  <c r="AL19" i="2" s="1"/>
  <c r="CN15" i="2"/>
  <c r="BS15" i="2" s="1"/>
  <c r="AL15" i="2" s="1"/>
  <c r="CN11" i="2"/>
  <c r="BS11" i="2" s="1"/>
  <c r="AL11" i="2" s="1"/>
  <c r="CM30" i="2"/>
  <c r="BR30" i="2" s="1"/>
  <c r="AJ30" i="2" s="1"/>
  <c r="CM21" i="2"/>
  <c r="BR21" i="2" s="1"/>
  <c r="AJ21" i="2" s="1"/>
  <c r="CM18" i="2"/>
  <c r="BR18" i="2" s="1"/>
  <c r="AJ18" i="2" s="1"/>
  <c r="CL14" i="2"/>
  <c r="BQ14" i="2" s="1"/>
  <c r="AH14" i="2" s="1"/>
  <c r="CK28" i="2"/>
  <c r="BP28" i="2" s="1"/>
  <c r="AF28" i="2" s="1"/>
  <c r="CK27" i="2"/>
  <c r="BP27" i="2" s="1"/>
  <c r="AF27" i="2" s="1"/>
  <c r="CK24" i="2"/>
  <c r="BP24" i="2" s="1"/>
  <c r="AF24" i="2" s="1"/>
  <c r="CK23" i="2"/>
  <c r="BP23" i="2" s="1"/>
  <c r="AF23" i="2" s="1"/>
  <c r="CK20" i="2"/>
  <c r="BP20" i="2" s="1"/>
  <c r="AF20" i="2" s="1"/>
  <c r="CK16" i="2"/>
  <c r="BP16" i="2" s="1"/>
  <c r="AF16" i="2" s="1"/>
  <c r="CK12" i="2"/>
  <c r="BP12" i="2" s="1"/>
  <c r="AF12" i="2" s="1"/>
  <c r="CJ30" i="2"/>
  <c r="BO30" i="2" s="1"/>
  <c r="AD30" i="2" s="1"/>
  <c r="CJ26" i="2"/>
  <c r="BO26" i="2" s="1"/>
  <c r="AD26" i="2" s="1"/>
  <c r="CJ25" i="2"/>
  <c r="BO25" i="2" s="1"/>
  <c r="AD25" i="2" s="1"/>
  <c r="CJ22" i="2"/>
  <c r="BO22" i="2" s="1"/>
  <c r="AD22" i="2" s="1"/>
  <c r="CJ21" i="2"/>
  <c r="BO21" i="2" s="1"/>
  <c r="AD21" i="2" s="1"/>
  <c r="CJ34" i="2"/>
  <c r="BO34" i="2" s="1"/>
  <c r="AD34" i="2" s="1"/>
  <c r="CJ28" i="2"/>
  <c r="BO28" i="2" s="1"/>
  <c r="AD28" i="2" s="1"/>
  <c r="CJ24" i="2"/>
  <c r="BO24" i="2" s="1"/>
  <c r="AD24" i="2" s="1"/>
  <c r="CI31" i="2"/>
  <c r="BN31" i="2" s="1"/>
  <c r="AB31" i="2" s="1"/>
  <c r="CI28" i="2"/>
  <c r="BN28" i="2" s="1"/>
  <c r="AB28" i="2" s="1"/>
  <c r="CI27" i="2"/>
  <c r="BN27" i="2" s="1"/>
  <c r="AB27" i="2" s="1"/>
  <c r="CI23" i="2"/>
  <c r="BN23" i="2" s="1"/>
  <c r="AB23" i="2" s="1"/>
  <c r="CI19" i="2"/>
  <c r="BN19" i="2" s="1"/>
  <c r="AB19" i="2" s="1"/>
  <c r="CI15" i="2"/>
  <c r="BN15" i="2" s="1"/>
  <c r="AB15" i="2" s="1"/>
  <c r="CI11" i="2"/>
  <c r="BN11" i="2" s="1"/>
  <c r="AB11" i="2" s="1"/>
  <c r="CI36" i="2"/>
  <c r="BN36" i="2" s="1"/>
  <c r="AB36" i="2" s="1"/>
  <c r="CI35" i="2"/>
  <c r="BN35" i="2" s="1"/>
  <c r="AB35" i="2" s="1"/>
  <c r="CI32" i="2"/>
  <c r="BN32" i="2" s="1"/>
  <c r="AB32" i="2" s="1"/>
  <c r="CI24" i="2"/>
  <c r="BN24" i="2" s="1"/>
  <c r="AB24" i="2" s="1"/>
  <c r="CI20" i="2"/>
  <c r="BN20" i="2" s="1"/>
  <c r="AB20" i="2" s="1"/>
  <c r="CI16" i="2"/>
  <c r="BN16" i="2" s="1"/>
  <c r="AB16" i="2" s="1"/>
  <c r="CI12" i="2"/>
  <c r="BN12" i="2" s="1"/>
  <c r="AB12" i="2" s="1"/>
  <c r="CL32" i="2"/>
  <c r="BQ32" i="2" s="1"/>
  <c r="AH32" i="2" s="1"/>
  <c r="CL27" i="2"/>
  <c r="BQ27" i="2" s="1"/>
  <c r="AH27" i="2" s="1"/>
  <c r="CL28" i="2"/>
  <c r="BQ28" i="2" s="1"/>
  <c r="AH28" i="2" s="1"/>
  <c r="CL20" i="2"/>
  <c r="BQ20" i="2" s="1"/>
  <c r="AH20" i="2" s="1"/>
  <c r="CL19" i="2"/>
  <c r="BQ19" i="2" s="1"/>
  <c r="AH19" i="2" s="1"/>
  <c r="CL16" i="2"/>
  <c r="BQ16" i="2" s="1"/>
  <c r="AH16" i="2" s="1"/>
  <c r="CL15" i="2"/>
  <c r="BQ15" i="2" s="1"/>
  <c r="AH15" i="2" s="1"/>
  <c r="CL12" i="2"/>
  <c r="BQ12" i="2" s="1"/>
  <c r="AH12" i="2" s="1"/>
  <c r="CI22" i="2"/>
  <c r="BN22" i="2" s="1"/>
  <c r="AB22" i="2" s="1"/>
  <c r="CI13" i="2"/>
  <c r="BN13" i="2" s="1"/>
  <c r="AB13" i="2" s="1"/>
  <c r="CI25" i="2"/>
  <c r="BN25" i="2" s="1"/>
  <c r="AB25" i="2" s="1"/>
  <c r="CI34" i="2"/>
  <c r="BN34" i="2" s="1"/>
  <c r="AB34" i="2" s="1"/>
  <c r="CQ26" i="2"/>
  <c r="BV26" i="2" s="1"/>
  <c r="AR26" i="2" s="1"/>
  <c r="AS26" i="2" s="1"/>
  <c r="CQ22" i="2"/>
  <c r="BV22" i="2" s="1"/>
  <c r="AR22" i="2" s="1"/>
  <c r="AS22" i="2" s="1"/>
  <c r="CQ18" i="2"/>
  <c r="BV18" i="2" s="1"/>
  <c r="AR18" i="2" s="1"/>
  <c r="AS18" i="2" s="1"/>
  <c r="CP35" i="2"/>
  <c r="BU35" i="2" s="1"/>
  <c r="AP35" i="2" s="1"/>
  <c r="CP16" i="2"/>
  <c r="BU16" i="2" s="1"/>
  <c r="AP16" i="2" s="1"/>
  <c r="CP12" i="2"/>
  <c r="BU12" i="2" s="1"/>
  <c r="AP12" i="2" s="1"/>
  <c r="CP34" i="2"/>
  <c r="BU34" i="2" s="1"/>
  <c r="AP34" i="2" s="1"/>
  <c r="CP30" i="2"/>
  <c r="BU30" i="2" s="1"/>
  <c r="AP30" i="2" s="1"/>
  <c r="CP29" i="2"/>
  <c r="BU29" i="2" s="1"/>
  <c r="AP29" i="2" s="1"/>
  <c r="CP26" i="2"/>
  <c r="BU26" i="2" s="1"/>
  <c r="AP26" i="2" s="1"/>
  <c r="CP25" i="2"/>
  <c r="BU25" i="2" s="1"/>
  <c r="AP25" i="2" s="1"/>
  <c r="CP22" i="2"/>
  <c r="BU22" i="2" s="1"/>
  <c r="AP22" i="2" s="1"/>
  <c r="CP21" i="2"/>
  <c r="BU21" i="2" s="1"/>
  <c r="AP21" i="2" s="1"/>
  <c r="CP14" i="2"/>
  <c r="BU14" i="2" s="1"/>
  <c r="AP14" i="2" s="1"/>
  <c r="CP10" i="2"/>
  <c r="BU10" i="2" s="1"/>
  <c r="AP10" i="2" s="1"/>
  <c r="CO13" i="2"/>
  <c r="BT13" i="2" s="1"/>
  <c r="AN13" i="2" s="1"/>
  <c r="CP9" i="2"/>
  <c r="BU9" i="2" s="1"/>
  <c r="AP9" i="2" s="1"/>
  <c r="BU11" i="2"/>
  <c r="AP11" i="2" s="1"/>
  <c r="BR20" i="2"/>
  <c r="AJ20" i="2" s="1"/>
  <c r="CO34" i="2"/>
  <c r="BT34" i="2" s="1"/>
  <c r="AN34" i="2" s="1"/>
  <c r="CO35" i="2"/>
  <c r="BT35" i="2" s="1"/>
  <c r="AN35" i="2" s="1"/>
  <c r="CO31" i="2"/>
  <c r="BT31" i="2" s="1"/>
  <c r="AN31" i="2" s="1"/>
  <c r="CO30" i="2"/>
  <c r="BT30" i="2" s="1"/>
  <c r="AN30" i="2" s="1"/>
  <c r="CO27" i="2"/>
  <c r="BT27" i="2" s="1"/>
  <c r="AN27" i="2" s="1"/>
  <c r="CO23" i="2"/>
  <c r="BT23" i="2" s="1"/>
  <c r="AN23" i="2" s="1"/>
  <c r="CO19" i="2"/>
  <c r="BT19" i="2" s="1"/>
  <c r="AN19" i="2" s="1"/>
  <c r="CO15" i="2"/>
  <c r="BT15" i="2" s="1"/>
  <c r="AN15" i="2" s="1"/>
  <c r="CO11" i="2"/>
  <c r="BT11" i="2" s="1"/>
  <c r="AN11" i="2" s="1"/>
  <c r="CN26" i="2"/>
  <c r="BS26" i="2" s="1"/>
  <c r="AL26" i="2" s="1"/>
  <c r="CN18" i="2"/>
  <c r="BS18" i="2" s="1"/>
  <c r="AL18" i="2" s="1"/>
  <c r="CN14" i="2"/>
  <c r="BS14" i="2" s="1"/>
  <c r="AL14" i="2" s="1"/>
  <c r="CN10" i="2"/>
  <c r="BS10" i="2" s="1"/>
  <c r="AL10" i="2" s="1"/>
  <c r="CM14" i="2"/>
  <c r="BR14" i="2" s="1"/>
  <c r="AJ14" i="2" s="1"/>
  <c r="CL36" i="2"/>
  <c r="BQ36" i="2" s="1"/>
  <c r="AH36" i="2" s="1"/>
  <c r="CL31" i="2"/>
  <c r="BQ31" i="2" s="1"/>
  <c r="AH31" i="2" s="1"/>
  <c r="CL11" i="2"/>
  <c r="BQ11" i="2" s="1"/>
  <c r="AH11" i="2" s="1"/>
  <c r="CK29" i="2"/>
  <c r="BP29" i="2" s="1"/>
  <c r="AF29" i="2" s="1"/>
  <c r="CJ36" i="2"/>
  <c r="BO36" i="2" s="1"/>
  <c r="AD36" i="2" s="1"/>
  <c r="CJ35" i="2"/>
  <c r="BO35" i="2" s="1"/>
  <c r="AD35" i="2" s="1"/>
  <c r="CJ32" i="2"/>
  <c r="BO32" i="2" s="1"/>
  <c r="AD32" i="2" s="1"/>
  <c r="CJ27" i="2"/>
  <c r="BO27" i="2" s="1"/>
  <c r="AD27" i="2" s="1"/>
  <c r="CJ23" i="2"/>
  <c r="BO23" i="2" s="1"/>
  <c r="AD23" i="2" s="1"/>
  <c r="CJ16" i="2"/>
  <c r="BO16" i="2" s="1"/>
  <c r="AD16" i="2" s="1"/>
  <c r="CJ15" i="2"/>
  <c r="BO15" i="2" s="1"/>
  <c r="AD15" i="2" s="1"/>
  <c r="CJ12" i="2"/>
  <c r="BO12" i="2" s="1"/>
  <c r="AD12" i="2" s="1"/>
  <c r="CK36" i="2"/>
  <c r="BP36" i="2" s="1"/>
  <c r="AF36" i="2" s="1"/>
  <c r="CK32" i="2"/>
  <c r="BP32" i="2" s="1"/>
  <c r="AF32" i="2" s="1"/>
  <c r="CK15" i="2"/>
  <c r="BP15" i="2" s="1"/>
  <c r="AF15" i="2" s="1"/>
  <c r="CJ11" i="2"/>
  <c r="BO11" i="2" s="1"/>
  <c r="AD11" i="2" s="1"/>
  <c r="CJ31" i="2"/>
  <c r="BO31" i="2" s="1"/>
  <c r="AD31" i="2" s="1"/>
  <c r="CJ20" i="2"/>
  <c r="BO20" i="2" s="1"/>
  <c r="AD20" i="2" s="1"/>
  <c r="CI26" i="2"/>
  <c r="BN26" i="2" s="1"/>
  <c r="AB26" i="2" s="1"/>
  <c r="CI21" i="2"/>
  <c r="BN21" i="2" s="1"/>
  <c r="AB21" i="2" s="1"/>
  <c r="CI14" i="2"/>
  <c r="BN14" i="2" s="1"/>
  <c r="AB14" i="2" s="1"/>
  <c r="CI30" i="2"/>
  <c r="BN30" i="2" s="1"/>
  <c r="AB30" i="2" s="1"/>
  <c r="CI18" i="2"/>
  <c r="BN18" i="2" s="1"/>
  <c r="AB18" i="2" s="1"/>
  <c r="CI10" i="2"/>
  <c r="BN10" i="2" s="1"/>
  <c r="AB10" i="2" s="1"/>
  <c r="CM25" i="2"/>
  <c r="BR25" i="2" s="1"/>
  <c r="AJ25" i="2" s="1"/>
  <c r="CL30" i="2"/>
  <c r="BQ30" i="2" s="1"/>
  <c r="AH30" i="2" s="1"/>
  <c r="CL18" i="2"/>
  <c r="BQ18" i="2" s="1"/>
  <c r="AH18" i="2" s="1"/>
  <c r="CK34" i="2"/>
  <c r="BP34" i="2" s="1"/>
  <c r="AF34" i="2" s="1"/>
  <c r="CL35" i="2"/>
  <c r="BQ35" i="2" s="1"/>
  <c r="AH35" i="2" s="1"/>
  <c r="CL23" i="2"/>
  <c r="BQ23" i="2" s="1"/>
  <c r="AH23" i="2" s="1"/>
  <c r="CJ33" i="2"/>
  <c r="BO33" i="2" s="1"/>
  <c r="AD33" i="2" s="1"/>
  <c r="CJ29" i="2"/>
  <c r="BO29" i="2" s="1"/>
  <c r="AD29" i="2" s="1"/>
  <c r="CJ13" i="2"/>
  <c r="BO13" i="2" s="1"/>
  <c r="AD13" i="2" s="1"/>
  <c r="CG24" i="2"/>
  <c r="CG9" i="2"/>
  <c r="BL9" i="2" s="1"/>
  <c r="X9" i="2" s="1"/>
  <c r="AP38" i="2" l="1"/>
  <c r="AN38" i="2"/>
  <c r="AL38" i="2"/>
  <c r="AJ38" i="2"/>
  <c r="AH38" i="2"/>
  <c r="AF38" i="2"/>
  <c r="AD38" i="2"/>
  <c r="AB38" i="2"/>
  <c r="DM110" i="19"/>
  <c r="DM112" i="19"/>
  <c r="DM114" i="19"/>
  <c r="DM116" i="19"/>
  <c r="DM118" i="19"/>
  <c r="DM120" i="19"/>
  <c r="DM122" i="19"/>
  <c r="DM124" i="19"/>
  <c r="DM126" i="19"/>
  <c r="DM9" i="19"/>
  <c r="DM11" i="19"/>
  <c r="DM13" i="19"/>
  <c r="DM15" i="19"/>
  <c r="DM17" i="19"/>
  <c r="DM19" i="19"/>
  <c r="DM21" i="19"/>
  <c r="DM23" i="19"/>
  <c r="DM25" i="19"/>
  <c r="DM27" i="19"/>
  <c r="DM29" i="19"/>
  <c r="DM31" i="19"/>
  <c r="DM33" i="19"/>
  <c r="DM35" i="19"/>
  <c r="DM37" i="19"/>
  <c r="DM39" i="19"/>
  <c r="DM41" i="19"/>
  <c r="DM43" i="19"/>
  <c r="DM45" i="19"/>
  <c r="DM47" i="19"/>
  <c r="DM49" i="19"/>
  <c r="DM51" i="19"/>
  <c r="DM53" i="19"/>
  <c r="DM55" i="19"/>
  <c r="DM57" i="19"/>
  <c r="DM59" i="19"/>
  <c r="DM61" i="19"/>
  <c r="DM63" i="19"/>
  <c r="DM65" i="19"/>
  <c r="DM67" i="19"/>
  <c r="DM69" i="19"/>
  <c r="DM71" i="19"/>
  <c r="DM73" i="19"/>
  <c r="DM75" i="19"/>
  <c r="DM77" i="19"/>
  <c r="DM79" i="19"/>
  <c r="DM81" i="19"/>
  <c r="DM83" i="19"/>
  <c r="DM85" i="19"/>
  <c r="DM87" i="19"/>
  <c r="DM89" i="19"/>
  <c r="DM91" i="19"/>
  <c r="DM93" i="19"/>
  <c r="DM95" i="19"/>
  <c r="DM97" i="19"/>
  <c r="DM99" i="19"/>
  <c r="DM101" i="19"/>
  <c r="DM103" i="19"/>
  <c r="DM105" i="19"/>
  <c r="DM107" i="19"/>
  <c r="DM109" i="19"/>
  <c r="EG127" i="19"/>
  <c r="EG125" i="19"/>
  <c r="EG112" i="19"/>
  <c r="EG114" i="19"/>
  <c r="EG116" i="19"/>
  <c r="EG118" i="19"/>
  <c r="EG120" i="19"/>
  <c r="EG122" i="19"/>
  <c r="EG97" i="19"/>
  <c r="EG99" i="19"/>
  <c r="EG101" i="19"/>
  <c r="EG103" i="19"/>
  <c r="EG105" i="19"/>
  <c r="EG107" i="19"/>
  <c r="EG109" i="19"/>
  <c r="EG111" i="19"/>
  <c r="EG10" i="19"/>
  <c r="EG12" i="19"/>
  <c r="EG14" i="19"/>
  <c r="EG16" i="19"/>
  <c r="EG18" i="19"/>
  <c r="EG20" i="19"/>
  <c r="EG22" i="19"/>
  <c r="EG24" i="19"/>
  <c r="EG26" i="19"/>
  <c r="EG28" i="19"/>
  <c r="EG30" i="19"/>
  <c r="EG32" i="19"/>
  <c r="EG34" i="19"/>
  <c r="EG36" i="19"/>
  <c r="EG38" i="19"/>
  <c r="EG40" i="19"/>
  <c r="EG42" i="19"/>
  <c r="EG44" i="19"/>
  <c r="EG46" i="19"/>
  <c r="EG48" i="19"/>
  <c r="EG50" i="19"/>
  <c r="EG52" i="19"/>
  <c r="EG54" i="19"/>
  <c r="EG56" i="19"/>
  <c r="EG58" i="19"/>
  <c r="EG60" i="19"/>
  <c r="EG62" i="19"/>
  <c r="EG64" i="19"/>
  <c r="EG66" i="19"/>
  <c r="EG68" i="19"/>
  <c r="EG70" i="19"/>
  <c r="EG72" i="19"/>
  <c r="EG74" i="19"/>
  <c r="EG76" i="19"/>
  <c r="EG78" i="19"/>
  <c r="EG80" i="19"/>
  <c r="EG82" i="19"/>
  <c r="EG84" i="19"/>
  <c r="EG86" i="19"/>
  <c r="EG88" i="19"/>
  <c r="EG90" i="19"/>
  <c r="EG92" i="19"/>
  <c r="EG94" i="19"/>
  <c r="EG96" i="19"/>
  <c r="DM111" i="19"/>
  <c r="DM113" i="19"/>
  <c r="DM115" i="19"/>
  <c r="DM117" i="19"/>
  <c r="DM119" i="19"/>
  <c r="DM121" i="19"/>
  <c r="DM123" i="19"/>
  <c r="DM125" i="19"/>
  <c r="DM127" i="19"/>
  <c r="DM10" i="19"/>
  <c r="DM12" i="19"/>
  <c r="DM14" i="19"/>
  <c r="DM16" i="19"/>
  <c r="DM18" i="19"/>
  <c r="DM20" i="19"/>
  <c r="DM22" i="19"/>
  <c r="DM24" i="19"/>
  <c r="DM26" i="19"/>
  <c r="DM28" i="19"/>
  <c r="DM30" i="19"/>
  <c r="DM32" i="19"/>
  <c r="DM34" i="19"/>
  <c r="DM36" i="19"/>
  <c r="DM38" i="19"/>
  <c r="DM40" i="19"/>
  <c r="DM42" i="19"/>
  <c r="DM44" i="19"/>
  <c r="DM46" i="19"/>
  <c r="DM48" i="19"/>
  <c r="DM50" i="19"/>
  <c r="DM52" i="19"/>
  <c r="DM54" i="19"/>
  <c r="DM56" i="19"/>
  <c r="DM58" i="19"/>
  <c r="DM60" i="19"/>
  <c r="DM62" i="19"/>
  <c r="DM64" i="19"/>
  <c r="DM66" i="19"/>
  <c r="DM68" i="19"/>
  <c r="DM70" i="19"/>
  <c r="DM72" i="19"/>
  <c r="DM74" i="19"/>
  <c r="DM76" i="19"/>
  <c r="DM78" i="19"/>
  <c r="DM80" i="19"/>
  <c r="DM82" i="19"/>
  <c r="DM84" i="19"/>
  <c r="DM86" i="19"/>
  <c r="DM88" i="19"/>
  <c r="DM90" i="19"/>
  <c r="DM92" i="19"/>
  <c r="DM94" i="19"/>
  <c r="DM96" i="19"/>
  <c r="DM98" i="19"/>
  <c r="DM100" i="19"/>
  <c r="DM102" i="19"/>
  <c r="DM104" i="19"/>
  <c r="DM106" i="19"/>
  <c r="DM108" i="19"/>
  <c r="EG124" i="19"/>
  <c r="EG126" i="19"/>
  <c r="EG113" i="19"/>
  <c r="EG115" i="19"/>
  <c r="EG117" i="19"/>
  <c r="EG119" i="19"/>
  <c r="EG121" i="19"/>
  <c r="EG123" i="19"/>
  <c r="EG98" i="19"/>
  <c r="EG100" i="19"/>
  <c r="EG102" i="19"/>
  <c r="EG104" i="19"/>
  <c r="EG106" i="19"/>
  <c r="EG108" i="19"/>
  <c r="EG110" i="19"/>
  <c r="EG9" i="19"/>
  <c r="EG11" i="19"/>
  <c r="EG13" i="19"/>
  <c r="EG15" i="19"/>
  <c r="EG17" i="19"/>
  <c r="EG19" i="19"/>
  <c r="EG21" i="19"/>
  <c r="EG23" i="19"/>
  <c r="EG25" i="19"/>
  <c r="EG27" i="19"/>
  <c r="EG29" i="19"/>
  <c r="EG31" i="19"/>
  <c r="EG33" i="19"/>
  <c r="EG35" i="19"/>
  <c r="EG37" i="19"/>
  <c r="EG39" i="19"/>
  <c r="EG41" i="19"/>
  <c r="EG43" i="19"/>
  <c r="EG45" i="19"/>
  <c r="EG47" i="19"/>
  <c r="EG49" i="19"/>
  <c r="EG51" i="19"/>
  <c r="EG53" i="19"/>
  <c r="EG55" i="19"/>
  <c r="EG57" i="19"/>
  <c r="EG59" i="19"/>
  <c r="EG61" i="19"/>
  <c r="EG63" i="19"/>
  <c r="EG65" i="19"/>
  <c r="EG67" i="19"/>
  <c r="EG69" i="19"/>
  <c r="EG71" i="19"/>
  <c r="EG73" i="19"/>
  <c r="EG75" i="19"/>
  <c r="EG77" i="19"/>
  <c r="EG79" i="19"/>
  <c r="EG81" i="19"/>
  <c r="EG83" i="19"/>
  <c r="EG85" i="19"/>
  <c r="EG87" i="19"/>
  <c r="EG89" i="19"/>
  <c r="EG91" i="19"/>
  <c r="EG93" i="19"/>
  <c r="EG95" i="19"/>
  <c r="CS81" i="19"/>
  <c r="CS83" i="19"/>
  <c r="CS22" i="19"/>
  <c r="CS24" i="19"/>
  <c r="CS26" i="19"/>
  <c r="CS10" i="19"/>
  <c r="CS12" i="19"/>
  <c r="CS14" i="19"/>
  <c r="CS16" i="19"/>
  <c r="CS18" i="19"/>
  <c r="CS20" i="19"/>
  <c r="BY107" i="19"/>
  <c r="BY109" i="19"/>
  <c r="BY111" i="19"/>
  <c r="BY113" i="19"/>
  <c r="BY115" i="19"/>
  <c r="BY117" i="19"/>
  <c r="BY119" i="19"/>
  <c r="BY121" i="19"/>
  <c r="BY123" i="19"/>
  <c r="BY125" i="19"/>
  <c r="BY127" i="19"/>
  <c r="BY10" i="19"/>
  <c r="BY12" i="19"/>
  <c r="BY14" i="19"/>
  <c r="BY16" i="19"/>
  <c r="BY18" i="19"/>
  <c r="BY20" i="19"/>
  <c r="BY22" i="19"/>
  <c r="BY24" i="19"/>
  <c r="BY26" i="19"/>
  <c r="BY28" i="19"/>
  <c r="BY30" i="19"/>
  <c r="BY32" i="19"/>
  <c r="BY34" i="19"/>
  <c r="BY36" i="19"/>
  <c r="BY38" i="19"/>
  <c r="BY40" i="19"/>
  <c r="BY42" i="19"/>
  <c r="BY44" i="19"/>
  <c r="BY46" i="19"/>
  <c r="BY48" i="19"/>
  <c r="BY50" i="19"/>
  <c r="BY52" i="19"/>
  <c r="BY54" i="19"/>
  <c r="BY56" i="19"/>
  <c r="BY58" i="19"/>
  <c r="BY60" i="19"/>
  <c r="BY62" i="19"/>
  <c r="BY64" i="19"/>
  <c r="BY66" i="19"/>
  <c r="BY68" i="19"/>
  <c r="BY70" i="19"/>
  <c r="BY72" i="19"/>
  <c r="BY74" i="19"/>
  <c r="BY76" i="19"/>
  <c r="BY78" i="19"/>
  <c r="BY80" i="19"/>
  <c r="BY82" i="19"/>
  <c r="BY84" i="19"/>
  <c r="BY86" i="19"/>
  <c r="BY88" i="19"/>
  <c r="BY90" i="19"/>
  <c r="BY92" i="19"/>
  <c r="BY94" i="19"/>
  <c r="BY96" i="19"/>
  <c r="BY98" i="19"/>
  <c r="BY100" i="19"/>
  <c r="BY102" i="19"/>
  <c r="BY104" i="19"/>
  <c r="BY106" i="19"/>
  <c r="BE12" i="19"/>
  <c r="BE14" i="19"/>
  <c r="BE16" i="19"/>
  <c r="BE18" i="19"/>
  <c r="BE20" i="19"/>
  <c r="BE22" i="19"/>
  <c r="BE24" i="19"/>
  <c r="BE26" i="19"/>
  <c r="BE28" i="19"/>
  <c r="BE30" i="19"/>
  <c r="BE32" i="19"/>
  <c r="BE34" i="19"/>
  <c r="BE36" i="19"/>
  <c r="BE38" i="19"/>
  <c r="BE40" i="19"/>
  <c r="BE42" i="19"/>
  <c r="BE44" i="19"/>
  <c r="BE46" i="19"/>
  <c r="BE48" i="19"/>
  <c r="BE50" i="19"/>
  <c r="BE52" i="19"/>
  <c r="BE54" i="19"/>
  <c r="BE56" i="19"/>
  <c r="BE58" i="19"/>
  <c r="BE60" i="19"/>
  <c r="BE62" i="19"/>
  <c r="BE64" i="19"/>
  <c r="BE66" i="19"/>
  <c r="BE68" i="19"/>
  <c r="BE70" i="19"/>
  <c r="BE72" i="19"/>
  <c r="BE74" i="19"/>
  <c r="BE76" i="19"/>
  <c r="BE78" i="19"/>
  <c r="CS95" i="19"/>
  <c r="CS97" i="19"/>
  <c r="CS99" i="19"/>
  <c r="CS101" i="19"/>
  <c r="CS103" i="19"/>
  <c r="CS105" i="19"/>
  <c r="CS107" i="19"/>
  <c r="CS109" i="19"/>
  <c r="CS111" i="19"/>
  <c r="CS113" i="19"/>
  <c r="CS115" i="19"/>
  <c r="CS117" i="19"/>
  <c r="CS119" i="19"/>
  <c r="CS121" i="19"/>
  <c r="CS123" i="19"/>
  <c r="CS125" i="19"/>
  <c r="CS127" i="19"/>
  <c r="CS85" i="19"/>
  <c r="CS87" i="19"/>
  <c r="CS89" i="19"/>
  <c r="CS91" i="19"/>
  <c r="CS93" i="19"/>
  <c r="CS27" i="19"/>
  <c r="CS29" i="19"/>
  <c r="CS31" i="19"/>
  <c r="CS33" i="19"/>
  <c r="CS35" i="19"/>
  <c r="CS37" i="19"/>
  <c r="CS39" i="19"/>
  <c r="CS41" i="19"/>
  <c r="CS43" i="19"/>
  <c r="CS82" i="19"/>
  <c r="CS21" i="19"/>
  <c r="CS23" i="19"/>
  <c r="CS25" i="19"/>
  <c r="CS9" i="19"/>
  <c r="CS11" i="19"/>
  <c r="CS13" i="19"/>
  <c r="CS15" i="19"/>
  <c r="CS17" i="19"/>
  <c r="CS19" i="19"/>
  <c r="BY108" i="19"/>
  <c r="BY110" i="19"/>
  <c r="BY112" i="19"/>
  <c r="BY114" i="19"/>
  <c r="BY116" i="19"/>
  <c r="BY118" i="19"/>
  <c r="BY120" i="19"/>
  <c r="BY122" i="19"/>
  <c r="BY124" i="19"/>
  <c r="BY126" i="19"/>
  <c r="BY9" i="19"/>
  <c r="BY11" i="19"/>
  <c r="BY13" i="19"/>
  <c r="BY15" i="19"/>
  <c r="BY17" i="19"/>
  <c r="BY19" i="19"/>
  <c r="BY21" i="19"/>
  <c r="BY23" i="19"/>
  <c r="BY25" i="19"/>
  <c r="BY27" i="19"/>
  <c r="BY29" i="19"/>
  <c r="BY31" i="19"/>
  <c r="BY33" i="19"/>
  <c r="BY35" i="19"/>
  <c r="BY37" i="19"/>
  <c r="BY39" i="19"/>
  <c r="BY41" i="19"/>
  <c r="BY43" i="19"/>
  <c r="BY45" i="19"/>
  <c r="BY47" i="19"/>
  <c r="BY49" i="19"/>
  <c r="BY51" i="19"/>
  <c r="BY53" i="19"/>
  <c r="BY55" i="19"/>
  <c r="BY57" i="19"/>
  <c r="BY59" i="19"/>
  <c r="BY61" i="19"/>
  <c r="BY63" i="19"/>
  <c r="BY65" i="19"/>
  <c r="BY67" i="19"/>
  <c r="BY69" i="19"/>
  <c r="BY71" i="19"/>
  <c r="BY73" i="19"/>
  <c r="BY75" i="19"/>
  <c r="BY77" i="19"/>
  <c r="BY79" i="19"/>
  <c r="BY81" i="19"/>
  <c r="BY83" i="19"/>
  <c r="BY85" i="19"/>
  <c r="BY87" i="19"/>
  <c r="BY89" i="19"/>
  <c r="BY91" i="19"/>
  <c r="BY93" i="19"/>
  <c r="BY95" i="19"/>
  <c r="BY97" i="19"/>
  <c r="BY99" i="19"/>
  <c r="BY101" i="19"/>
  <c r="BY103" i="19"/>
  <c r="BY105" i="19"/>
  <c r="CS96" i="19"/>
  <c r="CS98" i="19"/>
  <c r="CS100" i="19"/>
  <c r="CS102" i="19"/>
  <c r="CS104" i="19"/>
  <c r="CS106" i="19"/>
  <c r="CS108" i="19"/>
  <c r="CS110" i="19"/>
  <c r="CS112" i="19"/>
  <c r="CS114" i="19"/>
  <c r="CS116" i="19"/>
  <c r="CS118" i="19"/>
  <c r="CS120" i="19"/>
  <c r="CS122" i="19"/>
  <c r="CS124" i="19"/>
  <c r="CS126" i="19"/>
  <c r="CS84" i="19"/>
  <c r="CS86" i="19"/>
  <c r="CS88" i="19"/>
  <c r="CS90" i="19"/>
  <c r="CS92" i="19"/>
  <c r="CS94" i="19"/>
  <c r="CS28" i="19"/>
  <c r="CS30" i="19"/>
  <c r="CS32" i="19"/>
  <c r="CS34" i="19"/>
  <c r="CS36" i="19"/>
  <c r="CS38" i="19"/>
  <c r="CS40" i="19"/>
  <c r="CS42" i="19"/>
  <c r="CS44" i="19"/>
  <c r="CS46" i="19"/>
  <c r="CS48" i="19"/>
  <c r="CS50" i="19"/>
  <c r="CS52" i="19"/>
  <c r="CS54" i="19"/>
  <c r="CS56" i="19"/>
  <c r="CS58" i="19"/>
  <c r="CS60" i="19"/>
  <c r="CS62" i="19"/>
  <c r="CS64" i="19"/>
  <c r="CS66" i="19"/>
  <c r="CS68" i="19"/>
  <c r="CS70" i="19"/>
  <c r="CS72" i="19"/>
  <c r="CS74" i="19"/>
  <c r="CS76" i="19"/>
  <c r="CS78" i="19"/>
  <c r="CS80" i="19"/>
  <c r="CS47" i="19"/>
  <c r="CS55" i="19"/>
  <c r="CS63" i="19"/>
  <c r="CS71" i="19"/>
  <c r="CS79" i="19"/>
  <c r="BE13" i="19"/>
  <c r="BE17" i="19"/>
  <c r="BE21" i="19"/>
  <c r="BE25" i="19"/>
  <c r="BE29" i="19"/>
  <c r="BE33" i="19"/>
  <c r="BE37" i="19"/>
  <c r="BE41" i="19"/>
  <c r="BE45" i="19"/>
  <c r="BE49" i="19"/>
  <c r="BE53" i="19"/>
  <c r="BE57" i="19"/>
  <c r="BE61" i="19"/>
  <c r="BE65" i="19"/>
  <c r="BE69" i="19"/>
  <c r="BE73" i="19"/>
  <c r="BE77" i="19"/>
  <c r="CS61" i="19"/>
  <c r="BE84" i="19"/>
  <c r="BE86" i="19"/>
  <c r="BE92" i="19"/>
  <c r="BE94" i="19"/>
  <c r="BE96" i="19"/>
  <c r="BE104" i="19"/>
  <c r="BE108" i="19"/>
  <c r="BE114" i="19"/>
  <c r="BE116" i="19"/>
  <c r="BE124" i="19"/>
  <c r="BE126" i="19"/>
  <c r="CS49" i="19"/>
  <c r="CS57" i="19"/>
  <c r="CS65" i="19"/>
  <c r="CS73" i="19"/>
  <c r="BE79" i="19"/>
  <c r="BE81" i="19"/>
  <c r="BE83" i="19"/>
  <c r="BE85" i="19"/>
  <c r="BE87" i="19"/>
  <c r="BE89" i="19"/>
  <c r="BE91" i="19"/>
  <c r="BE93" i="19"/>
  <c r="BE95" i="19"/>
  <c r="BE97" i="19"/>
  <c r="BE99" i="19"/>
  <c r="BE101" i="19"/>
  <c r="BE103" i="19"/>
  <c r="BE105" i="19"/>
  <c r="BE107" i="19"/>
  <c r="BE109" i="19"/>
  <c r="BE111" i="19"/>
  <c r="BE113" i="19"/>
  <c r="BE115" i="19"/>
  <c r="BE117" i="19"/>
  <c r="BE119" i="19"/>
  <c r="BE121" i="19"/>
  <c r="BE123" i="19"/>
  <c r="BE125" i="19"/>
  <c r="BE127" i="19"/>
  <c r="CS53" i="19"/>
  <c r="CS69" i="19"/>
  <c r="CS77" i="19"/>
  <c r="BE100" i="19"/>
  <c r="BE102" i="19"/>
  <c r="BE106" i="19"/>
  <c r="BE118" i="19"/>
  <c r="CS51" i="19"/>
  <c r="CS59" i="19"/>
  <c r="CS67" i="19"/>
  <c r="CS75" i="19"/>
  <c r="BE15" i="19"/>
  <c r="BE19" i="19"/>
  <c r="BE23" i="19"/>
  <c r="BE27" i="19"/>
  <c r="BE31" i="19"/>
  <c r="BE35" i="19"/>
  <c r="BE39" i="19"/>
  <c r="BE43" i="19"/>
  <c r="BE47" i="19"/>
  <c r="BE51" i="19"/>
  <c r="BE55" i="19"/>
  <c r="BE59" i="19"/>
  <c r="BE63" i="19"/>
  <c r="BE67" i="19"/>
  <c r="BE71" i="19"/>
  <c r="BE75" i="19"/>
  <c r="CS45" i="19"/>
  <c r="BE80" i="19"/>
  <c r="BE82" i="19"/>
  <c r="BE88" i="19"/>
  <c r="BE90" i="19"/>
  <c r="BE98" i="19"/>
  <c r="BE110" i="19"/>
  <c r="BE112" i="19"/>
  <c r="BE120" i="19"/>
  <c r="BE122" i="19"/>
  <c r="FE9" i="20"/>
  <c r="FI9" i="20"/>
  <c r="FE10" i="20"/>
  <c r="FI10" i="20"/>
  <c r="FF9" i="20"/>
  <c r="FJ9" i="20"/>
  <c r="FF10" i="20"/>
  <c r="FJ10" i="20"/>
  <c r="FF11" i="20"/>
  <c r="FJ11" i="20"/>
  <c r="FF12" i="20"/>
  <c r="FJ12" i="20"/>
  <c r="FF13" i="20"/>
  <c r="FJ13" i="20"/>
  <c r="FF14" i="20"/>
  <c r="FJ14" i="20"/>
  <c r="FF15" i="20"/>
  <c r="FJ15" i="20"/>
  <c r="FF16" i="20"/>
  <c r="FJ16" i="20"/>
  <c r="FF17" i="20"/>
  <c r="FJ17" i="20"/>
  <c r="FF18" i="20"/>
  <c r="FJ18" i="20"/>
  <c r="FD9" i="20"/>
  <c r="FH9" i="20"/>
  <c r="FD10" i="20"/>
  <c r="FH10" i="20"/>
  <c r="FD11" i="20"/>
  <c r="FH11" i="20"/>
  <c r="FD12" i="20"/>
  <c r="FH12" i="20"/>
  <c r="FD13" i="20"/>
  <c r="FH13" i="20"/>
  <c r="FD14" i="20"/>
  <c r="FH14" i="20"/>
  <c r="FD15" i="20"/>
  <c r="FH15" i="20"/>
  <c r="FD16" i="20"/>
  <c r="FH16" i="20"/>
  <c r="FD17" i="20"/>
  <c r="FH17" i="20"/>
  <c r="FG9" i="20"/>
  <c r="FG10" i="20"/>
  <c r="FE11" i="20"/>
  <c r="FE12" i="20"/>
  <c r="FE13" i="20"/>
  <c r="FE14" i="20"/>
  <c r="FE15" i="20"/>
  <c r="FE16" i="20"/>
  <c r="FE17" i="20"/>
  <c r="FC18" i="20"/>
  <c r="FH18" i="20"/>
  <c r="FF19" i="20"/>
  <c r="FJ19" i="20"/>
  <c r="FF20" i="20"/>
  <c r="FJ20" i="20"/>
  <c r="FF21" i="20"/>
  <c r="FJ21" i="20"/>
  <c r="FF22" i="20"/>
  <c r="FJ22" i="20"/>
  <c r="FF23" i="20"/>
  <c r="FJ23" i="20"/>
  <c r="FF24" i="20"/>
  <c r="FJ24" i="20"/>
  <c r="FF25" i="20"/>
  <c r="FJ25" i="20"/>
  <c r="FF26" i="20"/>
  <c r="FJ26" i="20"/>
  <c r="FF27" i="20"/>
  <c r="FJ27" i="20"/>
  <c r="FF28" i="20"/>
  <c r="FJ28" i="20"/>
  <c r="FF29" i="20"/>
  <c r="FJ29" i="20"/>
  <c r="FF30" i="20"/>
  <c r="FJ30" i="20"/>
  <c r="FF31" i="20"/>
  <c r="FJ31" i="20"/>
  <c r="FF32" i="20"/>
  <c r="FJ32" i="20"/>
  <c r="FF33" i="20"/>
  <c r="FJ33" i="20"/>
  <c r="FF34" i="20"/>
  <c r="FJ34" i="20"/>
  <c r="FF35" i="20"/>
  <c r="FJ35" i="20"/>
  <c r="FF36" i="20"/>
  <c r="FJ36" i="20"/>
  <c r="FF37" i="20"/>
  <c r="FJ37" i="20"/>
  <c r="FF38" i="20"/>
  <c r="FJ38" i="20"/>
  <c r="FF39" i="20"/>
  <c r="FJ39" i="20"/>
  <c r="FF40" i="20"/>
  <c r="FJ40" i="20"/>
  <c r="FF41" i="20"/>
  <c r="FJ41" i="20"/>
  <c r="FF42" i="20"/>
  <c r="FJ42" i="20"/>
  <c r="FF43" i="20"/>
  <c r="FJ43" i="20"/>
  <c r="FF44" i="20"/>
  <c r="FJ44" i="20"/>
  <c r="FF45" i="20"/>
  <c r="FJ45" i="20"/>
  <c r="FF46" i="20"/>
  <c r="FJ46" i="20"/>
  <c r="FF47" i="20"/>
  <c r="FJ47" i="20"/>
  <c r="FF48" i="20"/>
  <c r="FJ48" i="20"/>
  <c r="FF49" i="20"/>
  <c r="FJ49" i="20"/>
  <c r="FF50" i="20"/>
  <c r="FJ50" i="20"/>
  <c r="FF51" i="20"/>
  <c r="FJ51" i="20"/>
  <c r="FF52" i="20"/>
  <c r="FJ52" i="20"/>
  <c r="FF53" i="20"/>
  <c r="FJ53" i="20"/>
  <c r="FF54" i="20"/>
  <c r="FJ54" i="20"/>
  <c r="FF55" i="20"/>
  <c r="FJ55" i="20"/>
  <c r="FF56" i="20"/>
  <c r="FJ56" i="20"/>
  <c r="FF57" i="20"/>
  <c r="FJ57" i="20"/>
  <c r="FF58" i="20"/>
  <c r="FJ58" i="20"/>
  <c r="FF59" i="20"/>
  <c r="FJ59" i="20"/>
  <c r="FF60" i="20"/>
  <c r="FJ60" i="20"/>
  <c r="FF61" i="20"/>
  <c r="FJ61" i="20"/>
  <c r="FF62" i="20"/>
  <c r="FJ62" i="20"/>
  <c r="FF63" i="20"/>
  <c r="FJ63" i="20"/>
  <c r="FF64" i="20"/>
  <c r="FJ64" i="20"/>
  <c r="FF65" i="20"/>
  <c r="FJ65" i="20"/>
  <c r="FF66" i="20"/>
  <c r="FJ66" i="20"/>
  <c r="FF67" i="20"/>
  <c r="FJ67" i="20"/>
  <c r="FF68" i="20"/>
  <c r="FJ68" i="20"/>
  <c r="FF69" i="20"/>
  <c r="FJ69" i="20"/>
  <c r="FF70" i="20"/>
  <c r="FJ70" i="20"/>
  <c r="FF71" i="20"/>
  <c r="FJ71" i="20"/>
  <c r="FF72" i="20"/>
  <c r="FJ72" i="20"/>
  <c r="FF73" i="20"/>
  <c r="FJ73" i="20"/>
  <c r="FF74" i="20"/>
  <c r="FJ74" i="20"/>
  <c r="FF75" i="20"/>
  <c r="FJ75" i="20"/>
  <c r="FF76" i="20"/>
  <c r="FJ76" i="20"/>
  <c r="FF77" i="20"/>
  <c r="FJ77" i="20"/>
  <c r="FF78" i="20"/>
  <c r="FJ78" i="20"/>
  <c r="FF79" i="20"/>
  <c r="FJ79" i="20"/>
  <c r="FF80" i="20"/>
  <c r="FJ80" i="20"/>
  <c r="FF81" i="20"/>
  <c r="FJ81" i="20"/>
  <c r="FF82" i="20"/>
  <c r="FJ82" i="20"/>
  <c r="FF83" i="20"/>
  <c r="FJ83" i="20"/>
  <c r="FF84" i="20"/>
  <c r="FJ84" i="20"/>
  <c r="FF85" i="20"/>
  <c r="FJ85" i="20"/>
  <c r="FF86" i="20"/>
  <c r="FJ86" i="20"/>
  <c r="FF87" i="20"/>
  <c r="FJ87" i="20"/>
  <c r="FF88" i="20"/>
  <c r="FJ88" i="20"/>
  <c r="FF89" i="20"/>
  <c r="FJ89" i="20"/>
  <c r="FF90" i="20"/>
  <c r="FJ90" i="20"/>
  <c r="FF91" i="20"/>
  <c r="FJ91" i="20"/>
  <c r="FF92" i="20"/>
  <c r="FJ92" i="20"/>
  <c r="FF93" i="20"/>
  <c r="FJ93" i="20"/>
  <c r="FF94" i="20"/>
  <c r="FJ94" i="20"/>
  <c r="FF95" i="20"/>
  <c r="FJ95" i="20"/>
  <c r="FF96" i="20"/>
  <c r="FJ96" i="20"/>
  <c r="FF97" i="20"/>
  <c r="FJ97" i="20"/>
  <c r="FF98" i="20"/>
  <c r="FJ98" i="20"/>
  <c r="FF99" i="20"/>
  <c r="FG11" i="20"/>
  <c r="FG12" i="20"/>
  <c r="FG13" i="20"/>
  <c r="FG14" i="20"/>
  <c r="FG15" i="20"/>
  <c r="FG16" i="20"/>
  <c r="FG17" i="20"/>
  <c r="FD18" i="20"/>
  <c r="FI18" i="20"/>
  <c r="FC19" i="20"/>
  <c r="FG19" i="20"/>
  <c r="FC20" i="20"/>
  <c r="FG20" i="20"/>
  <c r="FC21" i="20"/>
  <c r="FG21" i="20"/>
  <c r="FC22" i="20"/>
  <c r="FG22" i="20"/>
  <c r="FC23" i="20"/>
  <c r="FG23" i="20"/>
  <c r="FC24" i="20"/>
  <c r="FG24" i="20"/>
  <c r="FC25" i="20"/>
  <c r="FG25" i="20"/>
  <c r="FC26" i="20"/>
  <c r="FG26" i="20"/>
  <c r="FC27" i="20"/>
  <c r="FG27" i="20"/>
  <c r="FC28" i="20"/>
  <c r="FG28" i="20"/>
  <c r="FC29" i="20"/>
  <c r="FG29" i="20"/>
  <c r="FC30" i="20"/>
  <c r="FG30" i="20"/>
  <c r="FC31" i="20"/>
  <c r="FG31" i="20"/>
  <c r="FC32" i="20"/>
  <c r="FG32" i="20"/>
  <c r="FC33" i="20"/>
  <c r="FG33" i="20"/>
  <c r="FC34" i="20"/>
  <c r="FG34" i="20"/>
  <c r="FC35" i="20"/>
  <c r="FG35" i="20"/>
  <c r="FC36" i="20"/>
  <c r="FG36" i="20"/>
  <c r="FC37" i="20"/>
  <c r="FG37" i="20"/>
  <c r="FC38" i="20"/>
  <c r="FG38" i="20"/>
  <c r="FC39" i="20"/>
  <c r="FG39" i="20"/>
  <c r="FC40" i="20"/>
  <c r="FG40" i="20"/>
  <c r="FC41" i="20"/>
  <c r="FG41" i="20"/>
  <c r="FC42" i="20"/>
  <c r="FG42" i="20"/>
  <c r="FC43" i="20"/>
  <c r="FG43" i="20"/>
  <c r="FC44" i="20"/>
  <c r="FG44" i="20"/>
  <c r="FC45" i="20"/>
  <c r="FG45" i="20"/>
  <c r="FC46" i="20"/>
  <c r="FG46" i="20"/>
  <c r="FC47" i="20"/>
  <c r="FG47" i="20"/>
  <c r="FC48" i="20"/>
  <c r="FG48" i="20"/>
  <c r="FC49" i="20"/>
  <c r="FG49" i="20"/>
  <c r="FC50" i="20"/>
  <c r="FG50" i="20"/>
  <c r="FC51" i="20"/>
  <c r="FG51" i="20"/>
  <c r="FC52" i="20"/>
  <c r="FG52" i="20"/>
  <c r="FC53" i="20"/>
  <c r="FG53" i="20"/>
  <c r="FC54" i="20"/>
  <c r="FG54" i="20"/>
  <c r="FC55" i="20"/>
  <c r="FG55" i="20"/>
  <c r="FC56" i="20"/>
  <c r="FG56" i="20"/>
  <c r="FC57" i="20"/>
  <c r="FG57" i="20"/>
  <c r="FC58" i="20"/>
  <c r="FG58" i="20"/>
  <c r="FC59" i="20"/>
  <c r="FG59" i="20"/>
  <c r="FC60" i="20"/>
  <c r="FG60" i="20"/>
  <c r="FC61" i="20"/>
  <c r="FG61" i="20"/>
  <c r="FC62" i="20"/>
  <c r="FG62" i="20"/>
  <c r="FC63" i="20"/>
  <c r="FG63" i="20"/>
  <c r="FC64" i="20"/>
  <c r="FG64" i="20"/>
  <c r="FC65" i="20"/>
  <c r="FG65" i="20"/>
  <c r="FC66" i="20"/>
  <c r="FG66" i="20"/>
  <c r="FC67" i="20"/>
  <c r="FG67" i="20"/>
  <c r="FC68" i="20"/>
  <c r="FG68" i="20"/>
  <c r="FC69" i="20"/>
  <c r="FG69" i="20"/>
  <c r="FC70" i="20"/>
  <c r="FG70" i="20"/>
  <c r="FC71" i="20"/>
  <c r="FG71" i="20"/>
  <c r="FC72" i="20"/>
  <c r="FG72" i="20"/>
  <c r="FC73" i="20"/>
  <c r="FG73" i="20"/>
  <c r="FC74" i="20"/>
  <c r="FG74" i="20"/>
  <c r="FC75" i="20"/>
  <c r="FG75" i="20"/>
  <c r="FC76" i="20"/>
  <c r="FG76" i="20"/>
  <c r="FC77" i="20"/>
  <c r="FG77" i="20"/>
  <c r="FC78" i="20"/>
  <c r="FG78" i="20"/>
  <c r="FC79" i="20"/>
  <c r="FG79" i="20"/>
  <c r="FC80" i="20"/>
  <c r="FG80" i="20"/>
  <c r="FC81" i="20"/>
  <c r="FG81" i="20"/>
  <c r="FC82" i="20"/>
  <c r="FG82" i="20"/>
  <c r="FC83" i="20"/>
  <c r="FG83" i="20"/>
  <c r="FC84" i="20"/>
  <c r="FG84" i="20"/>
  <c r="FC85" i="20"/>
  <c r="FG85" i="20"/>
  <c r="FC86" i="20"/>
  <c r="FG86" i="20"/>
  <c r="FC87" i="20"/>
  <c r="FG87" i="20"/>
  <c r="FC88" i="20"/>
  <c r="FG88" i="20"/>
  <c r="FC89" i="20"/>
  <c r="FG89" i="20"/>
  <c r="FC90" i="20"/>
  <c r="FG90" i="20"/>
  <c r="FC91" i="20"/>
  <c r="FG91" i="20"/>
  <c r="FC92" i="20"/>
  <c r="FG92" i="20"/>
  <c r="FC93" i="20"/>
  <c r="FG93" i="20"/>
  <c r="FC94" i="20"/>
  <c r="FG94" i="20"/>
  <c r="FC95" i="20"/>
  <c r="FG95" i="20"/>
  <c r="FC96" i="20"/>
  <c r="FG96" i="20"/>
  <c r="FC97" i="20"/>
  <c r="FG97" i="20"/>
  <c r="FI11" i="20"/>
  <c r="FI12" i="20"/>
  <c r="FI13" i="20"/>
  <c r="FI14" i="20"/>
  <c r="FI15" i="20"/>
  <c r="FI16" i="20"/>
  <c r="FI17" i="20"/>
  <c r="FE18" i="20"/>
  <c r="FD19" i="20"/>
  <c r="FH19" i="20"/>
  <c r="FD20" i="20"/>
  <c r="FH20" i="20"/>
  <c r="FD21" i="20"/>
  <c r="FH21" i="20"/>
  <c r="FD22" i="20"/>
  <c r="FH22" i="20"/>
  <c r="FD23" i="20"/>
  <c r="FH23" i="20"/>
  <c r="FD24" i="20"/>
  <c r="FH24" i="20"/>
  <c r="FD25" i="20"/>
  <c r="FH25" i="20"/>
  <c r="FD26" i="20"/>
  <c r="FH26" i="20"/>
  <c r="FD27" i="20"/>
  <c r="FH27" i="20"/>
  <c r="FD28" i="20"/>
  <c r="FH28" i="20"/>
  <c r="FD29" i="20"/>
  <c r="FH29" i="20"/>
  <c r="FD30" i="20"/>
  <c r="FH30" i="20"/>
  <c r="FD31" i="20"/>
  <c r="FH31" i="20"/>
  <c r="FD32" i="20"/>
  <c r="FH32" i="20"/>
  <c r="FD33" i="20"/>
  <c r="FH33" i="20"/>
  <c r="FD34" i="20"/>
  <c r="FH34" i="20"/>
  <c r="FD35" i="20"/>
  <c r="FH35" i="20"/>
  <c r="FD36" i="20"/>
  <c r="FH36" i="20"/>
  <c r="FD37" i="20"/>
  <c r="FH37" i="20"/>
  <c r="FD38" i="20"/>
  <c r="FH38" i="20"/>
  <c r="FD39" i="20"/>
  <c r="FH39" i="20"/>
  <c r="FD40" i="20"/>
  <c r="FH40" i="20"/>
  <c r="FD41" i="20"/>
  <c r="FH41" i="20"/>
  <c r="FD42" i="20"/>
  <c r="FH42" i="20"/>
  <c r="FD43" i="20"/>
  <c r="FH43" i="20"/>
  <c r="FD44" i="20"/>
  <c r="FH44" i="20"/>
  <c r="FD45" i="20"/>
  <c r="FH45" i="20"/>
  <c r="FD46" i="20"/>
  <c r="FH46" i="20"/>
  <c r="FD47" i="20"/>
  <c r="FH47" i="20"/>
  <c r="FD48" i="20"/>
  <c r="FH48" i="20"/>
  <c r="FD49" i="20"/>
  <c r="FH49" i="20"/>
  <c r="FD50" i="20"/>
  <c r="FH50" i="20"/>
  <c r="FD51" i="20"/>
  <c r="FH51" i="20"/>
  <c r="FD52" i="20"/>
  <c r="FH52" i="20"/>
  <c r="FD53" i="20"/>
  <c r="FH53" i="20"/>
  <c r="FD54" i="20"/>
  <c r="FH54" i="20"/>
  <c r="FD55" i="20"/>
  <c r="FH55" i="20"/>
  <c r="FD56" i="20"/>
  <c r="FH56" i="20"/>
  <c r="FD57" i="20"/>
  <c r="FH57" i="20"/>
  <c r="FD58" i="20"/>
  <c r="FH58" i="20"/>
  <c r="FD59" i="20"/>
  <c r="FH59" i="20"/>
  <c r="FD60" i="20"/>
  <c r="FH60" i="20"/>
  <c r="FD61" i="20"/>
  <c r="FH61" i="20"/>
  <c r="FD62" i="20"/>
  <c r="FH62" i="20"/>
  <c r="FD63" i="20"/>
  <c r="FH63" i="20"/>
  <c r="FD64" i="20"/>
  <c r="FH64" i="20"/>
  <c r="FD65" i="20"/>
  <c r="FH65" i="20"/>
  <c r="FD66" i="20"/>
  <c r="FH66" i="20"/>
  <c r="FD67" i="20"/>
  <c r="FH67" i="20"/>
  <c r="FD68" i="20"/>
  <c r="FH68" i="20"/>
  <c r="FD69" i="20"/>
  <c r="FH69" i="20"/>
  <c r="FD70" i="20"/>
  <c r="FH70" i="20"/>
  <c r="FD71" i="20"/>
  <c r="FH71" i="20"/>
  <c r="FD72" i="20"/>
  <c r="FH72" i="20"/>
  <c r="FD73" i="20"/>
  <c r="FH73" i="20"/>
  <c r="FD74" i="20"/>
  <c r="FH74" i="20"/>
  <c r="FD75" i="20"/>
  <c r="FH75" i="20"/>
  <c r="FD76" i="20"/>
  <c r="FH76" i="20"/>
  <c r="FD77" i="20"/>
  <c r="FH77" i="20"/>
  <c r="FD78" i="20"/>
  <c r="FH78" i="20"/>
  <c r="FD79" i="20"/>
  <c r="FH79" i="20"/>
  <c r="FD80" i="20"/>
  <c r="FH80" i="20"/>
  <c r="FD81" i="20"/>
  <c r="FH81" i="20"/>
  <c r="FD82" i="20"/>
  <c r="FH82" i="20"/>
  <c r="FD83" i="20"/>
  <c r="FH83" i="20"/>
  <c r="FD84" i="20"/>
  <c r="FH84" i="20"/>
  <c r="FD85" i="20"/>
  <c r="FH85" i="20"/>
  <c r="FD86" i="20"/>
  <c r="FH86" i="20"/>
  <c r="FD87" i="20"/>
  <c r="FH87" i="20"/>
  <c r="FD88" i="20"/>
  <c r="FH88" i="20"/>
  <c r="FD89" i="20"/>
  <c r="FH89" i="20"/>
  <c r="FD90" i="20"/>
  <c r="FH90" i="20"/>
  <c r="FD91" i="20"/>
  <c r="FH91" i="20"/>
  <c r="FD92" i="20"/>
  <c r="FH92" i="20"/>
  <c r="FD93" i="20"/>
  <c r="FH93" i="20"/>
  <c r="FD94" i="20"/>
  <c r="FH94" i="20"/>
  <c r="FD95" i="20"/>
  <c r="FH95" i="20"/>
  <c r="FD96" i="20"/>
  <c r="FH96" i="20"/>
  <c r="FC9" i="20"/>
  <c r="FC10" i="20"/>
  <c r="FC11" i="20"/>
  <c r="FC12" i="20"/>
  <c r="FC13" i="20"/>
  <c r="FC14" i="20"/>
  <c r="FC15" i="20"/>
  <c r="FC16" i="20"/>
  <c r="FC17" i="20"/>
  <c r="FG18" i="20"/>
  <c r="FE19" i="20"/>
  <c r="FI19" i="20"/>
  <c r="FE20" i="20"/>
  <c r="FI20" i="20"/>
  <c r="FE21" i="20"/>
  <c r="FI21" i="20"/>
  <c r="FE22" i="20"/>
  <c r="FI22" i="20"/>
  <c r="FE23" i="20"/>
  <c r="FI23" i="20"/>
  <c r="FE24" i="20"/>
  <c r="FI24" i="20"/>
  <c r="FE25" i="20"/>
  <c r="FI25" i="20"/>
  <c r="FE26" i="20"/>
  <c r="FI26" i="20"/>
  <c r="FE27" i="20"/>
  <c r="FI27" i="20"/>
  <c r="FE28" i="20"/>
  <c r="FI28" i="20"/>
  <c r="FE29" i="20"/>
  <c r="FI29" i="20"/>
  <c r="FE30" i="20"/>
  <c r="FI30" i="20"/>
  <c r="FE31" i="20"/>
  <c r="FI31" i="20"/>
  <c r="FE32" i="20"/>
  <c r="FI32" i="20"/>
  <c r="FE33" i="20"/>
  <c r="FI33" i="20"/>
  <c r="FE34" i="20"/>
  <c r="FI34" i="20"/>
  <c r="FE35" i="20"/>
  <c r="FI35" i="20"/>
  <c r="FE36" i="20"/>
  <c r="FI36" i="20"/>
  <c r="FE37" i="20"/>
  <c r="FI37" i="20"/>
  <c r="FE38" i="20"/>
  <c r="FI38" i="20"/>
  <c r="FE39" i="20"/>
  <c r="FI39" i="20"/>
  <c r="FE40" i="20"/>
  <c r="FI40" i="20"/>
  <c r="FE41" i="20"/>
  <c r="FI41" i="20"/>
  <c r="FE42" i="20"/>
  <c r="FI42" i="20"/>
  <c r="FE43" i="20"/>
  <c r="FI43" i="20"/>
  <c r="FE44" i="20"/>
  <c r="FI44" i="20"/>
  <c r="FE45" i="20"/>
  <c r="FI45" i="20"/>
  <c r="FE46" i="20"/>
  <c r="FI46" i="20"/>
  <c r="FE47" i="20"/>
  <c r="FI47" i="20"/>
  <c r="FE48" i="20"/>
  <c r="FI48" i="20"/>
  <c r="FE49" i="20"/>
  <c r="FI49" i="20"/>
  <c r="FE50" i="20"/>
  <c r="FI50" i="20"/>
  <c r="FE51" i="20"/>
  <c r="FI51" i="20"/>
  <c r="FE52" i="20"/>
  <c r="FI52" i="20"/>
  <c r="FE53" i="20"/>
  <c r="FI53" i="20"/>
  <c r="FE54" i="20"/>
  <c r="FI54" i="20"/>
  <c r="FE55" i="20"/>
  <c r="FI55" i="20"/>
  <c r="FE56" i="20"/>
  <c r="FI56" i="20"/>
  <c r="FE57" i="20"/>
  <c r="FI57" i="20"/>
  <c r="FE58" i="20"/>
  <c r="FI58" i="20"/>
  <c r="FE59" i="20"/>
  <c r="FI59" i="20"/>
  <c r="FE60" i="20"/>
  <c r="FI60" i="20"/>
  <c r="FE61" i="20"/>
  <c r="FI61" i="20"/>
  <c r="FE62" i="20"/>
  <c r="FI62" i="20"/>
  <c r="FE63" i="20"/>
  <c r="FI63" i="20"/>
  <c r="FE64" i="20"/>
  <c r="FI64" i="20"/>
  <c r="FE65" i="20"/>
  <c r="FI65" i="20"/>
  <c r="FE66" i="20"/>
  <c r="FI66" i="20"/>
  <c r="FE67" i="20"/>
  <c r="FI67" i="20"/>
  <c r="FE68" i="20"/>
  <c r="FI68" i="20"/>
  <c r="FE69" i="20"/>
  <c r="FI69" i="20"/>
  <c r="FE70" i="20"/>
  <c r="FI70" i="20"/>
  <c r="FE71" i="20"/>
  <c r="FI71" i="20"/>
  <c r="FE72" i="20"/>
  <c r="FI72" i="20"/>
  <c r="FE73" i="20"/>
  <c r="FI73" i="20"/>
  <c r="FE74" i="20"/>
  <c r="FI74" i="20"/>
  <c r="FE75" i="20"/>
  <c r="FI75" i="20"/>
  <c r="FE76" i="20"/>
  <c r="FI76" i="20"/>
  <c r="FE77" i="20"/>
  <c r="FI77" i="20"/>
  <c r="FE78" i="20"/>
  <c r="FI78" i="20"/>
  <c r="FE79" i="20"/>
  <c r="FI79" i="20"/>
  <c r="FE80" i="20"/>
  <c r="FI80" i="20"/>
  <c r="FE81" i="20"/>
  <c r="FI81" i="20"/>
  <c r="FE82" i="20"/>
  <c r="FI82" i="20"/>
  <c r="FE83" i="20"/>
  <c r="FI83" i="20"/>
  <c r="FE84" i="20"/>
  <c r="FI84" i="20"/>
  <c r="FE85" i="20"/>
  <c r="FI85" i="20"/>
  <c r="FE86" i="20"/>
  <c r="FI86" i="20"/>
  <c r="FE87" i="20"/>
  <c r="FI87" i="20"/>
  <c r="FE88" i="20"/>
  <c r="FI88" i="20"/>
  <c r="FE89" i="20"/>
  <c r="FI89" i="20"/>
  <c r="FE90" i="20"/>
  <c r="FI90" i="20"/>
  <c r="FE91" i="20"/>
  <c r="FI91" i="20"/>
  <c r="FE92" i="20"/>
  <c r="FI92" i="20"/>
  <c r="FE93" i="20"/>
  <c r="FI93" i="20"/>
  <c r="FE94" i="20"/>
  <c r="FE95" i="20"/>
  <c r="FE96" i="20"/>
  <c r="FD97" i="20"/>
  <c r="FE98" i="20"/>
  <c r="FE99" i="20"/>
  <c r="FJ99" i="20"/>
  <c r="FF100" i="20"/>
  <c r="FJ100" i="20"/>
  <c r="FF101" i="20"/>
  <c r="FJ101" i="20"/>
  <c r="FF102" i="20"/>
  <c r="FJ102" i="20"/>
  <c r="FF103" i="20"/>
  <c r="FJ103" i="20"/>
  <c r="FF104" i="20"/>
  <c r="FJ104" i="20"/>
  <c r="FF105" i="20"/>
  <c r="FJ105" i="20"/>
  <c r="FF106" i="20"/>
  <c r="FJ106" i="20"/>
  <c r="FF107" i="20"/>
  <c r="FJ107" i="20"/>
  <c r="FF108" i="20"/>
  <c r="FJ108" i="20"/>
  <c r="FF109" i="20"/>
  <c r="FJ109" i="20"/>
  <c r="FF110" i="20"/>
  <c r="FJ110" i="20"/>
  <c r="FF111" i="20"/>
  <c r="FJ111" i="20"/>
  <c r="FF112" i="20"/>
  <c r="FJ112" i="20"/>
  <c r="FF113" i="20"/>
  <c r="FJ113" i="20"/>
  <c r="FF114" i="20"/>
  <c r="FJ114" i="20"/>
  <c r="FF115" i="20"/>
  <c r="FJ115" i="20"/>
  <c r="FF116" i="20"/>
  <c r="FJ116" i="20"/>
  <c r="FF117" i="20"/>
  <c r="FJ117" i="20"/>
  <c r="FF118" i="20"/>
  <c r="FJ118" i="20"/>
  <c r="FF119" i="20"/>
  <c r="FJ119" i="20"/>
  <c r="FF120" i="20"/>
  <c r="FJ120" i="20"/>
  <c r="FF121" i="20"/>
  <c r="FJ121" i="20"/>
  <c r="FF122" i="20"/>
  <c r="FJ122" i="20"/>
  <c r="FF123" i="20"/>
  <c r="FJ123" i="20"/>
  <c r="FF124" i="20"/>
  <c r="FJ124" i="20"/>
  <c r="FF125" i="20"/>
  <c r="FJ125" i="20"/>
  <c r="FF126" i="20"/>
  <c r="FJ126" i="20"/>
  <c r="FF127" i="20"/>
  <c r="FJ127" i="20"/>
  <c r="FF128" i="20"/>
  <c r="FJ128" i="20"/>
  <c r="FF129" i="20"/>
  <c r="FJ129" i="20"/>
  <c r="FF130" i="20"/>
  <c r="FJ130" i="20"/>
  <c r="FF131" i="20"/>
  <c r="FJ131" i="20"/>
  <c r="FF132" i="20"/>
  <c r="FJ132" i="20"/>
  <c r="FF133" i="20"/>
  <c r="FJ133" i="20"/>
  <c r="FF134" i="20"/>
  <c r="FJ134" i="20"/>
  <c r="FF135" i="20"/>
  <c r="FJ135" i="20"/>
  <c r="FF136" i="20"/>
  <c r="FJ136" i="20"/>
  <c r="FF137" i="20"/>
  <c r="FJ137" i="20"/>
  <c r="FF138" i="20"/>
  <c r="FJ138" i="20"/>
  <c r="FF139" i="20"/>
  <c r="FJ139" i="20"/>
  <c r="FF140" i="20"/>
  <c r="FJ140" i="20"/>
  <c r="FF141" i="20"/>
  <c r="FJ141" i="20"/>
  <c r="FF142" i="20"/>
  <c r="FJ142" i="20"/>
  <c r="FF143" i="20"/>
  <c r="FJ143" i="20"/>
  <c r="FF144" i="20"/>
  <c r="FJ144" i="20"/>
  <c r="FF145" i="20"/>
  <c r="FJ145" i="20"/>
  <c r="FF146" i="20"/>
  <c r="FJ146" i="20"/>
  <c r="FF147" i="20"/>
  <c r="FJ147" i="20"/>
  <c r="FF148" i="20"/>
  <c r="FJ148" i="20"/>
  <c r="FF149" i="20"/>
  <c r="FJ149" i="20"/>
  <c r="FF150" i="20"/>
  <c r="FJ150" i="20"/>
  <c r="FF151" i="20"/>
  <c r="FJ151" i="20"/>
  <c r="FF152" i="20"/>
  <c r="FJ152" i="20"/>
  <c r="FF153" i="20"/>
  <c r="FJ153" i="20"/>
  <c r="FF154" i="20"/>
  <c r="FJ154" i="20"/>
  <c r="FF155" i="20"/>
  <c r="FJ155" i="20"/>
  <c r="FF156" i="20"/>
  <c r="FJ156" i="20"/>
  <c r="FF157" i="20"/>
  <c r="FJ157" i="20"/>
  <c r="FF158" i="20"/>
  <c r="FJ158" i="20"/>
  <c r="FF159" i="20"/>
  <c r="FJ159" i="20"/>
  <c r="FF160" i="20"/>
  <c r="FJ160" i="20"/>
  <c r="FF161" i="20"/>
  <c r="FJ161" i="20"/>
  <c r="FF162" i="20"/>
  <c r="FJ162" i="20"/>
  <c r="FF163" i="20"/>
  <c r="FJ163" i="20"/>
  <c r="FF164" i="20"/>
  <c r="FJ164" i="20"/>
  <c r="FF165" i="20"/>
  <c r="FJ165" i="20"/>
  <c r="FF166" i="20"/>
  <c r="FJ166" i="20"/>
  <c r="FF167" i="20"/>
  <c r="FJ167" i="20"/>
  <c r="FI94" i="20"/>
  <c r="FI95" i="20"/>
  <c r="FI96" i="20"/>
  <c r="FE97" i="20"/>
  <c r="FG98" i="20"/>
  <c r="FG99" i="20"/>
  <c r="FC100" i="20"/>
  <c r="FG100" i="20"/>
  <c r="FC101" i="20"/>
  <c r="FG101" i="20"/>
  <c r="FC102" i="20"/>
  <c r="FG102" i="20"/>
  <c r="FC103" i="20"/>
  <c r="FG103" i="20"/>
  <c r="FC104" i="20"/>
  <c r="FG104" i="20"/>
  <c r="FC105" i="20"/>
  <c r="FG105" i="20"/>
  <c r="FC106" i="20"/>
  <c r="FG106" i="20"/>
  <c r="FC107" i="20"/>
  <c r="FG107" i="20"/>
  <c r="FC108" i="20"/>
  <c r="FG108" i="20"/>
  <c r="FC109" i="20"/>
  <c r="FG109" i="20"/>
  <c r="FC110" i="20"/>
  <c r="FG110" i="20"/>
  <c r="FC111" i="20"/>
  <c r="FG111" i="20"/>
  <c r="FC112" i="20"/>
  <c r="FG112" i="20"/>
  <c r="FC113" i="20"/>
  <c r="FG113" i="20"/>
  <c r="FC114" i="20"/>
  <c r="FG114" i="20"/>
  <c r="FC115" i="20"/>
  <c r="FG115" i="20"/>
  <c r="FC116" i="20"/>
  <c r="FG116" i="20"/>
  <c r="FC117" i="20"/>
  <c r="FG117" i="20"/>
  <c r="FC118" i="20"/>
  <c r="FG118" i="20"/>
  <c r="FC119" i="20"/>
  <c r="FG119" i="20"/>
  <c r="FC120" i="20"/>
  <c r="FG120" i="20"/>
  <c r="FC121" i="20"/>
  <c r="FG121" i="20"/>
  <c r="FC122" i="20"/>
  <c r="FG122" i="20"/>
  <c r="FC123" i="20"/>
  <c r="FG123" i="20"/>
  <c r="FC124" i="20"/>
  <c r="FG124" i="20"/>
  <c r="FC125" i="20"/>
  <c r="FG125" i="20"/>
  <c r="FC126" i="20"/>
  <c r="FG126" i="20"/>
  <c r="FC127" i="20"/>
  <c r="FG127" i="20"/>
  <c r="FC128" i="20"/>
  <c r="FG128" i="20"/>
  <c r="FC129" i="20"/>
  <c r="FG129" i="20"/>
  <c r="FC130" i="20"/>
  <c r="FG130" i="20"/>
  <c r="FC131" i="20"/>
  <c r="FG131" i="20"/>
  <c r="FC132" i="20"/>
  <c r="FG132" i="20"/>
  <c r="FC133" i="20"/>
  <c r="FG133" i="20"/>
  <c r="FC134" i="20"/>
  <c r="FG134" i="20"/>
  <c r="FC135" i="20"/>
  <c r="FG135" i="20"/>
  <c r="FC136" i="20"/>
  <c r="FG136" i="20"/>
  <c r="FC137" i="20"/>
  <c r="FG137" i="20"/>
  <c r="FC138" i="20"/>
  <c r="FG138" i="20"/>
  <c r="FC139" i="20"/>
  <c r="FG139" i="20"/>
  <c r="FC140" i="20"/>
  <c r="FG140" i="20"/>
  <c r="FC141" i="20"/>
  <c r="FG141" i="20"/>
  <c r="FC142" i="20"/>
  <c r="FG142" i="20"/>
  <c r="FC143" i="20"/>
  <c r="FG143" i="20"/>
  <c r="FC144" i="20"/>
  <c r="FG144" i="20"/>
  <c r="FC145" i="20"/>
  <c r="FG145" i="20"/>
  <c r="FC146" i="20"/>
  <c r="FG146" i="20"/>
  <c r="FC147" i="20"/>
  <c r="FG147" i="20"/>
  <c r="FC148" i="20"/>
  <c r="FG148" i="20"/>
  <c r="FC149" i="20"/>
  <c r="FG149" i="20"/>
  <c r="FC150" i="20"/>
  <c r="FG150" i="20"/>
  <c r="FC151" i="20"/>
  <c r="FG151" i="20"/>
  <c r="FC152" i="20"/>
  <c r="FG152" i="20"/>
  <c r="FC153" i="20"/>
  <c r="FG153" i="20"/>
  <c r="FC154" i="20"/>
  <c r="FG154" i="20"/>
  <c r="FC155" i="20"/>
  <c r="FG155" i="20"/>
  <c r="FC156" i="20"/>
  <c r="FG156" i="20"/>
  <c r="FC157" i="20"/>
  <c r="FG157" i="20"/>
  <c r="FC158" i="20"/>
  <c r="FG158" i="20"/>
  <c r="FC159" i="20"/>
  <c r="FG159" i="20"/>
  <c r="FC160" i="20"/>
  <c r="FG160" i="20"/>
  <c r="FC161" i="20"/>
  <c r="FG161" i="20"/>
  <c r="FH97" i="20"/>
  <c r="FC98" i="20"/>
  <c r="FH98" i="20"/>
  <c r="FC99" i="20"/>
  <c r="FH99" i="20"/>
  <c r="FD100" i="20"/>
  <c r="FH100" i="20"/>
  <c r="FD101" i="20"/>
  <c r="FH101" i="20"/>
  <c r="FD102" i="20"/>
  <c r="FH102" i="20"/>
  <c r="FD103" i="20"/>
  <c r="FH103" i="20"/>
  <c r="FD104" i="20"/>
  <c r="FH104" i="20"/>
  <c r="FD105" i="20"/>
  <c r="FH105" i="20"/>
  <c r="FD106" i="20"/>
  <c r="FH106" i="20"/>
  <c r="FD107" i="20"/>
  <c r="FH107" i="20"/>
  <c r="FD108" i="20"/>
  <c r="FH108" i="20"/>
  <c r="FD109" i="20"/>
  <c r="FH109" i="20"/>
  <c r="FD110" i="20"/>
  <c r="FH110" i="20"/>
  <c r="FD111" i="20"/>
  <c r="FH111" i="20"/>
  <c r="FD112" i="20"/>
  <c r="FH112" i="20"/>
  <c r="FD113" i="20"/>
  <c r="FH113" i="20"/>
  <c r="FD114" i="20"/>
  <c r="FH114" i="20"/>
  <c r="FD115" i="20"/>
  <c r="FH115" i="20"/>
  <c r="FD116" i="20"/>
  <c r="FH116" i="20"/>
  <c r="FD117" i="20"/>
  <c r="FH117" i="20"/>
  <c r="FD118" i="20"/>
  <c r="FH118" i="20"/>
  <c r="FD119" i="20"/>
  <c r="FH119" i="20"/>
  <c r="FD120" i="20"/>
  <c r="FH120" i="20"/>
  <c r="FD121" i="20"/>
  <c r="FH121" i="20"/>
  <c r="FD122" i="20"/>
  <c r="FH122" i="20"/>
  <c r="FD123" i="20"/>
  <c r="FH123" i="20"/>
  <c r="FD124" i="20"/>
  <c r="FH124" i="20"/>
  <c r="FD125" i="20"/>
  <c r="FH125" i="20"/>
  <c r="FD126" i="20"/>
  <c r="FH126" i="20"/>
  <c r="FD127" i="20"/>
  <c r="FH127" i="20"/>
  <c r="FD128" i="20"/>
  <c r="FH128" i="20"/>
  <c r="FD129" i="20"/>
  <c r="FH129" i="20"/>
  <c r="FD130" i="20"/>
  <c r="FH130" i="20"/>
  <c r="FD131" i="20"/>
  <c r="FH131" i="20"/>
  <c r="FD132" i="20"/>
  <c r="FH132" i="20"/>
  <c r="FD133" i="20"/>
  <c r="FH133" i="20"/>
  <c r="FD134" i="20"/>
  <c r="FH134" i="20"/>
  <c r="FD135" i="20"/>
  <c r="FH135" i="20"/>
  <c r="FD136" i="20"/>
  <c r="FH136" i="20"/>
  <c r="FD137" i="20"/>
  <c r="FH137" i="20"/>
  <c r="FD138" i="20"/>
  <c r="FH138" i="20"/>
  <c r="FD139" i="20"/>
  <c r="FH139" i="20"/>
  <c r="FD140" i="20"/>
  <c r="FH140" i="20"/>
  <c r="FD141" i="20"/>
  <c r="FH141" i="20"/>
  <c r="FD142" i="20"/>
  <c r="FH142" i="20"/>
  <c r="FD143" i="20"/>
  <c r="FH143" i="20"/>
  <c r="FD144" i="20"/>
  <c r="FH144" i="20"/>
  <c r="FD145" i="20"/>
  <c r="FH145" i="20"/>
  <c r="FD146" i="20"/>
  <c r="FH146" i="20"/>
  <c r="FD147" i="20"/>
  <c r="FH147" i="20"/>
  <c r="FD148" i="20"/>
  <c r="FH148" i="20"/>
  <c r="FD149" i="20"/>
  <c r="FH149" i="20"/>
  <c r="FD150" i="20"/>
  <c r="FH150" i="20"/>
  <c r="FD151" i="20"/>
  <c r="FH151" i="20"/>
  <c r="FD152" i="20"/>
  <c r="FH152" i="20"/>
  <c r="FD153" i="20"/>
  <c r="FH153" i="20"/>
  <c r="FD154" i="20"/>
  <c r="FH154" i="20"/>
  <c r="FD155" i="20"/>
  <c r="FH155" i="20"/>
  <c r="FD156" i="20"/>
  <c r="FH156" i="20"/>
  <c r="FD157" i="20"/>
  <c r="FH157" i="20"/>
  <c r="FD158" i="20"/>
  <c r="FH158" i="20"/>
  <c r="FD159" i="20"/>
  <c r="FH159" i="20"/>
  <c r="FI97" i="20"/>
  <c r="FD98" i="20"/>
  <c r="FI98" i="20"/>
  <c r="FD99" i="20"/>
  <c r="FI99" i="20"/>
  <c r="FE100" i="20"/>
  <c r="FI100" i="20"/>
  <c r="FE101" i="20"/>
  <c r="FI101" i="20"/>
  <c r="FE102" i="20"/>
  <c r="FI102" i="20"/>
  <c r="FE103" i="20"/>
  <c r="FI103" i="20"/>
  <c r="FE104" i="20"/>
  <c r="FI104" i="20"/>
  <c r="FE105" i="20"/>
  <c r="FI105" i="20"/>
  <c r="FE106" i="20"/>
  <c r="FI106" i="20"/>
  <c r="FE107" i="20"/>
  <c r="FI107" i="20"/>
  <c r="FE108" i="20"/>
  <c r="FI108" i="20"/>
  <c r="FE109" i="20"/>
  <c r="FI109" i="20"/>
  <c r="FE110" i="20"/>
  <c r="FI110" i="20"/>
  <c r="FE111" i="20"/>
  <c r="FI111" i="20"/>
  <c r="FE112" i="20"/>
  <c r="FI112" i="20"/>
  <c r="FE113" i="20"/>
  <c r="FI113" i="20"/>
  <c r="FE114" i="20"/>
  <c r="FI114" i="20"/>
  <c r="FE115" i="20"/>
  <c r="FI115" i="20"/>
  <c r="FE116" i="20"/>
  <c r="FI116" i="20"/>
  <c r="FE117" i="20"/>
  <c r="FI117" i="20"/>
  <c r="FE118" i="20"/>
  <c r="FI118" i="20"/>
  <c r="FE119" i="20"/>
  <c r="FI119" i="20"/>
  <c r="FE120" i="20"/>
  <c r="FI120" i="20"/>
  <c r="FE121" i="20"/>
  <c r="FI121" i="20"/>
  <c r="FE122" i="20"/>
  <c r="FI122" i="20"/>
  <c r="FE123" i="20"/>
  <c r="FI123" i="20"/>
  <c r="FE124" i="20"/>
  <c r="FI124" i="20"/>
  <c r="FE125" i="20"/>
  <c r="FI125" i="20"/>
  <c r="FE126" i="20"/>
  <c r="FI126" i="20"/>
  <c r="FE127" i="20"/>
  <c r="FI127" i="20"/>
  <c r="FE128" i="20"/>
  <c r="FI128" i="20"/>
  <c r="FE129" i="20"/>
  <c r="FI129" i="20"/>
  <c r="FE130" i="20"/>
  <c r="FI130" i="20"/>
  <c r="FE131" i="20"/>
  <c r="FI131" i="20"/>
  <c r="FE132" i="20"/>
  <c r="FI132" i="20"/>
  <c r="FE133" i="20"/>
  <c r="FI133" i="20"/>
  <c r="FE134" i="20"/>
  <c r="FI134" i="20"/>
  <c r="FE135" i="20"/>
  <c r="FI135" i="20"/>
  <c r="FE136" i="20"/>
  <c r="FI136" i="20"/>
  <c r="FE137" i="20"/>
  <c r="FI137" i="20"/>
  <c r="FE138" i="20"/>
  <c r="FI138" i="20"/>
  <c r="FE139" i="20"/>
  <c r="FI139" i="20"/>
  <c r="FE140" i="20"/>
  <c r="FI140" i="20"/>
  <c r="FE141" i="20"/>
  <c r="FI141" i="20"/>
  <c r="FE142" i="20"/>
  <c r="FI142" i="20"/>
  <c r="FE143" i="20"/>
  <c r="FI143" i="20"/>
  <c r="FE144" i="20"/>
  <c r="FI144" i="20"/>
  <c r="FE145" i="20"/>
  <c r="FI145" i="20"/>
  <c r="FE146" i="20"/>
  <c r="FI146" i="20"/>
  <c r="FE147" i="20"/>
  <c r="FI147" i="20"/>
  <c r="FE148" i="20"/>
  <c r="FI148" i="20"/>
  <c r="FE149" i="20"/>
  <c r="FI149" i="20"/>
  <c r="FE150" i="20"/>
  <c r="FI150" i="20"/>
  <c r="FE151" i="20"/>
  <c r="FI151" i="20"/>
  <c r="FE152" i="20"/>
  <c r="FI152" i="20"/>
  <c r="FE153" i="20"/>
  <c r="FI153" i="20"/>
  <c r="FE154" i="20"/>
  <c r="FI154" i="20"/>
  <c r="FE155" i="20"/>
  <c r="FI155" i="20"/>
  <c r="FE156" i="20"/>
  <c r="FI156" i="20"/>
  <c r="FE157" i="20"/>
  <c r="FI157" i="20"/>
  <c r="FE158" i="20"/>
  <c r="FI158" i="20"/>
  <c r="FE159" i="20"/>
  <c r="FI159" i="20"/>
  <c r="FE160" i="20"/>
  <c r="FI160" i="20"/>
  <c r="FE161" i="20"/>
  <c r="FI161" i="20"/>
  <c r="FE162" i="20"/>
  <c r="FI162" i="20"/>
  <c r="FE163" i="20"/>
  <c r="FI163" i="20"/>
  <c r="FE164" i="20"/>
  <c r="FI164" i="20"/>
  <c r="FE165" i="20"/>
  <c r="FI165" i="20"/>
  <c r="FE166" i="20"/>
  <c r="FI166" i="20"/>
  <c r="FE167" i="20"/>
  <c r="FI167" i="20"/>
  <c r="FC162" i="20"/>
  <c r="FC163" i="20"/>
  <c r="FC164" i="20"/>
  <c r="FC165" i="20"/>
  <c r="FC166" i="20"/>
  <c r="FC167" i="20"/>
  <c r="FD162" i="20"/>
  <c r="FD163" i="20"/>
  <c r="FD164" i="20"/>
  <c r="FD165" i="20"/>
  <c r="FD166" i="20"/>
  <c r="FD167" i="20"/>
  <c r="FD160" i="20"/>
  <c r="FD161" i="20"/>
  <c r="FG162" i="20"/>
  <c r="FG163" i="20"/>
  <c r="FG164" i="20"/>
  <c r="FG165" i="20"/>
  <c r="FG166" i="20"/>
  <c r="FG167" i="20"/>
  <c r="FH160" i="20"/>
  <c r="FH161" i="20"/>
  <c r="FH162" i="20"/>
  <c r="FH163" i="20"/>
  <c r="FH164" i="20"/>
  <c r="FH165" i="20"/>
  <c r="FH166" i="20"/>
  <c r="FH167" i="20"/>
  <c r="DH161" i="20"/>
  <c r="DL161" i="20"/>
  <c r="DH162" i="20"/>
  <c r="DL162" i="20"/>
  <c r="DH163" i="20"/>
  <c r="DL163" i="20"/>
  <c r="DH164" i="20"/>
  <c r="DL164" i="20"/>
  <c r="DH165" i="20"/>
  <c r="DL165" i="20"/>
  <c r="DH166" i="20"/>
  <c r="DL166" i="20"/>
  <c r="DH167" i="20"/>
  <c r="DL167" i="20"/>
  <c r="DH149" i="20"/>
  <c r="DL149" i="20"/>
  <c r="DH150" i="20"/>
  <c r="DL150" i="20"/>
  <c r="DH151" i="20"/>
  <c r="DL151" i="20"/>
  <c r="DH152" i="20"/>
  <c r="DL152" i="20"/>
  <c r="DH153" i="20"/>
  <c r="DL153" i="20"/>
  <c r="DH154" i="20"/>
  <c r="DL154" i="20"/>
  <c r="DH155" i="20"/>
  <c r="DL155" i="20"/>
  <c r="DH156" i="20"/>
  <c r="DL156" i="20"/>
  <c r="DH157" i="20"/>
  <c r="DL157" i="20"/>
  <c r="DH158" i="20"/>
  <c r="DL158" i="20"/>
  <c r="DH159" i="20"/>
  <c r="DL159" i="20"/>
  <c r="DH160" i="20"/>
  <c r="DL160" i="20"/>
  <c r="DH135" i="20"/>
  <c r="DL135" i="20"/>
  <c r="DH136" i="20"/>
  <c r="DL136" i="20"/>
  <c r="DH137" i="20"/>
  <c r="DL137" i="20"/>
  <c r="DH138" i="20"/>
  <c r="DL138" i="20"/>
  <c r="DH139" i="20"/>
  <c r="DL139" i="20"/>
  <c r="DH140" i="20"/>
  <c r="DL140" i="20"/>
  <c r="DH141" i="20"/>
  <c r="DL141" i="20"/>
  <c r="DH142" i="20"/>
  <c r="DL142" i="20"/>
  <c r="DH143" i="20"/>
  <c r="DL143" i="20"/>
  <c r="DH144" i="20"/>
  <c r="DL144" i="20"/>
  <c r="DH145" i="20"/>
  <c r="DL145" i="20"/>
  <c r="DH146" i="20"/>
  <c r="DL146" i="20"/>
  <c r="DH147" i="20"/>
  <c r="DL147" i="20"/>
  <c r="DH148" i="20"/>
  <c r="DL148" i="20"/>
  <c r="DH21" i="20"/>
  <c r="DL21" i="20"/>
  <c r="DH22" i="20"/>
  <c r="DL22" i="20"/>
  <c r="DH23" i="20"/>
  <c r="DL23" i="20"/>
  <c r="DH24" i="20"/>
  <c r="DL24" i="20"/>
  <c r="DH25" i="20"/>
  <c r="DL25" i="20"/>
  <c r="DH26" i="20"/>
  <c r="DL26" i="20"/>
  <c r="DH27" i="20"/>
  <c r="DL27" i="20"/>
  <c r="DH28" i="20"/>
  <c r="DL28" i="20"/>
  <c r="DH29" i="20"/>
  <c r="DL29" i="20"/>
  <c r="DH30" i="20"/>
  <c r="DL30" i="20"/>
  <c r="DH31" i="20"/>
  <c r="DL31" i="20"/>
  <c r="DH32" i="20"/>
  <c r="DL32" i="20"/>
  <c r="DH33" i="20"/>
  <c r="DL33" i="20"/>
  <c r="DH34" i="20"/>
  <c r="DL34" i="20"/>
  <c r="DH35" i="20"/>
  <c r="DL35" i="20"/>
  <c r="DH36" i="20"/>
  <c r="DL36" i="20"/>
  <c r="DH37" i="20"/>
  <c r="DL37" i="20"/>
  <c r="DH38" i="20"/>
  <c r="DL38" i="20"/>
  <c r="DH39" i="20"/>
  <c r="DL39" i="20"/>
  <c r="DH40" i="20"/>
  <c r="DL40" i="20"/>
  <c r="DH41" i="20"/>
  <c r="DL41" i="20"/>
  <c r="DH42" i="20"/>
  <c r="DL42" i="20"/>
  <c r="DH43" i="20"/>
  <c r="DL43" i="20"/>
  <c r="DH44" i="20"/>
  <c r="DL44" i="20"/>
  <c r="DH45" i="20"/>
  <c r="DL45" i="20"/>
  <c r="DH46" i="20"/>
  <c r="DL46" i="20"/>
  <c r="DH47" i="20"/>
  <c r="DL47" i="20"/>
  <c r="DH48" i="20"/>
  <c r="DL48" i="20"/>
  <c r="DH49" i="20"/>
  <c r="DL49" i="20"/>
  <c r="DH50" i="20"/>
  <c r="DL50" i="20"/>
  <c r="DH51" i="20"/>
  <c r="DL51" i="20"/>
  <c r="DH52" i="20"/>
  <c r="DL52" i="20"/>
  <c r="DH53" i="20"/>
  <c r="DL53" i="20"/>
  <c r="DH54" i="20"/>
  <c r="DL54" i="20"/>
  <c r="DH55" i="20"/>
  <c r="DL55" i="20"/>
  <c r="DH56" i="20"/>
  <c r="DL56" i="20"/>
  <c r="DH57" i="20"/>
  <c r="DL57" i="20"/>
  <c r="DH58" i="20"/>
  <c r="DL58" i="20"/>
  <c r="DH59" i="20"/>
  <c r="DL59" i="20"/>
  <c r="DH60" i="20"/>
  <c r="DL60" i="20"/>
  <c r="DH61" i="20"/>
  <c r="DL61" i="20"/>
  <c r="DH62" i="20"/>
  <c r="DL62" i="20"/>
  <c r="DH63" i="20"/>
  <c r="DL63" i="20"/>
  <c r="DH64" i="20"/>
  <c r="DL64" i="20"/>
  <c r="DH65" i="20"/>
  <c r="DL65" i="20"/>
  <c r="DH66" i="20"/>
  <c r="DL66" i="20"/>
  <c r="DH67" i="20"/>
  <c r="DL67" i="20"/>
  <c r="DH68" i="20"/>
  <c r="DL68" i="20"/>
  <c r="DH69" i="20"/>
  <c r="DL69" i="20"/>
  <c r="DH70" i="20"/>
  <c r="DL70" i="20"/>
  <c r="DH71" i="20"/>
  <c r="DL71" i="20"/>
  <c r="DH72" i="20"/>
  <c r="DL72" i="20"/>
  <c r="DH73" i="20"/>
  <c r="DL73" i="20"/>
  <c r="DI161" i="20"/>
  <c r="DM161" i="20"/>
  <c r="DI162" i="20"/>
  <c r="DM162" i="20"/>
  <c r="DI163" i="20"/>
  <c r="DM163" i="20"/>
  <c r="DI164" i="20"/>
  <c r="DM164" i="20"/>
  <c r="DI165" i="20"/>
  <c r="DM165" i="20"/>
  <c r="DI166" i="20"/>
  <c r="DM166" i="20"/>
  <c r="DI167" i="20"/>
  <c r="DM167" i="20"/>
  <c r="DI149" i="20"/>
  <c r="DM149" i="20"/>
  <c r="DI150" i="20"/>
  <c r="DJ161" i="20"/>
  <c r="DN161" i="20"/>
  <c r="DJ162" i="20"/>
  <c r="DN162" i="20"/>
  <c r="DJ163" i="20"/>
  <c r="DN163" i="20"/>
  <c r="DJ164" i="20"/>
  <c r="DN164" i="20"/>
  <c r="DJ165" i="20"/>
  <c r="DN165" i="20"/>
  <c r="DJ166" i="20"/>
  <c r="DN166" i="20"/>
  <c r="DJ167" i="20"/>
  <c r="DN167" i="20"/>
  <c r="DJ149" i="20"/>
  <c r="DN149" i="20"/>
  <c r="DJ150" i="20"/>
  <c r="DG161" i="20"/>
  <c r="DK161" i="20"/>
  <c r="DG162" i="20"/>
  <c r="DK162" i="20"/>
  <c r="DG163" i="20"/>
  <c r="DK163" i="20"/>
  <c r="DG164" i="20"/>
  <c r="DK164" i="20"/>
  <c r="DG165" i="20"/>
  <c r="DK165" i="20"/>
  <c r="DG166" i="20"/>
  <c r="DK166" i="20"/>
  <c r="DG167" i="20"/>
  <c r="DK167" i="20"/>
  <c r="DG149" i="20"/>
  <c r="DK149" i="20"/>
  <c r="DG150" i="20"/>
  <c r="DK150" i="20"/>
  <c r="DG151" i="20"/>
  <c r="DK151" i="20"/>
  <c r="DG152" i="20"/>
  <c r="DK152" i="20"/>
  <c r="DG153" i="20"/>
  <c r="DK153" i="20"/>
  <c r="DG154" i="20"/>
  <c r="DK154" i="20"/>
  <c r="DG155" i="20"/>
  <c r="DK155" i="20"/>
  <c r="DG156" i="20"/>
  <c r="DK156" i="20"/>
  <c r="DG157" i="20"/>
  <c r="DK157" i="20"/>
  <c r="DG158" i="20"/>
  <c r="DK158" i="20"/>
  <c r="DG159" i="20"/>
  <c r="DK159" i="20"/>
  <c r="DG160" i="20"/>
  <c r="DK160" i="20"/>
  <c r="DG135" i="20"/>
  <c r="DK135" i="20"/>
  <c r="DG136" i="20"/>
  <c r="DK136" i="20"/>
  <c r="DG137" i="20"/>
  <c r="DK137" i="20"/>
  <c r="DG138" i="20"/>
  <c r="DK138" i="20"/>
  <c r="DG139" i="20"/>
  <c r="DK139" i="20"/>
  <c r="DG140" i="20"/>
  <c r="DK140" i="20"/>
  <c r="DG141" i="20"/>
  <c r="DK141" i="20"/>
  <c r="DG142" i="20"/>
  <c r="DK142" i="20"/>
  <c r="DG143" i="20"/>
  <c r="DK143" i="20"/>
  <c r="DG144" i="20"/>
  <c r="DK144" i="20"/>
  <c r="DG145" i="20"/>
  <c r="DK145" i="20"/>
  <c r="DG146" i="20"/>
  <c r="DK146" i="20"/>
  <c r="DG147" i="20"/>
  <c r="DK147" i="20"/>
  <c r="DG148" i="20"/>
  <c r="DK148" i="20"/>
  <c r="DG21" i="20"/>
  <c r="DK21" i="20"/>
  <c r="DG22" i="20"/>
  <c r="DK22" i="20"/>
  <c r="DG23" i="20"/>
  <c r="DK23" i="20"/>
  <c r="DG24" i="20"/>
  <c r="DK24" i="20"/>
  <c r="DG25" i="20"/>
  <c r="DK25" i="20"/>
  <c r="DG26" i="20"/>
  <c r="DK26" i="20"/>
  <c r="DG27" i="20"/>
  <c r="DK27" i="20"/>
  <c r="DG28" i="20"/>
  <c r="DK28" i="20"/>
  <c r="DG29" i="20"/>
  <c r="DK29" i="20"/>
  <c r="DG30" i="20"/>
  <c r="DK30" i="20"/>
  <c r="DG31" i="20"/>
  <c r="DK31" i="20"/>
  <c r="DG32" i="20"/>
  <c r="DK32" i="20"/>
  <c r="DG33" i="20"/>
  <c r="DK33" i="20"/>
  <c r="DG34" i="20"/>
  <c r="DK34" i="20"/>
  <c r="DG35" i="20"/>
  <c r="DK35" i="20"/>
  <c r="DG36" i="20"/>
  <c r="DK36" i="20"/>
  <c r="DG37" i="20"/>
  <c r="DK37" i="20"/>
  <c r="DG38" i="20"/>
  <c r="DK38" i="20"/>
  <c r="DG39" i="20"/>
  <c r="DK39" i="20"/>
  <c r="DG40" i="20"/>
  <c r="DK40" i="20"/>
  <c r="DG41" i="20"/>
  <c r="DK41" i="20"/>
  <c r="DG42" i="20"/>
  <c r="DK42" i="20"/>
  <c r="DG43" i="20"/>
  <c r="DK43" i="20"/>
  <c r="DG44" i="20"/>
  <c r="DK44" i="20"/>
  <c r="DG45" i="20"/>
  <c r="DK45" i="20"/>
  <c r="DG46" i="20"/>
  <c r="DK46" i="20"/>
  <c r="DG47" i="20"/>
  <c r="DK47" i="20"/>
  <c r="DG48" i="20"/>
  <c r="DK48" i="20"/>
  <c r="DG49" i="20"/>
  <c r="DK49" i="20"/>
  <c r="DG50" i="20"/>
  <c r="DK50" i="20"/>
  <c r="DG51" i="20"/>
  <c r="DK51" i="20"/>
  <c r="DG52" i="20"/>
  <c r="DK52" i="20"/>
  <c r="DG53" i="20"/>
  <c r="DK53" i="20"/>
  <c r="DG54" i="20"/>
  <c r="DK54" i="20"/>
  <c r="DG55" i="20"/>
  <c r="DK55" i="20"/>
  <c r="DG56" i="20"/>
  <c r="DK56" i="20"/>
  <c r="DG57" i="20"/>
  <c r="DK57" i="20"/>
  <c r="DG58" i="20"/>
  <c r="DK58" i="20"/>
  <c r="DG59" i="20"/>
  <c r="DK59" i="20"/>
  <c r="DG60" i="20"/>
  <c r="DK60" i="20"/>
  <c r="DG61" i="20"/>
  <c r="DK61" i="20"/>
  <c r="DG62" i="20"/>
  <c r="DK62" i="20"/>
  <c r="DG63" i="20"/>
  <c r="DK63" i="20"/>
  <c r="DG64" i="20"/>
  <c r="DK64" i="20"/>
  <c r="DG65" i="20"/>
  <c r="DK65" i="20"/>
  <c r="DG66" i="20"/>
  <c r="DK66" i="20"/>
  <c r="DG67" i="20"/>
  <c r="DK67" i="20"/>
  <c r="DG68" i="20"/>
  <c r="DK68" i="20"/>
  <c r="DG69" i="20"/>
  <c r="DK69" i="20"/>
  <c r="DG70" i="20"/>
  <c r="DK70" i="20"/>
  <c r="DG71" i="20"/>
  <c r="DK71" i="20"/>
  <c r="DG72" i="20"/>
  <c r="DK72" i="20"/>
  <c r="DG73" i="20"/>
  <c r="DK73" i="20"/>
  <c r="DG74" i="20"/>
  <c r="DK74" i="20"/>
  <c r="DG75" i="20"/>
  <c r="DK75" i="20"/>
  <c r="DG76" i="20"/>
  <c r="DK76" i="20"/>
  <c r="DG77" i="20"/>
  <c r="DK77" i="20"/>
  <c r="DG78" i="20"/>
  <c r="DK78" i="20"/>
  <c r="DG79" i="20"/>
  <c r="DK79" i="20"/>
  <c r="DG80" i="20"/>
  <c r="DK80" i="20"/>
  <c r="DG81" i="20"/>
  <c r="DK81" i="20"/>
  <c r="DG82" i="20"/>
  <c r="DK82" i="20"/>
  <c r="DG83" i="20"/>
  <c r="DJ151" i="20"/>
  <c r="DJ152" i="20"/>
  <c r="DJ153" i="20"/>
  <c r="DJ154" i="20"/>
  <c r="DJ155" i="20"/>
  <c r="DJ156" i="20"/>
  <c r="DJ157" i="20"/>
  <c r="DJ158" i="20"/>
  <c r="DJ159" i="20"/>
  <c r="DJ160" i="20"/>
  <c r="DJ135" i="20"/>
  <c r="DJ136" i="20"/>
  <c r="DJ137" i="20"/>
  <c r="DJ138" i="20"/>
  <c r="DJ139" i="20"/>
  <c r="DJ140" i="20"/>
  <c r="DJ141" i="20"/>
  <c r="DJ142" i="20"/>
  <c r="DJ143" i="20"/>
  <c r="DJ144" i="20"/>
  <c r="DJ145" i="20"/>
  <c r="DJ146" i="20"/>
  <c r="DJ147" i="20"/>
  <c r="DJ148" i="20"/>
  <c r="DJ21" i="20"/>
  <c r="DJ22" i="20"/>
  <c r="DJ23" i="20"/>
  <c r="DJ24" i="20"/>
  <c r="DJ25" i="20"/>
  <c r="DJ26" i="20"/>
  <c r="DJ27" i="20"/>
  <c r="DJ28" i="20"/>
  <c r="DJ29" i="20"/>
  <c r="DJ30" i="20"/>
  <c r="DJ31" i="20"/>
  <c r="DJ32" i="20"/>
  <c r="DJ33" i="20"/>
  <c r="DJ34" i="20"/>
  <c r="DJ35" i="20"/>
  <c r="DJ36" i="20"/>
  <c r="DJ37" i="20"/>
  <c r="DJ38" i="20"/>
  <c r="DJ39" i="20"/>
  <c r="DJ40" i="20"/>
  <c r="DJ41" i="20"/>
  <c r="DJ42" i="20"/>
  <c r="DJ43" i="20"/>
  <c r="DJ44" i="20"/>
  <c r="DJ45" i="20"/>
  <c r="DJ46" i="20"/>
  <c r="DJ47" i="20"/>
  <c r="DJ48" i="20"/>
  <c r="DJ49" i="20"/>
  <c r="DJ50" i="20"/>
  <c r="DJ51" i="20"/>
  <c r="DJ52" i="20"/>
  <c r="DJ53" i="20"/>
  <c r="DJ54" i="20"/>
  <c r="DJ55" i="20"/>
  <c r="DJ56" i="20"/>
  <c r="DJ57" i="20"/>
  <c r="DJ58" i="20"/>
  <c r="DJ59" i="20"/>
  <c r="DJ60" i="20"/>
  <c r="DJ61" i="20"/>
  <c r="DJ62" i="20"/>
  <c r="DJ63" i="20"/>
  <c r="DJ64" i="20"/>
  <c r="DJ65" i="20"/>
  <c r="DJ66" i="20"/>
  <c r="DJ67" i="20"/>
  <c r="DJ68" i="20"/>
  <c r="DJ69" i="20"/>
  <c r="DJ70" i="20"/>
  <c r="DJ71" i="20"/>
  <c r="DJ72" i="20"/>
  <c r="DJ73" i="20"/>
  <c r="DI74" i="20"/>
  <c r="DN74" i="20"/>
  <c r="DL75" i="20"/>
  <c r="DI76" i="20"/>
  <c r="DN76" i="20"/>
  <c r="DL77" i="20"/>
  <c r="DI78" i="20"/>
  <c r="DN78" i="20"/>
  <c r="DL79" i="20"/>
  <c r="DI80" i="20"/>
  <c r="DN80" i="20"/>
  <c r="DL81" i="20"/>
  <c r="DI82" i="20"/>
  <c r="DN82" i="20"/>
  <c r="DK83" i="20"/>
  <c r="DG84" i="20"/>
  <c r="DK84" i="20"/>
  <c r="DG85" i="20"/>
  <c r="DK85" i="20"/>
  <c r="DG86" i="20"/>
  <c r="DK86" i="20"/>
  <c r="DG87" i="20"/>
  <c r="DK87" i="20"/>
  <c r="DG88" i="20"/>
  <c r="DK88" i="20"/>
  <c r="DG89" i="20"/>
  <c r="DK89" i="20"/>
  <c r="DG90" i="20"/>
  <c r="DK90" i="20"/>
  <c r="DG91" i="20"/>
  <c r="DK91" i="20"/>
  <c r="DG92" i="20"/>
  <c r="DK92" i="20"/>
  <c r="DG93" i="20"/>
  <c r="DK93" i="20"/>
  <c r="DG94" i="20"/>
  <c r="DK94" i="20"/>
  <c r="DG95" i="20"/>
  <c r="DK95" i="20"/>
  <c r="DG96" i="20"/>
  <c r="DK96" i="20"/>
  <c r="DG97" i="20"/>
  <c r="DK97" i="20"/>
  <c r="DG98" i="20"/>
  <c r="DK98" i="20"/>
  <c r="DG99" i="20"/>
  <c r="DK99" i="20"/>
  <c r="DG100" i="20"/>
  <c r="DK100" i="20"/>
  <c r="DG101" i="20"/>
  <c r="DK101" i="20"/>
  <c r="DG102" i="20"/>
  <c r="DK102" i="20"/>
  <c r="DG103" i="20"/>
  <c r="DK103" i="20"/>
  <c r="DG104" i="20"/>
  <c r="DK104" i="20"/>
  <c r="DG105" i="20"/>
  <c r="DK105" i="20"/>
  <c r="DG106" i="20"/>
  <c r="DK106" i="20"/>
  <c r="DG107" i="20"/>
  <c r="DK107" i="20"/>
  <c r="DG108" i="20"/>
  <c r="DK108" i="20"/>
  <c r="DG109" i="20"/>
  <c r="DK109" i="20"/>
  <c r="DG110" i="20"/>
  <c r="DK110" i="20"/>
  <c r="DG111" i="20"/>
  <c r="DK111" i="20"/>
  <c r="DG112" i="20"/>
  <c r="DK112" i="20"/>
  <c r="DG113" i="20"/>
  <c r="DK113" i="20"/>
  <c r="DG114" i="20"/>
  <c r="DK114" i="20"/>
  <c r="DG115" i="20"/>
  <c r="DK115" i="20"/>
  <c r="DG116" i="20"/>
  <c r="DK116" i="20"/>
  <c r="DG117" i="20"/>
  <c r="DK117" i="20"/>
  <c r="DG118" i="20"/>
  <c r="DK118" i="20"/>
  <c r="DG119" i="20"/>
  <c r="DK119" i="20"/>
  <c r="DG120" i="20"/>
  <c r="DK120" i="20"/>
  <c r="DG121" i="20"/>
  <c r="DK121" i="20"/>
  <c r="DG122" i="20"/>
  <c r="DK122" i="20"/>
  <c r="DG123" i="20"/>
  <c r="DK123" i="20"/>
  <c r="DG124" i="20"/>
  <c r="DK124" i="20"/>
  <c r="DG125" i="20"/>
  <c r="DK125" i="20"/>
  <c r="DG126" i="20"/>
  <c r="DK126" i="20"/>
  <c r="DG127" i="20"/>
  <c r="DK127" i="20"/>
  <c r="DG128" i="20"/>
  <c r="DK128" i="20"/>
  <c r="DG129" i="20"/>
  <c r="DK129" i="20"/>
  <c r="DG130" i="20"/>
  <c r="DK130" i="20"/>
  <c r="DG131" i="20"/>
  <c r="DK131" i="20"/>
  <c r="DG132" i="20"/>
  <c r="DK132" i="20"/>
  <c r="DG133" i="20"/>
  <c r="DK133" i="20"/>
  <c r="DG134" i="20"/>
  <c r="DK134" i="20"/>
  <c r="DG12" i="20"/>
  <c r="DK12" i="20"/>
  <c r="DG13" i="20"/>
  <c r="DK13" i="20"/>
  <c r="DG14" i="20"/>
  <c r="DK14" i="20"/>
  <c r="DG15" i="20"/>
  <c r="DK15" i="20"/>
  <c r="DG16" i="20"/>
  <c r="DK16" i="20"/>
  <c r="DG17" i="20"/>
  <c r="DK17" i="20"/>
  <c r="DG18" i="20"/>
  <c r="DK18" i="20"/>
  <c r="DG19" i="20"/>
  <c r="DK19" i="20"/>
  <c r="DG20" i="20"/>
  <c r="DK20" i="20"/>
  <c r="DG9" i="20"/>
  <c r="DK9" i="20"/>
  <c r="DG10" i="20"/>
  <c r="DK10" i="20"/>
  <c r="DG11" i="20"/>
  <c r="DK11" i="20"/>
  <c r="DM150" i="20"/>
  <c r="DM151" i="20"/>
  <c r="DM152" i="20"/>
  <c r="DM153" i="20"/>
  <c r="DM154" i="20"/>
  <c r="DM155" i="20"/>
  <c r="DM156" i="20"/>
  <c r="DM157" i="20"/>
  <c r="DM158" i="20"/>
  <c r="DM159" i="20"/>
  <c r="DM160" i="20"/>
  <c r="DM135" i="20"/>
  <c r="DM136" i="20"/>
  <c r="DM137" i="20"/>
  <c r="DM138" i="20"/>
  <c r="DM139" i="20"/>
  <c r="DM140" i="20"/>
  <c r="DM141" i="20"/>
  <c r="DM142" i="20"/>
  <c r="DM143" i="20"/>
  <c r="DM144" i="20"/>
  <c r="DM145" i="20"/>
  <c r="DM146" i="20"/>
  <c r="DM147" i="20"/>
  <c r="DM148" i="20"/>
  <c r="DM21" i="20"/>
  <c r="DM22" i="20"/>
  <c r="DM23" i="20"/>
  <c r="DM24" i="20"/>
  <c r="DM25" i="20"/>
  <c r="DM26" i="20"/>
  <c r="DM27" i="20"/>
  <c r="DM28" i="20"/>
  <c r="DM29" i="20"/>
  <c r="DM30" i="20"/>
  <c r="DM31" i="20"/>
  <c r="DM32" i="20"/>
  <c r="DM33" i="20"/>
  <c r="DM34" i="20"/>
  <c r="DM35" i="20"/>
  <c r="DM36" i="20"/>
  <c r="DM37" i="20"/>
  <c r="DM38" i="20"/>
  <c r="DM39" i="20"/>
  <c r="DM40" i="20"/>
  <c r="DM41" i="20"/>
  <c r="DM42" i="20"/>
  <c r="DM43" i="20"/>
  <c r="DM44" i="20"/>
  <c r="DM45" i="20"/>
  <c r="DM46" i="20"/>
  <c r="DM47" i="20"/>
  <c r="DM48" i="20"/>
  <c r="DM49" i="20"/>
  <c r="DM50" i="20"/>
  <c r="DM51" i="20"/>
  <c r="DM52" i="20"/>
  <c r="DM53" i="20"/>
  <c r="DM54" i="20"/>
  <c r="DM55" i="20"/>
  <c r="DM56" i="20"/>
  <c r="DM57" i="20"/>
  <c r="DM58" i="20"/>
  <c r="DM59" i="20"/>
  <c r="DM60" i="20"/>
  <c r="DM61" i="20"/>
  <c r="DM62" i="20"/>
  <c r="DM63" i="20"/>
  <c r="DM64" i="20"/>
  <c r="DM65" i="20"/>
  <c r="DM66" i="20"/>
  <c r="DM67" i="20"/>
  <c r="DM68" i="20"/>
  <c r="DM69" i="20"/>
  <c r="DM70" i="20"/>
  <c r="DM71" i="20"/>
  <c r="DM72" i="20"/>
  <c r="DM73" i="20"/>
  <c r="DJ74" i="20"/>
  <c r="DH75" i="20"/>
  <c r="DM75" i="20"/>
  <c r="DJ76" i="20"/>
  <c r="DH77" i="20"/>
  <c r="DM77" i="20"/>
  <c r="DJ78" i="20"/>
  <c r="DH79" i="20"/>
  <c r="DM79" i="20"/>
  <c r="DJ80" i="20"/>
  <c r="DH81" i="20"/>
  <c r="DM81" i="20"/>
  <c r="DJ82" i="20"/>
  <c r="DH83" i="20"/>
  <c r="DL83" i="20"/>
  <c r="DH84" i="20"/>
  <c r="DL84" i="20"/>
  <c r="DH85" i="20"/>
  <c r="DL85" i="20"/>
  <c r="DH86" i="20"/>
  <c r="DL86" i="20"/>
  <c r="DH87" i="20"/>
  <c r="DL87" i="20"/>
  <c r="DH88" i="20"/>
  <c r="DL88" i="20"/>
  <c r="DH89" i="20"/>
  <c r="DL89" i="20"/>
  <c r="DH90" i="20"/>
  <c r="DL90" i="20"/>
  <c r="DH91" i="20"/>
  <c r="DL91" i="20"/>
  <c r="DH92" i="20"/>
  <c r="DL92" i="20"/>
  <c r="DH93" i="20"/>
  <c r="DL93" i="20"/>
  <c r="DH94" i="20"/>
  <c r="DL94" i="20"/>
  <c r="DH95" i="20"/>
  <c r="DL95" i="20"/>
  <c r="DH96" i="20"/>
  <c r="DL96" i="20"/>
  <c r="DH97" i="20"/>
  <c r="DL97" i="20"/>
  <c r="DH98" i="20"/>
  <c r="DL98" i="20"/>
  <c r="DH99" i="20"/>
  <c r="DL99" i="20"/>
  <c r="DH100" i="20"/>
  <c r="DL100" i="20"/>
  <c r="DH101" i="20"/>
  <c r="DL101" i="20"/>
  <c r="DH102" i="20"/>
  <c r="DL102" i="20"/>
  <c r="DH103" i="20"/>
  <c r="DL103" i="20"/>
  <c r="DH104" i="20"/>
  <c r="DL104" i="20"/>
  <c r="DH105" i="20"/>
  <c r="DL105" i="20"/>
  <c r="DH106" i="20"/>
  <c r="DL106" i="20"/>
  <c r="DH107" i="20"/>
  <c r="DL107" i="20"/>
  <c r="DH108" i="20"/>
  <c r="DL108" i="20"/>
  <c r="DH109" i="20"/>
  <c r="DL109" i="20"/>
  <c r="DH110" i="20"/>
  <c r="DL110" i="20"/>
  <c r="DH111" i="20"/>
  <c r="DL111" i="20"/>
  <c r="DH112" i="20"/>
  <c r="DL112" i="20"/>
  <c r="DH113" i="20"/>
  <c r="DL113" i="20"/>
  <c r="DH114" i="20"/>
  <c r="DL114" i="20"/>
  <c r="DH115" i="20"/>
  <c r="DL115" i="20"/>
  <c r="DH116" i="20"/>
  <c r="DL116" i="20"/>
  <c r="DH117" i="20"/>
  <c r="DL117" i="20"/>
  <c r="DH118" i="20"/>
  <c r="DL118" i="20"/>
  <c r="DH119" i="20"/>
  <c r="DL119" i="20"/>
  <c r="DH120" i="20"/>
  <c r="DL120" i="20"/>
  <c r="DH121" i="20"/>
  <c r="DL121" i="20"/>
  <c r="DH122" i="20"/>
  <c r="DL122" i="20"/>
  <c r="DH123" i="20"/>
  <c r="DL123" i="20"/>
  <c r="DH124" i="20"/>
  <c r="DL124" i="20"/>
  <c r="DH125" i="20"/>
  <c r="DL125" i="20"/>
  <c r="DH126" i="20"/>
  <c r="DL126" i="20"/>
  <c r="DH127" i="20"/>
  <c r="DL127" i="20"/>
  <c r="DH128" i="20"/>
  <c r="DL128" i="20"/>
  <c r="DH129" i="20"/>
  <c r="DL129" i="20"/>
  <c r="DH130" i="20"/>
  <c r="DL130" i="20"/>
  <c r="DH131" i="20"/>
  <c r="DL131" i="20"/>
  <c r="DH132" i="20"/>
  <c r="DL132" i="20"/>
  <c r="DH133" i="20"/>
  <c r="DL133" i="20"/>
  <c r="DH134" i="20"/>
  <c r="DL134" i="20"/>
  <c r="DH12" i="20"/>
  <c r="DL12" i="20"/>
  <c r="DH13" i="20"/>
  <c r="DL13" i="20"/>
  <c r="DH14" i="20"/>
  <c r="DL14" i="20"/>
  <c r="DH15" i="20"/>
  <c r="DL15" i="20"/>
  <c r="DH16" i="20"/>
  <c r="DL16" i="20"/>
  <c r="DH17" i="20"/>
  <c r="DL17" i="20"/>
  <c r="DH18" i="20"/>
  <c r="DL18" i="20"/>
  <c r="DH19" i="20"/>
  <c r="DL19" i="20"/>
  <c r="DH20" i="20"/>
  <c r="DL20" i="20"/>
  <c r="DH9" i="20"/>
  <c r="DL9" i="20"/>
  <c r="DH10" i="20"/>
  <c r="DL10" i="20"/>
  <c r="DH11" i="20"/>
  <c r="DL11" i="20"/>
  <c r="DN150" i="20"/>
  <c r="DN151" i="20"/>
  <c r="DN152" i="20"/>
  <c r="DN153" i="20"/>
  <c r="DN154" i="20"/>
  <c r="DN155" i="20"/>
  <c r="DN156" i="20"/>
  <c r="DN157" i="20"/>
  <c r="DN158" i="20"/>
  <c r="DN159" i="20"/>
  <c r="DN160" i="20"/>
  <c r="DN135" i="20"/>
  <c r="DN136" i="20"/>
  <c r="DN137" i="20"/>
  <c r="DN138" i="20"/>
  <c r="DN139" i="20"/>
  <c r="DN140" i="20"/>
  <c r="DN141" i="20"/>
  <c r="DN142" i="20"/>
  <c r="DN143" i="20"/>
  <c r="DN144" i="20"/>
  <c r="DN145" i="20"/>
  <c r="DN146" i="20"/>
  <c r="DN147" i="20"/>
  <c r="DN148" i="20"/>
  <c r="DN21" i="20"/>
  <c r="DN22" i="20"/>
  <c r="DN23" i="20"/>
  <c r="DN24" i="20"/>
  <c r="DN25" i="20"/>
  <c r="DN26" i="20"/>
  <c r="DN27" i="20"/>
  <c r="DN28" i="20"/>
  <c r="DN29" i="20"/>
  <c r="DN30" i="20"/>
  <c r="DN31" i="20"/>
  <c r="DN32" i="20"/>
  <c r="DN33" i="20"/>
  <c r="DN34" i="20"/>
  <c r="DN35" i="20"/>
  <c r="DN36" i="20"/>
  <c r="DN37" i="20"/>
  <c r="DN38" i="20"/>
  <c r="DN39" i="20"/>
  <c r="DN40" i="20"/>
  <c r="DN41" i="20"/>
  <c r="DN42" i="20"/>
  <c r="DN43" i="20"/>
  <c r="DN44" i="20"/>
  <c r="DN45" i="20"/>
  <c r="DN46" i="20"/>
  <c r="DN47" i="20"/>
  <c r="DN48" i="20"/>
  <c r="DN49" i="20"/>
  <c r="DN50" i="20"/>
  <c r="DN51" i="20"/>
  <c r="DN52" i="20"/>
  <c r="DN53" i="20"/>
  <c r="DN54" i="20"/>
  <c r="DN55" i="20"/>
  <c r="DN56" i="20"/>
  <c r="DN57" i="20"/>
  <c r="DN58" i="20"/>
  <c r="DN59" i="20"/>
  <c r="DN60" i="20"/>
  <c r="DN61" i="20"/>
  <c r="DN62" i="20"/>
  <c r="DN63" i="20"/>
  <c r="DN64" i="20"/>
  <c r="DN65" i="20"/>
  <c r="DN66" i="20"/>
  <c r="DN67" i="20"/>
  <c r="DN68" i="20"/>
  <c r="DN69" i="20"/>
  <c r="DN70" i="20"/>
  <c r="DN71" i="20"/>
  <c r="DN72" i="20"/>
  <c r="DN73" i="20"/>
  <c r="DL74" i="20"/>
  <c r="DI75" i="20"/>
  <c r="DN75" i="20"/>
  <c r="DL76" i="20"/>
  <c r="DI77" i="20"/>
  <c r="DN77" i="20"/>
  <c r="DL78" i="20"/>
  <c r="DI79" i="20"/>
  <c r="DN79" i="20"/>
  <c r="DL80" i="20"/>
  <c r="DI81" i="20"/>
  <c r="DN81" i="20"/>
  <c r="DL82" i="20"/>
  <c r="DI83" i="20"/>
  <c r="DM83" i="20"/>
  <c r="DI84" i="20"/>
  <c r="DM84" i="20"/>
  <c r="DI85" i="20"/>
  <c r="DM85" i="20"/>
  <c r="DI86" i="20"/>
  <c r="DM86" i="20"/>
  <c r="DI87" i="20"/>
  <c r="DM87" i="20"/>
  <c r="DI88" i="20"/>
  <c r="DM88" i="20"/>
  <c r="DI89" i="20"/>
  <c r="DM89" i="20"/>
  <c r="DI90" i="20"/>
  <c r="DM90" i="20"/>
  <c r="DI91" i="20"/>
  <c r="DM91" i="20"/>
  <c r="DI92" i="20"/>
  <c r="DM92" i="20"/>
  <c r="DI93" i="20"/>
  <c r="DM93" i="20"/>
  <c r="DI94" i="20"/>
  <c r="DM94" i="20"/>
  <c r="DI95" i="20"/>
  <c r="DM95" i="20"/>
  <c r="DI96" i="20"/>
  <c r="DM96" i="20"/>
  <c r="DI97" i="20"/>
  <c r="DM97" i="20"/>
  <c r="DI98" i="20"/>
  <c r="DM98" i="20"/>
  <c r="DI99" i="20"/>
  <c r="DM99" i="20"/>
  <c r="DI100" i="20"/>
  <c r="DM100" i="20"/>
  <c r="DI101" i="20"/>
  <c r="DM101" i="20"/>
  <c r="DI102" i="20"/>
  <c r="DM102" i="20"/>
  <c r="DI103" i="20"/>
  <c r="DM103" i="20"/>
  <c r="DI104" i="20"/>
  <c r="DM104" i="20"/>
  <c r="DI105" i="20"/>
  <c r="DM105" i="20"/>
  <c r="DI106" i="20"/>
  <c r="DM106" i="20"/>
  <c r="DI107" i="20"/>
  <c r="DM107" i="20"/>
  <c r="DI108" i="20"/>
  <c r="DM108" i="20"/>
  <c r="DI109" i="20"/>
  <c r="DM109" i="20"/>
  <c r="DI110" i="20"/>
  <c r="DM110" i="20"/>
  <c r="DI111" i="20"/>
  <c r="DM111" i="20"/>
  <c r="DI112" i="20"/>
  <c r="DM112" i="20"/>
  <c r="DI113" i="20"/>
  <c r="DM113" i="20"/>
  <c r="DI114" i="20"/>
  <c r="DM114" i="20"/>
  <c r="DI115" i="20"/>
  <c r="DM115" i="20"/>
  <c r="DI116" i="20"/>
  <c r="DM116" i="20"/>
  <c r="DI117" i="20"/>
  <c r="DM117" i="20"/>
  <c r="DI118" i="20"/>
  <c r="DM118" i="20"/>
  <c r="DI119" i="20"/>
  <c r="DM119" i="20"/>
  <c r="DI120" i="20"/>
  <c r="DM120" i="20"/>
  <c r="DI121" i="20"/>
  <c r="DM121" i="20"/>
  <c r="DI122" i="20"/>
  <c r="DM122" i="20"/>
  <c r="DI123" i="20"/>
  <c r="DM123" i="20"/>
  <c r="DI124" i="20"/>
  <c r="DM124" i="20"/>
  <c r="DI125" i="20"/>
  <c r="DM125" i="20"/>
  <c r="DI126" i="20"/>
  <c r="DM126" i="20"/>
  <c r="DI127" i="20"/>
  <c r="DM127" i="20"/>
  <c r="DI128" i="20"/>
  <c r="DM128" i="20"/>
  <c r="DI129" i="20"/>
  <c r="DM129" i="20"/>
  <c r="DI130" i="20"/>
  <c r="DM130" i="20"/>
  <c r="DI131" i="20"/>
  <c r="DM131" i="20"/>
  <c r="DI132" i="20"/>
  <c r="DM132" i="20"/>
  <c r="DI133" i="20"/>
  <c r="DM133" i="20"/>
  <c r="DI134" i="20"/>
  <c r="DM134" i="20"/>
  <c r="DI12" i="20"/>
  <c r="DM12" i="20"/>
  <c r="DI13" i="20"/>
  <c r="DM13" i="20"/>
  <c r="DI14" i="20"/>
  <c r="DM14" i="20"/>
  <c r="DI15" i="20"/>
  <c r="DM15" i="20"/>
  <c r="DI16" i="20"/>
  <c r="DM16" i="20"/>
  <c r="DI17" i="20"/>
  <c r="DM17" i="20"/>
  <c r="DI18" i="20"/>
  <c r="DM18" i="20"/>
  <c r="DI19" i="20"/>
  <c r="DM19" i="20"/>
  <c r="DI20" i="20"/>
  <c r="DM20" i="20"/>
  <c r="DI9" i="20"/>
  <c r="DM9" i="20"/>
  <c r="DI10" i="20"/>
  <c r="DM10" i="20"/>
  <c r="DI11" i="20"/>
  <c r="DM11" i="20"/>
  <c r="DI151" i="20"/>
  <c r="DI152" i="20"/>
  <c r="DI153" i="20"/>
  <c r="DI154" i="20"/>
  <c r="DI155" i="20"/>
  <c r="DI156" i="20"/>
  <c r="DI157" i="20"/>
  <c r="DI158" i="20"/>
  <c r="DI159" i="20"/>
  <c r="DI160" i="20"/>
  <c r="DI135" i="20"/>
  <c r="DI136" i="20"/>
  <c r="DI137" i="20"/>
  <c r="DI138" i="20"/>
  <c r="DI139" i="20"/>
  <c r="DI140" i="20"/>
  <c r="DI141" i="20"/>
  <c r="DI142" i="20"/>
  <c r="DI143" i="20"/>
  <c r="DI144" i="20"/>
  <c r="DI145" i="20"/>
  <c r="DI146" i="20"/>
  <c r="DI147" i="20"/>
  <c r="DI148" i="20"/>
  <c r="DI21" i="20"/>
  <c r="DI22" i="20"/>
  <c r="DI23" i="20"/>
  <c r="DI24" i="20"/>
  <c r="DI25" i="20"/>
  <c r="DI26" i="20"/>
  <c r="DI27" i="20"/>
  <c r="DI28" i="20"/>
  <c r="DI29" i="20"/>
  <c r="DI30" i="20"/>
  <c r="DI31" i="20"/>
  <c r="DI32" i="20"/>
  <c r="DI33" i="20"/>
  <c r="DI34" i="20"/>
  <c r="DI35" i="20"/>
  <c r="DI36" i="20"/>
  <c r="DI37" i="20"/>
  <c r="DI38" i="20"/>
  <c r="DI39" i="20"/>
  <c r="DI40" i="20"/>
  <c r="DI41" i="20"/>
  <c r="DI42" i="20"/>
  <c r="DI43" i="20"/>
  <c r="DI44" i="20"/>
  <c r="DI45" i="20"/>
  <c r="DI46" i="20"/>
  <c r="DI47" i="20"/>
  <c r="DI48" i="20"/>
  <c r="DI49" i="20"/>
  <c r="DI50" i="20"/>
  <c r="DI51" i="20"/>
  <c r="DI52" i="20"/>
  <c r="DI53" i="20"/>
  <c r="DI54" i="20"/>
  <c r="DI55" i="20"/>
  <c r="DI56" i="20"/>
  <c r="DI57" i="20"/>
  <c r="DI58" i="20"/>
  <c r="DI59" i="20"/>
  <c r="DI60" i="20"/>
  <c r="DI61" i="20"/>
  <c r="DI62" i="20"/>
  <c r="DI63" i="20"/>
  <c r="DI64" i="20"/>
  <c r="DI65" i="20"/>
  <c r="DI66" i="20"/>
  <c r="DI67" i="20"/>
  <c r="DI68" i="20"/>
  <c r="DI69" i="20"/>
  <c r="DI70" i="20"/>
  <c r="DI71" i="20"/>
  <c r="DI72" i="20"/>
  <c r="DI73" i="20"/>
  <c r="DH74" i="20"/>
  <c r="DM74" i="20"/>
  <c r="DJ75" i="20"/>
  <c r="DH76" i="20"/>
  <c r="DM76" i="20"/>
  <c r="DJ77" i="20"/>
  <c r="DH78" i="20"/>
  <c r="DM78" i="20"/>
  <c r="DJ79" i="20"/>
  <c r="DH80" i="20"/>
  <c r="DM80" i="20"/>
  <c r="DJ81" i="20"/>
  <c r="DH82" i="20"/>
  <c r="DM82" i="20"/>
  <c r="DJ83" i="20"/>
  <c r="DN83" i="20"/>
  <c r="DJ84" i="20"/>
  <c r="DN84" i="20"/>
  <c r="DJ85" i="20"/>
  <c r="DN85" i="20"/>
  <c r="DJ86" i="20"/>
  <c r="DN86" i="20"/>
  <c r="DJ87" i="20"/>
  <c r="DN87" i="20"/>
  <c r="DJ88" i="20"/>
  <c r="DN88" i="20"/>
  <c r="DJ89" i="20"/>
  <c r="DN89" i="20"/>
  <c r="DJ90" i="20"/>
  <c r="DN90" i="20"/>
  <c r="DJ91" i="20"/>
  <c r="DN91" i="20"/>
  <c r="DJ92" i="20"/>
  <c r="DN92" i="20"/>
  <c r="DJ93" i="20"/>
  <c r="DN93" i="20"/>
  <c r="DJ94" i="20"/>
  <c r="DN94" i="20"/>
  <c r="DJ95" i="20"/>
  <c r="DN95" i="20"/>
  <c r="DJ96" i="20"/>
  <c r="DN96" i="20"/>
  <c r="DJ97" i="20"/>
  <c r="DN97" i="20"/>
  <c r="DJ98" i="20"/>
  <c r="DN98" i="20"/>
  <c r="DJ99" i="20"/>
  <c r="DN99" i="20"/>
  <c r="DJ100" i="20"/>
  <c r="DN100" i="20"/>
  <c r="DJ101" i="20"/>
  <c r="DN101" i="20"/>
  <c r="DJ102" i="20"/>
  <c r="DN102" i="20"/>
  <c r="DJ103" i="20"/>
  <c r="DN103" i="20"/>
  <c r="DJ104" i="20"/>
  <c r="DN104" i="20"/>
  <c r="DJ105" i="20"/>
  <c r="DN105" i="20"/>
  <c r="DJ106" i="20"/>
  <c r="DN106" i="20"/>
  <c r="DJ107" i="20"/>
  <c r="DN107" i="20"/>
  <c r="DJ108" i="20"/>
  <c r="DN108" i="20"/>
  <c r="DJ109" i="20"/>
  <c r="DN109" i="20"/>
  <c r="DJ110" i="20"/>
  <c r="DN110" i="20"/>
  <c r="DJ111" i="20"/>
  <c r="DN111" i="20"/>
  <c r="DJ112" i="20"/>
  <c r="DN112" i="20"/>
  <c r="DJ113" i="20"/>
  <c r="DN113" i="20"/>
  <c r="DJ114" i="20"/>
  <c r="DN114" i="20"/>
  <c r="DJ115" i="20"/>
  <c r="DN115" i="20"/>
  <c r="DJ116" i="20"/>
  <c r="DN116" i="20"/>
  <c r="DJ117" i="20"/>
  <c r="DN117" i="20"/>
  <c r="DJ118" i="20"/>
  <c r="DN118" i="20"/>
  <c r="DJ119" i="20"/>
  <c r="DN119" i="20"/>
  <c r="DJ120" i="20"/>
  <c r="DN120" i="20"/>
  <c r="DJ121" i="20"/>
  <c r="DN121" i="20"/>
  <c r="DJ122" i="20"/>
  <c r="DN122" i="20"/>
  <c r="DJ123" i="20"/>
  <c r="DN123" i="20"/>
  <c r="DJ124" i="20"/>
  <c r="DN124" i="20"/>
  <c r="DJ125" i="20"/>
  <c r="DN125" i="20"/>
  <c r="DJ126" i="20"/>
  <c r="DN126" i="20"/>
  <c r="DJ127" i="20"/>
  <c r="DN127" i="20"/>
  <c r="DJ128" i="20"/>
  <c r="DN128" i="20"/>
  <c r="DJ129" i="20"/>
  <c r="DN129" i="20"/>
  <c r="DJ130" i="20"/>
  <c r="DN130" i="20"/>
  <c r="DJ131" i="20"/>
  <c r="DN131" i="20"/>
  <c r="DJ132" i="20"/>
  <c r="DN132" i="20"/>
  <c r="DJ133" i="20"/>
  <c r="DN133" i="20"/>
  <c r="DJ134" i="20"/>
  <c r="DN134" i="20"/>
  <c r="DJ12" i="20"/>
  <c r="DN12" i="20"/>
  <c r="DJ13" i="20"/>
  <c r="DN13" i="20"/>
  <c r="DJ14" i="20"/>
  <c r="DN14" i="20"/>
  <c r="DJ15" i="20"/>
  <c r="DN15" i="20"/>
  <c r="DJ16" i="20"/>
  <c r="DN16" i="20"/>
  <c r="DJ17" i="20"/>
  <c r="DN17" i="20"/>
  <c r="DJ18" i="20"/>
  <c r="DN18" i="20"/>
  <c r="DJ19" i="20"/>
  <c r="DN19" i="20"/>
  <c r="DJ20" i="20"/>
  <c r="DN20" i="20"/>
  <c r="DJ9" i="20"/>
  <c r="DN9" i="20"/>
  <c r="DJ10" i="20"/>
  <c r="DN10" i="20"/>
  <c r="DJ11" i="20"/>
  <c r="DN11" i="20"/>
  <c r="FN162" i="20"/>
  <c r="FR162" i="20"/>
  <c r="FN163" i="20"/>
  <c r="FR163" i="20"/>
  <c r="FN164" i="20"/>
  <c r="FR164" i="20"/>
  <c r="FK162" i="20"/>
  <c r="FO162" i="20"/>
  <c r="FK163" i="20"/>
  <c r="FO163" i="20"/>
  <c r="FK164" i="20"/>
  <c r="FO164" i="20"/>
  <c r="FL162" i="20"/>
  <c r="FP162" i="20"/>
  <c r="FL163" i="20"/>
  <c r="FP163" i="20"/>
  <c r="FL164" i="20"/>
  <c r="FP164" i="20"/>
  <c r="FL165" i="20"/>
  <c r="FP165" i="20"/>
  <c r="FL166" i="20"/>
  <c r="FP166" i="20"/>
  <c r="FN165" i="20"/>
  <c r="FN166" i="20"/>
  <c r="FK167" i="20"/>
  <c r="FO167" i="20"/>
  <c r="FK9" i="20"/>
  <c r="FO9" i="20"/>
  <c r="FK10" i="20"/>
  <c r="FO10" i="20"/>
  <c r="FK11" i="20"/>
  <c r="FO11" i="20"/>
  <c r="FK12" i="20"/>
  <c r="FO12" i="20"/>
  <c r="FK13" i="20"/>
  <c r="FO13" i="20"/>
  <c r="FK14" i="20"/>
  <c r="FO14" i="20"/>
  <c r="FK15" i="20"/>
  <c r="FO15" i="20"/>
  <c r="FK16" i="20"/>
  <c r="FO16" i="20"/>
  <c r="FK17" i="20"/>
  <c r="FO17" i="20"/>
  <c r="FK18" i="20"/>
  <c r="FO18" i="20"/>
  <c r="FK19" i="20"/>
  <c r="FO19" i="20"/>
  <c r="FK20" i="20"/>
  <c r="FO20" i="20"/>
  <c r="FK21" i="20"/>
  <c r="FO21" i="20"/>
  <c r="FK22" i="20"/>
  <c r="FO22" i="20"/>
  <c r="FK23" i="20"/>
  <c r="FO23" i="20"/>
  <c r="FK24" i="20"/>
  <c r="FO24" i="20"/>
  <c r="FK25" i="20"/>
  <c r="FO25" i="20"/>
  <c r="FK26" i="20"/>
  <c r="FO26" i="20"/>
  <c r="FK27" i="20"/>
  <c r="FO27" i="20"/>
  <c r="FK28" i="20"/>
  <c r="FO28" i="20"/>
  <c r="FK29" i="20"/>
  <c r="FO29" i="20"/>
  <c r="FK30" i="20"/>
  <c r="FO30" i="20"/>
  <c r="FO165" i="20"/>
  <c r="FO166" i="20"/>
  <c r="FL167" i="20"/>
  <c r="FP167" i="20"/>
  <c r="FL9" i="20"/>
  <c r="FP9" i="20"/>
  <c r="FL10" i="20"/>
  <c r="FP10" i="20"/>
  <c r="FL11" i="20"/>
  <c r="FP11" i="20"/>
  <c r="FL12" i="20"/>
  <c r="FP12" i="20"/>
  <c r="FL13" i="20"/>
  <c r="FP13" i="20"/>
  <c r="FL14" i="20"/>
  <c r="FP14" i="20"/>
  <c r="FL15" i="20"/>
  <c r="FP15" i="20"/>
  <c r="FL16" i="20"/>
  <c r="FP16" i="20"/>
  <c r="FL17" i="20"/>
  <c r="FP17" i="20"/>
  <c r="FL18" i="20"/>
  <c r="FP18" i="20"/>
  <c r="FL19" i="20"/>
  <c r="FP19" i="20"/>
  <c r="FL20" i="20"/>
  <c r="FP20" i="20"/>
  <c r="FL21" i="20"/>
  <c r="FP21" i="20"/>
  <c r="FL22" i="20"/>
  <c r="FP22" i="20"/>
  <c r="FL23" i="20"/>
  <c r="FP23" i="20"/>
  <c r="FL24" i="20"/>
  <c r="FP24" i="20"/>
  <c r="FL25" i="20"/>
  <c r="FP25" i="20"/>
  <c r="FM162" i="20"/>
  <c r="FM163" i="20"/>
  <c r="FM164" i="20"/>
  <c r="FK165" i="20"/>
  <c r="FQ165" i="20"/>
  <c r="FK166" i="20"/>
  <c r="FQ166" i="20"/>
  <c r="FM167" i="20"/>
  <c r="FQ167" i="20"/>
  <c r="FM9" i="20"/>
  <c r="FQ9" i="20"/>
  <c r="FM10" i="20"/>
  <c r="FQ10" i="20"/>
  <c r="FM11" i="20"/>
  <c r="FQ11" i="20"/>
  <c r="FM12" i="20"/>
  <c r="FQ12" i="20"/>
  <c r="FM13" i="20"/>
  <c r="FQ13" i="20"/>
  <c r="FM14" i="20"/>
  <c r="FQ14" i="20"/>
  <c r="FM15" i="20"/>
  <c r="FQ15" i="20"/>
  <c r="FM16" i="20"/>
  <c r="FQ16" i="20"/>
  <c r="FM17" i="20"/>
  <c r="FQ17" i="20"/>
  <c r="FM18" i="20"/>
  <c r="FQ18" i="20"/>
  <c r="FM19" i="20"/>
  <c r="FQ19" i="20"/>
  <c r="FM20" i="20"/>
  <c r="FQ20" i="20"/>
  <c r="FM21" i="20"/>
  <c r="FQ21" i="20"/>
  <c r="FM22" i="20"/>
  <c r="FQ22" i="20"/>
  <c r="FM23" i="20"/>
  <c r="FQ23" i="20"/>
  <c r="FM24" i="20"/>
  <c r="FQ24" i="20"/>
  <c r="FQ162" i="20"/>
  <c r="FQ163" i="20"/>
  <c r="FQ164" i="20"/>
  <c r="FM165" i="20"/>
  <c r="FR165" i="20"/>
  <c r="FM166" i="20"/>
  <c r="FR166" i="20"/>
  <c r="FN167" i="20"/>
  <c r="FR167" i="20"/>
  <c r="FN9" i="20"/>
  <c r="FR9" i="20"/>
  <c r="FN10" i="20"/>
  <c r="FR10" i="20"/>
  <c r="FN11" i="20"/>
  <c r="FR11" i="20"/>
  <c r="FN12" i="20"/>
  <c r="FR12" i="20"/>
  <c r="FN13" i="20"/>
  <c r="FR13" i="20"/>
  <c r="FN14" i="20"/>
  <c r="FR14" i="20"/>
  <c r="FN15" i="20"/>
  <c r="FR15" i="20"/>
  <c r="FN16" i="20"/>
  <c r="FR16" i="20"/>
  <c r="FN17" i="20"/>
  <c r="FR17" i="20"/>
  <c r="FN18" i="20"/>
  <c r="FR18" i="20"/>
  <c r="FN19" i="20"/>
  <c r="FR19" i="20"/>
  <c r="FN20" i="20"/>
  <c r="FR20" i="20"/>
  <c r="FN21" i="20"/>
  <c r="FR21" i="20"/>
  <c r="FN22" i="20"/>
  <c r="FR22" i="20"/>
  <c r="FN23" i="20"/>
  <c r="FR23" i="20"/>
  <c r="FN24" i="20"/>
  <c r="FR24" i="20"/>
  <c r="FN25" i="20"/>
  <c r="FR25" i="20"/>
  <c r="FN26" i="20"/>
  <c r="FR26" i="20"/>
  <c r="FN27" i="20"/>
  <c r="FR27" i="20"/>
  <c r="FN28" i="20"/>
  <c r="FR28" i="20"/>
  <c r="FN29" i="20"/>
  <c r="FR29" i="20"/>
  <c r="FN30" i="20"/>
  <c r="FR30" i="20"/>
  <c r="FQ26" i="20"/>
  <c r="FQ27" i="20"/>
  <c r="FQ28" i="20"/>
  <c r="FQ29" i="20"/>
  <c r="FQ30" i="20"/>
  <c r="FN31" i="20"/>
  <c r="FR31" i="20"/>
  <c r="FN32" i="20"/>
  <c r="FR32" i="20"/>
  <c r="FN33" i="20"/>
  <c r="FR33" i="20"/>
  <c r="FN34" i="20"/>
  <c r="FR34" i="20"/>
  <c r="FN35" i="20"/>
  <c r="FR35" i="20"/>
  <c r="FN36" i="20"/>
  <c r="FR36" i="20"/>
  <c r="FN37" i="20"/>
  <c r="FR37" i="20"/>
  <c r="FN38" i="20"/>
  <c r="FR38" i="20"/>
  <c r="FN39" i="20"/>
  <c r="FR39" i="20"/>
  <c r="FN40" i="20"/>
  <c r="FR40" i="20"/>
  <c r="FN41" i="20"/>
  <c r="FR41" i="20"/>
  <c r="FN42" i="20"/>
  <c r="FR42" i="20"/>
  <c r="FN43" i="20"/>
  <c r="FR43" i="20"/>
  <c r="FN44" i="20"/>
  <c r="FR44" i="20"/>
  <c r="FN45" i="20"/>
  <c r="FR45" i="20"/>
  <c r="FN46" i="20"/>
  <c r="FR46" i="20"/>
  <c r="FN47" i="20"/>
  <c r="FR47" i="20"/>
  <c r="FN48" i="20"/>
  <c r="FR48" i="20"/>
  <c r="FN49" i="20"/>
  <c r="FR49" i="20"/>
  <c r="FN50" i="20"/>
  <c r="FR50" i="20"/>
  <c r="FN51" i="20"/>
  <c r="FR51" i="20"/>
  <c r="FN52" i="20"/>
  <c r="FR52" i="20"/>
  <c r="FM25" i="20"/>
  <c r="FL26" i="20"/>
  <c r="FL27" i="20"/>
  <c r="FL28" i="20"/>
  <c r="FL29" i="20"/>
  <c r="FL30" i="20"/>
  <c r="FK31" i="20"/>
  <c r="FO31" i="20"/>
  <c r="FK32" i="20"/>
  <c r="FO32" i="20"/>
  <c r="FK33" i="20"/>
  <c r="FO33" i="20"/>
  <c r="FK34" i="20"/>
  <c r="FO34" i="20"/>
  <c r="FK35" i="20"/>
  <c r="FO35" i="20"/>
  <c r="FK36" i="20"/>
  <c r="FO36" i="20"/>
  <c r="FK37" i="20"/>
  <c r="FO37" i="20"/>
  <c r="FK38" i="20"/>
  <c r="FO38" i="20"/>
  <c r="FK39" i="20"/>
  <c r="FO39" i="20"/>
  <c r="FK40" i="20"/>
  <c r="FO40" i="20"/>
  <c r="FK41" i="20"/>
  <c r="FO41" i="20"/>
  <c r="FK42" i="20"/>
  <c r="FO42" i="20"/>
  <c r="FK43" i="20"/>
  <c r="FO43" i="20"/>
  <c r="FK44" i="20"/>
  <c r="FO44" i="20"/>
  <c r="FK45" i="20"/>
  <c r="FO45" i="20"/>
  <c r="FK46" i="20"/>
  <c r="FO46" i="20"/>
  <c r="FK47" i="20"/>
  <c r="FO47" i="20"/>
  <c r="FK48" i="20"/>
  <c r="FO48" i="20"/>
  <c r="FK49" i="20"/>
  <c r="FO49" i="20"/>
  <c r="FK50" i="20"/>
  <c r="FO50" i="20"/>
  <c r="FK51" i="20"/>
  <c r="FO51" i="20"/>
  <c r="FK52" i="20"/>
  <c r="FO52" i="20"/>
  <c r="FK53" i="20"/>
  <c r="FO53" i="20"/>
  <c r="FK54" i="20"/>
  <c r="FO54" i="20"/>
  <c r="FK55" i="20"/>
  <c r="FO55" i="20"/>
  <c r="FK56" i="20"/>
  <c r="FO56" i="20"/>
  <c r="FK57" i="20"/>
  <c r="FO57" i="20"/>
  <c r="FK58" i="20"/>
  <c r="FO58" i="20"/>
  <c r="FQ25" i="20"/>
  <c r="FM26" i="20"/>
  <c r="FM27" i="20"/>
  <c r="FM28" i="20"/>
  <c r="FM29" i="20"/>
  <c r="FM30" i="20"/>
  <c r="FL31" i="20"/>
  <c r="FP31" i="20"/>
  <c r="FL32" i="20"/>
  <c r="FP32" i="20"/>
  <c r="FL33" i="20"/>
  <c r="FP33" i="20"/>
  <c r="FL34" i="20"/>
  <c r="FP34" i="20"/>
  <c r="FL35" i="20"/>
  <c r="FP35" i="20"/>
  <c r="FL36" i="20"/>
  <c r="FP36" i="20"/>
  <c r="FL37" i="20"/>
  <c r="FP37" i="20"/>
  <c r="FL38" i="20"/>
  <c r="FP38" i="20"/>
  <c r="FL39" i="20"/>
  <c r="FP39" i="20"/>
  <c r="FL40" i="20"/>
  <c r="FP40" i="20"/>
  <c r="FL41" i="20"/>
  <c r="FP41" i="20"/>
  <c r="FL42" i="20"/>
  <c r="FP42" i="20"/>
  <c r="FL43" i="20"/>
  <c r="FP43" i="20"/>
  <c r="FL44" i="20"/>
  <c r="FP44" i="20"/>
  <c r="FL45" i="20"/>
  <c r="FP45" i="20"/>
  <c r="FL46" i="20"/>
  <c r="FP46" i="20"/>
  <c r="FL47" i="20"/>
  <c r="FP47" i="20"/>
  <c r="FL48" i="20"/>
  <c r="FP48" i="20"/>
  <c r="FL49" i="20"/>
  <c r="FP49" i="20"/>
  <c r="FP26" i="20"/>
  <c r="FP27" i="20"/>
  <c r="FP28" i="20"/>
  <c r="FP29" i="20"/>
  <c r="FP30" i="20"/>
  <c r="FM31" i="20"/>
  <c r="FQ31" i="20"/>
  <c r="FM32" i="20"/>
  <c r="FQ32" i="20"/>
  <c r="FM33" i="20"/>
  <c r="FQ33" i="20"/>
  <c r="FM34" i="20"/>
  <c r="FQ34" i="20"/>
  <c r="FM35" i="20"/>
  <c r="FQ35" i="20"/>
  <c r="FM36" i="20"/>
  <c r="FQ36" i="20"/>
  <c r="FM37" i="20"/>
  <c r="FQ37" i="20"/>
  <c r="FM38" i="20"/>
  <c r="FQ38" i="20"/>
  <c r="FM39" i="20"/>
  <c r="FQ39" i="20"/>
  <c r="FM40" i="20"/>
  <c r="FQ40" i="20"/>
  <c r="FM41" i="20"/>
  <c r="FQ41" i="20"/>
  <c r="FM42" i="20"/>
  <c r="FQ42" i="20"/>
  <c r="FM43" i="20"/>
  <c r="FQ43" i="20"/>
  <c r="FM44" i="20"/>
  <c r="FQ44" i="20"/>
  <c r="FM45" i="20"/>
  <c r="FQ45" i="20"/>
  <c r="FM46" i="20"/>
  <c r="FQ46" i="20"/>
  <c r="FM47" i="20"/>
  <c r="FQ47" i="20"/>
  <c r="FM48" i="20"/>
  <c r="FQ48" i="20"/>
  <c r="FM49" i="20"/>
  <c r="FQ49" i="20"/>
  <c r="FM50" i="20"/>
  <c r="FQ50" i="20"/>
  <c r="FM51" i="20"/>
  <c r="FQ51" i="20"/>
  <c r="FM52" i="20"/>
  <c r="FQ52" i="20"/>
  <c r="FM53" i="20"/>
  <c r="FQ53" i="20"/>
  <c r="FM54" i="20"/>
  <c r="FQ54" i="20"/>
  <c r="FM55" i="20"/>
  <c r="FQ55" i="20"/>
  <c r="FM56" i="20"/>
  <c r="FQ56" i="20"/>
  <c r="FM57" i="20"/>
  <c r="FQ57" i="20"/>
  <c r="FP50" i="20"/>
  <c r="FP51" i="20"/>
  <c r="FP52" i="20"/>
  <c r="FN53" i="20"/>
  <c r="FN54" i="20"/>
  <c r="FN55" i="20"/>
  <c r="FN56" i="20"/>
  <c r="FN57" i="20"/>
  <c r="FP58" i="20"/>
  <c r="FL59" i="20"/>
  <c r="FP59" i="20"/>
  <c r="FL60" i="20"/>
  <c r="FP60" i="20"/>
  <c r="FL61" i="20"/>
  <c r="FP61" i="20"/>
  <c r="FL62" i="20"/>
  <c r="FP62" i="20"/>
  <c r="FL63" i="20"/>
  <c r="FP63" i="20"/>
  <c r="FL64" i="20"/>
  <c r="FP64" i="20"/>
  <c r="FL65" i="20"/>
  <c r="FP65" i="20"/>
  <c r="FL66" i="20"/>
  <c r="FP66" i="20"/>
  <c r="FL67" i="20"/>
  <c r="FP67" i="20"/>
  <c r="FL68" i="20"/>
  <c r="FP68" i="20"/>
  <c r="FL69" i="20"/>
  <c r="FP69" i="20"/>
  <c r="FL70" i="20"/>
  <c r="FP70" i="20"/>
  <c r="FL71" i="20"/>
  <c r="FP71" i="20"/>
  <c r="FL72" i="20"/>
  <c r="FP72" i="20"/>
  <c r="FL73" i="20"/>
  <c r="FP73" i="20"/>
  <c r="FL74" i="20"/>
  <c r="FP74" i="20"/>
  <c r="FL75" i="20"/>
  <c r="FP75" i="20"/>
  <c r="FL76" i="20"/>
  <c r="FP76" i="20"/>
  <c r="FL77" i="20"/>
  <c r="FP77" i="20"/>
  <c r="FL78" i="20"/>
  <c r="FP78" i="20"/>
  <c r="FL79" i="20"/>
  <c r="FP79" i="20"/>
  <c r="FL80" i="20"/>
  <c r="FP80" i="20"/>
  <c r="FL81" i="20"/>
  <c r="FP81" i="20"/>
  <c r="FL82" i="20"/>
  <c r="FP82" i="20"/>
  <c r="FL83" i="20"/>
  <c r="FP83" i="20"/>
  <c r="FL84" i="20"/>
  <c r="FP84" i="20"/>
  <c r="FL85" i="20"/>
  <c r="FP85" i="20"/>
  <c r="FL86" i="20"/>
  <c r="FP86" i="20"/>
  <c r="FL87" i="20"/>
  <c r="FP87" i="20"/>
  <c r="FL88" i="20"/>
  <c r="FP88" i="20"/>
  <c r="FL89" i="20"/>
  <c r="FP89" i="20"/>
  <c r="FL90" i="20"/>
  <c r="FP90" i="20"/>
  <c r="FL91" i="20"/>
  <c r="FP91" i="20"/>
  <c r="FL92" i="20"/>
  <c r="FP92" i="20"/>
  <c r="FL93" i="20"/>
  <c r="FP93" i="20"/>
  <c r="FL94" i="20"/>
  <c r="FP94" i="20"/>
  <c r="FL95" i="20"/>
  <c r="FP95" i="20"/>
  <c r="FL96" i="20"/>
  <c r="FP96" i="20"/>
  <c r="FL97" i="20"/>
  <c r="FP53" i="20"/>
  <c r="FP54" i="20"/>
  <c r="FP55" i="20"/>
  <c r="FP56" i="20"/>
  <c r="FP57" i="20"/>
  <c r="FL58" i="20"/>
  <c r="FQ58" i="20"/>
  <c r="FM59" i="20"/>
  <c r="FQ59" i="20"/>
  <c r="FM60" i="20"/>
  <c r="FQ60" i="20"/>
  <c r="FM61" i="20"/>
  <c r="FQ61" i="20"/>
  <c r="FM62" i="20"/>
  <c r="FQ62" i="20"/>
  <c r="FM63" i="20"/>
  <c r="FQ63" i="20"/>
  <c r="FM64" i="20"/>
  <c r="FQ64" i="20"/>
  <c r="FM65" i="20"/>
  <c r="FQ65" i="20"/>
  <c r="FM66" i="20"/>
  <c r="FQ66" i="20"/>
  <c r="FM67" i="20"/>
  <c r="FQ67" i="20"/>
  <c r="FM68" i="20"/>
  <c r="FQ68" i="20"/>
  <c r="FM69" i="20"/>
  <c r="FQ69" i="20"/>
  <c r="FM70" i="20"/>
  <c r="FQ70" i="20"/>
  <c r="FM71" i="20"/>
  <c r="FQ71" i="20"/>
  <c r="FM72" i="20"/>
  <c r="FQ72" i="20"/>
  <c r="FM73" i="20"/>
  <c r="FQ73" i="20"/>
  <c r="FM74" i="20"/>
  <c r="FQ74" i="20"/>
  <c r="FM75" i="20"/>
  <c r="FQ75" i="20"/>
  <c r="FM76" i="20"/>
  <c r="FQ76" i="20"/>
  <c r="FM77" i="20"/>
  <c r="FQ77" i="20"/>
  <c r="FM78" i="20"/>
  <c r="FQ78" i="20"/>
  <c r="FM79" i="20"/>
  <c r="FQ79" i="20"/>
  <c r="FM80" i="20"/>
  <c r="FQ80" i="20"/>
  <c r="FM81" i="20"/>
  <c r="FQ81" i="20"/>
  <c r="FM82" i="20"/>
  <c r="FQ82" i="20"/>
  <c r="FM83" i="20"/>
  <c r="FQ83" i="20"/>
  <c r="FM84" i="20"/>
  <c r="FQ84" i="20"/>
  <c r="FR53" i="20"/>
  <c r="FR54" i="20"/>
  <c r="FR55" i="20"/>
  <c r="FR56" i="20"/>
  <c r="FR57" i="20"/>
  <c r="FM58" i="20"/>
  <c r="FR58" i="20"/>
  <c r="FN59" i="20"/>
  <c r="FR59" i="20"/>
  <c r="FN60" i="20"/>
  <c r="FR60" i="20"/>
  <c r="FN61" i="20"/>
  <c r="FR61" i="20"/>
  <c r="FN62" i="20"/>
  <c r="FR62" i="20"/>
  <c r="FN63" i="20"/>
  <c r="FR63" i="20"/>
  <c r="FN64" i="20"/>
  <c r="FR64" i="20"/>
  <c r="FN65" i="20"/>
  <c r="FR65" i="20"/>
  <c r="FN66" i="20"/>
  <c r="FR66" i="20"/>
  <c r="FN67" i="20"/>
  <c r="FR67" i="20"/>
  <c r="FN68" i="20"/>
  <c r="FR68" i="20"/>
  <c r="FN69" i="20"/>
  <c r="FR69" i="20"/>
  <c r="FN70" i="20"/>
  <c r="FR70" i="20"/>
  <c r="FN71" i="20"/>
  <c r="FR71" i="20"/>
  <c r="FN72" i="20"/>
  <c r="FR72" i="20"/>
  <c r="FN73" i="20"/>
  <c r="FR73" i="20"/>
  <c r="FN74" i="20"/>
  <c r="FR74" i="20"/>
  <c r="FN75" i="20"/>
  <c r="FR75" i="20"/>
  <c r="FN76" i="20"/>
  <c r="FR76" i="20"/>
  <c r="FN77" i="20"/>
  <c r="FR77" i="20"/>
  <c r="FN78" i="20"/>
  <c r="FR78" i="20"/>
  <c r="FN79" i="20"/>
  <c r="FR79" i="20"/>
  <c r="FN80" i="20"/>
  <c r="FR80" i="20"/>
  <c r="FN81" i="20"/>
  <c r="FR81" i="20"/>
  <c r="FN82" i="20"/>
  <c r="FR82" i="20"/>
  <c r="FN83" i="20"/>
  <c r="FR83" i="20"/>
  <c r="FL50" i="20"/>
  <c r="FL51" i="20"/>
  <c r="FL52" i="20"/>
  <c r="FL53" i="20"/>
  <c r="FL54" i="20"/>
  <c r="FL55" i="20"/>
  <c r="FL56" i="20"/>
  <c r="FL57" i="20"/>
  <c r="FN58" i="20"/>
  <c r="FK59" i="20"/>
  <c r="FO59" i="20"/>
  <c r="FK60" i="20"/>
  <c r="FO60" i="20"/>
  <c r="FK61" i="20"/>
  <c r="FO61" i="20"/>
  <c r="FK62" i="20"/>
  <c r="FO62" i="20"/>
  <c r="FK63" i="20"/>
  <c r="FO63" i="20"/>
  <c r="FK64" i="20"/>
  <c r="FO64" i="20"/>
  <c r="FK65" i="20"/>
  <c r="FO65" i="20"/>
  <c r="FK66" i="20"/>
  <c r="FO66" i="20"/>
  <c r="FK67" i="20"/>
  <c r="FO67" i="20"/>
  <c r="FK68" i="20"/>
  <c r="FO68" i="20"/>
  <c r="FK69" i="20"/>
  <c r="FO69" i="20"/>
  <c r="FK70" i="20"/>
  <c r="FO70" i="20"/>
  <c r="FK71" i="20"/>
  <c r="FO71" i="20"/>
  <c r="FK72" i="20"/>
  <c r="FO72" i="20"/>
  <c r="FK73" i="20"/>
  <c r="FO73" i="20"/>
  <c r="FK74" i="20"/>
  <c r="FO74" i="20"/>
  <c r="FK75" i="20"/>
  <c r="FO75" i="20"/>
  <c r="FK76" i="20"/>
  <c r="FO76" i="20"/>
  <c r="FK77" i="20"/>
  <c r="FO77" i="20"/>
  <c r="FK78" i="20"/>
  <c r="FO78" i="20"/>
  <c r="FK79" i="20"/>
  <c r="FO79" i="20"/>
  <c r="FK80" i="20"/>
  <c r="FO80" i="20"/>
  <c r="FK81" i="20"/>
  <c r="FO81" i="20"/>
  <c r="FK82" i="20"/>
  <c r="FO82" i="20"/>
  <c r="FK83" i="20"/>
  <c r="FO83" i="20"/>
  <c r="FK84" i="20"/>
  <c r="FO84" i="20"/>
  <c r="FK85" i="20"/>
  <c r="FO85" i="20"/>
  <c r="FK86" i="20"/>
  <c r="FO86" i="20"/>
  <c r="FK87" i="20"/>
  <c r="FO87" i="20"/>
  <c r="FK88" i="20"/>
  <c r="FO88" i="20"/>
  <c r="FK89" i="20"/>
  <c r="FO89" i="20"/>
  <c r="FK90" i="20"/>
  <c r="FO90" i="20"/>
  <c r="FK91" i="20"/>
  <c r="FO91" i="20"/>
  <c r="FK92" i="20"/>
  <c r="FO92" i="20"/>
  <c r="FK93" i="20"/>
  <c r="FO93" i="20"/>
  <c r="FK94" i="20"/>
  <c r="FO94" i="20"/>
  <c r="FK95" i="20"/>
  <c r="FO95" i="20"/>
  <c r="FQ85" i="20"/>
  <c r="FQ86" i="20"/>
  <c r="FQ87" i="20"/>
  <c r="FQ88" i="20"/>
  <c r="FQ89" i="20"/>
  <c r="FQ90" i="20"/>
  <c r="FQ91" i="20"/>
  <c r="FQ92" i="20"/>
  <c r="FQ93" i="20"/>
  <c r="FQ94" i="20"/>
  <c r="FQ95" i="20"/>
  <c r="FN96" i="20"/>
  <c r="FN97" i="20"/>
  <c r="FR97" i="20"/>
  <c r="FN98" i="20"/>
  <c r="FR98" i="20"/>
  <c r="FN99" i="20"/>
  <c r="FR99" i="20"/>
  <c r="FN100" i="20"/>
  <c r="FR100" i="20"/>
  <c r="FN101" i="20"/>
  <c r="FR101" i="20"/>
  <c r="FN102" i="20"/>
  <c r="FR102" i="20"/>
  <c r="FN103" i="20"/>
  <c r="FR103" i="20"/>
  <c r="FN104" i="20"/>
  <c r="FR104" i="20"/>
  <c r="FN105" i="20"/>
  <c r="FR105" i="20"/>
  <c r="FN106" i="20"/>
  <c r="FR106" i="20"/>
  <c r="FN107" i="20"/>
  <c r="FR107" i="20"/>
  <c r="FN108" i="20"/>
  <c r="FR108" i="20"/>
  <c r="FN109" i="20"/>
  <c r="FR109" i="20"/>
  <c r="FN110" i="20"/>
  <c r="FR110" i="20"/>
  <c r="FN111" i="20"/>
  <c r="FR111" i="20"/>
  <c r="FN112" i="20"/>
  <c r="FR112" i="20"/>
  <c r="FN113" i="20"/>
  <c r="FR113" i="20"/>
  <c r="FN114" i="20"/>
  <c r="FR114" i="20"/>
  <c r="FN115" i="20"/>
  <c r="FR115" i="20"/>
  <c r="FN116" i="20"/>
  <c r="FR116" i="20"/>
  <c r="FN117" i="20"/>
  <c r="FR117" i="20"/>
  <c r="FN118" i="20"/>
  <c r="FR118" i="20"/>
  <c r="FN119" i="20"/>
  <c r="FR119" i="20"/>
  <c r="FN120" i="20"/>
  <c r="FR120" i="20"/>
  <c r="FN121" i="20"/>
  <c r="FR121" i="20"/>
  <c r="FN122" i="20"/>
  <c r="FR122" i="20"/>
  <c r="FN123" i="20"/>
  <c r="FR123" i="20"/>
  <c r="FN124" i="20"/>
  <c r="FR124" i="20"/>
  <c r="FN125" i="20"/>
  <c r="FR125" i="20"/>
  <c r="FN126" i="20"/>
  <c r="FR126" i="20"/>
  <c r="FN84" i="20"/>
  <c r="FR85" i="20"/>
  <c r="FR86" i="20"/>
  <c r="FR87" i="20"/>
  <c r="FR88" i="20"/>
  <c r="FR89" i="20"/>
  <c r="FR90" i="20"/>
  <c r="FR91" i="20"/>
  <c r="FR92" i="20"/>
  <c r="FR93" i="20"/>
  <c r="FR94" i="20"/>
  <c r="FR95" i="20"/>
  <c r="FO96" i="20"/>
  <c r="FO97" i="20"/>
  <c r="FK98" i="20"/>
  <c r="FO98" i="20"/>
  <c r="FK99" i="20"/>
  <c r="FO99" i="20"/>
  <c r="FK100" i="20"/>
  <c r="FO100" i="20"/>
  <c r="FK101" i="20"/>
  <c r="FO101" i="20"/>
  <c r="FK102" i="20"/>
  <c r="FO102" i="20"/>
  <c r="FK103" i="20"/>
  <c r="FO103" i="20"/>
  <c r="FK104" i="20"/>
  <c r="FO104" i="20"/>
  <c r="FK105" i="20"/>
  <c r="FO105" i="20"/>
  <c r="FK106" i="20"/>
  <c r="FO106" i="20"/>
  <c r="FK107" i="20"/>
  <c r="FO107" i="20"/>
  <c r="FK108" i="20"/>
  <c r="FO108" i="20"/>
  <c r="FK109" i="20"/>
  <c r="FO109" i="20"/>
  <c r="FK110" i="20"/>
  <c r="FO110" i="20"/>
  <c r="FK111" i="20"/>
  <c r="FO111" i="20"/>
  <c r="FK112" i="20"/>
  <c r="FO112" i="20"/>
  <c r="FK113" i="20"/>
  <c r="FO113" i="20"/>
  <c r="FK114" i="20"/>
  <c r="FO114" i="20"/>
  <c r="FK115" i="20"/>
  <c r="FO115" i="20"/>
  <c r="FK116" i="20"/>
  <c r="FO116" i="20"/>
  <c r="FK117" i="20"/>
  <c r="FO117" i="20"/>
  <c r="FK118" i="20"/>
  <c r="FO118" i="20"/>
  <c r="FK119" i="20"/>
  <c r="FO119" i="20"/>
  <c r="FK120" i="20"/>
  <c r="FO120" i="20"/>
  <c r="FK121" i="20"/>
  <c r="FO121" i="20"/>
  <c r="FK122" i="20"/>
  <c r="FO122" i="20"/>
  <c r="FK123" i="20"/>
  <c r="FO123" i="20"/>
  <c r="FK124" i="20"/>
  <c r="FO124" i="20"/>
  <c r="FK125" i="20"/>
  <c r="FO125" i="20"/>
  <c r="FK126" i="20"/>
  <c r="FO126" i="20"/>
  <c r="FR84" i="20"/>
  <c r="FM85" i="20"/>
  <c r="FM86" i="20"/>
  <c r="FM87" i="20"/>
  <c r="FM88" i="20"/>
  <c r="FM89" i="20"/>
  <c r="FM90" i="20"/>
  <c r="FM91" i="20"/>
  <c r="FM92" i="20"/>
  <c r="FM93" i="20"/>
  <c r="FM94" i="20"/>
  <c r="FM95" i="20"/>
  <c r="FK96" i="20"/>
  <c r="FQ96" i="20"/>
  <c r="FK97" i="20"/>
  <c r="FP97" i="20"/>
  <c r="FL98" i="20"/>
  <c r="FP98" i="20"/>
  <c r="FL99" i="20"/>
  <c r="FP99" i="20"/>
  <c r="FL100" i="20"/>
  <c r="FP100" i="20"/>
  <c r="FL101" i="20"/>
  <c r="FP101" i="20"/>
  <c r="FL102" i="20"/>
  <c r="FP102" i="20"/>
  <c r="FL103" i="20"/>
  <c r="FP103" i="20"/>
  <c r="FL104" i="20"/>
  <c r="FP104" i="20"/>
  <c r="FL105" i="20"/>
  <c r="FP105" i="20"/>
  <c r="FL106" i="20"/>
  <c r="FP106" i="20"/>
  <c r="FL107" i="20"/>
  <c r="FP107" i="20"/>
  <c r="FL108" i="20"/>
  <c r="FP108" i="20"/>
  <c r="FL109" i="20"/>
  <c r="FP109" i="20"/>
  <c r="FL110" i="20"/>
  <c r="FP110" i="20"/>
  <c r="FL111" i="20"/>
  <c r="FP111" i="20"/>
  <c r="FL112" i="20"/>
  <c r="FP112" i="20"/>
  <c r="FL113" i="20"/>
  <c r="FP113" i="20"/>
  <c r="FL114" i="20"/>
  <c r="FP114" i="20"/>
  <c r="FL115" i="20"/>
  <c r="FP115" i="20"/>
  <c r="FL116" i="20"/>
  <c r="FP116" i="20"/>
  <c r="FL117" i="20"/>
  <c r="FP117" i="20"/>
  <c r="FL118" i="20"/>
  <c r="FP118" i="20"/>
  <c r="FL119" i="20"/>
  <c r="FP119" i="20"/>
  <c r="FL120" i="20"/>
  <c r="FP120" i="20"/>
  <c r="FL121" i="20"/>
  <c r="FP121" i="20"/>
  <c r="FL122" i="20"/>
  <c r="FP122" i="20"/>
  <c r="FL123" i="20"/>
  <c r="FP123" i="20"/>
  <c r="FL124" i="20"/>
  <c r="FP124" i="20"/>
  <c r="FL125" i="20"/>
  <c r="FP125" i="20"/>
  <c r="FL126" i="20"/>
  <c r="FP126" i="20"/>
  <c r="FL127" i="20"/>
  <c r="FP127" i="20"/>
  <c r="FL128" i="20"/>
  <c r="FP128" i="20"/>
  <c r="FL129" i="20"/>
  <c r="FP129" i="20"/>
  <c r="FL130" i="20"/>
  <c r="FP130" i="20"/>
  <c r="FL131" i="20"/>
  <c r="FP131" i="20"/>
  <c r="FL132" i="20"/>
  <c r="FP132" i="20"/>
  <c r="FN85" i="20"/>
  <c r="FN86" i="20"/>
  <c r="FN87" i="20"/>
  <c r="FN88" i="20"/>
  <c r="FN89" i="20"/>
  <c r="FN90" i="20"/>
  <c r="FN91" i="20"/>
  <c r="FN92" i="20"/>
  <c r="FN93" i="20"/>
  <c r="FN94" i="20"/>
  <c r="FN95" i="20"/>
  <c r="FM96" i="20"/>
  <c r="FR96" i="20"/>
  <c r="FM97" i="20"/>
  <c r="FQ97" i="20"/>
  <c r="FM98" i="20"/>
  <c r="FQ98" i="20"/>
  <c r="FM99" i="20"/>
  <c r="FQ99" i="20"/>
  <c r="FM100" i="20"/>
  <c r="FQ100" i="20"/>
  <c r="FM101" i="20"/>
  <c r="FQ101" i="20"/>
  <c r="FM102" i="20"/>
  <c r="FQ102" i="20"/>
  <c r="FM103" i="20"/>
  <c r="FQ103" i="20"/>
  <c r="FM104" i="20"/>
  <c r="FQ104" i="20"/>
  <c r="FM105" i="20"/>
  <c r="FQ105" i="20"/>
  <c r="FM106" i="20"/>
  <c r="FQ106" i="20"/>
  <c r="FM107" i="20"/>
  <c r="FQ107" i="20"/>
  <c r="FM108" i="20"/>
  <c r="FQ108" i="20"/>
  <c r="FM109" i="20"/>
  <c r="FQ109" i="20"/>
  <c r="FM110" i="20"/>
  <c r="FQ110" i="20"/>
  <c r="FM111" i="20"/>
  <c r="FQ111" i="20"/>
  <c r="FM112" i="20"/>
  <c r="FQ112" i="20"/>
  <c r="FM113" i="20"/>
  <c r="FQ113" i="20"/>
  <c r="FM114" i="20"/>
  <c r="FQ114" i="20"/>
  <c r="FM115" i="20"/>
  <c r="FQ115" i="20"/>
  <c r="FM116" i="20"/>
  <c r="FQ116" i="20"/>
  <c r="FM117" i="20"/>
  <c r="FQ117" i="20"/>
  <c r="FM118" i="20"/>
  <c r="FQ118" i="20"/>
  <c r="FM119" i="20"/>
  <c r="FQ119" i="20"/>
  <c r="FM120" i="20"/>
  <c r="FQ120" i="20"/>
  <c r="FM121" i="20"/>
  <c r="FQ121" i="20"/>
  <c r="FM122" i="20"/>
  <c r="FQ122" i="20"/>
  <c r="FM123" i="20"/>
  <c r="FQ123" i="20"/>
  <c r="FM124" i="20"/>
  <c r="FQ124" i="20"/>
  <c r="FM125" i="20"/>
  <c r="FQ125" i="20"/>
  <c r="FM126" i="20"/>
  <c r="FQ126" i="20"/>
  <c r="FM127" i="20"/>
  <c r="FQ127" i="20"/>
  <c r="FM128" i="20"/>
  <c r="FQ128" i="20"/>
  <c r="FM129" i="20"/>
  <c r="FQ129" i="20"/>
  <c r="FM130" i="20"/>
  <c r="FQ130" i="20"/>
  <c r="FM131" i="20"/>
  <c r="FQ131" i="20"/>
  <c r="FM132" i="20"/>
  <c r="FQ132" i="20"/>
  <c r="FO127" i="20"/>
  <c r="FO128" i="20"/>
  <c r="FO129" i="20"/>
  <c r="FO130" i="20"/>
  <c r="FO131" i="20"/>
  <c r="FO132" i="20"/>
  <c r="FM133" i="20"/>
  <c r="FQ133" i="20"/>
  <c r="FM134" i="20"/>
  <c r="FQ134" i="20"/>
  <c r="FM135" i="20"/>
  <c r="FQ135" i="20"/>
  <c r="FM136" i="20"/>
  <c r="FQ136" i="20"/>
  <c r="FM137" i="20"/>
  <c r="FQ137" i="20"/>
  <c r="FM138" i="20"/>
  <c r="FQ138" i="20"/>
  <c r="FM139" i="20"/>
  <c r="FQ139" i="20"/>
  <c r="FM140" i="20"/>
  <c r="FQ140" i="20"/>
  <c r="FM141" i="20"/>
  <c r="FQ141" i="20"/>
  <c r="FM142" i="20"/>
  <c r="FQ142" i="20"/>
  <c r="FM143" i="20"/>
  <c r="FQ143" i="20"/>
  <c r="FM144" i="20"/>
  <c r="FQ144" i="20"/>
  <c r="FM145" i="20"/>
  <c r="FQ145" i="20"/>
  <c r="FM146" i="20"/>
  <c r="FQ146" i="20"/>
  <c r="FM147" i="20"/>
  <c r="FQ147" i="20"/>
  <c r="FM148" i="20"/>
  <c r="FQ148" i="20"/>
  <c r="FM149" i="20"/>
  <c r="FQ149" i="20"/>
  <c r="FM150" i="20"/>
  <c r="FQ150" i="20"/>
  <c r="FM151" i="20"/>
  <c r="FQ151" i="20"/>
  <c r="FM152" i="20"/>
  <c r="FQ152" i="20"/>
  <c r="FM153" i="20"/>
  <c r="FQ153" i="20"/>
  <c r="FM154" i="20"/>
  <c r="FQ154" i="20"/>
  <c r="FM155" i="20"/>
  <c r="FQ155" i="20"/>
  <c r="FM156" i="20"/>
  <c r="FQ156" i="20"/>
  <c r="FM157" i="20"/>
  <c r="FQ157" i="20"/>
  <c r="FM158" i="20"/>
  <c r="FQ158" i="20"/>
  <c r="FM159" i="20"/>
  <c r="FQ159" i="20"/>
  <c r="FM160" i="20"/>
  <c r="FQ160" i="20"/>
  <c r="FM161" i="20"/>
  <c r="FQ161" i="20"/>
  <c r="FR127" i="20"/>
  <c r="FR128" i="20"/>
  <c r="FR129" i="20"/>
  <c r="FR130" i="20"/>
  <c r="FR131" i="20"/>
  <c r="FR132" i="20"/>
  <c r="FN133" i="20"/>
  <c r="FR133" i="20"/>
  <c r="FN134" i="20"/>
  <c r="FR134" i="20"/>
  <c r="FN135" i="20"/>
  <c r="FR135" i="20"/>
  <c r="FN136" i="20"/>
  <c r="FR136" i="20"/>
  <c r="FN137" i="20"/>
  <c r="FR137" i="20"/>
  <c r="FN138" i="20"/>
  <c r="FR138" i="20"/>
  <c r="FN139" i="20"/>
  <c r="FR139" i="20"/>
  <c r="FN140" i="20"/>
  <c r="FR140" i="20"/>
  <c r="FN141" i="20"/>
  <c r="FR141" i="20"/>
  <c r="FN142" i="20"/>
  <c r="FR142" i="20"/>
  <c r="FN143" i="20"/>
  <c r="FR143" i="20"/>
  <c r="FN144" i="20"/>
  <c r="FR144" i="20"/>
  <c r="FN145" i="20"/>
  <c r="FR145" i="20"/>
  <c r="FN146" i="20"/>
  <c r="FR146" i="20"/>
  <c r="FN147" i="20"/>
  <c r="FR147" i="20"/>
  <c r="FN148" i="20"/>
  <c r="FR148" i="20"/>
  <c r="FN149" i="20"/>
  <c r="FR149" i="20"/>
  <c r="FN150" i="20"/>
  <c r="FR150" i="20"/>
  <c r="FN151" i="20"/>
  <c r="FR151" i="20"/>
  <c r="FN152" i="20"/>
  <c r="FR152" i="20"/>
  <c r="FN153" i="20"/>
  <c r="FR153" i="20"/>
  <c r="FN154" i="20"/>
  <c r="FR154" i="20"/>
  <c r="FN155" i="20"/>
  <c r="FR155" i="20"/>
  <c r="FN156" i="20"/>
  <c r="FR156" i="20"/>
  <c r="FN157" i="20"/>
  <c r="FR157" i="20"/>
  <c r="FN158" i="20"/>
  <c r="FR158" i="20"/>
  <c r="FN159" i="20"/>
  <c r="FR159" i="20"/>
  <c r="FN160" i="20"/>
  <c r="FR160" i="20"/>
  <c r="FN161" i="20"/>
  <c r="FR161" i="20"/>
  <c r="FK127" i="20"/>
  <c r="FK128" i="20"/>
  <c r="FK129" i="20"/>
  <c r="FK130" i="20"/>
  <c r="FK131" i="20"/>
  <c r="FK132" i="20"/>
  <c r="FK133" i="20"/>
  <c r="FO133" i="20"/>
  <c r="FK134" i="20"/>
  <c r="FO134" i="20"/>
  <c r="FK135" i="20"/>
  <c r="FO135" i="20"/>
  <c r="FK136" i="20"/>
  <c r="FO136" i="20"/>
  <c r="FK137" i="20"/>
  <c r="FO137" i="20"/>
  <c r="FK138" i="20"/>
  <c r="FO138" i="20"/>
  <c r="FK139" i="20"/>
  <c r="FO139" i="20"/>
  <c r="FK140" i="20"/>
  <c r="FO140" i="20"/>
  <c r="FK141" i="20"/>
  <c r="FO141" i="20"/>
  <c r="FK142" i="20"/>
  <c r="FO142" i="20"/>
  <c r="FK143" i="20"/>
  <c r="FO143" i="20"/>
  <c r="FK144" i="20"/>
  <c r="FO144" i="20"/>
  <c r="FK145" i="20"/>
  <c r="FO145" i="20"/>
  <c r="FK146" i="20"/>
  <c r="FO146" i="20"/>
  <c r="FK147" i="20"/>
  <c r="FO147" i="20"/>
  <c r="FK148" i="20"/>
  <c r="FO148" i="20"/>
  <c r="FK149" i="20"/>
  <c r="FO149" i="20"/>
  <c r="FK150" i="20"/>
  <c r="FO150" i="20"/>
  <c r="FK151" i="20"/>
  <c r="FO151" i="20"/>
  <c r="FK152" i="20"/>
  <c r="FO152" i="20"/>
  <c r="FK153" i="20"/>
  <c r="FO153" i="20"/>
  <c r="FK154" i="20"/>
  <c r="FO154" i="20"/>
  <c r="FK155" i="20"/>
  <c r="FO155" i="20"/>
  <c r="FK156" i="20"/>
  <c r="FO156" i="20"/>
  <c r="FK157" i="20"/>
  <c r="FO157" i="20"/>
  <c r="FK158" i="20"/>
  <c r="FO158" i="20"/>
  <c r="FK159" i="20"/>
  <c r="FO159" i="20"/>
  <c r="FK160" i="20"/>
  <c r="FO160" i="20"/>
  <c r="FK161" i="20"/>
  <c r="FO161" i="20"/>
  <c r="FN127" i="20"/>
  <c r="FN128" i="20"/>
  <c r="FN129" i="20"/>
  <c r="FN130" i="20"/>
  <c r="FN131" i="20"/>
  <c r="FN132" i="20"/>
  <c r="FL133" i="20"/>
  <c r="FP133" i="20"/>
  <c r="FL134" i="20"/>
  <c r="FP134" i="20"/>
  <c r="FL135" i="20"/>
  <c r="FP135" i="20"/>
  <c r="FL136" i="20"/>
  <c r="FP136" i="20"/>
  <c r="FL137" i="20"/>
  <c r="FP137" i="20"/>
  <c r="FL138" i="20"/>
  <c r="FP138" i="20"/>
  <c r="FL139" i="20"/>
  <c r="FP139" i="20"/>
  <c r="FL140" i="20"/>
  <c r="FP140" i="20"/>
  <c r="FL141" i="20"/>
  <c r="FP141" i="20"/>
  <c r="FL142" i="20"/>
  <c r="FP142" i="20"/>
  <c r="FL143" i="20"/>
  <c r="FP143" i="20"/>
  <c r="FL144" i="20"/>
  <c r="FP144" i="20"/>
  <c r="FL145" i="20"/>
  <c r="FP145" i="20"/>
  <c r="FL146" i="20"/>
  <c r="FP146" i="20"/>
  <c r="FL147" i="20"/>
  <c r="FP147" i="20"/>
  <c r="FL148" i="20"/>
  <c r="FP148" i="20"/>
  <c r="FL149" i="20"/>
  <c r="FP149" i="20"/>
  <c r="FL150" i="20"/>
  <c r="FP150" i="20"/>
  <c r="FL151" i="20"/>
  <c r="FP151" i="20"/>
  <c r="FL152" i="20"/>
  <c r="FP152" i="20"/>
  <c r="FL153" i="20"/>
  <c r="FP153" i="20"/>
  <c r="FL154" i="20"/>
  <c r="FP154" i="20"/>
  <c r="FL155" i="20"/>
  <c r="FP155" i="20"/>
  <c r="FL156" i="20"/>
  <c r="FP156" i="20"/>
  <c r="FL157" i="20"/>
  <c r="FP157" i="20"/>
  <c r="FL158" i="20"/>
  <c r="FP158" i="20"/>
  <c r="FL159" i="20"/>
  <c r="FP159" i="20"/>
  <c r="FL160" i="20"/>
  <c r="FP160" i="20"/>
  <c r="FL161" i="20"/>
  <c r="FP161" i="20"/>
  <c r="DO111" i="19"/>
  <c r="DO113" i="19"/>
  <c r="DO115" i="19"/>
  <c r="DO117" i="19"/>
  <c r="DO119" i="19"/>
  <c r="DO121" i="19"/>
  <c r="DO123" i="19"/>
  <c r="DO125" i="19"/>
  <c r="DO127" i="19"/>
  <c r="DO10" i="19"/>
  <c r="DO12" i="19"/>
  <c r="DO14" i="19"/>
  <c r="DO16" i="19"/>
  <c r="DO18" i="19"/>
  <c r="DO20" i="19"/>
  <c r="DO22" i="19"/>
  <c r="DO24" i="19"/>
  <c r="DO26" i="19"/>
  <c r="DO28" i="19"/>
  <c r="DO30" i="19"/>
  <c r="DO32" i="19"/>
  <c r="DO34" i="19"/>
  <c r="DO36" i="19"/>
  <c r="DO38" i="19"/>
  <c r="DO40" i="19"/>
  <c r="DO42" i="19"/>
  <c r="DO44" i="19"/>
  <c r="DO46" i="19"/>
  <c r="DO48" i="19"/>
  <c r="DO50" i="19"/>
  <c r="DO52" i="19"/>
  <c r="DO54" i="19"/>
  <c r="DO56" i="19"/>
  <c r="DO58" i="19"/>
  <c r="DO60" i="19"/>
  <c r="DO62" i="19"/>
  <c r="DO64" i="19"/>
  <c r="DO66" i="19"/>
  <c r="DO68" i="19"/>
  <c r="DO70" i="19"/>
  <c r="DO72" i="19"/>
  <c r="DO74" i="19"/>
  <c r="DO76" i="19"/>
  <c r="DO78" i="19"/>
  <c r="DO80" i="19"/>
  <c r="DO82" i="19"/>
  <c r="DO84" i="19"/>
  <c r="DO86" i="19"/>
  <c r="DO88" i="19"/>
  <c r="DO90" i="19"/>
  <c r="DO92" i="19"/>
  <c r="DO94" i="19"/>
  <c r="DO96" i="19"/>
  <c r="DO98" i="19"/>
  <c r="DO100" i="19"/>
  <c r="DO102" i="19"/>
  <c r="DO104" i="19"/>
  <c r="DO106" i="19"/>
  <c r="DO108" i="19"/>
  <c r="EI124" i="19"/>
  <c r="EI126" i="19"/>
  <c r="EI113" i="19"/>
  <c r="EI115" i="19"/>
  <c r="EI117" i="19"/>
  <c r="EI119" i="19"/>
  <c r="EI121" i="19"/>
  <c r="EI123" i="19"/>
  <c r="EI98" i="19"/>
  <c r="EI100" i="19"/>
  <c r="EI102" i="19"/>
  <c r="EI104" i="19"/>
  <c r="EI106" i="19"/>
  <c r="EI108" i="19"/>
  <c r="EI110" i="19"/>
  <c r="EI9" i="19"/>
  <c r="EI11" i="19"/>
  <c r="EI13" i="19"/>
  <c r="EI15" i="19"/>
  <c r="EI17" i="19"/>
  <c r="EI19" i="19"/>
  <c r="EI21" i="19"/>
  <c r="EI23" i="19"/>
  <c r="EI25" i="19"/>
  <c r="EI27" i="19"/>
  <c r="EI29" i="19"/>
  <c r="EI31" i="19"/>
  <c r="EI33" i="19"/>
  <c r="EI35" i="19"/>
  <c r="EI37" i="19"/>
  <c r="EI39" i="19"/>
  <c r="EI41" i="19"/>
  <c r="EI43" i="19"/>
  <c r="EI45" i="19"/>
  <c r="EI47" i="19"/>
  <c r="EI49" i="19"/>
  <c r="EI51" i="19"/>
  <c r="EI53" i="19"/>
  <c r="EI55" i="19"/>
  <c r="EI57" i="19"/>
  <c r="EI59" i="19"/>
  <c r="EI61" i="19"/>
  <c r="EI63" i="19"/>
  <c r="EI65" i="19"/>
  <c r="EI67" i="19"/>
  <c r="EI69" i="19"/>
  <c r="EI71" i="19"/>
  <c r="EI73" i="19"/>
  <c r="EI75" i="19"/>
  <c r="EI77" i="19"/>
  <c r="EI79" i="19"/>
  <c r="EI81" i="19"/>
  <c r="EI83" i="19"/>
  <c r="EI85" i="19"/>
  <c r="EI87" i="19"/>
  <c r="EI89" i="19"/>
  <c r="EI91" i="19"/>
  <c r="EI93" i="19"/>
  <c r="EI95" i="19"/>
  <c r="DO110" i="19"/>
  <c r="DO112" i="19"/>
  <c r="DO114" i="19"/>
  <c r="DO116" i="19"/>
  <c r="DO118" i="19"/>
  <c r="DO120" i="19"/>
  <c r="DO122" i="19"/>
  <c r="DO124" i="19"/>
  <c r="DO126" i="19"/>
  <c r="DO9" i="19"/>
  <c r="DO11" i="19"/>
  <c r="DO13" i="19"/>
  <c r="DO15" i="19"/>
  <c r="DO17" i="19"/>
  <c r="DO19" i="19"/>
  <c r="DO21" i="19"/>
  <c r="DO23" i="19"/>
  <c r="DO25" i="19"/>
  <c r="DO27" i="19"/>
  <c r="DO29" i="19"/>
  <c r="DO31" i="19"/>
  <c r="DO33" i="19"/>
  <c r="DO35" i="19"/>
  <c r="DO37" i="19"/>
  <c r="DO39" i="19"/>
  <c r="DO41" i="19"/>
  <c r="DO43" i="19"/>
  <c r="DO45" i="19"/>
  <c r="DO47" i="19"/>
  <c r="DO49" i="19"/>
  <c r="DO51" i="19"/>
  <c r="DO53" i="19"/>
  <c r="DO55" i="19"/>
  <c r="DO57" i="19"/>
  <c r="DO59" i="19"/>
  <c r="DO61" i="19"/>
  <c r="DO63" i="19"/>
  <c r="DO65" i="19"/>
  <c r="DO67" i="19"/>
  <c r="DO69" i="19"/>
  <c r="DO71" i="19"/>
  <c r="DO73" i="19"/>
  <c r="DO75" i="19"/>
  <c r="DO77" i="19"/>
  <c r="DO79" i="19"/>
  <c r="DO81" i="19"/>
  <c r="DO83" i="19"/>
  <c r="DO85" i="19"/>
  <c r="DO87" i="19"/>
  <c r="DO89" i="19"/>
  <c r="DO91" i="19"/>
  <c r="DO93" i="19"/>
  <c r="DO95" i="19"/>
  <c r="DO97" i="19"/>
  <c r="DO99" i="19"/>
  <c r="DO101" i="19"/>
  <c r="DO103" i="19"/>
  <c r="DO105" i="19"/>
  <c r="DO107" i="19"/>
  <c r="DO109" i="19"/>
  <c r="EI127" i="19"/>
  <c r="EI125" i="19"/>
  <c r="EI112" i="19"/>
  <c r="EI114" i="19"/>
  <c r="EI116" i="19"/>
  <c r="EI118" i="19"/>
  <c r="EI120" i="19"/>
  <c r="EI122" i="19"/>
  <c r="EI97" i="19"/>
  <c r="EI99" i="19"/>
  <c r="EI101" i="19"/>
  <c r="EI103" i="19"/>
  <c r="EI105" i="19"/>
  <c r="EI107" i="19"/>
  <c r="EI109" i="19"/>
  <c r="EI111" i="19"/>
  <c r="EI10" i="19"/>
  <c r="EI12" i="19"/>
  <c r="EI14" i="19"/>
  <c r="EI16" i="19"/>
  <c r="EI18" i="19"/>
  <c r="EI20" i="19"/>
  <c r="EI22" i="19"/>
  <c r="EI24" i="19"/>
  <c r="EI26" i="19"/>
  <c r="EI28" i="19"/>
  <c r="EI30" i="19"/>
  <c r="EI32" i="19"/>
  <c r="EI34" i="19"/>
  <c r="EI36" i="19"/>
  <c r="EI38" i="19"/>
  <c r="EI40" i="19"/>
  <c r="EI42" i="19"/>
  <c r="EI44" i="19"/>
  <c r="EI46" i="19"/>
  <c r="EI48" i="19"/>
  <c r="EI50" i="19"/>
  <c r="EI52" i="19"/>
  <c r="EI54" i="19"/>
  <c r="EI56" i="19"/>
  <c r="EI58" i="19"/>
  <c r="EI60" i="19"/>
  <c r="EI62" i="19"/>
  <c r="EI64" i="19"/>
  <c r="EI66" i="19"/>
  <c r="EI68" i="19"/>
  <c r="EI70" i="19"/>
  <c r="EI72" i="19"/>
  <c r="EI74" i="19"/>
  <c r="EI76" i="19"/>
  <c r="EI78" i="19"/>
  <c r="EI80" i="19"/>
  <c r="EI82" i="19"/>
  <c r="EI84" i="19"/>
  <c r="EI86" i="19"/>
  <c r="EI88" i="19"/>
  <c r="EI90" i="19"/>
  <c r="EI92" i="19"/>
  <c r="EI94" i="19"/>
  <c r="EI96" i="19"/>
  <c r="CU82" i="19"/>
  <c r="CU21" i="19"/>
  <c r="CU23" i="19"/>
  <c r="CU25" i="19"/>
  <c r="CU9" i="19"/>
  <c r="CU11" i="19"/>
  <c r="CU13" i="19"/>
  <c r="CU15" i="19"/>
  <c r="CU17" i="19"/>
  <c r="CU19" i="19"/>
  <c r="CA108" i="19"/>
  <c r="CA110" i="19"/>
  <c r="CA112" i="19"/>
  <c r="CA114" i="19"/>
  <c r="CA116" i="19"/>
  <c r="CA118" i="19"/>
  <c r="CA120" i="19"/>
  <c r="CA122" i="19"/>
  <c r="CA124" i="19"/>
  <c r="CA126" i="19"/>
  <c r="CA9" i="19"/>
  <c r="CA11" i="19"/>
  <c r="CA13" i="19"/>
  <c r="CA15" i="19"/>
  <c r="CA17" i="19"/>
  <c r="CA19" i="19"/>
  <c r="CA21" i="19"/>
  <c r="CA23" i="19"/>
  <c r="CA25" i="19"/>
  <c r="CA27" i="19"/>
  <c r="CA29" i="19"/>
  <c r="CA31" i="19"/>
  <c r="CA33" i="19"/>
  <c r="CA35" i="19"/>
  <c r="CA37" i="19"/>
  <c r="CA39" i="19"/>
  <c r="CA41" i="19"/>
  <c r="CA43" i="19"/>
  <c r="CA45" i="19"/>
  <c r="CA47" i="19"/>
  <c r="CA49" i="19"/>
  <c r="CA51" i="19"/>
  <c r="CA53" i="19"/>
  <c r="CA55" i="19"/>
  <c r="CA57" i="19"/>
  <c r="CA59" i="19"/>
  <c r="CA61" i="19"/>
  <c r="CA63" i="19"/>
  <c r="CA65" i="19"/>
  <c r="CA67" i="19"/>
  <c r="CA69" i="19"/>
  <c r="CA71" i="19"/>
  <c r="CA73" i="19"/>
  <c r="CA75" i="19"/>
  <c r="CA77" i="19"/>
  <c r="CA79" i="19"/>
  <c r="CA81" i="19"/>
  <c r="CA83" i="19"/>
  <c r="CA85" i="19"/>
  <c r="CA87" i="19"/>
  <c r="CA89" i="19"/>
  <c r="CA91" i="19"/>
  <c r="CA93" i="19"/>
  <c r="CA95" i="19"/>
  <c r="CA97" i="19"/>
  <c r="CA99" i="19"/>
  <c r="CA101" i="19"/>
  <c r="CA103" i="19"/>
  <c r="CA105" i="19"/>
  <c r="BG13" i="19"/>
  <c r="BG15" i="19"/>
  <c r="BG17" i="19"/>
  <c r="BG19" i="19"/>
  <c r="BG21" i="19"/>
  <c r="BG23" i="19"/>
  <c r="BG25" i="19"/>
  <c r="BG27" i="19"/>
  <c r="BG29" i="19"/>
  <c r="BG31" i="19"/>
  <c r="BG33" i="19"/>
  <c r="BG35" i="19"/>
  <c r="BG37" i="19"/>
  <c r="BG39" i="19"/>
  <c r="BG41" i="19"/>
  <c r="BG43" i="19"/>
  <c r="BG45" i="19"/>
  <c r="BG47" i="19"/>
  <c r="BG49" i="19"/>
  <c r="BG51" i="19"/>
  <c r="BG53" i="19"/>
  <c r="BG55" i="19"/>
  <c r="BG57" i="19"/>
  <c r="BG59" i="19"/>
  <c r="BG61" i="19"/>
  <c r="BG63" i="19"/>
  <c r="BG65" i="19"/>
  <c r="BG67" i="19"/>
  <c r="BG69" i="19"/>
  <c r="BG71" i="19"/>
  <c r="BG73" i="19"/>
  <c r="BG75" i="19"/>
  <c r="BG77" i="19"/>
  <c r="CU96" i="19"/>
  <c r="CU98" i="19"/>
  <c r="CU100" i="19"/>
  <c r="CU102" i="19"/>
  <c r="CU104" i="19"/>
  <c r="CU106" i="19"/>
  <c r="CU108" i="19"/>
  <c r="CU110" i="19"/>
  <c r="CU112" i="19"/>
  <c r="CU114" i="19"/>
  <c r="CU116" i="19"/>
  <c r="CU118" i="19"/>
  <c r="CU120" i="19"/>
  <c r="CU122" i="19"/>
  <c r="CU124" i="19"/>
  <c r="CU126" i="19"/>
  <c r="CU84" i="19"/>
  <c r="CU86" i="19"/>
  <c r="CU88" i="19"/>
  <c r="CU90" i="19"/>
  <c r="CU92" i="19"/>
  <c r="CU94" i="19"/>
  <c r="CU28" i="19"/>
  <c r="CU30" i="19"/>
  <c r="CU32" i="19"/>
  <c r="CU34" i="19"/>
  <c r="CU36" i="19"/>
  <c r="CU38" i="19"/>
  <c r="CU40" i="19"/>
  <c r="CU42" i="19"/>
  <c r="CU81" i="19"/>
  <c r="CU83" i="19"/>
  <c r="CU22" i="19"/>
  <c r="CU24" i="19"/>
  <c r="CU26" i="19"/>
  <c r="CU10" i="19"/>
  <c r="CU12" i="19"/>
  <c r="CU14" i="19"/>
  <c r="CU16" i="19"/>
  <c r="CU18" i="19"/>
  <c r="CU20" i="19"/>
  <c r="CA107" i="19"/>
  <c r="CA109" i="19"/>
  <c r="CA111" i="19"/>
  <c r="CA113" i="19"/>
  <c r="CA115" i="19"/>
  <c r="CA117" i="19"/>
  <c r="CA119" i="19"/>
  <c r="CA121" i="19"/>
  <c r="CA123" i="19"/>
  <c r="CA125" i="19"/>
  <c r="CA127" i="19"/>
  <c r="CA10" i="19"/>
  <c r="CA12" i="19"/>
  <c r="CA14" i="19"/>
  <c r="CA16" i="19"/>
  <c r="CA18" i="19"/>
  <c r="CA20" i="19"/>
  <c r="CA22" i="19"/>
  <c r="CA24" i="19"/>
  <c r="CA26" i="19"/>
  <c r="CA28" i="19"/>
  <c r="CA30" i="19"/>
  <c r="CA32" i="19"/>
  <c r="CA34" i="19"/>
  <c r="CA36" i="19"/>
  <c r="CA38" i="19"/>
  <c r="CA40" i="19"/>
  <c r="CA42" i="19"/>
  <c r="CA44" i="19"/>
  <c r="CA46" i="19"/>
  <c r="CA48" i="19"/>
  <c r="CA50" i="19"/>
  <c r="CA52" i="19"/>
  <c r="CA54" i="19"/>
  <c r="CA56" i="19"/>
  <c r="CA58" i="19"/>
  <c r="CA60" i="19"/>
  <c r="CA62" i="19"/>
  <c r="CA64" i="19"/>
  <c r="CA66" i="19"/>
  <c r="CA68" i="19"/>
  <c r="CA70" i="19"/>
  <c r="CA72" i="19"/>
  <c r="CA74" i="19"/>
  <c r="CA76" i="19"/>
  <c r="CA78" i="19"/>
  <c r="CA80" i="19"/>
  <c r="CA82" i="19"/>
  <c r="CA84" i="19"/>
  <c r="CA86" i="19"/>
  <c r="CA88" i="19"/>
  <c r="CA90" i="19"/>
  <c r="CA92" i="19"/>
  <c r="CA94" i="19"/>
  <c r="CA96" i="19"/>
  <c r="CA98" i="19"/>
  <c r="CA100" i="19"/>
  <c r="CA102" i="19"/>
  <c r="CA104" i="19"/>
  <c r="CA106" i="19"/>
  <c r="CU95" i="19"/>
  <c r="CU97" i="19"/>
  <c r="CU99" i="19"/>
  <c r="CU101" i="19"/>
  <c r="CU103" i="19"/>
  <c r="CU105" i="19"/>
  <c r="CU107" i="19"/>
  <c r="CU109" i="19"/>
  <c r="CU111" i="19"/>
  <c r="CU113" i="19"/>
  <c r="CU115" i="19"/>
  <c r="CU117" i="19"/>
  <c r="CU119" i="19"/>
  <c r="CU121" i="19"/>
  <c r="CU123" i="19"/>
  <c r="CU125" i="19"/>
  <c r="CU127" i="19"/>
  <c r="CU85" i="19"/>
  <c r="CU87" i="19"/>
  <c r="CU89" i="19"/>
  <c r="CU91" i="19"/>
  <c r="CU93" i="19"/>
  <c r="CU27" i="19"/>
  <c r="CU29" i="19"/>
  <c r="CU31" i="19"/>
  <c r="CU33" i="19"/>
  <c r="CU35" i="19"/>
  <c r="CU37" i="19"/>
  <c r="CU39" i="19"/>
  <c r="CU41" i="19"/>
  <c r="CU43" i="19"/>
  <c r="CU45" i="19"/>
  <c r="CU47" i="19"/>
  <c r="CU49" i="19"/>
  <c r="CU51" i="19"/>
  <c r="CU53" i="19"/>
  <c r="CU55" i="19"/>
  <c r="CU57" i="19"/>
  <c r="CU59" i="19"/>
  <c r="CU61" i="19"/>
  <c r="CU63" i="19"/>
  <c r="CU65" i="19"/>
  <c r="CU67" i="19"/>
  <c r="CU69" i="19"/>
  <c r="CU71" i="19"/>
  <c r="CU73" i="19"/>
  <c r="CU75" i="19"/>
  <c r="CU77" i="19"/>
  <c r="CU79" i="19"/>
  <c r="CU50" i="19"/>
  <c r="CU58" i="19"/>
  <c r="CU66" i="19"/>
  <c r="CU74" i="19"/>
  <c r="BG12" i="19"/>
  <c r="BG16" i="19"/>
  <c r="BG20" i="19"/>
  <c r="BG24" i="19"/>
  <c r="BG28" i="19"/>
  <c r="BG32" i="19"/>
  <c r="BG36" i="19"/>
  <c r="BG40" i="19"/>
  <c r="BG44" i="19"/>
  <c r="BG48" i="19"/>
  <c r="BG52" i="19"/>
  <c r="BG56" i="19"/>
  <c r="BG60" i="19"/>
  <c r="BG64" i="19"/>
  <c r="BG68" i="19"/>
  <c r="BG72" i="19"/>
  <c r="BG76" i="19"/>
  <c r="CU48" i="19"/>
  <c r="CU56" i="19"/>
  <c r="BG87" i="19"/>
  <c r="BG89" i="19"/>
  <c r="BG95" i="19"/>
  <c r="BG97" i="19"/>
  <c r="BG99" i="19"/>
  <c r="BG103" i="19"/>
  <c r="BG105" i="19"/>
  <c r="BG107" i="19"/>
  <c r="BG109" i="19"/>
  <c r="BG117" i="19"/>
  <c r="BG125" i="19"/>
  <c r="CU44" i="19"/>
  <c r="CU52" i="19"/>
  <c r="CU60" i="19"/>
  <c r="CU68" i="19"/>
  <c r="CU76" i="19"/>
  <c r="BG80" i="19"/>
  <c r="BG82" i="19"/>
  <c r="BG84" i="19"/>
  <c r="BG86" i="19"/>
  <c r="BG88" i="19"/>
  <c r="BG90" i="19"/>
  <c r="BG92" i="19"/>
  <c r="BG94" i="19"/>
  <c r="BG96" i="19"/>
  <c r="BG98" i="19"/>
  <c r="BG100" i="19"/>
  <c r="BG102" i="19"/>
  <c r="BG104" i="19"/>
  <c r="BG106" i="19"/>
  <c r="BG108" i="19"/>
  <c r="BG110" i="19"/>
  <c r="BG112" i="19"/>
  <c r="BG114" i="19"/>
  <c r="BG116" i="19"/>
  <c r="BG118" i="19"/>
  <c r="BG120" i="19"/>
  <c r="BG122" i="19"/>
  <c r="BG124" i="19"/>
  <c r="BG126" i="19"/>
  <c r="CU64" i="19"/>
  <c r="CU72" i="19"/>
  <c r="BG79" i="19"/>
  <c r="BG81" i="19"/>
  <c r="BG83" i="19"/>
  <c r="BG91" i="19"/>
  <c r="BG111" i="19"/>
  <c r="BG113" i="19"/>
  <c r="BG119" i="19"/>
  <c r="BG121" i="19"/>
  <c r="BG123" i="19"/>
  <c r="BG127" i="19"/>
  <c r="CU46" i="19"/>
  <c r="CU54" i="19"/>
  <c r="CU62" i="19"/>
  <c r="CU70" i="19"/>
  <c r="CU78" i="19"/>
  <c r="BG14" i="19"/>
  <c r="BG18" i="19"/>
  <c r="BG22" i="19"/>
  <c r="BG26" i="19"/>
  <c r="BG30" i="19"/>
  <c r="BG34" i="19"/>
  <c r="BG38" i="19"/>
  <c r="BG42" i="19"/>
  <c r="BG46" i="19"/>
  <c r="BG50" i="19"/>
  <c r="BG54" i="19"/>
  <c r="BG58" i="19"/>
  <c r="BG62" i="19"/>
  <c r="BG66" i="19"/>
  <c r="BG70" i="19"/>
  <c r="BG74" i="19"/>
  <c r="BG78" i="19"/>
  <c r="CU80" i="19"/>
  <c r="BG85" i="19"/>
  <c r="BG93" i="19"/>
  <c r="BG101" i="19"/>
  <c r="BG115" i="19"/>
  <c r="EH167" i="20"/>
  <c r="EL167" i="20"/>
  <c r="EH134" i="20"/>
  <c r="EL134" i="20"/>
  <c r="EH135" i="20"/>
  <c r="EL135" i="20"/>
  <c r="EH136" i="20"/>
  <c r="EL136" i="20"/>
  <c r="EH137" i="20"/>
  <c r="EL137" i="20"/>
  <c r="EH138" i="20"/>
  <c r="EL138" i="20"/>
  <c r="EH139" i="20"/>
  <c r="EL139" i="20"/>
  <c r="EH140" i="20"/>
  <c r="EL140" i="20"/>
  <c r="EH141" i="20"/>
  <c r="EL141" i="20"/>
  <c r="EH142" i="20"/>
  <c r="EL142" i="20"/>
  <c r="EH143" i="20"/>
  <c r="EL143" i="20"/>
  <c r="EH144" i="20"/>
  <c r="EL144" i="20"/>
  <c r="EH145" i="20"/>
  <c r="EL145" i="20"/>
  <c r="EH146" i="20"/>
  <c r="EL146" i="20"/>
  <c r="EG167" i="20"/>
  <c r="EK167" i="20"/>
  <c r="EG134" i="20"/>
  <c r="EK134" i="20"/>
  <c r="EG135" i="20"/>
  <c r="EK135" i="20"/>
  <c r="EG136" i="20"/>
  <c r="EK136" i="20"/>
  <c r="EG137" i="20"/>
  <c r="EK137" i="20"/>
  <c r="EG138" i="20"/>
  <c r="EK138" i="20"/>
  <c r="EG139" i="20"/>
  <c r="EK139" i="20"/>
  <c r="EG140" i="20"/>
  <c r="EK140" i="20"/>
  <c r="EG141" i="20"/>
  <c r="EK141" i="20"/>
  <c r="EG142" i="20"/>
  <c r="EK142" i="20"/>
  <c r="EG143" i="20"/>
  <c r="EK143" i="20"/>
  <c r="EG144" i="20"/>
  <c r="EK144" i="20"/>
  <c r="EG145" i="20"/>
  <c r="EK145" i="20"/>
  <c r="EG146" i="20"/>
  <c r="EK146" i="20"/>
  <c r="EG147" i="20"/>
  <c r="EK147" i="20"/>
  <c r="EE167" i="20"/>
  <c r="EE134" i="20"/>
  <c r="EE135" i="20"/>
  <c r="EE136" i="20"/>
  <c r="EE137" i="20"/>
  <c r="EE138" i="20"/>
  <c r="EE139" i="20"/>
  <c r="EE140" i="20"/>
  <c r="EE141" i="20"/>
  <c r="EE142" i="20"/>
  <c r="EE143" i="20"/>
  <c r="EE144" i="20"/>
  <c r="EE145" i="20"/>
  <c r="EE146" i="20"/>
  <c r="EH147" i="20"/>
  <c r="EF148" i="20"/>
  <c r="EJ148" i="20"/>
  <c r="EF149" i="20"/>
  <c r="EJ149" i="20"/>
  <c r="EF150" i="20"/>
  <c r="EJ150" i="20"/>
  <c r="EF151" i="20"/>
  <c r="EJ151" i="20"/>
  <c r="EF152" i="20"/>
  <c r="EJ152" i="20"/>
  <c r="EF153" i="20"/>
  <c r="EJ153" i="20"/>
  <c r="EF154" i="20"/>
  <c r="EJ154" i="20"/>
  <c r="EF155" i="20"/>
  <c r="EJ155" i="20"/>
  <c r="EF156" i="20"/>
  <c r="EJ156" i="20"/>
  <c r="EF157" i="20"/>
  <c r="EJ157" i="20"/>
  <c r="EF158" i="20"/>
  <c r="EJ158" i="20"/>
  <c r="EF159" i="20"/>
  <c r="EJ159" i="20"/>
  <c r="EF160" i="20"/>
  <c r="EJ160" i="20"/>
  <c r="EF161" i="20"/>
  <c r="EJ161" i="20"/>
  <c r="EF162" i="20"/>
  <c r="EJ162" i="20"/>
  <c r="EF163" i="20"/>
  <c r="EJ163" i="20"/>
  <c r="EF164" i="20"/>
  <c r="EJ164" i="20"/>
  <c r="EF165" i="20"/>
  <c r="EJ165" i="20"/>
  <c r="EF166" i="20"/>
  <c r="EJ166" i="20"/>
  <c r="EF9" i="20"/>
  <c r="EJ9" i="20"/>
  <c r="EF10" i="20"/>
  <c r="EJ10" i="20"/>
  <c r="EF11" i="20"/>
  <c r="EJ11" i="20"/>
  <c r="EF12" i="20"/>
  <c r="EJ12" i="20"/>
  <c r="EF13" i="20"/>
  <c r="EJ13" i="20"/>
  <c r="EF14" i="20"/>
  <c r="EJ14" i="20"/>
  <c r="EF15" i="20"/>
  <c r="EJ15" i="20"/>
  <c r="EF16" i="20"/>
  <c r="EJ16" i="20"/>
  <c r="EF17" i="20"/>
  <c r="EJ17" i="20"/>
  <c r="EF18" i="20"/>
  <c r="EJ18" i="20"/>
  <c r="EF19" i="20"/>
  <c r="EJ19" i="20"/>
  <c r="EF20" i="20"/>
  <c r="EJ20" i="20"/>
  <c r="EF21" i="20"/>
  <c r="EJ21" i="20"/>
  <c r="EF22" i="20"/>
  <c r="EJ22" i="20"/>
  <c r="EF23" i="20"/>
  <c r="EJ23" i="20"/>
  <c r="EF24" i="20"/>
  <c r="EJ24" i="20"/>
  <c r="EF25" i="20"/>
  <c r="EJ25" i="20"/>
  <c r="EF26" i="20"/>
  <c r="EJ26" i="20"/>
  <c r="EF27" i="20"/>
  <c r="EJ27" i="20"/>
  <c r="EF28" i="20"/>
  <c r="EJ28" i="20"/>
  <c r="EF29" i="20"/>
  <c r="EJ29" i="20"/>
  <c r="EF30" i="20"/>
  <c r="EJ30" i="20"/>
  <c r="EF31" i="20"/>
  <c r="EJ31" i="20"/>
  <c r="EF32" i="20"/>
  <c r="EJ32" i="20"/>
  <c r="EF33" i="20"/>
  <c r="EJ33" i="20"/>
  <c r="EF34" i="20"/>
  <c r="EJ34" i="20"/>
  <c r="EF35" i="20"/>
  <c r="EJ35" i="20"/>
  <c r="EF36" i="20"/>
  <c r="EJ36" i="20"/>
  <c r="EF37" i="20"/>
  <c r="EJ37" i="20"/>
  <c r="EF38" i="20"/>
  <c r="EJ38" i="20"/>
  <c r="EF39" i="20"/>
  <c r="EJ39" i="20"/>
  <c r="EF40" i="20"/>
  <c r="EJ40" i="20"/>
  <c r="EF41" i="20"/>
  <c r="EJ41" i="20"/>
  <c r="EF42" i="20"/>
  <c r="EJ42" i="20"/>
  <c r="EF43" i="20"/>
  <c r="EJ43" i="20"/>
  <c r="EF44" i="20"/>
  <c r="EJ44" i="20"/>
  <c r="EF45" i="20"/>
  <c r="EJ45" i="20"/>
  <c r="EF46" i="20"/>
  <c r="EJ46" i="20"/>
  <c r="EF47" i="20"/>
  <c r="EJ47" i="20"/>
  <c r="EF48" i="20"/>
  <c r="EJ48" i="20"/>
  <c r="EF49" i="20"/>
  <c r="EJ49" i="20"/>
  <c r="EF50" i="20"/>
  <c r="EJ50" i="20"/>
  <c r="EF51" i="20"/>
  <c r="EJ51" i="20"/>
  <c r="EF52" i="20"/>
  <c r="EJ52" i="20"/>
  <c r="EF53" i="20"/>
  <c r="EJ53" i="20"/>
  <c r="EF54" i="20"/>
  <c r="EJ54" i="20"/>
  <c r="EF55" i="20"/>
  <c r="EJ55" i="20"/>
  <c r="EF56" i="20"/>
  <c r="EJ56" i="20"/>
  <c r="EF57" i="20"/>
  <c r="EJ57" i="20"/>
  <c r="EF58" i="20"/>
  <c r="EJ58" i="20"/>
  <c r="EF59" i="20"/>
  <c r="EJ59" i="20"/>
  <c r="EF60" i="20"/>
  <c r="EJ60" i="20"/>
  <c r="EF61" i="20"/>
  <c r="EJ61" i="20"/>
  <c r="EF62" i="20"/>
  <c r="EJ62" i="20"/>
  <c r="EF63" i="20"/>
  <c r="EJ63" i="20"/>
  <c r="EF64" i="20"/>
  <c r="EJ64" i="20"/>
  <c r="EF65" i="20"/>
  <c r="EJ65" i="20"/>
  <c r="EF66" i="20"/>
  <c r="EJ66" i="20"/>
  <c r="EF67" i="20"/>
  <c r="EJ67" i="20"/>
  <c r="EF68" i="20"/>
  <c r="EJ68" i="20"/>
  <c r="EF69" i="20"/>
  <c r="EJ69" i="20"/>
  <c r="EF70" i="20"/>
  <c r="EJ70" i="20"/>
  <c r="EF71" i="20"/>
  <c r="EJ71" i="20"/>
  <c r="EF72" i="20"/>
  <c r="EJ72" i="20"/>
  <c r="EF73" i="20"/>
  <c r="EJ73" i="20"/>
  <c r="EF74" i="20"/>
  <c r="EJ74" i="20"/>
  <c r="EF75" i="20"/>
  <c r="EJ75" i="20"/>
  <c r="EF76" i="20"/>
  <c r="EJ76" i="20"/>
  <c r="EF77" i="20"/>
  <c r="EJ77" i="20"/>
  <c r="EF78" i="20"/>
  <c r="EJ78" i="20"/>
  <c r="EF79" i="20"/>
  <c r="EJ79" i="20"/>
  <c r="EF80" i="20"/>
  <c r="EJ80" i="20"/>
  <c r="EF81" i="20"/>
  <c r="EJ81" i="20"/>
  <c r="EF82" i="20"/>
  <c r="EJ82" i="20"/>
  <c r="EF83" i="20"/>
  <c r="EJ83" i="20"/>
  <c r="EF84" i="20"/>
  <c r="EJ84" i="20"/>
  <c r="EF85" i="20"/>
  <c r="EJ85" i="20"/>
  <c r="EF86" i="20"/>
  <c r="EJ86" i="20"/>
  <c r="EF87" i="20"/>
  <c r="EJ87" i="20"/>
  <c r="EF88" i="20"/>
  <c r="EJ88" i="20"/>
  <c r="EF89" i="20"/>
  <c r="EJ89" i="20"/>
  <c r="EF167" i="20"/>
  <c r="EF134" i="20"/>
  <c r="EF135" i="20"/>
  <c r="EF136" i="20"/>
  <c r="EF137" i="20"/>
  <c r="EF138" i="20"/>
  <c r="EF139" i="20"/>
  <c r="EF140" i="20"/>
  <c r="EF141" i="20"/>
  <c r="EF142" i="20"/>
  <c r="EF143" i="20"/>
  <c r="EF144" i="20"/>
  <c r="EF145" i="20"/>
  <c r="EF146" i="20"/>
  <c r="EI147" i="20"/>
  <c r="EG148" i="20"/>
  <c r="EK148" i="20"/>
  <c r="EG149" i="20"/>
  <c r="EK149" i="20"/>
  <c r="EG150" i="20"/>
  <c r="EK150" i="20"/>
  <c r="EG151" i="20"/>
  <c r="EK151" i="20"/>
  <c r="EG152" i="20"/>
  <c r="EK152" i="20"/>
  <c r="EG153" i="20"/>
  <c r="EK153" i="20"/>
  <c r="EG154" i="20"/>
  <c r="EK154" i="20"/>
  <c r="EG155" i="20"/>
  <c r="EK155" i="20"/>
  <c r="EG156" i="20"/>
  <c r="EK156" i="20"/>
  <c r="EG157" i="20"/>
  <c r="EK157" i="20"/>
  <c r="EG158" i="20"/>
  <c r="EK158" i="20"/>
  <c r="EG159" i="20"/>
  <c r="EK159" i="20"/>
  <c r="EG160" i="20"/>
  <c r="EK160" i="20"/>
  <c r="EG161" i="20"/>
  <c r="EK161" i="20"/>
  <c r="EG162" i="20"/>
  <c r="EK162" i="20"/>
  <c r="EG163" i="20"/>
  <c r="EK163" i="20"/>
  <c r="EG164" i="20"/>
  <c r="EK164" i="20"/>
  <c r="EG165" i="20"/>
  <c r="EK165" i="20"/>
  <c r="EG166" i="20"/>
  <c r="EK166" i="20"/>
  <c r="EG9" i="20"/>
  <c r="EK9" i="20"/>
  <c r="EG10" i="20"/>
  <c r="EK10" i="20"/>
  <c r="EG11" i="20"/>
  <c r="EK11" i="20"/>
  <c r="EG12" i="20"/>
  <c r="EK12" i="20"/>
  <c r="EG13" i="20"/>
  <c r="EK13" i="20"/>
  <c r="EG14" i="20"/>
  <c r="EK14" i="20"/>
  <c r="EG15" i="20"/>
  <c r="EK15" i="20"/>
  <c r="EG16" i="20"/>
  <c r="EK16" i="20"/>
  <c r="EG17" i="20"/>
  <c r="EK17" i="20"/>
  <c r="EG18" i="20"/>
  <c r="EK18" i="20"/>
  <c r="EG19" i="20"/>
  <c r="EK19" i="20"/>
  <c r="EG20" i="20"/>
  <c r="EK20" i="20"/>
  <c r="EG21" i="20"/>
  <c r="EK21" i="20"/>
  <c r="EG22" i="20"/>
  <c r="EK22" i="20"/>
  <c r="EG23" i="20"/>
  <c r="EK23" i="20"/>
  <c r="EG24" i="20"/>
  <c r="EK24" i="20"/>
  <c r="EG25" i="20"/>
  <c r="EK25" i="20"/>
  <c r="EG26" i="20"/>
  <c r="EK26" i="20"/>
  <c r="EG27" i="20"/>
  <c r="EK27" i="20"/>
  <c r="EG28" i="20"/>
  <c r="EK28" i="20"/>
  <c r="EG29" i="20"/>
  <c r="EK29" i="20"/>
  <c r="EG30" i="20"/>
  <c r="EK30" i="20"/>
  <c r="EG31" i="20"/>
  <c r="EK31" i="20"/>
  <c r="EG32" i="20"/>
  <c r="EK32" i="20"/>
  <c r="EG33" i="20"/>
  <c r="EK33" i="20"/>
  <c r="EG34" i="20"/>
  <c r="EK34" i="20"/>
  <c r="EG35" i="20"/>
  <c r="EK35" i="20"/>
  <c r="EG36" i="20"/>
  <c r="EK36" i="20"/>
  <c r="EG37" i="20"/>
  <c r="EK37" i="20"/>
  <c r="EG38" i="20"/>
  <c r="EK38" i="20"/>
  <c r="EG39" i="20"/>
  <c r="EK39" i="20"/>
  <c r="EG40" i="20"/>
  <c r="EK40" i="20"/>
  <c r="EG41" i="20"/>
  <c r="EK41" i="20"/>
  <c r="EG42" i="20"/>
  <c r="EK42" i="20"/>
  <c r="EG43" i="20"/>
  <c r="EK43" i="20"/>
  <c r="EG44" i="20"/>
  <c r="EK44" i="20"/>
  <c r="EG45" i="20"/>
  <c r="EK45" i="20"/>
  <c r="EG46" i="20"/>
  <c r="EK46" i="20"/>
  <c r="EG47" i="20"/>
  <c r="EK47" i="20"/>
  <c r="EG48" i="20"/>
  <c r="EK48" i="20"/>
  <c r="EG49" i="20"/>
  <c r="EK49" i="20"/>
  <c r="EG50" i="20"/>
  <c r="EK50" i="20"/>
  <c r="EG51" i="20"/>
  <c r="EK51" i="20"/>
  <c r="EG52" i="20"/>
  <c r="EK52" i="20"/>
  <c r="EG53" i="20"/>
  <c r="EK53" i="20"/>
  <c r="EG54" i="20"/>
  <c r="EK54" i="20"/>
  <c r="EG55" i="20"/>
  <c r="EK55" i="20"/>
  <c r="EG56" i="20"/>
  <c r="EK56" i="20"/>
  <c r="EG57" i="20"/>
  <c r="EK57" i="20"/>
  <c r="EG58" i="20"/>
  <c r="EK58" i="20"/>
  <c r="EG59" i="20"/>
  <c r="EK59" i="20"/>
  <c r="EG60" i="20"/>
  <c r="EK60" i="20"/>
  <c r="EG61" i="20"/>
  <c r="EK61" i="20"/>
  <c r="EG62" i="20"/>
  <c r="EK62" i="20"/>
  <c r="EG63" i="20"/>
  <c r="EK63" i="20"/>
  <c r="EI167" i="20"/>
  <c r="EI134" i="20"/>
  <c r="EI135" i="20"/>
  <c r="EI136" i="20"/>
  <c r="EI137" i="20"/>
  <c r="EI138" i="20"/>
  <c r="EI139" i="20"/>
  <c r="EI140" i="20"/>
  <c r="EI141" i="20"/>
  <c r="EI142" i="20"/>
  <c r="EI143" i="20"/>
  <c r="EI144" i="20"/>
  <c r="EI145" i="20"/>
  <c r="EI146" i="20"/>
  <c r="EE147" i="20"/>
  <c r="EJ147" i="20"/>
  <c r="EH148" i="20"/>
  <c r="EL148" i="20"/>
  <c r="EH149" i="20"/>
  <c r="EL149" i="20"/>
  <c r="EH150" i="20"/>
  <c r="EL150" i="20"/>
  <c r="EH151" i="20"/>
  <c r="EL151" i="20"/>
  <c r="EH152" i="20"/>
  <c r="EL152" i="20"/>
  <c r="EH153" i="20"/>
  <c r="EL153" i="20"/>
  <c r="EH154" i="20"/>
  <c r="EL154" i="20"/>
  <c r="EH155" i="20"/>
  <c r="EL155" i="20"/>
  <c r="EH156" i="20"/>
  <c r="EL156" i="20"/>
  <c r="EH157" i="20"/>
  <c r="EL157" i="20"/>
  <c r="EH158" i="20"/>
  <c r="EL158" i="20"/>
  <c r="EH159" i="20"/>
  <c r="EL159" i="20"/>
  <c r="EH160" i="20"/>
  <c r="EL160" i="20"/>
  <c r="EH161" i="20"/>
  <c r="EL161" i="20"/>
  <c r="EH162" i="20"/>
  <c r="EL162" i="20"/>
  <c r="EH163" i="20"/>
  <c r="EL163" i="20"/>
  <c r="EH164" i="20"/>
  <c r="EL164" i="20"/>
  <c r="EH165" i="20"/>
  <c r="EL165" i="20"/>
  <c r="EH166" i="20"/>
  <c r="EL166" i="20"/>
  <c r="EH9" i="20"/>
  <c r="EL9" i="20"/>
  <c r="EH10" i="20"/>
  <c r="EL10" i="20"/>
  <c r="EH11" i="20"/>
  <c r="EL11" i="20"/>
  <c r="EH12" i="20"/>
  <c r="EL12" i="20"/>
  <c r="EH13" i="20"/>
  <c r="EL13" i="20"/>
  <c r="EH14" i="20"/>
  <c r="EL14" i="20"/>
  <c r="EH15" i="20"/>
  <c r="EL15" i="20"/>
  <c r="EH16" i="20"/>
  <c r="EL16" i="20"/>
  <c r="EH17" i="20"/>
  <c r="EL17" i="20"/>
  <c r="EH18" i="20"/>
  <c r="EL18" i="20"/>
  <c r="EH19" i="20"/>
  <c r="EL19" i="20"/>
  <c r="EH20" i="20"/>
  <c r="EL20" i="20"/>
  <c r="EH21" i="20"/>
  <c r="EL21" i="20"/>
  <c r="EH22" i="20"/>
  <c r="EL22" i="20"/>
  <c r="EH23" i="20"/>
  <c r="EL23" i="20"/>
  <c r="EH24" i="20"/>
  <c r="EL24" i="20"/>
  <c r="EH25" i="20"/>
  <c r="EL25" i="20"/>
  <c r="EH26" i="20"/>
  <c r="EL26" i="20"/>
  <c r="EH27" i="20"/>
  <c r="EL27" i="20"/>
  <c r="EH28" i="20"/>
  <c r="EL28" i="20"/>
  <c r="EH29" i="20"/>
  <c r="EL29" i="20"/>
  <c r="EH30" i="20"/>
  <c r="EL30" i="20"/>
  <c r="EH31" i="20"/>
  <c r="EL31" i="20"/>
  <c r="EH32" i="20"/>
  <c r="EL32" i="20"/>
  <c r="EH33" i="20"/>
  <c r="EL33" i="20"/>
  <c r="EH34" i="20"/>
  <c r="EL34" i="20"/>
  <c r="EH35" i="20"/>
  <c r="EL35" i="20"/>
  <c r="EH36" i="20"/>
  <c r="EL36" i="20"/>
  <c r="EH37" i="20"/>
  <c r="EL37" i="20"/>
  <c r="EH38" i="20"/>
  <c r="EL38" i="20"/>
  <c r="EH39" i="20"/>
  <c r="EL39" i="20"/>
  <c r="EH40" i="20"/>
  <c r="EL40" i="20"/>
  <c r="EH41" i="20"/>
  <c r="EL41" i="20"/>
  <c r="EH42" i="20"/>
  <c r="EL42" i="20"/>
  <c r="EH43" i="20"/>
  <c r="EL43" i="20"/>
  <c r="EH44" i="20"/>
  <c r="EL44" i="20"/>
  <c r="EH45" i="20"/>
  <c r="EL45" i="20"/>
  <c r="EH46" i="20"/>
  <c r="EL46" i="20"/>
  <c r="EH47" i="20"/>
  <c r="EL47" i="20"/>
  <c r="EH48" i="20"/>
  <c r="EL48" i="20"/>
  <c r="EH49" i="20"/>
  <c r="EL49" i="20"/>
  <c r="EH50" i="20"/>
  <c r="EL50" i="20"/>
  <c r="EH51" i="20"/>
  <c r="EL51" i="20"/>
  <c r="EH52" i="20"/>
  <c r="EL52" i="20"/>
  <c r="EH53" i="20"/>
  <c r="EL53" i="20"/>
  <c r="EH54" i="20"/>
  <c r="EL54" i="20"/>
  <c r="EH55" i="20"/>
  <c r="EL55" i="20"/>
  <c r="EH56" i="20"/>
  <c r="EL56" i="20"/>
  <c r="EH57" i="20"/>
  <c r="EL57" i="20"/>
  <c r="EH58" i="20"/>
  <c r="EL58" i="20"/>
  <c r="EH59" i="20"/>
  <c r="EL59" i="20"/>
  <c r="EH60" i="20"/>
  <c r="EL60" i="20"/>
  <c r="EH61" i="20"/>
  <c r="EL61" i="20"/>
  <c r="EH62" i="20"/>
  <c r="EL62" i="20"/>
  <c r="EH63" i="20"/>
  <c r="EL63" i="20"/>
  <c r="EJ167" i="20"/>
  <c r="EJ134" i="20"/>
  <c r="EJ135" i="20"/>
  <c r="EJ136" i="20"/>
  <c r="EJ137" i="20"/>
  <c r="EJ138" i="20"/>
  <c r="EJ139" i="20"/>
  <c r="EJ140" i="20"/>
  <c r="EJ141" i="20"/>
  <c r="EJ142" i="20"/>
  <c r="EJ143" i="20"/>
  <c r="EJ144" i="20"/>
  <c r="EJ145" i="20"/>
  <c r="EJ146" i="20"/>
  <c r="EF147" i="20"/>
  <c r="EL147" i="20"/>
  <c r="EE148" i="20"/>
  <c r="EI148" i="20"/>
  <c r="EE149" i="20"/>
  <c r="EI149" i="20"/>
  <c r="EE150" i="20"/>
  <c r="EI150" i="20"/>
  <c r="EE151" i="20"/>
  <c r="EI151" i="20"/>
  <c r="EE152" i="20"/>
  <c r="EI152" i="20"/>
  <c r="EE153" i="20"/>
  <c r="EI153" i="20"/>
  <c r="EE154" i="20"/>
  <c r="EI154" i="20"/>
  <c r="EE155" i="20"/>
  <c r="EI155" i="20"/>
  <c r="EE156" i="20"/>
  <c r="EI156" i="20"/>
  <c r="EE157" i="20"/>
  <c r="EI157" i="20"/>
  <c r="EE158" i="20"/>
  <c r="EI158" i="20"/>
  <c r="EE159" i="20"/>
  <c r="EI159" i="20"/>
  <c r="EE160" i="20"/>
  <c r="EI160" i="20"/>
  <c r="EE161" i="20"/>
  <c r="EI161" i="20"/>
  <c r="EE162" i="20"/>
  <c r="EI162" i="20"/>
  <c r="EE163" i="20"/>
  <c r="EI163" i="20"/>
  <c r="EE164" i="20"/>
  <c r="EI164" i="20"/>
  <c r="EE165" i="20"/>
  <c r="EI165" i="20"/>
  <c r="EE166" i="20"/>
  <c r="EI166" i="20"/>
  <c r="EE9" i="20"/>
  <c r="EI9" i="20"/>
  <c r="EE10" i="20"/>
  <c r="EI10" i="20"/>
  <c r="EE11" i="20"/>
  <c r="EI11" i="20"/>
  <c r="EE12" i="20"/>
  <c r="EI12" i="20"/>
  <c r="EE13" i="20"/>
  <c r="EI13" i="20"/>
  <c r="EE14" i="20"/>
  <c r="EI14" i="20"/>
  <c r="EE15" i="20"/>
  <c r="EI15" i="20"/>
  <c r="EE16" i="20"/>
  <c r="EI16" i="20"/>
  <c r="EE17" i="20"/>
  <c r="EI17" i="20"/>
  <c r="EE18" i="20"/>
  <c r="EI18" i="20"/>
  <c r="EE19" i="20"/>
  <c r="EI19" i="20"/>
  <c r="EE20" i="20"/>
  <c r="EI20" i="20"/>
  <c r="EE21" i="20"/>
  <c r="EI21" i="20"/>
  <c r="EE22" i="20"/>
  <c r="EI22" i="20"/>
  <c r="EE23" i="20"/>
  <c r="EI23" i="20"/>
  <c r="EE24" i="20"/>
  <c r="EI24" i="20"/>
  <c r="EE25" i="20"/>
  <c r="EI25" i="20"/>
  <c r="EE26" i="20"/>
  <c r="EI26" i="20"/>
  <c r="EE27" i="20"/>
  <c r="EI27" i="20"/>
  <c r="EE28" i="20"/>
  <c r="EI28" i="20"/>
  <c r="EE29" i="20"/>
  <c r="EI29" i="20"/>
  <c r="EE30" i="20"/>
  <c r="EI30" i="20"/>
  <c r="EE31" i="20"/>
  <c r="EI31" i="20"/>
  <c r="EE32" i="20"/>
  <c r="EI32" i="20"/>
  <c r="EE33" i="20"/>
  <c r="EI33" i="20"/>
  <c r="EE34" i="20"/>
  <c r="EI34" i="20"/>
  <c r="EE35" i="20"/>
  <c r="EI35" i="20"/>
  <c r="EE36" i="20"/>
  <c r="EI36" i="20"/>
  <c r="EE37" i="20"/>
  <c r="EI37" i="20"/>
  <c r="EE38" i="20"/>
  <c r="EI38" i="20"/>
  <c r="EE39" i="20"/>
  <c r="EI39" i="20"/>
  <c r="EE40" i="20"/>
  <c r="EI40" i="20"/>
  <c r="EE41" i="20"/>
  <c r="EI41" i="20"/>
  <c r="EE42" i="20"/>
  <c r="EI42" i="20"/>
  <c r="EE43" i="20"/>
  <c r="EI43" i="20"/>
  <c r="EE44" i="20"/>
  <c r="EI44" i="20"/>
  <c r="EE45" i="20"/>
  <c r="EI45" i="20"/>
  <c r="EE46" i="20"/>
  <c r="EI46" i="20"/>
  <c r="EE47" i="20"/>
  <c r="EI47" i="20"/>
  <c r="EE48" i="20"/>
  <c r="EI48" i="20"/>
  <c r="EE49" i="20"/>
  <c r="EI49" i="20"/>
  <c r="EE50" i="20"/>
  <c r="EI50" i="20"/>
  <c r="EE51" i="20"/>
  <c r="EI51" i="20"/>
  <c r="EE52" i="20"/>
  <c r="EI52" i="20"/>
  <c r="EE53" i="20"/>
  <c r="EI53" i="20"/>
  <c r="EE54" i="20"/>
  <c r="EI54" i="20"/>
  <c r="EE55" i="20"/>
  <c r="EI55" i="20"/>
  <c r="EE56" i="20"/>
  <c r="EI56" i="20"/>
  <c r="EE57" i="20"/>
  <c r="EI57" i="20"/>
  <c r="EE58" i="20"/>
  <c r="EI58" i="20"/>
  <c r="EE59" i="20"/>
  <c r="EI59" i="20"/>
  <c r="EE60" i="20"/>
  <c r="EI60" i="20"/>
  <c r="EE61" i="20"/>
  <c r="EI61" i="20"/>
  <c r="EE62" i="20"/>
  <c r="EI62" i="20"/>
  <c r="EE63" i="20"/>
  <c r="EI63" i="20"/>
  <c r="EE64" i="20"/>
  <c r="EI64" i="20"/>
  <c r="EE65" i="20"/>
  <c r="EI65" i="20"/>
  <c r="EE66" i="20"/>
  <c r="EI66" i="20"/>
  <c r="EE67" i="20"/>
  <c r="EI67" i="20"/>
  <c r="EE68" i="20"/>
  <c r="EI68" i="20"/>
  <c r="EE69" i="20"/>
  <c r="EI69" i="20"/>
  <c r="EE70" i="20"/>
  <c r="EI70" i="20"/>
  <c r="EE71" i="20"/>
  <c r="EI71" i="20"/>
  <c r="EE72" i="20"/>
  <c r="EI72" i="20"/>
  <c r="EE73" i="20"/>
  <c r="EI73" i="20"/>
  <c r="EE74" i="20"/>
  <c r="EI74" i="20"/>
  <c r="EE75" i="20"/>
  <c r="EI75" i="20"/>
  <c r="EE76" i="20"/>
  <c r="EI76" i="20"/>
  <c r="EE77" i="20"/>
  <c r="EI77" i="20"/>
  <c r="EE78" i="20"/>
  <c r="EI78" i="20"/>
  <c r="EE79" i="20"/>
  <c r="EI79" i="20"/>
  <c r="EE80" i="20"/>
  <c r="EI80" i="20"/>
  <c r="EE81" i="20"/>
  <c r="EI81" i="20"/>
  <c r="EE82" i="20"/>
  <c r="EI82" i="20"/>
  <c r="EE83" i="20"/>
  <c r="EI83" i="20"/>
  <c r="EE84" i="20"/>
  <c r="EI84" i="20"/>
  <c r="EE85" i="20"/>
  <c r="EI85" i="20"/>
  <c r="EE86" i="20"/>
  <c r="EI86" i="20"/>
  <c r="EE87" i="20"/>
  <c r="EI87" i="20"/>
  <c r="EE88" i="20"/>
  <c r="EI88" i="20"/>
  <c r="EE89" i="20"/>
  <c r="EI89" i="20"/>
  <c r="EE90" i="20"/>
  <c r="EI90" i="20"/>
  <c r="EE91" i="20"/>
  <c r="EI91" i="20"/>
  <c r="EE92" i="20"/>
  <c r="EI92" i="20"/>
  <c r="EE93" i="20"/>
  <c r="EI93" i="20"/>
  <c r="EE94" i="20"/>
  <c r="EI94" i="20"/>
  <c r="EG64" i="20"/>
  <c r="EG65" i="20"/>
  <c r="EG66" i="20"/>
  <c r="EG67" i="20"/>
  <c r="EG68" i="20"/>
  <c r="EG69" i="20"/>
  <c r="EG70" i="20"/>
  <c r="EG71" i="20"/>
  <c r="EG72" i="20"/>
  <c r="EG73" i="20"/>
  <c r="EG74" i="20"/>
  <c r="EG75" i="20"/>
  <c r="EG76" i="20"/>
  <c r="EG77" i="20"/>
  <c r="EG78" i="20"/>
  <c r="EG79" i="20"/>
  <c r="EG80" i="20"/>
  <c r="EG81" i="20"/>
  <c r="EG82" i="20"/>
  <c r="EG83" i="20"/>
  <c r="EG84" i="20"/>
  <c r="EG85" i="20"/>
  <c r="EG86" i="20"/>
  <c r="EG87" i="20"/>
  <c r="EG88" i="20"/>
  <c r="EG89" i="20"/>
  <c r="EF90" i="20"/>
  <c r="EK90" i="20"/>
  <c r="EF91" i="20"/>
  <c r="EK91" i="20"/>
  <c r="EF92" i="20"/>
  <c r="EK92" i="20"/>
  <c r="EF93" i="20"/>
  <c r="EK93" i="20"/>
  <c r="EF94" i="20"/>
  <c r="EK94" i="20"/>
  <c r="EG95" i="20"/>
  <c r="EK95" i="20"/>
  <c r="EG96" i="20"/>
  <c r="EK96" i="20"/>
  <c r="EG97" i="20"/>
  <c r="EK97" i="20"/>
  <c r="EG98" i="20"/>
  <c r="EK98" i="20"/>
  <c r="EG99" i="20"/>
  <c r="EK99" i="20"/>
  <c r="EG100" i="20"/>
  <c r="EK100" i="20"/>
  <c r="EG101" i="20"/>
  <c r="EK101" i="20"/>
  <c r="EG102" i="20"/>
  <c r="EK102" i="20"/>
  <c r="EG103" i="20"/>
  <c r="EK103" i="20"/>
  <c r="EG104" i="20"/>
  <c r="EK104" i="20"/>
  <c r="EG105" i="20"/>
  <c r="EK105" i="20"/>
  <c r="EG106" i="20"/>
  <c r="EK106" i="20"/>
  <c r="EG107" i="20"/>
  <c r="EK107" i="20"/>
  <c r="EG108" i="20"/>
  <c r="EK108" i="20"/>
  <c r="EG109" i="20"/>
  <c r="EK109" i="20"/>
  <c r="EG110" i="20"/>
  <c r="EK110" i="20"/>
  <c r="EG111" i="20"/>
  <c r="EK111" i="20"/>
  <c r="EG112" i="20"/>
  <c r="EK112" i="20"/>
  <c r="EG113" i="20"/>
  <c r="EK113" i="20"/>
  <c r="EG114" i="20"/>
  <c r="EK114" i="20"/>
  <c r="EG115" i="20"/>
  <c r="EK115" i="20"/>
  <c r="EG116" i="20"/>
  <c r="EK116" i="20"/>
  <c r="EG117" i="20"/>
  <c r="EK117" i="20"/>
  <c r="EG118" i="20"/>
  <c r="EK118" i="20"/>
  <c r="EG119" i="20"/>
  <c r="EK119" i="20"/>
  <c r="EG120" i="20"/>
  <c r="EK120" i="20"/>
  <c r="EG121" i="20"/>
  <c r="EK121" i="20"/>
  <c r="EG122" i="20"/>
  <c r="EK122" i="20"/>
  <c r="EG123" i="20"/>
  <c r="EK123" i="20"/>
  <c r="EG124" i="20"/>
  <c r="EK124" i="20"/>
  <c r="EG125" i="20"/>
  <c r="EK125" i="20"/>
  <c r="EG126" i="20"/>
  <c r="EK126" i="20"/>
  <c r="EG127" i="20"/>
  <c r="EK127" i="20"/>
  <c r="EG128" i="20"/>
  <c r="EK128" i="20"/>
  <c r="EG129" i="20"/>
  <c r="EK129" i="20"/>
  <c r="EG130" i="20"/>
  <c r="EK130" i="20"/>
  <c r="EG131" i="20"/>
  <c r="EK131" i="20"/>
  <c r="EG132" i="20"/>
  <c r="EK132" i="20"/>
  <c r="EG133" i="20"/>
  <c r="EK133" i="20"/>
  <c r="EH64" i="20"/>
  <c r="EH65" i="20"/>
  <c r="EH66" i="20"/>
  <c r="EH67" i="20"/>
  <c r="EH68" i="20"/>
  <c r="EH69" i="20"/>
  <c r="EH70" i="20"/>
  <c r="EH71" i="20"/>
  <c r="EH72" i="20"/>
  <c r="EH73" i="20"/>
  <c r="EH74" i="20"/>
  <c r="EH75" i="20"/>
  <c r="EH76" i="20"/>
  <c r="EH77" i="20"/>
  <c r="EH78" i="20"/>
  <c r="EH79" i="20"/>
  <c r="EH80" i="20"/>
  <c r="EH81" i="20"/>
  <c r="EH82" i="20"/>
  <c r="EH83" i="20"/>
  <c r="EH84" i="20"/>
  <c r="EH85" i="20"/>
  <c r="EH86" i="20"/>
  <c r="EH87" i="20"/>
  <c r="EH88" i="20"/>
  <c r="EH89" i="20"/>
  <c r="EG90" i="20"/>
  <c r="EL90" i="20"/>
  <c r="EG91" i="20"/>
  <c r="EL91" i="20"/>
  <c r="EG92" i="20"/>
  <c r="EL92" i="20"/>
  <c r="EG93" i="20"/>
  <c r="EL93" i="20"/>
  <c r="EG94" i="20"/>
  <c r="EL94" i="20"/>
  <c r="EH95" i="20"/>
  <c r="EL95" i="20"/>
  <c r="EH96" i="20"/>
  <c r="EL96" i="20"/>
  <c r="EH97" i="20"/>
  <c r="EL97" i="20"/>
  <c r="EH98" i="20"/>
  <c r="EL98" i="20"/>
  <c r="EH99" i="20"/>
  <c r="EL99" i="20"/>
  <c r="EH100" i="20"/>
  <c r="EL100" i="20"/>
  <c r="EH101" i="20"/>
  <c r="EL101" i="20"/>
  <c r="EH102" i="20"/>
  <c r="EL102" i="20"/>
  <c r="EH103" i="20"/>
  <c r="EL103" i="20"/>
  <c r="EH104" i="20"/>
  <c r="EL104" i="20"/>
  <c r="EH105" i="20"/>
  <c r="EL105" i="20"/>
  <c r="EH106" i="20"/>
  <c r="EL106" i="20"/>
  <c r="EH107" i="20"/>
  <c r="EL107" i="20"/>
  <c r="EH108" i="20"/>
  <c r="EL108" i="20"/>
  <c r="EH109" i="20"/>
  <c r="EL109" i="20"/>
  <c r="EH110" i="20"/>
  <c r="EL110" i="20"/>
  <c r="EH111" i="20"/>
  <c r="EL111" i="20"/>
  <c r="EH112" i="20"/>
  <c r="EL112" i="20"/>
  <c r="EH113" i="20"/>
  <c r="EL113" i="20"/>
  <c r="EH114" i="20"/>
  <c r="EL114" i="20"/>
  <c r="EH115" i="20"/>
  <c r="EL115" i="20"/>
  <c r="EH116" i="20"/>
  <c r="EL116" i="20"/>
  <c r="EH117" i="20"/>
  <c r="EL117" i="20"/>
  <c r="EH118" i="20"/>
  <c r="EL118" i="20"/>
  <c r="EH119" i="20"/>
  <c r="EL119" i="20"/>
  <c r="EH120" i="20"/>
  <c r="EL120" i="20"/>
  <c r="EH121" i="20"/>
  <c r="EL121" i="20"/>
  <c r="EH122" i="20"/>
  <c r="EL122" i="20"/>
  <c r="EH123" i="20"/>
  <c r="EL123" i="20"/>
  <c r="EH124" i="20"/>
  <c r="EL124" i="20"/>
  <c r="EH125" i="20"/>
  <c r="EL125" i="20"/>
  <c r="EH126" i="20"/>
  <c r="EL126" i="20"/>
  <c r="EH127" i="20"/>
  <c r="EL127" i="20"/>
  <c r="EH128" i="20"/>
  <c r="EL128" i="20"/>
  <c r="EH129" i="20"/>
  <c r="EL129" i="20"/>
  <c r="EH130" i="20"/>
  <c r="EL130" i="20"/>
  <c r="EH131" i="20"/>
  <c r="EL131" i="20"/>
  <c r="EH132" i="20"/>
  <c r="EL132" i="20"/>
  <c r="EH133" i="20"/>
  <c r="EL133" i="20"/>
  <c r="EK64" i="20"/>
  <c r="EK65" i="20"/>
  <c r="EK66" i="20"/>
  <c r="EK67" i="20"/>
  <c r="EK68" i="20"/>
  <c r="EK69" i="20"/>
  <c r="EK70" i="20"/>
  <c r="EK71" i="20"/>
  <c r="EK72" i="20"/>
  <c r="EK73" i="20"/>
  <c r="EK74" i="20"/>
  <c r="EK75" i="20"/>
  <c r="EK76" i="20"/>
  <c r="EK77" i="20"/>
  <c r="EK78" i="20"/>
  <c r="EK79" i="20"/>
  <c r="EK80" i="20"/>
  <c r="EK81" i="20"/>
  <c r="EK82" i="20"/>
  <c r="EK83" i="20"/>
  <c r="EK84" i="20"/>
  <c r="EK85" i="20"/>
  <c r="EK86" i="20"/>
  <c r="EK87" i="20"/>
  <c r="EK88" i="20"/>
  <c r="EK89" i="20"/>
  <c r="EH90" i="20"/>
  <c r="EH91" i="20"/>
  <c r="EH92" i="20"/>
  <c r="EH93" i="20"/>
  <c r="EH94" i="20"/>
  <c r="EE95" i="20"/>
  <c r="EI95" i="20"/>
  <c r="EE96" i="20"/>
  <c r="EI96" i="20"/>
  <c r="EE97" i="20"/>
  <c r="EI97" i="20"/>
  <c r="EE98" i="20"/>
  <c r="EI98" i="20"/>
  <c r="EE99" i="20"/>
  <c r="EI99" i="20"/>
  <c r="EE100" i="20"/>
  <c r="EI100" i="20"/>
  <c r="EE101" i="20"/>
  <c r="EI101" i="20"/>
  <c r="EE102" i="20"/>
  <c r="EI102" i="20"/>
  <c r="EE103" i="20"/>
  <c r="EI103" i="20"/>
  <c r="EE104" i="20"/>
  <c r="EI104" i="20"/>
  <c r="EE105" i="20"/>
  <c r="EI105" i="20"/>
  <c r="EE106" i="20"/>
  <c r="EI106" i="20"/>
  <c r="EE107" i="20"/>
  <c r="EI107" i="20"/>
  <c r="EE108" i="20"/>
  <c r="EI108" i="20"/>
  <c r="EE109" i="20"/>
  <c r="EI109" i="20"/>
  <c r="EE110" i="20"/>
  <c r="EI110" i="20"/>
  <c r="EE111" i="20"/>
  <c r="EI111" i="20"/>
  <c r="EE112" i="20"/>
  <c r="EI112" i="20"/>
  <c r="EE113" i="20"/>
  <c r="EI113" i="20"/>
  <c r="EE114" i="20"/>
  <c r="EI114" i="20"/>
  <c r="EE115" i="20"/>
  <c r="EI115" i="20"/>
  <c r="EE116" i="20"/>
  <c r="EI116" i="20"/>
  <c r="EE117" i="20"/>
  <c r="EI117" i="20"/>
  <c r="EE118" i="20"/>
  <c r="EI118" i="20"/>
  <c r="EE119" i="20"/>
  <c r="EI119" i="20"/>
  <c r="EE120" i="20"/>
  <c r="EI120" i="20"/>
  <c r="EE121" i="20"/>
  <c r="EI121" i="20"/>
  <c r="EE122" i="20"/>
  <c r="EI122" i="20"/>
  <c r="EE123" i="20"/>
  <c r="EI123" i="20"/>
  <c r="EE124" i="20"/>
  <c r="EI124" i="20"/>
  <c r="EE125" i="20"/>
  <c r="EI125" i="20"/>
  <c r="EE126" i="20"/>
  <c r="EI126" i="20"/>
  <c r="EE127" i="20"/>
  <c r="EI127" i="20"/>
  <c r="EE128" i="20"/>
  <c r="EI128" i="20"/>
  <c r="EE129" i="20"/>
  <c r="EI129" i="20"/>
  <c r="EE130" i="20"/>
  <c r="EI130" i="20"/>
  <c r="EE131" i="20"/>
  <c r="EI131" i="20"/>
  <c r="EE132" i="20"/>
  <c r="EI132" i="20"/>
  <c r="EE133" i="20"/>
  <c r="EI133" i="20"/>
  <c r="EL64" i="20"/>
  <c r="EL65" i="20"/>
  <c r="EL66" i="20"/>
  <c r="EL67" i="20"/>
  <c r="EL68" i="20"/>
  <c r="EL69" i="20"/>
  <c r="EL70" i="20"/>
  <c r="EL71" i="20"/>
  <c r="EL72" i="20"/>
  <c r="EL73" i="20"/>
  <c r="EL74" i="20"/>
  <c r="EL75" i="20"/>
  <c r="EL76" i="20"/>
  <c r="EL77" i="20"/>
  <c r="EL78" i="20"/>
  <c r="EL79" i="20"/>
  <c r="EL80" i="20"/>
  <c r="EL81" i="20"/>
  <c r="EL82" i="20"/>
  <c r="EL83" i="20"/>
  <c r="EL84" i="20"/>
  <c r="EL85" i="20"/>
  <c r="EL86" i="20"/>
  <c r="EL87" i="20"/>
  <c r="EL88" i="20"/>
  <c r="EL89" i="20"/>
  <c r="EJ90" i="20"/>
  <c r="EJ91" i="20"/>
  <c r="EJ92" i="20"/>
  <c r="EJ93" i="20"/>
  <c r="EJ94" i="20"/>
  <c r="EF95" i="20"/>
  <c r="EJ95" i="20"/>
  <c r="EF96" i="20"/>
  <c r="EJ96" i="20"/>
  <c r="EF97" i="20"/>
  <c r="EJ97" i="20"/>
  <c r="EF98" i="20"/>
  <c r="EJ98" i="20"/>
  <c r="EF99" i="20"/>
  <c r="EJ99" i="20"/>
  <c r="EF100" i="20"/>
  <c r="EJ100" i="20"/>
  <c r="EF101" i="20"/>
  <c r="EJ101" i="20"/>
  <c r="EF102" i="20"/>
  <c r="EJ102" i="20"/>
  <c r="EF103" i="20"/>
  <c r="EJ103" i="20"/>
  <c r="EF104" i="20"/>
  <c r="EJ104" i="20"/>
  <c r="EF105" i="20"/>
  <c r="EJ105" i="20"/>
  <c r="EF106" i="20"/>
  <c r="EJ106" i="20"/>
  <c r="EF107" i="20"/>
  <c r="EJ107" i="20"/>
  <c r="EF108" i="20"/>
  <c r="EJ108" i="20"/>
  <c r="EF109" i="20"/>
  <c r="EJ109" i="20"/>
  <c r="EF110" i="20"/>
  <c r="EJ110" i="20"/>
  <c r="EF111" i="20"/>
  <c r="EJ111" i="20"/>
  <c r="EF112" i="20"/>
  <c r="EJ112" i="20"/>
  <c r="EF113" i="20"/>
  <c r="EJ113" i="20"/>
  <c r="EF114" i="20"/>
  <c r="EJ114" i="20"/>
  <c r="EF115" i="20"/>
  <c r="EJ115" i="20"/>
  <c r="EF116" i="20"/>
  <c r="EJ116" i="20"/>
  <c r="EF117" i="20"/>
  <c r="EJ117" i="20"/>
  <c r="EF118" i="20"/>
  <c r="EJ118" i="20"/>
  <c r="EF119" i="20"/>
  <c r="EJ119" i="20"/>
  <c r="EF120" i="20"/>
  <c r="EJ120" i="20"/>
  <c r="EF121" i="20"/>
  <c r="EJ121" i="20"/>
  <c r="EF122" i="20"/>
  <c r="EJ122" i="20"/>
  <c r="EF123" i="20"/>
  <c r="EJ123" i="20"/>
  <c r="EF124" i="20"/>
  <c r="EJ124" i="20"/>
  <c r="EF125" i="20"/>
  <c r="EJ125" i="20"/>
  <c r="EF126" i="20"/>
  <c r="EJ126" i="20"/>
  <c r="EF127" i="20"/>
  <c r="EJ127" i="20"/>
  <c r="EF128" i="20"/>
  <c r="EJ128" i="20"/>
  <c r="EF129" i="20"/>
  <c r="EJ129" i="20"/>
  <c r="EF130" i="20"/>
  <c r="EJ130" i="20"/>
  <c r="EF131" i="20"/>
  <c r="EJ131" i="20"/>
  <c r="EF132" i="20"/>
  <c r="EJ132" i="20"/>
  <c r="EF133" i="20"/>
  <c r="EJ133" i="20"/>
  <c r="DQ166" i="20"/>
  <c r="DU166" i="20"/>
  <c r="DQ167" i="20"/>
  <c r="DU167" i="20"/>
  <c r="DQ142" i="20"/>
  <c r="DU142" i="20"/>
  <c r="DQ143" i="20"/>
  <c r="DU143" i="20"/>
  <c r="DQ144" i="20"/>
  <c r="DU144" i="20"/>
  <c r="DQ145" i="20"/>
  <c r="DU145" i="20"/>
  <c r="DQ146" i="20"/>
  <c r="DU146" i="20"/>
  <c r="DQ147" i="20"/>
  <c r="DU147" i="20"/>
  <c r="DQ148" i="20"/>
  <c r="DU148" i="20"/>
  <c r="DQ149" i="20"/>
  <c r="DU149" i="20"/>
  <c r="DQ150" i="20"/>
  <c r="DU150" i="20"/>
  <c r="DQ151" i="20"/>
  <c r="DU151" i="20"/>
  <c r="DQ152" i="20"/>
  <c r="DU152" i="20"/>
  <c r="DQ153" i="20"/>
  <c r="DU153" i="20"/>
  <c r="DQ154" i="20"/>
  <c r="DU154" i="20"/>
  <c r="DQ155" i="20"/>
  <c r="DU155" i="20"/>
  <c r="DQ156" i="20"/>
  <c r="DU156" i="20"/>
  <c r="DQ157" i="20"/>
  <c r="DU157" i="20"/>
  <c r="DQ158" i="20"/>
  <c r="DU158" i="20"/>
  <c r="DQ159" i="20"/>
  <c r="DU159" i="20"/>
  <c r="DQ160" i="20"/>
  <c r="DU160" i="20"/>
  <c r="DQ161" i="20"/>
  <c r="DU161" i="20"/>
  <c r="DQ162" i="20"/>
  <c r="DU162" i="20"/>
  <c r="DQ163" i="20"/>
  <c r="DU163" i="20"/>
  <c r="DQ164" i="20"/>
  <c r="DU164" i="20"/>
  <c r="DQ165" i="20"/>
  <c r="DU165" i="20"/>
  <c r="DQ120" i="20"/>
  <c r="DU120" i="20"/>
  <c r="DQ121" i="20"/>
  <c r="DU121" i="20"/>
  <c r="DQ122" i="20"/>
  <c r="DU122" i="20"/>
  <c r="DQ123" i="20"/>
  <c r="DU123" i="20"/>
  <c r="DQ124" i="20"/>
  <c r="DU124" i="20"/>
  <c r="DQ125" i="20"/>
  <c r="DU125" i="20"/>
  <c r="DQ126" i="20"/>
  <c r="DU126" i="20"/>
  <c r="DQ127" i="20"/>
  <c r="DU127" i="20"/>
  <c r="DQ128" i="20"/>
  <c r="DU128" i="20"/>
  <c r="DQ129" i="20"/>
  <c r="DU129" i="20"/>
  <c r="DQ130" i="20"/>
  <c r="DU130" i="20"/>
  <c r="DQ131" i="20"/>
  <c r="DU131" i="20"/>
  <c r="DQ132" i="20"/>
  <c r="DU132" i="20"/>
  <c r="DQ133" i="20"/>
  <c r="DU133" i="20"/>
  <c r="DQ134" i="20"/>
  <c r="DU134" i="20"/>
  <c r="DQ135" i="20"/>
  <c r="DU135" i="20"/>
  <c r="DQ136" i="20"/>
  <c r="DU136" i="20"/>
  <c r="DQ137" i="20"/>
  <c r="DU137" i="20"/>
  <c r="DQ138" i="20"/>
  <c r="DU138" i="20"/>
  <c r="DQ139" i="20"/>
  <c r="DU139" i="20"/>
  <c r="DR166" i="20"/>
  <c r="DV166" i="20"/>
  <c r="DR167" i="20"/>
  <c r="DV167" i="20"/>
  <c r="DR142" i="20"/>
  <c r="DV142" i="20"/>
  <c r="DR143" i="20"/>
  <c r="DV143" i="20"/>
  <c r="DR144" i="20"/>
  <c r="DV144" i="20"/>
  <c r="DR145" i="20"/>
  <c r="DV145" i="20"/>
  <c r="DR146" i="20"/>
  <c r="DV146" i="20"/>
  <c r="DR147" i="20"/>
  <c r="DV147" i="20"/>
  <c r="DR148" i="20"/>
  <c r="DV148" i="20"/>
  <c r="DR149" i="20"/>
  <c r="DV149" i="20"/>
  <c r="DR150" i="20"/>
  <c r="DV150" i="20"/>
  <c r="DR151" i="20"/>
  <c r="DV151" i="20"/>
  <c r="DR152" i="20"/>
  <c r="DV152" i="20"/>
  <c r="DR153" i="20"/>
  <c r="DV153" i="20"/>
  <c r="DR154" i="20"/>
  <c r="DV154" i="20"/>
  <c r="DR155" i="20"/>
  <c r="DV155" i="20"/>
  <c r="DR156" i="20"/>
  <c r="DV156" i="20"/>
  <c r="DR157" i="20"/>
  <c r="DV157" i="20"/>
  <c r="DR158" i="20"/>
  <c r="DV158" i="20"/>
  <c r="DR159" i="20"/>
  <c r="DV159" i="20"/>
  <c r="DR160" i="20"/>
  <c r="DV160" i="20"/>
  <c r="DR161" i="20"/>
  <c r="DV161" i="20"/>
  <c r="DO166" i="20"/>
  <c r="DS166" i="20"/>
  <c r="DO167" i="20"/>
  <c r="DS167" i="20"/>
  <c r="DO142" i="20"/>
  <c r="DS142" i="20"/>
  <c r="DO143" i="20"/>
  <c r="DS143" i="20"/>
  <c r="DO144" i="20"/>
  <c r="DS144" i="20"/>
  <c r="DO145" i="20"/>
  <c r="DS145" i="20"/>
  <c r="DO146" i="20"/>
  <c r="DS146" i="20"/>
  <c r="DO147" i="20"/>
  <c r="DS147" i="20"/>
  <c r="DO148" i="20"/>
  <c r="DS148" i="20"/>
  <c r="DO149" i="20"/>
  <c r="DS149" i="20"/>
  <c r="DO150" i="20"/>
  <c r="DS150" i="20"/>
  <c r="DO151" i="20"/>
  <c r="DS151" i="20"/>
  <c r="DO152" i="20"/>
  <c r="DS152" i="20"/>
  <c r="DO153" i="20"/>
  <c r="DS153" i="20"/>
  <c r="DO154" i="20"/>
  <c r="DS154" i="20"/>
  <c r="DO155" i="20"/>
  <c r="DS155" i="20"/>
  <c r="DO156" i="20"/>
  <c r="DS156" i="20"/>
  <c r="DO157" i="20"/>
  <c r="DS157" i="20"/>
  <c r="DO158" i="20"/>
  <c r="DS158" i="20"/>
  <c r="DO159" i="20"/>
  <c r="DS159" i="20"/>
  <c r="DO160" i="20"/>
  <c r="DS160" i="20"/>
  <c r="DO161" i="20"/>
  <c r="DS161" i="20"/>
  <c r="DO162" i="20"/>
  <c r="DS162" i="20"/>
  <c r="DO163" i="20"/>
  <c r="DS163" i="20"/>
  <c r="DO164" i="20"/>
  <c r="DS164" i="20"/>
  <c r="DO165" i="20"/>
  <c r="DS165" i="20"/>
  <c r="DO120" i="20"/>
  <c r="DS120" i="20"/>
  <c r="DO121" i="20"/>
  <c r="DS121" i="20"/>
  <c r="DO122" i="20"/>
  <c r="DS122" i="20"/>
  <c r="DO123" i="20"/>
  <c r="DP166" i="20"/>
  <c r="DT166" i="20"/>
  <c r="DP167" i="20"/>
  <c r="DT167" i="20"/>
  <c r="DP142" i="20"/>
  <c r="DT142" i="20"/>
  <c r="DP143" i="20"/>
  <c r="DT143" i="20"/>
  <c r="DP144" i="20"/>
  <c r="DT144" i="20"/>
  <c r="DP145" i="20"/>
  <c r="DT145" i="20"/>
  <c r="DP146" i="20"/>
  <c r="DT146" i="20"/>
  <c r="DP147" i="20"/>
  <c r="DT147" i="20"/>
  <c r="DP148" i="20"/>
  <c r="DT148" i="20"/>
  <c r="DP149" i="20"/>
  <c r="DT149" i="20"/>
  <c r="DP150" i="20"/>
  <c r="DT150" i="20"/>
  <c r="DP151" i="20"/>
  <c r="DT151" i="20"/>
  <c r="DP152" i="20"/>
  <c r="DT152" i="20"/>
  <c r="DP153" i="20"/>
  <c r="DT153" i="20"/>
  <c r="DP154" i="20"/>
  <c r="DT154" i="20"/>
  <c r="DP155" i="20"/>
  <c r="DT155" i="20"/>
  <c r="DP156" i="20"/>
  <c r="DT156" i="20"/>
  <c r="DP157" i="20"/>
  <c r="DT157" i="20"/>
  <c r="DP158" i="20"/>
  <c r="DT158" i="20"/>
  <c r="DP159" i="20"/>
  <c r="DT159" i="20"/>
  <c r="DP160" i="20"/>
  <c r="DT160" i="20"/>
  <c r="DP161" i="20"/>
  <c r="DT161" i="20"/>
  <c r="DP162" i="20"/>
  <c r="DT162" i="20"/>
  <c r="DP163" i="20"/>
  <c r="DT163" i="20"/>
  <c r="DP164" i="20"/>
  <c r="DT164" i="20"/>
  <c r="DP165" i="20"/>
  <c r="DT165" i="20"/>
  <c r="DP120" i="20"/>
  <c r="DT120" i="20"/>
  <c r="DP121" i="20"/>
  <c r="DT121" i="20"/>
  <c r="DP122" i="20"/>
  <c r="DT122" i="20"/>
  <c r="DP123" i="20"/>
  <c r="DT123" i="20"/>
  <c r="DP124" i="20"/>
  <c r="DT124" i="20"/>
  <c r="DP125" i="20"/>
  <c r="DT125" i="20"/>
  <c r="DP126" i="20"/>
  <c r="DT126" i="20"/>
  <c r="DP127" i="20"/>
  <c r="DT127" i="20"/>
  <c r="DP128" i="20"/>
  <c r="DT128" i="20"/>
  <c r="DP129" i="20"/>
  <c r="DT129" i="20"/>
  <c r="DP130" i="20"/>
  <c r="DT130" i="20"/>
  <c r="DP131" i="20"/>
  <c r="DT131" i="20"/>
  <c r="DP132" i="20"/>
  <c r="DT132" i="20"/>
  <c r="DP133" i="20"/>
  <c r="DT133" i="20"/>
  <c r="DP134" i="20"/>
  <c r="DT134" i="20"/>
  <c r="DP135" i="20"/>
  <c r="DT135" i="20"/>
  <c r="DP136" i="20"/>
  <c r="DT136" i="20"/>
  <c r="DP137" i="20"/>
  <c r="DT137" i="20"/>
  <c r="DP138" i="20"/>
  <c r="DT138" i="20"/>
  <c r="DP139" i="20"/>
  <c r="DT139" i="20"/>
  <c r="DP140" i="20"/>
  <c r="DT140" i="20"/>
  <c r="DP141" i="20"/>
  <c r="DT141" i="20"/>
  <c r="DP112" i="20"/>
  <c r="DV162" i="20"/>
  <c r="DV163" i="20"/>
  <c r="DV164" i="20"/>
  <c r="DV165" i="20"/>
  <c r="DV120" i="20"/>
  <c r="DV121" i="20"/>
  <c r="DV122" i="20"/>
  <c r="DS123" i="20"/>
  <c r="DS124" i="20"/>
  <c r="DS125" i="20"/>
  <c r="DS126" i="20"/>
  <c r="DS127" i="20"/>
  <c r="DS128" i="20"/>
  <c r="DS129" i="20"/>
  <c r="DS130" i="20"/>
  <c r="DS131" i="20"/>
  <c r="DS132" i="20"/>
  <c r="DS133" i="20"/>
  <c r="DS134" i="20"/>
  <c r="DS135" i="20"/>
  <c r="DS136" i="20"/>
  <c r="DS137" i="20"/>
  <c r="DS138" i="20"/>
  <c r="DS139" i="20"/>
  <c r="DO140" i="20"/>
  <c r="DU140" i="20"/>
  <c r="DO141" i="20"/>
  <c r="DU141" i="20"/>
  <c r="DO112" i="20"/>
  <c r="DT112" i="20"/>
  <c r="DP113" i="20"/>
  <c r="DT113" i="20"/>
  <c r="DP114" i="20"/>
  <c r="DT114" i="20"/>
  <c r="DP115" i="20"/>
  <c r="DT115" i="20"/>
  <c r="DP116" i="20"/>
  <c r="DT116" i="20"/>
  <c r="DP117" i="20"/>
  <c r="DT117" i="20"/>
  <c r="DP118" i="20"/>
  <c r="DT118" i="20"/>
  <c r="DP119" i="20"/>
  <c r="DT119" i="20"/>
  <c r="DP45" i="20"/>
  <c r="DT45" i="20"/>
  <c r="DP46" i="20"/>
  <c r="DT46" i="20"/>
  <c r="DP47" i="20"/>
  <c r="DT47" i="20"/>
  <c r="DP48" i="20"/>
  <c r="DT48" i="20"/>
  <c r="DP49" i="20"/>
  <c r="DT49" i="20"/>
  <c r="DP50" i="20"/>
  <c r="DT50" i="20"/>
  <c r="DP51" i="20"/>
  <c r="DT51" i="20"/>
  <c r="DP52" i="20"/>
  <c r="DT52" i="20"/>
  <c r="DP53" i="20"/>
  <c r="DT53" i="20"/>
  <c r="DP54" i="20"/>
  <c r="DT54" i="20"/>
  <c r="DP55" i="20"/>
  <c r="DT55" i="20"/>
  <c r="DP56" i="20"/>
  <c r="DT56" i="20"/>
  <c r="DP57" i="20"/>
  <c r="DT57" i="20"/>
  <c r="DP58" i="20"/>
  <c r="DT58" i="20"/>
  <c r="DP59" i="20"/>
  <c r="DT59" i="20"/>
  <c r="DP60" i="20"/>
  <c r="DT60" i="20"/>
  <c r="DP61" i="20"/>
  <c r="DT61" i="20"/>
  <c r="DP62" i="20"/>
  <c r="DT62" i="20"/>
  <c r="DP63" i="20"/>
  <c r="DT63" i="20"/>
  <c r="DP64" i="20"/>
  <c r="DT64" i="20"/>
  <c r="DP65" i="20"/>
  <c r="DT65" i="20"/>
  <c r="DP66" i="20"/>
  <c r="DT66" i="20"/>
  <c r="DP67" i="20"/>
  <c r="DT67" i="20"/>
  <c r="DP68" i="20"/>
  <c r="DT68" i="20"/>
  <c r="DP69" i="20"/>
  <c r="DT69" i="20"/>
  <c r="DP70" i="20"/>
  <c r="DT70" i="20"/>
  <c r="DP71" i="20"/>
  <c r="DT71" i="20"/>
  <c r="DP72" i="20"/>
  <c r="DT72" i="20"/>
  <c r="DP73" i="20"/>
  <c r="DT73" i="20"/>
  <c r="DP74" i="20"/>
  <c r="DT74" i="20"/>
  <c r="DP75" i="20"/>
  <c r="DT75" i="20"/>
  <c r="DP76" i="20"/>
  <c r="DT76" i="20"/>
  <c r="DP77" i="20"/>
  <c r="DT77" i="20"/>
  <c r="DP78" i="20"/>
  <c r="DT78" i="20"/>
  <c r="DP79" i="20"/>
  <c r="DT79" i="20"/>
  <c r="DP80" i="20"/>
  <c r="DT80" i="20"/>
  <c r="DP81" i="20"/>
  <c r="DT81" i="20"/>
  <c r="DP82" i="20"/>
  <c r="DT82" i="20"/>
  <c r="DP83" i="20"/>
  <c r="DT83" i="20"/>
  <c r="DP84" i="20"/>
  <c r="DT84" i="20"/>
  <c r="DP85" i="20"/>
  <c r="DT85" i="20"/>
  <c r="DP86" i="20"/>
  <c r="DT86" i="20"/>
  <c r="DP87" i="20"/>
  <c r="DT87" i="20"/>
  <c r="DP88" i="20"/>
  <c r="DT88" i="20"/>
  <c r="DP89" i="20"/>
  <c r="DT89" i="20"/>
  <c r="DP90" i="20"/>
  <c r="DT90" i="20"/>
  <c r="DP91" i="20"/>
  <c r="DT91" i="20"/>
  <c r="DP92" i="20"/>
  <c r="DT92" i="20"/>
  <c r="DP93" i="20"/>
  <c r="DT93" i="20"/>
  <c r="DP94" i="20"/>
  <c r="DT94" i="20"/>
  <c r="DP95" i="20"/>
  <c r="DT95" i="20"/>
  <c r="DP96" i="20"/>
  <c r="DT96" i="20"/>
  <c r="DP97" i="20"/>
  <c r="DT97" i="20"/>
  <c r="DP98" i="20"/>
  <c r="DT98" i="20"/>
  <c r="DP99" i="20"/>
  <c r="DT99" i="20"/>
  <c r="DP100" i="20"/>
  <c r="DT100" i="20"/>
  <c r="DP101" i="20"/>
  <c r="DT101" i="20"/>
  <c r="DP102" i="20"/>
  <c r="DT102" i="20"/>
  <c r="DP103" i="20"/>
  <c r="DT103" i="20"/>
  <c r="DP104" i="20"/>
  <c r="DT104" i="20"/>
  <c r="DP105" i="20"/>
  <c r="DT105" i="20"/>
  <c r="DP106" i="20"/>
  <c r="DT106" i="20"/>
  <c r="DP107" i="20"/>
  <c r="DT107" i="20"/>
  <c r="DP108" i="20"/>
  <c r="DT108" i="20"/>
  <c r="DP109" i="20"/>
  <c r="DT109" i="20"/>
  <c r="DP110" i="20"/>
  <c r="DT110" i="20"/>
  <c r="DP111" i="20"/>
  <c r="DT111" i="20"/>
  <c r="DP9" i="20"/>
  <c r="DT9" i="20"/>
  <c r="DP10" i="20"/>
  <c r="DT10" i="20"/>
  <c r="DP11" i="20"/>
  <c r="DT11" i="20"/>
  <c r="DP12" i="20"/>
  <c r="DT12" i="20"/>
  <c r="DP13" i="20"/>
  <c r="DT13" i="20"/>
  <c r="DP14" i="20"/>
  <c r="DT14" i="20"/>
  <c r="DP15" i="20"/>
  <c r="DT15" i="20"/>
  <c r="DP16" i="20"/>
  <c r="DT16" i="20"/>
  <c r="DP17" i="20"/>
  <c r="DT17" i="20"/>
  <c r="DP18" i="20"/>
  <c r="DT18" i="20"/>
  <c r="DP19" i="20"/>
  <c r="DT19" i="20"/>
  <c r="DP20" i="20"/>
  <c r="DT20" i="20"/>
  <c r="DP21" i="20"/>
  <c r="DT21" i="20"/>
  <c r="DP22" i="20"/>
  <c r="DT22" i="20"/>
  <c r="DP23" i="20"/>
  <c r="DT23" i="20"/>
  <c r="DP24" i="20"/>
  <c r="DT24" i="20"/>
  <c r="DP25" i="20"/>
  <c r="DT25" i="20"/>
  <c r="DP26" i="20"/>
  <c r="DT26" i="20"/>
  <c r="DP27" i="20"/>
  <c r="DT27" i="20"/>
  <c r="DP28" i="20"/>
  <c r="DT28" i="20"/>
  <c r="DP29" i="20"/>
  <c r="DT29" i="20"/>
  <c r="DP30" i="20"/>
  <c r="DT30" i="20"/>
  <c r="DP31" i="20"/>
  <c r="DT31" i="20"/>
  <c r="DP32" i="20"/>
  <c r="DT32" i="20"/>
  <c r="DP33" i="20"/>
  <c r="DT33" i="20"/>
  <c r="DP34" i="20"/>
  <c r="DT34" i="20"/>
  <c r="DP35" i="20"/>
  <c r="DT35" i="20"/>
  <c r="DP36" i="20"/>
  <c r="DT36" i="20"/>
  <c r="DP37" i="20"/>
  <c r="DT37" i="20"/>
  <c r="DP38" i="20"/>
  <c r="DT38" i="20"/>
  <c r="DP39" i="20"/>
  <c r="DT39" i="20"/>
  <c r="DP40" i="20"/>
  <c r="DT40" i="20"/>
  <c r="DP41" i="20"/>
  <c r="DT41" i="20"/>
  <c r="DP42" i="20"/>
  <c r="DT42" i="20"/>
  <c r="DP43" i="20"/>
  <c r="DT43" i="20"/>
  <c r="DP44" i="20"/>
  <c r="DT44" i="20"/>
  <c r="DV123" i="20"/>
  <c r="DV124" i="20"/>
  <c r="DV125" i="20"/>
  <c r="DV126" i="20"/>
  <c r="DV127" i="20"/>
  <c r="DV128" i="20"/>
  <c r="DV129" i="20"/>
  <c r="DV130" i="20"/>
  <c r="DV131" i="20"/>
  <c r="DV132" i="20"/>
  <c r="DV133" i="20"/>
  <c r="DV134" i="20"/>
  <c r="DV135" i="20"/>
  <c r="DV136" i="20"/>
  <c r="DV137" i="20"/>
  <c r="DV138" i="20"/>
  <c r="DV139" i="20"/>
  <c r="DQ140" i="20"/>
  <c r="DV140" i="20"/>
  <c r="DQ141" i="20"/>
  <c r="DV141" i="20"/>
  <c r="DQ112" i="20"/>
  <c r="DU112" i="20"/>
  <c r="DQ113" i="20"/>
  <c r="DU113" i="20"/>
  <c r="DQ114" i="20"/>
  <c r="DU114" i="20"/>
  <c r="DQ115" i="20"/>
  <c r="DU115" i="20"/>
  <c r="DQ116" i="20"/>
  <c r="DU116" i="20"/>
  <c r="DQ117" i="20"/>
  <c r="DU117" i="20"/>
  <c r="DQ118" i="20"/>
  <c r="DU118" i="20"/>
  <c r="DQ119" i="20"/>
  <c r="DU119" i="20"/>
  <c r="DQ45" i="20"/>
  <c r="DU45" i="20"/>
  <c r="DQ46" i="20"/>
  <c r="DU46" i="20"/>
  <c r="DQ47" i="20"/>
  <c r="DU47" i="20"/>
  <c r="DQ48" i="20"/>
  <c r="DU48" i="20"/>
  <c r="DQ49" i="20"/>
  <c r="DU49" i="20"/>
  <c r="DQ50" i="20"/>
  <c r="DU50" i="20"/>
  <c r="DQ51" i="20"/>
  <c r="DU51" i="20"/>
  <c r="DQ52" i="20"/>
  <c r="DU52" i="20"/>
  <c r="DQ53" i="20"/>
  <c r="DU53" i="20"/>
  <c r="DQ54" i="20"/>
  <c r="DU54" i="20"/>
  <c r="DQ55" i="20"/>
  <c r="DU55" i="20"/>
  <c r="DQ56" i="20"/>
  <c r="DU56" i="20"/>
  <c r="DQ57" i="20"/>
  <c r="DU57" i="20"/>
  <c r="DQ58" i="20"/>
  <c r="DU58" i="20"/>
  <c r="DQ59" i="20"/>
  <c r="DU59" i="20"/>
  <c r="DQ60" i="20"/>
  <c r="DU60" i="20"/>
  <c r="DQ61" i="20"/>
  <c r="DU61" i="20"/>
  <c r="DQ62" i="20"/>
  <c r="DU62" i="20"/>
  <c r="DQ63" i="20"/>
  <c r="DU63" i="20"/>
  <c r="DQ64" i="20"/>
  <c r="DU64" i="20"/>
  <c r="DQ65" i="20"/>
  <c r="DU65" i="20"/>
  <c r="DQ66" i="20"/>
  <c r="DU66" i="20"/>
  <c r="DQ67" i="20"/>
  <c r="DU67" i="20"/>
  <c r="DQ68" i="20"/>
  <c r="DU68" i="20"/>
  <c r="DQ69" i="20"/>
  <c r="DU69" i="20"/>
  <c r="DQ70" i="20"/>
  <c r="DU70" i="20"/>
  <c r="DQ71" i="20"/>
  <c r="DU71" i="20"/>
  <c r="DQ72" i="20"/>
  <c r="DU72" i="20"/>
  <c r="DQ73" i="20"/>
  <c r="DU73" i="20"/>
  <c r="DQ74" i="20"/>
  <c r="DU74" i="20"/>
  <c r="DQ75" i="20"/>
  <c r="DU75" i="20"/>
  <c r="DQ76" i="20"/>
  <c r="DU76" i="20"/>
  <c r="DQ77" i="20"/>
  <c r="DU77" i="20"/>
  <c r="DQ78" i="20"/>
  <c r="DU78" i="20"/>
  <c r="DQ79" i="20"/>
  <c r="DU79" i="20"/>
  <c r="DQ80" i="20"/>
  <c r="DU80" i="20"/>
  <c r="DQ81" i="20"/>
  <c r="DU81" i="20"/>
  <c r="DQ82" i="20"/>
  <c r="DU82" i="20"/>
  <c r="DQ83" i="20"/>
  <c r="DU83" i="20"/>
  <c r="DQ84" i="20"/>
  <c r="DU84" i="20"/>
  <c r="DQ85" i="20"/>
  <c r="DU85" i="20"/>
  <c r="DQ86" i="20"/>
  <c r="DU86" i="20"/>
  <c r="DQ87" i="20"/>
  <c r="DU87" i="20"/>
  <c r="DQ88" i="20"/>
  <c r="DU88" i="20"/>
  <c r="DQ89" i="20"/>
  <c r="DU89" i="20"/>
  <c r="DQ90" i="20"/>
  <c r="DU90" i="20"/>
  <c r="DQ91" i="20"/>
  <c r="DU91" i="20"/>
  <c r="DQ92" i="20"/>
  <c r="DU92" i="20"/>
  <c r="DQ93" i="20"/>
  <c r="DU93" i="20"/>
  <c r="DQ94" i="20"/>
  <c r="DU94" i="20"/>
  <c r="DQ95" i="20"/>
  <c r="DU95" i="20"/>
  <c r="DQ96" i="20"/>
  <c r="DU96" i="20"/>
  <c r="DQ97" i="20"/>
  <c r="DU97" i="20"/>
  <c r="DQ98" i="20"/>
  <c r="DU98" i="20"/>
  <c r="DQ99" i="20"/>
  <c r="DU99" i="20"/>
  <c r="DQ100" i="20"/>
  <c r="DU100" i="20"/>
  <c r="DQ101" i="20"/>
  <c r="DU101" i="20"/>
  <c r="DQ102" i="20"/>
  <c r="DU102" i="20"/>
  <c r="DQ103" i="20"/>
  <c r="DU103" i="20"/>
  <c r="DQ104" i="20"/>
  <c r="DU104" i="20"/>
  <c r="DQ105" i="20"/>
  <c r="DU105" i="20"/>
  <c r="DQ106" i="20"/>
  <c r="DU106" i="20"/>
  <c r="DQ107" i="20"/>
  <c r="DU107" i="20"/>
  <c r="DQ108" i="20"/>
  <c r="DU108" i="20"/>
  <c r="DQ109" i="20"/>
  <c r="DU109" i="20"/>
  <c r="DQ110" i="20"/>
  <c r="DU110" i="20"/>
  <c r="DQ111" i="20"/>
  <c r="DU111" i="20"/>
  <c r="DQ9" i="20"/>
  <c r="DU9" i="20"/>
  <c r="DQ10" i="20"/>
  <c r="DU10" i="20"/>
  <c r="DQ11" i="20"/>
  <c r="DU11" i="20"/>
  <c r="DQ12" i="20"/>
  <c r="DU12" i="20"/>
  <c r="DQ13" i="20"/>
  <c r="DU13" i="20"/>
  <c r="DQ14" i="20"/>
  <c r="DU14" i="20"/>
  <c r="DQ15" i="20"/>
  <c r="DU15" i="20"/>
  <c r="DQ16" i="20"/>
  <c r="DU16" i="20"/>
  <c r="DQ17" i="20"/>
  <c r="DU17" i="20"/>
  <c r="DQ18" i="20"/>
  <c r="DU18" i="20"/>
  <c r="DQ19" i="20"/>
  <c r="DU19" i="20"/>
  <c r="DQ20" i="20"/>
  <c r="DU20" i="20"/>
  <c r="DQ21" i="20"/>
  <c r="DU21" i="20"/>
  <c r="DQ22" i="20"/>
  <c r="DU22" i="20"/>
  <c r="DQ23" i="20"/>
  <c r="DU23" i="20"/>
  <c r="DQ24" i="20"/>
  <c r="DU24" i="20"/>
  <c r="DQ25" i="20"/>
  <c r="DU25" i="20"/>
  <c r="DQ26" i="20"/>
  <c r="DU26" i="20"/>
  <c r="DQ27" i="20"/>
  <c r="DU27" i="20"/>
  <c r="DQ28" i="20"/>
  <c r="DU28" i="20"/>
  <c r="DQ29" i="20"/>
  <c r="DU29" i="20"/>
  <c r="DQ30" i="20"/>
  <c r="DU30" i="20"/>
  <c r="DQ31" i="20"/>
  <c r="DU31" i="20"/>
  <c r="DQ32" i="20"/>
  <c r="DU32" i="20"/>
  <c r="DQ33" i="20"/>
  <c r="DU33" i="20"/>
  <c r="DQ34" i="20"/>
  <c r="DU34" i="20"/>
  <c r="DQ35" i="20"/>
  <c r="DU35" i="20"/>
  <c r="DQ36" i="20"/>
  <c r="DU36" i="20"/>
  <c r="DQ37" i="20"/>
  <c r="DU37" i="20"/>
  <c r="DQ38" i="20"/>
  <c r="DU38" i="20"/>
  <c r="DQ39" i="20"/>
  <c r="DU39" i="20"/>
  <c r="DQ40" i="20"/>
  <c r="DU40" i="20"/>
  <c r="DQ41" i="20"/>
  <c r="DU41" i="20"/>
  <c r="DQ42" i="20"/>
  <c r="DU42" i="20"/>
  <c r="DQ43" i="20"/>
  <c r="DU43" i="20"/>
  <c r="DQ44" i="20"/>
  <c r="DU44" i="20"/>
  <c r="DO124" i="20"/>
  <c r="DO125" i="20"/>
  <c r="DO126" i="20"/>
  <c r="DO127" i="20"/>
  <c r="DO128" i="20"/>
  <c r="DO129" i="20"/>
  <c r="DO130" i="20"/>
  <c r="DO131" i="20"/>
  <c r="DO132" i="20"/>
  <c r="DO133" i="20"/>
  <c r="DO134" i="20"/>
  <c r="DO135" i="20"/>
  <c r="DO136" i="20"/>
  <c r="DO137" i="20"/>
  <c r="DO138" i="20"/>
  <c r="DO139" i="20"/>
  <c r="DR140" i="20"/>
  <c r="DR141" i="20"/>
  <c r="DR112" i="20"/>
  <c r="DV112" i="20"/>
  <c r="DR113" i="20"/>
  <c r="DV113" i="20"/>
  <c r="DR114" i="20"/>
  <c r="DV114" i="20"/>
  <c r="DR115" i="20"/>
  <c r="DV115" i="20"/>
  <c r="DR116" i="20"/>
  <c r="DV116" i="20"/>
  <c r="DR117" i="20"/>
  <c r="DV117" i="20"/>
  <c r="DR118" i="20"/>
  <c r="DV118" i="20"/>
  <c r="DR119" i="20"/>
  <c r="DV119" i="20"/>
  <c r="DR45" i="20"/>
  <c r="DV45" i="20"/>
  <c r="DR46" i="20"/>
  <c r="DV46" i="20"/>
  <c r="DR47" i="20"/>
  <c r="DV47" i="20"/>
  <c r="DR48" i="20"/>
  <c r="DV48" i="20"/>
  <c r="DR49" i="20"/>
  <c r="DV49" i="20"/>
  <c r="DR50" i="20"/>
  <c r="DV50" i="20"/>
  <c r="DR51" i="20"/>
  <c r="DV51" i="20"/>
  <c r="DR52" i="20"/>
  <c r="DV52" i="20"/>
  <c r="DR53" i="20"/>
  <c r="DV53" i="20"/>
  <c r="DR54" i="20"/>
  <c r="DV54" i="20"/>
  <c r="DR55" i="20"/>
  <c r="DV55" i="20"/>
  <c r="DR56" i="20"/>
  <c r="DV56" i="20"/>
  <c r="DR57" i="20"/>
  <c r="DV57" i="20"/>
  <c r="DR58" i="20"/>
  <c r="DV58" i="20"/>
  <c r="DR59" i="20"/>
  <c r="DV59" i="20"/>
  <c r="DR60" i="20"/>
  <c r="DV60" i="20"/>
  <c r="DR61" i="20"/>
  <c r="DV61" i="20"/>
  <c r="DR62" i="20"/>
  <c r="DV62" i="20"/>
  <c r="DR63" i="20"/>
  <c r="DV63" i="20"/>
  <c r="DR64" i="20"/>
  <c r="DV64" i="20"/>
  <c r="DR65" i="20"/>
  <c r="DV65" i="20"/>
  <c r="DR66" i="20"/>
  <c r="DV66" i="20"/>
  <c r="DR67" i="20"/>
  <c r="DV67" i="20"/>
  <c r="DR68" i="20"/>
  <c r="DV68" i="20"/>
  <c r="DR69" i="20"/>
  <c r="DV69" i="20"/>
  <c r="DR70" i="20"/>
  <c r="DV70" i="20"/>
  <c r="DR71" i="20"/>
  <c r="DV71" i="20"/>
  <c r="DR72" i="20"/>
  <c r="DV72" i="20"/>
  <c r="DR73" i="20"/>
  <c r="DV73" i="20"/>
  <c r="DR74" i="20"/>
  <c r="DV74" i="20"/>
  <c r="DR75" i="20"/>
  <c r="DV75" i="20"/>
  <c r="DR76" i="20"/>
  <c r="DV76" i="20"/>
  <c r="DR77" i="20"/>
  <c r="DV77" i="20"/>
  <c r="DR78" i="20"/>
  <c r="DV78" i="20"/>
  <c r="DR79" i="20"/>
  <c r="DV79" i="20"/>
  <c r="DR80" i="20"/>
  <c r="DV80" i="20"/>
  <c r="DR81" i="20"/>
  <c r="DV81" i="20"/>
  <c r="DR82" i="20"/>
  <c r="DV82" i="20"/>
  <c r="DR83" i="20"/>
  <c r="DV83" i="20"/>
  <c r="DR84" i="20"/>
  <c r="DV84" i="20"/>
  <c r="DR85" i="20"/>
  <c r="DV85" i="20"/>
  <c r="DR86" i="20"/>
  <c r="DV86" i="20"/>
  <c r="DR87" i="20"/>
  <c r="DV87" i="20"/>
  <c r="DR88" i="20"/>
  <c r="DV88" i="20"/>
  <c r="DR89" i="20"/>
  <c r="DV89" i="20"/>
  <c r="DR90" i="20"/>
  <c r="DV90" i="20"/>
  <c r="DR91" i="20"/>
  <c r="DV91" i="20"/>
  <c r="DR92" i="20"/>
  <c r="DV92" i="20"/>
  <c r="DR93" i="20"/>
  <c r="DV93" i="20"/>
  <c r="DR94" i="20"/>
  <c r="DV94" i="20"/>
  <c r="DR95" i="20"/>
  <c r="DV95" i="20"/>
  <c r="DR96" i="20"/>
  <c r="DV96" i="20"/>
  <c r="DR97" i="20"/>
  <c r="DV97" i="20"/>
  <c r="DR98" i="20"/>
  <c r="DV98" i="20"/>
  <c r="DR99" i="20"/>
  <c r="DV99" i="20"/>
  <c r="DR100" i="20"/>
  <c r="DV100" i="20"/>
  <c r="DR101" i="20"/>
  <c r="DV101" i="20"/>
  <c r="DR102" i="20"/>
  <c r="DV102" i="20"/>
  <c r="DR103" i="20"/>
  <c r="DV103" i="20"/>
  <c r="DR104" i="20"/>
  <c r="DV104" i="20"/>
  <c r="DR105" i="20"/>
  <c r="DV105" i="20"/>
  <c r="DR106" i="20"/>
  <c r="DV106" i="20"/>
  <c r="DR107" i="20"/>
  <c r="DV107" i="20"/>
  <c r="DR108" i="20"/>
  <c r="DV108" i="20"/>
  <c r="DR109" i="20"/>
  <c r="DV109" i="20"/>
  <c r="DR110" i="20"/>
  <c r="DV110" i="20"/>
  <c r="DR111" i="20"/>
  <c r="DV111" i="20"/>
  <c r="DR9" i="20"/>
  <c r="DV9" i="20"/>
  <c r="DR10" i="20"/>
  <c r="DV10" i="20"/>
  <c r="DR11" i="20"/>
  <c r="DV11" i="20"/>
  <c r="DR12" i="20"/>
  <c r="DV12" i="20"/>
  <c r="DR13" i="20"/>
  <c r="DV13" i="20"/>
  <c r="DR14" i="20"/>
  <c r="DV14" i="20"/>
  <c r="DR15" i="20"/>
  <c r="DV15" i="20"/>
  <c r="DR16" i="20"/>
  <c r="DV16" i="20"/>
  <c r="DR17" i="20"/>
  <c r="DV17" i="20"/>
  <c r="DR18" i="20"/>
  <c r="DV18" i="20"/>
  <c r="DR19" i="20"/>
  <c r="DV19" i="20"/>
  <c r="DR20" i="20"/>
  <c r="DV20" i="20"/>
  <c r="DR21" i="20"/>
  <c r="DV21" i="20"/>
  <c r="DR22" i="20"/>
  <c r="DV22" i="20"/>
  <c r="DR23" i="20"/>
  <c r="DV23" i="20"/>
  <c r="DR24" i="20"/>
  <c r="DV24" i="20"/>
  <c r="DR25" i="20"/>
  <c r="DV25" i="20"/>
  <c r="DR26" i="20"/>
  <c r="DV26" i="20"/>
  <c r="DR27" i="20"/>
  <c r="DV27" i="20"/>
  <c r="DR28" i="20"/>
  <c r="DV28" i="20"/>
  <c r="DR29" i="20"/>
  <c r="DV29" i="20"/>
  <c r="DR30" i="20"/>
  <c r="DV30" i="20"/>
  <c r="DR31" i="20"/>
  <c r="DV31" i="20"/>
  <c r="DR32" i="20"/>
  <c r="DV32" i="20"/>
  <c r="DR33" i="20"/>
  <c r="DV33" i="20"/>
  <c r="DR34" i="20"/>
  <c r="DV34" i="20"/>
  <c r="DR35" i="20"/>
  <c r="DV35" i="20"/>
  <c r="DR36" i="20"/>
  <c r="DV36" i="20"/>
  <c r="DR37" i="20"/>
  <c r="DV37" i="20"/>
  <c r="DR38" i="20"/>
  <c r="DV38" i="20"/>
  <c r="DR39" i="20"/>
  <c r="DV39" i="20"/>
  <c r="DR40" i="20"/>
  <c r="DV40" i="20"/>
  <c r="DR41" i="20"/>
  <c r="DV41" i="20"/>
  <c r="DR42" i="20"/>
  <c r="DV42" i="20"/>
  <c r="DR43" i="20"/>
  <c r="DV43" i="20"/>
  <c r="DR44" i="20"/>
  <c r="DV44" i="20"/>
  <c r="DR162" i="20"/>
  <c r="DR163" i="20"/>
  <c r="DR164" i="20"/>
  <c r="DR165" i="20"/>
  <c r="DR120" i="20"/>
  <c r="DR121" i="20"/>
  <c r="DR122" i="20"/>
  <c r="DR123" i="20"/>
  <c r="DR124" i="20"/>
  <c r="DR125" i="20"/>
  <c r="DR126" i="20"/>
  <c r="DR127" i="20"/>
  <c r="DR128" i="20"/>
  <c r="DR129" i="20"/>
  <c r="DR130" i="20"/>
  <c r="DR131" i="20"/>
  <c r="DR132" i="20"/>
  <c r="DR133" i="20"/>
  <c r="DR134" i="20"/>
  <c r="DR135" i="20"/>
  <c r="DR136" i="20"/>
  <c r="DR137" i="20"/>
  <c r="DR138" i="20"/>
  <c r="DR139" i="20"/>
  <c r="DS140" i="20"/>
  <c r="DS141" i="20"/>
  <c r="DS112" i="20"/>
  <c r="DO113" i="20"/>
  <c r="DS113" i="20"/>
  <c r="DO114" i="20"/>
  <c r="DS114" i="20"/>
  <c r="DO115" i="20"/>
  <c r="DS115" i="20"/>
  <c r="DO116" i="20"/>
  <c r="DS116" i="20"/>
  <c r="DO117" i="20"/>
  <c r="DS117" i="20"/>
  <c r="DO118" i="20"/>
  <c r="DS118" i="20"/>
  <c r="DO119" i="20"/>
  <c r="DS119" i="20"/>
  <c r="DO45" i="20"/>
  <c r="DS45" i="20"/>
  <c r="DO46" i="20"/>
  <c r="DS46" i="20"/>
  <c r="DO47" i="20"/>
  <c r="DS47" i="20"/>
  <c r="DO48" i="20"/>
  <c r="DS48" i="20"/>
  <c r="DO49" i="20"/>
  <c r="DS49" i="20"/>
  <c r="DO50" i="20"/>
  <c r="DS50" i="20"/>
  <c r="DO51" i="20"/>
  <c r="DS51" i="20"/>
  <c r="DO52" i="20"/>
  <c r="DS52" i="20"/>
  <c r="DO53" i="20"/>
  <c r="DS53" i="20"/>
  <c r="DO54" i="20"/>
  <c r="DS54" i="20"/>
  <c r="DO55" i="20"/>
  <c r="DS55" i="20"/>
  <c r="DO56" i="20"/>
  <c r="DS56" i="20"/>
  <c r="DO57" i="20"/>
  <c r="DS57" i="20"/>
  <c r="DO58" i="20"/>
  <c r="DS58" i="20"/>
  <c r="DO59" i="20"/>
  <c r="DS59" i="20"/>
  <c r="DO60" i="20"/>
  <c r="DS60" i="20"/>
  <c r="DO61" i="20"/>
  <c r="DS61" i="20"/>
  <c r="DO62" i="20"/>
  <c r="DS62" i="20"/>
  <c r="DO63" i="20"/>
  <c r="DS63" i="20"/>
  <c r="DO64" i="20"/>
  <c r="DS64" i="20"/>
  <c r="DO65" i="20"/>
  <c r="DS65" i="20"/>
  <c r="DO66" i="20"/>
  <c r="DS66" i="20"/>
  <c r="DO67" i="20"/>
  <c r="DS67" i="20"/>
  <c r="DO68" i="20"/>
  <c r="DS68" i="20"/>
  <c r="DO69" i="20"/>
  <c r="DS69" i="20"/>
  <c r="DO70" i="20"/>
  <c r="DS70" i="20"/>
  <c r="DO71" i="20"/>
  <c r="DS71" i="20"/>
  <c r="DO72" i="20"/>
  <c r="DS72" i="20"/>
  <c r="DO73" i="20"/>
  <c r="DS73" i="20"/>
  <c r="DO74" i="20"/>
  <c r="DS74" i="20"/>
  <c r="DO75" i="20"/>
  <c r="DS75" i="20"/>
  <c r="DO76" i="20"/>
  <c r="DS76" i="20"/>
  <c r="DO77" i="20"/>
  <c r="DS77" i="20"/>
  <c r="DO78" i="20"/>
  <c r="DS78" i="20"/>
  <c r="DO79" i="20"/>
  <c r="DS79" i="20"/>
  <c r="DO80" i="20"/>
  <c r="DS80" i="20"/>
  <c r="DO81" i="20"/>
  <c r="DS81" i="20"/>
  <c r="DO82" i="20"/>
  <c r="DS82" i="20"/>
  <c r="DO83" i="20"/>
  <c r="DS83" i="20"/>
  <c r="DO84" i="20"/>
  <c r="DS84" i="20"/>
  <c r="DO85" i="20"/>
  <c r="DS85" i="20"/>
  <c r="DO86" i="20"/>
  <c r="DS86" i="20"/>
  <c r="DO87" i="20"/>
  <c r="DS87" i="20"/>
  <c r="DO88" i="20"/>
  <c r="DS88" i="20"/>
  <c r="DO89" i="20"/>
  <c r="DS89" i="20"/>
  <c r="DO90" i="20"/>
  <c r="DS90" i="20"/>
  <c r="DO91" i="20"/>
  <c r="DS91" i="20"/>
  <c r="DO92" i="20"/>
  <c r="DS92" i="20"/>
  <c r="DO93" i="20"/>
  <c r="DS93" i="20"/>
  <c r="DO94" i="20"/>
  <c r="DS94" i="20"/>
  <c r="DO95" i="20"/>
  <c r="DS95" i="20"/>
  <c r="DO96" i="20"/>
  <c r="DS96" i="20"/>
  <c r="DO97" i="20"/>
  <c r="DS97" i="20"/>
  <c r="DO98" i="20"/>
  <c r="DS98" i="20"/>
  <c r="DO99" i="20"/>
  <c r="DS99" i="20"/>
  <c r="DO100" i="20"/>
  <c r="DS100" i="20"/>
  <c r="DO101" i="20"/>
  <c r="DS101" i="20"/>
  <c r="DO102" i="20"/>
  <c r="DS102" i="20"/>
  <c r="DO103" i="20"/>
  <c r="DS103" i="20"/>
  <c r="DO104" i="20"/>
  <c r="DS104" i="20"/>
  <c r="DO105" i="20"/>
  <c r="DS105" i="20"/>
  <c r="DO106" i="20"/>
  <c r="DS106" i="20"/>
  <c r="DO107" i="20"/>
  <c r="DS107" i="20"/>
  <c r="DO108" i="20"/>
  <c r="DS108" i="20"/>
  <c r="DO109" i="20"/>
  <c r="DS109" i="20"/>
  <c r="DO110" i="20"/>
  <c r="DS110" i="20"/>
  <c r="DO111" i="20"/>
  <c r="DS111" i="20"/>
  <c r="DO9" i="20"/>
  <c r="DS9" i="20"/>
  <c r="DO10" i="20"/>
  <c r="DS10" i="20"/>
  <c r="DO11" i="20"/>
  <c r="DS11" i="20"/>
  <c r="DO12" i="20"/>
  <c r="DS12" i="20"/>
  <c r="DO13" i="20"/>
  <c r="DS13" i="20"/>
  <c r="DO14" i="20"/>
  <c r="DS14" i="20"/>
  <c r="DO15" i="20"/>
  <c r="DS15" i="20"/>
  <c r="DO16" i="20"/>
  <c r="DS16" i="20"/>
  <c r="DO17" i="20"/>
  <c r="DS17" i="20"/>
  <c r="DO18" i="20"/>
  <c r="DS18" i="20"/>
  <c r="DO19" i="20"/>
  <c r="DS19" i="20"/>
  <c r="DO20" i="20"/>
  <c r="DS20" i="20"/>
  <c r="DO21" i="20"/>
  <c r="DS21" i="20"/>
  <c r="DO22" i="20"/>
  <c r="DS22" i="20"/>
  <c r="DO23" i="20"/>
  <c r="DS23" i="20"/>
  <c r="DO24" i="20"/>
  <c r="DS24" i="20"/>
  <c r="DO25" i="20"/>
  <c r="DS25" i="20"/>
  <c r="DO26" i="20"/>
  <c r="DS26" i="20"/>
  <c r="DO27" i="20"/>
  <c r="DS27" i="20"/>
  <c r="DO28" i="20"/>
  <c r="DS28" i="20"/>
  <c r="DO29" i="20"/>
  <c r="DS29" i="20"/>
  <c r="DO30" i="20"/>
  <c r="DS30" i="20"/>
  <c r="DO31" i="20"/>
  <c r="DS31" i="20"/>
  <c r="DO32" i="20"/>
  <c r="DS32" i="20"/>
  <c r="DO33" i="20"/>
  <c r="DS33" i="20"/>
  <c r="DO34" i="20"/>
  <c r="DS34" i="20"/>
  <c r="DO35" i="20"/>
  <c r="DS35" i="20"/>
  <c r="DO36" i="20"/>
  <c r="DS36" i="20"/>
  <c r="DO37" i="20"/>
  <c r="DS37" i="20"/>
  <c r="DO38" i="20"/>
  <c r="DS38" i="20"/>
  <c r="DO39" i="20"/>
  <c r="DS39" i="20"/>
  <c r="DO40" i="20"/>
  <c r="DS40" i="20"/>
  <c r="DO41" i="20"/>
  <c r="DS41" i="20"/>
  <c r="DO42" i="20"/>
  <c r="DS42" i="20"/>
  <c r="DO43" i="20"/>
  <c r="DS43" i="20"/>
  <c r="DO44" i="20"/>
  <c r="DS44" i="20"/>
  <c r="AG66" i="19"/>
  <c r="DI110" i="19"/>
  <c r="DI112" i="19"/>
  <c r="DI114" i="19"/>
  <c r="DI116" i="19"/>
  <c r="DI118" i="19"/>
  <c r="DI120" i="19"/>
  <c r="DI122" i="19"/>
  <c r="DI124" i="19"/>
  <c r="DI126" i="19"/>
  <c r="DI9" i="19"/>
  <c r="DI11" i="19"/>
  <c r="DI13" i="19"/>
  <c r="DI15" i="19"/>
  <c r="DI17" i="19"/>
  <c r="DI19" i="19"/>
  <c r="DI21" i="19"/>
  <c r="DI23" i="19"/>
  <c r="DI25" i="19"/>
  <c r="DI27" i="19"/>
  <c r="DI29" i="19"/>
  <c r="DI31" i="19"/>
  <c r="DI33" i="19"/>
  <c r="DI35" i="19"/>
  <c r="DI37" i="19"/>
  <c r="DI39" i="19"/>
  <c r="DI41" i="19"/>
  <c r="DI43" i="19"/>
  <c r="DI45" i="19"/>
  <c r="DI47" i="19"/>
  <c r="DI49" i="19"/>
  <c r="DI51" i="19"/>
  <c r="DI53" i="19"/>
  <c r="DI55" i="19"/>
  <c r="DI57" i="19"/>
  <c r="DI59" i="19"/>
  <c r="DI61" i="19"/>
  <c r="DI63" i="19"/>
  <c r="DI65" i="19"/>
  <c r="DI67" i="19"/>
  <c r="DI69" i="19"/>
  <c r="DI71" i="19"/>
  <c r="DI73" i="19"/>
  <c r="DI75" i="19"/>
  <c r="DI77" i="19"/>
  <c r="DI79" i="19"/>
  <c r="DI81" i="19"/>
  <c r="DI83" i="19"/>
  <c r="DI85" i="19"/>
  <c r="DI87" i="19"/>
  <c r="DI89" i="19"/>
  <c r="DI91" i="19"/>
  <c r="DI93" i="19"/>
  <c r="DI95" i="19"/>
  <c r="DI97" i="19"/>
  <c r="DI99" i="19"/>
  <c r="DI101" i="19"/>
  <c r="DI103" i="19"/>
  <c r="DI105" i="19"/>
  <c r="DI107" i="19"/>
  <c r="DI109" i="19"/>
  <c r="EC127" i="19"/>
  <c r="EC125" i="19"/>
  <c r="EC112" i="19"/>
  <c r="EC114" i="19"/>
  <c r="EC116" i="19"/>
  <c r="EC118" i="19"/>
  <c r="EC120" i="19"/>
  <c r="EC122" i="19"/>
  <c r="EC97" i="19"/>
  <c r="EC99" i="19"/>
  <c r="EC101" i="19"/>
  <c r="EC103" i="19"/>
  <c r="EC105" i="19"/>
  <c r="EC107" i="19"/>
  <c r="EC109" i="19"/>
  <c r="EC111" i="19"/>
  <c r="EC10" i="19"/>
  <c r="EC12" i="19"/>
  <c r="EC14" i="19"/>
  <c r="EC16" i="19"/>
  <c r="EC18" i="19"/>
  <c r="EC20" i="19"/>
  <c r="EC22" i="19"/>
  <c r="EC24" i="19"/>
  <c r="EC26" i="19"/>
  <c r="EC28" i="19"/>
  <c r="EC30" i="19"/>
  <c r="EC32" i="19"/>
  <c r="EC34" i="19"/>
  <c r="EC36" i="19"/>
  <c r="EC38" i="19"/>
  <c r="EC40" i="19"/>
  <c r="EC42" i="19"/>
  <c r="EC44" i="19"/>
  <c r="EC46" i="19"/>
  <c r="EC48" i="19"/>
  <c r="EC50" i="19"/>
  <c r="EC52" i="19"/>
  <c r="EC54" i="19"/>
  <c r="EC56" i="19"/>
  <c r="EC58" i="19"/>
  <c r="EC60" i="19"/>
  <c r="EC62" i="19"/>
  <c r="EC64" i="19"/>
  <c r="EC66" i="19"/>
  <c r="EC68" i="19"/>
  <c r="EC70" i="19"/>
  <c r="EC72" i="19"/>
  <c r="EC74" i="19"/>
  <c r="EC76" i="19"/>
  <c r="EC78" i="19"/>
  <c r="EC80" i="19"/>
  <c r="EC82" i="19"/>
  <c r="EC84" i="19"/>
  <c r="EC86" i="19"/>
  <c r="EC88" i="19"/>
  <c r="EC90" i="19"/>
  <c r="EC92" i="19"/>
  <c r="EC94" i="19"/>
  <c r="EC96" i="19"/>
  <c r="DI111" i="19"/>
  <c r="DI113" i="19"/>
  <c r="DI115" i="19"/>
  <c r="DI117" i="19"/>
  <c r="DI119" i="19"/>
  <c r="DI121" i="19"/>
  <c r="DI123" i="19"/>
  <c r="DI125" i="19"/>
  <c r="DI127" i="19"/>
  <c r="DI10" i="19"/>
  <c r="DI12" i="19"/>
  <c r="DI14" i="19"/>
  <c r="DI16" i="19"/>
  <c r="DI18" i="19"/>
  <c r="DI20" i="19"/>
  <c r="DI22" i="19"/>
  <c r="DI24" i="19"/>
  <c r="DI26" i="19"/>
  <c r="DI28" i="19"/>
  <c r="DI30" i="19"/>
  <c r="DI32" i="19"/>
  <c r="DI34" i="19"/>
  <c r="DI36" i="19"/>
  <c r="DI38" i="19"/>
  <c r="DI40" i="19"/>
  <c r="DI42" i="19"/>
  <c r="DI44" i="19"/>
  <c r="DI46" i="19"/>
  <c r="DI48" i="19"/>
  <c r="DI50" i="19"/>
  <c r="DI52" i="19"/>
  <c r="DI54" i="19"/>
  <c r="DI56" i="19"/>
  <c r="DI58" i="19"/>
  <c r="DI60" i="19"/>
  <c r="DI62" i="19"/>
  <c r="DI64" i="19"/>
  <c r="DI66" i="19"/>
  <c r="DI68" i="19"/>
  <c r="DI70" i="19"/>
  <c r="DI72" i="19"/>
  <c r="DI74" i="19"/>
  <c r="DI76" i="19"/>
  <c r="DI78" i="19"/>
  <c r="DI80" i="19"/>
  <c r="DI82" i="19"/>
  <c r="DI84" i="19"/>
  <c r="DI86" i="19"/>
  <c r="DI88" i="19"/>
  <c r="DI90" i="19"/>
  <c r="DI92" i="19"/>
  <c r="DI94" i="19"/>
  <c r="DI96" i="19"/>
  <c r="DI98" i="19"/>
  <c r="DI100" i="19"/>
  <c r="DI102" i="19"/>
  <c r="DI104" i="19"/>
  <c r="DI106" i="19"/>
  <c r="DI108" i="19"/>
  <c r="EC124" i="19"/>
  <c r="EC126" i="19"/>
  <c r="EC113" i="19"/>
  <c r="EC115" i="19"/>
  <c r="EC117" i="19"/>
  <c r="EC119" i="19"/>
  <c r="EC121" i="19"/>
  <c r="EC123" i="19"/>
  <c r="EC98" i="19"/>
  <c r="EC100" i="19"/>
  <c r="EC102" i="19"/>
  <c r="EC104" i="19"/>
  <c r="EC106" i="19"/>
  <c r="EC108" i="19"/>
  <c r="EC110" i="19"/>
  <c r="EC9" i="19"/>
  <c r="EC11" i="19"/>
  <c r="EC13" i="19"/>
  <c r="EC15" i="19"/>
  <c r="EC17" i="19"/>
  <c r="EC19" i="19"/>
  <c r="EC21" i="19"/>
  <c r="EC23" i="19"/>
  <c r="EC25" i="19"/>
  <c r="EC27" i="19"/>
  <c r="EC29" i="19"/>
  <c r="EC31" i="19"/>
  <c r="EC33" i="19"/>
  <c r="EC35" i="19"/>
  <c r="EC37" i="19"/>
  <c r="EC39" i="19"/>
  <c r="EC41" i="19"/>
  <c r="EC43" i="19"/>
  <c r="EC45" i="19"/>
  <c r="EC47" i="19"/>
  <c r="EC49" i="19"/>
  <c r="EC51" i="19"/>
  <c r="EC53" i="19"/>
  <c r="EC55" i="19"/>
  <c r="EC57" i="19"/>
  <c r="EC59" i="19"/>
  <c r="EC61" i="19"/>
  <c r="EC63" i="19"/>
  <c r="EC65" i="19"/>
  <c r="EC67" i="19"/>
  <c r="EC69" i="19"/>
  <c r="EC71" i="19"/>
  <c r="EC73" i="19"/>
  <c r="EC75" i="19"/>
  <c r="EC77" i="19"/>
  <c r="EC79" i="19"/>
  <c r="EC81" i="19"/>
  <c r="EC83" i="19"/>
  <c r="EC85" i="19"/>
  <c r="EC87" i="19"/>
  <c r="EC89" i="19"/>
  <c r="EC91" i="19"/>
  <c r="EC93" i="19"/>
  <c r="EC95" i="19"/>
  <c r="CO83" i="19"/>
  <c r="CO22" i="19"/>
  <c r="CO24" i="19"/>
  <c r="CO26" i="19"/>
  <c r="CO10" i="19"/>
  <c r="CO12" i="19"/>
  <c r="CO14" i="19"/>
  <c r="CO16" i="19"/>
  <c r="CO18" i="19"/>
  <c r="CO20" i="19"/>
  <c r="BU107" i="19"/>
  <c r="BU109" i="19"/>
  <c r="BU111" i="19"/>
  <c r="BU113" i="19"/>
  <c r="BU115" i="19"/>
  <c r="BU117" i="19"/>
  <c r="BU119" i="19"/>
  <c r="BU121" i="19"/>
  <c r="BU123" i="19"/>
  <c r="BU125" i="19"/>
  <c r="BU127" i="19"/>
  <c r="BU10" i="19"/>
  <c r="BU12" i="19"/>
  <c r="BU14" i="19"/>
  <c r="BU16" i="19"/>
  <c r="BU18" i="19"/>
  <c r="BU20" i="19"/>
  <c r="BU22" i="19"/>
  <c r="BU24" i="19"/>
  <c r="BU26" i="19"/>
  <c r="BU28" i="19"/>
  <c r="BU30" i="19"/>
  <c r="BU32" i="19"/>
  <c r="BU34" i="19"/>
  <c r="BU36" i="19"/>
  <c r="BU38" i="19"/>
  <c r="BU40" i="19"/>
  <c r="BU42" i="19"/>
  <c r="BU44" i="19"/>
  <c r="BU46" i="19"/>
  <c r="BU48" i="19"/>
  <c r="BU50" i="19"/>
  <c r="BU52" i="19"/>
  <c r="BU54" i="19"/>
  <c r="BU56" i="19"/>
  <c r="BU58" i="19"/>
  <c r="BU60" i="19"/>
  <c r="BU62" i="19"/>
  <c r="BU64" i="19"/>
  <c r="BU66" i="19"/>
  <c r="BU68" i="19"/>
  <c r="BU70" i="19"/>
  <c r="BU72" i="19"/>
  <c r="BU74" i="19"/>
  <c r="BU76" i="19"/>
  <c r="BU78" i="19"/>
  <c r="BU80" i="19"/>
  <c r="BU82" i="19"/>
  <c r="BU84" i="19"/>
  <c r="BU86" i="19"/>
  <c r="BU88" i="19"/>
  <c r="BU90" i="19"/>
  <c r="BU92" i="19"/>
  <c r="BU94" i="19"/>
  <c r="BU96" i="19"/>
  <c r="BU98" i="19"/>
  <c r="BU100" i="19"/>
  <c r="BU102" i="19"/>
  <c r="BU104" i="19"/>
  <c r="BU106" i="19"/>
  <c r="BA12" i="19"/>
  <c r="BA14" i="19"/>
  <c r="BA16" i="19"/>
  <c r="BA18" i="19"/>
  <c r="BA20" i="19"/>
  <c r="BA22" i="19"/>
  <c r="BA24" i="19"/>
  <c r="BA26" i="19"/>
  <c r="BA28" i="19"/>
  <c r="BA30" i="19"/>
  <c r="BA32" i="19"/>
  <c r="BA34" i="19"/>
  <c r="BA36" i="19"/>
  <c r="BA38" i="19"/>
  <c r="BA40" i="19"/>
  <c r="BA42" i="19"/>
  <c r="BA44" i="19"/>
  <c r="BA46" i="19"/>
  <c r="BA48" i="19"/>
  <c r="BA50" i="19"/>
  <c r="BA52" i="19"/>
  <c r="BA54" i="19"/>
  <c r="BA56" i="19"/>
  <c r="BA58" i="19"/>
  <c r="BA60" i="19"/>
  <c r="BA62" i="19"/>
  <c r="BA64" i="19"/>
  <c r="BA66" i="19"/>
  <c r="BA68" i="19"/>
  <c r="BA70" i="19"/>
  <c r="BA72" i="19"/>
  <c r="BA74" i="19"/>
  <c r="BA76" i="19"/>
  <c r="BA78" i="19"/>
  <c r="CO95" i="19"/>
  <c r="CO97" i="19"/>
  <c r="CO99" i="19"/>
  <c r="CO101" i="19"/>
  <c r="CO103" i="19"/>
  <c r="CO105" i="19"/>
  <c r="CO107" i="19"/>
  <c r="CO109" i="19"/>
  <c r="CO111" i="19"/>
  <c r="CO113" i="19"/>
  <c r="CO115" i="19"/>
  <c r="CO117" i="19"/>
  <c r="CO119" i="19"/>
  <c r="CO121" i="19"/>
  <c r="CO123" i="19"/>
  <c r="CO125" i="19"/>
  <c r="CO127" i="19"/>
  <c r="CO85" i="19"/>
  <c r="CO87" i="19"/>
  <c r="CO89" i="19"/>
  <c r="CO91" i="19"/>
  <c r="CO93" i="19"/>
  <c r="CO27" i="19"/>
  <c r="CO29" i="19"/>
  <c r="CO31" i="19"/>
  <c r="CO33" i="19"/>
  <c r="CO35" i="19"/>
  <c r="CO37" i="19"/>
  <c r="CO39" i="19"/>
  <c r="CO41" i="19"/>
  <c r="CO43" i="19"/>
  <c r="CO82" i="19"/>
  <c r="CO21" i="19"/>
  <c r="CO23" i="19"/>
  <c r="CO25" i="19"/>
  <c r="CO9" i="19"/>
  <c r="CO11" i="19"/>
  <c r="CO13" i="19"/>
  <c r="CO15" i="19"/>
  <c r="CO17" i="19"/>
  <c r="CO19" i="19"/>
  <c r="BU108" i="19"/>
  <c r="BU110" i="19"/>
  <c r="BU112" i="19"/>
  <c r="BU114" i="19"/>
  <c r="BU116" i="19"/>
  <c r="BU118" i="19"/>
  <c r="BU120" i="19"/>
  <c r="BU122" i="19"/>
  <c r="BU124" i="19"/>
  <c r="BU126" i="19"/>
  <c r="BU9" i="19"/>
  <c r="BU11" i="19"/>
  <c r="BU13" i="19"/>
  <c r="BU15" i="19"/>
  <c r="BU17" i="19"/>
  <c r="BU19" i="19"/>
  <c r="BU21" i="19"/>
  <c r="BU23" i="19"/>
  <c r="BU25" i="19"/>
  <c r="BU27" i="19"/>
  <c r="BU29" i="19"/>
  <c r="BU31" i="19"/>
  <c r="BU33" i="19"/>
  <c r="BU35" i="19"/>
  <c r="BU37" i="19"/>
  <c r="BU39" i="19"/>
  <c r="BU41" i="19"/>
  <c r="BU43" i="19"/>
  <c r="BU45" i="19"/>
  <c r="BU47" i="19"/>
  <c r="BU49" i="19"/>
  <c r="BU51" i="19"/>
  <c r="BU53" i="19"/>
  <c r="BU55" i="19"/>
  <c r="BU57" i="19"/>
  <c r="BU59" i="19"/>
  <c r="BU61" i="19"/>
  <c r="BU63" i="19"/>
  <c r="BU65" i="19"/>
  <c r="BU67" i="19"/>
  <c r="BU69" i="19"/>
  <c r="BU71" i="19"/>
  <c r="BU73" i="19"/>
  <c r="BU75" i="19"/>
  <c r="BU77" i="19"/>
  <c r="BU79" i="19"/>
  <c r="BU81" i="19"/>
  <c r="BU83" i="19"/>
  <c r="BU85" i="19"/>
  <c r="BU87" i="19"/>
  <c r="BU89" i="19"/>
  <c r="BU91" i="19"/>
  <c r="BU93" i="19"/>
  <c r="BU95" i="19"/>
  <c r="BU97" i="19"/>
  <c r="BU99" i="19"/>
  <c r="BU101" i="19"/>
  <c r="BU103" i="19"/>
  <c r="BU105" i="19"/>
  <c r="CO96" i="19"/>
  <c r="CO98" i="19"/>
  <c r="CO100" i="19"/>
  <c r="CO102" i="19"/>
  <c r="CO104" i="19"/>
  <c r="CO106" i="19"/>
  <c r="CO108" i="19"/>
  <c r="CO110" i="19"/>
  <c r="CO112" i="19"/>
  <c r="CO114" i="19"/>
  <c r="CO116" i="19"/>
  <c r="CO118" i="19"/>
  <c r="CO120" i="19"/>
  <c r="CO122" i="19"/>
  <c r="CO124" i="19"/>
  <c r="CO126" i="19"/>
  <c r="CO84" i="19"/>
  <c r="CO86" i="19"/>
  <c r="CO88" i="19"/>
  <c r="CO90" i="19"/>
  <c r="CO92" i="19"/>
  <c r="CO94" i="19"/>
  <c r="CO28" i="19"/>
  <c r="CO30" i="19"/>
  <c r="CO32" i="19"/>
  <c r="CO34" i="19"/>
  <c r="CO36" i="19"/>
  <c r="CO38" i="19"/>
  <c r="CO40" i="19"/>
  <c r="CO42" i="19"/>
  <c r="CO44" i="19"/>
  <c r="CO46" i="19"/>
  <c r="CO48" i="19"/>
  <c r="CO50" i="19"/>
  <c r="CO52" i="19"/>
  <c r="CO54" i="19"/>
  <c r="CO56" i="19"/>
  <c r="CO58" i="19"/>
  <c r="CO60" i="19"/>
  <c r="CO62" i="19"/>
  <c r="CO64" i="19"/>
  <c r="CO66" i="19"/>
  <c r="CO68" i="19"/>
  <c r="CO70" i="19"/>
  <c r="CO72" i="19"/>
  <c r="CO74" i="19"/>
  <c r="CO76" i="19"/>
  <c r="CO78" i="19"/>
  <c r="CO80" i="19"/>
  <c r="BT107" i="19"/>
  <c r="BT109" i="19"/>
  <c r="BT111" i="19"/>
  <c r="BT113" i="19"/>
  <c r="BT115" i="19"/>
  <c r="BT117" i="19"/>
  <c r="BT119" i="19"/>
  <c r="BT121" i="19"/>
  <c r="BT123" i="19"/>
  <c r="BT125" i="19"/>
  <c r="BT127" i="19"/>
  <c r="BT10" i="19"/>
  <c r="BT12" i="19"/>
  <c r="BT14" i="19"/>
  <c r="BT16" i="19"/>
  <c r="BT18" i="19"/>
  <c r="BT20" i="19"/>
  <c r="BT22" i="19"/>
  <c r="BT24" i="19"/>
  <c r="BT26" i="19"/>
  <c r="BT28" i="19"/>
  <c r="BT30" i="19"/>
  <c r="BT32" i="19"/>
  <c r="BT34" i="19"/>
  <c r="BT36" i="19"/>
  <c r="BT38" i="19"/>
  <c r="BT40" i="19"/>
  <c r="BT42" i="19"/>
  <c r="BT44" i="19"/>
  <c r="BT46" i="19"/>
  <c r="BT48" i="19"/>
  <c r="BT50" i="19"/>
  <c r="BT52" i="19"/>
  <c r="BT54" i="19"/>
  <c r="BT56" i="19"/>
  <c r="BT58" i="19"/>
  <c r="BT60" i="19"/>
  <c r="BT62" i="19"/>
  <c r="BT64" i="19"/>
  <c r="BT66" i="19"/>
  <c r="BT68" i="19"/>
  <c r="BT70" i="19"/>
  <c r="BT72" i="19"/>
  <c r="BT74" i="19"/>
  <c r="BT76" i="19"/>
  <c r="BT78" i="19"/>
  <c r="BT80" i="19"/>
  <c r="BT82" i="19"/>
  <c r="BT84" i="19"/>
  <c r="BT86" i="19"/>
  <c r="BT88" i="19"/>
  <c r="BT90" i="19"/>
  <c r="BT92" i="19"/>
  <c r="BT94" i="19"/>
  <c r="BT96" i="19"/>
  <c r="BT98" i="19"/>
  <c r="BT100" i="19"/>
  <c r="BT102" i="19"/>
  <c r="BT104" i="19"/>
  <c r="BT106" i="19"/>
  <c r="CO49" i="19"/>
  <c r="CO57" i="19"/>
  <c r="CO65" i="19"/>
  <c r="CO73" i="19"/>
  <c r="CO81" i="19"/>
  <c r="BT108" i="19"/>
  <c r="BT116" i="19"/>
  <c r="BT124" i="19"/>
  <c r="BT13" i="19"/>
  <c r="BT21" i="19"/>
  <c r="BT29" i="19"/>
  <c r="BT37" i="19"/>
  <c r="BT45" i="19"/>
  <c r="BT53" i="19"/>
  <c r="BT61" i="19"/>
  <c r="BT69" i="19"/>
  <c r="BT77" i="19"/>
  <c r="BT85" i="19"/>
  <c r="BT93" i="19"/>
  <c r="BT101" i="19"/>
  <c r="BA15" i="19"/>
  <c r="BA19" i="19"/>
  <c r="BA23" i="19"/>
  <c r="BA27" i="19"/>
  <c r="BA31" i="19"/>
  <c r="BA35" i="19"/>
  <c r="BA39" i="19"/>
  <c r="BA43" i="19"/>
  <c r="BA47" i="19"/>
  <c r="BA51" i="19"/>
  <c r="BA55" i="19"/>
  <c r="BA59" i="19"/>
  <c r="BA63" i="19"/>
  <c r="BA67" i="19"/>
  <c r="BA71" i="19"/>
  <c r="BA75" i="19"/>
  <c r="CO71" i="19"/>
  <c r="CO79" i="19"/>
  <c r="BT43" i="19"/>
  <c r="BT51" i="19"/>
  <c r="BT59" i="19"/>
  <c r="BT67" i="19"/>
  <c r="BT75" i="19"/>
  <c r="BT83" i="19"/>
  <c r="BT91" i="19"/>
  <c r="BA80" i="19"/>
  <c r="BA82" i="19"/>
  <c r="BA102" i="19"/>
  <c r="BA112" i="19"/>
  <c r="BA120" i="19"/>
  <c r="BA122" i="19"/>
  <c r="CO51" i="19"/>
  <c r="CO59" i="19"/>
  <c r="CO67" i="19"/>
  <c r="CO75" i="19"/>
  <c r="BT110" i="19"/>
  <c r="BT118" i="19"/>
  <c r="BT126" i="19"/>
  <c r="BT15" i="19"/>
  <c r="BT23" i="19"/>
  <c r="BT31" i="19"/>
  <c r="BT39" i="19"/>
  <c r="BT47" i="19"/>
  <c r="BT55" i="19"/>
  <c r="BT63" i="19"/>
  <c r="BT71" i="19"/>
  <c r="BT79" i="19"/>
  <c r="BT87" i="19"/>
  <c r="BT95" i="19"/>
  <c r="BT103" i="19"/>
  <c r="BA79" i="19"/>
  <c r="BA81" i="19"/>
  <c r="BA83" i="19"/>
  <c r="BA85" i="19"/>
  <c r="BA87" i="19"/>
  <c r="BA89" i="19"/>
  <c r="BA91" i="19"/>
  <c r="BA93" i="19"/>
  <c r="BA95" i="19"/>
  <c r="BA97" i="19"/>
  <c r="BA99" i="19"/>
  <c r="BA101" i="19"/>
  <c r="BA103" i="19"/>
  <c r="BA105" i="19"/>
  <c r="BA107" i="19"/>
  <c r="BA109" i="19"/>
  <c r="BA111" i="19"/>
  <c r="BA113" i="19"/>
  <c r="BA115" i="19"/>
  <c r="BA117" i="19"/>
  <c r="BA119" i="19"/>
  <c r="BA121" i="19"/>
  <c r="BA123" i="19"/>
  <c r="BA125" i="19"/>
  <c r="BA127" i="19"/>
  <c r="CO47" i="19"/>
  <c r="CO63" i="19"/>
  <c r="BT114" i="19"/>
  <c r="BT122" i="19"/>
  <c r="BT11" i="19"/>
  <c r="BT19" i="19"/>
  <c r="BT27" i="19"/>
  <c r="BT99" i="19"/>
  <c r="BA86" i="19"/>
  <c r="BA88" i="19"/>
  <c r="BA90" i="19"/>
  <c r="BA94" i="19"/>
  <c r="BA96" i="19"/>
  <c r="BA98" i="19"/>
  <c r="BA104" i="19"/>
  <c r="BA108" i="19"/>
  <c r="BA110" i="19"/>
  <c r="BA116" i="19"/>
  <c r="BA118" i="19"/>
  <c r="BA126" i="19"/>
  <c r="CO45" i="19"/>
  <c r="CO53" i="19"/>
  <c r="CO61" i="19"/>
  <c r="CO69" i="19"/>
  <c r="CO77" i="19"/>
  <c r="BT112" i="19"/>
  <c r="BT120" i="19"/>
  <c r="BT9" i="19"/>
  <c r="BT17" i="19"/>
  <c r="BT25" i="19"/>
  <c r="BT33" i="19"/>
  <c r="BT41" i="19"/>
  <c r="BT49" i="19"/>
  <c r="BT57" i="19"/>
  <c r="BT65" i="19"/>
  <c r="BT73" i="19"/>
  <c r="BT81" i="19"/>
  <c r="BT89" i="19"/>
  <c r="BT97" i="19"/>
  <c r="BT105" i="19"/>
  <c r="BA13" i="19"/>
  <c r="BA17" i="19"/>
  <c r="BA21" i="19"/>
  <c r="BA25" i="19"/>
  <c r="BA29" i="19"/>
  <c r="BA33" i="19"/>
  <c r="BA37" i="19"/>
  <c r="BA41" i="19"/>
  <c r="BA45" i="19"/>
  <c r="BA49" i="19"/>
  <c r="BA53" i="19"/>
  <c r="BA57" i="19"/>
  <c r="BA61" i="19"/>
  <c r="BA65" i="19"/>
  <c r="BA69" i="19"/>
  <c r="BA73" i="19"/>
  <c r="BA77" i="19"/>
  <c r="CO55" i="19"/>
  <c r="BT35" i="19"/>
  <c r="BA84" i="19"/>
  <c r="BA92" i="19"/>
  <c r="BA100" i="19"/>
  <c r="BA106" i="19"/>
  <c r="BA114" i="19"/>
  <c r="BA124" i="19"/>
  <c r="DQ110" i="19"/>
  <c r="DQ112" i="19"/>
  <c r="DQ114" i="19"/>
  <c r="DQ116" i="19"/>
  <c r="DQ118" i="19"/>
  <c r="DQ120" i="19"/>
  <c r="DQ122" i="19"/>
  <c r="DQ124" i="19"/>
  <c r="DQ126" i="19"/>
  <c r="DQ9" i="19"/>
  <c r="DQ11" i="19"/>
  <c r="DQ13" i="19"/>
  <c r="DQ15" i="19"/>
  <c r="DQ17" i="19"/>
  <c r="DQ19" i="19"/>
  <c r="DQ21" i="19"/>
  <c r="DQ23" i="19"/>
  <c r="DQ25" i="19"/>
  <c r="DQ27" i="19"/>
  <c r="DQ29" i="19"/>
  <c r="DQ31" i="19"/>
  <c r="DQ33" i="19"/>
  <c r="DQ35" i="19"/>
  <c r="DQ37" i="19"/>
  <c r="DQ39" i="19"/>
  <c r="DQ41" i="19"/>
  <c r="DQ43" i="19"/>
  <c r="DQ45" i="19"/>
  <c r="DQ47" i="19"/>
  <c r="DQ49" i="19"/>
  <c r="DQ51" i="19"/>
  <c r="DQ53" i="19"/>
  <c r="DQ55" i="19"/>
  <c r="DQ57" i="19"/>
  <c r="DQ59" i="19"/>
  <c r="DQ61" i="19"/>
  <c r="DQ63" i="19"/>
  <c r="DQ65" i="19"/>
  <c r="DQ67" i="19"/>
  <c r="DQ69" i="19"/>
  <c r="DQ71" i="19"/>
  <c r="DQ73" i="19"/>
  <c r="DQ75" i="19"/>
  <c r="DQ77" i="19"/>
  <c r="DQ79" i="19"/>
  <c r="DQ81" i="19"/>
  <c r="DQ83" i="19"/>
  <c r="DQ85" i="19"/>
  <c r="DQ87" i="19"/>
  <c r="DQ89" i="19"/>
  <c r="DQ91" i="19"/>
  <c r="DQ93" i="19"/>
  <c r="DQ95" i="19"/>
  <c r="DQ97" i="19"/>
  <c r="DQ99" i="19"/>
  <c r="DQ101" i="19"/>
  <c r="DQ103" i="19"/>
  <c r="DQ105" i="19"/>
  <c r="DQ107" i="19"/>
  <c r="DQ109" i="19"/>
  <c r="EK127" i="19"/>
  <c r="EK125" i="19"/>
  <c r="EK112" i="19"/>
  <c r="EK114" i="19"/>
  <c r="EK116" i="19"/>
  <c r="EK118" i="19"/>
  <c r="EK120" i="19"/>
  <c r="EK122" i="19"/>
  <c r="EK97" i="19"/>
  <c r="EK99" i="19"/>
  <c r="EK101" i="19"/>
  <c r="EK103" i="19"/>
  <c r="EK105" i="19"/>
  <c r="EK107" i="19"/>
  <c r="EK109" i="19"/>
  <c r="EK111" i="19"/>
  <c r="EK10" i="19"/>
  <c r="EK12" i="19"/>
  <c r="EK14" i="19"/>
  <c r="EK16" i="19"/>
  <c r="EK18" i="19"/>
  <c r="EK20" i="19"/>
  <c r="EK22" i="19"/>
  <c r="EK24" i="19"/>
  <c r="EK26" i="19"/>
  <c r="EK28" i="19"/>
  <c r="EK30" i="19"/>
  <c r="EK32" i="19"/>
  <c r="EK34" i="19"/>
  <c r="EK36" i="19"/>
  <c r="EK38" i="19"/>
  <c r="EK40" i="19"/>
  <c r="EK42" i="19"/>
  <c r="EK44" i="19"/>
  <c r="EK46" i="19"/>
  <c r="EK48" i="19"/>
  <c r="EK50" i="19"/>
  <c r="EK52" i="19"/>
  <c r="EK54" i="19"/>
  <c r="EK56" i="19"/>
  <c r="EK58" i="19"/>
  <c r="EK60" i="19"/>
  <c r="EK62" i="19"/>
  <c r="EK64" i="19"/>
  <c r="EK66" i="19"/>
  <c r="EK68" i="19"/>
  <c r="EK70" i="19"/>
  <c r="EK72" i="19"/>
  <c r="EK74" i="19"/>
  <c r="EK76" i="19"/>
  <c r="EK78" i="19"/>
  <c r="EK80" i="19"/>
  <c r="EK82" i="19"/>
  <c r="EK84" i="19"/>
  <c r="EK86" i="19"/>
  <c r="EK88" i="19"/>
  <c r="EK90" i="19"/>
  <c r="EK92" i="19"/>
  <c r="EK94" i="19"/>
  <c r="EK96" i="19"/>
  <c r="DQ111" i="19"/>
  <c r="DQ113" i="19"/>
  <c r="DQ115" i="19"/>
  <c r="DQ117" i="19"/>
  <c r="DQ119" i="19"/>
  <c r="DQ121" i="19"/>
  <c r="DQ123" i="19"/>
  <c r="DQ125" i="19"/>
  <c r="DQ127" i="19"/>
  <c r="DQ10" i="19"/>
  <c r="DQ12" i="19"/>
  <c r="DQ14" i="19"/>
  <c r="DQ16" i="19"/>
  <c r="DQ18" i="19"/>
  <c r="DQ20" i="19"/>
  <c r="DQ22" i="19"/>
  <c r="DQ24" i="19"/>
  <c r="DQ26" i="19"/>
  <c r="DQ28" i="19"/>
  <c r="DQ30" i="19"/>
  <c r="DQ32" i="19"/>
  <c r="DQ34" i="19"/>
  <c r="DQ36" i="19"/>
  <c r="DQ38" i="19"/>
  <c r="DQ40" i="19"/>
  <c r="DQ42" i="19"/>
  <c r="DQ44" i="19"/>
  <c r="DQ46" i="19"/>
  <c r="DQ48" i="19"/>
  <c r="DQ50" i="19"/>
  <c r="DQ52" i="19"/>
  <c r="DQ54" i="19"/>
  <c r="DQ56" i="19"/>
  <c r="DQ58" i="19"/>
  <c r="DQ60" i="19"/>
  <c r="DQ62" i="19"/>
  <c r="DQ64" i="19"/>
  <c r="DQ66" i="19"/>
  <c r="DQ68" i="19"/>
  <c r="DQ70" i="19"/>
  <c r="DQ72" i="19"/>
  <c r="DQ74" i="19"/>
  <c r="DQ76" i="19"/>
  <c r="DQ78" i="19"/>
  <c r="DQ80" i="19"/>
  <c r="DQ82" i="19"/>
  <c r="DQ84" i="19"/>
  <c r="DQ86" i="19"/>
  <c r="DQ88" i="19"/>
  <c r="DQ90" i="19"/>
  <c r="DQ92" i="19"/>
  <c r="DQ94" i="19"/>
  <c r="DQ96" i="19"/>
  <c r="DQ98" i="19"/>
  <c r="DQ100" i="19"/>
  <c r="DQ102" i="19"/>
  <c r="DQ104" i="19"/>
  <c r="DQ106" i="19"/>
  <c r="DQ108" i="19"/>
  <c r="EK124" i="19"/>
  <c r="EK126" i="19"/>
  <c r="EK113" i="19"/>
  <c r="EK115" i="19"/>
  <c r="EK117" i="19"/>
  <c r="EK119" i="19"/>
  <c r="EK121" i="19"/>
  <c r="EK123" i="19"/>
  <c r="EK98" i="19"/>
  <c r="EK100" i="19"/>
  <c r="EK102" i="19"/>
  <c r="EK104" i="19"/>
  <c r="EK106" i="19"/>
  <c r="EK108" i="19"/>
  <c r="EK110" i="19"/>
  <c r="EK9" i="19"/>
  <c r="EK11" i="19"/>
  <c r="EK13" i="19"/>
  <c r="EK15" i="19"/>
  <c r="EK17" i="19"/>
  <c r="EK19" i="19"/>
  <c r="EK21" i="19"/>
  <c r="EK23" i="19"/>
  <c r="EK25" i="19"/>
  <c r="EK27" i="19"/>
  <c r="EK29" i="19"/>
  <c r="EK31" i="19"/>
  <c r="EK33" i="19"/>
  <c r="EK35" i="19"/>
  <c r="EK37" i="19"/>
  <c r="EK39" i="19"/>
  <c r="EK41" i="19"/>
  <c r="EK43" i="19"/>
  <c r="EK45" i="19"/>
  <c r="EK47" i="19"/>
  <c r="EK49" i="19"/>
  <c r="EK51" i="19"/>
  <c r="EK53" i="19"/>
  <c r="EK55" i="19"/>
  <c r="EK57" i="19"/>
  <c r="EK59" i="19"/>
  <c r="EK61" i="19"/>
  <c r="EK63" i="19"/>
  <c r="EK65" i="19"/>
  <c r="EK67" i="19"/>
  <c r="EK69" i="19"/>
  <c r="EK71" i="19"/>
  <c r="EK73" i="19"/>
  <c r="EK75" i="19"/>
  <c r="EK77" i="19"/>
  <c r="EK79" i="19"/>
  <c r="EK81" i="19"/>
  <c r="EK83" i="19"/>
  <c r="EK85" i="19"/>
  <c r="EK87" i="19"/>
  <c r="EK89" i="19"/>
  <c r="EK91" i="19"/>
  <c r="EK93" i="19"/>
  <c r="EK95" i="19"/>
  <c r="CW81" i="19"/>
  <c r="CW83" i="19"/>
  <c r="CW22" i="19"/>
  <c r="CW24" i="19"/>
  <c r="CW26" i="19"/>
  <c r="CW10" i="19"/>
  <c r="CW12" i="19"/>
  <c r="CW14" i="19"/>
  <c r="CW16" i="19"/>
  <c r="CW18" i="19"/>
  <c r="CW20" i="19"/>
  <c r="CC107" i="19"/>
  <c r="CC109" i="19"/>
  <c r="CC111" i="19"/>
  <c r="CC113" i="19"/>
  <c r="CC115" i="19"/>
  <c r="CC117" i="19"/>
  <c r="CC119" i="19"/>
  <c r="CC121" i="19"/>
  <c r="CC123" i="19"/>
  <c r="CC125" i="19"/>
  <c r="CC127" i="19"/>
  <c r="CC10" i="19"/>
  <c r="CC12" i="19"/>
  <c r="CC14" i="19"/>
  <c r="CC16" i="19"/>
  <c r="CC18" i="19"/>
  <c r="CC20" i="19"/>
  <c r="CC22" i="19"/>
  <c r="CC24" i="19"/>
  <c r="CC26" i="19"/>
  <c r="CC28" i="19"/>
  <c r="CC30" i="19"/>
  <c r="CC32" i="19"/>
  <c r="CC34" i="19"/>
  <c r="CC36" i="19"/>
  <c r="CC38" i="19"/>
  <c r="CC40" i="19"/>
  <c r="CC42" i="19"/>
  <c r="CC44" i="19"/>
  <c r="CC46" i="19"/>
  <c r="CC48" i="19"/>
  <c r="CC50" i="19"/>
  <c r="CC52" i="19"/>
  <c r="CC54" i="19"/>
  <c r="CC56" i="19"/>
  <c r="CC58" i="19"/>
  <c r="CC60" i="19"/>
  <c r="CC62" i="19"/>
  <c r="CC64" i="19"/>
  <c r="CC66" i="19"/>
  <c r="CC68" i="19"/>
  <c r="CC70" i="19"/>
  <c r="CC72" i="19"/>
  <c r="CC74" i="19"/>
  <c r="CC76" i="19"/>
  <c r="CC78" i="19"/>
  <c r="CC80" i="19"/>
  <c r="CC82" i="19"/>
  <c r="CC84" i="19"/>
  <c r="CC86" i="19"/>
  <c r="CC88" i="19"/>
  <c r="CC90" i="19"/>
  <c r="CC92" i="19"/>
  <c r="CC94" i="19"/>
  <c r="CC96" i="19"/>
  <c r="CC98" i="19"/>
  <c r="CC100" i="19"/>
  <c r="CC102" i="19"/>
  <c r="CC104" i="19"/>
  <c r="CC106" i="19"/>
  <c r="BI12" i="19"/>
  <c r="BI14" i="19"/>
  <c r="BI16" i="19"/>
  <c r="BI18" i="19"/>
  <c r="BI20" i="19"/>
  <c r="BI22" i="19"/>
  <c r="BI24" i="19"/>
  <c r="BI26" i="19"/>
  <c r="BI28" i="19"/>
  <c r="BI30" i="19"/>
  <c r="BI32" i="19"/>
  <c r="BI34" i="19"/>
  <c r="BI36" i="19"/>
  <c r="BI38" i="19"/>
  <c r="BI40" i="19"/>
  <c r="BI42" i="19"/>
  <c r="BI44" i="19"/>
  <c r="BI46" i="19"/>
  <c r="BI48" i="19"/>
  <c r="BI50" i="19"/>
  <c r="BI52" i="19"/>
  <c r="BI54" i="19"/>
  <c r="BI56" i="19"/>
  <c r="BI58" i="19"/>
  <c r="BI60" i="19"/>
  <c r="BI62" i="19"/>
  <c r="BI64" i="19"/>
  <c r="BI66" i="19"/>
  <c r="BI68" i="19"/>
  <c r="BI70" i="19"/>
  <c r="BI72" i="19"/>
  <c r="BI74" i="19"/>
  <c r="BI76" i="19"/>
  <c r="CW95" i="19"/>
  <c r="CW97" i="19"/>
  <c r="CW99" i="19"/>
  <c r="CW101" i="19"/>
  <c r="CW103" i="19"/>
  <c r="CW105" i="19"/>
  <c r="CW107" i="19"/>
  <c r="CW109" i="19"/>
  <c r="CW111" i="19"/>
  <c r="CW113" i="19"/>
  <c r="CW115" i="19"/>
  <c r="CW117" i="19"/>
  <c r="CW119" i="19"/>
  <c r="CW121" i="19"/>
  <c r="CW123" i="19"/>
  <c r="CW125" i="19"/>
  <c r="CW127" i="19"/>
  <c r="CW85" i="19"/>
  <c r="CW87" i="19"/>
  <c r="CW89" i="19"/>
  <c r="CW91" i="19"/>
  <c r="CW93" i="19"/>
  <c r="CW27" i="19"/>
  <c r="CW29" i="19"/>
  <c r="CW31" i="19"/>
  <c r="CW33" i="19"/>
  <c r="CW35" i="19"/>
  <c r="CW37" i="19"/>
  <c r="CW39" i="19"/>
  <c r="CW41" i="19"/>
  <c r="CW43" i="19"/>
  <c r="CW82" i="19"/>
  <c r="CW21" i="19"/>
  <c r="CW23" i="19"/>
  <c r="CW25" i="19"/>
  <c r="CW9" i="19"/>
  <c r="CW11" i="19"/>
  <c r="CW13" i="19"/>
  <c r="CW15" i="19"/>
  <c r="CW17" i="19"/>
  <c r="CW19" i="19"/>
  <c r="CC108" i="19"/>
  <c r="CC110" i="19"/>
  <c r="CC112" i="19"/>
  <c r="CC114" i="19"/>
  <c r="CC116" i="19"/>
  <c r="CC118" i="19"/>
  <c r="CC120" i="19"/>
  <c r="CC122" i="19"/>
  <c r="CC124" i="19"/>
  <c r="CC126" i="19"/>
  <c r="CC9" i="19"/>
  <c r="CC11" i="19"/>
  <c r="CC13" i="19"/>
  <c r="CC15" i="19"/>
  <c r="CC17" i="19"/>
  <c r="CC19" i="19"/>
  <c r="CC21" i="19"/>
  <c r="CC23" i="19"/>
  <c r="CC25" i="19"/>
  <c r="CC27" i="19"/>
  <c r="CC29" i="19"/>
  <c r="CC31" i="19"/>
  <c r="CC33" i="19"/>
  <c r="CC35" i="19"/>
  <c r="CC37" i="19"/>
  <c r="CC39" i="19"/>
  <c r="CC41" i="19"/>
  <c r="CC43" i="19"/>
  <c r="CC45" i="19"/>
  <c r="CC47" i="19"/>
  <c r="CC49" i="19"/>
  <c r="CC51" i="19"/>
  <c r="CC53" i="19"/>
  <c r="CC55" i="19"/>
  <c r="CC57" i="19"/>
  <c r="CC59" i="19"/>
  <c r="CC61" i="19"/>
  <c r="CC63" i="19"/>
  <c r="CC65" i="19"/>
  <c r="CC67" i="19"/>
  <c r="CC69" i="19"/>
  <c r="CC71" i="19"/>
  <c r="CC73" i="19"/>
  <c r="CC75" i="19"/>
  <c r="CC77" i="19"/>
  <c r="CC79" i="19"/>
  <c r="CC81" i="19"/>
  <c r="CC83" i="19"/>
  <c r="CC85" i="19"/>
  <c r="CC87" i="19"/>
  <c r="CC89" i="19"/>
  <c r="CC91" i="19"/>
  <c r="CC93" i="19"/>
  <c r="CC95" i="19"/>
  <c r="CC97" i="19"/>
  <c r="CC99" i="19"/>
  <c r="CC101" i="19"/>
  <c r="CC103" i="19"/>
  <c r="CC105" i="19"/>
  <c r="CW96" i="19"/>
  <c r="CW98" i="19"/>
  <c r="CW100" i="19"/>
  <c r="CW102" i="19"/>
  <c r="CW104" i="19"/>
  <c r="CW106" i="19"/>
  <c r="CW108" i="19"/>
  <c r="CW110" i="19"/>
  <c r="CW112" i="19"/>
  <c r="CW114" i="19"/>
  <c r="CW116" i="19"/>
  <c r="CW118" i="19"/>
  <c r="CW120" i="19"/>
  <c r="CW122" i="19"/>
  <c r="CW124" i="19"/>
  <c r="CW126" i="19"/>
  <c r="CW84" i="19"/>
  <c r="CW86" i="19"/>
  <c r="CW88" i="19"/>
  <c r="CW90" i="19"/>
  <c r="CW92" i="19"/>
  <c r="CW94" i="19"/>
  <c r="CW28" i="19"/>
  <c r="CW30" i="19"/>
  <c r="CW32" i="19"/>
  <c r="CW34" i="19"/>
  <c r="CW36" i="19"/>
  <c r="CW38" i="19"/>
  <c r="CW40" i="19"/>
  <c r="CW42" i="19"/>
  <c r="CW44" i="19"/>
  <c r="CW46" i="19"/>
  <c r="CW48" i="19"/>
  <c r="CW50" i="19"/>
  <c r="CW52" i="19"/>
  <c r="CW54" i="19"/>
  <c r="CW56" i="19"/>
  <c r="CW58" i="19"/>
  <c r="CW60" i="19"/>
  <c r="CW62" i="19"/>
  <c r="CW64" i="19"/>
  <c r="CW66" i="19"/>
  <c r="CW68" i="19"/>
  <c r="CW70" i="19"/>
  <c r="CW72" i="19"/>
  <c r="CW74" i="19"/>
  <c r="CW76" i="19"/>
  <c r="CW78" i="19"/>
  <c r="CW80" i="19"/>
  <c r="CW45" i="19"/>
  <c r="CW53" i="19"/>
  <c r="CW61" i="19"/>
  <c r="CW69" i="19"/>
  <c r="CW77" i="19"/>
  <c r="BI15" i="19"/>
  <c r="BI19" i="19"/>
  <c r="BI23" i="19"/>
  <c r="BI27" i="19"/>
  <c r="BI31" i="19"/>
  <c r="BI35" i="19"/>
  <c r="BI39" i="19"/>
  <c r="BI43" i="19"/>
  <c r="BI47" i="19"/>
  <c r="BI51" i="19"/>
  <c r="BI55" i="19"/>
  <c r="BI59" i="19"/>
  <c r="BI63" i="19"/>
  <c r="BI67" i="19"/>
  <c r="BI71" i="19"/>
  <c r="BI75" i="19"/>
  <c r="CW67" i="19"/>
  <c r="CW75" i="19"/>
  <c r="BI88" i="19"/>
  <c r="BI98" i="19"/>
  <c r="BI100" i="19"/>
  <c r="BI106" i="19"/>
  <c r="BI118" i="19"/>
  <c r="CW47" i="19"/>
  <c r="CW55" i="19"/>
  <c r="CW63" i="19"/>
  <c r="CW71" i="19"/>
  <c r="CW79" i="19"/>
  <c r="BI79" i="19"/>
  <c r="BI81" i="19"/>
  <c r="BI83" i="19"/>
  <c r="BI85" i="19"/>
  <c r="BI87" i="19"/>
  <c r="BI89" i="19"/>
  <c r="BI91" i="19"/>
  <c r="BI93" i="19"/>
  <c r="BI95" i="19"/>
  <c r="BI97" i="19"/>
  <c r="BI99" i="19"/>
  <c r="BI101" i="19"/>
  <c r="BI103" i="19"/>
  <c r="BI105" i="19"/>
  <c r="BI107" i="19"/>
  <c r="BI109" i="19"/>
  <c r="BI111" i="19"/>
  <c r="BI113" i="19"/>
  <c r="BI115" i="19"/>
  <c r="BI117" i="19"/>
  <c r="BI119" i="19"/>
  <c r="BI121" i="19"/>
  <c r="BI123" i="19"/>
  <c r="BI125" i="19"/>
  <c r="BI127" i="19"/>
  <c r="BI80" i="19"/>
  <c r="BI82" i="19"/>
  <c r="BI84" i="19"/>
  <c r="BI86" i="19"/>
  <c r="BI90" i="19"/>
  <c r="BI92" i="19"/>
  <c r="BI94" i="19"/>
  <c r="BI110" i="19"/>
  <c r="BI112" i="19"/>
  <c r="BI114" i="19"/>
  <c r="BI116" i="19"/>
  <c r="BI120" i="19"/>
  <c r="BI122" i="19"/>
  <c r="BI124" i="19"/>
  <c r="BI126" i="19"/>
  <c r="CW49" i="19"/>
  <c r="CW57" i="19"/>
  <c r="CW65" i="19"/>
  <c r="CW73" i="19"/>
  <c r="BI13" i="19"/>
  <c r="BI17" i="19"/>
  <c r="BI21" i="19"/>
  <c r="BI25" i="19"/>
  <c r="BI29" i="19"/>
  <c r="BI33" i="19"/>
  <c r="BI37" i="19"/>
  <c r="BI41" i="19"/>
  <c r="BI45" i="19"/>
  <c r="BI49" i="19"/>
  <c r="BI53" i="19"/>
  <c r="BI57" i="19"/>
  <c r="BI61" i="19"/>
  <c r="BI65" i="19"/>
  <c r="BI69" i="19"/>
  <c r="BI73" i="19"/>
  <c r="BI77" i="19"/>
  <c r="CW51" i="19"/>
  <c r="CW59" i="19"/>
  <c r="BI78" i="19"/>
  <c r="BI96" i="19"/>
  <c r="BI102" i="19"/>
  <c r="BI104" i="19"/>
  <c r="BI108" i="19"/>
  <c r="EW9" i="20"/>
  <c r="FA9" i="20"/>
  <c r="EW10" i="20"/>
  <c r="FA10" i="20"/>
  <c r="EW11" i="20"/>
  <c r="FA11" i="20"/>
  <c r="EX9" i="20"/>
  <c r="FB9" i="20"/>
  <c r="EX10" i="20"/>
  <c r="FB10" i="20"/>
  <c r="EX11" i="20"/>
  <c r="FB11" i="20"/>
  <c r="EX12" i="20"/>
  <c r="FB12" i="20"/>
  <c r="EX13" i="20"/>
  <c r="FB13" i="20"/>
  <c r="EX14" i="20"/>
  <c r="FB14" i="20"/>
  <c r="EX15" i="20"/>
  <c r="FB15" i="20"/>
  <c r="EX16" i="20"/>
  <c r="FB16" i="20"/>
  <c r="EX17" i="20"/>
  <c r="FB17" i="20"/>
  <c r="EX18" i="20"/>
  <c r="FB18" i="20"/>
  <c r="EX19" i="20"/>
  <c r="EV9" i="20"/>
  <c r="EZ9" i="20"/>
  <c r="EV10" i="20"/>
  <c r="EZ10" i="20"/>
  <c r="EV11" i="20"/>
  <c r="EZ11" i="20"/>
  <c r="EV12" i="20"/>
  <c r="EZ12" i="20"/>
  <c r="EV13" i="20"/>
  <c r="EZ13" i="20"/>
  <c r="EV14" i="20"/>
  <c r="EZ14" i="20"/>
  <c r="EV15" i="20"/>
  <c r="EZ15" i="20"/>
  <c r="EV16" i="20"/>
  <c r="EZ16" i="20"/>
  <c r="EV17" i="20"/>
  <c r="EZ17" i="20"/>
  <c r="EV18" i="20"/>
  <c r="EW12" i="20"/>
  <c r="EW13" i="20"/>
  <c r="EW14" i="20"/>
  <c r="EW15" i="20"/>
  <c r="EW16" i="20"/>
  <c r="EW17" i="20"/>
  <c r="EW18" i="20"/>
  <c r="EW19" i="20"/>
  <c r="FB19" i="20"/>
  <c r="EX20" i="20"/>
  <c r="FB20" i="20"/>
  <c r="EX21" i="20"/>
  <c r="FB21" i="20"/>
  <c r="EX22" i="20"/>
  <c r="FB22" i="20"/>
  <c r="EX23" i="20"/>
  <c r="FB23" i="20"/>
  <c r="EX24" i="20"/>
  <c r="FB24" i="20"/>
  <c r="EX25" i="20"/>
  <c r="FB25" i="20"/>
  <c r="EX26" i="20"/>
  <c r="FB26" i="20"/>
  <c r="EX27" i="20"/>
  <c r="FB27" i="20"/>
  <c r="EX28" i="20"/>
  <c r="FB28" i="20"/>
  <c r="EX29" i="20"/>
  <c r="FB29" i="20"/>
  <c r="EX30" i="20"/>
  <c r="FB30" i="20"/>
  <c r="EX31" i="20"/>
  <c r="FB31" i="20"/>
  <c r="EX32" i="20"/>
  <c r="FB32" i="20"/>
  <c r="EX33" i="20"/>
  <c r="FB33" i="20"/>
  <c r="EX34" i="20"/>
  <c r="FB34" i="20"/>
  <c r="EX35" i="20"/>
  <c r="FB35" i="20"/>
  <c r="EX36" i="20"/>
  <c r="FB36" i="20"/>
  <c r="EX37" i="20"/>
  <c r="FB37" i="20"/>
  <c r="EX38" i="20"/>
  <c r="FB38" i="20"/>
  <c r="EX39" i="20"/>
  <c r="FB39" i="20"/>
  <c r="EX40" i="20"/>
  <c r="FB40" i="20"/>
  <c r="EX41" i="20"/>
  <c r="FB41" i="20"/>
  <c r="EX42" i="20"/>
  <c r="FB42" i="20"/>
  <c r="EX43" i="20"/>
  <c r="FB43" i="20"/>
  <c r="EX44" i="20"/>
  <c r="FB44" i="20"/>
  <c r="EX45" i="20"/>
  <c r="FB45" i="20"/>
  <c r="EX46" i="20"/>
  <c r="FB46" i="20"/>
  <c r="EX47" i="20"/>
  <c r="FB47" i="20"/>
  <c r="EX48" i="20"/>
  <c r="FB48" i="20"/>
  <c r="EX49" i="20"/>
  <c r="FB49" i="20"/>
  <c r="EX50" i="20"/>
  <c r="FB50" i="20"/>
  <c r="EX51" i="20"/>
  <c r="FB51" i="20"/>
  <c r="EX52" i="20"/>
  <c r="FB52" i="20"/>
  <c r="EX53" i="20"/>
  <c r="FB53" i="20"/>
  <c r="EX54" i="20"/>
  <c r="FB54" i="20"/>
  <c r="EX55" i="20"/>
  <c r="FB55" i="20"/>
  <c r="EX56" i="20"/>
  <c r="FB56" i="20"/>
  <c r="EX57" i="20"/>
  <c r="FB57" i="20"/>
  <c r="EX58" i="20"/>
  <c r="FB58" i="20"/>
  <c r="EX59" i="20"/>
  <c r="FB59" i="20"/>
  <c r="EX60" i="20"/>
  <c r="FB60" i="20"/>
  <c r="EX61" i="20"/>
  <c r="FB61" i="20"/>
  <c r="EX62" i="20"/>
  <c r="FB62" i="20"/>
  <c r="EX63" i="20"/>
  <c r="FB63" i="20"/>
  <c r="EX64" i="20"/>
  <c r="FB64" i="20"/>
  <c r="EX65" i="20"/>
  <c r="FB65" i="20"/>
  <c r="EX66" i="20"/>
  <c r="FB66" i="20"/>
  <c r="EX67" i="20"/>
  <c r="FB67" i="20"/>
  <c r="EX68" i="20"/>
  <c r="FB68" i="20"/>
  <c r="EX69" i="20"/>
  <c r="FB69" i="20"/>
  <c r="EX70" i="20"/>
  <c r="FB70" i="20"/>
  <c r="EX71" i="20"/>
  <c r="FB71" i="20"/>
  <c r="EX72" i="20"/>
  <c r="FB72" i="20"/>
  <c r="EX73" i="20"/>
  <c r="FB73" i="20"/>
  <c r="EX74" i="20"/>
  <c r="FB74" i="20"/>
  <c r="EX75" i="20"/>
  <c r="FB75" i="20"/>
  <c r="EX76" i="20"/>
  <c r="FB76" i="20"/>
  <c r="EX77" i="20"/>
  <c r="FB77" i="20"/>
  <c r="EX78" i="20"/>
  <c r="FB78" i="20"/>
  <c r="EX79" i="20"/>
  <c r="FB79" i="20"/>
  <c r="EX80" i="20"/>
  <c r="FB80" i="20"/>
  <c r="EX81" i="20"/>
  <c r="FB81" i="20"/>
  <c r="EX82" i="20"/>
  <c r="FB82" i="20"/>
  <c r="EX83" i="20"/>
  <c r="FB83" i="20"/>
  <c r="EX84" i="20"/>
  <c r="FB84" i="20"/>
  <c r="EX85" i="20"/>
  <c r="FB85" i="20"/>
  <c r="EX86" i="20"/>
  <c r="FB86" i="20"/>
  <c r="EX87" i="20"/>
  <c r="FB87" i="20"/>
  <c r="EX88" i="20"/>
  <c r="FB88" i="20"/>
  <c r="EX89" i="20"/>
  <c r="FB89" i="20"/>
  <c r="EX90" i="20"/>
  <c r="FB90" i="20"/>
  <c r="EX91" i="20"/>
  <c r="FB91" i="20"/>
  <c r="EX92" i="20"/>
  <c r="FB92" i="20"/>
  <c r="EX93" i="20"/>
  <c r="FB93" i="20"/>
  <c r="EX94" i="20"/>
  <c r="FB94" i="20"/>
  <c r="EX95" i="20"/>
  <c r="FB95" i="20"/>
  <c r="EX96" i="20"/>
  <c r="FB96" i="20"/>
  <c r="EX97" i="20"/>
  <c r="FB97" i="20"/>
  <c r="EX98" i="20"/>
  <c r="FB98" i="20"/>
  <c r="EX99" i="20"/>
  <c r="FB99" i="20"/>
  <c r="EU9" i="20"/>
  <c r="EU10" i="20"/>
  <c r="EU11" i="20"/>
  <c r="EY12" i="20"/>
  <c r="EY13" i="20"/>
  <c r="EY14" i="20"/>
  <c r="EY15" i="20"/>
  <c r="EY16" i="20"/>
  <c r="EY17" i="20"/>
  <c r="EY18" i="20"/>
  <c r="EY19" i="20"/>
  <c r="EU20" i="20"/>
  <c r="EY20" i="20"/>
  <c r="EU21" i="20"/>
  <c r="EY21" i="20"/>
  <c r="EU22" i="20"/>
  <c r="EY22" i="20"/>
  <c r="EU23" i="20"/>
  <c r="EY23" i="20"/>
  <c r="EU24" i="20"/>
  <c r="EY24" i="20"/>
  <c r="EU25" i="20"/>
  <c r="EY25" i="20"/>
  <c r="EU26" i="20"/>
  <c r="EY26" i="20"/>
  <c r="EU27" i="20"/>
  <c r="EY27" i="20"/>
  <c r="EU28" i="20"/>
  <c r="EY28" i="20"/>
  <c r="EU29" i="20"/>
  <c r="EY29" i="20"/>
  <c r="EU30" i="20"/>
  <c r="EY30" i="20"/>
  <c r="EU31" i="20"/>
  <c r="EY31" i="20"/>
  <c r="EU32" i="20"/>
  <c r="EY32" i="20"/>
  <c r="EU33" i="20"/>
  <c r="EY33" i="20"/>
  <c r="EU34" i="20"/>
  <c r="EY34" i="20"/>
  <c r="EU35" i="20"/>
  <c r="EY35" i="20"/>
  <c r="EU36" i="20"/>
  <c r="EY36" i="20"/>
  <c r="EU37" i="20"/>
  <c r="EY37" i="20"/>
  <c r="EU38" i="20"/>
  <c r="EY38" i="20"/>
  <c r="EU39" i="20"/>
  <c r="EY39" i="20"/>
  <c r="EU40" i="20"/>
  <c r="EY40" i="20"/>
  <c r="EU41" i="20"/>
  <c r="EY41" i="20"/>
  <c r="EU42" i="20"/>
  <c r="EY42" i="20"/>
  <c r="EU43" i="20"/>
  <c r="EY43" i="20"/>
  <c r="EU44" i="20"/>
  <c r="EY44" i="20"/>
  <c r="EU45" i="20"/>
  <c r="EY45" i="20"/>
  <c r="EU46" i="20"/>
  <c r="EY46" i="20"/>
  <c r="EU47" i="20"/>
  <c r="EY47" i="20"/>
  <c r="EU48" i="20"/>
  <c r="EY48" i="20"/>
  <c r="EU49" i="20"/>
  <c r="EY49" i="20"/>
  <c r="EU50" i="20"/>
  <c r="EY50" i="20"/>
  <c r="EU51" i="20"/>
  <c r="EY51" i="20"/>
  <c r="EU52" i="20"/>
  <c r="EY52" i="20"/>
  <c r="EU53" i="20"/>
  <c r="EY53" i="20"/>
  <c r="EU54" i="20"/>
  <c r="EY54" i="20"/>
  <c r="EU55" i="20"/>
  <c r="EY55" i="20"/>
  <c r="EU56" i="20"/>
  <c r="EY56" i="20"/>
  <c r="EU57" i="20"/>
  <c r="EY57" i="20"/>
  <c r="EU58" i="20"/>
  <c r="EY58" i="20"/>
  <c r="EU59" i="20"/>
  <c r="EY59" i="20"/>
  <c r="EU60" i="20"/>
  <c r="EY60" i="20"/>
  <c r="EU61" i="20"/>
  <c r="EY61" i="20"/>
  <c r="EU62" i="20"/>
  <c r="EY62" i="20"/>
  <c r="EU63" i="20"/>
  <c r="EY63" i="20"/>
  <c r="EU64" i="20"/>
  <c r="EY64" i="20"/>
  <c r="EU65" i="20"/>
  <c r="EY65" i="20"/>
  <c r="EU66" i="20"/>
  <c r="EY66" i="20"/>
  <c r="EU67" i="20"/>
  <c r="EY67" i="20"/>
  <c r="EU68" i="20"/>
  <c r="EY68" i="20"/>
  <c r="EU69" i="20"/>
  <c r="EY69" i="20"/>
  <c r="EU70" i="20"/>
  <c r="EY70" i="20"/>
  <c r="EU71" i="20"/>
  <c r="EY71" i="20"/>
  <c r="EU72" i="20"/>
  <c r="EY72" i="20"/>
  <c r="EU73" i="20"/>
  <c r="EY73" i="20"/>
  <c r="EU74" i="20"/>
  <c r="EY74" i="20"/>
  <c r="EU75" i="20"/>
  <c r="EY75" i="20"/>
  <c r="EU76" i="20"/>
  <c r="EY76" i="20"/>
  <c r="EU77" i="20"/>
  <c r="EY77" i="20"/>
  <c r="EU78" i="20"/>
  <c r="EY78" i="20"/>
  <c r="EU79" i="20"/>
  <c r="EY79" i="20"/>
  <c r="EU80" i="20"/>
  <c r="EY80" i="20"/>
  <c r="EU81" i="20"/>
  <c r="EY81" i="20"/>
  <c r="EU82" i="20"/>
  <c r="EY82" i="20"/>
  <c r="EU83" i="20"/>
  <c r="EY83" i="20"/>
  <c r="EU84" i="20"/>
  <c r="EY84" i="20"/>
  <c r="EU85" i="20"/>
  <c r="EY85" i="20"/>
  <c r="EU86" i="20"/>
  <c r="EY86" i="20"/>
  <c r="EU87" i="20"/>
  <c r="EY87" i="20"/>
  <c r="EU88" i="20"/>
  <c r="EY88" i="20"/>
  <c r="EU89" i="20"/>
  <c r="EY89" i="20"/>
  <c r="EU90" i="20"/>
  <c r="EY90" i="20"/>
  <c r="EU91" i="20"/>
  <c r="EY91" i="20"/>
  <c r="EU92" i="20"/>
  <c r="EY92" i="20"/>
  <c r="EU93" i="20"/>
  <c r="EY93" i="20"/>
  <c r="EU94" i="20"/>
  <c r="EY94" i="20"/>
  <c r="EU95" i="20"/>
  <c r="EY95" i="20"/>
  <c r="EU96" i="20"/>
  <c r="EY96" i="20"/>
  <c r="EU97" i="20"/>
  <c r="EY97" i="20"/>
  <c r="EY9" i="20"/>
  <c r="EY10" i="20"/>
  <c r="EY11" i="20"/>
  <c r="FA12" i="20"/>
  <c r="FA13" i="20"/>
  <c r="FA14" i="20"/>
  <c r="FA15" i="20"/>
  <c r="FA16" i="20"/>
  <c r="FA17" i="20"/>
  <c r="EZ18" i="20"/>
  <c r="EU19" i="20"/>
  <c r="EZ19" i="20"/>
  <c r="EV20" i="20"/>
  <c r="EZ20" i="20"/>
  <c r="EV21" i="20"/>
  <c r="EZ21" i="20"/>
  <c r="EV22" i="20"/>
  <c r="EZ22" i="20"/>
  <c r="EV23" i="20"/>
  <c r="EZ23" i="20"/>
  <c r="EV24" i="20"/>
  <c r="EZ24" i="20"/>
  <c r="EV25" i="20"/>
  <c r="EZ25" i="20"/>
  <c r="EV26" i="20"/>
  <c r="EZ26" i="20"/>
  <c r="EV27" i="20"/>
  <c r="EZ27" i="20"/>
  <c r="EV28" i="20"/>
  <c r="EZ28" i="20"/>
  <c r="EV29" i="20"/>
  <c r="EZ29" i="20"/>
  <c r="EV30" i="20"/>
  <c r="EZ30" i="20"/>
  <c r="EV31" i="20"/>
  <c r="EZ31" i="20"/>
  <c r="EV32" i="20"/>
  <c r="EZ32" i="20"/>
  <c r="EV33" i="20"/>
  <c r="EZ33" i="20"/>
  <c r="EV34" i="20"/>
  <c r="EZ34" i="20"/>
  <c r="EV35" i="20"/>
  <c r="EZ35" i="20"/>
  <c r="EV36" i="20"/>
  <c r="EZ36" i="20"/>
  <c r="EV37" i="20"/>
  <c r="EZ37" i="20"/>
  <c r="EV38" i="20"/>
  <c r="EZ38" i="20"/>
  <c r="EV39" i="20"/>
  <c r="EZ39" i="20"/>
  <c r="EV40" i="20"/>
  <c r="EZ40" i="20"/>
  <c r="EV41" i="20"/>
  <c r="EZ41" i="20"/>
  <c r="EV42" i="20"/>
  <c r="EZ42" i="20"/>
  <c r="EV43" i="20"/>
  <c r="EZ43" i="20"/>
  <c r="EV44" i="20"/>
  <c r="EZ44" i="20"/>
  <c r="EV45" i="20"/>
  <c r="EZ45" i="20"/>
  <c r="EV46" i="20"/>
  <c r="EZ46" i="20"/>
  <c r="EV47" i="20"/>
  <c r="EZ47" i="20"/>
  <c r="EV48" i="20"/>
  <c r="EZ48" i="20"/>
  <c r="EV49" i="20"/>
  <c r="EZ49" i="20"/>
  <c r="EV50" i="20"/>
  <c r="EZ50" i="20"/>
  <c r="EV51" i="20"/>
  <c r="EZ51" i="20"/>
  <c r="EV52" i="20"/>
  <c r="EZ52" i="20"/>
  <c r="EV53" i="20"/>
  <c r="EZ53" i="20"/>
  <c r="EV54" i="20"/>
  <c r="EZ54" i="20"/>
  <c r="EV55" i="20"/>
  <c r="EZ55" i="20"/>
  <c r="EV56" i="20"/>
  <c r="EZ56" i="20"/>
  <c r="EV57" i="20"/>
  <c r="EZ57" i="20"/>
  <c r="EV58" i="20"/>
  <c r="EZ58" i="20"/>
  <c r="EV59" i="20"/>
  <c r="EZ59" i="20"/>
  <c r="EV60" i="20"/>
  <c r="EZ60" i="20"/>
  <c r="EV61" i="20"/>
  <c r="EZ61" i="20"/>
  <c r="EV62" i="20"/>
  <c r="EZ62" i="20"/>
  <c r="EV63" i="20"/>
  <c r="EZ63" i="20"/>
  <c r="EV64" i="20"/>
  <c r="EZ64" i="20"/>
  <c r="EV65" i="20"/>
  <c r="EZ65" i="20"/>
  <c r="EV66" i="20"/>
  <c r="EZ66" i="20"/>
  <c r="EV67" i="20"/>
  <c r="EZ67" i="20"/>
  <c r="EV68" i="20"/>
  <c r="EZ68" i="20"/>
  <c r="EV69" i="20"/>
  <c r="EZ69" i="20"/>
  <c r="EV70" i="20"/>
  <c r="EZ70" i="20"/>
  <c r="EV71" i="20"/>
  <c r="EZ71" i="20"/>
  <c r="EV72" i="20"/>
  <c r="EZ72" i="20"/>
  <c r="EV73" i="20"/>
  <c r="EZ73" i="20"/>
  <c r="EV74" i="20"/>
  <c r="EZ74" i="20"/>
  <c r="EV75" i="20"/>
  <c r="EZ75" i="20"/>
  <c r="EV76" i="20"/>
  <c r="EZ76" i="20"/>
  <c r="EV77" i="20"/>
  <c r="EZ77" i="20"/>
  <c r="EV78" i="20"/>
  <c r="EZ78" i="20"/>
  <c r="EV79" i="20"/>
  <c r="EZ79" i="20"/>
  <c r="EV80" i="20"/>
  <c r="EZ80" i="20"/>
  <c r="EV81" i="20"/>
  <c r="EZ81" i="20"/>
  <c r="EV82" i="20"/>
  <c r="EZ82" i="20"/>
  <c r="EV83" i="20"/>
  <c r="EZ83" i="20"/>
  <c r="EV84" i="20"/>
  <c r="EZ84" i="20"/>
  <c r="EV85" i="20"/>
  <c r="EZ85" i="20"/>
  <c r="EV86" i="20"/>
  <c r="EZ86" i="20"/>
  <c r="EV87" i="20"/>
  <c r="EZ87" i="20"/>
  <c r="EV88" i="20"/>
  <c r="EZ88" i="20"/>
  <c r="EV89" i="20"/>
  <c r="EZ89" i="20"/>
  <c r="EV90" i="20"/>
  <c r="EZ90" i="20"/>
  <c r="EV91" i="20"/>
  <c r="EZ91" i="20"/>
  <c r="EV92" i="20"/>
  <c r="EZ92" i="20"/>
  <c r="EV93" i="20"/>
  <c r="EZ93" i="20"/>
  <c r="EV94" i="20"/>
  <c r="EZ94" i="20"/>
  <c r="EV95" i="20"/>
  <c r="EZ95" i="20"/>
  <c r="EV96" i="20"/>
  <c r="EZ96" i="20"/>
  <c r="EV97" i="20"/>
  <c r="EZ97" i="20"/>
  <c r="EU12" i="20"/>
  <c r="EU13" i="20"/>
  <c r="EU14" i="20"/>
  <c r="EU15" i="20"/>
  <c r="EU16" i="20"/>
  <c r="EU17" i="20"/>
  <c r="EU18" i="20"/>
  <c r="FA18" i="20"/>
  <c r="EV19" i="20"/>
  <c r="FA19" i="20"/>
  <c r="EW20" i="20"/>
  <c r="FA20" i="20"/>
  <c r="EW21" i="20"/>
  <c r="FA21" i="20"/>
  <c r="EW22" i="20"/>
  <c r="FA22" i="20"/>
  <c r="EW23" i="20"/>
  <c r="FA23" i="20"/>
  <c r="EW24" i="20"/>
  <c r="FA24" i="20"/>
  <c r="EW25" i="20"/>
  <c r="FA25" i="20"/>
  <c r="EW26" i="20"/>
  <c r="FA26" i="20"/>
  <c r="EW27" i="20"/>
  <c r="FA27" i="20"/>
  <c r="EW28" i="20"/>
  <c r="FA28" i="20"/>
  <c r="EW29" i="20"/>
  <c r="FA29" i="20"/>
  <c r="EW30" i="20"/>
  <c r="FA30" i="20"/>
  <c r="EW31" i="20"/>
  <c r="FA31" i="20"/>
  <c r="EW32" i="20"/>
  <c r="FA32" i="20"/>
  <c r="EW33" i="20"/>
  <c r="FA33" i="20"/>
  <c r="EW34" i="20"/>
  <c r="FA34" i="20"/>
  <c r="EW35" i="20"/>
  <c r="FA35" i="20"/>
  <c r="EW36" i="20"/>
  <c r="FA36" i="20"/>
  <c r="EW37" i="20"/>
  <c r="FA37" i="20"/>
  <c r="EW38" i="20"/>
  <c r="FA38" i="20"/>
  <c r="EW39" i="20"/>
  <c r="FA39" i="20"/>
  <c r="EW40" i="20"/>
  <c r="FA40" i="20"/>
  <c r="EW41" i="20"/>
  <c r="FA41" i="20"/>
  <c r="EW42" i="20"/>
  <c r="FA42" i="20"/>
  <c r="EW43" i="20"/>
  <c r="FA43" i="20"/>
  <c r="EW44" i="20"/>
  <c r="FA44" i="20"/>
  <c r="EW45" i="20"/>
  <c r="FA45" i="20"/>
  <c r="EW46" i="20"/>
  <c r="FA46" i="20"/>
  <c r="EW47" i="20"/>
  <c r="FA47" i="20"/>
  <c r="EW48" i="20"/>
  <c r="FA48" i="20"/>
  <c r="EW49" i="20"/>
  <c r="FA49" i="20"/>
  <c r="EW50" i="20"/>
  <c r="FA50" i="20"/>
  <c r="EW51" i="20"/>
  <c r="FA51" i="20"/>
  <c r="EW52" i="20"/>
  <c r="FA52" i="20"/>
  <c r="EW53" i="20"/>
  <c r="FA53" i="20"/>
  <c r="EW54" i="20"/>
  <c r="FA54" i="20"/>
  <c r="EW55" i="20"/>
  <c r="FA55" i="20"/>
  <c r="EW56" i="20"/>
  <c r="FA56" i="20"/>
  <c r="EW57" i="20"/>
  <c r="FA57" i="20"/>
  <c r="EW58" i="20"/>
  <c r="FA58" i="20"/>
  <c r="EW59" i="20"/>
  <c r="FA59" i="20"/>
  <c r="EW60" i="20"/>
  <c r="FA60" i="20"/>
  <c r="EW61" i="20"/>
  <c r="FA61" i="20"/>
  <c r="EW62" i="20"/>
  <c r="FA62" i="20"/>
  <c r="EW63" i="20"/>
  <c r="FA63" i="20"/>
  <c r="EW64" i="20"/>
  <c r="FA64" i="20"/>
  <c r="EW65" i="20"/>
  <c r="FA65" i="20"/>
  <c r="EW66" i="20"/>
  <c r="FA66" i="20"/>
  <c r="EW67" i="20"/>
  <c r="FA67" i="20"/>
  <c r="EW68" i="20"/>
  <c r="FA68" i="20"/>
  <c r="EW69" i="20"/>
  <c r="FA69" i="20"/>
  <c r="EW70" i="20"/>
  <c r="FA70" i="20"/>
  <c r="EW71" i="20"/>
  <c r="FA71" i="20"/>
  <c r="EW72" i="20"/>
  <c r="FA72" i="20"/>
  <c r="EW73" i="20"/>
  <c r="FA73" i="20"/>
  <c r="EW74" i="20"/>
  <c r="FA74" i="20"/>
  <c r="EW75" i="20"/>
  <c r="FA75" i="20"/>
  <c r="EW76" i="20"/>
  <c r="FA76" i="20"/>
  <c r="EW77" i="20"/>
  <c r="FA77" i="20"/>
  <c r="EW78" i="20"/>
  <c r="FA78" i="20"/>
  <c r="EW79" i="20"/>
  <c r="FA79" i="20"/>
  <c r="EW80" i="20"/>
  <c r="FA80" i="20"/>
  <c r="EW81" i="20"/>
  <c r="FA81" i="20"/>
  <c r="EW82" i="20"/>
  <c r="FA82" i="20"/>
  <c r="EW83" i="20"/>
  <c r="FA83" i="20"/>
  <c r="EW84" i="20"/>
  <c r="FA84" i="20"/>
  <c r="EW85" i="20"/>
  <c r="FA85" i="20"/>
  <c r="EW86" i="20"/>
  <c r="FA86" i="20"/>
  <c r="EW87" i="20"/>
  <c r="FA87" i="20"/>
  <c r="EW88" i="20"/>
  <c r="FA88" i="20"/>
  <c r="EW89" i="20"/>
  <c r="FA89" i="20"/>
  <c r="EW90" i="20"/>
  <c r="FA90" i="20"/>
  <c r="EW91" i="20"/>
  <c r="FA91" i="20"/>
  <c r="EW92" i="20"/>
  <c r="FA92" i="20"/>
  <c r="EW93" i="20"/>
  <c r="FA93" i="20"/>
  <c r="EW94" i="20"/>
  <c r="FA94" i="20"/>
  <c r="EU98" i="20"/>
  <c r="EZ98" i="20"/>
  <c r="EU99" i="20"/>
  <c r="EZ99" i="20"/>
  <c r="EX100" i="20"/>
  <c r="FB100" i="20"/>
  <c r="EX101" i="20"/>
  <c r="FB101" i="20"/>
  <c r="EX102" i="20"/>
  <c r="FB102" i="20"/>
  <c r="EX103" i="20"/>
  <c r="FB103" i="20"/>
  <c r="EX104" i="20"/>
  <c r="FB104" i="20"/>
  <c r="EX105" i="20"/>
  <c r="FB105" i="20"/>
  <c r="EX106" i="20"/>
  <c r="FB106" i="20"/>
  <c r="EX107" i="20"/>
  <c r="FB107" i="20"/>
  <c r="EX108" i="20"/>
  <c r="FB108" i="20"/>
  <c r="EX109" i="20"/>
  <c r="FB109" i="20"/>
  <c r="EX110" i="20"/>
  <c r="FB110" i="20"/>
  <c r="EX111" i="20"/>
  <c r="FB111" i="20"/>
  <c r="EX112" i="20"/>
  <c r="FB112" i="20"/>
  <c r="EX113" i="20"/>
  <c r="FB113" i="20"/>
  <c r="EX114" i="20"/>
  <c r="FB114" i="20"/>
  <c r="EX115" i="20"/>
  <c r="FB115" i="20"/>
  <c r="EX116" i="20"/>
  <c r="FB116" i="20"/>
  <c r="EX117" i="20"/>
  <c r="FB117" i="20"/>
  <c r="EX118" i="20"/>
  <c r="FB118" i="20"/>
  <c r="EX119" i="20"/>
  <c r="FB119" i="20"/>
  <c r="EX120" i="20"/>
  <c r="FB120" i="20"/>
  <c r="EX121" i="20"/>
  <c r="FB121" i="20"/>
  <c r="EX122" i="20"/>
  <c r="FB122" i="20"/>
  <c r="EX123" i="20"/>
  <c r="FB123" i="20"/>
  <c r="EX124" i="20"/>
  <c r="FB124" i="20"/>
  <c r="EX125" i="20"/>
  <c r="FB125" i="20"/>
  <c r="EX126" i="20"/>
  <c r="FB126" i="20"/>
  <c r="EX127" i="20"/>
  <c r="FB127" i="20"/>
  <c r="EX128" i="20"/>
  <c r="FB128" i="20"/>
  <c r="EX129" i="20"/>
  <c r="FB129" i="20"/>
  <c r="EX130" i="20"/>
  <c r="FB130" i="20"/>
  <c r="EX131" i="20"/>
  <c r="FB131" i="20"/>
  <c r="EX132" i="20"/>
  <c r="FB132" i="20"/>
  <c r="EX133" i="20"/>
  <c r="FB133" i="20"/>
  <c r="EX134" i="20"/>
  <c r="FB134" i="20"/>
  <c r="EX135" i="20"/>
  <c r="FB135" i="20"/>
  <c r="EX136" i="20"/>
  <c r="FB136" i="20"/>
  <c r="EX137" i="20"/>
  <c r="FB137" i="20"/>
  <c r="EX138" i="20"/>
  <c r="FB138" i="20"/>
  <c r="EX139" i="20"/>
  <c r="FB139" i="20"/>
  <c r="EX140" i="20"/>
  <c r="FB140" i="20"/>
  <c r="EX141" i="20"/>
  <c r="FB141" i="20"/>
  <c r="EX142" i="20"/>
  <c r="FB142" i="20"/>
  <c r="EX143" i="20"/>
  <c r="FB143" i="20"/>
  <c r="EX144" i="20"/>
  <c r="FB144" i="20"/>
  <c r="EX145" i="20"/>
  <c r="FB145" i="20"/>
  <c r="EX146" i="20"/>
  <c r="FB146" i="20"/>
  <c r="EX147" i="20"/>
  <c r="FB147" i="20"/>
  <c r="EX148" i="20"/>
  <c r="FB148" i="20"/>
  <c r="EX149" i="20"/>
  <c r="FB149" i="20"/>
  <c r="EX150" i="20"/>
  <c r="FB150" i="20"/>
  <c r="EX151" i="20"/>
  <c r="FB151" i="20"/>
  <c r="EX152" i="20"/>
  <c r="FB152" i="20"/>
  <c r="EX153" i="20"/>
  <c r="FB153" i="20"/>
  <c r="EX154" i="20"/>
  <c r="FB154" i="20"/>
  <c r="EX155" i="20"/>
  <c r="FB155" i="20"/>
  <c r="EX156" i="20"/>
  <c r="FB156" i="20"/>
  <c r="EX157" i="20"/>
  <c r="FB157" i="20"/>
  <c r="EX158" i="20"/>
  <c r="FB158" i="20"/>
  <c r="EX159" i="20"/>
  <c r="FB159" i="20"/>
  <c r="EX160" i="20"/>
  <c r="FB160" i="20"/>
  <c r="EX161" i="20"/>
  <c r="FB161" i="20"/>
  <c r="EX162" i="20"/>
  <c r="FB162" i="20"/>
  <c r="EX163" i="20"/>
  <c r="FB163" i="20"/>
  <c r="EX164" i="20"/>
  <c r="FB164" i="20"/>
  <c r="EX165" i="20"/>
  <c r="FB165" i="20"/>
  <c r="EX166" i="20"/>
  <c r="FB166" i="20"/>
  <c r="EX167" i="20"/>
  <c r="FB167" i="20"/>
  <c r="EV98" i="20"/>
  <c r="FA98" i="20"/>
  <c r="EV99" i="20"/>
  <c r="FA99" i="20"/>
  <c r="EU100" i="20"/>
  <c r="EY100" i="20"/>
  <c r="EU101" i="20"/>
  <c r="EY101" i="20"/>
  <c r="EU102" i="20"/>
  <c r="EY102" i="20"/>
  <c r="EU103" i="20"/>
  <c r="EY103" i="20"/>
  <c r="EU104" i="20"/>
  <c r="EY104" i="20"/>
  <c r="EU105" i="20"/>
  <c r="EY105" i="20"/>
  <c r="EU106" i="20"/>
  <c r="EY106" i="20"/>
  <c r="EU107" i="20"/>
  <c r="EY107" i="20"/>
  <c r="EU108" i="20"/>
  <c r="EY108" i="20"/>
  <c r="EU109" i="20"/>
  <c r="EY109" i="20"/>
  <c r="EU110" i="20"/>
  <c r="EY110" i="20"/>
  <c r="EU111" i="20"/>
  <c r="EY111" i="20"/>
  <c r="EU112" i="20"/>
  <c r="EY112" i="20"/>
  <c r="EU113" i="20"/>
  <c r="EY113" i="20"/>
  <c r="EU114" i="20"/>
  <c r="EY114" i="20"/>
  <c r="EU115" i="20"/>
  <c r="EY115" i="20"/>
  <c r="EU116" i="20"/>
  <c r="EY116" i="20"/>
  <c r="EU117" i="20"/>
  <c r="EY117" i="20"/>
  <c r="EU118" i="20"/>
  <c r="EY118" i="20"/>
  <c r="EU119" i="20"/>
  <c r="EY119" i="20"/>
  <c r="EU120" i="20"/>
  <c r="EY120" i="20"/>
  <c r="EU121" i="20"/>
  <c r="EY121" i="20"/>
  <c r="EU122" i="20"/>
  <c r="EY122" i="20"/>
  <c r="EU123" i="20"/>
  <c r="EY123" i="20"/>
  <c r="EU124" i="20"/>
  <c r="EY124" i="20"/>
  <c r="EU125" i="20"/>
  <c r="EY125" i="20"/>
  <c r="EU126" i="20"/>
  <c r="EY126" i="20"/>
  <c r="EU127" i="20"/>
  <c r="EY127" i="20"/>
  <c r="EU128" i="20"/>
  <c r="EY128" i="20"/>
  <c r="EU129" i="20"/>
  <c r="EY129" i="20"/>
  <c r="EU130" i="20"/>
  <c r="EY130" i="20"/>
  <c r="EU131" i="20"/>
  <c r="EY131" i="20"/>
  <c r="EU132" i="20"/>
  <c r="EY132" i="20"/>
  <c r="EU133" i="20"/>
  <c r="EY133" i="20"/>
  <c r="EU134" i="20"/>
  <c r="EY134" i="20"/>
  <c r="EU135" i="20"/>
  <c r="EY135" i="20"/>
  <c r="EU136" i="20"/>
  <c r="EY136" i="20"/>
  <c r="EU137" i="20"/>
  <c r="EY137" i="20"/>
  <c r="EU138" i="20"/>
  <c r="EY138" i="20"/>
  <c r="EU139" i="20"/>
  <c r="EY139" i="20"/>
  <c r="EU140" i="20"/>
  <c r="EY140" i="20"/>
  <c r="EU141" i="20"/>
  <c r="EY141" i="20"/>
  <c r="EU142" i="20"/>
  <c r="EY142" i="20"/>
  <c r="EU143" i="20"/>
  <c r="EY143" i="20"/>
  <c r="EU144" i="20"/>
  <c r="EY144" i="20"/>
  <c r="EU145" i="20"/>
  <c r="EY145" i="20"/>
  <c r="EU146" i="20"/>
  <c r="EY146" i="20"/>
  <c r="EU147" i="20"/>
  <c r="EY147" i="20"/>
  <c r="EU148" i="20"/>
  <c r="EY148" i="20"/>
  <c r="EU149" i="20"/>
  <c r="EY149" i="20"/>
  <c r="EU150" i="20"/>
  <c r="EY150" i="20"/>
  <c r="EU151" i="20"/>
  <c r="EY151" i="20"/>
  <c r="EU152" i="20"/>
  <c r="EY152" i="20"/>
  <c r="EU153" i="20"/>
  <c r="EY153" i="20"/>
  <c r="EU154" i="20"/>
  <c r="EY154" i="20"/>
  <c r="EU155" i="20"/>
  <c r="EY155" i="20"/>
  <c r="EU156" i="20"/>
  <c r="EY156" i="20"/>
  <c r="EU157" i="20"/>
  <c r="EY157" i="20"/>
  <c r="EU158" i="20"/>
  <c r="EY158" i="20"/>
  <c r="EU159" i="20"/>
  <c r="EY159" i="20"/>
  <c r="EU160" i="20"/>
  <c r="EY160" i="20"/>
  <c r="EU161" i="20"/>
  <c r="EY161" i="20"/>
  <c r="EW95" i="20"/>
  <c r="EW96" i="20"/>
  <c r="EW97" i="20"/>
  <c r="EW98" i="20"/>
  <c r="EW99" i="20"/>
  <c r="EV100" i="20"/>
  <c r="EZ100" i="20"/>
  <c r="EV101" i="20"/>
  <c r="EZ101" i="20"/>
  <c r="EV102" i="20"/>
  <c r="EZ102" i="20"/>
  <c r="EV103" i="20"/>
  <c r="EZ103" i="20"/>
  <c r="EV104" i="20"/>
  <c r="EZ104" i="20"/>
  <c r="EV105" i="20"/>
  <c r="EZ105" i="20"/>
  <c r="EV106" i="20"/>
  <c r="EZ106" i="20"/>
  <c r="EV107" i="20"/>
  <c r="EZ107" i="20"/>
  <c r="EV108" i="20"/>
  <c r="EZ108" i="20"/>
  <c r="EV109" i="20"/>
  <c r="EZ109" i="20"/>
  <c r="EV110" i="20"/>
  <c r="EZ110" i="20"/>
  <c r="EV111" i="20"/>
  <c r="EZ111" i="20"/>
  <c r="EV112" i="20"/>
  <c r="EZ112" i="20"/>
  <c r="EV113" i="20"/>
  <c r="EZ113" i="20"/>
  <c r="EV114" i="20"/>
  <c r="EZ114" i="20"/>
  <c r="EV115" i="20"/>
  <c r="EZ115" i="20"/>
  <c r="EV116" i="20"/>
  <c r="EZ116" i="20"/>
  <c r="EV117" i="20"/>
  <c r="EZ117" i="20"/>
  <c r="EV118" i="20"/>
  <c r="EZ118" i="20"/>
  <c r="EV119" i="20"/>
  <c r="EZ119" i="20"/>
  <c r="EV120" i="20"/>
  <c r="EZ120" i="20"/>
  <c r="EV121" i="20"/>
  <c r="EZ121" i="20"/>
  <c r="EV122" i="20"/>
  <c r="EZ122" i="20"/>
  <c r="EV123" i="20"/>
  <c r="EZ123" i="20"/>
  <c r="EV124" i="20"/>
  <c r="EZ124" i="20"/>
  <c r="EV125" i="20"/>
  <c r="EZ125" i="20"/>
  <c r="EV126" i="20"/>
  <c r="EZ126" i="20"/>
  <c r="EV127" i="20"/>
  <c r="EZ127" i="20"/>
  <c r="EV128" i="20"/>
  <c r="EZ128" i="20"/>
  <c r="EV129" i="20"/>
  <c r="EZ129" i="20"/>
  <c r="EV130" i="20"/>
  <c r="EZ130" i="20"/>
  <c r="EV131" i="20"/>
  <c r="EZ131" i="20"/>
  <c r="EV132" i="20"/>
  <c r="EZ132" i="20"/>
  <c r="EV133" i="20"/>
  <c r="EZ133" i="20"/>
  <c r="EV134" i="20"/>
  <c r="EZ134" i="20"/>
  <c r="EV135" i="20"/>
  <c r="EZ135" i="20"/>
  <c r="EV136" i="20"/>
  <c r="EZ136" i="20"/>
  <c r="EV137" i="20"/>
  <c r="EZ137" i="20"/>
  <c r="EV138" i="20"/>
  <c r="EZ138" i="20"/>
  <c r="EV139" i="20"/>
  <c r="EZ139" i="20"/>
  <c r="EV140" i="20"/>
  <c r="EZ140" i="20"/>
  <c r="EV141" i="20"/>
  <c r="EZ141" i="20"/>
  <c r="EV142" i="20"/>
  <c r="EZ142" i="20"/>
  <c r="EV143" i="20"/>
  <c r="EZ143" i="20"/>
  <c r="EV144" i="20"/>
  <c r="EZ144" i="20"/>
  <c r="EV145" i="20"/>
  <c r="EZ145" i="20"/>
  <c r="EV146" i="20"/>
  <c r="EZ146" i="20"/>
  <c r="EV147" i="20"/>
  <c r="EZ147" i="20"/>
  <c r="EV148" i="20"/>
  <c r="EZ148" i="20"/>
  <c r="EV149" i="20"/>
  <c r="EZ149" i="20"/>
  <c r="EV150" i="20"/>
  <c r="EZ150" i="20"/>
  <c r="EV151" i="20"/>
  <c r="EZ151" i="20"/>
  <c r="EV152" i="20"/>
  <c r="EZ152" i="20"/>
  <c r="EV153" i="20"/>
  <c r="EZ153" i="20"/>
  <c r="EV154" i="20"/>
  <c r="EZ154" i="20"/>
  <c r="EV155" i="20"/>
  <c r="EZ155" i="20"/>
  <c r="EV156" i="20"/>
  <c r="EZ156" i="20"/>
  <c r="EV157" i="20"/>
  <c r="EZ157" i="20"/>
  <c r="EV158" i="20"/>
  <c r="EZ158" i="20"/>
  <c r="EV159" i="20"/>
  <c r="EZ159" i="20"/>
  <c r="EV160" i="20"/>
  <c r="FA95" i="20"/>
  <c r="FA96" i="20"/>
  <c r="FA97" i="20"/>
  <c r="EY98" i="20"/>
  <c r="EY99" i="20"/>
  <c r="EW100" i="20"/>
  <c r="FA100" i="20"/>
  <c r="EW101" i="20"/>
  <c r="FA101" i="20"/>
  <c r="EW102" i="20"/>
  <c r="FA102" i="20"/>
  <c r="EW103" i="20"/>
  <c r="FA103" i="20"/>
  <c r="EW104" i="20"/>
  <c r="FA104" i="20"/>
  <c r="EW105" i="20"/>
  <c r="FA105" i="20"/>
  <c r="EW106" i="20"/>
  <c r="FA106" i="20"/>
  <c r="EW107" i="20"/>
  <c r="FA107" i="20"/>
  <c r="EW108" i="20"/>
  <c r="FA108" i="20"/>
  <c r="EW109" i="20"/>
  <c r="FA109" i="20"/>
  <c r="EW110" i="20"/>
  <c r="FA110" i="20"/>
  <c r="EW111" i="20"/>
  <c r="FA111" i="20"/>
  <c r="EW112" i="20"/>
  <c r="FA112" i="20"/>
  <c r="EW113" i="20"/>
  <c r="FA113" i="20"/>
  <c r="EW114" i="20"/>
  <c r="FA114" i="20"/>
  <c r="EW115" i="20"/>
  <c r="FA115" i="20"/>
  <c r="EW116" i="20"/>
  <c r="FA116" i="20"/>
  <c r="EW117" i="20"/>
  <c r="FA117" i="20"/>
  <c r="EW118" i="20"/>
  <c r="FA118" i="20"/>
  <c r="EW119" i="20"/>
  <c r="FA119" i="20"/>
  <c r="EW120" i="20"/>
  <c r="FA120" i="20"/>
  <c r="EW121" i="20"/>
  <c r="FA121" i="20"/>
  <c r="EW122" i="20"/>
  <c r="FA122" i="20"/>
  <c r="EW123" i="20"/>
  <c r="FA123" i="20"/>
  <c r="EW124" i="20"/>
  <c r="FA124" i="20"/>
  <c r="EW125" i="20"/>
  <c r="FA125" i="20"/>
  <c r="EW126" i="20"/>
  <c r="FA126" i="20"/>
  <c r="EW127" i="20"/>
  <c r="FA127" i="20"/>
  <c r="EW128" i="20"/>
  <c r="FA128" i="20"/>
  <c r="EW129" i="20"/>
  <c r="FA129" i="20"/>
  <c r="EW130" i="20"/>
  <c r="FA130" i="20"/>
  <c r="EW131" i="20"/>
  <c r="FA131" i="20"/>
  <c r="EW132" i="20"/>
  <c r="FA132" i="20"/>
  <c r="EW133" i="20"/>
  <c r="FA133" i="20"/>
  <c r="EW134" i="20"/>
  <c r="FA134" i="20"/>
  <c r="EW135" i="20"/>
  <c r="FA135" i="20"/>
  <c r="EW136" i="20"/>
  <c r="FA136" i="20"/>
  <c r="EW137" i="20"/>
  <c r="FA137" i="20"/>
  <c r="EW138" i="20"/>
  <c r="FA138" i="20"/>
  <c r="EW139" i="20"/>
  <c r="FA139" i="20"/>
  <c r="EW140" i="20"/>
  <c r="FA140" i="20"/>
  <c r="EW141" i="20"/>
  <c r="FA141" i="20"/>
  <c r="EW142" i="20"/>
  <c r="FA142" i="20"/>
  <c r="EW143" i="20"/>
  <c r="FA143" i="20"/>
  <c r="EW144" i="20"/>
  <c r="FA144" i="20"/>
  <c r="EW145" i="20"/>
  <c r="FA145" i="20"/>
  <c r="EW146" i="20"/>
  <c r="FA146" i="20"/>
  <c r="EW147" i="20"/>
  <c r="FA147" i="20"/>
  <c r="EW148" i="20"/>
  <c r="FA148" i="20"/>
  <c r="EW149" i="20"/>
  <c r="FA149" i="20"/>
  <c r="EW150" i="20"/>
  <c r="FA150" i="20"/>
  <c r="EW151" i="20"/>
  <c r="FA151" i="20"/>
  <c r="EW152" i="20"/>
  <c r="FA152" i="20"/>
  <c r="EW153" i="20"/>
  <c r="FA153" i="20"/>
  <c r="EW154" i="20"/>
  <c r="FA154" i="20"/>
  <c r="EW155" i="20"/>
  <c r="FA155" i="20"/>
  <c r="EW156" i="20"/>
  <c r="FA156" i="20"/>
  <c r="EW157" i="20"/>
  <c r="FA157" i="20"/>
  <c r="EW158" i="20"/>
  <c r="FA158" i="20"/>
  <c r="EW159" i="20"/>
  <c r="FA159" i="20"/>
  <c r="EW160" i="20"/>
  <c r="FA160" i="20"/>
  <c r="EW161" i="20"/>
  <c r="FA161" i="20"/>
  <c r="EW162" i="20"/>
  <c r="FA162" i="20"/>
  <c r="EW163" i="20"/>
  <c r="FA163" i="20"/>
  <c r="EW164" i="20"/>
  <c r="FA164" i="20"/>
  <c r="EW165" i="20"/>
  <c r="FA165" i="20"/>
  <c r="EW166" i="20"/>
  <c r="FA166" i="20"/>
  <c r="EW167" i="20"/>
  <c r="FA167" i="20"/>
  <c r="EV161" i="20"/>
  <c r="EU162" i="20"/>
  <c r="EU163" i="20"/>
  <c r="EU164" i="20"/>
  <c r="EU165" i="20"/>
  <c r="EU166" i="20"/>
  <c r="EU167" i="20"/>
  <c r="EZ160" i="20"/>
  <c r="EZ161" i="20"/>
  <c r="EV162" i="20"/>
  <c r="EV163" i="20"/>
  <c r="EV164" i="20"/>
  <c r="EV165" i="20"/>
  <c r="EV166" i="20"/>
  <c r="EV167" i="20"/>
  <c r="EY162" i="20"/>
  <c r="EY163" i="20"/>
  <c r="EY164" i="20"/>
  <c r="EY165" i="20"/>
  <c r="EY166" i="20"/>
  <c r="EY167" i="20"/>
  <c r="EZ162" i="20"/>
  <c r="EZ163" i="20"/>
  <c r="EZ164" i="20"/>
  <c r="EZ165" i="20"/>
  <c r="EZ166" i="20"/>
  <c r="EZ167" i="20"/>
  <c r="DK111" i="19"/>
  <c r="DK113" i="19"/>
  <c r="DK115" i="19"/>
  <c r="DK117" i="19"/>
  <c r="DK119" i="19"/>
  <c r="DK121" i="19"/>
  <c r="DK123" i="19"/>
  <c r="DK125" i="19"/>
  <c r="DK127" i="19"/>
  <c r="DK10" i="19"/>
  <c r="DK12" i="19"/>
  <c r="DK14" i="19"/>
  <c r="DK16" i="19"/>
  <c r="DK18" i="19"/>
  <c r="DK20" i="19"/>
  <c r="DK22" i="19"/>
  <c r="DK24" i="19"/>
  <c r="DK26" i="19"/>
  <c r="DK28" i="19"/>
  <c r="DK30" i="19"/>
  <c r="DK32" i="19"/>
  <c r="DK34" i="19"/>
  <c r="DK36" i="19"/>
  <c r="DK38" i="19"/>
  <c r="DK40" i="19"/>
  <c r="DK42" i="19"/>
  <c r="DK44" i="19"/>
  <c r="DK46" i="19"/>
  <c r="DK48" i="19"/>
  <c r="DK50" i="19"/>
  <c r="DK52" i="19"/>
  <c r="DK54" i="19"/>
  <c r="DK56" i="19"/>
  <c r="DK58" i="19"/>
  <c r="DK60" i="19"/>
  <c r="DK62" i="19"/>
  <c r="DK64" i="19"/>
  <c r="DK66" i="19"/>
  <c r="DK68" i="19"/>
  <c r="DK70" i="19"/>
  <c r="DK72" i="19"/>
  <c r="DK74" i="19"/>
  <c r="DK76" i="19"/>
  <c r="DK78" i="19"/>
  <c r="DK80" i="19"/>
  <c r="DK82" i="19"/>
  <c r="DK84" i="19"/>
  <c r="DK86" i="19"/>
  <c r="DK88" i="19"/>
  <c r="DK90" i="19"/>
  <c r="DK92" i="19"/>
  <c r="DK94" i="19"/>
  <c r="DK96" i="19"/>
  <c r="DK98" i="19"/>
  <c r="DK100" i="19"/>
  <c r="DK102" i="19"/>
  <c r="DK104" i="19"/>
  <c r="DK106" i="19"/>
  <c r="DK108" i="19"/>
  <c r="EE124" i="19"/>
  <c r="EE126" i="19"/>
  <c r="EE113" i="19"/>
  <c r="EE115" i="19"/>
  <c r="EE117" i="19"/>
  <c r="EE119" i="19"/>
  <c r="EE121" i="19"/>
  <c r="EE123" i="19"/>
  <c r="EE98" i="19"/>
  <c r="EE100" i="19"/>
  <c r="EE102" i="19"/>
  <c r="EE104" i="19"/>
  <c r="EE106" i="19"/>
  <c r="EE108" i="19"/>
  <c r="EE110" i="19"/>
  <c r="EE9" i="19"/>
  <c r="EE11" i="19"/>
  <c r="EE13" i="19"/>
  <c r="EE15" i="19"/>
  <c r="EE17" i="19"/>
  <c r="EE19" i="19"/>
  <c r="EE21" i="19"/>
  <c r="EE23" i="19"/>
  <c r="EE25" i="19"/>
  <c r="EE27" i="19"/>
  <c r="EE29" i="19"/>
  <c r="EE31" i="19"/>
  <c r="EE33" i="19"/>
  <c r="EE35" i="19"/>
  <c r="EE37" i="19"/>
  <c r="EE39" i="19"/>
  <c r="EE41" i="19"/>
  <c r="EE43" i="19"/>
  <c r="EE45" i="19"/>
  <c r="EE47" i="19"/>
  <c r="EE49" i="19"/>
  <c r="EE51" i="19"/>
  <c r="EE53" i="19"/>
  <c r="EE55" i="19"/>
  <c r="EE57" i="19"/>
  <c r="EE59" i="19"/>
  <c r="EE61" i="19"/>
  <c r="EE63" i="19"/>
  <c r="EE65" i="19"/>
  <c r="EE67" i="19"/>
  <c r="EE69" i="19"/>
  <c r="EE71" i="19"/>
  <c r="EE73" i="19"/>
  <c r="EE75" i="19"/>
  <c r="EE77" i="19"/>
  <c r="EE79" i="19"/>
  <c r="EE81" i="19"/>
  <c r="EE83" i="19"/>
  <c r="EE85" i="19"/>
  <c r="EE87" i="19"/>
  <c r="EE89" i="19"/>
  <c r="EE91" i="19"/>
  <c r="EE93" i="19"/>
  <c r="EE95" i="19"/>
  <c r="DK110" i="19"/>
  <c r="DK112" i="19"/>
  <c r="DK114" i="19"/>
  <c r="DK116" i="19"/>
  <c r="DK118" i="19"/>
  <c r="DK120" i="19"/>
  <c r="DK122" i="19"/>
  <c r="DK124" i="19"/>
  <c r="DK126" i="19"/>
  <c r="DK9" i="19"/>
  <c r="DK11" i="19"/>
  <c r="DK13" i="19"/>
  <c r="DK15" i="19"/>
  <c r="DK17" i="19"/>
  <c r="DK19" i="19"/>
  <c r="DK21" i="19"/>
  <c r="DK23" i="19"/>
  <c r="DK25" i="19"/>
  <c r="DK27" i="19"/>
  <c r="DK29" i="19"/>
  <c r="DK31" i="19"/>
  <c r="DK33" i="19"/>
  <c r="DK35" i="19"/>
  <c r="DK37" i="19"/>
  <c r="DK39" i="19"/>
  <c r="DK41" i="19"/>
  <c r="DK43" i="19"/>
  <c r="DK45" i="19"/>
  <c r="DK47" i="19"/>
  <c r="DK49" i="19"/>
  <c r="DK51" i="19"/>
  <c r="DK53" i="19"/>
  <c r="DK55" i="19"/>
  <c r="DK57" i="19"/>
  <c r="DK59" i="19"/>
  <c r="DK61" i="19"/>
  <c r="DK63" i="19"/>
  <c r="DK65" i="19"/>
  <c r="DK67" i="19"/>
  <c r="DK69" i="19"/>
  <c r="DK71" i="19"/>
  <c r="DK73" i="19"/>
  <c r="DK75" i="19"/>
  <c r="DK77" i="19"/>
  <c r="DK79" i="19"/>
  <c r="DK81" i="19"/>
  <c r="DK83" i="19"/>
  <c r="DK85" i="19"/>
  <c r="DK87" i="19"/>
  <c r="DK89" i="19"/>
  <c r="DK91" i="19"/>
  <c r="DK93" i="19"/>
  <c r="DK95" i="19"/>
  <c r="DK97" i="19"/>
  <c r="DK99" i="19"/>
  <c r="DK101" i="19"/>
  <c r="DK103" i="19"/>
  <c r="DK105" i="19"/>
  <c r="DK107" i="19"/>
  <c r="DK109" i="19"/>
  <c r="EE127" i="19"/>
  <c r="EE125" i="19"/>
  <c r="EE112" i="19"/>
  <c r="EE114" i="19"/>
  <c r="EE116" i="19"/>
  <c r="EE118" i="19"/>
  <c r="EE120" i="19"/>
  <c r="EE122" i="19"/>
  <c r="EE97" i="19"/>
  <c r="EE99" i="19"/>
  <c r="EE101" i="19"/>
  <c r="EE103" i="19"/>
  <c r="EE105" i="19"/>
  <c r="EE107" i="19"/>
  <c r="EE109" i="19"/>
  <c r="EE111" i="19"/>
  <c r="EE10" i="19"/>
  <c r="EE12" i="19"/>
  <c r="EE14" i="19"/>
  <c r="EE16" i="19"/>
  <c r="EE18" i="19"/>
  <c r="EE20" i="19"/>
  <c r="EE22" i="19"/>
  <c r="EE24" i="19"/>
  <c r="EE26" i="19"/>
  <c r="EE28" i="19"/>
  <c r="EE30" i="19"/>
  <c r="EE32" i="19"/>
  <c r="EE34" i="19"/>
  <c r="EE36" i="19"/>
  <c r="EE38" i="19"/>
  <c r="EE40" i="19"/>
  <c r="EE42" i="19"/>
  <c r="EE44" i="19"/>
  <c r="EE46" i="19"/>
  <c r="EE48" i="19"/>
  <c r="EE50" i="19"/>
  <c r="EE52" i="19"/>
  <c r="EE54" i="19"/>
  <c r="EE56" i="19"/>
  <c r="EE58" i="19"/>
  <c r="EE60" i="19"/>
  <c r="EE62" i="19"/>
  <c r="EE64" i="19"/>
  <c r="EE66" i="19"/>
  <c r="EE68" i="19"/>
  <c r="EE70" i="19"/>
  <c r="EE72" i="19"/>
  <c r="EE74" i="19"/>
  <c r="EE76" i="19"/>
  <c r="EE78" i="19"/>
  <c r="EE80" i="19"/>
  <c r="EE82" i="19"/>
  <c r="EE84" i="19"/>
  <c r="EE86" i="19"/>
  <c r="EE88" i="19"/>
  <c r="EE90" i="19"/>
  <c r="EE92" i="19"/>
  <c r="EE94" i="19"/>
  <c r="EE96" i="19"/>
  <c r="CQ82" i="19"/>
  <c r="CQ21" i="19"/>
  <c r="CQ23" i="19"/>
  <c r="CQ25" i="19"/>
  <c r="CQ9" i="19"/>
  <c r="CQ11" i="19"/>
  <c r="CQ13" i="19"/>
  <c r="CQ15" i="19"/>
  <c r="CQ17" i="19"/>
  <c r="CQ19" i="19"/>
  <c r="BW108" i="19"/>
  <c r="BW110" i="19"/>
  <c r="BW112" i="19"/>
  <c r="BW114" i="19"/>
  <c r="BW116" i="19"/>
  <c r="BW118" i="19"/>
  <c r="BW120" i="19"/>
  <c r="BW122" i="19"/>
  <c r="BW124" i="19"/>
  <c r="BW126" i="19"/>
  <c r="BW9" i="19"/>
  <c r="BW11" i="19"/>
  <c r="BW13" i="19"/>
  <c r="BW15" i="19"/>
  <c r="BW17" i="19"/>
  <c r="BW19" i="19"/>
  <c r="BW21" i="19"/>
  <c r="BW23" i="19"/>
  <c r="BW25" i="19"/>
  <c r="BW27" i="19"/>
  <c r="BW29" i="19"/>
  <c r="BW31" i="19"/>
  <c r="BW33" i="19"/>
  <c r="BW35" i="19"/>
  <c r="BW37" i="19"/>
  <c r="BW39" i="19"/>
  <c r="BW41" i="19"/>
  <c r="BW43" i="19"/>
  <c r="BW45" i="19"/>
  <c r="BW47" i="19"/>
  <c r="BW49" i="19"/>
  <c r="BW51" i="19"/>
  <c r="BW53" i="19"/>
  <c r="BW55" i="19"/>
  <c r="BW57" i="19"/>
  <c r="BW59" i="19"/>
  <c r="BW61" i="19"/>
  <c r="BW63" i="19"/>
  <c r="BW65" i="19"/>
  <c r="BW67" i="19"/>
  <c r="BW69" i="19"/>
  <c r="BW71" i="19"/>
  <c r="BW73" i="19"/>
  <c r="BW75" i="19"/>
  <c r="BW77" i="19"/>
  <c r="BW79" i="19"/>
  <c r="BW81" i="19"/>
  <c r="BW83" i="19"/>
  <c r="BW85" i="19"/>
  <c r="BW87" i="19"/>
  <c r="BW89" i="19"/>
  <c r="BW91" i="19"/>
  <c r="BW93" i="19"/>
  <c r="BW95" i="19"/>
  <c r="BW97" i="19"/>
  <c r="BW99" i="19"/>
  <c r="BW101" i="19"/>
  <c r="BW103" i="19"/>
  <c r="BW105" i="19"/>
  <c r="BC13" i="19"/>
  <c r="BC15" i="19"/>
  <c r="BC17" i="19"/>
  <c r="BC19" i="19"/>
  <c r="BC21" i="19"/>
  <c r="BC23" i="19"/>
  <c r="BC25" i="19"/>
  <c r="BC27" i="19"/>
  <c r="BC29" i="19"/>
  <c r="BC31" i="19"/>
  <c r="BC33" i="19"/>
  <c r="BC35" i="19"/>
  <c r="BC37" i="19"/>
  <c r="BC39" i="19"/>
  <c r="BC41" i="19"/>
  <c r="BC43" i="19"/>
  <c r="BC45" i="19"/>
  <c r="BC47" i="19"/>
  <c r="BC49" i="19"/>
  <c r="BC51" i="19"/>
  <c r="BC53" i="19"/>
  <c r="BC55" i="19"/>
  <c r="BC57" i="19"/>
  <c r="BC59" i="19"/>
  <c r="BC61" i="19"/>
  <c r="BC63" i="19"/>
  <c r="BC65" i="19"/>
  <c r="BC67" i="19"/>
  <c r="BC69" i="19"/>
  <c r="BC71" i="19"/>
  <c r="BC73" i="19"/>
  <c r="BC75" i="19"/>
  <c r="BC77" i="19"/>
  <c r="CQ96" i="19"/>
  <c r="CQ98" i="19"/>
  <c r="CQ100" i="19"/>
  <c r="CQ102" i="19"/>
  <c r="CQ104" i="19"/>
  <c r="CQ106" i="19"/>
  <c r="CQ108" i="19"/>
  <c r="CQ110" i="19"/>
  <c r="CQ112" i="19"/>
  <c r="CQ114" i="19"/>
  <c r="CQ116" i="19"/>
  <c r="CQ118" i="19"/>
  <c r="CQ120" i="19"/>
  <c r="CQ122" i="19"/>
  <c r="CQ124" i="19"/>
  <c r="CQ126" i="19"/>
  <c r="CQ84" i="19"/>
  <c r="CQ86" i="19"/>
  <c r="CQ88" i="19"/>
  <c r="CQ90" i="19"/>
  <c r="CQ92" i="19"/>
  <c r="CQ94" i="19"/>
  <c r="CQ28" i="19"/>
  <c r="CQ30" i="19"/>
  <c r="CQ32" i="19"/>
  <c r="CQ34" i="19"/>
  <c r="CQ36" i="19"/>
  <c r="CQ38" i="19"/>
  <c r="CQ40" i="19"/>
  <c r="CQ42" i="19"/>
  <c r="CQ83" i="19"/>
  <c r="CQ22" i="19"/>
  <c r="CQ24" i="19"/>
  <c r="CQ26" i="19"/>
  <c r="CQ10" i="19"/>
  <c r="CQ12" i="19"/>
  <c r="CQ14" i="19"/>
  <c r="CQ16" i="19"/>
  <c r="CQ18" i="19"/>
  <c r="CQ20" i="19"/>
  <c r="BW107" i="19"/>
  <c r="BW109" i="19"/>
  <c r="BW111" i="19"/>
  <c r="BW113" i="19"/>
  <c r="BW115" i="19"/>
  <c r="BW117" i="19"/>
  <c r="BW119" i="19"/>
  <c r="BW121" i="19"/>
  <c r="BW123" i="19"/>
  <c r="BW125" i="19"/>
  <c r="BW127" i="19"/>
  <c r="BW10" i="19"/>
  <c r="BW12" i="19"/>
  <c r="BW14" i="19"/>
  <c r="BW16" i="19"/>
  <c r="BW18" i="19"/>
  <c r="BW20" i="19"/>
  <c r="BW22" i="19"/>
  <c r="BW24" i="19"/>
  <c r="BW26" i="19"/>
  <c r="BW28" i="19"/>
  <c r="BW30" i="19"/>
  <c r="BW32" i="19"/>
  <c r="BW34" i="19"/>
  <c r="BW36" i="19"/>
  <c r="BW38" i="19"/>
  <c r="BW40" i="19"/>
  <c r="BW42" i="19"/>
  <c r="BW44" i="19"/>
  <c r="BW46" i="19"/>
  <c r="BW48" i="19"/>
  <c r="BW50" i="19"/>
  <c r="BW52" i="19"/>
  <c r="BW54" i="19"/>
  <c r="BW56" i="19"/>
  <c r="BW58" i="19"/>
  <c r="BW60" i="19"/>
  <c r="BW62" i="19"/>
  <c r="BW64" i="19"/>
  <c r="BW66" i="19"/>
  <c r="BW68" i="19"/>
  <c r="BW70" i="19"/>
  <c r="BW72" i="19"/>
  <c r="BW74" i="19"/>
  <c r="BW76" i="19"/>
  <c r="BW78" i="19"/>
  <c r="BW80" i="19"/>
  <c r="BW82" i="19"/>
  <c r="BW84" i="19"/>
  <c r="BW86" i="19"/>
  <c r="BW88" i="19"/>
  <c r="BW90" i="19"/>
  <c r="BW92" i="19"/>
  <c r="BW94" i="19"/>
  <c r="BW96" i="19"/>
  <c r="BW98" i="19"/>
  <c r="BW100" i="19"/>
  <c r="BW102" i="19"/>
  <c r="BW104" i="19"/>
  <c r="BW106" i="19"/>
  <c r="CQ95" i="19"/>
  <c r="CQ97" i="19"/>
  <c r="CQ99" i="19"/>
  <c r="CQ101" i="19"/>
  <c r="CQ103" i="19"/>
  <c r="CQ105" i="19"/>
  <c r="CQ107" i="19"/>
  <c r="CQ109" i="19"/>
  <c r="CQ111" i="19"/>
  <c r="CQ113" i="19"/>
  <c r="CQ115" i="19"/>
  <c r="CQ117" i="19"/>
  <c r="CQ119" i="19"/>
  <c r="CQ121" i="19"/>
  <c r="CQ123" i="19"/>
  <c r="CQ125" i="19"/>
  <c r="CQ127" i="19"/>
  <c r="CQ85" i="19"/>
  <c r="CQ87" i="19"/>
  <c r="CQ89" i="19"/>
  <c r="CQ91" i="19"/>
  <c r="CQ93" i="19"/>
  <c r="CQ27" i="19"/>
  <c r="CQ29" i="19"/>
  <c r="CQ31" i="19"/>
  <c r="CQ33" i="19"/>
  <c r="CQ35" i="19"/>
  <c r="CQ37" i="19"/>
  <c r="CQ39" i="19"/>
  <c r="CQ41" i="19"/>
  <c r="CQ43" i="19"/>
  <c r="CQ45" i="19"/>
  <c r="CQ47" i="19"/>
  <c r="CQ49" i="19"/>
  <c r="CQ51" i="19"/>
  <c r="CQ53" i="19"/>
  <c r="CQ55" i="19"/>
  <c r="CQ57" i="19"/>
  <c r="CQ59" i="19"/>
  <c r="CQ61" i="19"/>
  <c r="CQ63" i="19"/>
  <c r="CQ65" i="19"/>
  <c r="CQ67" i="19"/>
  <c r="CQ69" i="19"/>
  <c r="CQ71" i="19"/>
  <c r="CQ73" i="19"/>
  <c r="CQ75" i="19"/>
  <c r="CQ77" i="19"/>
  <c r="CQ79" i="19"/>
  <c r="CQ44" i="19"/>
  <c r="CQ52" i="19"/>
  <c r="CQ60" i="19"/>
  <c r="CQ68" i="19"/>
  <c r="CQ76" i="19"/>
  <c r="BC14" i="19"/>
  <c r="BC18" i="19"/>
  <c r="BC22" i="19"/>
  <c r="BC26" i="19"/>
  <c r="BC30" i="19"/>
  <c r="BC34" i="19"/>
  <c r="BC38" i="19"/>
  <c r="BC42" i="19"/>
  <c r="BC46" i="19"/>
  <c r="BC50" i="19"/>
  <c r="BC54" i="19"/>
  <c r="BC58" i="19"/>
  <c r="BC62" i="19"/>
  <c r="BC66" i="19"/>
  <c r="BC70" i="19"/>
  <c r="BC74" i="19"/>
  <c r="BC78" i="19"/>
  <c r="BC79" i="19"/>
  <c r="BC81" i="19"/>
  <c r="BC83" i="19"/>
  <c r="BC85" i="19"/>
  <c r="BC91" i="19"/>
  <c r="BC93" i="19"/>
  <c r="BC111" i="19"/>
  <c r="BC113" i="19"/>
  <c r="BC115" i="19"/>
  <c r="BC121" i="19"/>
  <c r="BC123" i="19"/>
  <c r="CQ46" i="19"/>
  <c r="CQ54" i="19"/>
  <c r="CQ62" i="19"/>
  <c r="CQ70" i="19"/>
  <c r="CQ78" i="19"/>
  <c r="BC80" i="19"/>
  <c r="BC82" i="19"/>
  <c r="BC84" i="19"/>
  <c r="BC86" i="19"/>
  <c r="BC88" i="19"/>
  <c r="BC90" i="19"/>
  <c r="BC92" i="19"/>
  <c r="BC94" i="19"/>
  <c r="BC96" i="19"/>
  <c r="BC98" i="19"/>
  <c r="BC100" i="19"/>
  <c r="BC102" i="19"/>
  <c r="BC104" i="19"/>
  <c r="BC106" i="19"/>
  <c r="BC108" i="19"/>
  <c r="BC110" i="19"/>
  <c r="BC112" i="19"/>
  <c r="BC114" i="19"/>
  <c r="BC116" i="19"/>
  <c r="BC118" i="19"/>
  <c r="BC120" i="19"/>
  <c r="BC122" i="19"/>
  <c r="BC124" i="19"/>
  <c r="BC126" i="19"/>
  <c r="CQ58" i="19"/>
  <c r="BC89" i="19"/>
  <c r="BC97" i="19"/>
  <c r="BC99" i="19"/>
  <c r="BC101" i="19"/>
  <c r="BC103" i="19"/>
  <c r="BC105" i="19"/>
  <c r="BC109" i="19"/>
  <c r="CQ48" i="19"/>
  <c r="CQ56" i="19"/>
  <c r="CQ64" i="19"/>
  <c r="CQ72" i="19"/>
  <c r="CQ80" i="19"/>
  <c r="BC12" i="19"/>
  <c r="BC16" i="19"/>
  <c r="BC20" i="19"/>
  <c r="BC24" i="19"/>
  <c r="BC28" i="19"/>
  <c r="BC32" i="19"/>
  <c r="BC36" i="19"/>
  <c r="BC40" i="19"/>
  <c r="BC44" i="19"/>
  <c r="BC48" i="19"/>
  <c r="BC52" i="19"/>
  <c r="BC56" i="19"/>
  <c r="BC60" i="19"/>
  <c r="BC64" i="19"/>
  <c r="BC68" i="19"/>
  <c r="BC72" i="19"/>
  <c r="BC76" i="19"/>
  <c r="CQ50" i="19"/>
  <c r="CQ66" i="19"/>
  <c r="CQ74" i="19"/>
  <c r="BC87" i="19"/>
  <c r="BC95" i="19"/>
  <c r="BC107" i="19"/>
  <c r="BC117" i="19"/>
  <c r="BC119" i="19"/>
  <c r="BC125" i="19"/>
  <c r="BC127" i="19"/>
  <c r="EH124" i="19"/>
  <c r="EH126" i="19"/>
  <c r="EH113" i="19"/>
  <c r="EH115" i="19"/>
  <c r="EH117" i="19"/>
  <c r="EH119" i="19"/>
  <c r="EH121" i="19"/>
  <c r="EH123" i="19"/>
  <c r="EH98" i="19"/>
  <c r="EH100" i="19"/>
  <c r="EH102" i="19"/>
  <c r="EH104" i="19"/>
  <c r="EH106" i="19"/>
  <c r="EH108" i="19"/>
  <c r="EH110" i="19"/>
  <c r="EH9" i="19"/>
  <c r="EH11" i="19"/>
  <c r="EH13" i="19"/>
  <c r="EH15" i="19"/>
  <c r="EH17" i="19"/>
  <c r="EH19" i="19"/>
  <c r="EH21" i="19"/>
  <c r="EH23" i="19"/>
  <c r="EH25" i="19"/>
  <c r="EH27" i="19"/>
  <c r="EH29" i="19"/>
  <c r="EH31" i="19"/>
  <c r="EH33" i="19"/>
  <c r="EH35" i="19"/>
  <c r="EH37" i="19"/>
  <c r="EH39" i="19"/>
  <c r="EH41" i="19"/>
  <c r="EH43" i="19"/>
  <c r="EH45" i="19"/>
  <c r="EH47" i="19"/>
  <c r="EH49" i="19"/>
  <c r="EH51" i="19"/>
  <c r="EH53" i="19"/>
  <c r="EH55" i="19"/>
  <c r="EH57" i="19"/>
  <c r="EH59" i="19"/>
  <c r="EH61" i="19"/>
  <c r="EH63" i="19"/>
  <c r="EH65" i="19"/>
  <c r="EH67" i="19"/>
  <c r="EH69" i="19"/>
  <c r="EH71" i="19"/>
  <c r="EH73" i="19"/>
  <c r="EH75" i="19"/>
  <c r="EH77" i="19"/>
  <c r="EH79" i="19"/>
  <c r="EH81" i="19"/>
  <c r="EH83" i="19"/>
  <c r="EH85" i="19"/>
  <c r="EH87" i="19"/>
  <c r="EH89" i="19"/>
  <c r="EH91" i="19"/>
  <c r="EH93" i="19"/>
  <c r="EH95" i="19"/>
  <c r="DN110" i="19"/>
  <c r="DN112" i="19"/>
  <c r="DN114" i="19"/>
  <c r="DN116" i="19"/>
  <c r="DN118" i="19"/>
  <c r="DN120" i="19"/>
  <c r="DN122" i="19"/>
  <c r="DN124" i="19"/>
  <c r="DN126" i="19"/>
  <c r="DN9" i="19"/>
  <c r="DN11" i="19"/>
  <c r="DN13" i="19"/>
  <c r="DN15" i="19"/>
  <c r="DN17" i="19"/>
  <c r="DN19" i="19"/>
  <c r="DN21" i="19"/>
  <c r="DN23" i="19"/>
  <c r="DN25" i="19"/>
  <c r="DN27" i="19"/>
  <c r="DN29" i="19"/>
  <c r="DN31" i="19"/>
  <c r="DN33" i="19"/>
  <c r="DN35" i="19"/>
  <c r="DN37" i="19"/>
  <c r="DN39" i="19"/>
  <c r="DN41" i="19"/>
  <c r="DN43" i="19"/>
  <c r="DN45" i="19"/>
  <c r="DN47" i="19"/>
  <c r="DN49" i="19"/>
  <c r="DN51" i="19"/>
  <c r="DN53" i="19"/>
  <c r="DN55" i="19"/>
  <c r="DN57" i="19"/>
  <c r="DN59" i="19"/>
  <c r="DN61" i="19"/>
  <c r="DN63" i="19"/>
  <c r="DN65" i="19"/>
  <c r="DN67" i="19"/>
  <c r="DN69" i="19"/>
  <c r="DN71" i="19"/>
  <c r="DN73" i="19"/>
  <c r="DN75" i="19"/>
  <c r="DN77" i="19"/>
  <c r="DN79" i="19"/>
  <c r="DN81" i="19"/>
  <c r="DN83" i="19"/>
  <c r="DN85" i="19"/>
  <c r="DN87" i="19"/>
  <c r="DN89" i="19"/>
  <c r="DN91" i="19"/>
  <c r="DN93" i="19"/>
  <c r="DN95" i="19"/>
  <c r="DN97" i="19"/>
  <c r="DN99" i="19"/>
  <c r="DN101" i="19"/>
  <c r="DN103" i="19"/>
  <c r="DN105" i="19"/>
  <c r="DN107" i="19"/>
  <c r="DN109" i="19"/>
  <c r="EH127" i="19"/>
  <c r="EH125" i="19"/>
  <c r="EH112" i="19"/>
  <c r="EH114" i="19"/>
  <c r="EH116" i="19"/>
  <c r="EH118" i="19"/>
  <c r="EH120" i="19"/>
  <c r="EH122" i="19"/>
  <c r="EH97" i="19"/>
  <c r="EH99" i="19"/>
  <c r="EH101" i="19"/>
  <c r="EH103" i="19"/>
  <c r="EH105" i="19"/>
  <c r="EH107" i="19"/>
  <c r="EH109" i="19"/>
  <c r="EH111" i="19"/>
  <c r="EH10" i="19"/>
  <c r="EH12" i="19"/>
  <c r="EH14" i="19"/>
  <c r="EH16" i="19"/>
  <c r="EH18" i="19"/>
  <c r="EH20" i="19"/>
  <c r="EH22" i="19"/>
  <c r="EH24" i="19"/>
  <c r="EH26" i="19"/>
  <c r="EH28" i="19"/>
  <c r="EH30" i="19"/>
  <c r="EH32" i="19"/>
  <c r="EH34" i="19"/>
  <c r="EH36" i="19"/>
  <c r="EH38" i="19"/>
  <c r="EH40" i="19"/>
  <c r="EH42" i="19"/>
  <c r="EH44" i="19"/>
  <c r="EH46" i="19"/>
  <c r="EH48" i="19"/>
  <c r="EH50" i="19"/>
  <c r="EH52" i="19"/>
  <c r="EH54" i="19"/>
  <c r="EH56" i="19"/>
  <c r="EH58" i="19"/>
  <c r="EH60" i="19"/>
  <c r="EH62" i="19"/>
  <c r="EH64" i="19"/>
  <c r="EH66" i="19"/>
  <c r="EH68" i="19"/>
  <c r="EH70" i="19"/>
  <c r="EH72" i="19"/>
  <c r="EH74" i="19"/>
  <c r="EH76" i="19"/>
  <c r="EH78" i="19"/>
  <c r="EH80" i="19"/>
  <c r="EH82" i="19"/>
  <c r="EH84" i="19"/>
  <c r="EH86" i="19"/>
  <c r="EH88" i="19"/>
  <c r="EH90" i="19"/>
  <c r="EH92" i="19"/>
  <c r="EH94" i="19"/>
  <c r="EH96" i="19"/>
  <c r="DN111" i="19"/>
  <c r="DN113" i="19"/>
  <c r="DN115" i="19"/>
  <c r="DN117" i="19"/>
  <c r="DN119" i="19"/>
  <c r="DN121" i="19"/>
  <c r="DN123" i="19"/>
  <c r="DN125" i="19"/>
  <c r="DN127" i="19"/>
  <c r="DN10" i="19"/>
  <c r="DN12" i="19"/>
  <c r="DN14" i="19"/>
  <c r="DN16" i="19"/>
  <c r="DN18" i="19"/>
  <c r="DN20" i="19"/>
  <c r="DN22" i="19"/>
  <c r="DN24" i="19"/>
  <c r="DN26" i="19"/>
  <c r="DN28" i="19"/>
  <c r="DN30" i="19"/>
  <c r="DN32" i="19"/>
  <c r="DN34" i="19"/>
  <c r="DN36" i="19"/>
  <c r="DN38" i="19"/>
  <c r="DN40" i="19"/>
  <c r="DN42" i="19"/>
  <c r="DN44" i="19"/>
  <c r="DN46" i="19"/>
  <c r="DN48" i="19"/>
  <c r="DN50" i="19"/>
  <c r="DN52" i="19"/>
  <c r="DN54" i="19"/>
  <c r="DN56" i="19"/>
  <c r="DN58" i="19"/>
  <c r="DN60" i="19"/>
  <c r="DN62" i="19"/>
  <c r="DN64" i="19"/>
  <c r="DN66" i="19"/>
  <c r="DN68" i="19"/>
  <c r="DN70" i="19"/>
  <c r="DN72" i="19"/>
  <c r="DN74" i="19"/>
  <c r="DN76" i="19"/>
  <c r="DN78" i="19"/>
  <c r="DN80" i="19"/>
  <c r="DN82" i="19"/>
  <c r="DN84" i="19"/>
  <c r="DN86" i="19"/>
  <c r="DN88" i="19"/>
  <c r="DN90" i="19"/>
  <c r="DN92" i="19"/>
  <c r="DN94" i="19"/>
  <c r="DN96" i="19"/>
  <c r="DN98" i="19"/>
  <c r="DN100" i="19"/>
  <c r="DN102" i="19"/>
  <c r="DN104" i="19"/>
  <c r="DN106" i="19"/>
  <c r="DN108" i="19"/>
  <c r="CT96" i="19"/>
  <c r="CT98" i="19"/>
  <c r="CT100" i="19"/>
  <c r="CT102" i="19"/>
  <c r="CT104" i="19"/>
  <c r="CT106" i="19"/>
  <c r="CT108" i="19"/>
  <c r="CT110" i="19"/>
  <c r="CT112" i="19"/>
  <c r="CT114" i="19"/>
  <c r="CT116" i="19"/>
  <c r="CT118" i="19"/>
  <c r="CT120" i="19"/>
  <c r="CT122" i="19"/>
  <c r="CT124" i="19"/>
  <c r="CT126" i="19"/>
  <c r="CT84" i="19"/>
  <c r="CT86" i="19"/>
  <c r="CT88" i="19"/>
  <c r="CT90" i="19"/>
  <c r="CT92" i="19"/>
  <c r="CT94" i="19"/>
  <c r="CT28" i="19"/>
  <c r="CT30" i="19"/>
  <c r="CT32" i="19"/>
  <c r="CT34" i="19"/>
  <c r="CT36" i="19"/>
  <c r="CT38" i="19"/>
  <c r="CT40" i="19"/>
  <c r="CT42" i="19"/>
  <c r="CT44" i="19"/>
  <c r="CT46" i="19"/>
  <c r="CT48" i="19"/>
  <c r="CT50" i="19"/>
  <c r="CT52" i="19"/>
  <c r="CT54" i="19"/>
  <c r="CT56" i="19"/>
  <c r="CT58" i="19"/>
  <c r="CT60" i="19"/>
  <c r="CT62" i="19"/>
  <c r="CT64" i="19"/>
  <c r="CT66" i="19"/>
  <c r="CT68" i="19"/>
  <c r="CT70" i="19"/>
  <c r="CT72" i="19"/>
  <c r="CT74" i="19"/>
  <c r="CT76" i="19"/>
  <c r="CT78" i="19"/>
  <c r="CT80" i="19"/>
  <c r="CT95" i="19"/>
  <c r="CT97" i="19"/>
  <c r="CT99" i="19"/>
  <c r="CT101" i="19"/>
  <c r="CT103" i="19"/>
  <c r="CT105" i="19"/>
  <c r="CT107" i="19"/>
  <c r="CT109" i="19"/>
  <c r="CT111" i="19"/>
  <c r="CT113" i="19"/>
  <c r="CT115" i="19"/>
  <c r="CT117" i="19"/>
  <c r="CT119" i="19"/>
  <c r="CT121" i="19"/>
  <c r="CT123" i="19"/>
  <c r="CT125" i="19"/>
  <c r="CT127" i="19"/>
  <c r="CT85" i="19"/>
  <c r="CT87" i="19"/>
  <c r="CT89" i="19"/>
  <c r="CT91" i="19"/>
  <c r="CT93" i="19"/>
  <c r="CT27" i="19"/>
  <c r="CT29" i="19"/>
  <c r="CT31" i="19"/>
  <c r="CT33" i="19"/>
  <c r="CT35" i="19"/>
  <c r="CT37" i="19"/>
  <c r="CT39" i="19"/>
  <c r="CT41" i="19"/>
  <c r="CT43" i="19"/>
  <c r="CT45" i="19"/>
  <c r="CT47" i="19"/>
  <c r="CT49" i="19"/>
  <c r="CT51" i="19"/>
  <c r="CT53" i="19"/>
  <c r="CT55" i="19"/>
  <c r="CT57" i="19"/>
  <c r="CT59" i="19"/>
  <c r="CT61" i="19"/>
  <c r="CT63" i="19"/>
  <c r="CT65" i="19"/>
  <c r="CT67" i="19"/>
  <c r="CT69" i="19"/>
  <c r="CT71" i="19"/>
  <c r="CT73" i="19"/>
  <c r="CT75" i="19"/>
  <c r="CT77" i="19"/>
  <c r="CT79" i="19"/>
  <c r="CT82" i="19"/>
  <c r="CT21" i="19"/>
  <c r="CT23" i="19"/>
  <c r="CT25" i="19"/>
  <c r="CT9" i="19"/>
  <c r="CT11" i="19"/>
  <c r="CT13" i="19"/>
  <c r="CT15" i="19"/>
  <c r="CT17" i="19"/>
  <c r="CT19" i="19"/>
  <c r="BZ108" i="19"/>
  <c r="BZ110" i="19"/>
  <c r="BZ112" i="19"/>
  <c r="BZ114" i="19"/>
  <c r="BZ116" i="19"/>
  <c r="BZ118" i="19"/>
  <c r="BZ120" i="19"/>
  <c r="BZ122" i="19"/>
  <c r="BZ124" i="19"/>
  <c r="BZ126" i="19"/>
  <c r="BZ9" i="19"/>
  <c r="BZ11" i="19"/>
  <c r="BZ13" i="19"/>
  <c r="BZ15" i="19"/>
  <c r="BZ17" i="19"/>
  <c r="BZ19" i="19"/>
  <c r="BZ21" i="19"/>
  <c r="BZ23" i="19"/>
  <c r="BZ25" i="19"/>
  <c r="BZ27" i="19"/>
  <c r="BZ29" i="19"/>
  <c r="BZ31" i="19"/>
  <c r="BZ33" i="19"/>
  <c r="BZ35" i="19"/>
  <c r="BZ37" i="19"/>
  <c r="BZ39" i="19"/>
  <c r="BZ41" i="19"/>
  <c r="BZ43" i="19"/>
  <c r="BZ45" i="19"/>
  <c r="BZ47" i="19"/>
  <c r="BZ49" i="19"/>
  <c r="BZ51" i="19"/>
  <c r="BZ53" i="19"/>
  <c r="BZ55" i="19"/>
  <c r="BZ57" i="19"/>
  <c r="BZ59" i="19"/>
  <c r="BZ61" i="19"/>
  <c r="BZ63" i="19"/>
  <c r="BZ65" i="19"/>
  <c r="BZ67" i="19"/>
  <c r="BZ69" i="19"/>
  <c r="BZ71" i="19"/>
  <c r="BZ73" i="19"/>
  <c r="BZ75" i="19"/>
  <c r="BZ77" i="19"/>
  <c r="BZ79" i="19"/>
  <c r="BZ81" i="19"/>
  <c r="BZ83" i="19"/>
  <c r="BZ85" i="19"/>
  <c r="BZ87" i="19"/>
  <c r="BZ89" i="19"/>
  <c r="BZ91" i="19"/>
  <c r="BZ93" i="19"/>
  <c r="BZ95" i="19"/>
  <c r="BZ97" i="19"/>
  <c r="BZ99" i="19"/>
  <c r="BZ101" i="19"/>
  <c r="BZ103" i="19"/>
  <c r="BZ105" i="19"/>
  <c r="BF13" i="19"/>
  <c r="BF15" i="19"/>
  <c r="BF17" i="19"/>
  <c r="BF19" i="19"/>
  <c r="BF21" i="19"/>
  <c r="BF23" i="19"/>
  <c r="BF25" i="19"/>
  <c r="BF27" i="19"/>
  <c r="BF29" i="19"/>
  <c r="BF31" i="19"/>
  <c r="BF33" i="19"/>
  <c r="BF35" i="19"/>
  <c r="BF37" i="19"/>
  <c r="BF39" i="19"/>
  <c r="BF41" i="19"/>
  <c r="BF43" i="19"/>
  <c r="BF45" i="19"/>
  <c r="BF47" i="19"/>
  <c r="BF49" i="19"/>
  <c r="BF51" i="19"/>
  <c r="BF53" i="19"/>
  <c r="BF55" i="19"/>
  <c r="BF57" i="19"/>
  <c r="BF59" i="19"/>
  <c r="BF61" i="19"/>
  <c r="BF63" i="19"/>
  <c r="BF65" i="19"/>
  <c r="BF67" i="19"/>
  <c r="BF69" i="19"/>
  <c r="BF71" i="19"/>
  <c r="BF73" i="19"/>
  <c r="BF75" i="19"/>
  <c r="BF77" i="19"/>
  <c r="CT24" i="19"/>
  <c r="CT14" i="19"/>
  <c r="BZ109" i="19"/>
  <c r="BZ117" i="19"/>
  <c r="BZ125" i="19"/>
  <c r="BZ14" i="19"/>
  <c r="BZ22" i="19"/>
  <c r="BZ30" i="19"/>
  <c r="BZ38" i="19"/>
  <c r="BZ46" i="19"/>
  <c r="BZ54" i="19"/>
  <c r="BZ62" i="19"/>
  <c r="BZ70" i="19"/>
  <c r="BZ78" i="19"/>
  <c r="BZ86" i="19"/>
  <c r="BZ94" i="19"/>
  <c r="BZ102" i="19"/>
  <c r="BF80" i="19"/>
  <c r="BF82" i="19"/>
  <c r="BF84" i="19"/>
  <c r="BF86" i="19"/>
  <c r="BF88" i="19"/>
  <c r="BF90" i="19"/>
  <c r="BF92" i="19"/>
  <c r="BF94" i="19"/>
  <c r="BF96" i="19"/>
  <c r="BF98" i="19"/>
  <c r="BF100" i="19"/>
  <c r="BF102" i="19"/>
  <c r="BF104" i="19"/>
  <c r="BF106" i="19"/>
  <c r="BF108" i="19"/>
  <c r="BF110" i="19"/>
  <c r="BF112" i="19"/>
  <c r="BF114" i="19"/>
  <c r="BF116" i="19"/>
  <c r="BF118" i="19"/>
  <c r="BF120" i="19"/>
  <c r="BF122" i="19"/>
  <c r="BF124" i="19"/>
  <c r="BF126" i="19"/>
  <c r="BZ107" i="19"/>
  <c r="BZ115" i="19"/>
  <c r="BZ123" i="19"/>
  <c r="BZ12" i="19"/>
  <c r="BZ20" i="19"/>
  <c r="BZ28" i="19"/>
  <c r="BZ36" i="19"/>
  <c r="BZ92" i="19"/>
  <c r="BZ100" i="19"/>
  <c r="BF12" i="19"/>
  <c r="BF16" i="19"/>
  <c r="BF20" i="19"/>
  <c r="BF24" i="19"/>
  <c r="BF28" i="19"/>
  <c r="CT81" i="19"/>
  <c r="CT26" i="19"/>
  <c r="CT16" i="19"/>
  <c r="BZ111" i="19"/>
  <c r="BZ119" i="19"/>
  <c r="BZ127" i="19"/>
  <c r="BZ16" i="19"/>
  <c r="BZ24" i="19"/>
  <c r="BZ32" i="19"/>
  <c r="BZ40" i="19"/>
  <c r="BZ48" i="19"/>
  <c r="BZ56" i="19"/>
  <c r="BZ64" i="19"/>
  <c r="BZ72" i="19"/>
  <c r="BZ80" i="19"/>
  <c r="BZ88" i="19"/>
  <c r="BZ96" i="19"/>
  <c r="BZ104" i="19"/>
  <c r="BF14" i="19"/>
  <c r="BF18" i="19"/>
  <c r="BF22" i="19"/>
  <c r="BF26" i="19"/>
  <c r="BF30" i="19"/>
  <c r="BF34" i="19"/>
  <c r="BF38" i="19"/>
  <c r="BF42" i="19"/>
  <c r="BF46" i="19"/>
  <c r="BF50" i="19"/>
  <c r="BF54" i="19"/>
  <c r="BF58" i="19"/>
  <c r="BF62" i="19"/>
  <c r="BF66" i="19"/>
  <c r="BF70" i="19"/>
  <c r="BF74" i="19"/>
  <c r="BF78" i="19"/>
  <c r="CT22" i="19"/>
  <c r="CT12" i="19"/>
  <c r="CT20" i="19"/>
  <c r="BZ52" i="19"/>
  <c r="BZ60" i="19"/>
  <c r="BZ68" i="19"/>
  <c r="BZ76" i="19"/>
  <c r="BZ84" i="19"/>
  <c r="BF44" i="19"/>
  <c r="BF48" i="19"/>
  <c r="BF52" i="19"/>
  <c r="BF56" i="19"/>
  <c r="BF60" i="19"/>
  <c r="BF64" i="19"/>
  <c r="BF68" i="19"/>
  <c r="BF72" i="19"/>
  <c r="BF76" i="19"/>
  <c r="CT83" i="19"/>
  <c r="CT10" i="19"/>
  <c r="CT18" i="19"/>
  <c r="BZ113" i="19"/>
  <c r="BZ121" i="19"/>
  <c r="BZ10" i="19"/>
  <c r="BZ18" i="19"/>
  <c r="BZ26" i="19"/>
  <c r="BZ34" i="19"/>
  <c r="BZ42" i="19"/>
  <c r="BZ50" i="19"/>
  <c r="BZ58" i="19"/>
  <c r="BZ66" i="19"/>
  <c r="BZ74" i="19"/>
  <c r="BZ82" i="19"/>
  <c r="BZ90" i="19"/>
  <c r="BZ98" i="19"/>
  <c r="BZ106" i="19"/>
  <c r="BF79" i="19"/>
  <c r="BF81" i="19"/>
  <c r="BF83" i="19"/>
  <c r="BF85" i="19"/>
  <c r="BF87" i="19"/>
  <c r="BF89" i="19"/>
  <c r="BF91" i="19"/>
  <c r="BF93" i="19"/>
  <c r="BF95" i="19"/>
  <c r="BF97" i="19"/>
  <c r="BF99" i="19"/>
  <c r="BF101" i="19"/>
  <c r="BF103" i="19"/>
  <c r="BF105" i="19"/>
  <c r="BF107" i="19"/>
  <c r="BF109" i="19"/>
  <c r="BF111" i="19"/>
  <c r="BF113" i="19"/>
  <c r="BF115" i="19"/>
  <c r="BF117" i="19"/>
  <c r="BF119" i="19"/>
  <c r="BF121" i="19"/>
  <c r="BF123" i="19"/>
  <c r="BF125" i="19"/>
  <c r="BF127" i="19"/>
  <c r="BZ44" i="19"/>
  <c r="BF32" i="19"/>
  <c r="BF36" i="19"/>
  <c r="BF40" i="19"/>
  <c r="AF79" i="19"/>
  <c r="EB127" i="19"/>
  <c r="EB125" i="19"/>
  <c r="EB112" i="19"/>
  <c r="EB114" i="19"/>
  <c r="EB116" i="19"/>
  <c r="EB118" i="19"/>
  <c r="EB120" i="19"/>
  <c r="EB122" i="19"/>
  <c r="EB97" i="19"/>
  <c r="EB99" i="19"/>
  <c r="EB101" i="19"/>
  <c r="EB103" i="19"/>
  <c r="EB105" i="19"/>
  <c r="EB107" i="19"/>
  <c r="EB109" i="19"/>
  <c r="EB111" i="19"/>
  <c r="EB10" i="19"/>
  <c r="EB12" i="19"/>
  <c r="EB14" i="19"/>
  <c r="EB16" i="19"/>
  <c r="EB18" i="19"/>
  <c r="EB20" i="19"/>
  <c r="EB22" i="19"/>
  <c r="EB24" i="19"/>
  <c r="EB26" i="19"/>
  <c r="EB28" i="19"/>
  <c r="EB30" i="19"/>
  <c r="EB32" i="19"/>
  <c r="EB34" i="19"/>
  <c r="EB36" i="19"/>
  <c r="EB38" i="19"/>
  <c r="EB40" i="19"/>
  <c r="EB42" i="19"/>
  <c r="EB44" i="19"/>
  <c r="EB46" i="19"/>
  <c r="EB48" i="19"/>
  <c r="EB50" i="19"/>
  <c r="EB52" i="19"/>
  <c r="EB54" i="19"/>
  <c r="EB56" i="19"/>
  <c r="EB58" i="19"/>
  <c r="EB60" i="19"/>
  <c r="EB62" i="19"/>
  <c r="EB64" i="19"/>
  <c r="EB66" i="19"/>
  <c r="EB68" i="19"/>
  <c r="EB70" i="19"/>
  <c r="EB72" i="19"/>
  <c r="EB74" i="19"/>
  <c r="EB76" i="19"/>
  <c r="EB78" i="19"/>
  <c r="EB80" i="19"/>
  <c r="EB82" i="19"/>
  <c r="EB84" i="19"/>
  <c r="EB86" i="19"/>
  <c r="EB88" i="19"/>
  <c r="EB90" i="19"/>
  <c r="EB92" i="19"/>
  <c r="EB94" i="19"/>
  <c r="EB96" i="19"/>
  <c r="DH111" i="19"/>
  <c r="DH113" i="19"/>
  <c r="DH115" i="19"/>
  <c r="DH117" i="19"/>
  <c r="DH119" i="19"/>
  <c r="DH121" i="19"/>
  <c r="DH123" i="19"/>
  <c r="DH125" i="19"/>
  <c r="DH127" i="19"/>
  <c r="DH10" i="19"/>
  <c r="DH12" i="19"/>
  <c r="DH14" i="19"/>
  <c r="DH16" i="19"/>
  <c r="DH18" i="19"/>
  <c r="DH20" i="19"/>
  <c r="DH22" i="19"/>
  <c r="DH24" i="19"/>
  <c r="DH26" i="19"/>
  <c r="DH28" i="19"/>
  <c r="DH30" i="19"/>
  <c r="DH32" i="19"/>
  <c r="DH34" i="19"/>
  <c r="DH36" i="19"/>
  <c r="DH38" i="19"/>
  <c r="DH40" i="19"/>
  <c r="DH42" i="19"/>
  <c r="DH44" i="19"/>
  <c r="DH46" i="19"/>
  <c r="DH48" i="19"/>
  <c r="DH50" i="19"/>
  <c r="DH52" i="19"/>
  <c r="DH54" i="19"/>
  <c r="DH56" i="19"/>
  <c r="DH58" i="19"/>
  <c r="DH60" i="19"/>
  <c r="DH62" i="19"/>
  <c r="DH64" i="19"/>
  <c r="DH66" i="19"/>
  <c r="DH68" i="19"/>
  <c r="DH70" i="19"/>
  <c r="DH72" i="19"/>
  <c r="DH74" i="19"/>
  <c r="DH76" i="19"/>
  <c r="DH78" i="19"/>
  <c r="DH80" i="19"/>
  <c r="DH82" i="19"/>
  <c r="DH84" i="19"/>
  <c r="DH86" i="19"/>
  <c r="DH88" i="19"/>
  <c r="DH90" i="19"/>
  <c r="DH92" i="19"/>
  <c r="DH94" i="19"/>
  <c r="DH96" i="19"/>
  <c r="DH98" i="19"/>
  <c r="DH100" i="19"/>
  <c r="DH102" i="19"/>
  <c r="DH104" i="19"/>
  <c r="DH106" i="19"/>
  <c r="DH108" i="19"/>
  <c r="EB124" i="19"/>
  <c r="EB126" i="19"/>
  <c r="EB113" i="19"/>
  <c r="EB115" i="19"/>
  <c r="EB117" i="19"/>
  <c r="EB119" i="19"/>
  <c r="EB121" i="19"/>
  <c r="EB123" i="19"/>
  <c r="EB98" i="19"/>
  <c r="EB100" i="19"/>
  <c r="EB102" i="19"/>
  <c r="EB104" i="19"/>
  <c r="EB106" i="19"/>
  <c r="EB108" i="19"/>
  <c r="EB110" i="19"/>
  <c r="EB9" i="19"/>
  <c r="EB11" i="19"/>
  <c r="EB13" i="19"/>
  <c r="EB15" i="19"/>
  <c r="EB17" i="19"/>
  <c r="EB19" i="19"/>
  <c r="EB21" i="19"/>
  <c r="EB23" i="19"/>
  <c r="EB25" i="19"/>
  <c r="EB27" i="19"/>
  <c r="EB29" i="19"/>
  <c r="EB31" i="19"/>
  <c r="EB33" i="19"/>
  <c r="EB35" i="19"/>
  <c r="EB37" i="19"/>
  <c r="EB39" i="19"/>
  <c r="EB41" i="19"/>
  <c r="EB43" i="19"/>
  <c r="EB45" i="19"/>
  <c r="EB47" i="19"/>
  <c r="EB49" i="19"/>
  <c r="EB51" i="19"/>
  <c r="EB53" i="19"/>
  <c r="EB55" i="19"/>
  <c r="EB57" i="19"/>
  <c r="EB59" i="19"/>
  <c r="EB61" i="19"/>
  <c r="EB63" i="19"/>
  <c r="EB65" i="19"/>
  <c r="EB67" i="19"/>
  <c r="EB69" i="19"/>
  <c r="EB71" i="19"/>
  <c r="EB73" i="19"/>
  <c r="EB75" i="19"/>
  <c r="EB77" i="19"/>
  <c r="EB79" i="19"/>
  <c r="EB81" i="19"/>
  <c r="EB83" i="19"/>
  <c r="EB85" i="19"/>
  <c r="EB87" i="19"/>
  <c r="EB89" i="19"/>
  <c r="EB91" i="19"/>
  <c r="EB93" i="19"/>
  <c r="EB95" i="19"/>
  <c r="DH110" i="19"/>
  <c r="DH112" i="19"/>
  <c r="DH114" i="19"/>
  <c r="DH116" i="19"/>
  <c r="DH118" i="19"/>
  <c r="DH120" i="19"/>
  <c r="DH122" i="19"/>
  <c r="DH124" i="19"/>
  <c r="DH126" i="19"/>
  <c r="DH9" i="19"/>
  <c r="DH11" i="19"/>
  <c r="DH13" i="19"/>
  <c r="DH15" i="19"/>
  <c r="DH17" i="19"/>
  <c r="DH19" i="19"/>
  <c r="DH21" i="19"/>
  <c r="DH23" i="19"/>
  <c r="DH25" i="19"/>
  <c r="DH27" i="19"/>
  <c r="DH29" i="19"/>
  <c r="DH31" i="19"/>
  <c r="DH33" i="19"/>
  <c r="DH35" i="19"/>
  <c r="DH37" i="19"/>
  <c r="DH39" i="19"/>
  <c r="DH41" i="19"/>
  <c r="DH43" i="19"/>
  <c r="DH45" i="19"/>
  <c r="DH47" i="19"/>
  <c r="DH49" i="19"/>
  <c r="DH51" i="19"/>
  <c r="DH53" i="19"/>
  <c r="DH55" i="19"/>
  <c r="DH57" i="19"/>
  <c r="DH59" i="19"/>
  <c r="DH61" i="19"/>
  <c r="DH63" i="19"/>
  <c r="DH65" i="19"/>
  <c r="DH67" i="19"/>
  <c r="DH69" i="19"/>
  <c r="DH71" i="19"/>
  <c r="DH73" i="19"/>
  <c r="DH75" i="19"/>
  <c r="DH77" i="19"/>
  <c r="DH79" i="19"/>
  <c r="DH81" i="19"/>
  <c r="DH83" i="19"/>
  <c r="DH85" i="19"/>
  <c r="DH87" i="19"/>
  <c r="DH89" i="19"/>
  <c r="DH91" i="19"/>
  <c r="DH93" i="19"/>
  <c r="DH95" i="19"/>
  <c r="DH97" i="19"/>
  <c r="DH99" i="19"/>
  <c r="DH101" i="19"/>
  <c r="DH103" i="19"/>
  <c r="DH105" i="19"/>
  <c r="DH107" i="19"/>
  <c r="DH109" i="19"/>
  <c r="CN95" i="19"/>
  <c r="CN97" i="19"/>
  <c r="CN99" i="19"/>
  <c r="CN101" i="19"/>
  <c r="CN103" i="19"/>
  <c r="CN105" i="19"/>
  <c r="CN107" i="19"/>
  <c r="CN109" i="19"/>
  <c r="CN111" i="19"/>
  <c r="CN113" i="19"/>
  <c r="CN115" i="19"/>
  <c r="CN117" i="19"/>
  <c r="CN119" i="19"/>
  <c r="CN121" i="19"/>
  <c r="CN123" i="19"/>
  <c r="CN125" i="19"/>
  <c r="CN127" i="19"/>
  <c r="CN85" i="19"/>
  <c r="CN87" i="19"/>
  <c r="CN89" i="19"/>
  <c r="CN91" i="19"/>
  <c r="CN93" i="19"/>
  <c r="CN27" i="19"/>
  <c r="CN29" i="19"/>
  <c r="CN31" i="19"/>
  <c r="CN33" i="19"/>
  <c r="CN35" i="19"/>
  <c r="CN37" i="19"/>
  <c r="CN39" i="19"/>
  <c r="CN41" i="19"/>
  <c r="CN43" i="19"/>
  <c r="CN45" i="19"/>
  <c r="CN47" i="19"/>
  <c r="CN49" i="19"/>
  <c r="CN51" i="19"/>
  <c r="CN53" i="19"/>
  <c r="CN55" i="19"/>
  <c r="CN57" i="19"/>
  <c r="CN59" i="19"/>
  <c r="CN61" i="19"/>
  <c r="CN63" i="19"/>
  <c r="CN65" i="19"/>
  <c r="CN67" i="19"/>
  <c r="CN69" i="19"/>
  <c r="CN71" i="19"/>
  <c r="CN73" i="19"/>
  <c r="CN75" i="19"/>
  <c r="CN77" i="19"/>
  <c r="CN79" i="19"/>
  <c r="CN81" i="19"/>
  <c r="CN96" i="19"/>
  <c r="CN98" i="19"/>
  <c r="CN100" i="19"/>
  <c r="CN102" i="19"/>
  <c r="CN104" i="19"/>
  <c r="CN106" i="19"/>
  <c r="CN108" i="19"/>
  <c r="CN110" i="19"/>
  <c r="CN112" i="19"/>
  <c r="CN114" i="19"/>
  <c r="CN116" i="19"/>
  <c r="CN118" i="19"/>
  <c r="CN120" i="19"/>
  <c r="CN122" i="19"/>
  <c r="CN124" i="19"/>
  <c r="CN126" i="19"/>
  <c r="CN84" i="19"/>
  <c r="CN86" i="19"/>
  <c r="CN88" i="19"/>
  <c r="CN90" i="19"/>
  <c r="CN92" i="19"/>
  <c r="CN94" i="19"/>
  <c r="CN28" i="19"/>
  <c r="CN30" i="19"/>
  <c r="CN32" i="19"/>
  <c r="CN34" i="19"/>
  <c r="CN36" i="19"/>
  <c r="CN38" i="19"/>
  <c r="CN40" i="19"/>
  <c r="CN42" i="19"/>
  <c r="CN44" i="19"/>
  <c r="CN46" i="19"/>
  <c r="CN48" i="19"/>
  <c r="CN50" i="19"/>
  <c r="CN52" i="19"/>
  <c r="CN54" i="19"/>
  <c r="CN56" i="19"/>
  <c r="CN58" i="19"/>
  <c r="CN60" i="19"/>
  <c r="CN62" i="19"/>
  <c r="CN64" i="19"/>
  <c r="CN66" i="19"/>
  <c r="CN68" i="19"/>
  <c r="CN70" i="19"/>
  <c r="CN72" i="19"/>
  <c r="CN74" i="19"/>
  <c r="CN76" i="19"/>
  <c r="CN78" i="19"/>
  <c r="CN80" i="19"/>
  <c r="CN83" i="19"/>
  <c r="CN22" i="19"/>
  <c r="CN24" i="19"/>
  <c r="CN26" i="19"/>
  <c r="CN10" i="19"/>
  <c r="CN12" i="19"/>
  <c r="CN14" i="19"/>
  <c r="CN16" i="19"/>
  <c r="CN18" i="19"/>
  <c r="CN20" i="19"/>
  <c r="AZ12" i="19"/>
  <c r="AZ14" i="19"/>
  <c r="AZ16" i="19"/>
  <c r="AZ18" i="19"/>
  <c r="AZ20" i="19"/>
  <c r="AZ22" i="19"/>
  <c r="AZ24" i="19"/>
  <c r="AZ26" i="19"/>
  <c r="AZ28" i="19"/>
  <c r="AZ30" i="19"/>
  <c r="AZ32" i="19"/>
  <c r="AZ34" i="19"/>
  <c r="AZ36" i="19"/>
  <c r="AZ38" i="19"/>
  <c r="AZ40" i="19"/>
  <c r="AZ42" i="19"/>
  <c r="AZ44" i="19"/>
  <c r="AZ46" i="19"/>
  <c r="AZ48" i="19"/>
  <c r="AZ50" i="19"/>
  <c r="AZ52" i="19"/>
  <c r="AZ54" i="19"/>
  <c r="AZ56" i="19"/>
  <c r="AZ58" i="19"/>
  <c r="AZ60" i="19"/>
  <c r="AZ62" i="19"/>
  <c r="AZ64" i="19"/>
  <c r="AZ66" i="19"/>
  <c r="AZ68" i="19"/>
  <c r="AZ70" i="19"/>
  <c r="AZ72" i="19"/>
  <c r="AZ74" i="19"/>
  <c r="AZ76" i="19"/>
  <c r="AZ78" i="19"/>
  <c r="CN23" i="19"/>
  <c r="CN13" i="19"/>
  <c r="AZ79" i="19"/>
  <c r="AZ81" i="19"/>
  <c r="AZ83" i="19"/>
  <c r="AZ85" i="19"/>
  <c r="AZ87" i="19"/>
  <c r="AZ89" i="19"/>
  <c r="AZ91" i="19"/>
  <c r="AZ93" i="19"/>
  <c r="AZ95" i="19"/>
  <c r="AZ97" i="19"/>
  <c r="AZ99" i="19"/>
  <c r="AZ101" i="19"/>
  <c r="AZ103" i="19"/>
  <c r="AZ105" i="19"/>
  <c r="AZ107" i="19"/>
  <c r="AZ109" i="19"/>
  <c r="AZ111" i="19"/>
  <c r="AZ113" i="19"/>
  <c r="AZ115" i="19"/>
  <c r="AZ117" i="19"/>
  <c r="AZ119" i="19"/>
  <c r="AZ121" i="19"/>
  <c r="AZ123" i="19"/>
  <c r="AZ125" i="19"/>
  <c r="AZ127" i="19"/>
  <c r="CN21" i="19"/>
  <c r="AZ27" i="19"/>
  <c r="AZ31" i="19"/>
  <c r="AZ39" i="19"/>
  <c r="AZ63" i="19"/>
  <c r="AZ67" i="19"/>
  <c r="AZ71" i="19"/>
  <c r="AZ75" i="19"/>
  <c r="CN25" i="19"/>
  <c r="CN15" i="19"/>
  <c r="AZ13" i="19"/>
  <c r="AZ17" i="19"/>
  <c r="AZ21" i="19"/>
  <c r="AZ25" i="19"/>
  <c r="AZ29" i="19"/>
  <c r="AZ33" i="19"/>
  <c r="AZ37" i="19"/>
  <c r="AZ41" i="19"/>
  <c r="AZ45" i="19"/>
  <c r="AZ49" i="19"/>
  <c r="AZ53" i="19"/>
  <c r="AZ57" i="19"/>
  <c r="AZ61" i="19"/>
  <c r="AZ65" i="19"/>
  <c r="AZ69" i="19"/>
  <c r="AZ73" i="19"/>
  <c r="AZ77" i="19"/>
  <c r="AZ15" i="19"/>
  <c r="AZ35" i="19"/>
  <c r="AZ51" i="19"/>
  <c r="AZ55" i="19"/>
  <c r="AZ59" i="19"/>
  <c r="CN82" i="19"/>
  <c r="CN9" i="19"/>
  <c r="CN17" i="19"/>
  <c r="AZ80" i="19"/>
  <c r="AZ82" i="19"/>
  <c r="AZ84" i="19"/>
  <c r="AZ86" i="19"/>
  <c r="AZ88" i="19"/>
  <c r="AZ90" i="19"/>
  <c r="AZ92" i="19"/>
  <c r="AZ94" i="19"/>
  <c r="AZ96" i="19"/>
  <c r="AZ98" i="19"/>
  <c r="AZ100" i="19"/>
  <c r="AZ102" i="19"/>
  <c r="AZ104" i="19"/>
  <c r="AZ106" i="19"/>
  <c r="AZ108" i="19"/>
  <c r="AZ110" i="19"/>
  <c r="AZ112" i="19"/>
  <c r="AZ114" i="19"/>
  <c r="AZ116" i="19"/>
  <c r="AZ118" i="19"/>
  <c r="AZ120" i="19"/>
  <c r="AZ122" i="19"/>
  <c r="AZ124" i="19"/>
  <c r="AZ126" i="19"/>
  <c r="CN11" i="19"/>
  <c r="CN19" i="19"/>
  <c r="AZ19" i="19"/>
  <c r="AZ23" i="19"/>
  <c r="AZ43" i="19"/>
  <c r="AZ47" i="19"/>
  <c r="FV162" i="20"/>
  <c r="FZ162" i="20"/>
  <c r="FV163" i="20"/>
  <c r="FZ163" i="20"/>
  <c r="FS162" i="20"/>
  <c r="FW162" i="20"/>
  <c r="FS163" i="20"/>
  <c r="FW163" i="20"/>
  <c r="FT162" i="20"/>
  <c r="FX162" i="20"/>
  <c r="FT163" i="20"/>
  <c r="FX163" i="20"/>
  <c r="FT164" i="20"/>
  <c r="FX164" i="20"/>
  <c r="FT165" i="20"/>
  <c r="FX165" i="20"/>
  <c r="FU162" i="20"/>
  <c r="FU163" i="20"/>
  <c r="FS164" i="20"/>
  <c r="FY164" i="20"/>
  <c r="FS165" i="20"/>
  <c r="FY165" i="20"/>
  <c r="FS166" i="20"/>
  <c r="FW166" i="20"/>
  <c r="FS167" i="20"/>
  <c r="FW167" i="20"/>
  <c r="FS9" i="20"/>
  <c r="FW9" i="20"/>
  <c r="FS10" i="20"/>
  <c r="FW10" i="20"/>
  <c r="FS11" i="20"/>
  <c r="FW11" i="20"/>
  <c r="FS12" i="20"/>
  <c r="FW12" i="20"/>
  <c r="FS13" i="20"/>
  <c r="FW13" i="20"/>
  <c r="FS14" i="20"/>
  <c r="FW14" i="20"/>
  <c r="FS15" i="20"/>
  <c r="FW15" i="20"/>
  <c r="FS16" i="20"/>
  <c r="FW16" i="20"/>
  <c r="FS17" i="20"/>
  <c r="FW17" i="20"/>
  <c r="FS18" i="20"/>
  <c r="FW18" i="20"/>
  <c r="FS19" i="20"/>
  <c r="FW19" i="20"/>
  <c r="FS20" i="20"/>
  <c r="FW20" i="20"/>
  <c r="FS21" i="20"/>
  <c r="FW21" i="20"/>
  <c r="FS22" i="20"/>
  <c r="FW22" i="20"/>
  <c r="FS23" i="20"/>
  <c r="FW23" i="20"/>
  <c r="FS24" i="20"/>
  <c r="FW24" i="20"/>
  <c r="FS25" i="20"/>
  <c r="FW25" i="20"/>
  <c r="FS26" i="20"/>
  <c r="FW26" i="20"/>
  <c r="FS27" i="20"/>
  <c r="FW27" i="20"/>
  <c r="FS28" i="20"/>
  <c r="FW28" i="20"/>
  <c r="FS29" i="20"/>
  <c r="FW29" i="20"/>
  <c r="FS30" i="20"/>
  <c r="FW30" i="20"/>
  <c r="FY162" i="20"/>
  <c r="FY163" i="20"/>
  <c r="FU164" i="20"/>
  <c r="FZ164" i="20"/>
  <c r="FU165" i="20"/>
  <c r="FZ165" i="20"/>
  <c r="FT166" i="20"/>
  <c r="FX166" i="20"/>
  <c r="FT167" i="20"/>
  <c r="FX167" i="20"/>
  <c r="FT9" i="20"/>
  <c r="FX9" i="20"/>
  <c r="FT10" i="20"/>
  <c r="FX10" i="20"/>
  <c r="FT11" i="20"/>
  <c r="FX11" i="20"/>
  <c r="FT12" i="20"/>
  <c r="FX12" i="20"/>
  <c r="FT13" i="20"/>
  <c r="FX13" i="20"/>
  <c r="FT14" i="20"/>
  <c r="FX14" i="20"/>
  <c r="FT15" i="20"/>
  <c r="FX15" i="20"/>
  <c r="FT16" i="20"/>
  <c r="FX16" i="20"/>
  <c r="FT17" i="20"/>
  <c r="FX17" i="20"/>
  <c r="FT18" i="20"/>
  <c r="FX18" i="20"/>
  <c r="FT19" i="20"/>
  <c r="FX19" i="20"/>
  <c r="FT20" i="20"/>
  <c r="FX20" i="20"/>
  <c r="FT21" i="20"/>
  <c r="FX21" i="20"/>
  <c r="FT22" i="20"/>
  <c r="FX22" i="20"/>
  <c r="FT23" i="20"/>
  <c r="FX23" i="20"/>
  <c r="FT24" i="20"/>
  <c r="FX24" i="20"/>
  <c r="FT25" i="20"/>
  <c r="FX25" i="20"/>
  <c r="FV164" i="20"/>
  <c r="FV165" i="20"/>
  <c r="FU166" i="20"/>
  <c r="FY166" i="20"/>
  <c r="FU167" i="20"/>
  <c r="FY167" i="20"/>
  <c r="FU9" i="20"/>
  <c r="FY9" i="20"/>
  <c r="FU10" i="20"/>
  <c r="FY10" i="20"/>
  <c r="FU11" i="20"/>
  <c r="FY11" i="20"/>
  <c r="FU12" i="20"/>
  <c r="FY12" i="20"/>
  <c r="FU13" i="20"/>
  <c r="FY13" i="20"/>
  <c r="FU14" i="20"/>
  <c r="FY14" i="20"/>
  <c r="FU15" i="20"/>
  <c r="FY15" i="20"/>
  <c r="FU16" i="20"/>
  <c r="FY16" i="20"/>
  <c r="FU17" i="20"/>
  <c r="FY17" i="20"/>
  <c r="FU18" i="20"/>
  <c r="FY18" i="20"/>
  <c r="FU19" i="20"/>
  <c r="FY19" i="20"/>
  <c r="FU20" i="20"/>
  <c r="FY20" i="20"/>
  <c r="FU21" i="20"/>
  <c r="FY21" i="20"/>
  <c r="FU22" i="20"/>
  <c r="FY22" i="20"/>
  <c r="FU23" i="20"/>
  <c r="FY23" i="20"/>
  <c r="FU24" i="20"/>
  <c r="FY24" i="20"/>
  <c r="FW164" i="20"/>
  <c r="FW165" i="20"/>
  <c r="FV166" i="20"/>
  <c r="FZ166" i="20"/>
  <c r="FV167" i="20"/>
  <c r="FZ167" i="20"/>
  <c r="FV9" i="20"/>
  <c r="FZ9" i="20"/>
  <c r="FV10" i="20"/>
  <c r="FZ10" i="20"/>
  <c r="FV11" i="20"/>
  <c r="FZ11" i="20"/>
  <c r="FV12" i="20"/>
  <c r="FZ12" i="20"/>
  <c r="FV13" i="20"/>
  <c r="FZ13" i="20"/>
  <c r="FV14" i="20"/>
  <c r="FZ14" i="20"/>
  <c r="FV15" i="20"/>
  <c r="FZ15" i="20"/>
  <c r="FV16" i="20"/>
  <c r="FZ16" i="20"/>
  <c r="FV17" i="20"/>
  <c r="FZ17" i="20"/>
  <c r="FV18" i="20"/>
  <c r="FZ18" i="20"/>
  <c r="FV19" i="20"/>
  <c r="FZ19" i="20"/>
  <c r="FV20" i="20"/>
  <c r="FZ20" i="20"/>
  <c r="FV21" i="20"/>
  <c r="FZ21" i="20"/>
  <c r="FV22" i="20"/>
  <c r="FZ22" i="20"/>
  <c r="FV23" i="20"/>
  <c r="FZ23" i="20"/>
  <c r="FV24" i="20"/>
  <c r="FZ24" i="20"/>
  <c r="FV25" i="20"/>
  <c r="FZ25" i="20"/>
  <c r="FV26" i="20"/>
  <c r="FZ26" i="20"/>
  <c r="FV27" i="20"/>
  <c r="FZ27" i="20"/>
  <c r="FV28" i="20"/>
  <c r="FZ28" i="20"/>
  <c r="FV29" i="20"/>
  <c r="FZ29" i="20"/>
  <c r="FV30" i="20"/>
  <c r="FZ30" i="20"/>
  <c r="FY25" i="20"/>
  <c r="FY26" i="20"/>
  <c r="FY27" i="20"/>
  <c r="FY28" i="20"/>
  <c r="FY29" i="20"/>
  <c r="FY30" i="20"/>
  <c r="FV31" i="20"/>
  <c r="FZ31" i="20"/>
  <c r="FV32" i="20"/>
  <c r="FZ32" i="20"/>
  <c r="FV33" i="20"/>
  <c r="FZ33" i="20"/>
  <c r="FV34" i="20"/>
  <c r="FZ34" i="20"/>
  <c r="FV35" i="20"/>
  <c r="FZ35" i="20"/>
  <c r="FV36" i="20"/>
  <c r="FZ36" i="20"/>
  <c r="FV37" i="20"/>
  <c r="FZ37" i="20"/>
  <c r="FV38" i="20"/>
  <c r="FZ38" i="20"/>
  <c r="FV39" i="20"/>
  <c r="FZ39" i="20"/>
  <c r="FV40" i="20"/>
  <c r="FZ40" i="20"/>
  <c r="FV41" i="20"/>
  <c r="FZ41" i="20"/>
  <c r="FV42" i="20"/>
  <c r="FZ42" i="20"/>
  <c r="FV43" i="20"/>
  <c r="FZ43" i="20"/>
  <c r="FV44" i="20"/>
  <c r="FZ44" i="20"/>
  <c r="FV45" i="20"/>
  <c r="FZ45" i="20"/>
  <c r="FV46" i="20"/>
  <c r="FZ46" i="20"/>
  <c r="FV47" i="20"/>
  <c r="FZ47" i="20"/>
  <c r="FV48" i="20"/>
  <c r="FZ48" i="20"/>
  <c r="FV49" i="20"/>
  <c r="FZ49" i="20"/>
  <c r="FV50" i="20"/>
  <c r="FZ50" i="20"/>
  <c r="FV51" i="20"/>
  <c r="FZ51" i="20"/>
  <c r="FV52" i="20"/>
  <c r="FZ52" i="20"/>
  <c r="FT26" i="20"/>
  <c r="FT27" i="20"/>
  <c r="FT28" i="20"/>
  <c r="FT29" i="20"/>
  <c r="FT30" i="20"/>
  <c r="FS31" i="20"/>
  <c r="FW31" i="20"/>
  <c r="FS32" i="20"/>
  <c r="FW32" i="20"/>
  <c r="FS33" i="20"/>
  <c r="FW33" i="20"/>
  <c r="FS34" i="20"/>
  <c r="FW34" i="20"/>
  <c r="FS35" i="20"/>
  <c r="FW35" i="20"/>
  <c r="FS36" i="20"/>
  <c r="FW36" i="20"/>
  <c r="FS37" i="20"/>
  <c r="FW37" i="20"/>
  <c r="FS38" i="20"/>
  <c r="FW38" i="20"/>
  <c r="FS39" i="20"/>
  <c r="FW39" i="20"/>
  <c r="FS40" i="20"/>
  <c r="FW40" i="20"/>
  <c r="FS41" i="20"/>
  <c r="FW41" i="20"/>
  <c r="FS42" i="20"/>
  <c r="FW42" i="20"/>
  <c r="FS43" i="20"/>
  <c r="FW43" i="20"/>
  <c r="FS44" i="20"/>
  <c r="FW44" i="20"/>
  <c r="FS45" i="20"/>
  <c r="FW45" i="20"/>
  <c r="FS46" i="20"/>
  <c r="FW46" i="20"/>
  <c r="FS47" i="20"/>
  <c r="FW47" i="20"/>
  <c r="FS48" i="20"/>
  <c r="FW48" i="20"/>
  <c r="FS49" i="20"/>
  <c r="FW49" i="20"/>
  <c r="FS50" i="20"/>
  <c r="FW50" i="20"/>
  <c r="FS51" i="20"/>
  <c r="FW51" i="20"/>
  <c r="FS52" i="20"/>
  <c r="FW52" i="20"/>
  <c r="FS53" i="20"/>
  <c r="FW53" i="20"/>
  <c r="FS54" i="20"/>
  <c r="FW54" i="20"/>
  <c r="FS55" i="20"/>
  <c r="FW55" i="20"/>
  <c r="FS56" i="20"/>
  <c r="FW56" i="20"/>
  <c r="FS57" i="20"/>
  <c r="FW57" i="20"/>
  <c r="FU26" i="20"/>
  <c r="FU27" i="20"/>
  <c r="FU28" i="20"/>
  <c r="FU29" i="20"/>
  <c r="FU30" i="20"/>
  <c r="FT31" i="20"/>
  <c r="FX31" i="20"/>
  <c r="FT32" i="20"/>
  <c r="FX32" i="20"/>
  <c r="FT33" i="20"/>
  <c r="FX33" i="20"/>
  <c r="FT34" i="20"/>
  <c r="FX34" i="20"/>
  <c r="FT35" i="20"/>
  <c r="FX35" i="20"/>
  <c r="FT36" i="20"/>
  <c r="FX36" i="20"/>
  <c r="FT37" i="20"/>
  <c r="FX37" i="20"/>
  <c r="FT38" i="20"/>
  <c r="FX38" i="20"/>
  <c r="FT39" i="20"/>
  <c r="FX39" i="20"/>
  <c r="FT40" i="20"/>
  <c r="FX40" i="20"/>
  <c r="FT41" i="20"/>
  <c r="FX41" i="20"/>
  <c r="FT42" i="20"/>
  <c r="FX42" i="20"/>
  <c r="FT43" i="20"/>
  <c r="FX43" i="20"/>
  <c r="FT44" i="20"/>
  <c r="FX44" i="20"/>
  <c r="FT45" i="20"/>
  <c r="FX45" i="20"/>
  <c r="FT46" i="20"/>
  <c r="FX46" i="20"/>
  <c r="FT47" i="20"/>
  <c r="FX47" i="20"/>
  <c r="FT48" i="20"/>
  <c r="FX48" i="20"/>
  <c r="FU25" i="20"/>
  <c r="FX26" i="20"/>
  <c r="FX27" i="20"/>
  <c r="FX28" i="20"/>
  <c r="FX29" i="20"/>
  <c r="FX30" i="20"/>
  <c r="FU31" i="20"/>
  <c r="FY31" i="20"/>
  <c r="FU32" i="20"/>
  <c r="FY32" i="20"/>
  <c r="FU33" i="20"/>
  <c r="FY33" i="20"/>
  <c r="FU34" i="20"/>
  <c r="FY34" i="20"/>
  <c r="FU35" i="20"/>
  <c r="FY35" i="20"/>
  <c r="FU36" i="20"/>
  <c r="FY36" i="20"/>
  <c r="FU37" i="20"/>
  <c r="FY37" i="20"/>
  <c r="FU38" i="20"/>
  <c r="FY38" i="20"/>
  <c r="FU39" i="20"/>
  <c r="FY39" i="20"/>
  <c r="FU40" i="20"/>
  <c r="FY40" i="20"/>
  <c r="FU41" i="20"/>
  <c r="FY41" i="20"/>
  <c r="FU42" i="20"/>
  <c r="FY42" i="20"/>
  <c r="FU43" i="20"/>
  <c r="FY43" i="20"/>
  <c r="FU44" i="20"/>
  <c r="FY44" i="20"/>
  <c r="FU45" i="20"/>
  <c r="FY45" i="20"/>
  <c r="FU46" i="20"/>
  <c r="FY46" i="20"/>
  <c r="FU47" i="20"/>
  <c r="FY47" i="20"/>
  <c r="FU48" i="20"/>
  <c r="FY48" i="20"/>
  <c r="FU49" i="20"/>
  <c r="FY49" i="20"/>
  <c r="FU50" i="20"/>
  <c r="FY50" i="20"/>
  <c r="FU51" i="20"/>
  <c r="FY51" i="20"/>
  <c r="FU52" i="20"/>
  <c r="FY52" i="20"/>
  <c r="FU53" i="20"/>
  <c r="FY53" i="20"/>
  <c r="FU54" i="20"/>
  <c r="FY54" i="20"/>
  <c r="FU55" i="20"/>
  <c r="FY55" i="20"/>
  <c r="FU56" i="20"/>
  <c r="FY56" i="20"/>
  <c r="FV53" i="20"/>
  <c r="FV54" i="20"/>
  <c r="FV55" i="20"/>
  <c r="FV56" i="20"/>
  <c r="FU57" i="20"/>
  <c r="FZ57" i="20"/>
  <c r="FT58" i="20"/>
  <c r="FX58" i="20"/>
  <c r="FT59" i="20"/>
  <c r="FX59" i="20"/>
  <c r="FT60" i="20"/>
  <c r="FX60" i="20"/>
  <c r="FT61" i="20"/>
  <c r="FX61" i="20"/>
  <c r="FT62" i="20"/>
  <c r="FX62" i="20"/>
  <c r="FT63" i="20"/>
  <c r="FX63" i="20"/>
  <c r="FT64" i="20"/>
  <c r="FX64" i="20"/>
  <c r="FT65" i="20"/>
  <c r="FX65" i="20"/>
  <c r="FT66" i="20"/>
  <c r="FX66" i="20"/>
  <c r="FT67" i="20"/>
  <c r="FX67" i="20"/>
  <c r="FT68" i="20"/>
  <c r="FX68" i="20"/>
  <c r="FT69" i="20"/>
  <c r="FX69" i="20"/>
  <c r="FT70" i="20"/>
  <c r="FX70" i="20"/>
  <c r="FT71" i="20"/>
  <c r="FX71" i="20"/>
  <c r="FT72" i="20"/>
  <c r="FX72" i="20"/>
  <c r="FT73" i="20"/>
  <c r="FX73" i="20"/>
  <c r="FT74" i="20"/>
  <c r="FX74" i="20"/>
  <c r="FT75" i="20"/>
  <c r="FX75" i="20"/>
  <c r="FT76" i="20"/>
  <c r="FX76" i="20"/>
  <c r="FT77" i="20"/>
  <c r="FX77" i="20"/>
  <c r="FT78" i="20"/>
  <c r="FX78" i="20"/>
  <c r="FT79" i="20"/>
  <c r="FX79" i="20"/>
  <c r="FT80" i="20"/>
  <c r="FX80" i="20"/>
  <c r="FT81" i="20"/>
  <c r="FX81" i="20"/>
  <c r="FT82" i="20"/>
  <c r="FX82" i="20"/>
  <c r="FT83" i="20"/>
  <c r="FX83" i="20"/>
  <c r="FT84" i="20"/>
  <c r="FX84" i="20"/>
  <c r="FT85" i="20"/>
  <c r="FX85" i="20"/>
  <c r="FT86" i="20"/>
  <c r="FX86" i="20"/>
  <c r="FT87" i="20"/>
  <c r="FX87" i="20"/>
  <c r="FT88" i="20"/>
  <c r="FX88" i="20"/>
  <c r="FT89" i="20"/>
  <c r="FX89" i="20"/>
  <c r="FT90" i="20"/>
  <c r="FX90" i="20"/>
  <c r="FT91" i="20"/>
  <c r="FX91" i="20"/>
  <c r="FT92" i="20"/>
  <c r="FX92" i="20"/>
  <c r="FT93" i="20"/>
  <c r="FX93" i="20"/>
  <c r="FT94" i="20"/>
  <c r="FX94" i="20"/>
  <c r="FT95" i="20"/>
  <c r="FX95" i="20"/>
  <c r="FT96" i="20"/>
  <c r="FX96" i="20"/>
  <c r="FT49" i="20"/>
  <c r="FT50" i="20"/>
  <c r="FT51" i="20"/>
  <c r="FT52" i="20"/>
  <c r="FX53" i="20"/>
  <c r="FX54" i="20"/>
  <c r="FX55" i="20"/>
  <c r="FX56" i="20"/>
  <c r="FV57" i="20"/>
  <c r="FU58" i="20"/>
  <c r="FY58" i="20"/>
  <c r="FU59" i="20"/>
  <c r="FY59" i="20"/>
  <c r="FU60" i="20"/>
  <c r="FY60" i="20"/>
  <c r="FU61" i="20"/>
  <c r="FY61" i="20"/>
  <c r="FU62" i="20"/>
  <c r="FY62" i="20"/>
  <c r="FU63" i="20"/>
  <c r="FY63" i="20"/>
  <c r="FU64" i="20"/>
  <c r="FY64" i="20"/>
  <c r="FU65" i="20"/>
  <c r="FY65" i="20"/>
  <c r="FU66" i="20"/>
  <c r="FY66" i="20"/>
  <c r="FU67" i="20"/>
  <c r="FY67" i="20"/>
  <c r="FU68" i="20"/>
  <c r="FY68" i="20"/>
  <c r="FU69" i="20"/>
  <c r="FY69" i="20"/>
  <c r="FU70" i="20"/>
  <c r="FY70" i="20"/>
  <c r="FU71" i="20"/>
  <c r="FY71" i="20"/>
  <c r="FU72" i="20"/>
  <c r="FY72" i="20"/>
  <c r="FU73" i="20"/>
  <c r="FY73" i="20"/>
  <c r="FU74" i="20"/>
  <c r="FY74" i="20"/>
  <c r="FU75" i="20"/>
  <c r="FY75" i="20"/>
  <c r="FU76" i="20"/>
  <c r="FY76" i="20"/>
  <c r="FU77" i="20"/>
  <c r="FY77" i="20"/>
  <c r="FU78" i="20"/>
  <c r="FY78" i="20"/>
  <c r="FU79" i="20"/>
  <c r="FY79" i="20"/>
  <c r="FU80" i="20"/>
  <c r="FY80" i="20"/>
  <c r="FU81" i="20"/>
  <c r="FY81" i="20"/>
  <c r="FU82" i="20"/>
  <c r="FY82" i="20"/>
  <c r="FU83" i="20"/>
  <c r="FY83" i="20"/>
  <c r="FU84" i="20"/>
  <c r="FX49" i="20"/>
  <c r="FX50" i="20"/>
  <c r="FX51" i="20"/>
  <c r="FX52" i="20"/>
  <c r="FZ53" i="20"/>
  <c r="FZ54" i="20"/>
  <c r="FZ55" i="20"/>
  <c r="FZ56" i="20"/>
  <c r="FX57" i="20"/>
  <c r="FV58" i="20"/>
  <c r="FZ58" i="20"/>
  <c r="FV59" i="20"/>
  <c r="FZ59" i="20"/>
  <c r="FV60" i="20"/>
  <c r="FZ60" i="20"/>
  <c r="FV61" i="20"/>
  <c r="FZ61" i="20"/>
  <c r="FV62" i="20"/>
  <c r="FZ62" i="20"/>
  <c r="FV63" i="20"/>
  <c r="FZ63" i="20"/>
  <c r="FV64" i="20"/>
  <c r="FZ64" i="20"/>
  <c r="FV65" i="20"/>
  <c r="FZ65" i="20"/>
  <c r="FV66" i="20"/>
  <c r="FZ66" i="20"/>
  <c r="FV67" i="20"/>
  <c r="FZ67" i="20"/>
  <c r="FV68" i="20"/>
  <c r="FZ68" i="20"/>
  <c r="FV69" i="20"/>
  <c r="FZ69" i="20"/>
  <c r="FV70" i="20"/>
  <c r="FZ70" i="20"/>
  <c r="FV71" i="20"/>
  <c r="FZ71" i="20"/>
  <c r="FV72" i="20"/>
  <c r="FZ72" i="20"/>
  <c r="FV73" i="20"/>
  <c r="FZ73" i="20"/>
  <c r="FV74" i="20"/>
  <c r="FZ74" i="20"/>
  <c r="FV75" i="20"/>
  <c r="FZ75" i="20"/>
  <c r="FV76" i="20"/>
  <c r="FZ76" i="20"/>
  <c r="FV77" i="20"/>
  <c r="FZ77" i="20"/>
  <c r="FV78" i="20"/>
  <c r="FZ78" i="20"/>
  <c r="FV79" i="20"/>
  <c r="FZ79" i="20"/>
  <c r="FV80" i="20"/>
  <c r="FZ80" i="20"/>
  <c r="FV81" i="20"/>
  <c r="FZ81" i="20"/>
  <c r="FV82" i="20"/>
  <c r="FZ82" i="20"/>
  <c r="FV83" i="20"/>
  <c r="FZ83" i="20"/>
  <c r="FT53" i="20"/>
  <c r="FT54" i="20"/>
  <c r="FT55" i="20"/>
  <c r="FT56" i="20"/>
  <c r="FT57" i="20"/>
  <c r="FY57" i="20"/>
  <c r="FS58" i="20"/>
  <c r="FW58" i="20"/>
  <c r="FS59" i="20"/>
  <c r="FW59" i="20"/>
  <c r="FS60" i="20"/>
  <c r="FW60" i="20"/>
  <c r="FS61" i="20"/>
  <c r="FW61" i="20"/>
  <c r="FS62" i="20"/>
  <c r="FW62" i="20"/>
  <c r="FS63" i="20"/>
  <c r="FW63" i="20"/>
  <c r="FS64" i="20"/>
  <c r="FW64" i="20"/>
  <c r="FS65" i="20"/>
  <c r="FW65" i="20"/>
  <c r="FS66" i="20"/>
  <c r="FW66" i="20"/>
  <c r="FS67" i="20"/>
  <c r="FW67" i="20"/>
  <c r="FS68" i="20"/>
  <c r="FW68" i="20"/>
  <c r="FS69" i="20"/>
  <c r="FW69" i="20"/>
  <c r="FS70" i="20"/>
  <c r="FW70" i="20"/>
  <c r="FS71" i="20"/>
  <c r="FW71" i="20"/>
  <c r="FS72" i="20"/>
  <c r="FW72" i="20"/>
  <c r="FS73" i="20"/>
  <c r="FW73" i="20"/>
  <c r="FS74" i="20"/>
  <c r="FW74" i="20"/>
  <c r="FS75" i="20"/>
  <c r="FW75" i="20"/>
  <c r="FS76" i="20"/>
  <c r="FW76" i="20"/>
  <c r="FS77" i="20"/>
  <c r="FW77" i="20"/>
  <c r="FS78" i="20"/>
  <c r="FW78" i="20"/>
  <c r="FS79" i="20"/>
  <c r="FW79" i="20"/>
  <c r="FS80" i="20"/>
  <c r="FW80" i="20"/>
  <c r="FS81" i="20"/>
  <c r="FW81" i="20"/>
  <c r="FS82" i="20"/>
  <c r="FW82" i="20"/>
  <c r="FS83" i="20"/>
  <c r="FW83" i="20"/>
  <c r="FS84" i="20"/>
  <c r="FW84" i="20"/>
  <c r="FS85" i="20"/>
  <c r="FW85" i="20"/>
  <c r="FS86" i="20"/>
  <c r="FW86" i="20"/>
  <c r="FS87" i="20"/>
  <c r="FW87" i="20"/>
  <c r="FS88" i="20"/>
  <c r="FW88" i="20"/>
  <c r="FS89" i="20"/>
  <c r="FW89" i="20"/>
  <c r="FS90" i="20"/>
  <c r="FW90" i="20"/>
  <c r="FS91" i="20"/>
  <c r="FW91" i="20"/>
  <c r="FS92" i="20"/>
  <c r="FW92" i="20"/>
  <c r="FS93" i="20"/>
  <c r="FW93" i="20"/>
  <c r="FS94" i="20"/>
  <c r="FW94" i="20"/>
  <c r="FS95" i="20"/>
  <c r="FW95" i="20"/>
  <c r="FY84" i="20"/>
  <c r="FY85" i="20"/>
  <c r="FY86" i="20"/>
  <c r="FY87" i="20"/>
  <c r="FY88" i="20"/>
  <c r="FY89" i="20"/>
  <c r="FY90" i="20"/>
  <c r="FY91" i="20"/>
  <c r="FY92" i="20"/>
  <c r="FY93" i="20"/>
  <c r="FY94" i="20"/>
  <c r="FY95" i="20"/>
  <c r="FS96" i="20"/>
  <c r="FY96" i="20"/>
  <c r="FV97" i="20"/>
  <c r="FZ97" i="20"/>
  <c r="FV98" i="20"/>
  <c r="FZ98" i="20"/>
  <c r="FV99" i="20"/>
  <c r="FZ99" i="20"/>
  <c r="FV100" i="20"/>
  <c r="FZ100" i="20"/>
  <c r="FV101" i="20"/>
  <c r="FZ101" i="20"/>
  <c r="FV102" i="20"/>
  <c r="FZ102" i="20"/>
  <c r="FV103" i="20"/>
  <c r="FZ103" i="20"/>
  <c r="FV104" i="20"/>
  <c r="FZ104" i="20"/>
  <c r="FV105" i="20"/>
  <c r="FZ105" i="20"/>
  <c r="FV106" i="20"/>
  <c r="FZ106" i="20"/>
  <c r="FV107" i="20"/>
  <c r="FZ107" i="20"/>
  <c r="FV108" i="20"/>
  <c r="FZ108" i="20"/>
  <c r="FV109" i="20"/>
  <c r="FZ109" i="20"/>
  <c r="FV110" i="20"/>
  <c r="FZ110" i="20"/>
  <c r="FV111" i="20"/>
  <c r="FZ111" i="20"/>
  <c r="FV112" i="20"/>
  <c r="FZ112" i="20"/>
  <c r="FV113" i="20"/>
  <c r="FZ113" i="20"/>
  <c r="FV114" i="20"/>
  <c r="FZ114" i="20"/>
  <c r="FV115" i="20"/>
  <c r="FZ115" i="20"/>
  <c r="FV116" i="20"/>
  <c r="FZ116" i="20"/>
  <c r="FV117" i="20"/>
  <c r="FZ117" i="20"/>
  <c r="FV118" i="20"/>
  <c r="FZ118" i="20"/>
  <c r="FV119" i="20"/>
  <c r="FZ119" i="20"/>
  <c r="FV120" i="20"/>
  <c r="FZ120" i="20"/>
  <c r="FV121" i="20"/>
  <c r="FZ121" i="20"/>
  <c r="FV122" i="20"/>
  <c r="FZ122" i="20"/>
  <c r="FV123" i="20"/>
  <c r="FZ123" i="20"/>
  <c r="FV124" i="20"/>
  <c r="FZ124" i="20"/>
  <c r="FV125" i="20"/>
  <c r="FZ125" i="20"/>
  <c r="FV126" i="20"/>
  <c r="FZ84" i="20"/>
  <c r="FZ85" i="20"/>
  <c r="FZ86" i="20"/>
  <c r="FZ87" i="20"/>
  <c r="FZ88" i="20"/>
  <c r="FZ89" i="20"/>
  <c r="FZ90" i="20"/>
  <c r="FZ91" i="20"/>
  <c r="FZ92" i="20"/>
  <c r="FZ93" i="20"/>
  <c r="FZ94" i="20"/>
  <c r="FZ95" i="20"/>
  <c r="FU96" i="20"/>
  <c r="FZ96" i="20"/>
  <c r="FS97" i="20"/>
  <c r="FW97" i="20"/>
  <c r="FS98" i="20"/>
  <c r="FW98" i="20"/>
  <c r="FS99" i="20"/>
  <c r="FW99" i="20"/>
  <c r="FS100" i="20"/>
  <c r="FW100" i="20"/>
  <c r="FS101" i="20"/>
  <c r="FW101" i="20"/>
  <c r="FS102" i="20"/>
  <c r="FW102" i="20"/>
  <c r="FS103" i="20"/>
  <c r="FW103" i="20"/>
  <c r="FS104" i="20"/>
  <c r="FW104" i="20"/>
  <c r="FS105" i="20"/>
  <c r="FW105" i="20"/>
  <c r="FS106" i="20"/>
  <c r="FW106" i="20"/>
  <c r="FS107" i="20"/>
  <c r="FW107" i="20"/>
  <c r="FS108" i="20"/>
  <c r="FW108" i="20"/>
  <c r="FS109" i="20"/>
  <c r="FW109" i="20"/>
  <c r="FS110" i="20"/>
  <c r="FW110" i="20"/>
  <c r="FS111" i="20"/>
  <c r="FW111" i="20"/>
  <c r="FS112" i="20"/>
  <c r="FW112" i="20"/>
  <c r="FS113" i="20"/>
  <c r="FW113" i="20"/>
  <c r="FS114" i="20"/>
  <c r="FW114" i="20"/>
  <c r="FS115" i="20"/>
  <c r="FW115" i="20"/>
  <c r="FS116" i="20"/>
  <c r="FW116" i="20"/>
  <c r="FS117" i="20"/>
  <c r="FW117" i="20"/>
  <c r="FS118" i="20"/>
  <c r="FW118" i="20"/>
  <c r="FS119" i="20"/>
  <c r="FW119" i="20"/>
  <c r="FS120" i="20"/>
  <c r="FW120" i="20"/>
  <c r="FS121" i="20"/>
  <c r="FW121" i="20"/>
  <c r="FS122" i="20"/>
  <c r="FW122" i="20"/>
  <c r="FS123" i="20"/>
  <c r="FW123" i="20"/>
  <c r="FS124" i="20"/>
  <c r="FW124" i="20"/>
  <c r="FS125" i="20"/>
  <c r="FW125" i="20"/>
  <c r="FS126" i="20"/>
  <c r="FW126" i="20"/>
  <c r="FU85" i="20"/>
  <c r="FU86" i="20"/>
  <c r="FU87" i="20"/>
  <c r="FU88" i="20"/>
  <c r="FU89" i="20"/>
  <c r="FU90" i="20"/>
  <c r="FU91" i="20"/>
  <c r="FU92" i="20"/>
  <c r="FU93" i="20"/>
  <c r="FU94" i="20"/>
  <c r="FU95" i="20"/>
  <c r="FV96" i="20"/>
  <c r="FT97" i="20"/>
  <c r="FX97" i="20"/>
  <c r="FT98" i="20"/>
  <c r="FX98" i="20"/>
  <c r="FT99" i="20"/>
  <c r="FX99" i="20"/>
  <c r="FT100" i="20"/>
  <c r="FX100" i="20"/>
  <c r="FT101" i="20"/>
  <c r="FX101" i="20"/>
  <c r="FT102" i="20"/>
  <c r="FX102" i="20"/>
  <c r="FT103" i="20"/>
  <c r="FX103" i="20"/>
  <c r="FT104" i="20"/>
  <c r="FX104" i="20"/>
  <c r="FT105" i="20"/>
  <c r="FX105" i="20"/>
  <c r="FT106" i="20"/>
  <c r="FX106" i="20"/>
  <c r="FT107" i="20"/>
  <c r="FX107" i="20"/>
  <c r="FT108" i="20"/>
  <c r="FX108" i="20"/>
  <c r="FT109" i="20"/>
  <c r="FX109" i="20"/>
  <c r="FT110" i="20"/>
  <c r="FX110" i="20"/>
  <c r="FT111" i="20"/>
  <c r="FX111" i="20"/>
  <c r="FT112" i="20"/>
  <c r="FX112" i="20"/>
  <c r="FT113" i="20"/>
  <c r="FX113" i="20"/>
  <c r="FT114" i="20"/>
  <c r="FX114" i="20"/>
  <c r="FT115" i="20"/>
  <c r="FX115" i="20"/>
  <c r="FT116" i="20"/>
  <c r="FX116" i="20"/>
  <c r="FT117" i="20"/>
  <c r="FX117" i="20"/>
  <c r="FT118" i="20"/>
  <c r="FX118" i="20"/>
  <c r="FT119" i="20"/>
  <c r="FX119" i="20"/>
  <c r="FT120" i="20"/>
  <c r="FX120" i="20"/>
  <c r="FT121" i="20"/>
  <c r="FX121" i="20"/>
  <c r="FT122" i="20"/>
  <c r="FX122" i="20"/>
  <c r="FT123" i="20"/>
  <c r="FX123" i="20"/>
  <c r="FT124" i="20"/>
  <c r="FX124" i="20"/>
  <c r="FT125" i="20"/>
  <c r="FX125" i="20"/>
  <c r="FT126" i="20"/>
  <c r="FX126" i="20"/>
  <c r="FT127" i="20"/>
  <c r="FX127" i="20"/>
  <c r="FT128" i="20"/>
  <c r="FX128" i="20"/>
  <c r="FT129" i="20"/>
  <c r="FX129" i="20"/>
  <c r="FT130" i="20"/>
  <c r="FX130" i="20"/>
  <c r="FT131" i="20"/>
  <c r="FX131" i="20"/>
  <c r="FT132" i="20"/>
  <c r="FX132" i="20"/>
  <c r="FV84" i="20"/>
  <c r="FV85" i="20"/>
  <c r="FV86" i="20"/>
  <c r="FV87" i="20"/>
  <c r="FV88" i="20"/>
  <c r="FV89" i="20"/>
  <c r="FV90" i="20"/>
  <c r="FV91" i="20"/>
  <c r="FV92" i="20"/>
  <c r="FV93" i="20"/>
  <c r="FV94" i="20"/>
  <c r="FV95" i="20"/>
  <c r="FW96" i="20"/>
  <c r="FU97" i="20"/>
  <c r="FY97" i="20"/>
  <c r="FU98" i="20"/>
  <c r="FY98" i="20"/>
  <c r="FU99" i="20"/>
  <c r="FY99" i="20"/>
  <c r="FU100" i="20"/>
  <c r="FY100" i="20"/>
  <c r="FU101" i="20"/>
  <c r="FY101" i="20"/>
  <c r="FU102" i="20"/>
  <c r="FY102" i="20"/>
  <c r="FU103" i="20"/>
  <c r="FY103" i="20"/>
  <c r="FU104" i="20"/>
  <c r="FY104" i="20"/>
  <c r="FU105" i="20"/>
  <c r="FY105" i="20"/>
  <c r="FU106" i="20"/>
  <c r="FY106" i="20"/>
  <c r="FU107" i="20"/>
  <c r="FY107" i="20"/>
  <c r="FU108" i="20"/>
  <c r="FY108" i="20"/>
  <c r="FU109" i="20"/>
  <c r="FY109" i="20"/>
  <c r="FU110" i="20"/>
  <c r="FY110" i="20"/>
  <c r="FU111" i="20"/>
  <c r="FY111" i="20"/>
  <c r="FU112" i="20"/>
  <c r="FY112" i="20"/>
  <c r="FU113" i="20"/>
  <c r="FY113" i="20"/>
  <c r="FU114" i="20"/>
  <c r="FY114" i="20"/>
  <c r="FU115" i="20"/>
  <c r="FY115" i="20"/>
  <c r="FU116" i="20"/>
  <c r="FY116" i="20"/>
  <c r="FU117" i="20"/>
  <c r="FY117" i="20"/>
  <c r="FU118" i="20"/>
  <c r="FY118" i="20"/>
  <c r="FU119" i="20"/>
  <c r="FY119" i="20"/>
  <c r="FU120" i="20"/>
  <c r="FY120" i="20"/>
  <c r="FU121" i="20"/>
  <c r="FY121" i="20"/>
  <c r="FU122" i="20"/>
  <c r="FY122" i="20"/>
  <c r="FU123" i="20"/>
  <c r="FY123" i="20"/>
  <c r="FU124" i="20"/>
  <c r="FY124" i="20"/>
  <c r="FU125" i="20"/>
  <c r="FY125" i="20"/>
  <c r="FU126" i="20"/>
  <c r="FY126" i="20"/>
  <c r="FU127" i="20"/>
  <c r="FY127" i="20"/>
  <c r="FU128" i="20"/>
  <c r="FY128" i="20"/>
  <c r="FU129" i="20"/>
  <c r="FY129" i="20"/>
  <c r="FU130" i="20"/>
  <c r="FY130" i="20"/>
  <c r="FU131" i="20"/>
  <c r="FY131" i="20"/>
  <c r="FU132" i="20"/>
  <c r="FY132" i="20"/>
  <c r="FW127" i="20"/>
  <c r="FW128" i="20"/>
  <c r="FW129" i="20"/>
  <c r="FW130" i="20"/>
  <c r="FW131" i="20"/>
  <c r="FW132" i="20"/>
  <c r="FU133" i="20"/>
  <c r="FY133" i="20"/>
  <c r="FU134" i="20"/>
  <c r="FY134" i="20"/>
  <c r="FU135" i="20"/>
  <c r="FY135" i="20"/>
  <c r="FU136" i="20"/>
  <c r="FY136" i="20"/>
  <c r="FU137" i="20"/>
  <c r="FY137" i="20"/>
  <c r="FU138" i="20"/>
  <c r="FY138" i="20"/>
  <c r="FU139" i="20"/>
  <c r="FY139" i="20"/>
  <c r="FU140" i="20"/>
  <c r="FY140" i="20"/>
  <c r="FU141" i="20"/>
  <c r="FY141" i="20"/>
  <c r="FU142" i="20"/>
  <c r="FY142" i="20"/>
  <c r="FU143" i="20"/>
  <c r="FY143" i="20"/>
  <c r="FU144" i="20"/>
  <c r="FY144" i="20"/>
  <c r="FU145" i="20"/>
  <c r="FY145" i="20"/>
  <c r="FU146" i="20"/>
  <c r="FY146" i="20"/>
  <c r="FU147" i="20"/>
  <c r="FY147" i="20"/>
  <c r="FU148" i="20"/>
  <c r="FY148" i="20"/>
  <c r="FU149" i="20"/>
  <c r="FY149" i="20"/>
  <c r="FU150" i="20"/>
  <c r="FY150" i="20"/>
  <c r="FU151" i="20"/>
  <c r="FY151" i="20"/>
  <c r="FU152" i="20"/>
  <c r="FY152" i="20"/>
  <c r="FU153" i="20"/>
  <c r="FY153" i="20"/>
  <c r="FU154" i="20"/>
  <c r="FY154" i="20"/>
  <c r="FU155" i="20"/>
  <c r="FY155" i="20"/>
  <c r="FU156" i="20"/>
  <c r="FY156" i="20"/>
  <c r="FU157" i="20"/>
  <c r="FY157" i="20"/>
  <c r="FU158" i="20"/>
  <c r="FY158" i="20"/>
  <c r="FU159" i="20"/>
  <c r="FY159" i="20"/>
  <c r="FU160" i="20"/>
  <c r="FY160" i="20"/>
  <c r="FU161" i="20"/>
  <c r="FY161" i="20"/>
  <c r="FZ126" i="20"/>
  <c r="FZ127" i="20"/>
  <c r="FZ128" i="20"/>
  <c r="FZ129" i="20"/>
  <c r="FZ130" i="20"/>
  <c r="FZ131" i="20"/>
  <c r="FZ132" i="20"/>
  <c r="FV133" i="20"/>
  <c r="FZ133" i="20"/>
  <c r="FV134" i="20"/>
  <c r="FZ134" i="20"/>
  <c r="FV135" i="20"/>
  <c r="FZ135" i="20"/>
  <c r="FV136" i="20"/>
  <c r="FZ136" i="20"/>
  <c r="FV137" i="20"/>
  <c r="FZ137" i="20"/>
  <c r="FV138" i="20"/>
  <c r="FZ138" i="20"/>
  <c r="FV139" i="20"/>
  <c r="FZ139" i="20"/>
  <c r="FV140" i="20"/>
  <c r="FZ140" i="20"/>
  <c r="FV141" i="20"/>
  <c r="FZ141" i="20"/>
  <c r="FV142" i="20"/>
  <c r="FZ142" i="20"/>
  <c r="FV143" i="20"/>
  <c r="FZ143" i="20"/>
  <c r="FV144" i="20"/>
  <c r="FZ144" i="20"/>
  <c r="FV145" i="20"/>
  <c r="FZ145" i="20"/>
  <c r="FV146" i="20"/>
  <c r="FZ146" i="20"/>
  <c r="FV147" i="20"/>
  <c r="FZ147" i="20"/>
  <c r="FV148" i="20"/>
  <c r="FZ148" i="20"/>
  <c r="FV149" i="20"/>
  <c r="FZ149" i="20"/>
  <c r="FV150" i="20"/>
  <c r="FZ150" i="20"/>
  <c r="FV151" i="20"/>
  <c r="FZ151" i="20"/>
  <c r="FV152" i="20"/>
  <c r="FZ152" i="20"/>
  <c r="FV153" i="20"/>
  <c r="FZ153" i="20"/>
  <c r="FV154" i="20"/>
  <c r="FZ154" i="20"/>
  <c r="FV155" i="20"/>
  <c r="FZ155" i="20"/>
  <c r="FV156" i="20"/>
  <c r="FZ156" i="20"/>
  <c r="FV157" i="20"/>
  <c r="FZ157" i="20"/>
  <c r="FV158" i="20"/>
  <c r="FZ158" i="20"/>
  <c r="FV159" i="20"/>
  <c r="FZ159" i="20"/>
  <c r="FV160" i="20"/>
  <c r="FZ160" i="20"/>
  <c r="FV161" i="20"/>
  <c r="FZ161" i="20"/>
  <c r="FS127" i="20"/>
  <c r="FS128" i="20"/>
  <c r="FS129" i="20"/>
  <c r="FS130" i="20"/>
  <c r="FS131" i="20"/>
  <c r="FS132" i="20"/>
  <c r="FS133" i="20"/>
  <c r="FW133" i="20"/>
  <c r="FS134" i="20"/>
  <c r="FW134" i="20"/>
  <c r="FS135" i="20"/>
  <c r="FW135" i="20"/>
  <c r="FS136" i="20"/>
  <c r="FW136" i="20"/>
  <c r="FS137" i="20"/>
  <c r="FW137" i="20"/>
  <c r="FS138" i="20"/>
  <c r="FW138" i="20"/>
  <c r="FS139" i="20"/>
  <c r="FW139" i="20"/>
  <c r="FS140" i="20"/>
  <c r="FW140" i="20"/>
  <c r="FS141" i="20"/>
  <c r="FW141" i="20"/>
  <c r="FS142" i="20"/>
  <c r="FW142" i="20"/>
  <c r="FS143" i="20"/>
  <c r="FW143" i="20"/>
  <c r="FS144" i="20"/>
  <c r="FW144" i="20"/>
  <c r="FS145" i="20"/>
  <c r="FW145" i="20"/>
  <c r="FS146" i="20"/>
  <c r="FW146" i="20"/>
  <c r="FS147" i="20"/>
  <c r="FW147" i="20"/>
  <c r="FS148" i="20"/>
  <c r="FW148" i="20"/>
  <c r="FS149" i="20"/>
  <c r="FW149" i="20"/>
  <c r="FS150" i="20"/>
  <c r="FW150" i="20"/>
  <c r="FS151" i="20"/>
  <c r="FW151" i="20"/>
  <c r="FS152" i="20"/>
  <c r="FW152" i="20"/>
  <c r="FS153" i="20"/>
  <c r="FW153" i="20"/>
  <c r="FS154" i="20"/>
  <c r="FW154" i="20"/>
  <c r="FS155" i="20"/>
  <c r="FW155" i="20"/>
  <c r="FS156" i="20"/>
  <c r="FW156" i="20"/>
  <c r="FS157" i="20"/>
  <c r="FW157" i="20"/>
  <c r="FS158" i="20"/>
  <c r="FW158" i="20"/>
  <c r="FS159" i="20"/>
  <c r="FW159" i="20"/>
  <c r="FS160" i="20"/>
  <c r="FW160" i="20"/>
  <c r="FS161" i="20"/>
  <c r="FW161" i="20"/>
  <c r="FV127" i="20"/>
  <c r="FV128" i="20"/>
  <c r="FV129" i="20"/>
  <c r="FV130" i="20"/>
  <c r="FV131" i="20"/>
  <c r="FV132" i="20"/>
  <c r="FT133" i="20"/>
  <c r="FX133" i="20"/>
  <c r="FT134" i="20"/>
  <c r="FX134" i="20"/>
  <c r="FT135" i="20"/>
  <c r="FX135" i="20"/>
  <c r="FT136" i="20"/>
  <c r="FX136" i="20"/>
  <c r="FT137" i="20"/>
  <c r="FX137" i="20"/>
  <c r="FT138" i="20"/>
  <c r="FX138" i="20"/>
  <c r="FT139" i="20"/>
  <c r="FX139" i="20"/>
  <c r="FT140" i="20"/>
  <c r="FX140" i="20"/>
  <c r="FT141" i="20"/>
  <c r="FX141" i="20"/>
  <c r="FT142" i="20"/>
  <c r="FX142" i="20"/>
  <c r="FT143" i="20"/>
  <c r="FX143" i="20"/>
  <c r="FT144" i="20"/>
  <c r="FX144" i="20"/>
  <c r="FT145" i="20"/>
  <c r="FX145" i="20"/>
  <c r="FT146" i="20"/>
  <c r="FX146" i="20"/>
  <c r="FT147" i="20"/>
  <c r="FX147" i="20"/>
  <c r="FT148" i="20"/>
  <c r="FX148" i="20"/>
  <c r="FT149" i="20"/>
  <c r="FX149" i="20"/>
  <c r="FT150" i="20"/>
  <c r="FX150" i="20"/>
  <c r="FT151" i="20"/>
  <c r="FX151" i="20"/>
  <c r="FT152" i="20"/>
  <c r="FX152" i="20"/>
  <c r="FT153" i="20"/>
  <c r="FX153" i="20"/>
  <c r="FT154" i="20"/>
  <c r="FX154" i="20"/>
  <c r="FT155" i="20"/>
  <c r="FX155" i="20"/>
  <c r="FT156" i="20"/>
  <c r="FX156" i="20"/>
  <c r="FT157" i="20"/>
  <c r="FX157" i="20"/>
  <c r="FT158" i="20"/>
  <c r="FX158" i="20"/>
  <c r="FT159" i="20"/>
  <c r="FX159" i="20"/>
  <c r="FT160" i="20"/>
  <c r="FX160" i="20"/>
  <c r="FT161" i="20"/>
  <c r="FX161" i="20"/>
  <c r="EJ127" i="19"/>
  <c r="EJ125" i="19"/>
  <c r="EJ112" i="19"/>
  <c r="EJ114" i="19"/>
  <c r="EJ116" i="19"/>
  <c r="EJ118" i="19"/>
  <c r="EJ120" i="19"/>
  <c r="EJ122" i="19"/>
  <c r="EJ97" i="19"/>
  <c r="EJ99" i="19"/>
  <c r="EJ101" i="19"/>
  <c r="EJ103" i="19"/>
  <c r="EJ105" i="19"/>
  <c r="EJ107" i="19"/>
  <c r="EJ109" i="19"/>
  <c r="EJ111" i="19"/>
  <c r="EJ10" i="19"/>
  <c r="EJ12" i="19"/>
  <c r="EJ14" i="19"/>
  <c r="EJ16" i="19"/>
  <c r="EJ18" i="19"/>
  <c r="EJ20" i="19"/>
  <c r="EJ22" i="19"/>
  <c r="EJ24" i="19"/>
  <c r="EJ26" i="19"/>
  <c r="EJ28" i="19"/>
  <c r="EJ30" i="19"/>
  <c r="EJ32" i="19"/>
  <c r="EJ34" i="19"/>
  <c r="EJ36" i="19"/>
  <c r="EJ38" i="19"/>
  <c r="EJ40" i="19"/>
  <c r="EJ42" i="19"/>
  <c r="EJ44" i="19"/>
  <c r="EJ46" i="19"/>
  <c r="EJ48" i="19"/>
  <c r="EJ50" i="19"/>
  <c r="EJ52" i="19"/>
  <c r="EJ54" i="19"/>
  <c r="EJ56" i="19"/>
  <c r="EJ58" i="19"/>
  <c r="EJ60" i="19"/>
  <c r="EJ62" i="19"/>
  <c r="EJ64" i="19"/>
  <c r="EJ66" i="19"/>
  <c r="EJ68" i="19"/>
  <c r="EJ70" i="19"/>
  <c r="EJ72" i="19"/>
  <c r="EJ74" i="19"/>
  <c r="EJ76" i="19"/>
  <c r="EJ78" i="19"/>
  <c r="EJ80" i="19"/>
  <c r="EJ82" i="19"/>
  <c r="EJ84" i="19"/>
  <c r="EJ86" i="19"/>
  <c r="EJ88" i="19"/>
  <c r="EJ90" i="19"/>
  <c r="EJ92" i="19"/>
  <c r="EJ94" i="19"/>
  <c r="EJ96" i="19"/>
  <c r="DP111" i="19"/>
  <c r="DP113" i="19"/>
  <c r="DP115" i="19"/>
  <c r="DP117" i="19"/>
  <c r="DP119" i="19"/>
  <c r="DP121" i="19"/>
  <c r="DP123" i="19"/>
  <c r="DP125" i="19"/>
  <c r="DP127" i="19"/>
  <c r="DP10" i="19"/>
  <c r="DP12" i="19"/>
  <c r="DP14" i="19"/>
  <c r="DP16" i="19"/>
  <c r="DP18" i="19"/>
  <c r="DP20" i="19"/>
  <c r="DP22" i="19"/>
  <c r="DP24" i="19"/>
  <c r="DP26" i="19"/>
  <c r="DP28" i="19"/>
  <c r="DP30" i="19"/>
  <c r="DP32" i="19"/>
  <c r="DP34" i="19"/>
  <c r="DP36" i="19"/>
  <c r="DP38" i="19"/>
  <c r="DP40" i="19"/>
  <c r="DP42" i="19"/>
  <c r="DP44" i="19"/>
  <c r="DP46" i="19"/>
  <c r="DP48" i="19"/>
  <c r="DP50" i="19"/>
  <c r="DP52" i="19"/>
  <c r="DP54" i="19"/>
  <c r="DP56" i="19"/>
  <c r="DP58" i="19"/>
  <c r="DP60" i="19"/>
  <c r="DP62" i="19"/>
  <c r="DP64" i="19"/>
  <c r="DP66" i="19"/>
  <c r="DP68" i="19"/>
  <c r="DP70" i="19"/>
  <c r="DP72" i="19"/>
  <c r="DP74" i="19"/>
  <c r="DP76" i="19"/>
  <c r="DP78" i="19"/>
  <c r="DP80" i="19"/>
  <c r="DP82" i="19"/>
  <c r="DP84" i="19"/>
  <c r="DP86" i="19"/>
  <c r="DP88" i="19"/>
  <c r="DP90" i="19"/>
  <c r="DP92" i="19"/>
  <c r="DP94" i="19"/>
  <c r="DP96" i="19"/>
  <c r="DP98" i="19"/>
  <c r="DP100" i="19"/>
  <c r="DP102" i="19"/>
  <c r="DP104" i="19"/>
  <c r="DP106" i="19"/>
  <c r="DP108" i="19"/>
  <c r="EJ124" i="19"/>
  <c r="EJ126" i="19"/>
  <c r="EJ113" i="19"/>
  <c r="EJ115" i="19"/>
  <c r="EJ117" i="19"/>
  <c r="EJ119" i="19"/>
  <c r="EJ121" i="19"/>
  <c r="EJ123" i="19"/>
  <c r="EJ98" i="19"/>
  <c r="EJ100" i="19"/>
  <c r="EJ102" i="19"/>
  <c r="EJ104" i="19"/>
  <c r="EJ106" i="19"/>
  <c r="EJ108" i="19"/>
  <c r="EJ110" i="19"/>
  <c r="EJ9" i="19"/>
  <c r="EJ11" i="19"/>
  <c r="EJ13" i="19"/>
  <c r="EJ15" i="19"/>
  <c r="EJ17" i="19"/>
  <c r="EJ19" i="19"/>
  <c r="EJ21" i="19"/>
  <c r="EJ23" i="19"/>
  <c r="EJ25" i="19"/>
  <c r="EJ27" i="19"/>
  <c r="EJ29" i="19"/>
  <c r="EJ31" i="19"/>
  <c r="EJ33" i="19"/>
  <c r="EJ35" i="19"/>
  <c r="EJ37" i="19"/>
  <c r="EJ39" i="19"/>
  <c r="EJ41" i="19"/>
  <c r="EJ43" i="19"/>
  <c r="EJ45" i="19"/>
  <c r="EJ47" i="19"/>
  <c r="EJ49" i="19"/>
  <c r="EJ51" i="19"/>
  <c r="EJ53" i="19"/>
  <c r="EJ55" i="19"/>
  <c r="EJ57" i="19"/>
  <c r="EJ59" i="19"/>
  <c r="EJ61" i="19"/>
  <c r="EJ63" i="19"/>
  <c r="EJ65" i="19"/>
  <c r="EJ67" i="19"/>
  <c r="EJ69" i="19"/>
  <c r="EJ71" i="19"/>
  <c r="EJ73" i="19"/>
  <c r="EJ75" i="19"/>
  <c r="EJ77" i="19"/>
  <c r="EJ79" i="19"/>
  <c r="EJ81" i="19"/>
  <c r="EJ83" i="19"/>
  <c r="EJ85" i="19"/>
  <c r="EJ87" i="19"/>
  <c r="EJ89" i="19"/>
  <c r="EJ91" i="19"/>
  <c r="EJ93" i="19"/>
  <c r="EJ95" i="19"/>
  <c r="DP110" i="19"/>
  <c r="DP112" i="19"/>
  <c r="DP114" i="19"/>
  <c r="DP116" i="19"/>
  <c r="DP118" i="19"/>
  <c r="DP120" i="19"/>
  <c r="DP122" i="19"/>
  <c r="DP124" i="19"/>
  <c r="DP126" i="19"/>
  <c r="DP9" i="19"/>
  <c r="DP11" i="19"/>
  <c r="DP13" i="19"/>
  <c r="DP15" i="19"/>
  <c r="DP17" i="19"/>
  <c r="DP19" i="19"/>
  <c r="DP21" i="19"/>
  <c r="DP23" i="19"/>
  <c r="DP25" i="19"/>
  <c r="DP27" i="19"/>
  <c r="DP29" i="19"/>
  <c r="DP31" i="19"/>
  <c r="DP33" i="19"/>
  <c r="DP35" i="19"/>
  <c r="DP37" i="19"/>
  <c r="DP39" i="19"/>
  <c r="DP41" i="19"/>
  <c r="DP43" i="19"/>
  <c r="DP45" i="19"/>
  <c r="DP47" i="19"/>
  <c r="DP49" i="19"/>
  <c r="DP51" i="19"/>
  <c r="DP53" i="19"/>
  <c r="DP55" i="19"/>
  <c r="DP57" i="19"/>
  <c r="DP59" i="19"/>
  <c r="DP61" i="19"/>
  <c r="DP63" i="19"/>
  <c r="DP65" i="19"/>
  <c r="DP67" i="19"/>
  <c r="DP69" i="19"/>
  <c r="DP71" i="19"/>
  <c r="DP73" i="19"/>
  <c r="DP75" i="19"/>
  <c r="DP77" i="19"/>
  <c r="DP79" i="19"/>
  <c r="DP81" i="19"/>
  <c r="DP83" i="19"/>
  <c r="DP85" i="19"/>
  <c r="DP87" i="19"/>
  <c r="DP89" i="19"/>
  <c r="DP91" i="19"/>
  <c r="DP93" i="19"/>
  <c r="DP95" i="19"/>
  <c r="DP97" i="19"/>
  <c r="DP99" i="19"/>
  <c r="DP101" i="19"/>
  <c r="DP103" i="19"/>
  <c r="DP105" i="19"/>
  <c r="DP107" i="19"/>
  <c r="DP109" i="19"/>
  <c r="CV95" i="19"/>
  <c r="CV97" i="19"/>
  <c r="CV99" i="19"/>
  <c r="CV101" i="19"/>
  <c r="CV103" i="19"/>
  <c r="CV105" i="19"/>
  <c r="CV107" i="19"/>
  <c r="CV109" i="19"/>
  <c r="CV111" i="19"/>
  <c r="CV113" i="19"/>
  <c r="CV115" i="19"/>
  <c r="CV117" i="19"/>
  <c r="CV119" i="19"/>
  <c r="CV121" i="19"/>
  <c r="CV123" i="19"/>
  <c r="CV125" i="19"/>
  <c r="CV127" i="19"/>
  <c r="CV85" i="19"/>
  <c r="CV87" i="19"/>
  <c r="CV89" i="19"/>
  <c r="CV91" i="19"/>
  <c r="CV93" i="19"/>
  <c r="CV27" i="19"/>
  <c r="CV29" i="19"/>
  <c r="CV31" i="19"/>
  <c r="CV33" i="19"/>
  <c r="CV35" i="19"/>
  <c r="CV37" i="19"/>
  <c r="CV39" i="19"/>
  <c r="CV41" i="19"/>
  <c r="CV43" i="19"/>
  <c r="CV45" i="19"/>
  <c r="CV47" i="19"/>
  <c r="CV49" i="19"/>
  <c r="CV51" i="19"/>
  <c r="CV53" i="19"/>
  <c r="CV55" i="19"/>
  <c r="CV57" i="19"/>
  <c r="CV59" i="19"/>
  <c r="CV61" i="19"/>
  <c r="CV63" i="19"/>
  <c r="CV65" i="19"/>
  <c r="CV67" i="19"/>
  <c r="CV69" i="19"/>
  <c r="CV71" i="19"/>
  <c r="CV73" i="19"/>
  <c r="CV75" i="19"/>
  <c r="CV77" i="19"/>
  <c r="CV79" i="19"/>
  <c r="CV96" i="19"/>
  <c r="CV98" i="19"/>
  <c r="CV100" i="19"/>
  <c r="CV102" i="19"/>
  <c r="CV104" i="19"/>
  <c r="CV106" i="19"/>
  <c r="CV108" i="19"/>
  <c r="CV110" i="19"/>
  <c r="CV112" i="19"/>
  <c r="CV114" i="19"/>
  <c r="CV116" i="19"/>
  <c r="CV118" i="19"/>
  <c r="CV120" i="19"/>
  <c r="CV122" i="19"/>
  <c r="CV124" i="19"/>
  <c r="CV126" i="19"/>
  <c r="CV84" i="19"/>
  <c r="CV86" i="19"/>
  <c r="CV88" i="19"/>
  <c r="CV90" i="19"/>
  <c r="CV92" i="19"/>
  <c r="CV94" i="19"/>
  <c r="CV28" i="19"/>
  <c r="CV30" i="19"/>
  <c r="CV32" i="19"/>
  <c r="CV34" i="19"/>
  <c r="CV36" i="19"/>
  <c r="CV38" i="19"/>
  <c r="CV40" i="19"/>
  <c r="CV42" i="19"/>
  <c r="CV44" i="19"/>
  <c r="CV46" i="19"/>
  <c r="CV48" i="19"/>
  <c r="CV50" i="19"/>
  <c r="CV52" i="19"/>
  <c r="CV54" i="19"/>
  <c r="CV56" i="19"/>
  <c r="CV58" i="19"/>
  <c r="CV60" i="19"/>
  <c r="CV62" i="19"/>
  <c r="CV64" i="19"/>
  <c r="CV66" i="19"/>
  <c r="CV68" i="19"/>
  <c r="CV70" i="19"/>
  <c r="CV72" i="19"/>
  <c r="CV74" i="19"/>
  <c r="CV76" i="19"/>
  <c r="CV78" i="19"/>
  <c r="CV80" i="19"/>
  <c r="CV81" i="19"/>
  <c r="CV83" i="19"/>
  <c r="CV22" i="19"/>
  <c r="CV24" i="19"/>
  <c r="CV26" i="19"/>
  <c r="CV10" i="19"/>
  <c r="CV12" i="19"/>
  <c r="CV14" i="19"/>
  <c r="CV16" i="19"/>
  <c r="CV18" i="19"/>
  <c r="CV20" i="19"/>
  <c r="CB107" i="19"/>
  <c r="CB109" i="19"/>
  <c r="CB111" i="19"/>
  <c r="CB113" i="19"/>
  <c r="CB115" i="19"/>
  <c r="CB117" i="19"/>
  <c r="CB119" i="19"/>
  <c r="CB121" i="19"/>
  <c r="CB123" i="19"/>
  <c r="CB125" i="19"/>
  <c r="CB127" i="19"/>
  <c r="CB10" i="19"/>
  <c r="CB12" i="19"/>
  <c r="CB14" i="19"/>
  <c r="CB16" i="19"/>
  <c r="CB18" i="19"/>
  <c r="CB20" i="19"/>
  <c r="CB22" i="19"/>
  <c r="CB24" i="19"/>
  <c r="CB26" i="19"/>
  <c r="CB28" i="19"/>
  <c r="CB30" i="19"/>
  <c r="CB32" i="19"/>
  <c r="CB34" i="19"/>
  <c r="CB36" i="19"/>
  <c r="CB38" i="19"/>
  <c r="CB40" i="19"/>
  <c r="CB42" i="19"/>
  <c r="CB44" i="19"/>
  <c r="CB46" i="19"/>
  <c r="CB48" i="19"/>
  <c r="CB50" i="19"/>
  <c r="CB52" i="19"/>
  <c r="CB54" i="19"/>
  <c r="CB56" i="19"/>
  <c r="CB58" i="19"/>
  <c r="CB60" i="19"/>
  <c r="CB62" i="19"/>
  <c r="CB64" i="19"/>
  <c r="CB66" i="19"/>
  <c r="CB68" i="19"/>
  <c r="CB70" i="19"/>
  <c r="CB72" i="19"/>
  <c r="CB74" i="19"/>
  <c r="CB76" i="19"/>
  <c r="CB78" i="19"/>
  <c r="CB80" i="19"/>
  <c r="CB82" i="19"/>
  <c r="CB84" i="19"/>
  <c r="CB86" i="19"/>
  <c r="CB88" i="19"/>
  <c r="CB90" i="19"/>
  <c r="CB92" i="19"/>
  <c r="CB94" i="19"/>
  <c r="CB96" i="19"/>
  <c r="CB98" i="19"/>
  <c r="CB100" i="19"/>
  <c r="CB102" i="19"/>
  <c r="CB104" i="19"/>
  <c r="CB106" i="19"/>
  <c r="BH12" i="19"/>
  <c r="BH14" i="19"/>
  <c r="BH16" i="19"/>
  <c r="BH18" i="19"/>
  <c r="BH20" i="19"/>
  <c r="BH22" i="19"/>
  <c r="BH24" i="19"/>
  <c r="BH26" i="19"/>
  <c r="BH28" i="19"/>
  <c r="BH30" i="19"/>
  <c r="BH32" i="19"/>
  <c r="BH34" i="19"/>
  <c r="BH36" i="19"/>
  <c r="BH38" i="19"/>
  <c r="BH40" i="19"/>
  <c r="BH42" i="19"/>
  <c r="BH44" i="19"/>
  <c r="BH46" i="19"/>
  <c r="BH48" i="19"/>
  <c r="BH50" i="19"/>
  <c r="BH52" i="19"/>
  <c r="BH54" i="19"/>
  <c r="BH56" i="19"/>
  <c r="BH58" i="19"/>
  <c r="BH60" i="19"/>
  <c r="BH62" i="19"/>
  <c r="BH64" i="19"/>
  <c r="BH66" i="19"/>
  <c r="BH68" i="19"/>
  <c r="BH70" i="19"/>
  <c r="BH72" i="19"/>
  <c r="BH74" i="19"/>
  <c r="BH76" i="19"/>
  <c r="BH78" i="19"/>
  <c r="CV82" i="19"/>
  <c r="CV9" i="19"/>
  <c r="CV17" i="19"/>
  <c r="CB112" i="19"/>
  <c r="CB120" i="19"/>
  <c r="CB9" i="19"/>
  <c r="CB17" i="19"/>
  <c r="CB25" i="19"/>
  <c r="CB33" i="19"/>
  <c r="CB41" i="19"/>
  <c r="CB49" i="19"/>
  <c r="CB57" i="19"/>
  <c r="CB65" i="19"/>
  <c r="CB73" i="19"/>
  <c r="CB81" i="19"/>
  <c r="CB89" i="19"/>
  <c r="CB97" i="19"/>
  <c r="CB105" i="19"/>
  <c r="BH79" i="19"/>
  <c r="BH81" i="19"/>
  <c r="BH83" i="19"/>
  <c r="BH85" i="19"/>
  <c r="BH87" i="19"/>
  <c r="BH89" i="19"/>
  <c r="BH91" i="19"/>
  <c r="BH93" i="19"/>
  <c r="BH95" i="19"/>
  <c r="BH97" i="19"/>
  <c r="BH99" i="19"/>
  <c r="BH101" i="19"/>
  <c r="BH103" i="19"/>
  <c r="BH105" i="19"/>
  <c r="BH107" i="19"/>
  <c r="BH109" i="19"/>
  <c r="BH111" i="19"/>
  <c r="BH113" i="19"/>
  <c r="BH115" i="19"/>
  <c r="BH117" i="19"/>
  <c r="BH119" i="19"/>
  <c r="BH121" i="19"/>
  <c r="BH123" i="19"/>
  <c r="BH125" i="19"/>
  <c r="BH127" i="19"/>
  <c r="CV25" i="19"/>
  <c r="CB23" i="19"/>
  <c r="CB31" i="19"/>
  <c r="CB39" i="19"/>
  <c r="CB47" i="19"/>
  <c r="CB55" i="19"/>
  <c r="CB95" i="19"/>
  <c r="CB103" i="19"/>
  <c r="BH35" i="19"/>
  <c r="BH43" i="19"/>
  <c r="BH47" i="19"/>
  <c r="BH51" i="19"/>
  <c r="BH55" i="19"/>
  <c r="CV21" i="19"/>
  <c r="CV11" i="19"/>
  <c r="CV19" i="19"/>
  <c r="CB114" i="19"/>
  <c r="CB122" i="19"/>
  <c r="CB11" i="19"/>
  <c r="CB19" i="19"/>
  <c r="CB27" i="19"/>
  <c r="CB35" i="19"/>
  <c r="CB43" i="19"/>
  <c r="CB51" i="19"/>
  <c r="CB59" i="19"/>
  <c r="CB67" i="19"/>
  <c r="CB75" i="19"/>
  <c r="CB83" i="19"/>
  <c r="CB91" i="19"/>
  <c r="CB99" i="19"/>
  <c r="BH13" i="19"/>
  <c r="BH17" i="19"/>
  <c r="BH21" i="19"/>
  <c r="BH25" i="19"/>
  <c r="BH29" i="19"/>
  <c r="BH33" i="19"/>
  <c r="BH37" i="19"/>
  <c r="BH41" i="19"/>
  <c r="BH45" i="19"/>
  <c r="BH49" i="19"/>
  <c r="BH53" i="19"/>
  <c r="BH57" i="19"/>
  <c r="BH61" i="19"/>
  <c r="BH65" i="19"/>
  <c r="BH69" i="19"/>
  <c r="BH73" i="19"/>
  <c r="BH77" i="19"/>
  <c r="CV15" i="19"/>
  <c r="CB110" i="19"/>
  <c r="CB118" i="19"/>
  <c r="CB126" i="19"/>
  <c r="BH19" i="19"/>
  <c r="BH23" i="19"/>
  <c r="BH27" i="19"/>
  <c r="BH31" i="19"/>
  <c r="BH39" i="19"/>
  <c r="CV23" i="19"/>
  <c r="CV13" i="19"/>
  <c r="CB108" i="19"/>
  <c r="CB116" i="19"/>
  <c r="CB124" i="19"/>
  <c r="CB13" i="19"/>
  <c r="CB21" i="19"/>
  <c r="CB29" i="19"/>
  <c r="CB37" i="19"/>
  <c r="CB45" i="19"/>
  <c r="CB53" i="19"/>
  <c r="CB61" i="19"/>
  <c r="CB69" i="19"/>
  <c r="CB77" i="19"/>
  <c r="CB85" i="19"/>
  <c r="CB93" i="19"/>
  <c r="CB101" i="19"/>
  <c r="BH80" i="19"/>
  <c r="BH82" i="19"/>
  <c r="BH84" i="19"/>
  <c r="BH86" i="19"/>
  <c r="BH88" i="19"/>
  <c r="BH90" i="19"/>
  <c r="BH92" i="19"/>
  <c r="BH94" i="19"/>
  <c r="BH96" i="19"/>
  <c r="BH98" i="19"/>
  <c r="BH100" i="19"/>
  <c r="BH102" i="19"/>
  <c r="BH104" i="19"/>
  <c r="BH106" i="19"/>
  <c r="BH108" i="19"/>
  <c r="BH110" i="19"/>
  <c r="BH112" i="19"/>
  <c r="BH114" i="19"/>
  <c r="BH116" i="19"/>
  <c r="BH118" i="19"/>
  <c r="BH120" i="19"/>
  <c r="BH122" i="19"/>
  <c r="BH124" i="19"/>
  <c r="BH126" i="19"/>
  <c r="CB15" i="19"/>
  <c r="CB63" i="19"/>
  <c r="CB71" i="19"/>
  <c r="CB79" i="19"/>
  <c r="CB87" i="19"/>
  <c r="BH15" i="19"/>
  <c r="BH59" i="19"/>
  <c r="BH63" i="19"/>
  <c r="BH67" i="19"/>
  <c r="BH71" i="19"/>
  <c r="BH75" i="19"/>
  <c r="EP167" i="20"/>
  <c r="ET167" i="20"/>
  <c r="EP134" i="20"/>
  <c r="ET134" i="20"/>
  <c r="EP135" i="20"/>
  <c r="ET135" i="20"/>
  <c r="EP136" i="20"/>
  <c r="ET136" i="20"/>
  <c r="EP137" i="20"/>
  <c r="ET137" i="20"/>
  <c r="EP138" i="20"/>
  <c r="ET138" i="20"/>
  <c r="EP139" i="20"/>
  <c r="ET139" i="20"/>
  <c r="EP140" i="20"/>
  <c r="ET140" i="20"/>
  <c r="EP141" i="20"/>
  <c r="ET141" i="20"/>
  <c r="EP142" i="20"/>
  <c r="ET142" i="20"/>
  <c r="EP143" i="20"/>
  <c r="ET143" i="20"/>
  <c r="EP144" i="20"/>
  <c r="ET144" i="20"/>
  <c r="EP145" i="20"/>
  <c r="ET145" i="20"/>
  <c r="EO167" i="20"/>
  <c r="ES167" i="20"/>
  <c r="EO134" i="20"/>
  <c r="ES134" i="20"/>
  <c r="EO135" i="20"/>
  <c r="ES135" i="20"/>
  <c r="EO136" i="20"/>
  <c r="ES136" i="20"/>
  <c r="EO137" i="20"/>
  <c r="ES137" i="20"/>
  <c r="EO138" i="20"/>
  <c r="ES138" i="20"/>
  <c r="EO139" i="20"/>
  <c r="ES139" i="20"/>
  <c r="EO140" i="20"/>
  <c r="ES140" i="20"/>
  <c r="EO141" i="20"/>
  <c r="ES141" i="20"/>
  <c r="EO142" i="20"/>
  <c r="ES142" i="20"/>
  <c r="EO143" i="20"/>
  <c r="ES143" i="20"/>
  <c r="EO144" i="20"/>
  <c r="ES144" i="20"/>
  <c r="EO145" i="20"/>
  <c r="ES145" i="20"/>
  <c r="EO146" i="20"/>
  <c r="ES146" i="20"/>
  <c r="EO147" i="20"/>
  <c r="EM167" i="20"/>
  <c r="EM134" i="20"/>
  <c r="EM135" i="20"/>
  <c r="EM136" i="20"/>
  <c r="EM137" i="20"/>
  <c r="EM138" i="20"/>
  <c r="EM139" i="20"/>
  <c r="EM140" i="20"/>
  <c r="EM141" i="20"/>
  <c r="EM142" i="20"/>
  <c r="EM143" i="20"/>
  <c r="EM144" i="20"/>
  <c r="EM145" i="20"/>
  <c r="EM146" i="20"/>
  <c r="ER146" i="20"/>
  <c r="EM147" i="20"/>
  <c r="ER147" i="20"/>
  <c r="EN148" i="20"/>
  <c r="ER148" i="20"/>
  <c r="EN149" i="20"/>
  <c r="ER149" i="20"/>
  <c r="EN150" i="20"/>
  <c r="ER150" i="20"/>
  <c r="EN151" i="20"/>
  <c r="ER151" i="20"/>
  <c r="EN152" i="20"/>
  <c r="ER152" i="20"/>
  <c r="EN153" i="20"/>
  <c r="ER153" i="20"/>
  <c r="EN154" i="20"/>
  <c r="ER154" i="20"/>
  <c r="EN155" i="20"/>
  <c r="ER155" i="20"/>
  <c r="EN156" i="20"/>
  <c r="ER156" i="20"/>
  <c r="EN157" i="20"/>
  <c r="ER157" i="20"/>
  <c r="EN158" i="20"/>
  <c r="ER158" i="20"/>
  <c r="EN159" i="20"/>
  <c r="ER159" i="20"/>
  <c r="EN160" i="20"/>
  <c r="ER160" i="20"/>
  <c r="EN161" i="20"/>
  <c r="ER161" i="20"/>
  <c r="EN162" i="20"/>
  <c r="ER162" i="20"/>
  <c r="EN163" i="20"/>
  <c r="ER163" i="20"/>
  <c r="EN164" i="20"/>
  <c r="ER164" i="20"/>
  <c r="EN165" i="20"/>
  <c r="ER165" i="20"/>
  <c r="EN166" i="20"/>
  <c r="ER166" i="20"/>
  <c r="EN9" i="20"/>
  <c r="ER9" i="20"/>
  <c r="EN10" i="20"/>
  <c r="ER10" i="20"/>
  <c r="EN11" i="20"/>
  <c r="ER11" i="20"/>
  <c r="EN12" i="20"/>
  <c r="ER12" i="20"/>
  <c r="EN13" i="20"/>
  <c r="ER13" i="20"/>
  <c r="EN14" i="20"/>
  <c r="ER14" i="20"/>
  <c r="EN15" i="20"/>
  <c r="ER15" i="20"/>
  <c r="EN16" i="20"/>
  <c r="ER16" i="20"/>
  <c r="EN17" i="20"/>
  <c r="ER17" i="20"/>
  <c r="EN18" i="20"/>
  <c r="ER18" i="20"/>
  <c r="EN19" i="20"/>
  <c r="ER19" i="20"/>
  <c r="EN20" i="20"/>
  <c r="ER20" i="20"/>
  <c r="EN21" i="20"/>
  <c r="ER21" i="20"/>
  <c r="EN22" i="20"/>
  <c r="ER22" i="20"/>
  <c r="EN23" i="20"/>
  <c r="ER23" i="20"/>
  <c r="EN24" i="20"/>
  <c r="ER24" i="20"/>
  <c r="EN25" i="20"/>
  <c r="ER25" i="20"/>
  <c r="EN26" i="20"/>
  <c r="ER26" i="20"/>
  <c r="EN27" i="20"/>
  <c r="ER27" i="20"/>
  <c r="EN28" i="20"/>
  <c r="ER28" i="20"/>
  <c r="EN29" i="20"/>
  <c r="ER29" i="20"/>
  <c r="EN30" i="20"/>
  <c r="ER30" i="20"/>
  <c r="EN31" i="20"/>
  <c r="ER31" i="20"/>
  <c r="EN32" i="20"/>
  <c r="ER32" i="20"/>
  <c r="EN33" i="20"/>
  <c r="ER33" i="20"/>
  <c r="EN34" i="20"/>
  <c r="ER34" i="20"/>
  <c r="EN35" i="20"/>
  <c r="ER35" i="20"/>
  <c r="EN36" i="20"/>
  <c r="ER36" i="20"/>
  <c r="EN37" i="20"/>
  <c r="ER37" i="20"/>
  <c r="EN38" i="20"/>
  <c r="ER38" i="20"/>
  <c r="EN39" i="20"/>
  <c r="ER39" i="20"/>
  <c r="EN40" i="20"/>
  <c r="ER40" i="20"/>
  <c r="EN41" i="20"/>
  <c r="ER41" i="20"/>
  <c r="EN42" i="20"/>
  <c r="ER42" i="20"/>
  <c r="EN43" i="20"/>
  <c r="ER43" i="20"/>
  <c r="EN44" i="20"/>
  <c r="ER44" i="20"/>
  <c r="EN45" i="20"/>
  <c r="ER45" i="20"/>
  <c r="EN46" i="20"/>
  <c r="ER46" i="20"/>
  <c r="EN47" i="20"/>
  <c r="ER47" i="20"/>
  <c r="EN48" i="20"/>
  <c r="ER48" i="20"/>
  <c r="EN49" i="20"/>
  <c r="ER49" i="20"/>
  <c r="EN50" i="20"/>
  <c r="ER50" i="20"/>
  <c r="EN51" i="20"/>
  <c r="ER51" i="20"/>
  <c r="EN52" i="20"/>
  <c r="ER52" i="20"/>
  <c r="EN53" i="20"/>
  <c r="ER53" i="20"/>
  <c r="EN54" i="20"/>
  <c r="ER54" i="20"/>
  <c r="EN55" i="20"/>
  <c r="ER55" i="20"/>
  <c r="EN56" i="20"/>
  <c r="ER56" i="20"/>
  <c r="EN57" i="20"/>
  <c r="ER57" i="20"/>
  <c r="EN58" i="20"/>
  <c r="ER58" i="20"/>
  <c r="EN59" i="20"/>
  <c r="ER59" i="20"/>
  <c r="EN60" i="20"/>
  <c r="ER60" i="20"/>
  <c r="EN61" i="20"/>
  <c r="ER61" i="20"/>
  <c r="EN62" i="20"/>
  <c r="ER62" i="20"/>
  <c r="EN63" i="20"/>
  <c r="ER63" i="20"/>
  <c r="EN64" i="20"/>
  <c r="ER64" i="20"/>
  <c r="EN65" i="20"/>
  <c r="ER65" i="20"/>
  <c r="EN66" i="20"/>
  <c r="ER66" i="20"/>
  <c r="EN67" i="20"/>
  <c r="ER67" i="20"/>
  <c r="EN68" i="20"/>
  <c r="ER68" i="20"/>
  <c r="EN69" i="20"/>
  <c r="ER69" i="20"/>
  <c r="EN70" i="20"/>
  <c r="ER70" i="20"/>
  <c r="EN71" i="20"/>
  <c r="ER71" i="20"/>
  <c r="EN72" i="20"/>
  <c r="ER72" i="20"/>
  <c r="EN73" i="20"/>
  <c r="ER73" i="20"/>
  <c r="EN74" i="20"/>
  <c r="ER74" i="20"/>
  <c r="EN75" i="20"/>
  <c r="ER75" i="20"/>
  <c r="EN76" i="20"/>
  <c r="ER76" i="20"/>
  <c r="EN77" i="20"/>
  <c r="ER77" i="20"/>
  <c r="EN78" i="20"/>
  <c r="ER78" i="20"/>
  <c r="EN79" i="20"/>
  <c r="ER79" i="20"/>
  <c r="EN80" i="20"/>
  <c r="ER80" i="20"/>
  <c r="EN81" i="20"/>
  <c r="ER81" i="20"/>
  <c r="EN82" i="20"/>
  <c r="ER82" i="20"/>
  <c r="EN83" i="20"/>
  <c r="ER83" i="20"/>
  <c r="EN84" i="20"/>
  <c r="ER84" i="20"/>
  <c r="EN85" i="20"/>
  <c r="ER85" i="20"/>
  <c r="EN86" i="20"/>
  <c r="ER86" i="20"/>
  <c r="EN87" i="20"/>
  <c r="ER87" i="20"/>
  <c r="EN88" i="20"/>
  <c r="ER88" i="20"/>
  <c r="EN89" i="20"/>
  <c r="ER89" i="20"/>
  <c r="EN167" i="20"/>
  <c r="EN134" i="20"/>
  <c r="EN135" i="20"/>
  <c r="EN136" i="20"/>
  <c r="EN137" i="20"/>
  <c r="EN138" i="20"/>
  <c r="EN139" i="20"/>
  <c r="EN140" i="20"/>
  <c r="EN141" i="20"/>
  <c r="EN142" i="20"/>
  <c r="EN143" i="20"/>
  <c r="EN144" i="20"/>
  <c r="EN145" i="20"/>
  <c r="EN146" i="20"/>
  <c r="ET146" i="20"/>
  <c r="EN147" i="20"/>
  <c r="ES147" i="20"/>
  <c r="EO148" i="20"/>
  <c r="ES148" i="20"/>
  <c r="EO149" i="20"/>
  <c r="ES149" i="20"/>
  <c r="EO150" i="20"/>
  <c r="ES150" i="20"/>
  <c r="EO151" i="20"/>
  <c r="ES151" i="20"/>
  <c r="EO152" i="20"/>
  <c r="ES152" i="20"/>
  <c r="EO153" i="20"/>
  <c r="ES153" i="20"/>
  <c r="EO154" i="20"/>
  <c r="ES154" i="20"/>
  <c r="EO155" i="20"/>
  <c r="ES155" i="20"/>
  <c r="EO156" i="20"/>
  <c r="ES156" i="20"/>
  <c r="EO157" i="20"/>
  <c r="ES157" i="20"/>
  <c r="EO158" i="20"/>
  <c r="ES158" i="20"/>
  <c r="EO159" i="20"/>
  <c r="ES159" i="20"/>
  <c r="EO160" i="20"/>
  <c r="ES160" i="20"/>
  <c r="EO161" i="20"/>
  <c r="ES161" i="20"/>
  <c r="EO162" i="20"/>
  <c r="ES162" i="20"/>
  <c r="EO163" i="20"/>
  <c r="ES163" i="20"/>
  <c r="EO164" i="20"/>
  <c r="ES164" i="20"/>
  <c r="EO165" i="20"/>
  <c r="ES165" i="20"/>
  <c r="EO166" i="20"/>
  <c r="ES166" i="20"/>
  <c r="EO9" i="20"/>
  <c r="ES9" i="20"/>
  <c r="EO10" i="20"/>
  <c r="ES10" i="20"/>
  <c r="EO11" i="20"/>
  <c r="ES11" i="20"/>
  <c r="EO12" i="20"/>
  <c r="ES12" i="20"/>
  <c r="EO13" i="20"/>
  <c r="ES13" i="20"/>
  <c r="EO14" i="20"/>
  <c r="ES14" i="20"/>
  <c r="EO15" i="20"/>
  <c r="ES15" i="20"/>
  <c r="EO16" i="20"/>
  <c r="ES16" i="20"/>
  <c r="EO17" i="20"/>
  <c r="ES17" i="20"/>
  <c r="EO18" i="20"/>
  <c r="ES18" i="20"/>
  <c r="EO19" i="20"/>
  <c r="ES19" i="20"/>
  <c r="EO20" i="20"/>
  <c r="ES20" i="20"/>
  <c r="EO21" i="20"/>
  <c r="ES21" i="20"/>
  <c r="EO22" i="20"/>
  <c r="ES22" i="20"/>
  <c r="EO23" i="20"/>
  <c r="ES23" i="20"/>
  <c r="EO24" i="20"/>
  <c r="ES24" i="20"/>
  <c r="EO25" i="20"/>
  <c r="ES25" i="20"/>
  <c r="EO26" i="20"/>
  <c r="ES26" i="20"/>
  <c r="EO27" i="20"/>
  <c r="ES27" i="20"/>
  <c r="EO28" i="20"/>
  <c r="ES28" i="20"/>
  <c r="EO29" i="20"/>
  <c r="ES29" i="20"/>
  <c r="EO30" i="20"/>
  <c r="ES30" i="20"/>
  <c r="EO31" i="20"/>
  <c r="ES31" i="20"/>
  <c r="EO32" i="20"/>
  <c r="ES32" i="20"/>
  <c r="EO33" i="20"/>
  <c r="ES33" i="20"/>
  <c r="EO34" i="20"/>
  <c r="ES34" i="20"/>
  <c r="EO35" i="20"/>
  <c r="ES35" i="20"/>
  <c r="EO36" i="20"/>
  <c r="ES36" i="20"/>
  <c r="EO37" i="20"/>
  <c r="ES37" i="20"/>
  <c r="EO38" i="20"/>
  <c r="ES38" i="20"/>
  <c r="EO39" i="20"/>
  <c r="ES39" i="20"/>
  <c r="EO40" i="20"/>
  <c r="ES40" i="20"/>
  <c r="EO41" i="20"/>
  <c r="ES41" i="20"/>
  <c r="EO42" i="20"/>
  <c r="ES42" i="20"/>
  <c r="EO43" i="20"/>
  <c r="ES43" i="20"/>
  <c r="EO44" i="20"/>
  <c r="ES44" i="20"/>
  <c r="EO45" i="20"/>
  <c r="ES45" i="20"/>
  <c r="EO46" i="20"/>
  <c r="ES46" i="20"/>
  <c r="EO47" i="20"/>
  <c r="ES47" i="20"/>
  <c r="EO48" i="20"/>
  <c r="ES48" i="20"/>
  <c r="EO49" i="20"/>
  <c r="ES49" i="20"/>
  <c r="EO50" i="20"/>
  <c r="ES50" i="20"/>
  <c r="EO51" i="20"/>
  <c r="ES51" i="20"/>
  <c r="EO52" i="20"/>
  <c r="ES52" i="20"/>
  <c r="EO53" i="20"/>
  <c r="ES53" i="20"/>
  <c r="EO54" i="20"/>
  <c r="ES54" i="20"/>
  <c r="EO55" i="20"/>
  <c r="ES55" i="20"/>
  <c r="EO56" i="20"/>
  <c r="ES56" i="20"/>
  <c r="EO57" i="20"/>
  <c r="ES57" i="20"/>
  <c r="EO58" i="20"/>
  <c r="ES58" i="20"/>
  <c r="EO59" i="20"/>
  <c r="ES59" i="20"/>
  <c r="EO60" i="20"/>
  <c r="ES60" i="20"/>
  <c r="EO61" i="20"/>
  <c r="ES61" i="20"/>
  <c r="EO62" i="20"/>
  <c r="ES62" i="20"/>
  <c r="EO63" i="20"/>
  <c r="EQ167" i="20"/>
  <c r="EQ134" i="20"/>
  <c r="EQ135" i="20"/>
  <c r="EQ136" i="20"/>
  <c r="EQ137" i="20"/>
  <c r="EQ138" i="20"/>
  <c r="EQ139" i="20"/>
  <c r="EQ140" i="20"/>
  <c r="EQ141" i="20"/>
  <c r="EQ142" i="20"/>
  <c r="EQ143" i="20"/>
  <c r="EQ144" i="20"/>
  <c r="EQ145" i="20"/>
  <c r="EP146" i="20"/>
  <c r="EP147" i="20"/>
  <c r="ET147" i="20"/>
  <c r="EP148" i="20"/>
  <c r="ET148" i="20"/>
  <c r="EP149" i="20"/>
  <c r="ET149" i="20"/>
  <c r="EP150" i="20"/>
  <c r="ET150" i="20"/>
  <c r="EP151" i="20"/>
  <c r="ET151" i="20"/>
  <c r="EP152" i="20"/>
  <c r="ET152" i="20"/>
  <c r="EP153" i="20"/>
  <c r="ET153" i="20"/>
  <c r="EP154" i="20"/>
  <c r="ET154" i="20"/>
  <c r="EP155" i="20"/>
  <c r="ET155" i="20"/>
  <c r="EP156" i="20"/>
  <c r="ET156" i="20"/>
  <c r="EP157" i="20"/>
  <c r="ET157" i="20"/>
  <c r="EP158" i="20"/>
  <c r="ET158" i="20"/>
  <c r="EP159" i="20"/>
  <c r="ET159" i="20"/>
  <c r="EP160" i="20"/>
  <c r="ET160" i="20"/>
  <c r="EP161" i="20"/>
  <c r="ET161" i="20"/>
  <c r="EP162" i="20"/>
  <c r="ET162" i="20"/>
  <c r="EP163" i="20"/>
  <c r="ET163" i="20"/>
  <c r="EP164" i="20"/>
  <c r="ET164" i="20"/>
  <c r="EP165" i="20"/>
  <c r="ET165" i="20"/>
  <c r="EP166" i="20"/>
  <c r="ET166" i="20"/>
  <c r="EP9" i="20"/>
  <c r="ET9" i="20"/>
  <c r="EP10" i="20"/>
  <c r="ET10" i="20"/>
  <c r="EP11" i="20"/>
  <c r="ET11" i="20"/>
  <c r="EP12" i="20"/>
  <c r="ET12" i="20"/>
  <c r="EP13" i="20"/>
  <c r="ET13" i="20"/>
  <c r="EP14" i="20"/>
  <c r="ET14" i="20"/>
  <c r="EP15" i="20"/>
  <c r="ET15" i="20"/>
  <c r="EP16" i="20"/>
  <c r="ET16" i="20"/>
  <c r="EP17" i="20"/>
  <c r="ET17" i="20"/>
  <c r="EP18" i="20"/>
  <c r="ET18" i="20"/>
  <c r="EP19" i="20"/>
  <c r="ET19" i="20"/>
  <c r="EP20" i="20"/>
  <c r="ET20" i="20"/>
  <c r="EP21" i="20"/>
  <c r="ET21" i="20"/>
  <c r="EP22" i="20"/>
  <c r="ET22" i="20"/>
  <c r="EP23" i="20"/>
  <c r="ET23" i="20"/>
  <c r="EP24" i="20"/>
  <c r="ET24" i="20"/>
  <c r="EP25" i="20"/>
  <c r="ET25" i="20"/>
  <c r="EP26" i="20"/>
  <c r="ET26" i="20"/>
  <c r="EP27" i="20"/>
  <c r="ET27" i="20"/>
  <c r="EP28" i="20"/>
  <c r="ET28" i="20"/>
  <c r="EP29" i="20"/>
  <c r="ET29" i="20"/>
  <c r="EP30" i="20"/>
  <c r="ET30" i="20"/>
  <c r="EP31" i="20"/>
  <c r="ET31" i="20"/>
  <c r="EP32" i="20"/>
  <c r="ET32" i="20"/>
  <c r="EP33" i="20"/>
  <c r="ET33" i="20"/>
  <c r="EP34" i="20"/>
  <c r="ET34" i="20"/>
  <c r="EP35" i="20"/>
  <c r="ET35" i="20"/>
  <c r="EP36" i="20"/>
  <c r="ET36" i="20"/>
  <c r="EP37" i="20"/>
  <c r="ET37" i="20"/>
  <c r="EP38" i="20"/>
  <c r="ET38" i="20"/>
  <c r="EP39" i="20"/>
  <c r="ET39" i="20"/>
  <c r="EP40" i="20"/>
  <c r="ET40" i="20"/>
  <c r="EP41" i="20"/>
  <c r="ET41" i="20"/>
  <c r="EP42" i="20"/>
  <c r="ET42" i="20"/>
  <c r="EP43" i="20"/>
  <c r="ET43" i="20"/>
  <c r="EP44" i="20"/>
  <c r="ET44" i="20"/>
  <c r="EP45" i="20"/>
  <c r="ET45" i="20"/>
  <c r="EP46" i="20"/>
  <c r="ET46" i="20"/>
  <c r="EP47" i="20"/>
  <c r="ET47" i="20"/>
  <c r="EP48" i="20"/>
  <c r="ET48" i="20"/>
  <c r="EP49" i="20"/>
  <c r="ET49" i="20"/>
  <c r="EP50" i="20"/>
  <c r="ET50" i="20"/>
  <c r="EP51" i="20"/>
  <c r="ET51" i="20"/>
  <c r="EP52" i="20"/>
  <c r="ET52" i="20"/>
  <c r="EP53" i="20"/>
  <c r="ET53" i="20"/>
  <c r="EP54" i="20"/>
  <c r="ET54" i="20"/>
  <c r="EP55" i="20"/>
  <c r="ET55" i="20"/>
  <c r="EP56" i="20"/>
  <c r="ET56" i="20"/>
  <c r="EP57" i="20"/>
  <c r="ET57" i="20"/>
  <c r="EP58" i="20"/>
  <c r="ET58" i="20"/>
  <c r="EP59" i="20"/>
  <c r="ET59" i="20"/>
  <c r="EP60" i="20"/>
  <c r="ET60" i="20"/>
  <c r="EP61" i="20"/>
  <c r="ET61" i="20"/>
  <c r="EP62" i="20"/>
  <c r="ET62" i="20"/>
  <c r="ER167" i="20"/>
  <c r="ER134" i="20"/>
  <c r="ER135" i="20"/>
  <c r="ER136" i="20"/>
  <c r="ER137" i="20"/>
  <c r="ER138" i="20"/>
  <c r="ER139" i="20"/>
  <c r="ER140" i="20"/>
  <c r="ER141" i="20"/>
  <c r="ER142" i="20"/>
  <c r="ER143" i="20"/>
  <c r="ER144" i="20"/>
  <c r="ER145" i="20"/>
  <c r="EQ146" i="20"/>
  <c r="EQ147" i="20"/>
  <c r="EM148" i="20"/>
  <c r="EQ148" i="20"/>
  <c r="EM149" i="20"/>
  <c r="EQ149" i="20"/>
  <c r="EM150" i="20"/>
  <c r="EQ150" i="20"/>
  <c r="EM151" i="20"/>
  <c r="EQ151" i="20"/>
  <c r="EM152" i="20"/>
  <c r="EQ152" i="20"/>
  <c r="EM153" i="20"/>
  <c r="EQ153" i="20"/>
  <c r="EM154" i="20"/>
  <c r="EQ154" i="20"/>
  <c r="EM155" i="20"/>
  <c r="EQ155" i="20"/>
  <c r="EM156" i="20"/>
  <c r="EQ156" i="20"/>
  <c r="EM157" i="20"/>
  <c r="EQ157" i="20"/>
  <c r="EM158" i="20"/>
  <c r="EQ158" i="20"/>
  <c r="EM159" i="20"/>
  <c r="EQ159" i="20"/>
  <c r="EM160" i="20"/>
  <c r="EQ160" i="20"/>
  <c r="EM161" i="20"/>
  <c r="EQ161" i="20"/>
  <c r="EM162" i="20"/>
  <c r="EQ162" i="20"/>
  <c r="EM163" i="20"/>
  <c r="EQ163" i="20"/>
  <c r="EM164" i="20"/>
  <c r="EQ164" i="20"/>
  <c r="EM165" i="20"/>
  <c r="EQ165" i="20"/>
  <c r="EM166" i="20"/>
  <c r="EQ166" i="20"/>
  <c r="EM9" i="20"/>
  <c r="EQ9" i="20"/>
  <c r="EM10" i="20"/>
  <c r="EQ10" i="20"/>
  <c r="EM11" i="20"/>
  <c r="EQ11" i="20"/>
  <c r="EM12" i="20"/>
  <c r="EQ12" i="20"/>
  <c r="EM13" i="20"/>
  <c r="EQ13" i="20"/>
  <c r="EM14" i="20"/>
  <c r="EQ14" i="20"/>
  <c r="EM15" i="20"/>
  <c r="EQ15" i="20"/>
  <c r="EM16" i="20"/>
  <c r="EQ16" i="20"/>
  <c r="EM17" i="20"/>
  <c r="EQ17" i="20"/>
  <c r="EM18" i="20"/>
  <c r="EQ18" i="20"/>
  <c r="EM19" i="20"/>
  <c r="EQ19" i="20"/>
  <c r="EM20" i="20"/>
  <c r="EQ20" i="20"/>
  <c r="EM21" i="20"/>
  <c r="EQ21" i="20"/>
  <c r="EM22" i="20"/>
  <c r="EQ22" i="20"/>
  <c r="EM23" i="20"/>
  <c r="EQ23" i="20"/>
  <c r="EM24" i="20"/>
  <c r="EQ24" i="20"/>
  <c r="EM25" i="20"/>
  <c r="EQ25" i="20"/>
  <c r="EM26" i="20"/>
  <c r="EQ26" i="20"/>
  <c r="EM27" i="20"/>
  <c r="EQ27" i="20"/>
  <c r="EM28" i="20"/>
  <c r="EQ28" i="20"/>
  <c r="EM29" i="20"/>
  <c r="EQ29" i="20"/>
  <c r="EM30" i="20"/>
  <c r="EQ30" i="20"/>
  <c r="EM31" i="20"/>
  <c r="EQ31" i="20"/>
  <c r="EM32" i="20"/>
  <c r="EQ32" i="20"/>
  <c r="EM33" i="20"/>
  <c r="EQ33" i="20"/>
  <c r="EM34" i="20"/>
  <c r="EQ34" i="20"/>
  <c r="EM35" i="20"/>
  <c r="EQ35" i="20"/>
  <c r="EM36" i="20"/>
  <c r="EQ36" i="20"/>
  <c r="EM37" i="20"/>
  <c r="EQ37" i="20"/>
  <c r="EM38" i="20"/>
  <c r="EQ38" i="20"/>
  <c r="EM39" i="20"/>
  <c r="EQ39" i="20"/>
  <c r="EM40" i="20"/>
  <c r="EQ40" i="20"/>
  <c r="EM41" i="20"/>
  <c r="EQ41" i="20"/>
  <c r="EM42" i="20"/>
  <c r="EQ42" i="20"/>
  <c r="EM43" i="20"/>
  <c r="EQ43" i="20"/>
  <c r="EM44" i="20"/>
  <c r="EQ44" i="20"/>
  <c r="EM45" i="20"/>
  <c r="EQ45" i="20"/>
  <c r="EM46" i="20"/>
  <c r="EQ46" i="20"/>
  <c r="EM47" i="20"/>
  <c r="EQ47" i="20"/>
  <c r="EM48" i="20"/>
  <c r="EQ48" i="20"/>
  <c r="EM49" i="20"/>
  <c r="EQ49" i="20"/>
  <c r="EM50" i="20"/>
  <c r="EQ50" i="20"/>
  <c r="EM51" i="20"/>
  <c r="EQ51" i="20"/>
  <c r="EM52" i="20"/>
  <c r="EQ52" i="20"/>
  <c r="EM53" i="20"/>
  <c r="EQ53" i="20"/>
  <c r="EM54" i="20"/>
  <c r="EQ54" i="20"/>
  <c r="EM55" i="20"/>
  <c r="EQ55" i="20"/>
  <c r="EM56" i="20"/>
  <c r="EQ56" i="20"/>
  <c r="EM57" i="20"/>
  <c r="EQ57" i="20"/>
  <c r="EM58" i="20"/>
  <c r="EQ58" i="20"/>
  <c r="EM59" i="20"/>
  <c r="EQ59" i="20"/>
  <c r="EM60" i="20"/>
  <c r="EQ60" i="20"/>
  <c r="EM61" i="20"/>
  <c r="EQ61" i="20"/>
  <c r="EM62" i="20"/>
  <c r="EQ62" i="20"/>
  <c r="EM63" i="20"/>
  <c r="EQ63" i="20"/>
  <c r="EM64" i="20"/>
  <c r="EQ64" i="20"/>
  <c r="EM65" i="20"/>
  <c r="EQ65" i="20"/>
  <c r="EM66" i="20"/>
  <c r="EQ66" i="20"/>
  <c r="EM67" i="20"/>
  <c r="EQ67" i="20"/>
  <c r="EM68" i="20"/>
  <c r="EQ68" i="20"/>
  <c r="EM69" i="20"/>
  <c r="EQ69" i="20"/>
  <c r="EM70" i="20"/>
  <c r="EQ70" i="20"/>
  <c r="EM71" i="20"/>
  <c r="EQ71" i="20"/>
  <c r="EM72" i="20"/>
  <c r="EQ72" i="20"/>
  <c r="EM73" i="20"/>
  <c r="EQ73" i="20"/>
  <c r="EM74" i="20"/>
  <c r="EQ74" i="20"/>
  <c r="EM75" i="20"/>
  <c r="EQ75" i="20"/>
  <c r="EM76" i="20"/>
  <c r="EQ76" i="20"/>
  <c r="EM77" i="20"/>
  <c r="EQ77" i="20"/>
  <c r="EM78" i="20"/>
  <c r="EQ78" i="20"/>
  <c r="EM79" i="20"/>
  <c r="EQ79" i="20"/>
  <c r="EM80" i="20"/>
  <c r="EQ80" i="20"/>
  <c r="EM81" i="20"/>
  <c r="EQ81" i="20"/>
  <c r="EM82" i="20"/>
  <c r="EQ82" i="20"/>
  <c r="EM83" i="20"/>
  <c r="EQ83" i="20"/>
  <c r="EM84" i="20"/>
  <c r="EQ84" i="20"/>
  <c r="EM85" i="20"/>
  <c r="EQ85" i="20"/>
  <c r="EM86" i="20"/>
  <c r="EQ86" i="20"/>
  <c r="EM87" i="20"/>
  <c r="EQ87" i="20"/>
  <c r="EM88" i="20"/>
  <c r="EQ88" i="20"/>
  <c r="EM89" i="20"/>
  <c r="EQ89" i="20"/>
  <c r="EM90" i="20"/>
  <c r="EQ90" i="20"/>
  <c r="EM91" i="20"/>
  <c r="EQ91" i="20"/>
  <c r="EM92" i="20"/>
  <c r="EQ92" i="20"/>
  <c r="EM93" i="20"/>
  <c r="EQ93" i="20"/>
  <c r="EO64" i="20"/>
  <c r="EO65" i="20"/>
  <c r="EO66" i="20"/>
  <c r="EO67" i="20"/>
  <c r="EO68" i="20"/>
  <c r="EO69" i="20"/>
  <c r="EO70" i="20"/>
  <c r="EO71" i="20"/>
  <c r="EO72" i="20"/>
  <c r="EO73" i="20"/>
  <c r="EO74" i="20"/>
  <c r="EO75" i="20"/>
  <c r="EO76" i="20"/>
  <c r="EO77" i="20"/>
  <c r="EO78" i="20"/>
  <c r="EO79" i="20"/>
  <c r="EO80" i="20"/>
  <c r="EO81" i="20"/>
  <c r="EO82" i="20"/>
  <c r="EO83" i="20"/>
  <c r="EO84" i="20"/>
  <c r="EO85" i="20"/>
  <c r="EO86" i="20"/>
  <c r="EO87" i="20"/>
  <c r="EO88" i="20"/>
  <c r="EO89" i="20"/>
  <c r="EP90" i="20"/>
  <c r="EP91" i="20"/>
  <c r="EP92" i="20"/>
  <c r="EP93" i="20"/>
  <c r="EO94" i="20"/>
  <c r="ES94" i="20"/>
  <c r="EO95" i="20"/>
  <c r="ES95" i="20"/>
  <c r="EO96" i="20"/>
  <c r="ES96" i="20"/>
  <c r="EO97" i="20"/>
  <c r="ES97" i="20"/>
  <c r="EO98" i="20"/>
  <c r="ES98" i="20"/>
  <c r="EO99" i="20"/>
  <c r="ES99" i="20"/>
  <c r="EO100" i="20"/>
  <c r="ES100" i="20"/>
  <c r="EO101" i="20"/>
  <c r="ES101" i="20"/>
  <c r="EO102" i="20"/>
  <c r="ES102" i="20"/>
  <c r="EO103" i="20"/>
  <c r="ES103" i="20"/>
  <c r="EO104" i="20"/>
  <c r="ES104" i="20"/>
  <c r="EO105" i="20"/>
  <c r="ES105" i="20"/>
  <c r="EO106" i="20"/>
  <c r="ES106" i="20"/>
  <c r="EO107" i="20"/>
  <c r="ES107" i="20"/>
  <c r="EO108" i="20"/>
  <c r="ES108" i="20"/>
  <c r="EO109" i="20"/>
  <c r="ES109" i="20"/>
  <c r="EO110" i="20"/>
  <c r="ES110" i="20"/>
  <c r="EO111" i="20"/>
  <c r="ES111" i="20"/>
  <c r="EO112" i="20"/>
  <c r="ES112" i="20"/>
  <c r="EO113" i="20"/>
  <c r="ES113" i="20"/>
  <c r="EO114" i="20"/>
  <c r="ES114" i="20"/>
  <c r="EO115" i="20"/>
  <c r="ES115" i="20"/>
  <c r="EO116" i="20"/>
  <c r="ES116" i="20"/>
  <c r="EO117" i="20"/>
  <c r="ES117" i="20"/>
  <c r="EO118" i="20"/>
  <c r="ES118" i="20"/>
  <c r="EO119" i="20"/>
  <c r="ES119" i="20"/>
  <c r="EO120" i="20"/>
  <c r="ES120" i="20"/>
  <c r="EO121" i="20"/>
  <c r="ES121" i="20"/>
  <c r="EO122" i="20"/>
  <c r="ES122" i="20"/>
  <c r="EO123" i="20"/>
  <c r="ES123" i="20"/>
  <c r="EO124" i="20"/>
  <c r="ES124" i="20"/>
  <c r="EO125" i="20"/>
  <c r="ES125" i="20"/>
  <c r="EO126" i="20"/>
  <c r="ES126" i="20"/>
  <c r="EO127" i="20"/>
  <c r="ES127" i="20"/>
  <c r="EO128" i="20"/>
  <c r="ES128" i="20"/>
  <c r="EO129" i="20"/>
  <c r="ES129" i="20"/>
  <c r="EO130" i="20"/>
  <c r="ES130" i="20"/>
  <c r="EO131" i="20"/>
  <c r="ES131" i="20"/>
  <c r="EO132" i="20"/>
  <c r="ES132" i="20"/>
  <c r="EO133" i="20"/>
  <c r="ES133" i="20"/>
  <c r="EP63" i="20"/>
  <c r="EP64" i="20"/>
  <c r="EP65" i="20"/>
  <c r="EP66" i="20"/>
  <c r="EP67" i="20"/>
  <c r="EP68" i="20"/>
  <c r="EP69" i="20"/>
  <c r="EP70" i="20"/>
  <c r="EP71" i="20"/>
  <c r="EP72" i="20"/>
  <c r="EP73" i="20"/>
  <c r="EP74" i="20"/>
  <c r="EP75" i="20"/>
  <c r="EP76" i="20"/>
  <c r="EP77" i="20"/>
  <c r="EP78" i="20"/>
  <c r="EP79" i="20"/>
  <c r="EP80" i="20"/>
  <c r="EP81" i="20"/>
  <c r="EP82" i="20"/>
  <c r="EP83" i="20"/>
  <c r="EP84" i="20"/>
  <c r="EP85" i="20"/>
  <c r="EP86" i="20"/>
  <c r="EP87" i="20"/>
  <c r="EP88" i="20"/>
  <c r="EP89" i="20"/>
  <c r="ER90" i="20"/>
  <c r="ER91" i="20"/>
  <c r="ER92" i="20"/>
  <c r="ER93" i="20"/>
  <c r="EP94" i="20"/>
  <c r="ET94" i="20"/>
  <c r="EP95" i="20"/>
  <c r="ET95" i="20"/>
  <c r="EP96" i="20"/>
  <c r="ET96" i="20"/>
  <c r="EP97" i="20"/>
  <c r="ET97" i="20"/>
  <c r="EP98" i="20"/>
  <c r="ET98" i="20"/>
  <c r="EP99" i="20"/>
  <c r="ET99" i="20"/>
  <c r="EP100" i="20"/>
  <c r="ET100" i="20"/>
  <c r="EP101" i="20"/>
  <c r="ET101" i="20"/>
  <c r="EP102" i="20"/>
  <c r="ET102" i="20"/>
  <c r="EP103" i="20"/>
  <c r="ET103" i="20"/>
  <c r="EP104" i="20"/>
  <c r="ET104" i="20"/>
  <c r="EP105" i="20"/>
  <c r="ET105" i="20"/>
  <c r="EP106" i="20"/>
  <c r="ET106" i="20"/>
  <c r="EP107" i="20"/>
  <c r="ET107" i="20"/>
  <c r="EP108" i="20"/>
  <c r="ET108" i="20"/>
  <c r="EP109" i="20"/>
  <c r="ET109" i="20"/>
  <c r="EP110" i="20"/>
  <c r="ET110" i="20"/>
  <c r="EP111" i="20"/>
  <c r="ET111" i="20"/>
  <c r="EP112" i="20"/>
  <c r="ET112" i="20"/>
  <c r="EP113" i="20"/>
  <c r="ET113" i="20"/>
  <c r="EP114" i="20"/>
  <c r="ET114" i="20"/>
  <c r="EP115" i="20"/>
  <c r="ET115" i="20"/>
  <c r="EP116" i="20"/>
  <c r="ET116" i="20"/>
  <c r="EP117" i="20"/>
  <c r="ET117" i="20"/>
  <c r="EP118" i="20"/>
  <c r="ET118" i="20"/>
  <c r="EP119" i="20"/>
  <c r="ET119" i="20"/>
  <c r="EP120" i="20"/>
  <c r="ET120" i="20"/>
  <c r="EP121" i="20"/>
  <c r="ET121" i="20"/>
  <c r="EP122" i="20"/>
  <c r="ET122" i="20"/>
  <c r="EP123" i="20"/>
  <c r="ET123" i="20"/>
  <c r="EP124" i="20"/>
  <c r="ET124" i="20"/>
  <c r="EP125" i="20"/>
  <c r="ET125" i="20"/>
  <c r="EP126" i="20"/>
  <c r="ET126" i="20"/>
  <c r="EP127" i="20"/>
  <c r="ET127" i="20"/>
  <c r="EP128" i="20"/>
  <c r="ET128" i="20"/>
  <c r="EP129" i="20"/>
  <c r="ET129" i="20"/>
  <c r="EP130" i="20"/>
  <c r="ET130" i="20"/>
  <c r="EP131" i="20"/>
  <c r="ET131" i="20"/>
  <c r="EP132" i="20"/>
  <c r="ET132" i="20"/>
  <c r="EP133" i="20"/>
  <c r="ET133" i="20"/>
  <c r="ES63" i="20"/>
  <c r="ES64" i="20"/>
  <c r="ES65" i="20"/>
  <c r="ES66" i="20"/>
  <c r="ES67" i="20"/>
  <c r="ES68" i="20"/>
  <c r="ES69" i="20"/>
  <c r="ES70" i="20"/>
  <c r="ES71" i="20"/>
  <c r="ES72" i="20"/>
  <c r="ES73" i="20"/>
  <c r="ES74" i="20"/>
  <c r="ES75" i="20"/>
  <c r="ES76" i="20"/>
  <c r="ES77" i="20"/>
  <c r="ES78" i="20"/>
  <c r="ES79" i="20"/>
  <c r="ES80" i="20"/>
  <c r="ES81" i="20"/>
  <c r="ES82" i="20"/>
  <c r="ES83" i="20"/>
  <c r="ES84" i="20"/>
  <c r="ES85" i="20"/>
  <c r="ES86" i="20"/>
  <c r="ES87" i="20"/>
  <c r="ES88" i="20"/>
  <c r="ES89" i="20"/>
  <c r="EN90" i="20"/>
  <c r="ES90" i="20"/>
  <c r="EN91" i="20"/>
  <c r="ES91" i="20"/>
  <c r="EN92" i="20"/>
  <c r="ES92" i="20"/>
  <c r="EN93" i="20"/>
  <c r="ES93" i="20"/>
  <c r="EM94" i="20"/>
  <c r="EQ94" i="20"/>
  <c r="EM95" i="20"/>
  <c r="EQ95" i="20"/>
  <c r="EM96" i="20"/>
  <c r="EQ96" i="20"/>
  <c r="EM97" i="20"/>
  <c r="EQ97" i="20"/>
  <c r="EM98" i="20"/>
  <c r="EQ98" i="20"/>
  <c r="EM99" i="20"/>
  <c r="EQ99" i="20"/>
  <c r="EM100" i="20"/>
  <c r="EQ100" i="20"/>
  <c r="EM101" i="20"/>
  <c r="EQ101" i="20"/>
  <c r="EM102" i="20"/>
  <c r="EQ102" i="20"/>
  <c r="EM103" i="20"/>
  <c r="EQ103" i="20"/>
  <c r="EM104" i="20"/>
  <c r="EQ104" i="20"/>
  <c r="EM105" i="20"/>
  <c r="EQ105" i="20"/>
  <c r="EM106" i="20"/>
  <c r="EQ106" i="20"/>
  <c r="EM107" i="20"/>
  <c r="EQ107" i="20"/>
  <c r="EM108" i="20"/>
  <c r="EQ108" i="20"/>
  <c r="EM109" i="20"/>
  <c r="EQ109" i="20"/>
  <c r="EM110" i="20"/>
  <c r="EQ110" i="20"/>
  <c r="EM111" i="20"/>
  <c r="EQ111" i="20"/>
  <c r="EM112" i="20"/>
  <c r="EQ112" i="20"/>
  <c r="EM113" i="20"/>
  <c r="EQ113" i="20"/>
  <c r="EM114" i="20"/>
  <c r="EQ114" i="20"/>
  <c r="EM115" i="20"/>
  <c r="EQ115" i="20"/>
  <c r="EM116" i="20"/>
  <c r="EQ116" i="20"/>
  <c r="EM117" i="20"/>
  <c r="EQ117" i="20"/>
  <c r="EM118" i="20"/>
  <c r="EQ118" i="20"/>
  <c r="EM119" i="20"/>
  <c r="EQ119" i="20"/>
  <c r="EM120" i="20"/>
  <c r="EQ120" i="20"/>
  <c r="EM121" i="20"/>
  <c r="EQ121" i="20"/>
  <c r="EM122" i="20"/>
  <c r="EQ122" i="20"/>
  <c r="EM123" i="20"/>
  <c r="EQ123" i="20"/>
  <c r="EM124" i="20"/>
  <c r="EQ124" i="20"/>
  <c r="EM125" i="20"/>
  <c r="EQ125" i="20"/>
  <c r="EM126" i="20"/>
  <c r="EQ126" i="20"/>
  <c r="EM127" i="20"/>
  <c r="EQ127" i="20"/>
  <c r="EM128" i="20"/>
  <c r="EQ128" i="20"/>
  <c r="EM129" i="20"/>
  <c r="EQ129" i="20"/>
  <c r="EM130" i="20"/>
  <c r="EQ130" i="20"/>
  <c r="EM131" i="20"/>
  <c r="EQ131" i="20"/>
  <c r="EM132" i="20"/>
  <c r="EQ132" i="20"/>
  <c r="EM133" i="20"/>
  <c r="EQ133" i="20"/>
  <c r="ET63" i="20"/>
  <c r="ET64" i="20"/>
  <c r="ET65" i="20"/>
  <c r="ET66" i="20"/>
  <c r="ET67" i="20"/>
  <c r="ET68" i="20"/>
  <c r="ET69" i="20"/>
  <c r="ET70" i="20"/>
  <c r="ET71" i="20"/>
  <c r="ET72" i="20"/>
  <c r="ET73" i="20"/>
  <c r="ET74" i="20"/>
  <c r="ET75" i="20"/>
  <c r="ET76" i="20"/>
  <c r="ET77" i="20"/>
  <c r="ET78" i="20"/>
  <c r="ET79" i="20"/>
  <c r="ET80" i="20"/>
  <c r="ET81" i="20"/>
  <c r="ET82" i="20"/>
  <c r="ET83" i="20"/>
  <c r="ET84" i="20"/>
  <c r="ET85" i="20"/>
  <c r="ET86" i="20"/>
  <c r="ET87" i="20"/>
  <c r="ET88" i="20"/>
  <c r="ET89" i="20"/>
  <c r="EO90" i="20"/>
  <c r="ET90" i="20"/>
  <c r="EO91" i="20"/>
  <c r="ET91" i="20"/>
  <c r="EO92" i="20"/>
  <c r="ET92" i="20"/>
  <c r="EO93" i="20"/>
  <c r="ET93" i="20"/>
  <c r="EN94" i="20"/>
  <c r="ER94" i="20"/>
  <c r="EN95" i="20"/>
  <c r="ER95" i="20"/>
  <c r="EN96" i="20"/>
  <c r="ER96" i="20"/>
  <c r="EN97" i="20"/>
  <c r="ER97" i="20"/>
  <c r="EN98" i="20"/>
  <c r="ER98" i="20"/>
  <c r="EN99" i="20"/>
  <c r="ER99" i="20"/>
  <c r="EN100" i="20"/>
  <c r="ER100" i="20"/>
  <c r="EN101" i="20"/>
  <c r="ER101" i="20"/>
  <c r="EN102" i="20"/>
  <c r="ER102" i="20"/>
  <c r="EN103" i="20"/>
  <c r="ER103" i="20"/>
  <c r="EN104" i="20"/>
  <c r="ER104" i="20"/>
  <c r="EN105" i="20"/>
  <c r="ER105" i="20"/>
  <c r="EN106" i="20"/>
  <c r="ER106" i="20"/>
  <c r="EN107" i="20"/>
  <c r="ER107" i="20"/>
  <c r="EN108" i="20"/>
  <c r="ER108" i="20"/>
  <c r="EN109" i="20"/>
  <c r="ER109" i="20"/>
  <c r="EN110" i="20"/>
  <c r="ER110" i="20"/>
  <c r="EN111" i="20"/>
  <c r="ER111" i="20"/>
  <c r="EN112" i="20"/>
  <c r="ER112" i="20"/>
  <c r="EN113" i="20"/>
  <c r="ER113" i="20"/>
  <c r="EN114" i="20"/>
  <c r="ER114" i="20"/>
  <c r="EN115" i="20"/>
  <c r="ER115" i="20"/>
  <c r="EN116" i="20"/>
  <c r="ER116" i="20"/>
  <c r="EN117" i="20"/>
  <c r="ER117" i="20"/>
  <c r="EN118" i="20"/>
  <c r="ER118" i="20"/>
  <c r="EN119" i="20"/>
  <c r="ER119" i="20"/>
  <c r="EN120" i="20"/>
  <c r="ER120" i="20"/>
  <c r="EN121" i="20"/>
  <c r="ER121" i="20"/>
  <c r="EN122" i="20"/>
  <c r="ER122" i="20"/>
  <c r="EN123" i="20"/>
  <c r="ER123" i="20"/>
  <c r="EN124" i="20"/>
  <c r="ER124" i="20"/>
  <c r="EN125" i="20"/>
  <c r="ER125" i="20"/>
  <c r="EN126" i="20"/>
  <c r="ER126" i="20"/>
  <c r="EN127" i="20"/>
  <c r="ER127" i="20"/>
  <c r="EN128" i="20"/>
  <c r="ER128" i="20"/>
  <c r="EN129" i="20"/>
  <c r="ER129" i="20"/>
  <c r="EN130" i="20"/>
  <c r="ER130" i="20"/>
  <c r="EN131" i="20"/>
  <c r="ER131" i="20"/>
  <c r="EN132" i="20"/>
  <c r="ER132" i="20"/>
  <c r="EN133" i="20"/>
  <c r="ER133" i="20"/>
  <c r="EF127" i="19"/>
  <c r="EF125" i="19"/>
  <c r="EF112" i="19"/>
  <c r="EF114" i="19"/>
  <c r="EF116" i="19"/>
  <c r="EF118" i="19"/>
  <c r="EF120" i="19"/>
  <c r="EF122" i="19"/>
  <c r="EF97" i="19"/>
  <c r="EF99" i="19"/>
  <c r="EF101" i="19"/>
  <c r="EF103" i="19"/>
  <c r="EF105" i="19"/>
  <c r="EF107" i="19"/>
  <c r="EF109" i="19"/>
  <c r="EF111" i="19"/>
  <c r="EF10" i="19"/>
  <c r="EF12" i="19"/>
  <c r="EF14" i="19"/>
  <c r="EF16" i="19"/>
  <c r="EF18" i="19"/>
  <c r="EF20" i="19"/>
  <c r="EF22" i="19"/>
  <c r="EF24" i="19"/>
  <c r="EF26" i="19"/>
  <c r="EF28" i="19"/>
  <c r="EF30" i="19"/>
  <c r="EF32" i="19"/>
  <c r="EF34" i="19"/>
  <c r="EF36" i="19"/>
  <c r="EF38" i="19"/>
  <c r="EF40" i="19"/>
  <c r="EF42" i="19"/>
  <c r="EF44" i="19"/>
  <c r="EF46" i="19"/>
  <c r="EF48" i="19"/>
  <c r="EF50" i="19"/>
  <c r="EF52" i="19"/>
  <c r="EF54" i="19"/>
  <c r="EF56" i="19"/>
  <c r="EF58" i="19"/>
  <c r="EF60" i="19"/>
  <c r="EF62" i="19"/>
  <c r="EF64" i="19"/>
  <c r="EF66" i="19"/>
  <c r="EF68" i="19"/>
  <c r="EF70" i="19"/>
  <c r="EF72" i="19"/>
  <c r="EF74" i="19"/>
  <c r="EF76" i="19"/>
  <c r="EF78" i="19"/>
  <c r="EF80" i="19"/>
  <c r="EF82" i="19"/>
  <c r="EF84" i="19"/>
  <c r="EF86" i="19"/>
  <c r="EF88" i="19"/>
  <c r="EF90" i="19"/>
  <c r="EF92" i="19"/>
  <c r="EF94" i="19"/>
  <c r="EF96" i="19"/>
  <c r="DL111" i="19"/>
  <c r="DL113" i="19"/>
  <c r="DL115" i="19"/>
  <c r="DL117" i="19"/>
  <c r="DL119" i="19"/>
  <c r="DL121" i="19"/>
  <c r="DL123" i="19"/>
  <c r="DL125" i="19"/>
  <c r="DL127" i="19"/>
  <c r="DL10" i="19"/>
  <c r="DL12" i="19"/>
  <c r="DL14" i="19"/>
  <c r="DL16" i="19"/>
  <c r="DL18" i="19"/>
  <c r="DL20" i="19"/>
  <c r="DL22" i="19"/>
  <c r="DL24" i="19"/>
  <c r="DL26" i="19"/>
  <c r="DL28" i="19"/>
  <c r="DL30" i="19"/>
  <c r="DL32" i="19"/>
  <c r="DL34" i="19"/>
  <c r="DL36" i="19"/>
  <c r="DL38" i="19"/>
  <c r="DL40" i="19"/>
  <c r="DL42" i="19"/>
  <c r="DL44" i="19"/>
  <c r="DL46" i="19"/>
  <c r="DL48" i="19"/>
  <c r="DL50" i="19"/>
  <c r="DL52" i="19"/>
  <c r="DL54" i="19"/>
  <c r="DL56" i="19"/>
  <c r="DL58" i="19"/>
  <c r="DL60" i="19"/>
  <c r="DL62" i="19"/>
  <c r="DL64" i="19"/>
  <c r="DL66" i="19"/>
  <c r="DL68" i="19"/>
  <c r="DL70" i="19"/>
  <c r="DL72" i="19"/>
  <c r="DL74" i="19"/>
  <c r="DL76" i="19"/>
  <c r="DL78" i="19"/>
  <c r="DL80" i="19"/>
  <c r="DL82" i="19"/>
  <c r="DL84" i="19"/>
  <c r="DL86" i="19"/>
  <c r="DL88" i="19"/>
  <c r="DL90" i="19"/>
  <c r="DL92" i="19"/>
  <c r="DL94" i="19"/>
  <c r="DL96" i="19"/>
  <c r="DL98" i="19"/>
  <c r="DL100" i="19"/>
  <c r="DL102" i="19"/>
  <c r="DL104" i="19"/>
  <c r="DL106" i="19"/>
  <c r="DL108" i="19"/>
  <c r="EF124" i="19"/>
  <c r="EF126" i="19"/>
  <c r="EF113" i="19"/>
  <c r="EF115" i="19"/>
  <c r="EF117" i="19"/>
  <c r="EF119" i="19"/>
  <c r="EF121" i="19"/>
  <c r="EF123" i="19"/>
  <c r="EF98" i="19"/>
  <c r="EF100" i="19"/>
  <c r="EF102" i="19"/>
  <c r="EF104" i="19"/>
  <c r="EF106" i="19"/>
  <c r="EF108" i="19"/>
  <c r="EF110" i="19"/>
  <c r="EF9" i="19"/>
  <c r="EF11" i="19"/>
  <c r="EF13" i="19"/>
  <c r="EF15" i="19"/>
  <c r="EF17" i="19"/>
  <c r="EF19" i="19"/>
  <c r="EF21" i="19"/>
  <c r="EF23" i="19"/>
  <c r="EF25" i="19"/>
  <c r="EF27" i="19"/>
  <c r="EF29" i="19"/>
  <c r="EF31" i="19"/>
  <c r="EF33" i="19"/>
  <c r="EF35" i="19"/>
  <c r="EF37" i="19"/>
  <c r="EF39" i="19"/>
  <c r="EF41" i="19"/>
  <c r="EF43" i="19"/>
  <c r="EF45" i="19"/>
  <c r="EF47" i="19"/>
  <c r="EF49" i="19"/>
  <c r="EF51" i="19"/>
  <c r="EF53" i="19"/>
  <c r="EF55" i="19"/>
  <c r="EF57" i="19"/>
  <c r="EF59" i="19"/>
  <c r="EF61" i="19"/>
  <c r="EF63" i="19"/>
  <c r="EF65" i="19"/>
  <c r="EF67" i="19"/>
  <c r="EF69" i="19"/>
  <c r="EF71" i="19"/>
  <c r="EF73" i="19"/>
  <c r="EF75" i="19"/>
  <c r="EF77" i="19"/>
  <c r="EF79" i="19"/>
  <c r="EF81" i="19"/>
  <c r="EF83" i="19"/>
  <c r="EF85" i="19"/>
  <c r="EF87" i="19"/>
  <c r="EF89" i="19"/>
  <c r="EF91" i="19"/>
  <c r="EF93" i="19"/>
  <c r="EF95" i="19"/>
  <c r="DL110" i="19"/>
  <c r="DL112" i="19"/>
  <c r="DL114" i="19"/>
  <c r="DL116" i="19"/>
  <c r="DL118" i="19"/>
  <c r="DL120" i="19"/>
  <c r="DL122" i="19"/>
  <c r="DL124" i="19"/>
  <c r="DL126" i="19"/>
  <c r="DL9" i="19"/>
  <c r="DL11" i="19"/>
  <c r="DL13" i="19"/>
  <c r="DL15" i="19"/>
  <c r="DL17" i="19"/>
  <c r="DL19" i="19"/>
  <c r="DL21" i="19"/>
  <c r="DL23" i="19"/>
  <c r="DL25" i="19"/>
  <c r="DL27" i="19"/>
  <c r="DL29" i="19"/>
  <c r="DL31" i="19"/>
  <c r="DL33" i="19"/>
  <c r="DL35" i="19"/>
  <c r="DL37" i="19"/>
  <c r="DL39" i="19"/>
  <c r="DL41" i="19"/>
  <c r="DL43" i="19"/>
  <c r="DL45" i="19"/>
  <c r="DL47" i="19"/>
  <c r="DL49" i="19"/>
  <c r="DL51" i="19"/>
  <c r="DL53" i="19"/>
  <c r="DL55" i="19"/>
  <c r="DL57" i="19"/>
  <c r="DL59" i="19"/>
  <c r="DL61" i="19"/>
  <c r="DL63" i="19"/>
  <c r="DL65" i="19"/>
  <c r="DL67" i="19"/>
  <c r="DL69" i="19"/>
  <c r="DL71" i="19"/>
  <c r="DL73" i="19"/>
  <c r="DL75" i="19"/>
  <c r="DL77" i="19"/>
  <c r="DL79" i="19"/>
  <c r="DL81" i="19"/>
  <c r="DL83" i="19"/>
  <c r="DL85" i="19"/>
  <c r="DL87" i="19"/>
  <c r="DL89" i="19"/>
  <c r="DL91" i="19"/>
  <c r="DL93" i="19"/>
  <c r="DL95" i="19"/>
  <c r="DL97" i="19"/>
  <c r="DL99" i="19"/>
  <c r="DL101" i="19"/>
  <c r="DL103" i="19"/>
  <c r="DL105" i="19"/>
  <c r="DL107" i="19"/>
  <c r="DL109" i="19"/>
  <c r="CR95" i="19"/>
  <c r="CR97" i="19"/>
  <c r="CR99" i="19"/>
  <c r="CR101" i="19"/>
  <c r="CR103" i="19"/>
  <c r="CR105" i="19"/>
  <c r="CR107" i="19"/>
  <c r="CR109" i="19"/>
  <c r="CR111" i="19"/>
  <c r="CR113" i="19"/>
  <c r="CR115" i="19"/>
  <c r="CR117" i="19"/>
  <c r="CR119" i="19"/>
  <c r="CR121" i="19"/>
  <c r="CR123" i="19"/>
  <c r="CR125" i="19"/>
  <c r="CR127" i="19"/>
  <c r="CR85" i="19"/>
  <c r="CR87" i="19"/>
  <c r="CR89" i="19"/>
  <c r="CR91" i="19"/>
  <c r="CR93" i="19"/>
  <c r="CR27" i="19"/>
  <c r="CR29" i="19"/>
  <c r="CR31" i="19"/>
  <c r="CR33" i="19"/>
  <c r="CR35" i="19"/>
  <c r="CR37" i="19"/>
  <c r="CR39" i="19"/>
  <c r="CR41" i="19"/>
  <c r="CR43" i="19"/>
  <c r="CR45" i="19"/>
  <c r="CR47" i="19"/>
  <c r="CR49" i="19"/>
  <c r="CR51" i="19"/>
  <c r="CR53" i="19"/>
  <c r="CR55" i="19"/>
  <c r="CR57" i="19"/>
  <c r="CR59" i="19"/>
  <c r="CR61" i="19"/>
  <c r="CR63" i="19"/>
  <c r="CR65" i="19"/>
  <c r="CR67" i="19"/>
  <c r="CR69" i="19"/>
  <c r="CR71" i="19"/>
  <c r="CR73" i="19"/>
  <c r="CR75" i="19"/>
  <c r="CR77" i="19"/>
  <c r="CR79" i="19"/>
  <c r="CR96" i="19"/>
  <c r="CR98" i="19"/>
  <c r="CR100" i="19"/>
  <c r="CR102" i="19"/>
  <c r="CR104" i="19"/>
  <c r="CR106" i="19"/>
  <c r="CR108" i="19"/>
  <c r="CR110" i="19"/>
  <c r="CR112" i="19"/>
  <c r="CR114" i="19"/>
  <c r="CR116" i="19"/>
  <c r="CR118" i="19"/>
  <c r="CR120" i="19"/>
  <c r="CR122" i="19"/>
  <c r="CR124" i="19"/>
  <c r="CR126" i="19"/>
  <c r="CR84" i="19"/>
  <c r="CR86" i="19"/>
  <c r="CR88" i="19"/>
  <c r="CR90" i="19"/>
  <c r="CR92" i="19"/>
  <c r="CR94" i="19"/>
  <c r="CR28" i="19"/>
  <c r="CR30" i="19"/>
  <c r="CR32" i="19"/>
  <c r="CR34" i="19"/>
  <c r="CR36" i="19"/>
  <c r="CR38" i="19"/>
  <c r="CR40" i="19"/>
  <c r="CR42" i="19"/>
  <c r="CR44" i="19"/>
  <c r="CR46" i="19"/>
  <c r="CR48" i="19"/>
  <c r="CR50" i="19"/>
  <c r="CR52" i="19"/>
  <c r="CR54" i="19"/>
  <c r="CR56" i="19"/>
  <c r="CR58" i="19"/>
  <c r="CR60" i="19"/>
  <c r="CR62" i="19"/>
  <c r="CR64" i="19"/>
  <c r="CR66" i="19"/>
  <c r="CR68" i="19"/>
  <c r="CR70" i="19"/>
  <c r="CR72" i="19"/>
  <c r="CR74" i="19"/>
  <c r="CR76" i="19"/>
  <c r="CR78" i="19"/>
  <c r="CR80" i="19"/>
  <c r="CR81" i="19"/>
  <c r="CR83" i="19"/>
  <c r="CR22" i="19"/>
  <c r="CR24" i="19"/>
  <c r="CR26" i="19"/>
  <c r="CR10" i="19"/>
  <c r="CR12" i="19"/>
  <c r="CR14" i="19"/>
  <c r="CR16" i="19"/>
  <c r="CR18" i="19"/>
  <c r="CR20" i="19"/>
  <c r="BX107" i="19"/>
  <c r="BX109" i="19"/>
  <c r="BX111" i="19"/>
  <c r="BX113" i="19"/>
  <c r="BX115" i="19"/>
  <c r="BX117" i="19"/>
  <c r="BX119" i="19"/>
  <c r="BX121" i="19"/>
  <c r="BX123" i="19"/>
  <c r="BX125" i="19"/>
  <c r="BX127" i="19"/>
  <c r="BX10" i="19"/>
  <c r="BX12" i="19"/>
  <c r="BX14" i="19"/>
  <c r="BX16" i="19"/>
  <c r="BX18" i="19"/>
  <c r="BX20" i="19"/>
  <c r="BX22" i="19"/>
  <c r="BX24" i="19"/>
  <c r="BX26" i="19"/>
  <c r="BX28" i="19"/>
  <c r="BX30" i="19"/>
  <c r="BX32" i="19"/>
  <c r="BX34" i="19"/>
  <c r="BX36" i="19"/>
  <c r="BX38" i="19"/>
  <c r="BX40" i="19"/>
  <c r="BX42" i="19"/>
  <c r="BX44" i="19"/>
  <c r="BX46" i="19"/>
  <c r="BX48" i="19"/>
  <c r="BX50" i="19"/>
  <c r="BX52" i="19"/>
  <c r="BX54" i="19"/>
  <c r="BX56" i="19"/>
  <c r="BX58" i="19"/>
  <c r="BX60" i="19"/>
  <c r="BX62" i="19"/>
  <c r="BX64" i="19"/>
  <c r="BX66" i="19"/>
  <c r="BX68" i="19"/>
  <c r="BX70" i="19"/>
  <c r="BX72" i="19"/>
  <c r="BX74" i="19"/>
  <c r="BX76" i="19"/>
  <c r="BX78" i="19"/>
  <c r="BX80" i="19"/>
  <c r="BX82" i="19"/>
  <c r="BX84" i="19"/>
  <c r="BX86" i="19"/>
  <c r="BX88" i="19"/>
  <c r="BX90" i="19"/>
  <c r="BX92" i="19"/>
  <c r="BX94" i="19"/>
  <c r="BX96" i="19"/>
  <c r="BX98" i="19"/>
  <c r="BX100" i="19"/>
  <c r="BX102" i="19"/>
  <c r="BX104" i="19"/>
  <c r="BX106" i="19"/>
  <c r="BD12" i="19"/>
  <c r="BD14" i="19"/>
  <c r="BD16" i="19"/>
  <c r="BD18" i="19"/>
  <c r="BD20" i="19"/>
  <c r="BD22" i="19"/>
  <c r="BD24" i="19"/>
  <c r="BD26" i="19"/>
  <c r="BD28" i="19"/>
  <c r="BD30" i="19"/>
  <c r="BD32" i="19"/>
  <c r="BD34" i="19"/>
  <c r="BD36" i="19"/>
  <c r="BD38" i="19"/>
  <c r="BD40" i="19"/>
  <c r="BD42" i="19"/>
  <c r="BD44" i="19"/>
  <c r="BD46" i="19"/>
  <c r="BD48" i="19"/>
  <c r="BD50" i="19"/>
  <c r="BD52" i="19"/>
  <c r="BD54" i="19"/>
  <c r="BD56" i="19"/>
  <c r="BD58" i="19"/>
  <c r="BD60" i="19"/>
  <c r="BD62" i="19"/>
  <c r="BD64" i="19"/>
  <c r="BD66" i="19"/>
  <c r="BD68" i="19"/>
  <c r="BD70" i="19"/>
  <c r="BD72" i="19"/>
  <c r="BD74" i="19"/>
  <c r="BD76" i="19"/>
  <c r="BD78" i="19"/>
  <c r="CR21" i="19"/>
  <c r="CR11" i="19"/>
  <c r="CR19" i="19"/>
  <c r="BX114" i="19"/>
  <c r="BX122" i="19"/>
  <c r="BX11" i="19"/>
  <c r="BX19" i="19"/>
  <c r="BX27" i="19"/>
  <c r="BX35" i="19"/>
  <c r="BX43" i="19"/>
  <c r="BX51" i="19"/>
  <c r="BX59" i="19"/>
  <c r="BX67" i="19"/>
  <c r="BX75" i="19"/>
  <c r="BX83" i="19"/>
  <c r="BX91" i="19"/>
  <c r="BX99" i="19"/>
  <c r="BD79" i="19"/>
  <c r="BD81" i="19"/>
  <c r="BD83" i="19"/>
  <c r="BD85" i="19"/>
  <c r="BD87" i="19"/>
  <c r="BD89" i="19"/>
  <c r="BD91" i="19"/>
  <c r="BD93" i="19"/>
  <c r="BD95" i="19"/>
  <c r="BD97" i="19"/>
  <c r="BD99" i="19"/>
  <c r="BD101" i="19"/>
  <c r="BD103" i="19"/>
  <c r="BD105" i="19"/>
  <c r="BD107" i="19"/>
  <c r="BD109" i="19"/>
  <c r="BD111" i="19"/>
  <c r="BD113" i="19"/>
  <c r="BD115" i="19"/>
  <c r="BD117" i="19"/>
  <c r="BD119" i="19"/>
  <c r="BD121" i="19"/>
  <c r="BD123" i="19"/>
  <c r="BD125" i="19"/>
  <c r="BD127" i="19"/>
  <c r="CR17" i="19"/>
  <c r="BX112" i="19"/>
  <c r="BX120" i="19"/>
  <c r="BX9" i="19"/>
  <c r="BX17" i="19"/>
  <c r="BD37" i="19"/>
  <c r="BD41" i="19"/>
  <c r="BD45" i="19"/>
  <c r="BD61" i="19"/>
  <c r="BD65" i="19"/>
  <c r="BD69" i="19"/>
  <c r="BD73" i="19"/>
  <c r="BD77" i="19"/>
  <c r="CR23" i="19"/>
  <c r="CR13" i="19"/>
  <c r="BX108" i="19"/>
  <c r="BX116" i="19"/>
  <c r="BX124" i="19"/>
  <c r="BX13" i="19"/>
  <c r="BX21" i="19"/>
  <c r="BX29" i="19"/>
  <c r="BX37" i="19"/>
  <c r="BX45" i="19"/>
  <c r="BX53" i="19"/>
  <c r="BX61" i="19"/>
  <c r="BX69" i="19"/>
  <c r="BX77" i="19"/>
  <c r="BX85" i="19"/>
  <c r="BX93" i="19"/>
  <c r="BX101" i="19"/>
  <c r="BD15" i="19"/>
  <c r="BD19" i="19"/>
  <c r="BD23" i="19"/>
  <c r="BD27" i="19"/>
  <c r="BD31" i="19"/>
  <c r="BD35" i="19"/>
  <c r="BD39" i="19"/>
  <c r="BD43" i="19"/>
  <c r="BD47" i="19"/>
  <c r="BD51" i="19"/>
  <c r="BD55" i="19"/>
  <c r="BD59" i="19"/>
  <c r="BD63" i="19"/>
  <c r="BD67" i="19"/>
  <c r="BD71" i="19"/>
  <c r="BD75" i="19"/>
  <c r="CR82" i="19"/>
  <c r="CR9" i="19"/>
  <c r="BX33" i="19"/>
  <c r="BX41" i="19"/>
  <c r="BX49" i="19"/>
  <c r="BX57" i="19"/>
  <c r="BX65" i="19"/>
  <c r="BX73" i="19"/>
  <c r="BX81" i="19"/>
  <c r="BX89" i="19"/>
  <c r="BX105" i="19"/>
  <c r="BD13" i="19"/>
  <c r="BD17" i="19"/>
  <c r="BD21" i="19"/>
  <c r="BD25" i="19"/>
  <c r="BD29" i="19"/>
  <c r="BD33" i="19"/>
  <c r="CR25" i="19"/>
  <c r="CR15" i="19"/>
  <c r="BX110" i="19"/>
  <c r="BX118" i="19"/>
  <c r="BX126" i="19"/>
  <c r="BX15" i="19"/>
  <c r="BX23" i="19"/>
  <c r="BX31" i="19"/>
  <c r="BX39" i="19"/>
  <c r="BX47" i="19"/>
  <c r="BX55" i="19"/>
  <c r="BX63" i="19"/>
  <c r="BX71" i="19"/>
  <c r="BX79" i="19"/>
  <c r="BX87" i="19"/>
  <c r="BX95" i="19"/>
  <c r="BX103" i="19"/>
  <c r="BD80" i="19"/>
  <c r="BD82" i="19"/>
  <c r="BD84" i="19"/>
  <c r="BD86" i="19"/>
  <c r="BD88" i="19"/>
  <c r="BD90" i="19"/>
  <c r="BD92" i="19"/>
  <c r="BD94" i="19"/>
  <c r="BD96" i="19"/>
  <c r="BD98" i="19"/>
  <c r="BD100" i="19"/>
  <c r="BD102" i="19"/>
  <c r="BD104" i="19"/>
  <c r="BD106" i="19"/>
  <c r="BD108" i="19"/>
  <c r="BD110" i="19"/>
  <c r="BD112" i="19"/>
  <c r="BD114" i="19"/>
  <c r="BD116" i="19"/>
  <c r="BD118" i="19"/>
  <c r="BD120" i="19"/>
  <c r="BD122" i="19"/>
  <c r="BD124" i="19"/>
  <c r="BD126" i="19"/>
  <c r="BX25" i="19"/>
  <c r="BX97" i="19"/>
  <c r="BD49" i="19"/>
  <c r="BD53" i="19"/>
  <c r="BD57" i="19"/>
  <c r="DY166" i="20"/>
  <c r="EC166" i="20"/>
  <c r="DY167" i="20"/>
  <c r="EC167" i="20"/>
  <c r="DY142" i="20"/>
  <c r="EC142" i="20"/>
  <c r="DY143" i="20"/>
  <c r="EC143" i="20"/>
  <c r="DY144" i="20"/>
  <c r="EC144" i="20"/>
  <c r="DY145" i="20"/>
  <c r="EC145" i="20"/>
  <c r="DY146" i="20"/>
  <c r="EC146" i="20"/>
  <c r="DY147" i="20"/>
  <c r="EC147" i="20"/>
  <c r="DY148" i="20"/>
  <c r="EC148" i="20"/>
  <c r="DY149" i="20"/>
  <c r="EC149" i="20"/>
  <c r="DY150" i="20"/>
  <c r="EC150" i="20"/>
  <c r="DY151" i="20"/>
  <c r="EC151" i="20"/>
  <c r="DY152" i="20"/>
  <c r="EC152" i="20"/>
  <c r="DY153" i="20"/>
  <c r="EC153" i="20"/>
  <c r="DY154" i="20"/>
  <c r="EC154" i="20"/>
  <c r="DY155" i="20"/>
  <c r="EC155" i="20"/>
  <c r="DY156" i="20"/>
  <c r="EC156" i="20"/>
  <c r="DY157" i="20"/>
  <c r="EC157" i="20"/>
  <c r="DY158" i="20"/>
  <c r="EC158" i="20"/>
  <c r="DY159" i="20"/>
  <c r="EC159" i="20"/>
  <c r="DY160" i="20"/>
  <c r="EC160" i="20"/>
  <c r="DY161" i="20"/>
  <c r="EC161" i="20"/>
  <c r="DY162" i="20"/>
  <c r="EC162" i="20"/>
  <c r="DY163" i="20"/>
  <c r="EC163" i="20"/>
  <c r="DY164" i="20"/>
  <c r="EC164" i="20"/>
  <c r="DY165" i="20"/>
  <c r="EC165" i="20"/>
  <c r="DY120" i="20"/>
  <c r="EC120" i="20"/>
  <c r="DY121" i="20"/>
  <c r="EC121" i="20"/>
  <c r="DY122" i="20"/>
  <c r="EC122" i="20"/>
  <c r="DY123" i="20"/>
  <c r="EC123" i="20"/>
  <c r="DY124" i="20"/>
  <c r="EC124" i="20"/>
  <c r="DY125" i="20"/>
  <c r="EC125" i="20"/>
  <c r="DY126" i="20"/>
  <c r="EC126" i="20"/>
  <c r="DY127" i="20"/>
  <c r="EC127" i="20"/>
  <c r="DY128" i="20"/>
  <c r="EC128" i="20"/>
  <c r="DY129" i="20"/>
  <c r="EC129" i="20"/>
  <c r="DY130" i="20"/>
  <c r="EC130" i="20"/>
  <c r="DY131" i="20"/>
  <c r="EC131" i="20"/>
  <c r="DY132" i="20"/>
  <c r="EC132" i="20"/>
  <c r="DY133" i="20"/>
  <c r="EC133" i="20"/>
  <c r="DY134" i="20"/>
  <c r="EC134" i="20"/>
  <c r="DY135" i="20"/>
  <c r="EC135" i="20"/>
  <c r="DY136" i="20"/>
  <c r="EC136" i="20"/>
  <c r="DY137" i="20"/>
  <c r="EC137" i="20"/>
  <c r="DY138" i="20"/>
  <c r="EC138" i="20"/>
  <c r="DZ166" i="20"/>
  <c r="ED166" i="20"/>
  <c r="DZ167" i="20"/>
  <c r="ED167" i="20"/>
  <c r="DZ142" i="20"/>
  <c r="ED142" i="20"/>
  <c r="DZ143" i="20"/>
  <c r="ED143" i="20"/>
  <c r="DZ144" i="20"/>
  <c r="ED144" i="20"/>
  <c r="DZ145" i="20"/>
  <c r="ED145" i="20"/>
  <c r="DZ146" i="20"/>
  <c r="ED146" i="20"/>
  <c r="DZ147" i="20"/>
  <c r="ED147" i="20"/>
  <c r="DZ148" i="20"/>
  <c r="ED148" i="20"/>
  <c r="DZ149" i="20"/>
  <c r="ED149" i="20"/>
  <c r="DZ150" i="20"/>
  <c r="ED150" i="20"/>
  <c r="DZ151" i="20"/>
  <c r="ED151" i="20"/>
  <c r="DZ152" i="20"/>
  <c r="ED152" i="20"/>
  <c r="DZ153" i="20"/>
  <c r="ED153" i="20"/>
  <c r="DZ154" i="20"/>
  <c r="ED154" i="20"/>
  <c r="DZ155" i="20"/>
  <c r="ED155" i="20"/>
  <c r="DZ156" i="20"/>
  <c r="ED156" i="20"/>
  <c r="DZ157" i="20"/>
  <c r="ED157" i="20"/>
  <c r="DZ158" i="20"/>
  <c r="ED158" i="20"/>
  <c r="DZ159" i="20"/>
  <c r="ED159" i="20"/>
  <c r="DZ160" i="20"/>
  <c r="ED160" i="20"/>
  <c r="DW166" i="20"/>
  <c r="EA166" i="20"/>
  <c r="DW167" i="20"/>
  <c r="EA167" i="20"/>
  <c r="DW142" i="20"/>
  <c r="EA142" i="20"/>
  <c r="DW143" i="20"/>
  <c r="EA143" i="20"/>
  <c r="DW144" i="20"/>
  <c r="EA144" i="20"/>
  <c r="DW145" i="20"/>
  <c r="EA145" i="20"/>
  <c r="DW146" i="20"/>
  <c r="EA146" i="20"/>
  <c r="DW147" i="20"/>
  <c r="EA147" i="20"/>
  <c r="DW148" i="20"/>
  <c r="EA148" i="20"/>
  <c r="DW149" i="20"/>
  <c r="EA149" i="20"/>
  <c r="DW150" i="20"/>
  <c r="EA150" i="20"/>
  <c r="DW151" i="20"/>
  <c r="EA151" i="20"/>
  <c r="DW152" i="20"/>
  <c r="EA152" i="20"/>
  <c r="DW153" i="20"/>
  <c r="EA153" i="20"/>
  <c r="DW154" i="20"/>
  <c r="EA154" i="20"/>
  <c r="DW155" i="20"/>
  <c r="EA155" i="20"/>
  <c r="DW156" i="20"/>
  <c r="EA156" i="20"/>
  <c r="DW157" i="20"/>
  <c r="EA157" i="20"/>
  <c r="DW158" i="20"/>
  <c r="EA158" i="20"/>
  <c r="DW159" i="20"/>
  <c r="EA159" i="20"/>
  <c r="DW160" i="20"/>
  <c r="EA160" i="20"/>
  <c r="DW161" i="20"/>
  <c r="EA161" i="20"/>
  <c r="DW162" i="20"/>
  <c r="EA162" i="20"/>
  <c r="DW163" i="20"/>
  <c r="EA163" i="20"/>
  <c r="DW164" i="20"/>
  <c r="EA164" i="20"/>
  <c r="DW165" i="20"/>
  <c r="EA165" i="20"/>
  <c r="DW120" i="20"/>
  <c r="EA120" i="20"/>
  <c r="DW121" i="20"/>
  <c r="EA121" i="20"/>
  <c r="DW122" i="20"/>
  <c r="EA122" i="20"/>
  <c r="DX166" i="20"/>
  <c r="EB166" i="20"/>
  <c r="DX167" i="20"/>
  <c r="EB167" i="20"/>
  <c r="DX142" i="20"/>
  <c r="EB142" i="20"/>
  <c r="DX143" i="20"/>
  <c r="EB143" i="20"/>
  <c r="DX144" i="20"/>
  <c r="EB144" i="20"/>
  <c r="DX145" i="20"/>
  <c r="EB145" i="20"/>
  <c r="DX146" i="20"/>
  <c r="EB146" i="20"/>
  <c r="DX147" i="20"/>
  <c r="EB147" i="20"/>
  <c r="DX148" i="20"/>
  <c r="EB148" i="20"/>
  <c r="DX149" i="20"/>
  <c r="EB149" i="20"/>
  <c r="DX150" i="20"/>
  <c r="EB150" i="20"/>
  <c r="DX151" i="20"/>
  <c r="EB151" i="20"/>
  <c r="DX152" i="20"/>
  <c r="EB152" i="20"/>
  <c r="DX153" i="20"/>
  <c r="EB153" i="20"/>
  <c r="DX154" i="20"/>
  <c r="EB154" i="20"/>
  <c r="DX155" i="20"/>
  <c r="EB155" i="20"/>
  <c r="DX156" i="20"/>
  <c r="EB156" i="20"/>
  <c r="DX157" i="20"/>
  <c r="EB157" i="20"/>
  <c r="DX158" i="20"/>
  <c r="EB158" i="20"/>
  <c r="DX159" i="20"/>
  <c r="EB159" i="20"/>
  <c r="DX160" i="20"/>
  <c r="EB160" i="20"/>
  <c r="DX161" i="20"/>
  <c r="EB161" i="20"/>
  <c r="DX162" i="20"/>
  <c r="EB162" i="20"/>
  <c r="DX163" i="20"/>
  <c r="EB163" i="20"/>
  <c r="DX164" i="20"/>
  <c r="EB164" i="20"/>
  <c r="DX165" i="20"/>
  <c r="EB165" i="20"/>
  <c r="DX120" i="20"/>
  <c r="EB120" i="20"/>
  <c r="DX121" i="20"/>
  <c r="EB121" i="20"/>
  <c r="DX122" i="20"/>
  <c r="EB122" i="20"/>
  <c r="DX123" i="20"/>
  <c r="EB123" i="20"/>
  <c r="DX124" i="20"/>
  <c r="EB124" i="20"/>
  <c r="DX125" i="20"/>
  <c r="EB125" i="20"/>
  <c r="DX126" i="20"/>
  <c r="EB126" i="20"/>
  <c r="DX127" i="20"/>
  <c r="EB127" i="20"/>
  <c r="DX128" i="20"/>
  <c r="EB128" i="20"/>
  <c r="DX129" i="20"/>
  <c r="EB129" i="20"/>
  <c r="DX130" i="20"/>
  <c r="EB130" i="20"/>
  <c r="DX131" i="20"/>
  <c r="EB131" i="20"/>
  <c r="DX132" i="20"/>
  <c r="EB132" i="20"/>
  <c r="DX133" i="20"/>
  <c r="EB133" i="20"/>
  <c r="DX134" i="20"/>
  <c r="EB134" i="20"/>
  <c r="DX135" i="20"/>
  <c r="EB135" i="20"/>
  <c r="DX136" i="20"/>
  <c r="EB136" i="20"/>
  <c r="DX137" i="20"/>
  <c r="EB137" i="20"/>
  <c r="DX138" i="20"/>
  <c r="EB138" i="20"/>
  <c r="DX139" i="20"/>
  <c r="EB139" i="20"/>
  <c r="DX140" i="20"/>
  <c r="EB140" i="20"/>
  <c r="DX141" i="20"/>
  <c r="EB141" i="20"/>
  <c r="EA123" i="20"/>
  <c r="EA124" i="20"/>
  <c r="EA125" i="20"/>
  <c r="EA126" i="20"/>
  <c r="EA127" i="20"/>
  <c r="EA128" i="20"/>
  <c r="EA129" i="20"/>
  <c r="EA130" i="20"/>
  <c r="EA131" i="20"/>
  <c r="EA132" i="20"/>
  <c r="EA133" i="20"/>
  <c r="EA134" i="20"/>
  <c r="EA135" i="20"/>
  <c r="EA136" i="20"/>
  <c r="EA137" i="20"/>
  <c r="EA138" i="20"/>
  <c r="DZ139" i="20"/>
  <c r="DZ140" i="20"/>
  <c r="DZ141" i="20"/>
  <c r="DX112" i="20"/>
  <c r="EB112" i="20"/>
  <c r="DX113" i="20"/>
  <c r="EB113" i="20"/>
  <c r="DX114" i="20"/>
  <c r="EB114" i="20"/>
  <c r="DX115" i="20"/>
  <c r="EB115" i="20"/>
  <c r="DX116" i="20"/>
  <c r="EB116" i="20"/>
  <c r="DX117" i="20"/>
  <c r="EB117" i="20"/>
  <c r="DX118" i="20"/>
  <c r="EB118" i="20"/>
  <c r="DX119" i="20"/>
  <c r="EB119" i="20"/>
  <c r="DX45" i="20"/>
  <c r="EB45" i="20"/>
  <c r="DX46" i="20"/>
  <c r="EB46" i="20"/>
  <c r="DX47" i="20"/>
  <c r="EB47" i="20"/>
  <c r="DX48" i="20"/>
  <c r="EB48" i="20"/>
  <c r="DX49" i="20"/>
  <c r="EB49" i="20"/>
  <c r="DX50" i="20"/>
  <c r="EB50" i="20"/>
  <c r="DX51" i="20"/>
  <c r="EB51" i="20"/>
  <c r="DX52" i="20"/>
  <c r="EB52" i="20"/>
  <c r="DX53" i="20"/>
  <c r="EB53" i="20"/>
  <c r="DX54" i="20"/>
  <c r="EB54" i="20"/>
  <c r="DX55" i="20"/>
  <c r="EB55" i="20"/>
  <c r="DX56" i="20"/>
  <c r="EB56" i="20"/>
  <c r="DX57" i="20"/>
  <c r="EB57" i="20"/>
  <c r="DX58" i="20"/>
  <c r="EB58" i="20"/>
  <c r="DX59" i="20"/>
  <c r="EB59" i="20"/>
  <c r="DX60" i="20"/>
  <c r="EB60" i="20"/>
  <c r="DX61" i="20"/>
  <c r="EB61" i="20"/>
  <c r="DX62" i="20"/>
  <c r="EB62" i="20"/>
  <c r="DX63" i="20"/>
  <c r="EB63" i="20"/>
  <c r="DX64" i="20"/>
  <c r="EB64" i="20"/>
  <c r="DX65" i="20"/>
  <c r="EB65" i="20"/>
  <c r="DX66" i="20"/>
  <c r="EB66" i="20"/>
  <c r="DX67" i="20"/>
  <c r="EB67" i="20"/>
  <c r="DX68" i="20"/>
  <c r="EB68" i="20"/>
  <c r="DX69" i="20"/>
  <c r="EB69" i="20"/>
  <c r="DX70" i="20"/>
  <c r="EB70" i="20"/>
  <c r="DX71" i="20"/>
  <c r="EB71" i="20"/>
  <c r="DX72" i="20"/>
  <c r="EB72" i="20"/>
  <c r="DX73" i="20"/>
  <c r="EB73" i="20"/>
  <c r="DX74" i="20"/>
  <c r="EB74" i="20"/>
  <c r="DX75" i="20"/>
  <c r="EB75" i="20"/>
  <c r="DX76" i="20"/>
  <c r="EB76" i="20"/>
  <c r="DX77" i="20"/>
  <c r="EB77" i="20"/>
  <c r="DX78" i="20"/>
  <c r="EB78" i="20"/>
  <c r="DX79" i="20"/>
  <c r="EB79" i="20"/>
  <c r="DX80" i="20"/>
  <c r="EB80" i="20"/>
  <c r="DX81" i="20"/>
  <c r="EB81" i="20"/>
  <c r="DX82" i="20"/>
  <c r="EB82" i="20"/>
  <c r="DX83" i="20"/>
  <c r="EB83" i="20"/>
  <c r="DX84" i="20"/>
  <c r="EB84" i="20"/>
  <c r="DX85" i="20"/>
  <c r="EB85" i="20"/>
  <c r="DX86" i="20"/>
  <c r="EB86" i="20"/>
  <c r="DX87" i="20"/>
  <c r="EB87" i="20"/>
  <c r="DX88" i="20"/>
  <c r="EB88" i="20"/>
  <c r="DX89" i="20"/>
  <c r="EB89" i="20"/>
  <c r="DX90" i="20"/>
  <c r="EB90" i="20"/>
  <c r="DX91" i="20"/>
  <c r="EB91" i="20"/>
  <c r="DX92" i="20"/>
  <c r="EB92" i="20"/>
  <c r="DX93" i="20"/>
  <c r="EB93" i="20"/>
  <c r="DX94" i="20"/>
  <c r="EB94" i="20"/>
  <c r="DX95" i="20"/>
  <c r="EB95" i="20"/>
  <c r="DX96" i="20"/>
  <c r="EB96" i="20"/>
  <c r="DX97" i="20"/>
  <c r="EB97" i="20"/>
  <c r="DX98" i="20"/>
  <c r="EB98" i="20"/>
  <c r="DX99" i="20"/>
  <c r="EB99" i="20"/>
  <c r="DX100" i="20"/>
  <c r="EB100" i="20"/>
  <c r="DX101" i="20"/>
  <c r="EB101" i="20"/>
  <c r="DX102" i="20"/>
  <c r="EB102" i="20"/>
  <c r="DX103" i="20"/>
  <c r="EB103" i="20"/>
  <c r="DX104" i="20"/>
  <c r="EB104" i="20"/>
  <c r="DX105" i="20"/>
  <c r="EB105" i="20"/>
  <c r="DX106" i="20"/>
  <c r="EB106" i="20"/>
  <c r="DX107" i="20"/>
  <c r="EB107" i="20"/>
  <c r="DX108" i="20"/>
  <c r="EB108" i="20"/>
  <c r="DX109" i="20"/>
  <c r="EB109" i="20"/>
  <c r="DX110" i="20"/>
  <c r="EB110" i="20"/>
  <c r="DX111" i="20"/>
  <c r="EB111" i="20"/>
  <c r="DX9" i="20"/>
  <c r="EB9" i="20"/>
  <c r="DX10" i="20"/>
  <c r="EB10" i="20"/>
  <c r="DX11" i="20"/>
  <c r="EB11" i="20"/>
  <c r="DX12" i="20"/>
  <c r="EB12" i="20"/>
  <c r="DX13" i="20"/>
  <c r="EB13" i="20"/>
  <c r="DX14" i="20"/>
  <c r="EB14" i="20"/>
  <c r="DX15" i="20"/>
  <c r="EB15" i="20"/>
  <c r="DX16" i="20"/>
  <c r="EB16" i="20"/>
  <c r="DX17" i="20"/>
  <c r="EB17" i="20"/>
  <c r="DX18" i="20"/>
  <c r="EB18" i="20"/>
  <c r="DX19" i="20"/>
  <c r="EB19" i="20"/>
  <c r="DX20" i="20"/>
  <c r="EB20" i="20"/>
  <c r="DX21" i="20"/>
  <c r="EB21" i="20"/>
  <c r="DX22" i="20"/>
  <c r="EB22" i="20"/>
  <c r="DX23" i="20"/>
  <c r="EB23" i="20"/>
  <c r="DX24" i="20"/>
  <c r="EB24" i="20"/>
  <c r="DX25" i="20"/>
  <c r="EB25" i="20"/>
  <c r="DX26" i="20"/>
  <c r="EB26" i="20"/>
  <c r="DX27" i="20"/>
  <c r="EB27" i="20"/>
  <c r="DX28" i="20"/>
  <c r="EB28" i="20"/>
  <c r="DX29" i="20"/>
  <c r="EB29" i="20"/>
  <c r="DX30" i="20"/>
  <c r="EB30" i="20"/>
  <c r="DX31" i="20"/>
  <c r="EB31" i="20"/>
  <c r="DX32" i="20"/>
  <c r="EB32" i="20"/>
  <c r="DX33" i="20"/>
  <c r="EB33" i="20"/>
  <c r="DX34" i="20"/>
  <c r="EB34" i="20"/>
  <c r="DX35" i="20"/>
  <c r="EB35" i="20"/>
  <c r="DX36" i="20"/>
  <c r="EB36" i="20"/>
  <c r="DX37" i="20"/>
  <c r="EB37" i="20"/>
  <c r="DX38" i="20"/>
  <c r="EB38" i="20"/>
  <c r="DX39" i="20"/>
  <c r="EB39" i="20"/>
  <c r="DX40" i="20"/>
  <c r="EB40" i="20"/>
  <c r="DX41" i="20"/>
  <c r="EB41" i="20"/>
  <c r="DX42" i="20"/>
  <c r="EB42" i="20"/>
  <c r="DX43" i="20"/>
  <c r="EB43" i="20"/>
  <c r="DX44" i="20"/>
  <c r="EB44" i="20"/>
  <c r="DZ161" i="20"/>
  <c r="DZ162" i="20"/>
  <c r="DZ163" i="20"/>
  <c r="DZ164" i="20"/>
  <c r="DZ165" i="20"/>
  <c r="DZ120" i="20"/>
  <c r="DZ121" i="20"/>
  <c r="DZ122" i="20"/>
  <c r="ED123" i="20"/>
  <c r="ED124" i="20"/>
  <c r="ED125" i="20"/>
  <c r="ED126" i="20"/>
  <c r="ED127" i="20"/>
  <c r="ED128" i="20"/>
  <c r="ED129" i="20"/>
  <c r="ED130" i="20"/>
  <c r="ED131" i="20"/>
  <c r="ED132" i="20"/>
  <c r="ED133" i="20"/>
  <c r="ED134" i="20"/>
  <c r="ED135" i="20"/>
  <c r="ED136" i="20"/>
  <c r="ED137" i="20"/>
  <c r="ED138" i="20"/>
  <c r="EA139" i="20"/>
  <c r="EA140" i="20"/>
  <c r="EA141" i="20"/>
  <c r="DY112" i="20"/>
  <c r="EC112" i="20"/>
  <c r="DY113" i="20"/>
  <c r="EC113" i="20"/>
  <c r="DY114" i="20"/>
  <c r="EC114" i="20"/>
  <c r="DY115" i="20"/>
  <c r="EC115" i="20"/>
  <c r="DY116" i="20"/>
  <c r="EC116" i="20"/>
  <c r="DY117" i="20"/>
  <c r="EC117" i="20"/>
  <c r="DY118" i="20"/>
  <c r="EC118" i="20"/>
  <c r="DY119" i="20"/>
  <c r="EC119" i="20"/>
  <c r="DY45" i="20"/>
  <c r="EC45" i="20"/>
  <c r="DY46" i="20"/>
  <c r="EC46" i="20"/>
  <c r="DY47" i="20"/>
  <c r="EC47" i="20"/>
  <c r="DY48" i="20"/>
  <c r="EC48" i="20"/>
  <c r="DY49" i="20"/>
  <c r="EC49" i="20"/>
  <c r="DY50" i="20"/>
  <c r="EC50" i="20"/>
  <c r="DY51" i="20"/>
  <c r="EC51" i="20"/>
  <c r="DY52" i="20"/>
  <c r="EC52" i="20"/>
  <c r="DY53" i="20"/>
  <c r="EC53" i="20"/>
  <c r="DY54" i="20"/>
  <c r="EC54" i="20"/>
  <c r="DY55" i="20"/>
  <c r="EC55" i="20"/>
  <c r="DY56" i="20"/>
  <c r="EC56" i="20"/>
  <c r="DY57" i="20"/>
  <c r="EC57" i="20"/>
  <c r="DY58" i="20"/>
  <c r="EC58" i="20"/>
  <c r="DY59" i="20"/>
  <c r="EC59" i="20"/>
  <c r="DY60" i="20"/>
  <c r="EC60" i="20"/>
  <c r="DY61" i="20"/>
  <c r="EC61" i="20"/>
  <c r="DY62" i="20"/>
  <c r="EC62" i="20"/>
  <c r="DY63" i="20"/>
  <c r="EC63" i="20"/>
  <c r="DY64" i="20"/>
  <c r="EC64" i="20"/>
  <c r="DY65" i="20"/>
  <c r="EC65" i="20"/>
  <c r="DY66" i="20"/>
  <c r="EC66" i="20"/>
  <c r="DY67" i="20"/>
  <c r="EC67" i="20"/>
  <c r="DY68" i="20"/>
  <c r="EC68" i="20"/>
  <c r="DY69" i="20"/>
  <c r="EC69" i="20"/>
  <c r="DY70" i="20"/>
  <c r="EC70" i="20"/>
  <c r="DY71" i="20"/>
  <c r="EC71" i="20"/>
  <c r="DY72" i="20"/>
  <c r="EC72" i="20"/>
  <c r="DY73" i="20"/>
  <c r="EC73" i="20"/>
  <c r="DY74" i="20"/>
  <c r="EC74" i="20"/>
  <c r="DY75" i="20"/>
  <c r="EC75" i="20"/>
  <c r="DY76" i="20"/>
  <c r="EC76" i="20"/>
  <c r="DY77" i="20"/>
  <c r="EC77" i="20"/>
  <c r="DY78" i="20"/>
  <c r="EC78" i="20"/>
  <c r="DY79" i="20"/>
  <c r="EC79" i="20"/>
  <c r="DY80" i="20"/>
  <c r="EC80" i="20"/>
  <c r="DY81" i="20"/>
  <c r="EC81" i="20"/>
  <c r="DY82" i="20"/>
  <c r="EC82" i="20"/>
  <c r="DY83" i="20"/>
  <c r="EC83" i="20"/>
  <c r="DY84" i="20"/>
  <c r="EC84" i="20"/>
  <c r="DY85" i="20"/>
  <c r="EC85" i="20"/>
  <c r="DY86" i="20"/>
  <c r="EC86" i="20"/>
  <c r="DY87" i="20"/>
  <c r="EC87" i="20"/>
  <c r="DY88" i="20"/>
  <c r="EC88" i="20"/>
  <c r="DY89" i="20"/>
  <c r="EC89" i="20"/>
  <c r="DY90" i="20"/>
  <c r="EC90" i="20"/>
  <c r="DY91" i="20"/>
  <c r="EC91" i="20"/>
  <c r="DY92" i="20"/>
  <c r="EC92" i="20"/>
  <c r="DY93" i="20"/>
  <c r="EC93" i="20"/>
  <c r="DY94" i="20"/>
  <c r="EC94" i="20"/>
  <c r="DY95" i="20"/>
  <c r="EC95" i="20"/>
  <c r="DY96" i="20"/>
  <c r="EC96" i="20"/>
  <c r="DY97" i="20"/>
  <c r="EC97" i="20"/>
  <c r="DY98" i="20"/>
  <c r="EC98" i="20"/>
  <c r="DY99" i="20"/>
  <c r="EC99" i="20"/>
  <c r="DY100" i="20"/>
  <c r="EC100" i="20"/>
  <c r="DY101" i="20"/>
  <c r="EC101" i="20"/>
  <c r="DY102" i="20"/>
  <c r="EC102" i="20"/>
  <c r="DY103" i="20"/>
  <c r="EC103" i="20"/>
  <c r="DY104" i="20"/>
  <c r="EC104" i="20"/>
  <c r="DY105" i="20"/>
  <c r="EC105" i="20"/>
  <c r="DY106" i="20"/>
  <c r="EC106" i="20"/>
  <c r="DY107" i="20"/>
  <c r="EC107" i="20"/>
  <c r="DY108" i="20"/>
  <c r="EC108" i="20"/>
  <c r="DY109" i="20"/>
  <c r="EC109" i="20"/>
  <c r="DY110" i="20"/>
  <c r="EC110" i="20"/>
  <c r="DY111" i="20"/>
  <c r="EC111" i="20"/>
  <c r="DY9" i="20"/>
  <c r="EC9" i="20"/>
  <c r="DY10" i="20"/>
  <c r="EC10" i="20"/>
  <c r="DY11" i="20"/>
  <c r="EC11" i="20"/>
  <c r="DY12" i="20"/>
  <c r="EC12" i="20"/>
  <c r="DY13" i="20"/>
  <c r="EC13" i="20"/>
  <c r="DY14" i="20"/>
  <c r="EC14" i="20"/>
  <c r="DY15" i="20"/>
  <c r="EC15" i="20"/>
  <c r="DY16" i="20"/>
  <c r="EC16" i="20"/>
  <c r="DY17" i="20"/>
  <c r="EC17" i="20"/>
  <c r="DY18" i="20"/>
  <c r="EC18" i="20"/>
  <c r="DY19" i="20"/>
  <c r="EC19" i="20"/>
  <c r="DY20" i="20"/>
  <c r="EC20" i="20"/>
  <c r="DY21" i="20"/>
  <c r="EC21" i="20"/>
  <c r="DY22" i="20"/>
  <c r="EC22" i="20"/>
  <c r="DY23" i="20"/>
  <c r="EC23" i="20"/>
  <c r="DY24" i="20"/>
  <c r="EC24" i="20"/>
  <c r="DY25" i="20"/>
  <c r="EC25" i="20"/>
  <c r="DY26" i="20"/>
  <c r="EC26" i="20"/>
  <c r="DY27" i="20"/>
  <c r="EC27" i="20"/>
  <c r="DY28" i="20"/>
  <c r="EC28" i="20"/>
  <c r="DY29" i="20"/>
  <c r="EC29" i="20"/>
  <c r="DY30" i="20"/>
  <c r="EC30" i="20"/>
  <c r="DY31" i="20"/>
  <c r="EC31" i="20"/>
  <c r="DY32" i="20"/>
  <c r="EC32" i="20"/>
  <c r="DY33" i="20"/>
  <c r="EC33" i="20"/>
  <c r="DY34" i="20"/>
  <c r="EC34" i="20"/>
  <c r="DY35" i="20"/>
  <c r="EC35" i="20"/>
  <c r="DY36" i="20"/>
  <c r="EC36" i="20"/>
  <c r="DY37" i="20"/>
  <c r="EC37" i="20"/>
  <c r="DY38" i="20"/>
  <c r="EC38" i="20"/>
  <c r="DY39" i="20"/>
  <c r="EC39" i="20"/>
  <c r="DY40" i="20"/>
  <c r="EC40" i="20"/>
  <c r="DY41" i="20"/>
  <c r="EC41" i="20"/>
  <c r="DY42" i="20"/>
  <c r="EC42" i="20"/>
  <c r="DY43" i="20"/>
  <c r="EC43" i="20"/>
  <c r="DY44" i="20"/>
  <c r="EC44" i="20"/>
  <c r="ED161" i="20"/>
  <c r="ED162" i="20"/>
  <c r="ED163" i="20"/>
  <c r="ED164" i="20"/>
  <c r="ED165" i="20"/>
  <c r="ED120" i="20"/>
  <c r="ED121" i="20"/>
  <c r="ED122" i="20"/>
  <c r="DW123" i="20"/>
  <c r="DW124" i="20"/>
  <c r="DW125" i="20"/>
  <c r="DW126" i="20"/>
  <c r="DW127" i="20"/>
  <c r="DW128" i="20"/>
  <c r="DW129" i="20"/>
  <c r="DW130" i="20"/>
  <c r="DW131" i="20"/>
  <c r="DW132" i="20"/>
  <c r="DW133" i="20"/>
  <c r="DW134" i="20"/>
  <c r="DW135" i="20"/>
  <c r="DW136" i="20"/>
  <c r="DW137" i="20"/>
  <c r="DW138" i="20"/>
  <c r="DW139" i="20"/>
  <c r="EC139" i="20"/>
  <c r="DW140" i="20"/>
  <c r="EC140" i="20"/>
  <c r="DW141" i="20"/>
  <c r="EC141" i="20"/>
  <c r="DZ112" i="20"/>
  <c r="ED112" i="20"/>
  <c r="DZ113" i="20"/>
  <c r="ED113" i="20"/>
  <c r="DZ114" i="20"/>
  <c r="ED114" i="20"/>
  <c r="DZ115" i="20"/>
  <c r="ED115" i="20"/>
  <c r="DZ116" i="20"/>
  <c r="ED116" i="20"/>
  <c r="DZ117" i="20"/>
  <c r="ED117" i="20"/>
  <c r="DZ118" i="20"/>
  <c r="ED118" i="20"/>
  <c r="DZ119" i="20"/>
  <c r="ED119" i="20"/>
  <c r="DZ45" i="20"/>
  <c r="ED45" i="20"/>
  <c r="DZ46" i="20"/>
  <c r="ED46" i="20"/>
  <c r="DZ47" i="20"/>
  <c r="ED47" i="20"/>
  <c r="DZ48" i="20"/>
  <c r="ED48" i="20"/>
  <c r="DZ49" i="20"/>
  <c r="ED49" i="20"/>
  <c r="DZ50" i="20"/>
  <c r="ED50" i="20"/>
  <c r="DZ51" i="20"/>
  <c r="ED51" i="20"/>
  <c r="DZ52" i="20"/>
  <c r="ED52" i="20"/>
  <c r="DZ53" i="20"/>
  <c r="ED53" i="20"/>
  <c r="DZ54" i="20"/>
  <c r="ED54" i="20"/>
  <c r="DZ55" i="20"/>
  <c r="ED55" i="20"/>
  <c r="DZ56" i="20"/>
  <c r="ED56" i="20"/>
  <c r="DZ57" i="20"/>
  <c r="ED57" i="20"/>
  <c r="DZ58" i="20"/>
  <c r="ED58" i="20"/>
  <c r="DZ59" i="20"/>
  <c r="ED59" i="20"/>
  <c r="DZ60" i="20"/>
  <c r="ED60" i="20"/>
  <c r="DZ61" i="20"/>
  <c r="ED61" i="20"/>
  <c r="DZ62" i="20"/>
  <c r="ED62" i="20"/>
  <c r="DZ63" i="20"/>
  <c r="ED63" i="20"/>
  <c r="DZ64" i="20"/>
  <c r="ED64" i="20"/>
  <c r="DZ65" i="20"/>
  <c r="ED65" i="20"/>
  <c r="DZ66" i="20"/>
  <c r="ED66" i="20"/>
  <c r="DZ67" i="20"/>
  <c r="ED67" i="20"/>
  <c r="DZ68" i="20"/>
  <c r="ED68" i="20"/>
  <c r="DZ69" i="20"/>
  <c r="ED69" i="20"/>
  <c r="DZ70" i="20"/>
  <c r="ED70" i="20"/>
  <c r="DZ71" i="20"/>
  <c r="ED71" i="20"/>
  <c r="DZ72" i="20"/>
  <c r="ED72" i="20"/>
  <c r="DZ73" i="20"/>
  <c r="ED73" i="20"/>
  <c r="DZ74" i="20"/>
  <c r="ED74" i="20"/>
  <c r="DZ75" i="20"/>
  <c r="ED75" i="20"/>
  <c r="DZ76" i="20"/>
  <c r="ED76" i="20"/>
  <c r="DZ77" i="20"/>
  <c r="ED77" i="20"/>
  <c r="DZ78" i="20"/>
  <c r="ED78" i="20"/>
  <c r="DZ79" i="20"/>
  <c r="ED79" i="20"/>
  <c r="DZ80" i="20"/>
  <c r="ED80" i="20"/>
  <c r="DZ81" i="20"/>
  <c r="ED81" i="20"/>
  <c r="DZ82" i="20"/>
  <c r="ED82" i="20"/>
  <c r="DZ83" i="20"/>
  <c r="ED83" i="20"/>
  <c r="DZ84" i="20"/>
  <c r="ED84" i="20"/>
  <c r="DZ85" i="20"/>
  <c r="ED85" i="20"/>
  <c r="DZ86" i="20"/>
  <c r="ED86" i="20"/>
  <c r="DZ87" i="20"/>
  <c r="ED87" i="20"/>
  <c r="DZ88" i="20"/>
  <c r="ED88" i="20"/>
  <c r="DZ89" i="20"/>
  <c r="ED89" i="20"/>
  <c r="DZ90" i="20"/>
  <c r="ED90" i="20"/>
  <c r="DZ91" i="20"/>
  <c r="ED91" i="20"/>
  <c r="DZ92" i="20"/>
  <c r="ED92" i="20"/>
  <c r="DZ93" i="20"/>
  <c r="ED93" i="20"/>
  <c r="DZ94" i="20"/>
  <c r="ED94" i="20"/>
  <c r="DZ95" i="20"/>
  <c r="ED95" i="20"/>
  <c r="DZ96" i="20"/>
  <c r="ED96" i="20"/>
  <c r="DZ97" i="20"/>
  <c r="ED97" i="20"/>
  <c r="DZ98" i="20"/>
  <c r="ED98" i="20"/>
  <c r="DZ99" i="20"/>
  <c r="ED99" i="20"/>
  <c r="DZ100" i="20"/>
  <c r="ED100" i="20"/>
  <c r="DZ101" i="20"/>
  <c r="ED101" i="20"/>
  <c r="DZ102" i="20"/>
  <c r="ED102" i="20"/>
  <c r="DZ103" i="20"/>
  <c r="ED103" i="20"/>
  <c r="DZ104" i="20"/>
  <c r="ED104" i="20"/>
  <c r="DZ105" i="20"/>
  <c r="ED105" i="20"/>
  <c r="DZ106" i="20"/>
  <c r="ED106" i="20"/>
  <c r="DZ107" i="20"/>
  <c r="ED107" i="20"/>
  <c r="DZ108" i="20"/>
  <c r="ED108" i="20"/>
  <c r="DZ109" i="20"/>
  <c r="ED109" i="20"/>
  <c r="DZ110" i="20"/>
  <c r="ED110" i="20"/>
  <c r="DZ111" i="20"/>
  <c r="ED111" i="20"/>
  <c r="DZ9" i="20"/>
  <c r="ED9" i="20"/>
  <c r="DZ10" i="20"/>
  <c r="ED10" i="20"/>
  <c r="DZ11" i="20"/>
  <c r="ED11" i="20"/>
  <c r="DZ12" i="20"/>
  <c r="ED12" i="20"/>
  <c r="DZ13" i="20"/>
  <c r="ED13" i="20"/>
  <c r="DZ14" i="20"/>
  <c r="ED14" i="20"/>
  <c r="DZ15" i="20"/>
  <c r="ED15" i="20"/>
  <c r="DZ16" i="20"/>
  <c r="ED16" i="20"/>
  <c r="DZ17" i="20"/>
  <c r="ED17" i="20"/>
  <c r="DZ18" i="20"/>
  <c r="ED18" i="20"/>
  <c r="DZ19" i="20"/>
  <c r="ED19" i="20"/>
  <c r="DZ20" i="20"/>
  <c r="ED20" i="20"/>
  <c r="DZ21" i="20"/>
  <c r="ED21" i="20"/>
  <c r="DZ22" i="20"/>
  <c r="ED22" i="20"/>
  <c r="DZ23" i="20"/>
  <c r="ED23" i="20"/>
  <c r="DZ24" i="20"/>
  <c r="ED24" i="20"/>
  <c r="DZ25" i="20"/>
  <c r="ED25" i="20"/>
  <c r="DZ26" i="20"/>
  <c r="ED26" i="20"/>
  <c r="DZ27" i="20"/>
  <c r="ED27" i="20"/>
  <c r="DZ28" i="20"/>
  <c r="ED28" i="20"/>
  <c r="DZ29" i="20"/>
  <c r="ED29" i="20"/>
  <c r="DZ30" i="20"/>
  <c r="ED30" i="20"/>
  <c r="DZ31" i="20"/>
  <c r="ED31" i="20"/>
  <c r="DZ32" i="20"/>
  <c r="ED32" i="20"/>
  <c r="DZ33" i="20"/>
  <c r="ED33" i="20"/>
  <c r="DZ34" i="20"/>
  <c r="ED34" i="20"/>
  <c r="DZ35" i="20"/>
  <c r="ED35" i="20"/>
  <c r="DZ36" i="20"/>
  <c r="ED36" i="20"/>
  <c r="DZ37" i="20"/>
  <c r="ED37" i="20"/>
  <c r="DZ38" i="20"/>
  <c r="ED38" i="20"/>
  <c r="DZ39" i="20"/>
  <c r="ED39" i="20"/>
  <c r="DZ40" i="20"/>
  <c r="ED40" i="20"/>
  <c r="DZ41" i="20"/>
  <c r="ED41" i="20"/>
  <c r="DZ42" i="20"/>
  <c r="ED42" i="20"/>
  <c r="DZ43" i="20"/>
  <c r="ED43" i="20"/>
  <c r="DZ44" i="20"/>
  <c r="ED44" i="20"/>
  <c r="DZ123" i="20"/>
  <c r="DZ124" i="20"/>
  <c r="DZ125" i="20"/>
  <c r="DZ126" i="20"/>
  <c r="DZ127" i="20"/>
  <c r="DZ128" i="20"/>
  <c r="DZ129" i="20"/>
  <c r="DZ130" i="20"/>
  <c r="DZ131" i="20"/>
  <c r="DZ132" i="20"/>
  <c r="DZ133" i="20"/>
  <c r="DZ134" i="20"/>
  <c r="DZ135" i="20"/>
  <c r="DZ136" i="20"/>
  <c r="DZ137" i="20"/>
  <c r="DZ138" i="20"/>
  <c r="DY139" i="20"/>
  <c r="ED139" i="20"/>
  <c r="DY140" i="20"/>
  <c r="ED140" i="20"/>
  <c r="DY141" i="20"/>
  <c r="ED141" i="20"/>
  <c r="DW112" i="20"/>
  <c r="EA112" i="20"/>
  <c r="DW113" i="20"/>
  <c r="EA113" i="20"/>
  <c r="DW114" i="20"/>
  <c r="EA114" i="20"/>
  <c r="DW115" i="20"/>
  <c r="EA115" i="20"/>
  <c r="DW116" i="20"/>
  <c r="EA116" i="20"/>
  <c r="DW117" i="20"/>
  <c r="EA117" i="20"/>
  <c r="DW118" i="20"/>
  <c r="EA118" i="20"/>
  <c r="DW119" i="20"/>
  <c r="EA119" i="20"/>
  <c r="DW45" i="20"/>
  <c r="EA45" i="20"/>
  <c r="DW46" i="20"/>
  <c r="EA46" i="20"/>
  <c r="DW47" i="20"/>
  <c r="EA47" i="20"/>
  <c r="DW48" i="20"/>
  <c r="EA48" i="20"/>
  <c r="DW49" i="20"/>
  <c r="EA49" i="20"/>
  <c r="DW50" i="20"/>
  <c r="EA50" i="20"/>
  <c r="DW51" i="20"/>
  <c r="EA51" i="20"/>
  <c r="DW52" i="20"/>
  <c r="EA52" i="20"/>
  <c r="DW53" i="20"/>
  <c r="EA53" i="20"/>
  <c r="DW54" i="20"/>
  <c r="EA54" i="20"/>
  <c r="DW55" i="20"/>
  <c r="EA55" i="20"/>
  <c r="DW56" i="20"/>
  <c r="EA56" i="20"/>
  <c r="DW57" i="20"/>
  <c r="EA57" i="20"/>
  <c r="DW58" i="20"/>
  <c r="EA58" i="20"/>
  <c r="DW59" i="20"/>
  <c r="EA59" i="20"/>
  <c r="DW60" i="20"/>
  <c r="EA60" i="20"/>
  <c r="DW61" i="20"/>
  <c r="EA61" i="20"/>
  <c r="DW62" i="20"/>
  <c r="EA62" i="20"/>
  <c r="DW63" i="20"/>
  <c r="EA63" i="20"/>
  <c r="DW64" i="20"/>
  <c r="EA64" i="20"/>
  <c r="DW65" i="20"/>
  <c r="EA65" i="20"/>
  <c r="DW66" i="20"/>
  <c r="EA66" i="20"/>
  <c r="DW67" i="20"/>
  <c r="EA67" i="20"/>
  <c r="DW68" i="20"/>
  <c r="EA68" i="20"/>
  <c r="DW69" i="20"/>
  <c r="EA69" i="20"/>
  <c r="DW70" i="20"/>
  <c r="EA70" i="20"/>
  <c r="DW71" i="20"/>
  <c r="EA71" i="20"/>
  <c r="DW72" i="20"/>
  <c r="EA72" i="20"/>
  <c r="DW73" i="20"/>
  <c r="EA73" i="20"/>
  <c r="DW74" i="20"/>
  <c r="EA74" i="20"/>
  <c r="DW75" i="20"/>
  <c r="EA75" i="20"/>
  <c r="DW76" i="20"/>
  <c r="EA76" i="20"/>
  <c r="DW77" i="20"/>
  <c r="EA77" i="20"/>
  <c r="DW78" i="20"/>
  <c r="EA78" i="20"/>
  <c r="DW79" i="20"/>
  <c r="EA79" i="20"/>
  <c r="DW80" i="20"/>
  <c r="EA80" i="20"/>
  <c r="DW81" i="20"/>
  <c r="EA81" i="20"/>
  <c r="DW82" i="20"/>
  <c r="EA82" i="20"/>
  <c r="DW83" i="20"/>
  <c r="EA83" i="20"/>
  <c r="DW84" i="20"/>
  <c r="EA84" i="20"/>
  <c r="DW85" i="20"/>
  <c r="EA85" i="20"/>
  <c r="DW86" i="20"/>
  <c r="EA86" i="20"/>
  <c r="DW87" i="20"/>
  <c r="EA87" i="20"/>
  <c r="DW88" i="20"/>
  <c r="EA88" i="20"/>
  <c r="DW89" i="20"/>
  <c r="EA89" i="20"/>
  <c r="DW90" i="20"/>
  <c r="EA90" i="20"/>
  <c r="DW91" i="20"/>
  <c r="EA91" i="20"/>
  <c r="DW92" i="20"/>
  <c r="EA92" i="20"/>
  <c r="DW93" i="20"/>
  <c r="EA93" i="20"/>
  <c r="DW94" i="20"/>
  <c r="EA94" i="20"/>
  <c r="DW95" i="20"/>
  <c r="EA95" i="20"/>
  <c r="DW96" i="20"/>
  <c r="EA96" i="20"/>
  <c r="DW97" i="20"/>
  <c r="EA97" i="20"/>
  <c r="DW98" i="20"/>
  <c r="EA98" i="20"/>
  <c r="DW99" i="20"/>
  <c r="EA99" i="20"/>
  <c r="DW100" i="20"/>
  <c r="EA100" i="20"/>
  <c r="DW101" i="20"/>
  <c r="EA101" i="20"/>
  <c r="DW102" i="20"/>
  <c r="EA102" i="20"/>
  <c r="DW103" i="20"/>
  <c r="EA103" i="20"/>
  <c r="DW104" i="20"/>
  <c r="EA104" i="20"/>
  <c r="DW105" i="20"/>
  <c r="EA105" i="20"/>
  <c r="DW106" i="20"/>
  <c r="EA106" i="20"/>
  <c r="DW107" i="20"/>
  <c r="EA107" i="20"/>
  <c r="DW108" i="20"/>
  <c r="EA108" i="20"/>
  <c r="DW109" i="20"/>
  <c r="EA109" i="20"/>
  <c r="DW110" i="20"/>
  <c r="EA110" i="20"/>
  <c r="DW111" i="20"/>
  <c r="EA111" i="20"/>
  <c r="DW9" i="20"/>
  <c r="EA9" i="20"/>
  <c r="DW10" i="20"/>
  <c r="EA10" i="20"/>
  <c r="DW11" i="20"/>
  <c r="EA11" i="20"/>
  <c r="DW12" i="20"/>
  <c r="EA12" i="20"/>
  <c r="DW13" i="20"/>
  <c r="EA13" i="20"/>
  <c r="DW14" i="20"/>
  <c r="EA14" i="20"/>
  <c r="DW15" i="20"/>
  <c r="EA15" i="20"/>
  <c r="DW16" i="20"/>
  <c r="EA16" i="20"/>
  <c r="DW17" i="20"/>
  <c r="EA17" i="20"/>
  <c r="DW18" i="20"/>
  <c r="EA18" i="20"/>
  <c r="DW19" i="20"/>
  <c r="EA19" i="20"/>
  <c r="DW20" i="20"/>
  <c r="EA20" i="20"/>
  <c r="DW21" i="20"/>
  <c r="EA21" i="20"/>
  <c r="DW22" i="20"/>
  <c r="EA22" i="20"/>
  <c r="DW23" i="20"/>
  <c r="EA23" i="20"/>
  <c r="DW24" i="20"/>
  <c r="EA24" i="20"/>
  <c r="DW25" i="20"/>
  <c r="EA25" i="20"/>
  <c r="DW26" i="20"/>
  <c r="EA26" i="20"/>
  <c r="DW27" i="20"/>
  <c r="EA27" i="20"/>
  <c r="DW28" i="20"/>
  <c r="EA28" i="20"/>
  <c r="DW29" i="20"/>
  <c r="EA29" i="20"/>
  <c r="DW30" i="20"/>
  <c r="EA30" i="20"/>
  <c r="DW31" i="20"/>
  <c r="EA31" i="20"/>
  <c r="DW32" i="20"/>
  <c r="EA32" i="20"/>
  <c r="DW33" i="20"/>
  <c r="EA33" i="20"/>
  <c r="DW34" i="20"/>
  <c r="EA34" i="20"/>
  <c r="DW35" i="20"/>
  <c r="EA35" i="20"/>
  <c r="DW36" i="20"/>
  <c r="EA36" i="20"/>
  <c r="DW37" i="20"/>
  <c r="EA37" i="20"/>
  <c r="DW38" i="20"/>
  <c r="EA38" i="20"/>
  <c r="DW39" i="20"/>
  <c r="EA39" i="20"/>
  <c r="DW40" i="20"/>
  <c r="EA40" i="20"/>
  <c r="DW41" i="20"/>
  <c r="EA41" i="20"/>
  <c r="DW42" i="20"/>
  <c r="EA42" i="20"/>
  <c r="DW43" i="20"/>
  <c r="EA43" i="20"/>
  <c r="DW44" i="20"/>
  <c r="EA44" i="20"/>
  <c r="ED124" i="19"/>
  <c r="ED126" i="19"/>
  <c r="ED113" i="19"/>
  <c r="ED115" i="19"/>
  <c r="ED117" i="19"/>
  <c r="ED119" i="19"/>
  <c r="ED121" i="19"/>
  <c r="ED123" i="19"/>
  <c r="ED98" i="19"/>
  <c r="ED100" i="19"/>
  <c r="ED102" i="19"/>
  <c r="ED104" i="19"/>
  <c r="ED106" i="19"/>
  <c r="ED108" i="19"/>
  <c r="ED110" i="19"/>
  <c r="ED9" i="19"/>
  <c r="ED11" i="19"/>
  <c r="ED13" i="19"/>
  <c r="ED15" i="19"/>
  <c r="ED17" i="19"/>
  <c r="ED19" i="19"/>
  <c r="ED21" i="19"/>
  <c r="ED23" i="19"/>
  <c r="ED25" i="19"/>
  <c r="ED27" i="19"/>
  <c r="ED29" i="19"/>
  <c r="ED31" i="19"/>
  <c r="ED33" i="19"/>
  <c r="ED35" i="19"/>
  <c r="ED37" i="19"/>
  <c r="ED39" i="19"/>
  <c r="ED41" i="19"/>
  <c r="ED43" i="19"/>
  <c r="ED45" i="19"/>
  <c r="ED47" i="19"/>
  <c r="ED49" i="19"/>
  <c r="ED51" i="19"/>
  <c r="ED53" i="19"/>
  <c r="ED55" i="19"/>
  <c r="ED57" i="19"/>
  <c r="ED59" i="19"/>
  <c r="ED61" i="19"/>
  <c r="ED63" i="19"/>
  <c r="ED65" i="19"/>
  <c r="ED67" i="19"/>
  <c r="ED69" i="19"/>
  <c r="ED71" i="19"/>
  <c r="ED73" i="19"/>
  <c r="ED75" i="19"/>
  <c r="ED77" i="19"/>
  <c r="ED79" i="19"/>
  <c r="ED81" i="19"/>
  <c r="ED83" i="19"/>
  <c r="ED85" i="19"/>
  <c r="ED87" i="19"/>
  <c r="ED89" i="19"/>
  <c r="ED91" i="19"/>
  <c r="ED93" i="19"/>
  <c r="ED95" i="19"/>
  <c r="DJ110" i="19"/>
  <c r="DJ112" i="19"/>
  <c r="DJ114" i="19"/>
  <c r="DJ116" i="19"/>
  <c r="DJ118" i="19"/>
  <c r="DJ120" i="19"/>
  <c r="DJ122" i="19"/>
  <c r="DJ124" i="19"/>
  <c r="DJ126" i="19"/>
  <c r="DJ9" i="19"/>
  <c r="DJ11" i="19"/>
  <c r="DJ13" i="19"/>
  <c r="DJ15" i="19"/>
  <c r="DJ17" i="19"/>
  <c r="DJ19" i="19"/>
  <c r="DJ21" i="19"/>
  <c r="DJ23" i="19"/>
  <c r="DJ25" i="19"/>
  <c r="DJ27" i="19"/>
  <c r="DJ29" i="19"/>
  <c r="DJ31" i="19"/>
  <c r="DJ33" i="19"/>
  <c r="DJ35" i="19"/>
  <c r="DJ37" i="19"/>
  <c r="DJ39" i="19"/>
  <c r="DJ41" i="19"/>
  <c r="DJ43" i="19"/>
  <c r="DJ45" i="19"/>
  <c r="DJ47" i="19"/>
  <c r="DJ49" i="19"/>
  <c r="DJ51" i="19"/>
  <c r="DJ53" i="19"/>
  <c r="DJ55" i="19"/>
  <c r="DJ57" i="19"/>
  <c r="DJ59" i="19"/>
  <c r="DJ61" i="19"/>
  <c r="DJ63" i="19"/>
  <c r="DJ65" i="19"/>
  <c r="DJ67" i="19"/>
  <c r="DJ69" i="19"/>
  <c r="DJ71" i="19"/>
  <c r="DJ73" i="19"/>
  <c r="DJ75" i="19"/>
  <c r="DJ77" i="19"/>
  <c r="DJ79" i="19"/>
  <c r="DJ81" i="19"/>
  <c r="DJ83" i="19"/>
  <c r="DJ85" i="19"/>
  <c r="DJ87" i="19"/>
  <c r="DJ89" i="19"/>
  <c r="DJ91" i="19"/>
  <c r="DJ93" i="19"/>
  <c r="DJ95" i="19"/>
  <c r="DJ97" i="19"/>
  <c r="DJ99" i="19"/>
  <c r="DJ101" i="19"/>
  <c r="DJ103" i="19"/>
  <c r="DJ105" i="19"/>
  <c r="DJ107" i="19"/>
  <c r="DJ109" i="19"/>
  <c r="ED127" i="19"/>
  <c r="ED125" i="19"/>
  <c r="ED112" i="19"/>
  <c r="ED114" i="19"/>
  <c r="ED116" i="19"/>
  <c r="ED118" i="19"/>
  <c r="ED120" i="19"/>
  <c r="ED122" i="19"/>
  <c r="ED97" i="19"/>
  <c r="ED99" i="19"/>
  <c r="ED101" i="19"/>
  <c r="ED103" i="19"/>
  <c r="ED105" i="19"/>
  <c r="ED107" i="19"/>
  <c r="ED109" i="19"/>
  <c r="ED111" i="19"/>
  <c r="ED10" i="19"/>
  <c r="ED12" i="19"/>
  <c r="ED14" i="19"/>
  <c r="ED16" i="19"/>
  <c r="ED18" i="19"/>
  <c r="ED20" i="19"/>
  <c r="ED22" i="19"/>
  <c r="ED24" i="19"/>
  <c r="ED26" i="19"/>
  <c r="ED28" i="19"/>
  <c r="ED30" i="19"/>
  <c r="ED32" i="19"/>
  <c r="ED34" i="19"/>
  <c r="ED36" i="19"/>
  <c r="ED38" i="19"/>
  <c r="ED40" i="19"/>
  <c r="ED42" i="19"/>
  <c r="ED44" i="19"/>
  <c r="ED46" i="19"/>
  <c r="ED48" i="19"/>
  <c r="ED50" i="19"/>
  <c r="ED52" i="19"/>
  <c r="ED54" i="19"/>
  <c r="ED56" i="19"/>
  <c r="ED58" i="19"/>
  <c r="ED60" i="19"/>
  <c r="ED62" i="19"/>
  <c r="ED64" i="19"/>
  <c r="ED66" i="19"/>
  <c r="ED68" i="19"/>
  <c r="ED70" i="19"/>
  <c r="ED72" i="19"/>
  <c r="ED74" i="19"/>
  <c r="ED76" i="19"/>
  <c r="ED78" i="19"/>
  <c r="ED80" i="19"/>
  <c r="ED82" i="19"/>
  <c r="ED84" i="19"/>
  <c r="ED86" i="19"/>
  <c r="ED88" i="19"/>
  <c r="ED90" i="19"/>
  <c r="ED92" i="19"/>
  <c r="ED94" i="19"/>
  <c r="ED96" i="19"/>
  <c r="DJ111" i="19"/>
  <c r="DJ113" i="19"/>
  <c r="DJ115" i="19"/>
  <c r="DJ117" i="19"/>
  <c r="DJ119" i="19"/>
  <c r="DJ121" i="19"/>
  <c r="DJ123" i="19"/>
  <c r="DJ125" i="19"/>
  <c r="DJ127" i="19"/>
  <c r="DJ10" i="19"/>
  <c r="DJ12" i="19"/>
  <c r="DJ14" i="19"/>
  <c r="DJ16" i="19"/>
  <c r="DJ18" i="19"/>
  <c r="DJ20" i="19"/>
  <c r="DJ22" i="19"/>
  <c r="DJ24" i="19"/>
  <c r="DJ26" i="19"/>
  <c r="DJ28" i="19"/>
  <c r="DJ30" i="19"/>
  <c r="DJ32" i="19"/>
  <c r="DJ34" i="19"/>
  <c r="DJ36" i="19"/>
  <c r="DJ38" i="19"/>
  <c r="DJ40" i="19"/>
  <c r="DJ42" i="19"/>
  <c r="DJ44" i="19"/>
  <c r="DJ46" i="19"/>
  <c r="DJ48" i="19"/>
  <c r="DJ50" i="19"/>
  <c r="DJ52" i="19"/>
  <c r="DJ54" i="19"/>
  <c r="DJ56" i="19"/>
  <c r="DJ58" i="19"/>
  <c r="DJ60" i="19"/>
  <c r="DJ62" i="19"/>
  <c r="DJ64" i="19"/>
  <c r="DJ66" i="19"/>
  <c r="DJ68" i="19"/>
  <c r="DJ70" i="19"/>
  <c r="DJ72" i="19"/>
  <c r="DJ74" i="19"/>
  <c r="DJ76" i="19"/>
  <c r="DJ78" i="19"/>
  <c r="DJ80" i="19"/>
  <c r="DJ82" i="19"/>
  <c r="DJ84" i="19"/>
  <c r="DJ86" i="19"/>
  <c r="DJ88" i="19"/>
  <c r="DJ90" i="19"/>
  <c r="DJ92" i="19"/>
  <c r="DJ94" i="19"/>
  <c r="DJ96" i="19"/>
  <c r="DJ98" i="19"/>
  <c r="DJ100" i="19"/>
  <c r="DJ102" i="19"/>
  <c r="DJ104" i="19"/>
  <c r="DJ106" i="19"/>
  <c r="DJ108" i="19"/>
  <c r="CP96" i="19"/>
  <c r="CP98" i="19"/>
  <c r="CP100" i="19"/>
  <c r="CP102" i="19"/>
  <c r="CP104" i="19"/>
  <c r="CP106" i="19"/>
  <c r="CP108" i="19"/>
  <c r="CP110" i="19"/>
  <c r="CP112" i="19"/>
  <c r="CP114" i="19"/>
  <c r="CP116" i="19"/>
  <c r="CP118" i="19"/>
  <c r="CP120" i="19"/>
  <c r="CP122" i="19"/>
  <c r="CP124" i="19"/>
  <c r="CP126" i="19"/>
  <c r="CP84" i="19"/>
  <c r="CP86" i="19"/>
  <c r="CP88" i="19"/>
  <c r="CP90" i="19"/>
  <c r="CP92" i="19"/>
  <c r="CP94" i="19"/>
  <c r="CP28" i="19"/>
  <c r="CP30" i="19"/>
  <c r="CP32" i="19"/>
  <c r="CP34" i="19"/>
  <c r="CP36" i="19"/>
  <c r="CP38" i="19"/>
  <c r="CP40" i="19"/>
  <c r="CP42" i="19"/>
  <c r="CP44" i="19"/>
  <c r="CP46" i="19"/>
  <c r="CP48" i="19"/>
  <c r="CP50" i="19"/>
  <c r="CP52" i="19"/>
  <c r="CP54" i="19"/>
  <c r="CP56" i="19"/>
  <c r="CP58" i="19"/>
  <c r="CP60" i="19"/>
  <c r="CP62" i="19"/>
  <c r="CP64" i="19"/>
  <c r="CP66" i="19"/>
  <c r="CP68" i="19"/>
  <c r="CP70" i="19"/>
  <c r="CP72" i="19"/>
  <c r="CP74" i="19"/>
  <c r="CP76" i="19"/>
  <c r="CP78" i="19"/>
  <c r="CP80" i="19"/>
  <c r="CP95" i="19"/>
  <c r="CP97" i="19"/>
  <c r="CP99" i="19"/>
  <c r="CP101" i="19"/>
  <c r="CP103" i="19"/>
  <c r="CP105" i="19"/>
  <c r="CP107" i="19"/>
  <c r="CP109" i="19"/>
  <c r="CP111" i="19"/>
  <c r="CP113" i="19"/>
  <c r="CP115" i="19"/>
  <c r="CP117" i="19"/>
  <c r="CP119" i="19"/>
  <c r="CP121" i="19"/>
  <c r="CP123" i="19"/>
  <c r="CP125" i="19"/>
  <c r="CP127" i="19"/>
  <c r="CP85" i="19"/>
  <c r="CP87" i="19"/>
  <c r="CP89" i="19"/>
  <c r="CP91" i="19"/>
  <c r="CP93" i="19"/>
  <c r="CP27" i="19"/>
  <c r="CP29" i="19"/>
  <c r="CP31" i="19"/>
  <c r="CP33" i="19"/>
  <c r="CP35" i="19"/>
  <c r="CP37" i="19"/>
  <c r="CP39" i="19"/>
  <c r="CP41" i="19"/>
  <c r="CP43" i="19"/>
  <c r="CP45" i="19"/>
  <c r="CP47" i="19"/>
  <c r="CP49" i="19"/>
  <c r="CP51" i="19"/>
  <c r="CP53" i="19"/>
  <c r="CP55" i="19"/>
  <c r="CP57" i="19"/>
  <c r="CP59" i="19"/>
  <c r="CP61" i="19"/>
  <c r="CP63" i="19"/>
  <c r="CP65" i="19"/>
  <c r="CP67" i="19"/>
  <c r="CP69" i="19"/>
  <c r="CP71" i="19"/>
  <c r="CP73" i="19"/>
  <c r="CP75" i="19"/>
  <c r="CP77" i="19"/>
  <c r="CP79" i="19"/>
  <c r="CP81" i="19"/>
  <c r="CP82" i="19"/>
  <c r="CP21" i="19"/>
  <c r="CP23" i="19"/>
  <c r="CP25" i="19"/>
  <c r="CP9" i="19"/>
  <c r="CP11" i="19"/>
  <c r="CP13" i="19"/>
  <c r="CP15" i="19"/>
  <c r="CP17" i="19"/>
  <c r="CP19" i="19"/>
  <c r="BV108" i="19"/>
  <c r="BV110" i="19"/>
  <c r="BV112" i="19"/>
  <c r="BV114" i="19"/>
  <c r="BV116" i="19"/>
  <c r="BV118" i="19"/>
  <c r="BV120" i="19"/>
  <c r="BV122" i="19"/>
  <c r="BV124" i="19"/>
  <c r="BV126" i="19"/>
  <c r="BV9" i="19"/>
  <c r="BV11" i="19"/>
  <c r="BV13" i="19"/>
  <c r="BV15" i="19"/>
  <c r="BV17" i="19"/>
  <c r="BV19" i="19"/>
  <c r="BV21" i="19"/>
  <c r="BV23" i="19"/>
  <c r="BV25" i="19"/>
  <c r="BV27" i="19"/>
  <c r="BV29" i="19"/>
  <c r="BV31" i="19"/>
  <c r="BV33" i="19"/>
  <c r="BV35" i="19"/>
  <c r="BV37" i="19"/>
  <c r="BV39" i="19"/>
  <c r="BV41" i="19"/>
  <c r="BV43" i="19"/>
  <c r="BV45" i="19"/>
  <c r="BV47" i="19"/>
  <c r="BV49" i="19"/>
  <c r="BV51" i="19"/>
  <c r="BV53" i="19"/>
  <c r="BV55" i="19"/>
  <c r="BV57" i="19"/>
  <c r="BV59" i="19"/>
  <c r="BV61" i="19"/>
  <c r="BV63" i="19"/>
  <c r="BV65" i="19"/>
  <c r="BV67" i="19"/>
  <c r="BV69" i="19"/>
  <c r="BV71" i="19"/>
  <c r="BV73" i="19"/>
  <c r="BV75" i="19"/>
  <c r="BV77" i="19"/>
  <c r="BV79" i="19"/>
  <c r="BV81" i="19"/>
  <c r="BV83" i="19"/>
  <c r="BV85" i="19"/>
  <c r="BV87" i="19"/>
  <c r="BV89" i="19"/>
  <c r="BV91" i="19"/>
  <c r="BV93" i="19"/>
  <c r="BV95" i="19"/>
  <c r="BV97" i="19"/>
  <c r="BV99" i="19"/>
  <c r="BV101" i="19"/>
  <c r="BV103" i="19"/>
  <c r="BV105" i="19"/>
  <c r="BB13" i="19"/>
  <c r="BB15" i="19"/>
  <c r="BB17" i="19"/>
  <c r="BB19" i="19"/>
  <c r="BB21" i="19"/>
  <c r="BB23" i="19"/>
  <c r="BB25" i="19"/>
  <c r="BB27" i="19"/>
  <c r="BB29" i="19"/>
  <c r="BB31" i="19"/>
  <c r="BB33" i="19"/>
  <c r="BB35" i="19"/>
  <c r="BB37" i="19"/>
  <c r="BB39" i="19"/>
  <c r="BB41" i="19"/>
  <c r="BB43" i="19"/>
  <c r="BB45" i="19"/>
  <c r="BB47" i="19"/>
  <c r="BB49" i="19"/>
  <c r="BB51" i="19"/>
  <c r="BB53" i="19"/>
  <c r="BB55" i="19"/>
  <c r="BB57" i="19"/>
  <c r="BB59" i="19"/>
  <c r="BB61" i="19"/>
  <c r="BB63" i="19"/>
  <c r="BB65" i="19"/>
  <c r="BB67" i="19"/>
  <c r="BB69" i="19"/>
  <c r="BB71" i="19"/>
  <c r="BB73" i="19"/>
  <c r="BB75" i="19"/>
  <c r="BB77" i="19"/>
  <c r="CP26" i="19"/>
  <c r="CP16" i="19"/>
  <c r="BV111" i="19"/>
  <c r="BV119" i="19"/>
  <c r="BV127" i="19"/>
  <c r="BV16" i="19"/>
  <c r="BV24" i="19"/>
  <c r="BV32" i="19"/>
  <c r="BV40" i="19"/>
  <c r="BV48" i="19"/>
  <c r="BV56" i="19"/>
  <c r="BV64" i="19"/>
  <c r="BV72" i="19"/>
  <c r="BV80" i="19"/>
  <c r="BV88" i="19"/>
  <c r="BV96" i="19"/>
  <c r="BV104" i="19"/>
  <c r="BB80" i="19"/>
  <c r="BB82" i="19"/>
  <c r="BB84" i="19"/>
  <c r="BB86" i="19"/>
  <c r="BB88" i="19"/>
  <c r="BB90" i="19"/>
  <c r="BB92" i="19"/>
  <c r="BB94" i="19"/>
  <c r="BB96" i="19"/>
  <c r="BB98" i="19"/>
  <c r="BB100" i="19"/>
  <c r="BB102" i="19"/>
  <c r="BB104" i="19"/>
  <c r="BB106" i="19"/>
  <c r="BB108" i="19"/>
  <c r="BB110" i="19"/>
  <c r="BB112" i="19"/>
  <c r="BB114" i="19"/>
  <c r="BB116" i="19"/>
  <c r="BB118" i="19"/>
  <c r="BB120" i="19"/>
  <c r="BB122" i="19"/>
  <c r="BB124" i="19"/>
  <c r="BB126" i="19"/>
  <c r="CP14" i="19"/>
  <c r="BV62" i="19"/>
  <c r="BV70" i="19"/>
  <c r="BV78" i="19"/>
  <c r="BV86" i="19"/>
  <c r="BB14" i="19"/>
  <c r="BB18" i="19"/>
  <c r="BB22" i="19"/>
  <c r="BB34" i="19"/>
  <c r="BB50" i="19"/>
  <c r="BB54" i="19"/>
  <c r="BB58" i="19"/>
  <c r="CP83" i="19"/>
  <c r="CP10" i="19"/>
  <c r="CP18" i="19"/>
  <c r="BV113" i="19"/>
  <c r="BV121" i="19"/>
  <c r="BV10" i="19"/>
  <c r="BV18" i="19"/>
  <c r="BV26" i="19"/>
  <c r="BV34" i="19"/>
  <c r="BV42" i="19"/>
  <c r="BV50" i="19"/>
  <c r="BV58" i="19"/>
  <c r="BV66" i="19"/>
  <c r="BV74" i="19"/>
  <c r="BV82" i="19"/>
  <c r="BV90" i="19"/>
  <c r="BV98" i="19"/>
  <c r="BV106" i="19"/>
  <c r="BB12" i="19"/>
  <c r="BB16" i="19"/>
  <c r="BB20" i="19"/>
  <c r="BB24" i="19"/>
  <c r="BB28" i="19"/>
  <c r="BB32" i="19"/>
  <c r="BB36" i="19"/>
  <c r="BB40" i="19"/>
  <c r="BB44" i="19"/>
  <c r="BB48" i="19"/>
  <c r="BB52" i="19"/>
  <c r="BB56" i="19"/>
  <c r="BB60" i="19"/>
  <c r="BB64" i="19"/>
  <c r="BB68" i="19"/>
  <c r="BB72" i="19"/>
  <c r="BB76" i="19"/>
  <c r="BV14" i="19"/>
  <c r="BV22" i="19"/>
  <c r="BV30" i="19"/>
  <c r="BV38" i="19"/>
  <c r="BV46" i="19"/>
  <c r="BV94" i="19"/>
  <c r="BV102" i="19"/>
  <c r="BB38" i="19"/>
  <c r="BB42" i="19"/>
  <c r="BB46" i="19"/>
  <c r="BB62" i="19"/>
  <c r="BB66" i="19"/>
  <c r="BB70" i="19"/>
  <c r="BB74" i="19"/>
  <c r="BB78" i="19"/>
  <c r="CP22" i="19"/>
  <c r="CP12" i="19"/>
  <c r="CP20" i="19"/>
  <c r="BV107" i="19"/>
  <c r="BV115" i="19"/>
  <c r="BV123" i="19"/>
  <c r="BV12" i="19"/>
  <c r="BV20" i="19"/>
  <c r="BV28" i="19"/>
  <c r="BV36" i="19"/>
  <c r="BV44" i="19"/>
  <c r="BV52" i="19"/>
  <c r="BV60" i="19"/>
  <c r="BV68" i="19"/>
  <c r="BV76" i="19"/>
  <c r="BV84" i="19"/>
  <c r="BV92" i="19"/>
  <c r="BV100" i="19"/>
  <c r="BB79" i="19"/>
  <c r="BB81" i="19"/>
  <c r="BB83" i="19"/>
  <c r="BB85" i="19"/>
  <c r="BB87" i="19"/>
  <c r="BB89" i="19"/>
  <c r="BB91" i="19"/>
  <c r="BB93" i="19"/>
  <c r="BB95" i="19"/>
  <c r="BB97" i="19"/>
  <c r="BB99" i="19"/>
  <c r="BB101" i="19"/>
  <c r="BB103" i="19"/>
  <c r="BB105" i="19"/>
  <c r="BB107" i="19"/>
  <c r="BB109" i="19"/>
  <c r="BB111" i="19"/>
  <c r="BB113" i="19"/>
  <c r="BB115" i="19"/>
  <c r="BB117" i="19"/>
  <c r="BB119" i="19"/>
  <c r="BB121" i="19"/>
  <c r="BB123" i="19"/>
  <c r="BB125" i="19"/>
  <c r="BB127" i="19"/>
  <c r="CP24" i="19"/>
  <c r="BV109" i="19"/>
  <c r="BV117" i="19"/>
  <c r="BV125" i="19"/>
  <c r="BV54" i="19"/>
  <c r="BB26" i="19"/>
  <c r="BB30" i="19"/>
  <c r="BB68" i="17"/>
  <c r="BC54" i="17"/>
  <c r="BB49" i="17"/>
  <c r="BA44" i="17"/>
  <c r="BB16" i="17"/>
  <c r="BA48" i="17"/>
  <c r="BC25" i="17"/>
  <c r="BC62" i="17"/>
  <c r="BB41" i="17"/>
  <c r="BA19" i="17"/>
  <c r="BC68" i="17"/>
  <c r="BA14" i="17"/>
  <c r="BB19" i="17"/>
  <c r="BC24" i="17"/>
  <c r="BA30" i="17"/>
  <c r="BB35" i="17"/>
  <c r="BC41" i="17"/>
  <c r="BA47" i="17"/>
  <c r="BB52" i="17"/>
  <c r="BC57" i="17"/>
  <c r="BA63" i="17"/>
  <c r="BB66" i="17"/>
  <c r="BC11" i="17"/>
  <c r="BA17" i="17"/>
  <c r="BB22" i="17"/>
  <c r="BC27" i="17"/>
  <c r="BA33" i="17"/>
  <c r="BC38" i="17"/>
  <c r="BC44" i="17"/>
  <c r="BA50" i="17"/>
  <c r="BB55" i="17"/>
  <c r="BC60" i="17"/>
  <c r="BB65" i="17"/>
  <c r="BC10" i="17"/>
  <c r="BA16" i="17"/>
  <c r="BB21" i="17"/>
  <c r="BC26" i="17"/>
  <c r="BA32" i="17"/>
  <c r="BB37" i="17"/>
  <c r="BC43" i="17"/>
  <c r="BA49" i="17"/>
  <c r="BB54" i="17"/>
  <c r="BC59" i="17"/>
  <c r="BC8" i="17"/>
  <c r="BB45" i="17"/>
  <c r="BA23" i="17"/>
  <c r="BC40" i="17"/>
  <c r="BB8" i="17"/>
  <c r="BC37" i="17"/>
  <c r="BB53" i="17"/>
  <c r="BA31" i="17"/>
  <c r="BC9" i="17"/>
  <c r="BB24" i="17"/>
  <c r="BB67" i="17"/>
  <c r="BC12" i="17"/>
  <c r="BB23" i="17"/>
  <c r="BC28" i="17"/>
  <c r="BA40" i="17"/>
  <c r="BA51" i="17"/>
  <c r="BC61" i="17"/>
  <c r="BB10" i="17"/>
  <c r="BA21" i="17"/>
  <c r="BC31" i="17"/>
  <c r="BB43" i="17"/>
  <c r="BA54" i="17"/>
  <c r="BC64" i="17"/>
  <c r="BC14" i="17"/>
  <c r="BB25" i="17"/>
  <c r="BA36" i="17"/>
  <c r="BC47" i="17"/>
  <c r="BB58" i="17"/>
  <c r="BC50" i="17"/>
  <c r="BA67" i="17"/>
  <c r="BB32" i="17"/>
  <c r="BA27" i="17"/>
  <c r="BC21" i="17"/>
  <c r="BA64" i="17"/>
  <c r="BC42" i="17"/>
  <c r="BB20" i="17"/>
  <c r="BB57" i="17"/>
  <c r="BA35" i="17"/>
  <c r="BC13" i="17"/>
  <c r="BA10" i="17"/>
  <c r="BB15" i="17"/>
  <c r="BC20" i="17"/>
  <c r="BA26" i="17"/>
  <c r="BB31" i="17"/>
  <c r="BC36" i="17"/>
  <c r="BA43" i="17"/>
  <c r="BB48" i="17"/>
  <c r="BC53" i="17"/>
  <c r="BA59" i="17"/>
  <c r="BB64" i="17"/>
  <c r="BC67" i="17"/>
  <c r="BA13" i="17"/>
  <c r="BB18" i="17"/>
  <c r="BC23" i="17"/>
  <c r="BA29" i="17"/>
  <c r="BB34" i="17"/>
  <c r="BB40" i="17"/>
  <c r="BA46" i="17"/>
  <c r="BB51" i="17"/>
  <c r="BC56" i="17"/>
  <c r="BA62" i="17"/>
  <c r="BC66" i="17"/>
  <c r="BA12" i="17"/>
  <c r="BB17" i="17"/>
  <c r="BC22" i="17"/>
  <c r="BA28" i="17"/>
  <c r="BB33" i="17"/>
  <c r="BA39" i="17"/>
  <c r="BA45" i="17"/>
  <c r="BB50" i="17"/>
  <c r="BC55" i="17"/>
  <c r="BA61" i="17"/>
  <c r="BB61" i="17"/>
  <c r="BC39" i="17"/>
  <c r="BC17" i="17"/>
  <c r="BC46" i="17"/>
  <c r="BA18" i="17"/>
  <c r="BA34" i="17"/>
  <c r="BC45" i="17"/>
  <c r="BB56" i="17"/>
  <c r="BA65" i="17"/>
  <c r="BC15" i="17"/>
  <c r="BB26" i="17"/>
  <c r="BA37" i="17"/>
  <c r="BC48" i="17"/>
  <c r="BB59" i="17"/>
  <c r="BB9" i="17"/>
  <c r="BA20" i="17"/>
  <c r="BC30" i="17"/>
  <c r="BB42" i="17"/>
  <c r="BA53" i="17"/>
  <c r="BC63" i="17"/>
  <c r="BB28" i="17"/>
  <c r="BA11" i="17"/>
  <c r="BC65" i="17"/>
  <c r="BA60" i="17"/>
  <c r="BC58" i="17"/>
  <c r="BB36" i="17"/>
  <c r="BA15" i="17"/>
  <c r="BA52" i="17"/>
  <c r="BC29" i="17"/>
  <c r="BA66" i="17"/>
  <c r="BB11" i="17"/>
  <c r="BC16" i="17"/>
  <c r="BA22" i="17"/>
  <c r="BB27" i="17"/>
  <c r="BC32" i="17"/>
  <c r="BB38" i="17"/>
  <c r="BB44" i="17"/>
  <c r="BC49" i="17"/>
  <c r="BA55" i="17"/>
  <c r="BB60" i="17"/>
  <c r="BA8" i="17"/>
  <c r="BA9" i="17"/>
  <c r="BB14" i="17"/>
  <c r="BC19" i="17"/>
  <c r="BA25" i="17"/>
  <c r="BB30" i="17"/>
  <c r="BC35" i="17"/>
  <c r="BA42" i="17"/>
  <c r="BB47" i="17"/>
  <c r="BC52" i="17"/>
  <c r="BA58" i="17"/>
  <c r="BB63" i="17"/>
  <c r="BA68" i="17"/>
  <c r="BB13" i="17"/>
  <c r="BC18" i="17"/>
  <c r="BA24" i="17"/>
  <c r="BB29" i="17"/>
  <c r="BC34" i="17"/>
  <c r="BA41" i="17"/>
  <c r="BB46" i="17"/>
  <c r="BC51" i="17"/>
  <c r="BA57" i="17"/>
  <c r="BB62" i="17"/>
  <c r="BA56" i="17"/>
  <c r="BC33" i="17"/>
  <c r="BB12" i="17"/>
  <c r="BD41" i="17"/>
  <c r="BD68" i="17"/>
  <c r="BE13" i="17"/>
  <c r="BF18" i="17"/>
  <c r="BD24" i="17"/>
  <c r="BE29" i="17"/>
  <c r="BF34" i="17"/>
  <c r="BD40" i="17"/>
  <c r="BE46" i="17"/>
  <c r="BF51" i="17"/>
  <c r="BD57" i="17"/>
  <c r="BE62" i="17"/>
  <c r="BD8" i="17"/>
  <c r="BD11" i="17"/>
  <c r="BE16" i="17"/>
  <c r="BF21" i="17"/>
  <c r="BD27" i="17"/>
  <c r="BE32" i="17"/>
  <c r="BF37" i="17"/>
  <c r="BD44" i="17"/>
  <c r="BE49" i="17"/>
  <c r="BF54" i="17"/>
  <c r="BD60" i="17"/>
  <c r="BE65" i="17"/>
  <c r="BD10" i="17"/>
  <c r="BE15" i="17"/>
  <c r="BF20" i="17"/>
  <c r="BD26" i="17"/>
  <c r="BE31" i="17"/>
  <c r="BF36" i="17"/>
  <c r="BF42" i="17"/>
  <c r="BE48" i="17"/>
  <c r="BF53" i="17"/>
  <c r="BD59" i="17"/>
  <c r="BE64" i="17"/>
  <c r="BE42" i="17"/>
  <c r="BE8" i="17"/>
  <c r="BD46" i="17"/>
  <c r="BF23" i="17"/>
  <c r="BD58" i="17"/>
  <c r="BE14" i="17"/>
  <c r="BD50" i="17"/>
  <c r="BF27" i="17"/>
  <c r="BE63" i="17"/>
  <c r="BD54" i="17"/>
  <c r="BF31" i="17"/>
  <c r="BE10" i="17"/>
  <c r="BD12" i="17"/>
  <c r="BE17" i="17"/>
  <c r="BF22" i="17"/>
  <c r="BE33" i="17"/>
  <c r="BD45" i="17"/>
  <c r="BF55" i="17"/>
  <c r="BE66" i="17"/>
  <c r="BD15" i="17"/>
  <c r="BF25" i="17"/>
  <c r="BE36" i="17"/>
  <c r="BD48" i="17"/>
  <c r="BD64" i="17"/>
  <c r="BD14" i="17"/>
  <c r="BF24" i="17"/>
  <c r="BE35" i="17"/>
  <c r="BE52" i="17"/>
  <c r="BD63" i="17"/>
  <c r="BD29" i="17"/>
  <c r="BF19" i="17"/>
  <c r="BF11" i="17"/>
  <c r="BE59" i="17"/>
  <c r="BF15" i="17"/>
  <c r="BE9" i="17"/>
  <c r="BF14" i="17"/>
  <c r="BD20" i="17"/>
  <c r="BE25" i="17"/>
  <c r="BF30" i="17"/>
  <c r="BD36" i="17"/>
  <c r="BF41" i="17"/>
  <c r="BF47" i="17"/>
  <c r="BD53" i="17"/>
  <c r="BE58" i="17"/>
  <c r="BF63" i="17"/>
  <c r="BD67" i="17"/>
  <c r="BE12" i="17"/>
  <c r="BF17" i="17"/>
  <c r="BD23" i="17"/>
  <c r="BE28" i="17"/>
  <c r="BF33" i="17"/>
  <c r="BD39" i="17"/>
  <c r="BE45" i="17"/>
  <c r="BF50" i="17"/>
  <c r="BD56" i="17"/>
  <c r="BE61" i="17"/>
  <c r="BF66" i="17"/>
  <c r="BE11" i="17"/>
  <c r="BF16" i="17"/>
  <c r="BD22" i="17"/>
  <c r="BE27" i="17"/>
  <c r="BF32" i="17"/>
  <c r="BD38" i="17"/>
  <c r="BE44" i="17"/>
  <c r="BF49" i="17"/>
  <c r="BD55" i="17"/>
  <c r="BE60" i="17"/>
  <c r="BF65" i="17"/>
  <c r="BD62" i="17"/>
  <c r="BF39" i="17"/>
  <c r="BE18" i="17"/>
  <c r="BE47" i="17"/>
  <c r="BD9" i="17"/>
  <c r="BD66" i="17"/>
  <c r="BF44" i="17"/>
  <c r="BE22" i="17"/>
  <c r="BF52" i="17"/>
  <c r="BF48" i="17"/>
  <c r="BE26" i="17"/>
  <c r="BD28" i="17"/>
  <c r="BF38" i="17"/>
  <c r="BE50" i="17"/>
  <c r="BD61" i="17"/>
  <c r="BF9" i="17"/>
  <c r="BE20" i="17"/>
  <c r="BD31" i="17"/>
  <c r="BD42" i="17"/>
  <c r="BF58" i="17"/>
  <c r="BF68" i="17"/>
  <c r="BE19" i="17"/>
  <c r="BD30" i="17"/>
  <c r="BD47" i="17"/>
  <c r="BF57" i="17"/>
  <c r="BE51" i="17"/>
  <c r="BF67" i="17"/>
  <c r="BD33" i="17"/>
  <c r="BD37" i="17"/>
  <c r="BF10" i="17"/>
  <c r="BD16" i="17"/>
  <c r="BE21" i="17"/>
  <c r="BF26" i="17"/>
  <c r="BD32" i="17"/>
  <c r="BE37" i="17"/>
  <c r="BE43" i="17"/>
  <c r="BD49" i="17"/>
  <c r="BE54" i="17"/>
  <c r="BF59" i="17"/>
  <c r="BD65" i="17"/>
  <c r="BE68" i="17"/>
  <c r="BF13" i="17"/>
  <c r="BD19" i="17"/>
  <c r="BE24" i="17"/>
  <c r="BF29" i="17"/>
  <c r="BD35" i="17"/>
  <c r="BE40" i="17"/>
  <c r="BF46" i="17"/>
  <c r="BD52" i="17"/>
  <c r="BE57" i="17"/>
  <c r="BF62" i="17"/>
  <c r="BE67" i="17"/>
  <c r="BF12" i="17"/>
  <c r="BD18" i="17"/>
  <c r="BE23" i="17"/>
  <c r="BF28" i="17"/>
  <c r="BD34" i="17"/>
  <c r="BE39" i="17"/>
  <c r="BF45" i="17"/>
  <c r="BD51" i="17"/>
  <c r="BE56" i="17"/>
  <c r="BF61" i="17"/>
  <c r="BF8" i="17"/>
  <c r="BF56" i="17"/>
  <c r="BE34" i="17"/>
  <c r="BD13" i="17"/>
  <c r="BE30" i="17"/>
  <c r="BF43" i="17"/>
  <c r="BF60" i="17"/>
  <c r="BE38" i="17"/>
  <c r="BD17" i="17"/>
  <c r="BE41" i="17"/>
  <c r="BF64" i="17"/>
  <c r="BD43" i="17"/>
  <c r="BD21" i="17"/>
  <c r="BE53" i="17"/>
  <c r="BF40" i="17"/>
  <c r="BF35" i="17"/>
  <c r="BE55" i="17"/>
  <c r="BD25" i="17"/>
  <c r="BG19" i="17"/>
  <c r="BH51" i="17"/>
  <c r="BG62" i="17"/>
  <c r="BI59" i="17"/>
  <c r="BG65" i="17"/>
  <c r="BH11" i="17"/>
  <c r="BI16" i="17"/>
  <c r="BG22" i="17"/>
  <c r="BH27" i="17"/>
  <c r="BI32" i="17"/>
  <c r="BG38" i="17"/>
  <c r="BH43" i="17"/>
  <c r="BG49" i="17"/>
  <c r="BH54" i="17"/>
  <c r="BH8" i="17"/>
  <c r="BI62" i="17"/>
  <c r="BG9" i="17"/>
  <c r="BH14" i="17"/>
  <c r="BI19" i="17"/>
  <c r="BG25" i="17"/>
  <c r="BH30" i="17"/>
  <c r="BI35" i="17"/>
  <c r="BG41" i="17"/>
  <c r="BI46" i="17"/>
  <c r="BG52" i="17"/>
  <c r="BH57" i="17"/>
  <c r="BI61" i="17"/>
  <c r="BG67" i="17"/>
  <c r="BH13" i="17"/>
  <c r="BI18" i="17"/>
  <c r="BG24" i="17"/>
  <c r="BH29" i="17"/>
  <c r="BI34" i="17"/>
  <c r="BG40" i="17"/>
  <c r="BI45" i="17"/>
  <c r="BG51" i="17"/>
  <c r="BH56" i="17"/>
  <c r="BI44" i="17"/>
  <c r="BG23" i="17"/>
  <c r="BI60" i="17"/>
  <c r="BG43" i="17"/>
  <c r="BI21" i="17"/>
  <c r="BH59" i="17"/>
  <c r="BI52" i="17"/>
  <c r="BG31" i="17"/>
  <c r="BI9" i="17"/>
  <c r="BH24" i="17"/>
  <c r="BI63" i="17"/>
  <c r="BH15" i="17"/>
  <c r="BG26" i="17"/>
  <c r="BH31" i="17"/>
  <c r="BI36" i="17"/>
  <c r="BI47" i="17"/>
  <c r="BH58" i="17"/>
  <c r="BI66" i="17"/>
  <c r="BG13" i="17"/>
  <c r="BI23" i="17"/>
  <c r="BH34" i="17"/>
  <c r="BH45" i="17"/>
  <c r="BI50" i="17"/>
  <c r="BH60" i="17"/>
  <c r="BG12" i="17"/>
  <c r="BI22" i="17"/>
  <c r="BH33" i="17"/>
  <c r="BH44" i="17"/>
  <c r="BG55" i="17"/>
  <c r="BH28" i="17"/>
  <c r="BI48" i="17"/>
  <c r="BI64" i="17"/>
  <c r="BG15" i="17"/>
  <c r="BI56" i="17"/>
  <c r="BI29" i="17"/>
  <c r="BH40" i="17"/>
  <c r="BG61" i="17"/>
  <c r="BH66" i="17"/>
  <c r="BI12" i="17"/>
  <c r="BG18" i="17"/>
  <c r="BH23" i="17"/>
  <c r="BI28" i="17"/>
  <c r="BG34" i="17"/>
  <c r="BH39" i="17"/>
  <c r="BG45" i="17"/>
  <c r="BH50" i="17"/>
  <c r="BI55" i="17"/>
  <c r="BI68" i="17"/>
  <c r="BG64" i="17"/>
  <c r="BH10" i="17"/>
  <c r="BI15" i="17"/>
  <c r="BG21" i="17"/>
  <c r="BH26" i="17"/>
  <c r="BI31" i="17"/>
  <c r="BG37" i="17"/>
  <c r="BH42" i="17"/>
  <c r="BG48" i="17"/>
  <c r="BH53" i="17"/>
  <c r="BI58" i="17"/>
  <c r="BG63" i="17"/>
  <c r="BH9" i="17"/>
  <c r="BI14" i="17"/>
  <c r="BG20" i="17"/>
  <c r="BH25" i="17"/>
  <c r="BI30" i="17"/>
  <c r="BG36" i="17"/>
  <c r="BH41" i="17"/>
  <c r="BG47" i="17"/>
  <c r="BH52" i="17"/>
  <c r="BI57" i="17"/>
  <c r="BG39" i="17"/>
  <c r="BI17" i="17"/>
  <c r="BG8" i="17"/>
  <c r="BI37" i="17"/>
  <c r="BH16" i="17"/>
  <c r="BG44" i="17"/>
  <c r="BH47" i="17"/>
  <c r="BI25" i="17"/>
  <c r="BH63" i="17"/>
  <c r="BI13" i="17"/>
  <c r="BH36" i="17"/>
  <c r="BG35" i="17"/>
  <c r="BH67" i="17"/>
  <c r="BG46" i="17"/>
  <c r="BH62" i="17"/>
  <c r="BI67" i="17"/>
  <c r="BG14" i="17"/>
  <c r="BH19" i="17"/>
  <c r="BI24" i="17"/>
  <c r="BG30" i="17"/>
  <c r="BH35" i="17"/>
  <c r="BI40" i="17"/>
  <c r="BH46" i="17"/>
  <c r="BI51" i="17"/>
  <c r="BG57" i="17"/>
  <c r="BG60" i="17"/>
  <c r="BH65" i="17"/>
  <c r="BI11" i="17"/>
  <c r="BG17" i="17"/>
  <c r="BH22" i="17"/>
  <c r="BI27" i="17"/>
  <c r="BG33" i="17"/>
  <c r="BH38" i="17"/>
  <c r="BI43" i="17"/>
  <c r="BH49" i="17"/>
  <c r="BI54" i="17"/>
  <c r="BG59" i="17"/>
  <c r="BH64" i="17"/>
  <c r="BI10" i="17"/>
  <c r="BG16" i="17"/>
  <c r="BH21" i="17"/>
  <c r="BI26" i="17"/>
  <c r="BG32" i="17"/>
  <c r="BH37" i="17"/>
  <c r="BI42" i="17"/>
  <c r="BH48" i="17"/>
  <c r="BI53" i="17"/>
  <c r="BI8" i="17"/>
  <c r="BH55" i="17"/>
  <c r="BI33" i="17"/>
  <c r="BH12" i="17"/>
  <c r="BG54" i="17"/>
  <c r="BH32" i="17"/>
  <c r="BG11" i="17"/>
  <c r="BI41" i="17"/>
  <c r="BH20" i="17"/>
  <c r="BG68" i="17"/>
  <c r="BH68" i="17"/>
  <c r="BG10" i="17"/>
  <c r="BI20" i="17"/>
  <c r="BG42" i="17"/>
  <c r="BG53" i="17"/>
  <c r="BH61" i="17"/>
  <c r="BH18" i="17"/>
  <c r="BG29" i="17"/>
  <c r="BI39" i="17"/>
  <c r="BG56" i="17"/>
  <c r="BI65" i="17"/>
  <c r="BH17" i="17"/>
  <c r="BG28" i="17"/>
  <c r="BI38" i="17"/>
  <c r="BI49" i="17"/>
  <c r="BG50" i="17"/>
  <c r="BG66" i="17"/>
  <c r="BG27" i="17"/>
  <c r="BG58" i="17"/>
  <c r="BJ13" i="17"/>
  <c r="BJ47" i="17"/>
  <c r="BJ41" i="17"/>
  <c r="BJ62" i="17"/>
  <c r="BL39" i="17"/>
  <c r="BK18" i="17"/>
  <c r="BJ10" i="17"/>
  <c r="BL11" i="17"/>
  <c r="BJ11" i="17"/>
  <c r="BK17" i="17"/>
  <c r="BL22" i="17"/>
  <c r="BJ28" i="17"/>
  <c r="BK33" i="17"/>
  <c r="BL38" i="17"/>
  <c r="BJ44" i="17"/>
  <c r="BK50" i="17"/>
  <c r="BL55" i="17"/>
  <c r="BJ61" i="17"/>
  <c r="BK66" i="17"/>
  <c r="BL13" i="17"/>
  <c r="BJ19" i="17"/>
  <c r="BK24" i="17"/>
  <c r="BL29" i="17"/>
  <c r="BJ35" i="17"/>
  <c r="BK40" i="17"/>
  <c r="BL45" i="17"/>
  <c r="BJ52" i="17"/>
  <c r="BK57" i="17"/>
  <c r="BL62" i="17"/>
  <c r="BJ68" i="17"/>
  <c r="BK15" i="17"/>
  <c r="BL20" i="17"/>
  <c r="BJ26" i="17"/>
  <c r="BK31" i="17"/>
  <c r="BL36" i="17"/>
  <c r="BJ42" i="17"/>
  <c r="BL47" i="17"/>
  <c r="BL53" i="17"/>
  <c r="BJ59" i="17"/>
  <c r="BK64" i="17"/>
  <c r="BJ8" i="17"/>
  <c r="BK55" i="17"/>
  <c r="BJ33" i="17"/>
  <c r="BL9" i="17"/>
  <c r="BK59" i="17"/>
  <c r="BJ37" i="17"/>
  <c r="BL15" i="17"/>
  <c r="BL19" i="17"/>
  <c r="BJ58" i="17"/>
  <c r="BL68" i="17"/>
  <c r="BL56" i="17"/>
  <c r="BK34" i="17"/>
  <c r="BK11" i="17"/>
  <c r="BK9" i="17"/>
  <c r="BK13" i="17"/>
  <c r="BL18" i="17"/>
  <c r="BJ24" i="17"/>
  <c r="BK29" i="17"/>
  <c r="BL34" i="17"/>
  <c r="BJ40" i="17"/>
  <c r="BK45" i="17"/>
  <c r="BL51" i="17"/>
  <c r="BJ57" i="17"/>
  <c r="BK62" i="17"/>
  <c r="BL67" i="17"/>
  <c r="BJ15" i="17"/>
  <c r="BK20" i="17"/>
  <c r="BL25" i="17"/>
  <c r="BJ31" i="17"/>
  <c r="BK36" i="17"/>
  <c r="BL41" i="17"/>
  <c r="BK47" i="17"/>
  <c r="BK53" i="17"/>
  <c r="BL58" i="17"/>
  <c r="BJ64" i="17"/>
  <c r="BK8" i="17"/>
  <c r="BL16" i="17"/>
  <c r="BJ22" i="17"/>
  <c r="BK27" i="17"/>
  <c r="BL32" i="17"/>
  <c r="BJ38" i="17"/>
  <c r="BK43" i="17"/>
  <c r="BK49" i="17"/>
  <c r="BJ55" i="17"/>
  <c r="BK60" i="17"/>
  <c r="BL65" i="17"/>
  <c r="BJ50" i="17"/>
  <c r="BL27" i="17"/>
  <c r="BJ54" i="17"/>
  <c r="BL31" i="17"/>
  <c r="BL49" i="17"/>
  <c r="BL35" i="17"/>
  <c r="BL52" i="17"/>
  <c r="BK46" i="17"/>
  <c r="BK51" i="17"/>
  <c r="BJ29" i="17"/>
  <c r="BJ9" i="17"/>
  <c r="BL10" i="17"/>
  <c r="BL14" i="17"/>
  <c r="BJ20" i="17"/>
  <c r="BK25" i="17"/>
  <c r="BL30" i="17"/>
  <c r="BJ36" i="17"/>
  <c r="BK41" i="17"/>
  <c r="BL46" i="17"/>
  <c r="BJ53" i="17"/>
  <c r="BK58" i="17"/>
  <c r="BL63" i="17"/>
  <c r="BL8" i="17"/>
  <c r="BK16" i="17"/>
  <c r="BL21" i="17"/>
  <c r="BJ27" i="17"/>
  <c r="BK32" i="17"/>
  <c r="BL37" i="17"/>
  <c r="BJ43" i="17"/>
  <c r="BJ49" i="17"/>
  <c r="BL54" i="17"/>
  <c r="BJ60" i="17"/>
  <c r="BK65" i="17"/>
  <c r="BL12" i="17"/>
  <c r="BJ18" i="17"/>
  <c r="BK23" i="17"/>
  <c r="BL28" i="17"/>
  <c r="BJ34" i="17"/>
  <c r="BK39" i="17"/>
  <c r="BL44" i="17"/>
  <c r="BJ51" i="17"/>
  <c r="BK56" i="17"/>
  <c r="BL61" i="17"/>
  <c r="BJ67" i="17"/>
  <c r="BJ66" i="17"/>
  <c r="BL43" i="17"/>
  <c r="BK22" i="17"/>
  <c r="BJ48" i="17"/>
  <c r="BK26" i="17"/>
  <c r="BK48" i="17"/>
  <c r="BK63" i="17"/>
  <c r="BK14" i="17"/>
  <c r="BK30" i="17"/>
  <c r="BJ25" i="17"/>
  <c r="BK67" i="17"/>
  <c r="BJ45" i="17"/>
  <c r="BL23" i="17"/>
  <c r="BK10" i="17"/>
  <c r="BJ12" i="17"/>
  <c r="BJ16" i="17"/>
  <c r="BK21" i="17"/>
  <c r="BL26" i="17"/>
  <c r="BJ32" i="17"/>
  <c r="BK37" i="17"/>
  <c r="BL42" i="17"/>
  <c r="BL48" i="17"/>
  <c r="BK54" i="17"/>
  <c r="BL59" i="17"/>
  <c r="BJ65" i="17"/>
  <c r="BK12" i="17"/>
  <c r="BL17" i="17"/>
  <c r="BJ23" i="17"/>
  <c r="BK28" i="17"/>
  <c r="BL33" i="17"/>
  <c r="BJ39" i="17"/>
  <c r="BK44" i="17"/>
  <c r="BL50" i="17"/>
  <c r="BJ56" i="17"/>
  <c r="BK61" i="17"/>
  <c r="BL66" i="17"/>
  <c r="BJ14" i="17"/>
  <c r="BK19" i="17"/>
  <c r="BL24" i="17"/>
  <c r="BJ30" i="17"/>
  <c r="BK35" i="17"/>
  <c r="BL40" i="17"/>
  <c r="BJ46" i="17"/>
  <c r="BK52" i="17"/>
  <c r="BL57" i="17"/>
  <c r="BJ63" i="17"/>
  <c r="BK68" i="17"/>
  <c r="BL60" i="17"/>
  <c r="BK38" i="17"/>
  <c r="BJ17" i="17"/>
  <c r="BL64" i="17"/>
  <c r="BK42" i="17"/>
  <c r="BJ21" i="17"/>
  <c r="BM44" i="17"/>
  <c r="BO52" i="17"/>
  <c r="BM32" i="17"/>
  <c r="BN49" i="17"/>
  <c r="BN68" i="17"/>
  <c r="BO64" i="17"/>
  <c r="BM58" i="17"/>
  <c r="BN44" i="17"/>
  <c r="BO49" i="17"/>
  <c r="BM11" i="17"/>
  <c r="BN16" i="17"/>
  <c r="BO21" i="17"/>
  <c r="BM27" i="17"/>
  <c r="BN32" i="17"/>
  <c r="BO37" i="17"/>
  <c r="BM66" i="17"/>
  <c r="BN62" i="17"/>
  <c r="BO55" i="17"/>
  <c r="BM42" i="17"/>
  <c r="BN47" i="17"/>
  <c r="BO53" i="17"/>
  <c r="BM14" i="17"/>
  <c r="BN19" i="17"/>
  <c r="BO24" i="17"/>
  <c r="BM30" i="17"/>
  <c r="BN35" i="17"/>
  <c r="BO40" i="17"/>
  <c r="BN61" i="17"/>
  <c r="BO54" i="17"/>
  <c r="BM41" i="17"/>
  <c r="BN46" i="17"/>
  <c r="BN52" i="17"/>
  <c r="BM13" i="17"/>
  <c r="BN18" i="17"/>
  <c r="BO23" i="17"/>
  <c r="BM29" i="17"/>
  <c r="BN34" i="17"/>
  <c r="BO39" i="17"/>
  <c r="BM59" i="17"/>
  <c r="BN17" i="17"/>
  <c r="BO38" i="17"/>
  <c r="BO46" i="17"/>
  <c r="BM24" i="17"/>
  <c r="BO66" i="17"/>
  <c r="BM48" i="17"/>
  <c r="BN25" i="17"/>
  <c r="BN37" i="17"/>
  <c r="BM62" i="17"/>
  <c r="BN11" i="17"/>
  <c r="BO32" i="17"/>
  <c r="BM64" i="17"/>
  <c r="BM49" i="17"/>
  <c r="BO15" i="17"/>
  <c r="BN26" i="17"/>
  <c r="BN60" i="17"/>
  <c r="BM28" i="17"/>
  <c r="BO34" i="17"/>
  <c r="BO14" i="17"/>
  <c r="BN64" i="17"/>
  <c r="BO10" i="17"/>
  <c r="BM68" i="17"/>
  <c r="BO60" i="17"/>
  <c r="BM54" i="17"/>
  <c r="BN59" i="17"/>
  <c r="BO45" i="17"/>
  <c r="BO51" i="17"/>
  <c r="BN12" i="17"/>
  <c r="BO17" i="17"/>
  <c r="BM23" i="17"/>
  <c r="BN28" i="17"/>
  <c r="BO33" i="17"/>
  <c r="BM39" i="17"/>
  <c r="BN67" i="17"/>
  <c r="BO63" i="17"/>
  <c r="BM57" i="17"/>
  <c r="BN43" i="17"/>
  <c r="BO48" i="17"/>
  <c r="BM10" i="17"/>
  <c r="BN15" i="17"/>
  <c r="BO20" i="17"/>
  <c r="BM26" i="17"/>
  <c r="BN31" i="17"/>
  <c r="BO36" i="17"/>
  <c r="BN66" i="17"/>
  <c r="BO62" i="17"/>
  <c r="BM56" i="17"/>
  <c r="BN42" i="17"/>
  <c r="BO47" i="17"/>
  <c r="BM9" i="17"/>
  <c r="BN14" i="17"/>
  <c r="BO19" i="17"/>
  <c r="BM25" i="17"/>
  <c r="BN30" i="17"/>
  <c r="BO35" i="17"/>
  <c r="BO8" i="17"/>
  <c r="BN45" i="17"/>
  <c r="BO22" i="17"/>
  <c r="BO61" i="17"/>
  <c r="BM53" i="17"/>
  <c r="BN29" i="17"/>
  <c r="BM63" i="17"/>
  <c r="BN9" i="17"/>
  <c r="BO30" i="17"/>
  <c r="BM16" i="17"/>
  <c r="BM22" i="17"/>
  <c r="BO67" i="17"/>
  <c r="BO43" i="17"/>
  <c r="BM21" i="17"/>
  <c r="BO31" i="17"/>
  <c r="BM51" i="17"/>
  <c r="BM55" i="17"/>
  <c r="BN56" i="17"/>
  <c r="BM36" i="17"/>
  <c r="BO57" i="17"/>
  <c r="BN51" i="17"/>
  <c r="BN21" i="17"/>
  <c r="BN55" i="17"/>
  <c r="BO41" i="17"/>
  <c r="BM47" i="17"/>
  <c r="BN53" i="17"/>
  <c r="BO13" i="17"/>
  <c r="BM19" i="17"/>
  <c r="BN24" i="17"/>
  <c r="BO29" i="17"/>
  <c r="BM35" i="17"/>
  <c r="BN40" i="17"/>
  <c r="BO68" i="17"/>
  <c r="BM65" i="17"/>
  <c r="BN58" i="17"/>
  <c r="BO44" i="17"/>
  <c r="BN50" i="17"/>
  <c r="BO16" i="17"/>
  <c r="BN27" i="17"/>
  <c r="BM38" i="17"/>
  <c r="BN57" i="17"/>
  <c r="BN10" i="17"/>
  <c r="BM37" i="17"/>
  <c r="BN13" i="17"/>
  <c r="BM50" i="17"/>
  <c r="BO26" i="17"/>
  <c r="BM67" i="17"/>
  <c r="BN63" i="17"/>
  <c r="BO56" i="17"/>
  <c r="BM43" i="17"/>
  <c r="BN48" i="17"/>
  <c r="BO9" i="17"/>
  <c r="BM15" i="17"/>
  <c r="BN20" i="17"/>
  <c r="BO25" i="17"/>
  <c r="BM31" i="17"/>
  <c r="BN36" i="17"/>
  <c r="BM8" i="17"/>
  <c r="BM61" i="17"/>
  <c r="BN54" i="17"/>
  <c r="BO59" i="17"/>
  <c r="BM46" i="17"/>
  <c r="BM52" i="17"/>
  <c r="BO12" i="17"/>
  <c r="BM18" i="17"/>
  <c r="BN23" i="17"/>
  <c r="BO28" i="17"/>
  <c r="BM34" i="17"/>
  <c r="BN39" i="17"/>
  <c r="BM60" i="17"/>
  <c r="BN65" i="17"/>
  <c r="BO58" i="17"/>
  <c r="BM45" i="17"/>
  <c r="BO50" i="17"/>
  <c r="BO11" i="17"/>
  <c r="BM17" i="17"/>
  <c r="BN22" i="17"/>
  <c r="BO27" i="17"/>
  <c r="BM33" i="17"/>
  <c r="BN38" i="17"/>
  <c r="BO65" i="17"/>
  <c r="BM12" i="17"/>
  <c r="BN33" i="17"/>
  <c r="BN41" i="17"/>
  <c r="BO18" i="17"/>
  <c r="BM40" i="17"/>
  <c r="BO42" i="17"/>
  <c r="BM20" i="17"/>
  <c r="BN8" i="17"/>
  <c r="BP58" i="17"/>
  <c r="BQ28" i="17"/>
  <c r="BQ44" i="17"/>
  <c r="BP64" i="17"/>
  <c r="BR53" i="17"/>
  <c r="BR59" i="17"/>
  <c r="BP30" i="17"/>
  <c r="BQ35" i="17"/>
  <c r="BR40" i="17"/>
  <c r="BP46" i="17"/>
  <c r="BQ9" i="17"/>
  <c r="BR14" i="17"/>
  <c r="BP20" i="17"/>
  <c r="BQ25" i="17"/>
  <c r="BR61" i="17"/>
  <c r="BP51" i="17"/>
  <c r="BQ57" i="17"/>
  <c r="BR27" i="17"/>
  <c r="BP33" i="17"/>
  <c r="BQ38" i="17"/>
  <c r="BR43" i="17"/>
  <c r="BP49" i="17"/>
  <c r="BQ12" i="17"/>
  <c r="BR17" i="17"/>
  <c r="BP23" i="17"/>
  <c r="BR68" i="17"/>
  <c r="BP66" i="17"/>
  <c r="BQ56" i="17"/>
  <c r="BR26" i="17"/>
  <c r="BP32" i="17"/>
  <c r="BQ37" i="17"/>
  <c r="BR42" i="17"/>
  <c r="BP48" i="17"/>
  <c r="BQ11" i="17"/>
  <c r="BR16" i="17"/>
  <c r="BP22" i="17"/>
  <c r="BR63" i="17"/>
  <c r="BP35" i="17"/>
  <c r="BQ14" i="17"/>
  <c r="BP65" i="17"/>
  <c r="BQ36" i="17"/>
  <c r="BR15" i="17"/>
  <c r="BQ66" i="17"/>
  <c r="BR37" i="17"/>
  <c r="BP17" i="17"/>
  <c r="BR62" i="17"/>
  <c r="BP34" i="17"/>
  <c r="BP50" i="17"/>
  <c r="BR18" i="17"/>
  <c r="BR65" i="17"/>
  <c r="BP56" i="17"/>
  <c r="BP37" i="17"/>
  <c r="BR47" i="17"/>
  <c r="BQ16" i="17"/>
  <c r="BR64" i="17"/>
  <c r="BR54" i="17"/>
  <c r="BR30" i="17"/>
  <c r="BR46" i="17"/>
  <c r="BR20" i="17"/>
  <c r="BR29" i="17"/>
  <c r="BR67" i="17"/>
  <c r="BP61" i="17"/>
  <c r="BR51" i="17"/>
  <c r="BQ54" i="17"/>
  <c r="BP68" i="17"/>
  <c r="BQ65" i="17"/>
  <c r="BQ55" i="17"/>
  <c r="BP26" i="17"/>
  <c r="BQ31" i="17"/>
  <c r="BR36" i="17"/>
  <c r="BP42" i="17"/>
  <c r="BQ47" i="17"/>
  <c r="BR10" i="17"/>
  <c r="BP16" i="17"/>
  <c r="BQ21" i="17"/>
  <c r="BP8" i="17"/>
  <c r="BP63" i="17"/>
  <c r="BQ52" i="17"/>
  <c r="BR58" i="17"/>
  <c r="BP29" i="17"/>
  <c r="BQ34" i="17"/>
  <c r="BR39" i="17"/>
  <c r="BP45" i="17"/>
  <c r="BQ50" i="17"/>
  <c r="BR13" i="17"/>
  <c r="BP19" i="17"/>
  <c r="BQ24" i="17"/>
  <c r="BP62" i="17"/>
  <c r="BQ51" i="17"/>
  <c r="BR57" i="17"/>
  <c r="BP28" i="17"/>
  <c r="BQ33" i="17"/>
  <c r="BR38" i="17"/>
  <c r="BP44" i="17"/>
  <c r="BQ49" i="17"/>
  <c r="BR12" i="17"/>
  <c r="BP18" i="17"/>
  <c r="BQ23" i="17"/>
  <c r="BQ53" i="17"/>
  <c r="BQ40" i="17"/>
  <c r="BR19" i="17"/>
  <c r="BP55" i="17"/>
  <c r="BR41" i="17"/>
  <c r="BP21" i="17"/>
  <c r="BR56" i="17"/>
  <c r="BP43" i="17"/>
  <c r="BQ22" i="17"/>
  <c r="BR55" i="17"/>
  <c r="BQ18" i="17"/>
  <c r="BR49" i="17"/>
  <c r="BR23" i="17"/>
  <c r="BQ58" i="17"/>
  <c r="BQ39" i="17"/>
  <c r="BP24" i="17"/>
  <c r="BR31" i="17"/>
  <c r="BR21" i="17"/>
  <c r="BQ60" i="17"/>
  <c r="BP10" i="17"/>
  <c r="BP9" i="17"/>
  <c r="BP31" i="17"/>
  <c r="BQ32" i="17"/>
  <c r="BQ62" i="17"/>
  <c r="BQ61" i="17"/>
  <c r="BR66" i="17"/>
  <c r="BP57" i="17"/>
  <c r="BQ27" i="17"/>
  <c r="BR32" i="17"/>
  <c r="BP38" i="17"/>
  <c r="BQ43" i="17"/>
  <c r="BR48" i="17"/>
  <c r="BP12" i="17"/>
  <c r="BQ17" i="17"/>
  <c r="BR22" i="17"/>
  <c r="BP67" i="17"/>
  <c r="BQ64" i="17"/>
  <c r="BP54" i="17"/>
  <c r="BP60" i="17"/>
  <c r="BQ30" i="17"/>
  <c r="BR35" i="17"/>
  <c r="BP41" i="17"/>
  <c r="BQ46" i="17"/>
  <c r="BR9" i="17"/>
  <c r="BP15" i="17"/>
  <c r="BQ20" i="17"/>
  <c r="BR25" i="17"/>
  <c r="BQ63" i="17"/>
  <c r="BR52" i="17"/>
  <c r="BP59" i="17"/>
  <c r="BQ29" i="17"/>
  <c r="BR34" i="17"/>
  <c r="BP40" i="17"/>
  <c r="BQ45" i="17"/>
  <c r="BR50" i="17"/>
  <c r="BP14" i="17"/>
  <c r="BQ19" i="17"/>
  <c r="BR24" i="17"/>
  <c r="BQ59" i="17"/>
  <c r="BR45" i="17"/>
  <c r="BP25" i="17"/>
  <c r="BR60" i="17"/>
  <c r="BP47" i="17"/>
  <c r="BQ8" i="17"/>
  <c r="BP27" i="17"/>
  <c r="BQ48" i="17"/>
  <c r="BR33" i="17"/>
  <c r="BP39" i="17"/>
  <c r="BP53" i="17"/>
  <c r="BP13" i="17"/>
  <c r="BP52" i="17"/>
  <c r="BR28" i="17"/>
  <c r="BR44" i="17"/>
  <c r="BQ13" i="17"/>
  <c r="BQ68" i="17"/>
  <c r="BQ26" i="17"/>
  <c r="BQ42" i="17"/>
  <c r="BP11" i="17"/>
  <c r="BQ67" i="17"/>
  <c r="BP36" i="17"/>
  <c r="BQ41" i="17"/>
  <c r="BQ15" i="17"/>
  <c r="BR8" i="17"/>
  <c r="BQ10" i="17"/>
  <c r="BR11" i="17"/>
  <c r="BU42" i="17"/>
  <c r="BT57" i="17"/>
  <c r="BS23" i="17"/>
  <c r="BS51" i="17"/>
  <c r="BU56" i="17"/>
  <c r="BU62" i="17"/>
  <c r="BS43" i="17"/>
  <c r="BT48" i="17"/>
  <c r="BU12" i="17"/>
  <c r="BS18" i="17"/>
  <c r="BT23" i="17"/>
  <c r="BU28" i="17"/>
  <c r="BS34" i="17"/>
  <c r="BT39" i="17"/>
  <c r="BU67" i="17"/>
  <c r="BS54" i="17"/>
  <c r="BT60" i="17"/>
  <c r="BU40" i="17"/>
  <c r="BS46" i="17"/>
  <c r="BT10" i="17"/>
  <c r="BU15" i="17"/>
  <c r="BS21" i="17"/>
  <c r="BT26" i="17"/>
  <c r="BU31" i="17"/>
  <c r="BS37" i="17"/>
  <c r="BU66" i="17"/>
  <c r="BS53" i="17"/>
  <c r="BT59" i="17"/>
  <c r="BU64" i="17"/>
  <c r="BS45" i="17"/>
  <c r="BT9" i="17"/>
  <c r="BU14" i="17"/>
  <c r="BS20" i="17"/>
  <c r="BT25" i="17"/>
  <c r="BU30" i="17"/>
  <c r="BS36" i="17"/>
  <c r="BU65" i="17"/>
  <c r="BS44" i="17"/>
  <c r="BT24" i="17"/>
  <c r="BS67" i="17"/>
  <c r="BT45" i="17"/>
  <c r="BU25" i="17"/>
  <c r="BU54" i="17"/>
  <c r="BS11" i="17"/>
  <c r="BT32" i="17"/>
  <c r="BU17" i="17"/>
  <c r="BT12" i="17"/>
  <c r="BU68" i="17"/>
  <c r="BT61" i="17"/>
  <c r="BT11" i="17"/>
  <c r="BS22" i="17"/>
  <c r="BU32" i="17"/>
  <c r="BS59" i="17"/>
  <c r="BU44" i="17"/>
  <c r="BT14" i="17"/>
  <c r="BS25" i="17"/>
  <c r="BT65" i="17"/>
  <c r="BT63" i="17"/>
  <c r="BS49" i="17"/>
  <c r="BS24" i="17"/>
  <c r="BU8" i="17"/>
  <c r="BU63" i="17"/>
  <c r="BS40" i="17"/>
  <c r="BU46" i="17"/>
  <c r="BS66" i="17"/>
  <c r="BT52" i="17"/>
  <c r="BT58" i="17"/>
  <c r="BS64" i="17"/>
  <c r="BT44" i="17"/>
  <c r="BU49" i="17"/>
  <c r="BS14" i="17"/>
  <c r="BT19" i="17"/>
  <c r="BU24" i="17"/>
  <c r="BS30" i="17"/>
  <c r="BT35" i="17"/>
  <c r="BS8" i="17"/>
  <c r="BS50" i="17"/>
  <c r="BT55" i="17"/>
  <c r="BU61" i="17"/>
  <c r="BS42" i="17"/>
  <c r="BT47" i="17"/>
  <c r="BU11" i="17"/>
  <c r="BS17" i="17"/>
  <c r="BT22" i="17"/>
  <c r="BU27" i="17"/>
  <c r="BS33" i="17"/>
  <c r="BT38" i="17"/>
  <c r="BS68" i="17"/>
  <c r="BT54" i="17"/>
  <c r="BU60" i="17"/>
  <c r="BS41" i="17"/>
  <c r="BT46" i="17"/>
  <c r="BU10" i="17"/>
  <c r="BS16" i="17"/>
  <c r="BT21" i="17"/>
  <c r="BU26" i="17"/>
  <c r="BS32" i="17"/>
  <c r="BT37" i="17"/>
  <c r="BS52" i="17"/>
  <c r="BT49" i="17"/>
  <c r="BU29" i="17"/>
  <c r="BT53" i="17"/>
  <c r="BU9" i="17"/>
  <c r="BS31" i="17"/>
  <c r="BS61" i="17"/>
  <c r="BT16" i="17"/>
  <c r="BU37" i="17"/>
  <c r="BT62" i="17"/>
  <c r="BT56" i="17"/>
  <c r="BT28" i="17"/>
  <c r="BS47" i="17"/>
  <c r="BT66" i="17"/>
  <c r="BS9" i="17"/>
  <c r="BT30" i="17"/>
  <c r="BU57" i="17"/>
  <c r="BT13" i="17"/>
  <c r="BT29" i="17"/>
  <c r="BT8" i="17"/>
  <c r="BT68" i="17"/>
  <c r="BU33" i="17"/>
  <c r="BU58" i="17"/>
  <c r="BT67" i="17"/>
  <c r="BU53" i="17"/>
  <c r="BS60" i="17"/>
  <c r="BT40" i="17"/>
  <c r="BU45" i="17"/>
  <c r="BS10" i="17"/>
  <c r="BT15" i="17"/>
  <c r="BU20" i="17"/>
  <c r="BS26" i="17"/>
  <c r="BT31" i="17"/>
  <c r="BU36" i="17"/>
  <c r="BS65" i="17"/>
  <c r="BT51" i="17"/>
  <c r="BS57" i="17"/>
  <c r="BS63" i="17"/>
  <c r="BT43" i="17"/>
  <c r="BU48" i="17"/>
  <c r="BS13" i="17"/>
  <c r="BT18" i="17"/>
  <c r="BU23" i="17"/>
  <c r="BS29" i="17"/>
  <c r="BT34" i="17"/>
  <c r="BU39" i="17"/>
  <c r="BT50" i="17"/>
  <c r="BU55" i="17"/>
  <c r="BS62" i="17"/>
  <c r="BT42" i="17"/>
  <c r="BU47" i="17"/>
  <c r="BS12" i="17"/>
  <c r="BT17" i="17"/>
  <c r="BU22" i="17"/>
  <c r="BS28" i="17"/>
  <c r="BT33" i="17"/>
  <c r="BU38" i="17"/>
  <c r="BS58" i="17"/>
  <c r="BU13" i="17"/>
  <c r="BS35" i="17"/>
  <c r="BU59" i="17"/>
  <c r="BS15" i="17"/>
  <c r="BT36" i="17"/>
  <c r="BT41" i="17"/>
  <c r="BU21" i="17"/>
  <c r="BS56" i="17"/>
  <c r="BS48" i="17"/>
  <c r="BS55" i="17"/>
  <c r="BU41" i="17"/>
  <c r="BU16" i="17"/>
  <c r="BT27" i="17"/>
  <c r="BS38" i="17"/>
  <c r="BU52" i="17"/>
  <c r="BT64" i="17"/>
  <c r="BU19" i="17"/>
  <c r="BU35" i="17"/>
  <c r="BU51" i="17"/>
  <c r="BU43" i="17"/>
  <c r="BU18" i="17"/>
  <c r="BU34" i="17"/>
  <c r="BS19" i="17"/>
  <c r="BT20" i="17"/>
  <c r="BS27" i="17"/>
  <c r="BS39" i="17"/>
  <c r="BU50" i="17"/>
  <c r="BV21" i="17"/>
  <c r="BW8" i="17"/>
  <c r="BX58" i="17"/>
  <c r="BW64" i="17"/>
  <c r="BX42" i="17"/>
  <c r="BV48" i="17"/>
  <c r="BW53" i="17"/>
  <c r="BX28" i="17"/>
  <c r="BV34" i="17"/>
  <c r="BW39" i="17"/>
  <c r="BX12" i="17"/>
  <c r="BV18" i="17"/>
  <c r="BW23" i="17"/>
  <c r="BW59" i="17"/>
  <c r="BX64" i="17"/>
  <c r="BV43" i="17"/>
  <c r="BW48" i="17"/>
  <c r="BX53" i="17"/>
  <c r="BX68" i="17"/>
  <c r="BW62" i="17"/>
  <c r="BX67" i="17"/>
  <c r="BV46" i="17"/>
  <c r="BW51" i="17"/>
  <c r="BX56" i="17"/>
  <c r="BV32" i="17"/>
  <c r="BW37" i="17"/>
  <c r="BX10" i="17"/>
  <c r="BW61" i="17"/>
  <c r="BX55" i="17"/>
  <c r="BX37" i="17"/>
  <c r="BV16" i="17"/>
  <c r="BV23" i="17"/>
  <c r="BV57" i="17"/>
  <c r="BX51" i="17"/>
  <c r="BX35" i="17"/>
  <c r="BW14" i="17"/>
  <c r="BX21" i="17"/>
  <c r="BW58" i="17"/>
  <c r="BV53" i="17"/>
  <c r="BW36" i="17"/>
  <c r="BV15" i="17"/>
  <c r="BW22" i="17"/>
  <c r="BV60" i="17"/>
  <c r="BX22" i="17"/>
  <c r="BW17" i="17"/>
  <c r="BW10" i="17"/>
  <c r="BW34" i="17"/>
  <c r="BW57" i="17"/>
  <c r="BW41" i="17"/>
  <c r="BV52" i="17"/>
  <c r="BV38" i="17"/>
  <c r="BV22" i="17"/>
  <c r="BW63" i="17"/>
  <c r="BW52" i="17"/>
  <c r="BV61" i="17"/>
  <c r="BV50" i="17"/>
  <c r="BV36" i="17"/>
  <c r="BW50" i="17"/>
  <c r="BX13" i="17"/>
  <c r="BW46" i="17"/>
  <c r="BX11" i="17"/>
  <c r="BX47" i="17"/>
  <c r="BW20" i="17"/>
  <c r="BX39" i="17"/>
  <c r="BV59" i="17"/>
  <c r="BW60" i="17"/>
  <c r="BX65" i="17"/>
  <c r="BV44" i="17"/>
  <c r="BW49" i="17"/>
  <c r="BX54" i="17"/>
  <c r="BV30" i="17"/>
  <c r="BW35" i="17"/>
  <c r="BX40" i="17"/>
  <c r="BV14" i="17"/>
  <c r="BW19" i="17"/>
  <c r="BX24" i="17"/>
  <c r="BX60" i="17"/>
  <c r="BV66" i="17"/>
  <c r="BW44" i="17"/>
  <c r="BX49" i="17"/>
  <c r="BV55" i="17"/>
  <c r="BV58" i="17"/>
  <c r="BX63" i="17"/>
  <c r="BV42" i="17"/>
  <c r="BW47" i="17"/>
  <c r="BX52" i="17"/>
  <c r="BV28" i="17"/>
  <c r="BW33" i="17"/>
  <c r="BX38" i="17"/>
  <c r="BV12" i="17"/>
  <c r="BX66" i="17"/>
  <c r="BX29" i="17"/>
  <c r="BW40" i="17"/>
  <c r="BX17" i="17"/>
  <c r="BV25" i="17"/>
  <c r="BX62" i="17"/>
  <c r="BV27" i="17"/>
  <c r="BW38" i="17"/>
  <c r="BW16" i="17"/>
  <c r="BX23" i="17"/>
  <c r="BV64" i="17"/>
  <c r="BW28" i="17"/>
  <c r="BV39" i="17"/>
  <c r="BV17" i="17"/>
  <c r="BV24" i="17"/>
  <c r="BW54" i="17"/>
  <c r="BW65" i="17"/>
  <c r="BW24" i="17"/>
  <c r="BV19" i="17"/>
  <c r="BV13" i="17"/>
  <c r="BX46" i="17"/>
  <c r="BX32" i="17"/>
  <c r="BX16" i="17"/>
  <c r="BX57" i="17"/>
  <c r="BV47" i="17"/>
  <c r="BX27" i="17"/>
  <c r="BX44" i="17"/>
  <c r="BX30" i="17"/>
  <c r="BW9" i="17"/>
  <c r="BV35" i="17"/>
  <c r="BW21" i="17"/>
  <c r="BV33" i="17"/>
  <c r="BV20" i="17"/>
  <c r="BX33" i="17"/>
  <c r="BX8" i="17"/>
  <c r="BX31" i="17"/>
  <c r="BV49" i="17"/>
  <c r="BV68" i="17"/>
  <c r="BX61" i="17"/>
  <c r="BV67" i="17"/>
  <c r="BW45" i="17"/>
  <c r="BX50" i="17"/>
  <c r="BV56" i="17"/>
  <c r="BW31" i="17"/>
  <c r="BX36" i="17"/>
  <c r="BV10" i="17"/>
  <c r="BW15" i="17"/>
  <c r="BX20" i="17"/>
  <c r="BW68" i="17"/>
  <c r="BV62" i="17"/>
  <c r="BW67" i="17"/>
  <c r="BX45" i="17"/>
  <c r="BV51" i="17"/>
  <c r="BW56" i="17"/>
  <c r="BX59" i="17"/>
  <c r="BV65" i="17"/>
  <c r="BW43" i="17"/>
  <c r="BX48" i="17"/>
  <c r="BV54" i="17"/>
  <c r="BW29" i="17"/>
  <c r="BX34" i="17"/>
  <c r="BV40" i="17"/>
  <c r="BW13" i="17"/>
  <c r="BV45" i="17"/>
  <c r="BW32" i="17"/>
  <c r="BV11" i="17"/>
  <c r="BX19" i="17"/>
  <c r="BW26" i="17"/>
  <c r="BV41" i="17"/>
  <c r="BW30" i="17"/>
  <c r="BV9" i="17"/>
  <c r="BW18" i="17"/>
  <c r="BW25" i="17"/>
  <c r="BW42" i="17"/>
  <c r="BV31" i="17"/>
  <c r="BX9" i="17"/>
  <c r="BX18" i="17"/>
  <c r="BX25" i="17"/>
  <c r="BV37" i="17"/>
  <c r="BV29" i="17"/>
  <c r="BX43" i="17"/>
  <c r="BV26" i="17"/>
  <c r="BV63" i="17"/>
  <c r="BW27" i="17"/>
  <c r="BW11" i="17"/>
  <c r="BX41" i="17"/>
  <c r="BW66" i="17"/>
  <c r="BW55" i="17"/>
  <c r="BX14" i="17"/>
  <c r="BV8" i="17"/>
  <c r="BX26" i="17"/>
  <c r="BW12" i="17"/>
  <c r="BX15" i="17"/>
  <c r="BY33" i="17"/>
  <c r="CA34" i="17"/>
  <c r="BY31" i="17"/>
  <c r="CA57" i="17"/>
  <c r="BZ63" i="17"/>
  <c r="BZ50" i="17"/>
  <c r="BZ35" i="17"/>
  <c r="BZ46" i="17"/>
  <c r="BZ22" i="17"/>
  <c r="CA53" i="17"/>
  <c r="BZ68" i="17"/>
  <c r="BZ9" i="17"/>
  <c r="CA14" i="17"/>
  <c r="BY20" i="17"/>
  <c r="BZ25" i="17"/>
  <c r="CA30" i="17"/>
  <c r="BY36" i="17"/>
  <c r="BZ41" i="17"/>
  <c r="CA46" i="17"/>
  <c r="BY52" i="17"/>
  <c r="BZ57" i="17"/>
  <c r="BY11" i="17"/>
  <c r="BZ16" i="17"/>
  <c r="CA21" i="17"/>
  <c r="BY27" i="17"/>
  <c r="BZ32" i="17"/>
  <c r="BZ48" i="17"/>
  <c r="BY59" i="17"/>
  <c r="CA36" i="17"/>
  <c r="CA64" i="17"/>
  <c r="BY53" i="17"/>
  <c r="BY38" i="17"/>
  <c r="BZ14" i="17"/>
  <c r="CA43" i="17"/>
  <c r="CA10" i="17"/>
  <c r="BY16" i="17"/>
  <c r="BZ21" i="17"/>
  <c r="CA26" i="17"/>
  <c r="BY32" i="17"/>
  <c r="BZ37" i="17"/>
  <c r="CA42" i="17"/>
  <c r="BY48" i="17"/>
  <c r="BZ53" i="17"/>
  <c r="CA58" i="17"/>
  <c r="BZ12" i="17"/>
  <c r="CA17" i="17"/>
  <c r="BY23" i="17"/>
  <c r="BZ28" i="17"/>
  <c r="CA33" i="17"/>
  <c r="BY39" i="17"/>
  <c r="BZ44" i="17"/>
  <c r="CA49" i="17"/>
  <c r="BY55" i="17"/>
  <c r="BZ60" i="17"/>
  <c r="BY18" i="17"/>
  <c r="CA28" i="17"/>
  <c r="BZ39" i="17"/>
  <c r="BY50" i="17"/>
  <c r="CA60" i="17"/>
  <c r="BY66" i="17"/>
  <c r="BY13" i="17"/>
  <c r="CA23" i="17"/>
  <c r="BZ34" i="17"/>
  <c r="BY45" i="17"/>
  <c r="CA55" i="17"/>
  <c r="CA63" i="17"/>
  <c r="CA8" i="17"/>
  <c r="BZ19" i="17"/>
  <c r="BY30" i="17"/>
  <c r="CA40" i="17"/>
  <c r="BZ51" i="17"/>
  <c r="BZ61" i="17"/>
  <c r="CA66" i="17"/>
  <c r="BY25" i="17"/>
  <c r="BZ64" i="17"/>
  <c r="BZ38" i="17"/>
  <c r="BY9" i="17"/>
  <c r="CA51" i="17"/>
  <c r="CA11" i="17"/>
  <c r="CA18" i="17"/>
  <c r="BZ29" i="17"/>
  <c r="BY40" i="17"/>
  <c r="BY56" i="17"/>
  <c r="BY15" i="17"/>
  <c r="BZ20" i="17"/>
  <c r="BZ36" i="17"/>
  <c r="BY47" i="17"/>
  <c r="CA12" i="17"/>
  <c r="BY34" i="17"/>
  <c r="BZ55" i="17"/>
  <c r="BZ18" i="17"/>
  <c r="CA39" i="17"/>
  <c r="BZ66" i="17"/>
  <c r="BY14" i="17"/>
  <c r="BY46" i="17"/>
  <c r="BY64" i="17"/>
  <c r="BY17" i="17"/>
  <c r="BZ30" i="17"/>
  <c r="BY43" i="17"/>
  <c r="BZ15" i="17"/>
  <c r="BY58" i="17"/>
  <c r="BY21" i="17"/>
  <c r="BZ42" i="17"/>
  <c r="CA67" i="17"/>
  <c r="BZ27" i="17"/>
  <c r="BZ59" i="17"/>
  <c r="BY57" i="17"/>
  <c r="CA65" i="17"/>
  <c r="BY63" i="17"/>
  <c r="BY12" i="17"/>
  <c r="BZ17" i="17"/>
  <c r="CA22" i="17"/>
  <c r="BY28" i="17"/>
  <c r="BZ33" i="17"/>
  <c r="CA38" i="17"/>
  <c r="BY44" i="17"/>
  <c r="BZ49" i="17"/>
  <c r="CA54" i="17"/>
  <c r="BY60" i="17"/>
  <c r="CA13" i="17"/>
  <c r="BY19" i="17"/>
  <c r="BZ24" i="17"/>
  <c r="CA29" i="17"/>
  <c r="BY35" i="17"/>
  <c r="BZ40" i="17"/>
  <c r="CA45" i="17"/>
  <c r="BY51" i="17"/>
  <c r="BZ56" i="17"/>
  <c r="BY10" i="17"/>
  <c r="CA20" i="17"/>
  <c r="BZ31" i="17"/>
  <c r="BY42" i="17"/>
  <c r="CA52" i="17"/>
  <c r="BY62" i="17"/>
  <c r="BZ67" i="17"/>
  <c r="CA15" i="17"/>
  <c r="BZ26" i="17"/>
  <c r="BY37" i="17"/>
  <c r="CA47" i="17"/>
  <c r="BZ58" i="17"/>
  <c r="BY65" i="17"/>
  <c r="BZ11" i="17"/>
  <c r="BY22" i="17"/>
  <c r="CA32" i="17"/>
  <c r="BZ43" i="17"/>
  <c r="BY54" i="17"/>
  <c r="CA62" i="17"/>
  <c r="BY68" i="17"/>
  <c r="CA35" i="17"/>
  <c r="BY8" i="17"/>
  <c r="BY49" i="17"/>
  <c r="CA19" i="17"/>
  <c r="CA61" i="17"/>
  <c r="BZ54" i="17"/>
  <c r="BZ13" i="17"/>
  <c r="BY24" i="17"/>
  <c r="BZ45" i="17"/>
  <c r="CA50" i="17"/>
  <c r="CA9" i="17"/>
  <c r="CA25" i="17"/>
  <c r="CA41" i="17"/>
  <c r="BZ52" i="17"/>
  <c r="BZ23" i="17"/>
  <c r="CA44" i="17"/>
  <c r="CA68" i="17"/>
  <c r="BY29" i="17"/>
  <c r="BY61" i="17"/>
  <c r="CA24" i="17"/>
  <c r="CA56" i="17"/>
  <c r="BZ8" i="17"/>
  <c r="CA59" i="17"/>
  <c r="BY67" i="17"/>
  <c r="CA37" i="17"/>
  <c r="BY26" i="17"/>
  <c r="BZ47" i="17"/>
  <c r="BZ10" i="17"/>
  <c r="CA31" i="17"/>
  <c r="BZ62" i="17"/>
  <c r="CA16" i="17"/>
  <c r="CA48" i="17"/>
  <c r="BZ65" i="17"/>
  <c r="CA27" i="17"/>
  <c r="BY41" i="17"/>
  <c r="CB65" i="17"/>
  <c r="CC52" i="17"/>
  <c r="CD57" i="17"/>
  <c r="CB43" i="17"/>
  <c r="CC48" i="17"/>
  <c r="CD35" i="17"/>
  <c r="CB9" i="17"/>
  <c r="CC14" i="17"/>
  <c r="CD19" i="17"/>
  <c r="CB25" i="17"/>
  <c r="CC30" i="17"/>
  <c r="CD62" i="17"/>
  <c r="CB68" i="17"/>
  <c r="CC55" i="17"/>
  <c r="CD60" i="17"/>
  <c r="CB46" i="17"/>
  <c r="CC33" i="17"/>
  <c r="CD38" i="17"/>
  <c r="CB12" i="17"/>
  <c r="CC17" i="17"/>
  <c r="CD22" i="17"/>
  <c r="CB28" i="17"/>
  <c r="CC8" i="17"/>
  <c r="CD51" i="17"/>
  <c r="CC42" i="17"/>
  <c r="CB35" i="17"/>
  <c r="CD13" i="17"/>
  <c r="CC24" i="17"/>
  <c r="CB62" i="17"/>
  <c r="CD54" i="17"/>
  <c r="CC45" i="17"/>
  <c r="CB38" i="17"/>
  <c r="CD16" i="17"/>
  <c r="CC27" i="17"/>
  <c r="CD65" i="17"/>
  <c r="CC58" i="17"/>
  <c r="CB49" i="17"/>
  <c r="CD9" i="17"/>
  <c r="CC20" i="17"/>
  <c r="CB31" i="17"/>
  <c r="CD46" i="17"/>
  <c r="CB66" i="17"/>
  <c r="CD20" i="17"/>
  <c r="CB34" i="17"/>
  <c r="CB26" i="17"/>
  <c r="CD67" i="17"/>
  <c r="CD45" i="17"/>
  <c r="CC38" i="17"/>
  <c r="CC22" i="17"/>
  <c r="CD52" i="17"/>
  <c r="CC43" i="17"/>
  <c r="CC9" i="17"/>
  <c r="CB20" i="17"/>
  <c r="CC64" i="17"/>
  <c r="CC40" i="17"/>
  <c r="CC67" i="17"/>
  <c r="CC11" i="17"/>
  <c r="CB22" i="17"/>
  <c r="CD43" i="17"/>
  <c r="CD25" i="17"/>
  <c r="CB18" i="17"/>
  <c r="CC23" i="17"/>
  <c r="CB61" i="17"/>
  <c r="CC66" i="17"/>
  <c r="CD53" i="17"/>
  <c r="CB59" i="17"/>
  <c r="CC44" i="17"/>
  <c r="CD49" i="17"/>
  <c r="CB37" i="17"/>
  <c r="CC10" i="17"/>
  <c r="CD15" i="17"/>
  <c r="CB21" i="17"/>
  <c r="CC26" i="17"/>
  <c r="CD31" i="17"/>
  <c r="CB64" i="17"/>
  <c r="CC51" i="17"/>
  <c r="CD56" i="17"/>
  <c r="CB42" i="17"/>
  <c r="CC47" i="17"/>
  <c r="CD34" i="17"/>
  <c r="CB40" i="17"/>
  <c r="CC13" i="17"/>
  <c r="CD18" i="17"/>
  <c r="CB24" i="17"/>
  <c r="CC29" i="17"/>
  <c r="CD61" i="17"/>
  <c r="CC54" i="17"/>
  <c r="CB45" i="17"/>
  <c r="CD37" i="17"/>
  <c r="CC16" i="17"/>
  <c r="CB27" i="17"/>
  <c r="CD64" i="17"/>
  <c r="CC57" i="17"/>
  <c r="CB48" i="17"/>
  <c r="CD40" i="17"/>
  <c r="CC19" i="17"/>
  <c r="CB30" i="17"/>
  <c r="CC68" i="17"/>
  <c r="CB41" i="17"/>
  <c r="CD33" i="17"/>
  <c r="CC12" i="17"/>
  <c r="CB23" i="17"/>
  <c r="CB8" i="17"/>
  <c r="CC39" i="17"/>
  <c r="CD58" i="17"/>
  <c r="CC31" i="17"/>
  <c r="CD12" i="17"/>
  <c r="CB44" i="17"/>
  <c r="CC15" i="17"/>
  <c r="CB55" i="17"/>
  <c r="CB33" i="17"/>
  <c r="CB17" i="17"/>
  <c r="CC65" i="17"/>
  <c r="CD48" i="17"/>
  <c r="CD14" i="17"/>
  <c r="CD30" i="17"/>
  <c r="CD47" i="17"/>
  <c r="CD29" i="17"/>
  <c r="CD50" i="17"/>
  <c r="CD32" i="17"/>
  <c r="CC36" i="17"/>
  <c r="CC63" i="17"/>
  <c r="CD68" i="17"/>
  <c r="CD63" i="17"/>
  <c r="CB51" i="17"/>
  <c r="CC56" i="17"/>
  <c r="CD41" i="17"/>
  <c r="CB47" i="17"/>
  <c r="CC34" i="17"/>
  <c r="CD39" i="17"/>
  <c r="CB13" i="17"/>
  <c r="CC18" i="17"/>
  <c r="CD23" i="17"/>
  <c r="CB29" i="17"/>
  <c r="CC61" i="17"/>
  <c r="CD66" i="17"/>
  <c r="CB54" i="17"/>
  <c r="CC59" i="17"/>
  <c r="CD44" i="17"/>
  <c r="CB50" i="17"/>
  <c r="CC37" i="17"/>
  <c r="CD10" i="17"/>
  <c r="CB16" i="17"/>
  <c r="CC21" i="17"/>
  <c r="CD26" i="17"/>
  <c r="CB32" i="17"/>
  <c r="CB67" i="17"/>
  <c r="CD59" i="17"/>
  <c r="CC50" i="17"/>
  <c r="CB11" i="17"/>
  <c r="CD21" i="17"/>
  <c r="CC32" i="17"/>
  <c r="CB52" i="17"/>
  <c r="CD42" i="17"/>
  <c r="CC35" i="17"/>
  <c r="CB14" i="17"/>
  <c r="CD24" i="17"/>
  <c r="CB63" i="17"/>
  <c r="CD55" i="17"/>
  <c r="CC46" i="17"/>
  <c r="CB39" i="17"/>
  <c r="CD17" i="17"/>
  <c r="CC28" i="17"/>
  <c r="CB56" i="17"/>
  <c r="CD28" i="17"/>
  <c r="CB10" i="17"/>
  <c r="CC41" i="17"/>
  <c r="CC53" i="17"/>
  <c r="CC62" i="17"/>
  <c r="CC60" i="17"/>
  <c r="CD11" i="17"/>
  <c r="CD27" i="17"/>
  <c r="CD8" i="17"/>
  <c r="CB58" i="17"/>
  <c r="CB36" i="17"/>
  <c r="CC25" i="17"/>
  <c r="CB57" i="17"/>
  <c r="CB19" i="17"/>
  <c r="CB60" i="17"/>
  <c r="CB53" i="17"/>
  <c r="CB15" i="17"/>
  <c r="CC49" i="17"/>
  <c r="CD36" i="17"/>
  <c r="AG21" i="19"/>
  <c r="BA10" i="19"/>
  <c r="AG114" i="19"/>
  <c r="AG81" i="19"/>
  <c r="FX8" i="20"/>
  <c r="FT8" i="20"/>
  <c r="FW8" i="20"/>
  <c r="FS8" i="20"/>
  <c r="FY8" i="20"/>
  <c r="FU8" i="20"/>
  <c r="FV8" i="20"/>
  <c r="FZ8" i="20"/>
  <c r="EW8" i="20"/>
  <c r="FE8" i="20"/>
  <c r="FG8" i="20"/>
  <c r="FJ8" i="20"/>
  <c r="FF8" i="20"/>
  <c r="FD8" i="20"/>
  <c r="FI8" i="20"/>
  <c r="FC8" i="20"/>
  <c r="FH8" i="20"/>
  <c r="FM8" i="20"/>
  <c r="FO8" i="20"/>
  <c r="FR8" i="20"/>
  <c r="FN8" i="20"/>
  <c r="FQ8" i="20"/>
  <c r="FP8" i="20"/>
  <c r="FL8" i="20"/>
  <c r="FK8" i="20"/>
  <c r="EY8" i="20"/>
  <c r="EU8" i="20"/>
  <c r="FB8" i="20"/>
  <c r="EX8" i="20"/>
  <c r="FA8" i="20"/>
  <c r="EZ8" i="20"/>
  <c r="EV8" i="20"/>
  <c r="EK8" i="20"/>
  <c r="EG8" i="20"/>
  <c r="EJ8" i="20"/>
  <c r="EF8" i="20"/>
  <c r="EI8" i="20"/>
  <c r="EE8" i="20"/>
  <c r="EL8" i="20"/>
  <c r="EH8" i="20"/>
  <c r="ET8" i="20"/>
  <c r="EP8" i="20"/>
  <c r="EQ8" i="20"/>
  <c r="EO8" i="20"/>
  <c r="ES8" i="20"/>
  <c r="EN8" i="20"/>
  <c r="ER8" i="20"/>
  <c r="EM8" i="20"/>
  <c r="AG18" i="19"/>
  <c r="AG112" i="19"/>
  <c r="AM12" i="19"/>
  <c r="BG9" i="19"/>
  <c r="AG57" i="19"/>
  <c r="AG47" i="19"/>
  <c r="AG49" i="19"/>
  <c r="AG50" i="19"/>
  <c r="AG85" i="19"/>
  <c r="AG100" i="19"/>
  <c r="AG120" i="19"/>
  <c r="AG26" i="19"/>
  <c r="AG44" i="19"/>
  <c r="AG70" i="19"/>
  <c r="AG58" i="19"/>
  <c r="AG89" i="19"/>
  <c r="AG108" i="19"/>
  <c r="AG125" i="19"/>
  <c r="AG12" i="19"/>
  <c r="AG29" i="19"/>
  <c r="BA9" i="19"/>
  <c r="AG37" i="19"/>
  <c r="AG97" i="19"/>
  <c r="AG76" i="19"/>
  <c r="AG34" i="19"/>
  <c r="AG96" i="19"/>
  <c r="AG73" i="19"/>
  <c r="DI8" i="19"/>
  <c r="AG106" i="19"/>
  <c r="AG40" i="19"/>
  <c r="AG28" i="19"/>
  <c r="AG16" i="19"/>
  <c r="AG64" i="19"/>
  <c r="AG118" i="19"/>
  <c r="AG48" i="19"/>
  <c r="AG91" i="19"/>
  <c r="AG60" i="19"/>
  <c r="AG46" i="19"/>
  <c r="AM118" i="19"/>
  <c r="AM106" i="19"/>
  <c r="AM29" i="19"/>
  <c r="BG8" i="19"/>
  <c r="AG55" i="19"/>
  <c r="AG72" i="19"/>
  <c r="AG78" i="19"/>
  <c r="AG65" i="19"/>
  <c r="AG62" i="19"/>
  <c r="AG87" i="19"/>
  <c r="AG95" i="19"/>
  <c r="AG101" i="19"/>
  <c r="AG109" i="19"/>
  <c r="AG117" i="19"/>
  <c r="AG124" i="19"/>
  <c r="AG107" i="19"/>
  <c r="AG10" i="19"/>
  <c r="AG17" i="19"/>
  <c r="AG24" i="19"/>
  <c r="AG32" i="19"/>
  <c r="AG38" i="19"/>
  <c r="EC8" i="19"/>
  <c r="CO8" i="19"/>
  <c r="EB8" i="19"/>
  <c r="BU8" i="19"/>
  <c r="BT8" i="19"/>
  <c r="AG8" i="19"/>
  <c r="AG42" i="19"/>
  <c r="AG33" i="19"/>
  <c r="AG22" i="19"/>
  <c r="AG13" i="19"/>
  <c r="AG122" i="19"/>
  <c r="AG113" i="19"/>
  <c r="AG103" i="19"/>
  <c r="AG92" i="19"/>
  <c r="AG84" i="19"/>
  <c r="AG52" i="19"/>
  <c r="AG77" i="19"/>
  <c r="AG61" i="19"/>
  <c r="AG45" i="19"/>
  <c r="AM120" i="19"/>
  <c r="AM28" i="19"/>
  <c r="AM45" i="19"/>
  <c r="AM84" i="19"/>
  <c r="AM69" i="19"/>
  <c r="AM86" i="19"/>
  <c r="AM122" i="19"/>
  <c r="AM13" i="19"/>
  <c r="AM8" i="19"/>
  <c r="AG51" i="19"/>
  <c r="AG59" i="19"/>
  <c r="AG71" i="19"/>
  <c r="AG75" i="19"/>
  <c r="AG79" i="19"/>
  <c r="AG54" i="19"/>
  <c r="AG67" i="19"/>
  <c r="AG69" i="19"/>
  <c r="AG82" i="19"/>
  <c r="AG86" i="19"/>
  <c r="AG90" i="19"/>
  <c r="AG94" i="19"/>
  <c r="AG98" i="19"/>
  <c r="AG102" i="19"/>
  <c r="AG105" i="19"/>
  <c r="AG111" i="19"/>
  <c r="AG115" i="19"/>
  <c r="AG119" i="19"/>
  <c r="AG123" i="19"/>
  <c r="AG127" i="19"/>
  <c r="AG11" i="19"/>
  <c r="AG15" i="19"/>
  <c r="AG19" i="19"/>
  <c r="AG23" i="19"/>
  <c r="AG27" i="19"/>
  <c r="AG31" i="19"/>
  <c r="AG35" i="19"/>
  <c r="AG39" i="19"/>
  <c r="AG43" i="19"/>
  <c r="AZ10" i="19"/>
  <c r="BA11" i="19"/>
  <c r="BA8" i="19"/>
  <c r="AG41" i="19"/>
  <c r="AG36" i="19"/>
  <c r="AG30" i="19"/>
  <c r="AG25" i="19"/>
  <c r="AG20" i="19"/>
  <c r="AG14" i="19"/>
  <c r="AG9" i="19"/>
  <c r="AG126" i="19"/>
  <c r="AG121" i="19"/>
  <c r="AG116" i="19"/>
  <c r="AG110" i="19"/>
  <c r="AG104" i="19"/>
  <c r="AG99" i="19"/>
  <c r="AG93" i="19"/>
  <c r="AG88" i="19"/>
  <c r="AG83" i="19"/>
  <c r="AG56" i="19"/>
  <c r="AG63" i="19"/>
  <c r="AG80" i="19"/>
  <c r="AG74" i="19"/>
  <c r="AG68" i="19"/>
  <c r="AG53" i="19"/>
  <c r="AM44" i="19"/>
  <c r="AM79" i="19"/>
  <c r="AF59" i="19"/>
  <c r="DN8" i="20"/>
  <c r="DL8" i="20"/>
  <c r="DM8" i="20"/>
  <c r="AF121" i="19"/>
  <c r="AF64" i="19"/>
  <c r="DV8" i="20"/>
  <c r="DR8" i="20"/>
  <c r="DU8" i="20"/>
  <c r="DQ8" i="20"/>
  <c r="DS8" i="20"/>
  <c r="DT8" i="20"/>
  <c r="DP8" i="20"/>
  <c r="DO8" i="20"/>
  <c r="AF9" i="19"/>
  <c r="AF104" i="19"/>
  <c r="EC8" i="20"/>
  <c r="DY8" i="20"/>
  <c r="EB8" i="20"/>
  <c r="DX8" i="20"/>
  <c r="EA8" i="20"/>
  <c r="DW8" i="20"/>
  <c r="DZ8" i="20"/>
  <c r="ED8" i="20"/>
  <c r="AZ9" i="19"/>
  <c r="AF16" i="19"/>
  <c r="AF93" i="19"/>
  <c r="AF38" i="19"/>
  <c r="AF116" i="19"/>
  <c r="AF88" i="19"/>
  <c r="AF56" i="19"/>
  <c r="AF23" i="19"/>
  <c r="AF12" i="19"/>
  <c r="AF71" i="19"/>
  <c r="CZ159" i="20"/>
  <c r="DF8" i="20"/>
  <c r="DA159" i="20"/>
  <c r="DE159" i="20"/>
  <c r="DB159" i="20"/>
  <c r="DF159" i="20"/>
  <c r="DA160" i="20"/>
  <c r="DC159" i="20"/>
  <c r="CY160" i="20"/>
  <c r="DD160" i="20"/>
  <c r="CY161" i="20"/>
  <c r="DC161" i="20"/>
  <c r="DB162" i="20"/>
  <c r="DF162" i="20"/>
  <c r="DA163" i="20"/>
  <c r="DE163" i="20"/>
  <c r="CZ164" i="20"/>
  <c r="DD164" i="20"/>
  <c r="CY165" i="20"/>
  <c r="DC165" i="20"/>
  <c r="DB166" i="20"/>
  <c r="DF166" i="20"/>
  <c r="DA167" i="20"/>
  <c r="DE167" i="20"/>
  <c r="CY149" i="20"/>
  <c r="DC149" i="20"/>
  <c r="DB150" i="20"/>
  <c r="DF150" i="20"/>
  <c r="DA151" i="20"/>
  <c r="DE151" i="20"/>
  <c r="CZ152" i="20"/>
  <c r="DD152" i="20"/>
  <c r="CY153" i="20"/>
  <c r="DC153" i="20"/>
  <c r="DB154" i="20"/>
  <c r="DF154" i="20"/>
  <c r="DA155" i="20"/>
  <c r="DE155" i="20"/>
  <c r="CZ156" i="20"/>
  <c r="DD156" i="20"/>
  <c r="CY157" i="20"/>
  <c r="DC157" i="20"/>
  <c r="DB158" i="20"/>
  <c r="DF158" i="20"/>
  <c r="DD159" i="20"/>
  <c r="CZ160" i="20"/>
  <c r="DE160" i="20"/>
  <c r="CZ161" i="20"/>
  <c r="DD161" i="20"/>
  <c r="CY162" i="20"/>
  <c r="DC162" i="20"/>
  <c r="DB163" i="20"/>
  <c r="DF163" i="20"/>
  <c r="DA164" i="20"/>
  <c r="DE164" i="20"/>
  <c r="CZ165" i="20"/>
  <c r="DD165" i="20"/>
  <c r="CY166" i="20"/>
  <c r="DC166" i="20"/>
  <c r="DB167" i="20"/>
  <c r="DF167" i="20"/>
  <c r="CZ149" i="20"/>
  <c r="DD149" i="20"/>
  <c r="CY150" i="20"/>
  <c r="DC150" i="20"/>
  <c r="DB151" i="20"/>
  <c r="DF151" i="20"/>
  <c r="DA152" i="20"/>
  <c r="DE152" i="20"/>
  <c r="CZ153" i="20"/>
  <c r="DD153" i="20"/>
  <c r="CY154" i="20"/>
  <c r="DC154" i="20"/>
  <c r="DB155" i="20"/>
  <c r="DF155" i="20"/>
  <c r="DA156" i="20"/>
  <c r="DE156" i="20"/>
  <c r="CZ157" i="20"/>
  <c r="DD157" i="20"/>
  <c r="CY158" i="20"/>
  <c r="DC158" i="20"/>
  <c r="DB160" i="20"/>
  <c r="DF160" i="20"/>
  <c r="DA161" i="20"/>
  <c r="DE161" i="20"/>
  <c r="CZ162" i="20"/>
  <c r="DD162" i="20"/>
  <c r="CY163" i="20"/>
  <c r="DC163" i="20"/>
  <c r="DB164" i="20"/>
  <c r="DF164" i="20"/>
  <c r="DA165" i="20"/>
  <c r="DE165" i="20"/>
  <c r="CZ166" i="20"/>
  <c r="DD166" i="20"/>
  <c r="CY167" i="20"/>
  <c r="DC167" i="20"/>
  <c r="DA149" i="20"/>
  <c r="DE149" i="20"/>
  <c r="CZ150" i="20"/>
  <c r="DD150" i="20"/>
  <c r="CY151" i="20"/>
  <c r="DC151" i="20"/>
  <c r="DB152" i="20"/>
  <c r="DF152" i="20"/>
  <c r="DA153" i="20"/>
  <c r="DE153" i="20"/>
  <c r="CZ154" i="20"/>
  <c r="DD154" i="20"/>
  <c r="CY155" i="20"/>
  <c r="DC155" i="20"/>
  <c r="DB156" i="20"/>
  <c r="DF156" i="20"/>
  <c r="DA157" i="20"/>
  <c r="DE157" i="20"/>
  <c r="CZ158" i="20"/>
  <c r="DD158" i="20"/>
  <c r="CY159" i="20"/>
  <c r="DC160" i="20"/>
  <c r="DD163" i="20"/>
  <c r="CY164" i="20"/>
  <c r="DE166" i="20"/>
  <c r="CZ167" i="20"/>
  <c r="DF149" i="20"/>
  <c r="DA150" i="20"/>
  <c r="DB153" i="20"/>
  <c r="DC156" i="20"/>
  <c r="DB161" i="20"/>
  <c r="DC164" i="20"/>
  <c r="DD167" i="20"/>
  <c r="DE150" i="20"/>
  <c r="CZ151" i="20"/>
  <c r="DF153" i="20"/>
  <c r="DA154" i="20"/>
  <c r="DB157" i="20"/>
  <c r="DF161" i="20"/>
  <c r="DA162" i="20"/>
  <c r="DB165" i="20"/>
  <c r="DD151" i="20"/>
  <c r="CY152" i="20"/>
  <c r="DE154" i="20"/>
  <c r="CZ155" i="20"/>
  <c r="DF157" i="20"/>
  <c r="DA158" i="20"/>
  <c r="DE162" i="20"/>
  <c r="CZ163" i="20"/>
  <c r="DF165" i="20"/>
  <c r="DA166" i="20"/>
  <c r="DB149" i="20"/>
  <c r="DC152" i="20"/>
  <c r="DD155" i="20"/>
  <c r="CY156" i="20"/>
  <c r="DE158" i="20"/>
  <c r="DK8" i="20"/>
  <c r="DG8" i="20"/>
  <c r="DJ8" i="20"/>
  <c r="DI8" i="20"/>
  <c r="DH8" i="20"/>
  <c r="CY99" i="20"/>
  <c r="DC99" i="20"/>
  <c r="CY100" i="20"/>
  <c r="DC100" i="20"/>
  <c r="CY101" i="20"/>
  <c r="DC101" i="20"/>
  <c r="CY102" i="20"/>
  <c r="DC102" i="20"/>
  <c r="CY103" i="20"/>
  <c r="DC103" i="20"/>
  <c r="CY104" i="20"/>
  <c r="DC104" i="20"/>
  <c r="CY105" i="20"/>
  <c r="DC105" i="20"/>
  <c r="CY106" i="20"/>
  <c r="DC106" i="20"/>
  <c r="CY107" i="20"/>
  <c r="DC107" i="20"/>
  <c r="CY108" i="20"/>
  <c r="DC108" i="20"/>
  <c r="CY109" i="20"/>
  <c r="DC109" i="20"/>
  <c r="CY110" i="20"/>
  <c r="DC110" i="20"/>
  <c r="CY111" i="20"/>
  <c r="DC111" i="20"/>
  <c r="CY112" i="20"/>
  <c r="DC112" i="20"/>
  <c r="CY113" i="20"/>
  <c r="CZ99" i="20"/>
  <c r="DD99" i="20"/>
  <c r="CZ100" i="20"/>
  <c r="DD100" i="20"/>
  <c r="CZ101" i="20"/>
  <c r="DD101" i="20"/>
  <c r="CZ102" i="20"/>
  <c r="DD102" i="20"/>
  <c r="CZ103" i="20"/>
  <c r="DD103" i="20"/>
  <c r="CZ104" i="20"/>
  <c r="DD104" i="20"/>
  <c r="CZ105" i="20"/>
  <c r="DD105" i="20"/>
  <c r="CZ106" i="20"/>
  <c r="DD106" i="20"/>
  <c r="CZ107" i="20"/>
  <c r="DD107" i="20"/>
  <c r="CZ108" i="20"/>
  <c r="DD108" i="20"/>
  <c r="CZ109" i="20"/>
  <c r="DD109" i="20"/>
  <c r="CZ110" i="20"/>
  <c r="DD110" i="20"/>
  <c r="CZ111" i="20"/>
  <c r="DD111" i="20"/>
  <c r="CZ112" i="20"/>
  <c r="DD112" i="20"/>
  <c r="CZ113" i="20"/>
  <c r="DA99" i="20"/>
  <c r="DE99" i="20"/>
  <c r="DA100" i="20"/>
  <c r="DE100" i="20"/>
  <c r="DA101" i="20"/>
  <c r="DE101" i="20"/>
  <c r="DA102" i="20"/>
  <c r="DE102" i="20"/>
  <c r="DA103" i="20"/>
  <c r="DE103" i="20"/>
  <c r="DA104" i="20"/>
  <c r="DE104" i="20"/>
  <c r="DA105" i="20"/>
  <c r="DE105" i="20"/>
  <c r="DA106" i="20"/>
  <c r="DE106" i="20"/>
  <c r="DA107" i="20"/>
  <c r="DE107" i="20"/>
  <c r="DA108" i="20"/>
  <c r="DE108" i="20"/>
  <c r="DA109" i="20"/>
  <c r="DE109" i="20"/>
  <c r="DA110" i="20"/>
  <c r="DE110" i="20"/>
  <c r="DA111" i="20"/>
  <c r="DE111" i="20"/>
  <c r="DA112" i="20"/>
  <c r="DE112" i="20"/>
  <c r="DB99" i="20"/>
  <c r="DB100" i="20"/>
  <c r="DB101" i="20"/>
  <c r="DB102" i="20"/>
  <c r="DB103" i="20"/>
  <c r="DB104" i="20"/>
  <c r="DB105" i="20"/>
  <c r="DB106" i="20"/>
  <c r="DB107" i="20"/>
  <c r="DB108" i="20"/>
  <c r="DB109" i="20"/>
  <c r="DB110" i="20"/>
  <c r="DB111" i="20"/>
  <c r="DB112" i="20"/>
  <c r="DA113" i="20"/>
  <c r="DE113" i="20"/>
  <c r="DA114" i="20"/>
  <c r="DE114" i="20"/>
  <c r="DA115" i="20"/>
  <c r="DE115" i="20"/>
  <c r="DA116" i="20"/>
  <c r="DE116" i="20"/>
  <c r="DA117" i="20"/>
  <c r="DE117" i="20"/>
  <c r="DA118" i="20"/>
  <c r="DE118" i="20"/>
  <c r="DA119" i="20"/>
  <c r="DE119" i="20"/>
  <c r="DA120" i="20"/>
  <c r="DE120" i="20"/>
  <c r="DA121" i="20"/>
  <c r="DE121" i="20"/>
  <c r="DA122" i="20"/>
  <c r="DE122" i="20"/>
  <c r="DA123" i="20"/>
  <c r="DE123" i="20"/>
  <c r="DA124" i="20"/>
  <c r="DE124" i="20"/>
  <c r="DA125" i="20"/>
  <c r="DE125" i="20"/>
  <c r="DA126" i="20"/>
  <c r="DE126" i="20"/>
  <c r="DA127" i="20"/>
  <c r="DE127" i="20"/>
  <c r="DA128" i="20"/>
  <c r="DE128" i="20"/>
  <c r="DA129" i="20"/>
  <c r="DE129" i="20"/>
  <c r="DA130" i="20"/>
  <c r="DE130" i="20"/>
  <c r="DA131" i="20"/>
  <c r="DE131" i="20"/>
  <c r="DA132" i="20"/>
  <c r="DE132" i="20"/>
  <c r="DA133" i="20"/>
  <c r="DE133" i="20"/>
  <c r="DA134" i="20"/>
  <c r="DE134" i="20"/>
  <c r="DA135" i="20"/>
  <c r="DE135" i="20"/>
  <c r="DA136" i="20"/>
  <c r="DE136" i="20"/>
  <c r="DA137" i="20"/>
  <c r="DE137" i="20"/>
  <c r="DA138" i="20"/>
  <c r="DE138" i="20"/>
  <c r="DA139" i="20"/>
  <c r="DE139" i="20"/>
  <c r="DA140" i="20"/>
  <c r="DE140" i="20"/>
  <c r="DA141" i="20"/>
  <c r="DE141" i="20"/>
  <c r="DA142" i="20"/>
  <c r="DE142" i="20"/>
  <c r="DA143" i="20"/>
  <c r="DE143" i="20"/>
  <c r="DA144" i="20"/>
  <c r="DE144" i="20"/>
  <c r="DA145" i="20"/>
  <c r="DE145" i="20"/>
  <c r="DA146" i="20"/>
  <c r="DE146" i="20"/>
  <c r="DA147" i="20"/>
  <c r="DE147" i="20"/>
  <c r="DA148" i="20"/>
  <c r="DE148" i="20"/>
  <c r="DF99" i="20"/>
  <c r="DF100" i="20"/>
  <c r="DF101" i="20"/>
  <c r="DF102" i="20"/>
  <c r="DF103" i="20"/>
  <c r="DF104" i="20"/>
  <c r="DF105" i="20"/>
  <c r="DF106" i="20"/>
  <c r="DF107" i="20"/>
  <c r="DF108" i="20"/>
  <c r="DF109" i="20"/>
  <c r="DF110" i="20"/>
  <c r="DF111" i="20"/>
  <c r="DF112" i="20"/>
  <c r="DB113" i="20"/>
  <c r="DF113" i="20"/>
  <c r="DB114" i="20"/>
  <c r="DF114" i="20"/>
  <c r="DB115" i="20"/>
  <c r="DF115" i="20"/>
  <c r="DB116" i="20"/>
  <c r="DF116" i="20"/>
  <c r="DB117" i="20"/>
  <c r="DF117" i="20"/>
  <c r="DB118" i="20"/>
  <c r="DF118" i="20"/>
  <c r="DB119" i="20"/>
  <c r="DF119" i="20"/>
  <c r="DB120" i="20"/>
  <c r="DF120" i="20"/>
  <c r="DB121" i="20"/>
  <c r="DF121" i="20"/>
  <c r="DB122" i="20"/>
  <c r="DF122" i="20"/>
  <c r="DB123" i="20"/>
  <c r="DF123" i="20"/>
  <c r="DB124" i="20"/>
  <c r="DF124" i="20"/>
  <c r="DB125" i="20"/>
  <c r="DF125" i="20"/>
  <c r="DB126" i="20"/>
  <c r="DF126" i="20"/>
  <c r="DB127" i="20"/>
  <c r="DF127" i="20"/>
  <c r="DB128" i="20"/>
  <c r="DF128" i="20"/>
  <c r="CY114" i="20"/>
  <c r="CY115" i="20"/>
  <c r="CY116" i="20"/>
  <c r="CY117" i="20"/>
  <c r="CY118" i="20"/>
  <c r="CY119" i="20"/>
  <c r="CY120" i="20"/>
  <c r="CY121" i="20"/>
  <c r="CY122" i="20"/>
  <c r="CY123" i="20"/>
  <c r="CY124" i="20"/>
  <c r="CY125" i="20"/>
  <c r="CY126" i="20"/>
  <c r="CY127" i="20"/>
  <c r="CY128" i="20"/>
  <c r="DB129" i="20"/>
  <c r="DB130" i="20"/>
  <c r="DB131" i="20"/>
  <c r="DB132" i="20"/>
  <c r="DB133" i="20"/>
  <c r="DB134" i="20"/>
  <c r="DB135" i="20"/>
  <c r="DB136" i="20"/>
  <c r="DB137" i="20"/>
  <c r="DB138" i="20"/>
  <c r="DB139" i="20"/>
  <c r="DB140" i="20"/>
  <c r="DB141" i="20"/>
  <c r="DB142" i="20"/>
  <c r="DB143" i="20"/>
  <c r="DB144" i="20"/>
  <c r="DB145" i="20"/>
  <c r="DB146" i="20"/>
  <c r="DB147" i="20"/>
  <c r="DB148" i="20"/>
  <c r="CZ114" i="20"/>
  <c r="CZ115" i="20"/>
  <c r="CZ116" i="20"/>
  <c r="CZ117" i="20"/>
  <c r="CZ118" i="20"/>
  <c r="CZ119" i="20"/>
  <c r="CZ120" i="20"/>
  <c r="CZ121" i="20"/>
  <c r="CZ122" i="20"/>
  <c r="CZ123" i="20"/>
  <c r="CZ124" i="20"/>
  <c r="CZ125" i="20"/>
  <c r="CZ126" i="20"/>
  <c r="CZ127" i="20"/>
  <c r="CZ128" i="20"/>
  <c r="DC129" i="20"/>
  <c r="DC130" i="20"/>
  <c r="DC131" i="20"/>
  <c r="DC132" i="20"/>
  <c r="DC133" i="20"/>
  <c r="DC134" i="20"/>
  <c r="DC135" i="20"/>
  <c r="DC136" i="20"/>
  <c r="DC137" i="20"/>
  <c r="DC138" i="20"/>
  <c r="DC139" i="20"/>
  <c r="DC140" i="20"/>
  <c r="DC141" i="20"/>
  <c r="DC142" i="20"/>
  <c r="DC143" i="20"/>
  <c r="DC144" i="20"/>
  <c r="DC145" i="20"/>
  <c r="DC146" i="20"/>
  <c r="DC147" i="20"/>
  <c r="DC148" i="20"/>
  <c r="DC113" i="20"/>
  <c r="DC114" i="20"/>
  <c r="DC115" i="20"/>
  <c r="DC116" i="20"/>
  <c r="DC117" i="20"/>
  <c r="DC118" i="20"/>
  <c r="DC119" i="20"/>
  <c r="DC120" i="20"/>
  <c r="DC121" i="20"/>
  <c r="DC122" i="20"/>
  <c r="DC123" i="20"/>
  <c r="DC124" i="20"/>
  <c r="DC125" i="20"/>
  <c r="DC126" i="20"/>
  <c r="DC127" i="20"/>
  <c r="DC128" i="20"/>
  <c r="CY129" i="20"/>
  <c r="DD130" i="20"/>
  <c r="CY131" i="20"/>
  <c r="DD132" i="20"/>
  <c r="CY133" i="20"/>
  <c r="DD134" i="20"/>
  <c r="CY135" i="20"/>
  <c r="DD136" i="20"/>
  <c r="CY137" i="20"/>
  <c r="DD138" i="20"/>
  <c r="CY139" i="20"/>
  <c r="DD140" i="20"/>
  <c r="CY141" i="20"/>
  <c r="DD142" i="20"/>
  <c r="CY143" i="20"/>
  <c r="DD144" i="20"/>
  <c r="CY145" i="20"/>
  <c r="DD146" i="20"/>
  <c r="CY147" i="20"/>
  <c r="DD148" i="20"/>
  <c r="DD113" i="20"/>
  <c r="DD114" i="20"/>
  <c r="DD115" i="20"/>
  <c r="DD116" i="20"/>
  <c r="DD117" i="20"/>
  <c r="DD118" i="20"/>
  <c r="DD119" i="20"/>
  <c r="DD120" i="20"/>
  <c r="DD121" i="20"/>
  <c r="DD122" i="20"/>
  <c r="DD123" i="20"/>
  <c r="DD124" i="20"/>
  <c r="DD125" i="20"/>
  <c r="DD126" i="20"/>
  <c r="DD127" i="20"/>
  <c r="DD128" i="20"/>
  <c r="CZ129" i="20"/>
  <c r="DF130" i="20"/>
  <c r="CZ131" i="20"/>
  <c r="DF132" i="20"/>
  <c r="CZ133" i="20"/>
  <c r="DF134" i="20"/>
  <c r="CZ135" i="20"/>
  <c r="DF136" i="20"/>
  <c r="CZ137" i="20"/>
  <c r="DF138" i="20"/>
  <c r="CZ139" i="20"/>
  <c r="DF140" i="20"/>
  <c r="CZ141" i="20"/>
  <c r="DF142" i="20"/>
  <c r="CZ143" i="20"/>
  <c r="DF144" i="20"/>
  <c r="CZ145" i="20"/>
  <c r="DF146" i="20"/>
  <c r="CZ147" i="20"/>
  <c r="DF148" i="20"/>
  <c r="CY130" i="20"/>
  <c r="DD131" i="20"/>
  <c r="CY134" i="20"/>
  <c r="DD135" i="20"/>
  <c r="CY138" i="20"/>
  <c r="DD139" i="20"/>
  <c r="CY142" i="20"/>
  <c r="DD143" i="20"/>
  <c r="CY146" i="20"/>
  <c r="DD147" i="20"/>
  <c r="CZ130" i="20"/>
  <c r="DF131" i="20"/>
  <c r="CZ134" i="20"/>
  <c r="DF135" i="20"/>
  <c r="CZ138" i="20"/>
  <c r="DF139" i="20"/>
  <c r="CZ142" i="20"/>
  <c r="DF143" i="20"/>
  <c r="CZ146" i="20"/>
  <c r="DF147" i="20"/>
  <c r="DD129" i="20"/>
  <c r="CY132" i="20"/>
  <c r="DD137" i="20"/>
  <c r="CY140" i="20"/>
  <c r="DD145" i="20"/>
  <c r="CY148" i="20"/>
  <c r="DF129" i="20"/>
  <c r="CZ132" i="20"/>
  <c r="DF137" i="20"/>
  <c r="CZ140" i="20"/>
  <c r="DF145" i="20"/>
  <c r="CZ148" i="20"/>
  <c r="DD133" i="20"/>
  <c r="CY144" i="20"/>
  <c r="DF133" i="20"/>
  <c r="CZ144" i="20"/>
  <c r="DD141" i="20"/>
  <c r="DF141" i="20"/>
  <c r="CY136" i="20"/>
  <c r="CZ136" i="20"/>
  <c r="CY9" i="20"/>
  <c r="DC9" i="20"/>
  <c r="CY10" i="20"/>
  <c r="DC10" i="20"/>
  <c r="CY11" i="20"/>
  <c r="DC11" i="20"/>
  <c r="CY12" i="20"/>
  <c r="DC12" i="20"/>
  <c r="CY13" i="20"/>
  <c r="DC13" i="20"/>
  <c r="CY14" i="20"/>
  <c r="DC14" i="20"/>
  <c r="CY15" i="20"/>
  <c r="DC15" i="20"/>
  <c r="CY16" i="20"/>
  <c r="DC16" i="20"/>
  <c r="CY17" i="20"/>
  <c r="DC17" i="20"/>
  <c r="DC18" i="20"/>
  <c r="CY19" i="20"/>
  <c r="DC19" i="20"/>
  <c r="CY20" i="20"/>
  <c r="DC20" i="20"/>
  <c r="CY21" i="20"/>
  <c r="DC21" i="20"/>
  <c r="CY22" i="20"/>
  <c r="DC22" i="20"/>
  <c r="CY23" i="20"/>
  <c r="DC23" i="20"/>
  <c r="CY24" i="20"/>
  <c r="DC24" i="20"/>
  <c r="CY25" i="20"/>
  <c r="DC25" i="20"/>
  <c r="CY26" i="20"/>
  <c r="DC26" i="20"/>
  <c r="CY27" i="20"/>
  <c r="DC27" i="20"/>
  <c r="CY28" i="20"/>
  <c r="DC28" i="20"/>
  <c r="CZ9" i="20"/>
  <c r="DD9" i="20"/>
  <c r="CZ10" i="20"/>
  <c r="DD10" i="20"/>
  <c r="CZ11" i="20"/>
  <c r="DD11" i="20"/>
  <c r="CZ12" i="20"/>
  <c r="DD12" i="20"/>
  <c r="CZ13" i="20"/>
  <c r="DD13" i="20"/>
  <c r="CZ14" i="20"/>
  <c r="DD14" i="20"/>
  <c r="CZ15" i="20"/>
  <c r="DD15" i="20"/>
  <c r="CZ16" i="20"/>
  <c r="DD16" i="20"/>
  <c r="CZ17" i="20"/>
  <c r="DD17" i="20"/>
  <c r="CZ18" i="20"/>
  <c r="DD18" i="20"/>
  <c r="CZ19" i="20"/>
  <c r="DD19" i="20"/>
  <c r="CZ20" i="20"/>
  <c r="DD20" i="20"/>
  <c r="CZ21" i="20"/>
  <c r="DD21" i="20"/>
  <c r="CZ22" i="20"/>
  <c r="DD22" i="20"/>
  <c r="CZ23" i="20"/>
  <c r="DD23" i="20"/>
  <c r="CZ24" i="20"/>
  <c r="DD24" i="20"/>
  <c r="CZ25" i="20"/>
  <c r="DD25" i="20"/>
  <c r="CZ26" i="20"/>
  <c r="DD26" i="20"/>
  <c r="CZ27" i="20"/>
  <c r="DD27" i="20"/>
  <c r="CZ28" i="20"/>
  <c r="DD28" i="20"/>
  <c r="CZ29" i="20"/>
  <c r="DD29" i="20"/>
  <c r="CZ30" i="20"/>
  <c r="DA9" i="20"/>
  <c r="DE9" i="20"/>
  <c r="DA10" i="20"/>
  <c r="DE10" i="20"/>
  <c r="DA11" i="20"/>
  <c r="DE11" i="20"/>
  <c r="DA12" i="20"/>
  <c r="DE12" i="20"/>
  <c r="DA13" i="20"/>
  <c r="DE13" i="20"/>
  <c r="DA14" i="20"/>
  <c r="DE14" i="20"/>
  <c r="DA15" i="20"/>
  <c r="DE15" i="20"/>
  <c r="DA16" i="20"/>
  <c r="DE16" i="20"/>
  <c r="DA17" i="20"/>
  <c r="DE17" i="20"/>
  <c r="DA18" i="20"/>
  <c r="DE18" i="20"/>
  <c r="DA19" i="20"/>
  <c r="DE19" i="20"/>
  <c r="DA20" i="20"/>
  <c r="DE20" i="20"/>
  <c r="DA21" i="20"/>
  <c r="DE21" i="20"/>
  <c r="DA22" i="20"/>
  <c r="DE22" i="20"/>
  <c r="DA23" i="20"/>
  <c r="DE23" i="20"/>
  <c r="DA24" i="20"/>
  <c r="DE24" i="20"/>
  <c r="DA25" i="20"/>
  <c r="DE25" i="20"/>
  <c r="DA26" i="20"/>
  <c r="DE26" i="20"/>
  <c r="DA27" i="20"/>
  <c r="DE27" i="20"/>
  <c r="DA28" i="20"/>
  <c r="DE28" i="20"/>
  <c r="DB9" i="20"/>
  <c r="DB10" i="20"/>
  <c r="DB11" i="20"/>
  <c r="DB12" i="20"/>
  <c r="DB13" i="20"/>
  <c r="DB14" i="20"/>
  <c r="DB15" i="20"/>
  <c r="DB16" i="20"/>
  <c r="DB17" i="20"/>
  <c r="DB18" i="20"/>
  <c r="DB19" i="20"/>
  <c r="DB20" i="20"/>
  <c r="DB21" i="20"/>
  <c r="DB22" i="20"/>
  <c r="DB23" i="20"/>
  <c r="DB24" i="20"/>
  <c r="DB25" i="20"/>
  <c r="DB26" i="20"/>
  <c r="DB27" i="20"/>
  <c r="DB28" i="20"/>
  <c r="DB29" i="20"/>
  <c r="DB30" i="20"/>
  <c r="DF30" i="20"/>
  <c r="DB31" i="20"/>
  <c r="DF31" i="20"/>
  <c r="DB32" i="20"/>
  <c r="DF32" i="20"/>
  <c r="DB33" i="20"/>
  <c r="DF33" i="20"/>
  <c r="DB34" i="20"/>
  <c r="DF34" i="20"/>
  <c r="DB35" i="20"/>
  <c r="DF35" i="20"/>
  <c r="DB36" i="20"/>
  <c r="DF36" i="20"/>
  <c r="DB37" i="20"/>
  <c r="DF37" i="20"/>
  <c r="DB38" i="20"/>
  <c r="DF38" i="20"/>
  <c r="DB39" i="20"/>
  <c r="DF39" i="20"/>
  <c r="DB40" i="20"/>
  <c r="DF40" i="20"/>
  <c r="DB41" i="20"/>
  <c r="DF41" i="20"/>
  <c r="DB42" i="20"/>
  <c r="DF42" i="20"/>
  <c r="DB43" i="20"/>
  <c r="DF43" i="20"/>
  <c r="DB44" i="20"/>
  <c r="DF44" i="20"/>
  <c r="DB45" i="20"/>
  <c r="DF9" i="20"/>
  <c r="DF10" i="20"/>
  <c r="DF11" i="20"/>
  <c r="DF12" i="20"/>
  <c r="DF13" i="20"/>
  <c r="DF14" i="20"/>
  <c r="DF15" i="20"/>
  <c r="DF16" i="20"/>
  <c r="DF17" i="20"/>
  <c r="DF18" i="20"/>
  <c r="DF19" i="20"/>
  <c r="DF20" i="20"/>
  <c r="DF21" i="20"/>
  <c r="DF22" i="20"/>
  <c r="DF23" i="20"/>
  <c r="DF24" i="20"/>
  <c r="DF25" i="20"/>
  <c r="DF26" i="20"/>
  <c r="DF27" i="20"/>
  <c r="DF28" i="20"/>
  <c r="DC29" i="20"/>
  <c r="DC30" i="20"/>
  <c r="CY31" i="20"/>
  <c r="DC31" i="20"/>
  <c r="CY32" i="20"/>
  <c r="DC32" i="20"/>
  <c r="CY33" i="20"/>
  <c r="DC33" i="20"/>
  <c r="CY34" i="20"/>
  <c r="DC34" i="20"/>
  <c r="CY35" i="20"/>
  <c r="DC35" i="20"/>
  <c r="CY36" i="20"/>
  <c r="DC36" i="20"/>
  <c r="CY37" i="20"/>
  <c r="DC37" i="20"/>
  <c r="CY38" i="20"/>
  <c r="DC38" i="20"/>
  <c r="CY39" i="20"/>
  <c r="DC39" i="20"/>
  <c r="CY40" i="20"/>
  <c r="DC40" i="20"/>
  <c r="CY41" i="20"/>
  <c r="DC41" i="20"/>
  <c r="CY42" i="20"/>
  <c r="DC42" i="20"/>
  <c r="CY43" i="20"/>
  <c r="DC43" i="20"/>
  <c r="CY44" i="20"/>
  <c r="DC44" i="20"/>
  <c r="CY45" i="20"/>
  <c r="DC45" i="20"/>
  <c r="CY29" i="20"/>
  <c r="DD30" i="20"/>
  <c r="DD31" i="20"/>
  <c r="DD32" i="20"/>
  <c r="DD33" i="20"/>
  <c r="DD34" i="20"/>
  <c r="DD35" i="20"/>
  <c r="DD36" i="20"/>
  <c r="DD37" i="20"/>
  <c r="DD38" i="20"/>
  <c r="DD39" i="20"/>
  <c r="DD40" i="20"/>
  <c r="DD41" i="20"/>
  <c r="DD42" i="20"/>
  <c r="DD43" i="20"/>
  <c r="DD44" i="20"/>
  <c r="DD45" i="20"/>
  <c r="DB46" i="20"/>
  <c r="DF46" i="20"/>
  <c r="DB47" i="20"/>
  <c r="DF47" i="20"/>
  <c r="DB48" i="20"/>
  <c r="DF48" i="20"/>
  <c r="DB49" i="20"/>
  <c r="DF49" i="20"/>
  <c r="DB50" i="20"/>
  <c r="DF50" i="20"/>
  <c r="DB51" i="20"/>
  <c r="DF51" i="20"/>
  <c r="DB52" i="20"/>
  <c r="DF52" i="20"/>
  <c r="DB53" i="20"/>
  <c r="DF53" i="20"/>
  <c r="DB54" i="20"/>
  <c r="DF54" i="20"/>
  <c r="DB55" i="20"/>
  <c r="DF55" i="20"/>
  <c r="DB56" i="20"/>
  <c r="DF56" i="20"/>
  <c r="DB57" i="20"/>
  <c r="DF57" i="20"/>
  <c r="DB58" i="20"/>
  <c r="DF58" i="20"/>
  <c r="DB59" i="20"/>
  <c r="DF59" i="20"/>
  <c r="DB60" i="20"/>
  <c r="DF60" i="20"/>
  <c r="DB61" i="20"/>
  <c r="DF61" i="20"/>
  <c r="DB62" i="20"/>
  <c r="DF62" i="20"/>
  <c r="DB63" i="20"/>
  <c r="DF63" i="20"/>
  <c r="DB64" i="20"/>
  <c r="DF64" i="20"/>
  <c r="DB65" i="20"/>
  <c r="DF65" i="20"/>
  <c r="DB66" i="20"/>
  <c r="DF66" i="20"/>
  <c r="DB67" i="20"/>
  <c r="DF67" i="20"/>
  <c r="DB68" i="20"/>
  <c r="DF68" i="20"/>
  <c r="DB69" i="20"/>
  <c r="DF69" i="20"/>
  <c r="DB70" i="20"/>
  <c r="DF70" i="20"/>
  <c r="DB71" i="20"/>
  <c r="DF71" i="20"/>
  <c r="DB72" i="20"/>
  <c r="DF72" i="20"/>
  <c r="DB73" i="20"/>
  <c r="DF73" i="20"/>
  <c r="DB74" i="20"/>
  <c r="DF74" i="20"/>
  <c r="DB75" i="20"/>
  <c r="DF75" i="20"/>
  <c r="DB76" i="20"/>
  <c r="DF76" i="20"/>
  <c r="DB77" i="20"/>
  <c r="DA29" i="20"/>
  <c r="DE30" i="20"/>
  <c r="DE31" i="20"/>
  <c r="DE32" i="20"/>
  <c r="DE33" i="20"/>
  <c r="DE34" i="20"/>
  <c r="DE35" i="20"/>
  <c r="DE36" i="20"/>
  <c r="DE37" i="20"/>
  <c r="DE38" i="20"/>
  <c r="DE39" i="20"/>
  <c r="DE40" i="20"/>
  <c r="DE41" i="20"/>
  <c r="DE42" i="20"/>
  <c r="DE43" i="20"/>
  <c r="DE44" i="20"/>
  <c r="DE45" i="20"/>
  <c r="CY46" i="20"/>
  <c r="DC46" i="20"/>
  <c r="CY47" i="20"/>
  <c r="DC47" i="20"/>
  <c r="CY48" i="20"/>
  <c r="DC48" i="20"/>
  <c r="CY49" i="20"/>
  <c r="DC49" i="20"/>
  <c r="CY50" i="20"/>
  <c r="DC50" i="20"/>
  <c r="CY51" i="20"/>
  <c r="DC51" i="20"/>
  <c r="CY52" i="20"/>
  <c r="DC52" i="20"/>
  <c r="CY53" i="20"/>
  <c r="DC53" i="20"/>
  <c r="CY54" i="20"/>
  <c r="DC54" i="20"/>
  <c r="CY55" i="20"/>
  <c r="DC55" i="20"/>
  <c r="CY56" i="20"/>
  <c r="DC56" i="20"/>
  <c r="CY57" i="20"/>
  <c r="DC57" i="20"/>
  <c r="CY58" i="20"/>
  <c r="DC58" i="20"/>
  <c r="CY59" i="20"/>
  <c r="DC59" i="20"/>
  <c r="CY60" i="20"/>
  <c r="DC60" i="20"/>
  <c r="CY61" i="20"/>
  <c r="DC61" i="20"/>
  <c r="CY62" i="20"/>
  <c r="DC62" i="20"/>
  <c r="CY63" i="20"/>
  <c r="DC63" i="20"/>
  <c r="CY64" i="20"/>
  <c r="DC64" i="20"/>
  <c r="CY65" i="20"/>
  <c r="DC65" i="20"/>
  <c r="CY66" i="20"/>
  <c r="DC66" i="20"/>
  <c r="CY67" i="20"/>
  <c r="DC67" i="20"/>
  <c r="CY68" i="20"/>
  <c r="DC68" i="20"/>
  <c r="CY69" i="20"/>
  <c r="DC69" i="20"/>
  <c r="CY70" i="20"/>
  <c r="DC70" i="20"/>
  <c r="DE29" i="20"/>
  <c r="DF45" i="20"/>
  <c r="CZ46" i="20"/>
  <c r="CZ47" i="20"/>
  <c r="CZ48" i="20"/>
  <c r="CZ49" i="20"/>
  <c r="CZ50" i="20"/>
  <c r="CZ51" i="20"/>
  <c r="CZ52" i="20"/>
  <c r="CZ53" i="20"/>
  <c r="CZ54" i="20"/>
  <c r="CZ55" i="20"/>
  <c r="CZ56" i="20"/>
  <c r="CZ57" i="20"/>
  <c r="CZ58" i="20"/>
  <c r="CZ59" i="20"/>
  <c r="CZ60" i="20"/>
  <c r="CZ61" i="20"/>
  <c r="CZ62" i="20"/>
  <c r="CZ63" i="20"/>
  <c r="CZ64" i="20"/>
  <c r="CZ65" i="20"/>
  <c r="CZ66" i="20"/>
  <c r="CZ67" i="20"/>
  <c r="CZ68" i="20"/>
  <c r="CZ69" i="20"/>
  <c r="CZ70" i="20"/>
  <c r="DA71" i="20"/>
  <c r="DA72" i="20"/>
  <c r="DA73" i="20"/>
  <c r="DA74" i="20"/>
  <c r="DA75" i="20"/>
  <c r="DA76" i="20"/>
  <c r="DA77" i="20"/>
  <c r="DF77" i="20"/>
  <c r="DB78" i="20"/>
  <c r="DF78" i="20"/>
  <c r="DB79" i="20"/>
  <c r="DF79" i="20"/>
  <c r="DB80" i="20"/>
  <c r="DF80" i="20"/>
  <c r="DB81" i="20"/>
  <c r="DF81" i="20"/>
  <c r="DB82" i="20"/>
  <c r="DF82" i="20"/>
  <c r="DB83" i="20"/>
  <c r="DF83" i="20"/>
  <c r="DB84" i="20"/>
  <c r="DF84" i="20"/>
  <c r="DB85" i="20"/>
  <c r="DF85" i="20"/>
  <c r="DB86" i="20"/>
  <c r="DF86" i="20"/>
  <c r="DB87" i="20"/>
  <c r="DF87" i="20"/>
  <c r="DB88" i="20"/>
  <c r="DF88" i="20"/>
  <c r="DB89" i="20"/>
  <c r="DF89" i="20"/>
  <c r="DB90" i="20"/>
  <c r="DF90" i="20"/>
  <c r="DB91" i="20"/>
  <c r="DF91" i="20"/>
  <c r="DB92" i="20"/>
  <c r="DF92" i="20"/>
  <c r="DB93" i="20"/>
  <c r="DF93" i="20"/>
  <c r="DB94" i="20"/>
  <c r="DF94" i="20"/>
  <c r="DB95" i="20"/>
  <c r="DF95" i="20"/>
  <c r="DB96" i="20"/>
  <c r="DF96" i="20"/>
  <c r="DB97" i="20"/>
  <c r="DF97" i="20"/>
  <c r="DB98" i="20"/>
  <c r="DF98" i="20"/>
  <c r="DD8" i="20"/>
  <c r="DF29" i="20"/>
  <c r="DA46" i="20"/>
  <c r="DA47" i="20"/>
  <c r="DA48" i="20"/>
  <c r="DA49" i="20"/>
  <c r="DA50" i="20"/>
  <c r="DA51" i="20"/>
  <c r="DA52" i="20"/>
  <c r="DA53" i="20"/>
  <c r="DA54" i="20"/>
  <c r="DA55" i="20"/>
  <c r="DA56" i="20"/>
  <c r="DA57" i="20"/>
  <c r="DA58" i="20"/>
  <c r="DA59" i="20"/>
  <c r="DA60" i="20"/>
  <c r="DA61" i="20"/>
  <c r="DA62" i="20"/>
  <c r="DA63" i="20"/>
  <c r="DA64" i="20"/>
  <c r="DA65" i="20"/>
  <c r="DA66" i="20"/>
  <c r="DA67" i="20"/>
  <c r="DA68" i="20"/>
  <c r="DA69" i="20"/>
  <c r="DA70" i="20"/>
  <c r="DC71" i="20"/>
  <c r="DC72" i="20"/>
  <c r="DC73" i="20"/>
  <c r="DC74" i="20"/>
  <c r="DC75" i="20"/>
  <c r="DC76" i="20"/>
  <c r="DC77" i="20"/>
  <c r="CY78" i="20"/>
  <c r="DC78" i="20"/>
  <c r="CY79" i="20"/>
  <c r="DC79" i="20"/>
  <c r="CY80" i="20"/>
  <c r="DC80" i="20"/>
  <c r="CY81" i="20"/>
  <c r="DC81" i="20"/>
  <c r="CY82" i="20"/>
  <c r="DC82" i="20"/>
  <c r="CY83" i="20"/>
  <c r="DC83" i="20"/>
  <c r="CY84" i="20"/>
  <c r="DC84" i="20"/>
  <c r="CY85" i="20"/>
  <c r="DC85" i="20"/>
  <c r="CY86" i="20"/>
  <c r="DC86" i="20"/>
  <c r="CY87" i="20"/>
  <c r="DC87" i="20"/>
  <c r="CY88" i="20"/>
  <c r="DC88" i="20"/>
  <c r="CY89" i="20"/>
  <c r="DC89" i="20"/>
  <c r="CY90" i="20"/>
  <c r="DC90" i="20"/>
  <c r="CY91" i="20"/>
  <c r="DC91" i="20"/>
  <c r="CY92" i="20"/>
  <c r="DC92" i="20"/>
  <c r="CY93" i="20"/>
  <c r="DC93" i="20"/>
  <c r="CY94" i="20"/>
  <c r="DC94" i="20"/>
  <c r="CY95" i="20"/>
  <c r="DC95" i="20"/>
  <c r="CY96" i="20"/>
  <c r="DC96" i="20"/>
  <c r="CZ31" i="20"/>
  <c r="CZ33" i="20"/>
  <c r="CZ35" i="20"/>
  <c r="CZ37" i="20"/>
  <c r="CZ41" i="20"/>
  <c r="CZ43" i="20"/>
  <c r="CZ45" i="20"/>
  <c r="DD46" i="20"/>
  <c r="DD47" i="20"/>
  <c r="DD48" i="20"/>
  <c r="DD49" i="20"/>
  <c r="DD50" i="20"/>
  <c r="DD51" i="20"/>
  <c r="DD52" i="20"/>
  <c r="DD53" i="20"/>
  <c r="DD54" i="20"/>
  <c r="DD55" i="20"/>
  <c r="DD56" i="20"/>
  <c r="DD57" i="20"/>
  <c r="DD58" i="20"/>
  <c r="DD59" i="20"/>
  <c r="DD60" i="20"/>
  <c r="DD61" i="20"/>
  <c r="DD62" i="20"/>
  <c r="DD63" i="20"/>
  <c r="DD64" i="20"/>
  <c r="DD65" i="20"/>
  <c r="DD66" i="20"/>
  <c r="DD67" i="20"/>
  <c r="DD68" i="20"/>
  <c r="DD69" i="20"/>
  <c r="DD70" i="20"/>
  <c r="CY71" i="20"/>
  <c r="DD72" i="20"/>
  <c r="CY73" i="20"/>
  <c r="DD74" i="20"/>
  <c r="CY75" i="20"/>
  <c r="DD76" i="20"/>
  <c r="CY77" i="20"/>
  <c r="CZ78" i="20"/>
  <c r="CZ79" i="20"/>
  <c r="CZ80" i="20"/>
  <c r="CZ81" i="20"/>
  <c r="CZ82" i="20"/>
  <c r="CZ83" i="20"/>
  <c r="CZ84" i="20"/>
  <c r="CZ85" i="20"/>
  <c r="CZ86" i="20"/>
  <c r="CZ87" i="20"/>
  <c r="CZ88" i="20"/>
  <c r="CZ89" i="20"/>
  <c r="CZ90" i="20"/>
  <c r="CZ91" i="20"/>
  <c r="CZ92" i="20"/>
  <c r="CZ93" i="20"/>
  <c r="CZ94" i="20"/>
  <c r="CZ95" i="20"/>
  <c r="CZ96" i="20"/>
  <c r="CY97" i="20"/>
  <c r="DD97" i="20"/>
  <c r="CY98" i="20"/>
  <c r="DD98" i="20"/>
  <c r="DA8" i="20"/>
  <c r="CY30" i="20"/>
  <c r="CZ34" i="20"/>
  <c r="CZ38" i="20"/>
  <c r="CZ42" i="20"/>
  <c r="DD71" i="20"/>
  <c r="CY74" i="20"/>
  <c r="CY76" i="20"/>
  <c r="DD78" i="20"/>
  <c r="DD79" i="20"/>
  <c r="DD85" i="20"/>
  <c r="DD86" i="20"/>
  <c r="DD87" i="20"/>
  <c r="DD89" i="20"/>
  <c r="DD91" i="20"/>
  <c r="DD92" i="20"/>
  <c r="DD93" i="20"/>
  <c r="DD95" i="20"/>
  <c r="DA97" i="20"/>
  <c r="DA98" i="20"/>
  <c r="DB8" i="20"/>
  <c r="DA30" i="20"/>
  <c r="DA34" i="20"/>
  <c r="DA38" i="20"/>
  <c r="DA40" i="20"/>
  <c r="DA44" i="20"/>
  <c r="CZ72" i="20"/>
  <c r="DE73" i="20"/>
  <c r="CZ76" i="20"/>
  <c r="DE77" i="20"/>
  <c r="DE80" i="20"/>
  <c r="DE81" i="20"/>
  <c r="DE82" i="20"/>
  <c r="DE83" i="20"/>
  <c r="DE84" i="20"/>
  <c r="DE85" i="20"/>
  <c r="DE86" i="20"/>
  <c r="DA31" i="20"/>
  <c r="DA33" i="20"/>
  <c r="DA35" i="20"/>
  <c r="DA37" i="20"/>
  <c r="DA39" i="20"/>
  <c r="DA41" i="20"/>
  <c r="DA43" i="20"/>
  <c r="DA45" i="20"/>
  <c r="DE46" i="20"/>
  <c r="DE47" i="20"/>
  <c r="DE48" i="20"/>
  <c r="DE49" i="20"/>
  <c r="DE50" i="20"/>
  <c r="DE51" i="20"/>
  <c r="DE52" i="20"/>
  <c r="DE53" i="20"/>
  <c r="DE54" i="20"/>
  <c r="DE55" i="20"/>
  <c r="DE56" i="20"/>
  <c r="DE57" i="20"/>
  <c r="DE58" i="20"/>
  <c r="DE59" i="20"/>
  <c r="DE60" i="20"/>
  <c r="DE61" i="20"/>
  <c r="DE62" i="20"/>
  <c r="DE63" i="20"/>
  <c r="DE64" i="20"/>
  <c r="DE65" i="20"/>
  <c r="DE66" i="20"/>
  <c r="DE67" i="20"/>
  <c r="DE68" i="20"/>
  <c r="DE69" i="20"/>
  <c r="DE70" i="20"/>
  <c r="CZ71" i="20"/>
  <c r="DE72" i="20"/>
  <c r="CZ73" i="20"/>
  <c r="DE74" i="20"/>
  <c r="CZ75" i="20"/>
  <c r="DE76" i="20"/>
  <c r="CZ77" i="20"/>
  <c r="DA78" i="20"/>
  <c r="DA79" i="20"/>
  <c r="DA80" i="20"/>
  <c r="DA81" i="20"/>
  <c r="DA82" i="20"/>
  <c r="DA83" i="20"/>
  <c r="DA84" i="20"/>
  <c r="DA85" i="20"/>
  <c r="DA86" i="20"/>
  <c r="DA87" i="20"/>
  <c r="DA88" i="20"/>
  <c r="DA89" i="20"/>
  <c r="DA90" i="20"/>
  <c r="DA91" i="20"/>
  <c r="DA92" i="20"/>
  <c r="DA93" i="20"/>
  <c r="DA94" i="20"/>
  <c r="DA95" i="20"/>
  <c r="DA96" i="20"/>
  <c r="CZ97" i="20"/>
  <c r="DE97" i="20"/>
  <c r="CZ98" i="20"/>
  <c r="DE98" i="20"/>
  <c r="DE8" i="20"/>
  <c r="CZ8" i="20"/>
  <c r="CZ32" i="20"/>
  <c r="CZ36" i="20"/>
  <c r="CZ40" i="20"/>
  <c r="CZ44" i="20"/>
  <c r="CY72" i="20"/>
  <c r="DD73" i="20"/>
  <c r="DD75" i="20"/>
  <c r="DD77" i="20"/>
  <c r="DD80" i="20"/>
  <c r="DD81" i="20"/>
  <c r="DD82" i="20"/>
  <c r="DD83" i="20"/>
  <c r="DD84" i="20"/>
  <c r="DD88" i="20"/>
  <c r="DD90" i="20"/>
  <c r="DD94" i="20"/>
  <c r="DD96" i="20"/>
  <c r="CY8" i="20"/>
  <c r="DA32" i="20"/>
  <c r="DA36" i="20"/>
  <c r="DA42" i="20"/>
  <c r="DE71" i="20"/>
  <c r="CZ74" i="20"/>
  <c r="DE75" i="20"/>
  <c r="DE78" i="20"/>
  <c r="DE79" i="20"/>
  <c r="DE88" i="20"/>
  <c r="DE89" i="20"/>
  <c r="DE90" i="20"/>
  <c r="DE91" i="20"/>
  <c r="DE92" i="20"/>
  <c r="DE87" i="20"/>
  <c r="DC98" i="20"/>
  <c r="DE96" i="20"/>
  <c r="DE93" i="20"/>
  <c r="DE95" i="20"/>
  <c r="DC97" i="20"/>
  <c r="DC8" i="20"/>
  <c r="DE94" i="20"/>
  <c r="AF52" i="19"/>
  <c r="AF60" i="19"/>
  <c r="AF65" i="19"/>
  <c r="AF49" i="19"/>
  <c r="AF51" i="19"/>
  <c r="AF69" i="19"/>
  <c r="AF68" i="19"/>
  <c r="AF82" i="19"/>
  <c r="AF86" i="19"/>
  <c r="AF90" i="19"/>
  <c r="AF94" i="19"/>
  <c r="AF98" i="19"/>
  <c r="AF102" i="19"/>
  <c r="AF106" i="19"/>
  <c r="AF75" i="19"/>
  <c r="AF110" i="19"/>
  <c r="AF114" i="19"/>
  <c r="AF118" i="19"/>
  <c r="AF122" i="19"/>
  <c r="AF126" i="19"/>
  <c r="AF76" i="19"/>
  <c r="AF18" i="19"/>
  <c r="AF27" i="19"/>
  <c r="AF10" i="19"/>
  <c r="AF20" i="19"/>
  <c r="AF33" i="19"/>
  <c r="AF15" i="19"/>
  <c r="AF29" i="19"/>
  <c r="AF43" i="19"/>
  <c r="AF37" i="19"/>
  <c r="AF46" i="19"/>
  <c r="AF54" i="19"/>
  <c r="AF62" i="19"/>
  <c r="AF66" i="19"/>
  <c r="AF53" i="19"/>
  <c r="AF55" i="19"/>
  <c r="AF73" i="19"/>
  <c r="AF70" i="19"/>
  <c r="AF83" i="19"/>
  <c r="AF87" i="19"/>
  <c r="AF91" i="19"/>
  <c r="AF95" i="19"/>
  <c r="AF99" i="19"/>
  <c r="AF103" i="19"/>
  <c r="AF107" i="19"/>
  <c r="AF78" i="19"/>
  <c r="AF111" i="19"/>
  <c r="AF115" i="19"/>
  <c r="AF119" i="19"/>
  <c r="AF123" i="19"/>
  <c r="AF127" i="19"/>
  <c r="AF21" i="19"/>
  <c r="AF28" i="19"/>
  <c r="AF11" i="19"/>
  <c r="AF25" i="19"/>
  <c r="AF17" i="19"/>
  <c r="AF32" i="19"/>
  <c r="AF36" i="19"/>
  <c r="AF41" i="19"/>
  <c r="CN8" i="19"/>
  <c r="AF58" i="19"/>
  <c r="AF45" i="19"/>
  <c r="AF61" i="19"/>
  <c r="AF81" i="19"/>
  <c r="AF89" i="19"/>
  <c r="AF97" i="19"/>
  <c r="AF105" i="19"/>
  <c r="AF109" i="19"/>
  <c r="AF117" i="19"/>
  <c r="AF125" i="19"/>
  <c r="AF24" i="19"/>
  <c r="AF30" i="19"/>
  <c r="AF13" i="19"/>
  <c r="AF39" i="19"/>
  <c r="AF42" i="19"/>
  <c r="AF48" i="19"/>
  <c r="AF63" i="19"/>
  <c r="AF57" i="19"/>
  <c r="AF77" i="19"/>
  <c r="AF84" i="19"/>
  <c r="AF92" i="19"/>
  <c r="AF100" i="19"/>
  <c r="AF108" i="19"/>
  <c r="AF112" i="19"/>
  <c r="AF120" i="19"/>
  <c r="AF31" i="19"/>
  <c r="AF14" i="19"/>
  <c r="AF19" i="19"/>
  <c r="AF40" i="19"/>
  <c r="DH8" i="19"/>
  <c r="AZ11" i="19"/>
  <c r="AF44" i="19"/>
  <c r="AF35" i="19"/>
  <c r="AF72" i="19"/>
  <c r="AF113" i="19"/>
  <c r="AF101" i="19"/>
  <c r="AF85" i="19"/>
  <c r="AF47" i="19"/>
  <c r="AF50" i="19"/>
  <c r="AF34" i="19"/>
  <c r="AF26" i="19"/>
  <c r="AF22" i="19"/>
  <c r="AF124" i="19"/>
  <c r="AF80" i="19"/>
  <c r="AF96" i="19"/>
  <c r="AF74" i="19"/>
  <c r="AF67" i="19"/>
  <c r="AN63" i="19"/>
  <c r="AN82" i="19"/>
  <c r="AN103" i="19"/>
  <c r="AN119" i="19"/>
  <c r="AN27" i="19"/>
  <c r="AN8" i="19"/>
  <c r="AN68" i="19"/>
  <c r="AN92" i="19"/>
  <c r="AN109" i="19"/>
  <c r="AN15" i="19"/>
  <c r="AN41" i="19"/>
  <c r="AN87" i="19"/>
  <c r="AN125" i="19"/>
  <c r="AN16" i="19"/>
  <c r="AN54" i="19"/>
  <c r="AN98" i="19"/>
  <c r="AN35" i="19"/>
  <c r="AN51" i="19"/>
  <c r="AN108" i="19"/>
  <c r="AN114" i="19"/>
  <c r="AN32" i="19"/>
  <c r="CV8" i="19"/>
  <c r="AN71" i="19"/>
  <c r="CB8" i="19"/>
  <c r="BH10" i="19"/>
  <c r="DP8" i="19"/>
  <c r="AH45" i="19"/>
  <c r="AH49" i="19"/>
  <c r="AH53" i="19"/>
  <c r="AH57" i="19"/>
  <c r="AH61" i="19"/>
  <c r="AH69" i="19"/>
  <c r="AH72" i="19"/>
  <c r="AH76" i="19"/>
  <c r="AH80" i="19"/>
  <c r="AH83" i="19"/>
  <c r="AH99" i="19"/>
  <c r="AH84" i="19"/>
  <c r="AH100" i="19"/>
  <c r="AH89" i="19"/>
  <c r="AH103" i="19"/>
  <c r="AH111" i="19"/>
  <c r="AH115" i="19"/>
  <c r="AH119" i="19"/>
  <c r="AH123" i="19"/>
  <c r="AH127" i="19"/>
  <c r="AH86" i="19"/>
  <c r="AH94" i="19"/>
  <c r="AH9" i="19"/>
  <c r="AH13" i="19"/>
  <c r="AH17" i="19"/>
  <c r="AH21" i="19"/>
  <c r="AH25" i="19"/>
  <c r="AH29" i="19"/>
  <c r="AH33" i="19"/>
  <c r="AH37" i="19"/>
  <c r="AH41" i="19"/>
  <c r="AH46" i="19"/>
  <c r="AH50" i="19"/>
  <c r="AH54" i="19"/>
  <c r="AH58" i="19"/>
  <c r="AH62" i="19"/>
  <c r="AH68" i="19"/>
  <c r="AH73" i="19"/>
  <c r="AH77" i="19"/>
  <c r="AH63" i="19"/>
  <c r="AH87" i="19"/>
  <c r="AH102" i="19"/>
  <c r="AH88" i="19"/>
  <c r="AH105" i="19"/>
  <c r="AH93" i="19"/>
  <c r="AH108" i="19"/>
  <c r="AH112" i="19"/>
  <c r="AH116" i="19"/>
  <c r="AH120" i="19"/>
  <c r="AH124" i="19"/>
  <c r="AH90" i="19"/>
  <c r="AH10" i="19"/>
  <c r="AH14" i="19"/>
  <c r="AH18" i="19"/>
  <c r="AH22" i="19"/>
  <c r="AH26" i="19"/>
  <c r="AH30" i="19"/>
  <c r="AH34" i="19"/>
  <c r="AH38" i="19"/>
  <c r="AH42" i="19"/>
  <c r="AH47" i="19"/>
  <c r="AH51" i="19"/>
  <c r="AH55" i="19"/>
  <c r="AH59" i="19"/>
  <c r="AH64" i="19"/>
  <c r="AH70" i="19"/>
  <c r="AH74" i="19"/>
  <c r="AH78" i="19"/>
  <c r="AH65" i="19"/>
  <c r="AH91" i="19"/>
  <c r="AH104" i="19"/>
  <c r="AH92" i="19"/>
  <c r="AH81" i="19"/>
  <c r="AH97" i="19"/>
  <c r="AH109" i="19"/>
  <c r="AH113" i="19"/>
  <c r="AH117" i="19"/>
  <c r="AH121" i="19"/>
  <c r="AH125" i="19"/>
  <c r="AH82" i="19"/>
  <c r="AH107" i="19"/>
  <c r="AH11" i="19"/>
  <c r="AH15" i="19"/>
  <c r="AH19" i="19"/>
  <c r="AH23" i="19"/>
  <c r="AH27" i="19"/>
  <c r="AH31" i="19"/>
  <c r="AH35" i="19"/>
  <c r="AH39" i="19"/>
  <c r="AH43" i="19"/>
  <c r="AH48" i="19"/>
  <c r="AH66" i="19"/>
  <c r="AH67" i="19"/>
  <c r="AH85" i="19"/>
  <c r="AH118" i="19"/>
  <c r="AH24" i="19"/>
  <c r="AH40" i="19"/>
  <c r="CP8" i="19"/>
  <c r="ED8" i="19"/>
  <c r="AH52" i="19"/>
  <c r="AH71" i="19"/>
  <c r="AH95" i="19"/>
  <c r="AH101" i="19"/>
  <c r="AH122" i="19"/>
  <c r="AH12" i="19"/>
  <c r="AH28" i="19"/>
  <c r="AH44" i="19"/>
  <c r="BB8" i="19"/>
  <c r="AH56" i="19"/>
  <c r="AH75" i="19"/>
  <c r="AH106" i="19"/>
  <c r="AH110" i="19"/>
  <c r="AH126" i="19"/>
  <c r="AH16" i="19"/>
  <c r="AH32" i="19"/>
  <c r="AH60" i="19"/>
  <c r="AH98" i="19"/>
  <c r="AH79" i="19"/>
  <c r="AH8" i="19"/>
  <c r="AH96" i="19"/>
  <c r="AH20" i="19"/>
  <c r="AH114" i="19"/>
  <c r="AH36" i="19"/>
  <c r="BB9" i="19"/>
  <c r="DJ8" i="19"/>
  <c r="AJ93" i="19"/>
  <c r="EJ8" i="19"/>
  <c r="AJ45" i="19"/>
  <c r="AJ53" i="19"/>
  <c r="AJ62" i="19"/>
  <c r="AJ66" i="19"/>
  <c r="AJ56" i="19"/>
  <c r="AJ50" i="19"/>
  <c r="AJ61" i="19"/>
  <c r="AJ80" i="19"/>
  <c r="AJ82" i="19"/>
  <c r="AJ86" i="19"/>
  <c r="AJ90" i="19"/>
  <c r="AJ94" i="19"/>
  <c r="AJ98" i="19"/>
  <c r="AJ102" i="19"/>
  <c r="AJ106" i="19"/>
  <c r="AJ74" i="19"/>
  <c r="AJ110" i="19"/>
  <c r="AJ114" i="19"/>
  <c r="AJ118" i="19"/>
  <c r="AJ122" i="19"/>
  <c r="AJ126" i="19"/>
  <c r="AJ15" i="19"/>
  <c r="AJ29" i="19"/>
  <c r="AJ21" i="19"/>
  <c r="AJ28" i="19"/>
  <c r="AJ8" i="19"/>
  <c r="AJ18" i="19"/>
  <c r="AJ31" i="19"/>
  <c r="AJ35" i="19"/>
  <c r="AJ41" i="19"/>
  <c r="AJ49" i="19"/>
  <c r="AJ57" i="19"/>
  <c r="AJ64" i="19"/>
  <c r="AJ48" i="19"/>
  <c r="AJ69" i="19"/>
  <c r="AJ58" i="19"/>
  <c r="AJ76" i="19"/>
  <c r="AJ77" i="19"/>
  <c r="AJ84" i="19"/>
  <c r="AJ88" i="19"/>
  <c r="AJ92" i="19"/>
  <c r="AJ96" i="19"/>
  <c r="AJ100" i="19"/>
  <c r="AJ104" i="19"/>
  <c r="AJ108" i="19"/>
  <c r="AJ71" i="19"/>
  <c r="AJ112" i="19"/>
  <c r="AJ116" i="19"/>
  <c r="AJ120" i="19"/>
  <c r="AJ124" i="19"/>
  <c r="AJ10" i="19"/>
  <c r="AJ19" i="19"/>
  <c r="AJ12" i="19"/>
  <c r="AJ23" i="19"/>
  <c r="AJ34" i="19"/>
  <c r="AJ11" i="19"/>
  <c r="AJ24" i="19"/>
  <c r="AJ38" i="19"/>
  <c r="AJ43" i="19"/>
  <c r="AJ40" i="19"/>
  <c r="AJ55" i="19"/>
  <c r="AJ67" i="19"/>
  <c r="AJ54" i="19"/>
  <c r="AJ73" i="19"/>
  <c r="AJ87" i="19"/>
  <c r="AJ95" i="19"/>
  <c r="AJ103" i="19"/>
  <c r="AJ79" i="19"/>
  <c r="AJ115" i="19"/>
  <c r="AJ123" i="19"/>
  <c r="AJ16" i="19"/>
  <c r="AJ30" i="19"/>
  <c r="AJ33" i="19"/>
  <c r="AJ36" i="19"/>
  <c r="BX8" i="19"/>
  <c r="AJ59" i="19"/>
  <c r="AJ52" i="19"/>
  <c r="AJ68" i="19"/>
  <c r="AJ81" i="19"/>
  <c r="AJ89" i="19"/>
  <c r="AJ97" i="19"/>
  <c r="AJ105" i="19"/>
  <c r="AJ109" i="19"/>
  <c r="AJ117" i="19"/>
  <c r="AJ125" i="19"/>
  <c r="AJ25" i="19"/>
  <c r="AJ17" i="19"/>
  <c r="AJ14" i="19"/>
  <c r="AJ42" i="19"/>
  <c r="AJ44" i="19"/>
  <c r="AJ47" i="19"/>
  <c r="AJ63" i="19"/>
  <c r="AJ60" i="19"/>
  <c r="AJ72" i="19"/>
  <c r="AJ83" i="19"/>
  <c r="AJ91" i="19"/>
  <c r="AJ99" i="19"/>
  <c r="AJ107" i="19"/>
  <c r="AJ111" i="19"/>
  <c r="AJ119" i="19"/>
  <c r="AJ127" i="19"/>
  <c r="AJ9" i="19"/>
  <c r="AJ32" i="19"/>
  <c r="AJ22" i="19"/>
  <c r="AJ20" i="19"/>
  <c r="AJ39" i="19"/>
  <c r="AJ46" i="19"/>
  <c r="AJ101" i="19"/>
  <c r="AJ75" i="19"/>
  <c r="BD11" i="19"/>
  <c r="AJ78" i="19"/>
  <c r="AJ70" i="19"/>
  <c r="AJ13" i="19"/>
  <c r="AJ26" i="19"/>
  <c r="AJ51" i="19"/>
  <c r="AJ85" i="19"/>
  <c r="AJ113" i="19"/>
  <c r="AJ37" i="19"/>
  <c r="EF8" i="19"/>
  <c r="CR8" i="19"/>
  <c r="AJ121" i="19"/>
  <c r="BD10" i="19"/>
  <c r="AJ27" i="19"/>
  <c r="DL8" i="19"/>
  <c r="BD9" i="19"/>
  <c r="AJ65" i="19"/>
  <c r="BD8" i="19"/>
  <c r="BB11" i="19"/>
  <c r="BB10" i="19"/>
  <c r="BV8" i="19"/>
  <c r="BH8" i="19"/>
  <c r="AO45" i="19"/>
  <c r="AI48" i="19"/>
  <c r="AI52" i="19"/>
  <c r="AI56" i="19"/>
  <c r="AI60" i="19"/>
  <c r="AI64" i="19"/>
  <c r="AI68" i="19"/>
  <c r="AI72" i="19"/>
  <c r="AI76" i="19"/>
  <c r="AI83" i="19"/>
  <c r="AI87" i="19"/>
  <c r="AI91" i="19"/>
  <c r="AI95" i="19"/>
  <c r="AI99" i="19"/>
  <c r="AI78" i="19"/>
  <c r="AI80" i="19"/>
  <c r="AI118" i="19"/>
  <c r="AI111" i="19"/>
  <c r="AI127" i="19"/>
  <c r="AI120" i="19"/>
  <c r="AI9" i="19"/>
  <c r="AI13" i="19"/>
  <c r="AI17" i="19"/>
  <c r="AI21" i="19"/>
  <c r="AI25" i="19"/>
  <c r="AI29" i="19"/>
  <c r="AI33" i="19"/>
  <c r="AI37" i="19"/>
  <c r="AI41" i="19"/>
  <c r="AI8" i="19"/>
  <c r="DK8" i="19"/>
  <c r="AI45" i="19"/>
  <c r="AI49" i="19"/>
  <c r="AI53" i="19"/>
  <c r="AI57" i="19"/>
  <c r="AI61" i="19"/>
  <c r="AI65" i="19"/>
  <c r="AI69" i="19"/>
  <c r="AI73" i="19"/>
  <c r="AI77" i="19"/>
  <c r="AI84" i="19"/>
  <c r="AI88" i="19"/>
  <c r="AI92" i="19"/>
  <c r="AI96" i="19"/>
  <c r="AI100" i="19"/>
  <c r="AI102" i="19"/>
  <c r="AI105" i="19"/>
  <c r="AI122" i="19"/>
  <c r="AI115" i="19"/>
  <c r="AI103" i="19"/>
  <c r="AI124" i="19"/>
  <c r="AI113" i="19"/>
  <c r="AI10" i="19"/>
  <c r="AI14" i="19"/>
  <c r="AI18" i="19"/>
  <c r="AI22" i="19"/>
  <c r="AI26" i="19"/>
  <c r="AI30" i="19"/>
  <c r="AI34" i="19"/>
  <c r="AI38" i="19"/>
  <c r="AI42" i="19"/>
  <c r="CQ8" i="19"/>
  <c r="AI46" i="19"/>
  <c r="AI50" i="19"/>
  <c r="AI54" i="19"/>
  <c r="AI58" i="19"/>
  <c r="AI62" i="19"/>
  <c r="AI66" i="19"/>
  <c r="AI70" i="19"/>
  <c r="AI74" i="19"/>
  <c r="AI81" i="19"/>
  <c r="AI85" i="19"/>
  <c r="AI89" i="19"/>
  <c r="AI93" i="19"/>
  <c r="AI97" i="19"/>
  <c r="AI79" i="19"/>
  <c r="AI104" i="19"/>
  <c r="AI110" i="19"/>
  <c r="AI126" i="19"/>
  <c r="AI119" i="19"/>
  <c r="AI112" i="19"/>
  <c r="AI108" i="19"/>
  <c r="AI109" i="19"/>
  <c r="AI11" i="19"/>
  <c r="AI15" i="19"/>
  <c r="AI19" i="19"/>
  <c r="AI23" i="19"/>
  <c r="AI27" i="19"/>
  <c r="AI31" i="19"/>
  <c r="AI35" i="19"/>
  <c r="AI39" i="19"/>
  <c r="AI43" i="19"/>
  <c r="BC8" i="19"/>
  <c r="AI59" i="19"/>
  <c r="AI75" i="19"/>
  <c r="AI94" i="19"/>
  <c r="AI114" i="19"/>
  <c r="AI125" i="19"/>
  <c r="AI20" i="19"/>
  <c r="AI36" i="19"/>
  <c r="AI47" i="19"/>
  <c r="AI63" i="19"/>
  <c r="AI82" i="19"/>
  <c r="AI98" i="19"/>
  <c r="AI101" i="19"/>
  <c r="AI24" i="19"/>
  <c r="AI40" i="19"/>
  <c r="AI51" i="19"/>
  <c r="AI67" i="19"/>
  <c r="AI86" i="19"/>
  <c r="AI107" i="19"/>
  <c r="AI123" i="19"/>
  <c r="AI117" i="19"/>
  <c r="AI12" i="19"/>
  <c r="AI28" i="19"/>
  <c r="AI44" i="19"/>
  <c r="BW8" i="19"/>
  <c r="AI106" i="19"/>
  <c r="AI32" i="19"/>
  <c r="EE8" i="19"/>
  <c r="AI55" i="19"/>
  <c r="AI116" i="19"/>
  <c r="BC9" i="19"/>
  <c r="AI71" i="19"/>
  <c r="AI121" i="19"/>
  <c r="BC11" i="19"/>
  <c r="AI16" i="19"/>
  <c r="AI90" i="19"/>
  <c r="BC10" i="19"/>
  <c r="AL68" i="19"/>
  <c r="AM37" i="19"/>
  <c r="AM21" i="19"/>
  <c r="AM113" i="19"/>
  <c r="AM95" i="19"/>
  <c r="AM57" i="19"/>
  <c r="AM64" i="19"/>
  <c r="AM71" i="19"/>
  <c r="AM82" i="19"/>
  <c r="AM87" i="19"/>
  <c r="AM92" i="19"/>
  <c r="AM96" i="19"/>
  <c r="AM78" i="19"/>
  <c r="AM101" i="19"/>
  <c r="AM102" i="19"/>
  <c r="AM117" i="19"/>
  <c r="AM110" i="19"/>
  <c r="AM126" i="19"/>
  <c r="AM123" i="19"/>
  <c r="AM100" i="19"/>
  <c r="AM112" i="19"/>
  <c r="AM10" i="19"/>
  <c r="AM14" i="19"/>
  <c r="AM18" i="19"/>
  <c r="AM22" i="19"/>
  <c r="AM26" i="19"/>
  <c r="AM30" i="19"/>
  <c r="AM34" i="19"/>
  <c r="AM38" i="19"/>
  <c r="AM42" i="19"/>
  <c r="EI8" i="19"/>
  <c r="CU8" i="19"/>
  <c r="AM59" i="19"/>
  <c r="AM65" i="19"/>
  <c r="AM73" i="19"/>
  <c r="AM83" i="19"/>
  <c r="AM88" i="19"/>
  <c r="AM93" i="19"/>
  <c r="AM97" i="19"/>
  <c r="AM80" i="19"/>
  <c r="AM103" i="19"/>
  <c r="AM107" i="19"/>
  <c r="AM121" i="19"/>
  <c r="AM114" i="19"/>
  <c r="AM111" i="19"/>
  <c r="AM127" i="19"/>
  <c r="AM116" i="19"/>
  <c r="AM11" i="19"/>
  <c r="AM15" i="19"/>
  <c r="AM19" i="19"/>
  <c r="AM23" i="19"/>
  <c r="AM27" i="19"/>
  <c r="AM31" i="19"/>
  <c r="AM35" i="19"/>
  <c r="AM39" i="19"/>
  <c r="AM43" i="19"/>
  <c r="CA8" i="19"/>
  <c r="AM60" i="19"/>
  <c r="AM75" i="19"/>
  <c r="AM90" i="19"/>
  <c r="AM98" i="19"/>
  <c r="AM105" i="19"/>
  <c r="AM125" i="19"/>
  <c r="AM115" i="19"/>
  <c r="AM16" i="19"/>
  <c r="AM24" i="19"/>
  <c r="AM32" i="19"/>
  <c r="AM40" i="19"/>
  <c r="AM63" i="19"/>
  <c r="AM76" i="19"/>
  <c r="AM91" i="19"/>
  <c r="AM99" i="19"/>
  <c r="AM108" i="19"/>
  <c r="AM104" i="19"/>
  <c r="AM119" i="19"/>
  <c r="AM124" i="19"/>
  <c r="AM9" i="19"/>
  <c r="AM17" i="19"/>
  <c r="AM25" i="19"/>
  <c r="AM33" i="19"/>
  <c r="AM41" i="19"/>
  <c r="BG11" i="19"/>
  <c r="BG10" i="19"/>
  <c r="DO8" i="19"/>
  <c r="AM36" i="19"/>
  <c r="AM20" i="19"/>
  <c r="AM109" i="19"/>
  <c r="AM94" i="19"/>
  <c r="AM68" i="19"/>
  <c r="AO51" i="19"/>
  <c r="AO72" i="19"/>
  <c r="AO78" i="19"/>
  <c r="AO65" i="19"/>
  <c r="AO46" i="19"/>
  <c r="AO85" i="19"/>
  <c r="AO93" i="19"/>
  <c r="AO99" i="19"/>
  <c r="AO62" i="19"/>
  <c r="AO115" i="19"/>
  <c r="AO122" i="19"/>
  <c r="AO13" i="19"/>
  <c r="AO20" i="19"/>
  <c r="AO28" i="19"/>
  <c r="AO34" i="19"/>
  <c r="AO41" i="19"/>
  <c r="AO53" i="19"/>
  <c r="AO73" i="19"/>
  <c r="AO48" i="19"/>
  <c r="AO69" i="19"/>
  <c r="AO66" i="19"/>
  <c r="AO87" i="19"/>
  <c r="AO94" i="19"/>
  <c r="AO101" i="19"/>
  <c r="AO110" i="19"/>
  <c r="AO116" i="19"/>
  <c r="AO123" i="19"/>
  <c r="AO108" i="19"/>
  <c r="AO14" i="19"/>
  <c r="AO22" i="19"/>
  <c r="AO29" i="19"/>
  <c r="AO36" i="19"/>
  <c r="AO44" i="19"/>
  <c r="AO8" i="19"/>
  <c r="AO57" i="19"/>
  <c r="AO76" i="19"/>
  <c r="AO52" i="19"/>
  <c r="AO60" i="19"/>
  <c r="AO82" i="19"/>
  <c r="AO89" i="19"/>
  <c r="AO95" i="19"/>
  <c r="AO103" i="19"/>
  <c r="AO111" i="19"/>
  <c r="AO118" i="19"/>
  <c r="AO126" i="19"/>
  <c r="AO9" i="19"/>
  <c r="AO17" i="19"/>
  <c r="AO24" i="19"/>
  <c r="AO30" i="19"/>
  <c r="AO38" i="19"/>
  <c r="AO70" i="19"/>
  <c r="AO83" i="19"/>
  <c r="AO112" i="19"/>
  <c r="AO12" i="19"/>
  <c r="AO40" i="19"/>
  <c r="AO77" i="19"/>
  <c r="AO90" i="19"/>
  <c r="AO120" i="19"/>
  <c r="AO18" i="19"/>
  <c r="AO61" i="19"/>
  <c r="AO98" i="19"/>
  <c r="AO127" i="19"/>
  <c r="AO25" i="19"/>
  <c r="BI8" i="19"/>
  <c r="AO64" i="19"/>
  <c r="DQ8" i="19"/>
  <c r="AO107" i="19"/>
  <c r="AO33" i="19"/>
  <c r="BI11" i="19"/>
  <c r="EK8" i="19"/>
  <c r="CW8" i="19"/>
  <c r="CC8" i="19"/>
  <c r="BI9" i="19"/>
  <c r="AK48" i="19"/>
  <c r="AK56" i="19"/>
  <c r="AK70" i="19"/>
  <c r="AK74" i="19"/>
  <c r="AK78" i="19"/>
  <c r="AK49" i="19"/>
  <c r="AK64" i="19"/>
  <c r="AK59" i="19"/>
  <c r="AK68" i="19"/>
  <c r="AK84" i="19"/>
  <c r="AK88" i="19"/>
  <c r="AK92" i="19"/>
  <c r="AK96" i="19"/>
  <c r="AK100" i="19"/>
  <c r="AK104" i="19"/>
  <c r="AK107" i="19"/>
  <c r="AK112" i="19"/>
  <c r="AK116" i="19"/>
  <c r="AK120" i="19"/>
  <c r="AK124" i="19"/>
  <c r="AK12" i="19"/>
  <c r="AK16" i="19"/>
  <c r="AK20" i="19"/>
  <c r="AK24" i="19"/>
  <c r="AK28" i="19"/>
  <c r="AK32" i="19"/>
  <c r="AK36" i="19"/>
  <c r="AK40" i="19"/>
  <c r="AK44" i="19"/>
  <c r="BE11" i="19"/>
  <c r="AK50" i="19"/>
  <c r="AK58" i="19"/>
  <c r="AK71" i="19"/>
  <c r="AK75" i="19"/>
  <c r="AK79" i="19"/>
  <c r="AK53" i="19"/>
  <c r="AK66" i="19"/>
  <c r="AK63" i="19"/>
  <c r="AK81" i="19"/>
  <c r="AK85" i="19"/>
  <c r="AK89" i="19"/>
  <c r="AK93" i="19"/>
  <c r="AK97" i="19"/>
  <c r="AK101" i="19"/>
  <c r="AK67" i="19"/>
  <c r="AK109" i="19"/>
  <c r="AK113" i="19"/>
  <c r="AK117" i="19"/>
  <c r="AK121" i="19"/>
  <c r="AK125" i="19"/>
  <c r="AK106" i="19"/>
  <c r="AK9" i="19"/>
  <c r="AK13" i="19"/>
  <c r="AK17" i="19"/>
  <c r="AK21" i="19"/>
  <c r="AK25" i="19"/>
  <c r="AK29" i="19"/>
  <c r="AK33" i="19"/>
  <c r="AK37" i="19"/>
  <c r="AK41" i="19"/>
  <c r="AK52" i="19"/>
  <c r="AK60" i="19"/>
  <c r="AK72" i="19"/>
  <c r="AK76" i="19"/>
  <c r="AK80" i="19"/>
  <c r="AK57" i="19"/>
  <c r="AK69" i="19"/>
  <c r="AK47" i="19"/>
  <c r="AK82" i="19"/>
  <c r="AK86" i="19"/>
  <c r="AK90" i="19"/>
  <c r="AK94" i="19"/>
  <c r="AK98" i="19"/>
  <c r="AK102" i="19"/>
  <c r="AK108" i="19"/>
  <c r="AK110" i="19"/>
  <c r="AK114" i="19"/>
  <c r="AK118" i="19"/>
  <c r="AK122" i="19"/>
  <c r="AK126" i="19"/>
  <c r="AK105" i="19"/>
  <c r="AK10" i="19"/>
  <c r="AK14" i="19"/>
  <c r="AK18" i="19"/>
  <c r="AK22" i="19"/>
  <c r="AK26" i="19"/>
  <c r="AK30" i="19"/>
  <c r="AK34" i="19"/>
  <c r="AK38" i="19"/>
  <c r="AK42" i="19"/>
  <c r="AK8" i="19"/>
  <c r="AK61" i="19"/>
  <c r="AK62" i="19"/>
  <c r="AK87" i="19"/>
  <c r="AK103" i="19"/>
  <c r="AK119" i="19"/>
  <c r="AK23" i="19"/>
  <c r="AK39" i="19"/>
  <c r="AK73" i="19"/>
  <c r="AK55" i="19"/>
  <c r="AK91" i="19"/>
  <c r="AK51" i="19"/>
  <c r="AK123" i="19"/>
  <c r="AK11" i="19"/>
  <c r="AK27" i="19"/>
  <c r="AK43" i="19"/>
  <c r="BE9" i="19"/>
  <c r="AK46" i="19"/>
  <c r="AK77" i="19"/>
  <c r="AK65" i="19"/>
  <c r="AK95" i="19"/>
  <c r="AK111" i="19"/>
  <c r="AK127" i="19"/>
  <c r="AK15" i="19"/>
  <c r="AK31" i="19"/>
  <c r="BY8" i="19"/>
  <c r="BE8" i="19"/>
  <c r="AK54" i="19"/>
  <c r="AK115" i="19"/>
  <c r="AK45" i="19"/>
  <c r="DM8" i="19"/>
  <c r="AK83" i="19"/>
  <c r="AK19" i="19"/>
  <c r="CS8" i="19"/>
  <c r="AK99" i="19"/>
  <c r="EG8" i="19"/>
  <c r="AK35" i="19"/>
  <c r="BE10" i="19"/>
  <c r="BI10" i="19"/>
  <c r="AM77" i="19"/>
  <c r="AM72" i="19"/>
  <c r="AM67" i="19"/>
  <c r="AM61" i="19"/>
  <c r="AM56" i="19"/>
  <c r="AM55" i="19"/>
  <c r="AM89" i="19"/>
  <c r="AM85" i="19"/>
  <c r="AM81" i="19"/>
  <c r="AM74" i="19"/>
  <c r="AM70" i="19"/>
  <c r="AM66" i="19"/>
  <c r="AM62" i="19"/>
  <c r="AM58" i="19"/>
  <c r="AM54" i="19"/>
  <c r="BF10" i="19"/>
  <c r="AM51" i="19"/>
  <c r="AM50" i="19"/>
  <c r="AM53" i="19"/>
  <c r="AM49" i="19"/>
  <c r="AM52" i="19"/>
  <c r="AM48" i="19"/>
  <c r="EH8" i="19"/>
  <c r="BF9" i="19"/>
  <c r="AM47" i="19"/>
  <c r="AM46" i="19"/>
  <c r="AL46" i="19"/>
  <c r="AL50" i="19"/>
  <c r="AL54" i="19"/>
  <c r="AL58" i="19"/>
  <c r="AL63" i="19"/>
  <c r="AL70" i="19"/>
  <c r="AL74" i="19"/>
  <c r="AL78" i="19"/>
  <c r="AL64" i="19"/>
  <c r="AL86" i="19"/>
  <c r="AL101" i="19"/>
  <c r="AL87" i="19"/>
  <c r="AL108" i="19"/>
  <c r="AL96" i="19"/>
  <c r="AL107" i="19"/>
  <c r="AL112" i="19"/>
  <c r="AL116" i="19"/>
  <c r="AL120" i="19"/>
  <c r="AL124" i="19"/>
  <c r="AL8" i="19"/>
  <c r="AL11" i="19"/>
  <c r="AL15" i="19"/>
  <c r="AL19" i="19"/>
  <c r="AL23" i="19"/>
  <c r="AL27" i="19"/>
  <c r="AL31" i="19"/>
  <c r="AL35" i="19"/>
  <c r="AL39" i="19"/>
  <c r="AL43" i="19"/>
  <c r="AL47" i="19"/>
  <c r="AL51" i="19"/>
  <c r="AL55" i="19"/>
  <c r="AL59" i="19"/>
  <c r="AL65" i="19"/>
  <c r="AL71" i="19"/>
  <c r="AL75" i="19"/>
  <c r="AL79" i="19"/>
  <c r="AL66" i="19"/>
  <c r="AL90" i="19"/>
  <c r="AL103" i="19"/>
  <c r="AL91" i="19"/>
  <c r="AL84" i="19"/>
  <c r="AL100" i="19"/>
  <c r="AL109" i="19"/>
  <c r="AL113" i="19"/>
  <c r="AL117" i="19"/>
  <c r="AL121" i="19"/>
  <c r="AL125" i="19"/>
  <c r="AL85" i="19"/>
  <c r="AL81" i="19"/>
  <c r="AL12" i="19"/>
  <c r="AL16" i="19"/>
  <c r="AL20" i="19"/>
  <c r="AL24" i="19"/>
  <c r="AL28" i="19"/>
  <c r="AL32" i="19"/>
  <c r="AL36" i="19"/>
  <c r="AL40" i="19"/>
  <c r="AL44" i="19"/>
  <c r="BF8" i="19"/>
  <c r="CT8" i="19"/>
  <c r="BZ8" i="19"/>
  <c r="AL48" i="19"/>
  <c r="AL52" i="19"/>
  <c r="AL56" i="19"/>
  <c r="AL61" i="19"/>
  <c r="AL67" i="19"/>
  <c r="AL72" i="19"/>
  <c r="AL76" i="19"/>
  <c r="AL80" i="19"/>
  <c r="AL69" i="19"/>
  <c r="AL94" i="19"/>
  <c r="AL105" i="19"/>
  <c r="AL95" i="19"/>
  <c r="AL88" i="19"/>
  <c r="AL102" i="19"/>
  <c r="AL110" i="19"/>
  <c r="AL114" i="19"/>
  <c r="AL118" i="19"/>
  <c r="AL122" i="19"/>
  <c r="AL126" i="19"/>
  <c r="AL106" i="19"/>
  <c r="AL9" i="19"/>
  <c r="AL13" i="19"/>
  <c r="AL17" i="19"/>
  <c r="AL21" i="19"/>
  <c r="AL25" i="19"/>
  <c r="AL29" i="19"/>
  <c r="AL33" i="19"/>
  <c r="AL37" i="19"/>
  <c r="AL41" i="19"/>
  <c r="AL97" i="19"/>
  <c r="AL53" i="19"/>
  <c r="AL73" i="19"/>
  <c r="AL98" i="19"/>
  <c r="AL104" i="19"/>
  <c r="AL123" i="19"/>
  <c r="AL14" i="19"/>
  <c r="AL30" i="19"/>
  <c r="AL57" i="19"/>
  <c r="AL77" i="19"/>
  <c r="AL83" i="19"/>
  <c r="AL111" i="19"/>
  <c r="AL127" i="19"/>
  <c r="AL93" i="19"/>
  <c r="AL18" i="19"/>
  <c r="AL34" i="19"/>
  <c r="BF11" i="19"/>
  <c r="AL45" i="19"/>
  <c r="AL60" i="19"/>
  <c r="AL62" i="19"/>
  <c r="AL99" i="19"/>
  <c r="AL115" i="19"/>
  <c r="AL89" i="19"/>
  <c r="AL22" i="19"/>
  <c r="AL38" i="19"/>
  <c r="AL42" i="19"/>
  <c r="AL119" i="19"/>
  <c r="AL49" i="19"/>
  <c r="AL26" i="19"/>
  <c r="AL92" i="19"/>
  <c r="DN8" i="19"/>
  <c r="AL10" i="19"/>
  <c r="AL82" i="19"/>
  <c r="AN50" i="19"/>
  <c r="AN58" i="19"/>
  <c r="AN64" i="19"/>
  <c r="AN47" i="19"/>
  <c r="AN69" i="19"/>
  <c r="AN49" i="19"/>
  <c r="AN75" i="19"/>
  <c r="AN81" i="19"/>
  <c r="AN85" i="19"/>
  <c r="AN89" i="19"/>
  <c r="AN93" i="19"/>
  <c r="AN97" i="19"/>
  <c r="AN101" i="19"/>
  <c r="AN105" i="19"/>
  <c r="AN73" i="19"/>
  <c r="AN74" i="19"/>
  <c r="AN112" i="19"/>
  <c r="AN116" i="19"/>
  <c r="AN120" i="19"/>
  <c r="AN124" i="19"/>
  <c r="AN11" i="19"/>
  <c r="AN26" i="19"/>
  <c r="AN34" i="19"/>
  <c r="AN9" i="19"/>
  <c r="AN18" i="19"/>
  <c r="AN31" i="19"/>
  <c r="AN21" i="19"/>
  <c r="AN37" i="19"/>
  <c r="AN42" i="19"/>
  <c r="AN43" i="19"/>
  <c r="AN44" i="19"/>
  <c r="AN28" i="19"/>
  <c r="AN12" i="19"/>
  <c r="AN29" i="19"/>
  <c r="AN14" i="19"/>
  <c r="AN23" i="19"/>
  <c r="AN70" i="19"/>
  <c r="AN123" i="19"/>
  <c r="AN118" i="19"/>
  <c r="AN113" i="19"/>
  <c r="AN80" i="19"/>
  <c r="AN107" i="19"/>
  <c r="AN102" i="19"/>
  <c r="AN96" i="19"/>
  <c r="AN91" i="19"/>
  <c r="AN86" i="19"/>
  <c r="AN76" i="19"/>
  <c r="AN57" i="19"/>
  <c r="AN60" i="19"/>
  <c r="AN67" i="19"/>
  <c r="AN62" i="19"/>
  <c r="AN52" i="19"/>
  <c r="AO47" i="19"/>
  <c r="AO55" i="19"/>
  <c r="AO71" i="19"/>
  <c r="AO75" i="19"/>
  <c r="AO79" i="19"/>
  <c r="AO56" i="19"/>
  <c r="AO67" i="19"/>
  <c r="AO58" i="19"/>
  <c r="AO50" i="19"/>
  <c r="AO84" i="19"/>
  <c r="AO88" i="19"/>
  <c r="AO92" i="19"/>
  <c r="AO96" i="19"/>
  <c r="AO100" i="19"/>
  <c r="AO104" i="19"/>
  <c r="AO109" i="19"/>
  <c r="AO113" i="19"/>
  <c r="AO117" i="19"/>
  <c r="AO121" i="19"/>
  <c r="AO125" i="19"/>
  <c r="AO54" i="19"/>
  <c r="AO11" i="19"/>
  <c r="AO15" i="19"/>
  <c r="AO19" i="19"/>
  <c r="AO23" i="19"/>
  <c r="AO27" i="19"/>
  <c r="AO31" i="19"/>
  <c r="AO35" i="19"/>
  <c r="AO39" i="19"/>
  <c r="AO43" i="19"/>
  <c r="AN40" i="19"/>
  <c r="AN38" i="19"/>
  <c r="AN25" i="19"/>
  <c r="AN10" i="19"/>
  <c r="AN24" i="19"/>
  <c r="AN13" i="19"/>
  <c r="AN33" i="19"/>
  <c r="AN20" i="19"/>
  <c r="AN127" i="19"/>
  <c r="AN122" i="19"/>
  <c r="AN117" i="19"/>
  <c r="AN111" i="19"/>
  <c r="AN78" i="19"/>
  <c r="AN106" i="19"/>
  <c r="AN100" i="19"/>
  <c r="AN95" i="19"/>
  <c r="AN90" i="19"/>
  <c r="AN84" i="19"/>
  <c r="AN72" i="19"/>
  <c r="AN53" i="19"/>
  <c r="AN59" i="19"/>
  <c r="AN66" i="19"/>
  <c r="AN61" i="19"/>
  <c r="AN48" i="19"/>
  <c r="BH9" i="19"/>
  <c r="BH11" i="19"/>
  <c r="AN39" i="19"/>
  <c r="AN36" i="19"/>
  <c r="AN22" i="19"/>
  <c r="AN19" i="19"/>
  <c r="AN30" i="19"/>
  <c r="AN17" i="19"/>
  <c r="AN126" i="19"/>
  <c r="AN121" i="19"/>
  <c r="AN115" i="19"/>
  <c r="AN110" i="19"/>
  <c r="AN77" i="19"/>
  <c r="AN104" i="19"/>
  <c r="AN99" i="19"/>
  <c r="AN94" i="19"/>
  <c r="AN88" i="19"/>
  <c r="AN83" i="19"/>
  <c r="AN79" i="19"/>
  <c r="AN45" i="19"/>
  <c r="AN55" i="19"/>
  <c r="AN65" i="19"/>
  <c r="AN56" i="19"/>
  <c r="AN46" i="19"/>
  <c r="AO42" i="19"/>
  <c r="AO37" i="19"/>
  <c r="AO32" i="19"/>
  <c r="AO26" i="19"/>
  <c r="AO21" i="19"/>
  <c r="AO16" i="19"/>
  <c r="AO10" i="19"/>
  <c r="AO105" i="19"/>
  <c r="AO124" i="19"/>
  <c r="AO119" i="19"/>
  <c r="AO114" i="19"/>
  <c r="AO106" i="19"/>
  <c r="AO102" i="19"/>
  <c r="AO97" i="19"/>
  <c r="AO91" i="19"/>
  <c r="AO86" i="19"/>
  <c r="AO81" i="19"/>
  <c r="AO68" i="19"/>
  <c r="AO63" i="19"/>
  <c r="AO80" i="19"/>
  <c r="AO74" i="19"/>
  <c r="AO59" i="19"/>
  <c r="AO49" i="19"/>
  <c r="BY9" i="2"/>
  <c r="BX24" i="2"/>
  <c r="DG6" i="20" l="1"/>
  <c r="N96" i="20" s="1"/>
  <c r="AB62" i="2" s="1"/>
  <c r="EY6" i="20"/>
  <c r="N140" i="20" s="1"/>
  <c r="AL61" i="2" s="1"/>
  <c r="CW6" i="19"/>
  <c r="DL6" i="19"/>
  <c r="CS6" i="19"/>
  <c r="BY6" i="19"/>
  <c r="BU6" i="19"/>
  <c r="CT6" i="19"/>
  <c r="DK6" i="19"/>
  <c r="EG6" i="19"/>
  <c r="DH6" i="19"/>
  <c r="CA6" i="19"/>
  <c r="EK6" i="19"/>
  <c r="DI6" i="19"/>
  <c r="BW6" i="19"/>
  <c r="DN6" i="19"/>
  <c r="DI6" i="20"/>
  <c r="N98" i="20" s="1"/>
  <c r="AB64" i="2" s="1"/>
  <c r="DK6" i="20"/>
  <c r="N100" i="20" s="1"/>
  <c r="AB61" i="2" s="1"/>
  <c r="FQ6" i="20"/>
  <c r="N158" i="20" s="1"/>
  <c r="AP67" i="2" s="1"/>
  <c r="DT6" i="20"/>
  <c r="N109" i="20" s="1"/>
  <c r="AD66" i="2" s="1"/>
  <c r="FA6" i="20"/>
  <c r="N142" i="20" s="1"/>
  <c r="AL67" i="2" s="1"/>
  <c r="FW6" i="20"/>
  <c r="DS6" i="20"/>
  <c r="N108" i="20" s="1"/>
  <c r="AD61" i="2" s="1"/>
  <c r="DQ6" i="20"/>
  <c r="N106" i="20" s="1"/>
  <c r="AD64" i="2" s="1"/>
  <c r="EX6" i="20"/>
  <c r="N139" i="20" s="1"/>
  <c r="AL65" i="2" s="1"/>
  <c r="DV6" i="20"/>
  <c r="N111" i="20" s="1"/>
  <c r="AD68" i="2" s="1"/>
  <c r="FK6" i="20"/>
  <c r="EB6" i="20"/>
  <c r="N117" i="20" s="1"/>
  <c r="AF66" i="2" s="1"/>
  <c r="ED6" i="20"/>
  <c r="N119" i="20" s="1"/>
  <c r="AF68" i="2" s="1"/>
  <c r="CB6" i="19"/>
  <c r="AN6" i="19"/>
  <c r="DO6" i="19"/>
  <c r="CU6" i="19"/>
  <c r="EJ6" i="19"/>
  <c r="CN6" i="19"/>
  <c r="CO6" i="19"/>
  <c r="BZ6" i="19"/>
  <c r="DM6" i="19"/>
  <c r="DQ6" i="19"/>
  <c r="EF6" i="19"/>
  <c r="BT6" i="19"/>
  <c r="M58" i="19" s="1"/>
  <c r="Z53" i="2" s="1"/>
  <c r="EC6" i="19"/>
  <c r="BC6" i="19"/>
  <c r="BV6" i="19"/>
  <c r="DJ6" i="19"/>
  <c r="CR6" i="19"/>
  <c r="BA6" i="19"/>
  <c r="ED6" i="19"/>
  <c r="BF6" i="19"/>
  <c r="M44" i="19" s="1"/>
  <c r="AL51" i="2" s="1"/>
  <c r="CC6" i="19"/>
  <c r="M67" i="19" s="1"/>
  <c r="BI6" i="19"/>
  <c r="M47" i="19" s="1"/>
  <c r="CQ6" i="19"/>
  <c r="BB6" i="19"/>
  <c r="DP6" i="19"/>
  <c r="CV6" i="19"/>
  <c r="EB6" i="19"/>
  <c r="BG6" i="19"/>
  <c r="M45" i="19" s="1"/>
  <c r="AN51" i="2" s="1"/>
  <c r="EH6" i="19"/>
  <c r="EE6" i="19"/>
  <c r="EI6" i="19"/>
  <c r="AH6" i="19"/>
  <c r="BE6" i="19"/>
  <c r="BH6" i="19"/>
  <c r="M46" i="19" s="1"/>
  <c r="AP51" i="2" s="1"/>
  <c r="BD6" i="19"/>
  <c r="BX6" i="19"/>
  <c r="CP6" i="19"/>
  <c r="EW6" i="20"/>
  <c r="N138" i="20" s="1"/>
  <c r="AL64" i="2" s="1"/>
  <c r="FR6" i="20"/>
  <c r="N159" i="20" s="1"/>
  <c r="AP68" i="2" s="1"/>
  <c r="FX6" i="20"/>
  <c r="FB6" i="20"/>
  <c r="N143" i="20" s="1"/>
  <c r="AL68" i="2" s="1"/>
  <c r="EV6" i="20"/>
  <c r="DC6" i="20"/>
  <c r="N92" i="20" s="1"/>
  <c r="Z61" i="2" s="1"/>
  <c r="FO6" i="20"/>
  <c r="N156" i="20" s="1"/>
  <c r="AP61" i="2" s="1"/>
  <c r="DO6" i="20"/>
  <c r="DW6" i="20"/>
  <c r="FC6" i="20"/>
  <c r="DL6" i="20"/>
  <c r="N101" i="20" s="1"/>
  <c r="AB66" i="2" s="1"/>
  <c r="FM6" i="20"/>
  <c r="N154" i="20" s="1"/>
  <c r="AP64" i="2" s="1"/>
  <c r="FS6" i="20"/>
  <c r="FZ6" i="20"/>
  <c r="DX6" i="20"/>
  <c r="DJ6" i="20"/>
  <c r="N99" i="20" s="1"/>
  <c r="AB65" i="2" s="1"/>
  <c r="FY6" i="20"/>
  <c r="DY6" i="20"/>
  <c r="N114" i="20" s="1"/>
  <c r="AF64" i="2" s="1"/>
  <c r="EG6" i="20"/>
  <c r="N122" i="20" s="1"/>
  <c r="AH64" i="2" s="1"/>
  <c r="FU6" i="20"/>
  <c r="DE6" i="20"/>
  <c r="N94" i="20" s="1"/>
  <c r="Z67" i="2" s="1"/>
  <c r="DF6" i="20"/>
  <c r="N95" i="20" s="1"/>
  <c r="Z68" i="2" s="1"/>
  <c r="FN6" i="20"/>
  <c r="N155" i="20" s="1"/>
  <c r="AP65" i="2" s="1"/>
  <c r="EU6" i="20"/>
  <c r="DH6" i="20"/>
  <c r="DB6" i="20"/>
  <c r="N91" i="20" s="1"/>
  <c r="Z65" i="2" s="1"/>
  <c r="EC6" i="20"/>
  <c r="N118" i="20" s="1"/>
  <c r="AF67" i="2" s="1"/>
  <c r="DP6" i="20"/>
  <c r="DN6" i="20"/>
  <c r="N103" i="20" s="1"/>
  <c r="AB68" i="2" s="1"/>
  <c r="EN6" i="20"/>
  <c r="EJ6" i="20"/>
  <c r="N125" i="20" s="1"/>
  <c r="AH66" i="2" s="1"/>
  <c r="EL6" i="20"/>
  <c r="N127" i="20" s="1"/>
  <c r="AH68" i="2" s="1"/>
  <c r="EK6" i="20"/>
  <c r="N126" i="20" s="1"/>
  <c r="AH67" i="2" s="1"/>
  <c r="EE6" i="20"/>
  <c r="FL6" i="20"/>
  <c r="FT6" i="20"/>
  <c r="DD6" i="20"/>
  <c r="N93" i="20" s="1"/>
  <c r="Z66" i="2" s="1"/>
  <c r="EQ6" i="20"/>
  <c r="N132" i="20" s="1"/>
  <c r="AJ61" i="2" s="1"/>
  <c r="EP6" i="20"/>
  <c r="N131" i="20" s="1"/>
  <c r="AJ65" i="2" s="1"/>
  <c r="EH6" i="20"/>
  <c r="N123" i="20" s="1"/>
  <c r="AH65" i="2" s="1"/>
  <c r="FF6" i="20"/>
  <c r="N147" i="20" s="1"/>
  <c r="AN65" i="2" s="1"/>
  <c r="FI6" i="20"/>
  <c r="N150" i="20" s="1"/>
  <c r="AN67" i="2" s="1"/>
  <c r="FD6" i="20"/>
  <c r="EA6" i="20"/>
  <c r="N116" i="20" s="1"/>
  <c r="AF61" i="2" s="1"/>
  <c r="DZ6" i="20"/>
  <c r="N115" i="20" s="1"/>
  <c r="AF65" i="2" s="1"/>
  <c r="DR6" i="20"/>
  <c r="N107" i="20" s="1"/>
  <c r="AD65" i="2" s="1"/>
  <c r="EM6" i="20"/>
  <c r="EI6" i="20"/>
  <c r="N124" i="20" s="1"/>
  <c r="AH61" i="2" s="1"/>
  <c r="FP6" i="20"/>
  <c r="N157" i="20" s="1"/>
  <c r="AP66" i="2" s="1"/>
  <c r="FE6" i="20"/>
  <c r="N146" i="20" s="1"/>
  <c r="AN64" i="2" s="1"/>
  <c r="DA6" i="20"/>
  <c r="N90" i="20" s="1"/>
  <c r="Z64" i="2" s="1"/>
  <c r="DU6" i="20"/>
  <c r="N110" i="20" s="1"/>
  <c r="AD67" i="2" s="1"/>
  <c r="DM6" i="20"/>
  <c r="N102" i="20" s="1"/>
  <c r="AB67" i="2" s="1"/>
  <c r="ER6" i="20"/>
  <c r="N133" i="20" s="1"/>
  <c r="AJ66" i="2" s="1"/>
  <c r="EO6" i="20"/>
  <c r="N130" i="20" s="1"/>
  <c r="AJ64" i="2" s="1"/>
  <c r="ES6" i="20"/>
  <c r="N134" i="20" s="1"/>
  <c r="AJ67" i="2" s="1"/>
  <c r="ET6" i="20"/>
  <c r="N135" i="20" s="1"/>
  <c r="AJ68" i="2" s="1"/>
  <c r="EF6" i="20"/>
  <c r="FG6" i="20"/>
  <c r="N148" i="20" s="1"/>
  <c r="AN61" i="2" s="1"/>
  <c r="FJ6" i="20"/>
  <c r="N151" i="20" s="1"/>
  <c r="AN68" i="2" s="1"/>
  <c r="FH6" i="20"/>
  <c r="N149" i="20" s="1"/>
  <c r="AN66" i="2" s="1"/>
  <c r="EZ6" i="20"/>
  <c r="N141" i="20" s="1"/>
  <c r="AL66" i="2" s="1"/>
  <c r="FV6" i="20"/>
  <c r="AL6" i="19"/>
  <c r="AO6" i="19"/>
  <c r="AJ6" i="19"/>
  <c r="AG6" i="19"/>
  <c r="AK6" i="19"/>
  <c r="AM6" i="19"/>
  <c r="AI6" i="19"/>
  <c r="C218" i="37"/>
  <c r="C217" i="37"/>
  <c r="C214" i="37"/>
  <c r="C215" i="37"/>
  <c r="BV6" i="17"/>
  <c r="N59" i="17" s="1"/>
  <c r="AN76" i="2" s="1"/>
  <c r="BW6" i="17"/>
  <c r="N60" i="17" s="1"/>
  <c r="AN77" i="2" s="1"/>
  <c r="BX6" i="17"/>
  <c r="N61" i="17" s="1"/>
  <c r="AN78" i="2" s="1"/>
  <c r="C212" i="37"/>
  <c r="C211" i="37"/>
  <c r="C209" i="37"/>
  <c r="C208" i="37"/>
  <c r="C205" i="37"/>
  <c r="C206" i="37"/>
  <c r="BM6" i="17"/>
  <c r="N50" i="17" s="1"/>
  <c r="AH76" i="2" s="1"/>
  <c r="BN6" i="17"/>
  <c r="N51" i="17" s="1"/>
  <c r="AH77" i="2" s="1"/>
  <c r="BO6" i="17"/>
  <c r="N52" i="17" s="1"/>
  <c r="AH78" i="2" s="1"/>
  <c r="C202" i="37"/>
  <c r="C203" i="37"/>
  <c r="C197" i="37"/>
  <c r="C196" i="37"/>
  <c r="BC6" i="17"/>
  <c r="N40" i="17" s="1"/>
  <c r="Z78" i="2" s="1"/>
  <c r="BF6" i="17"/>
  <c r="N43" i="17" s="1"/>
  <c r="AB78" i="2" s="1"/>
  <c r="BE6" i="17"/>
  <c r="N42" i="17" s="1"/>
  <c r="AB77" i="2" s="1"/>
  <c r="BD6" i="17"/>
  <c r="N41" i="17" s="1"/>
  <c r="AB76" i="2" s="1"/>
  <c r="C194" i="37"/>
  <c r="O42" i="17"/>
  <c r="C193" i="37"/>
  <c r="O41" i="17"/>
  <c r="O43" i="17"/>
  <c r="BJ6" i="17"/>
  <c r="N47" i="17" s="1"/>
  <c r="AF76" i="2" s="1"/>
  <c r="BK6" i="17"/>
  <c r="N48" i="17" s="1"/>
  <c r="AF77" i="2" s="1"/>
  <c r="BL6" i="17"/>
  <c r="N49" i="17" s="1"/>
  <c r="AF78" i="2" s="1"/>
  <c r="BI6" i="17"/>
  <c r="N46" i="17" s="1"/>
  <c r="AD78" i="2" s="1"/>
  <c r="BH6" i="17"/>
  <c r="N45" i="17" s="1"/>
  <c r="AD77" i="2" s="1"/>
  <c r="BG6" i="17"/>
  <c r="N44" i="17" s="1"/>
  <c r="AD76" i="2" s="1"/>
  <c r="O46" i="17"/>
  <c r="O44" i="17"/>
  <c r="O45" i="17"/>
  <c r="O52" i="17"/>
  <c r="O51" i="17"/>
  <c r="O50" i="17"/>
  <c r="BP6" i="17"/>
  <c r="N53" i="17" s="1"/>
  <c r="AJ76" i="2" s="1"/>
  <c r="BQ6" i="17"/>
  <c r="N54" i="17" s="1"/>
  <c r="AJ77" i="2" s="1"/>
  <c r="BR6" i="17"/>
  <c r="N55" i="17" s="1"/>
  <c r="AJ78" i="2" s="1"/>
  <c r="O54" i="17"/>
  <c r="O55" i="17"/>
  <c r="O53" i="17"/>
  <c r="BS6" i="17"/>
  <c r="N56" i="17" s="1"/>
  <c r="AL76" i="2" s="1"/>
  <c r="BT6" i="17"/>
  <c r="N57" i="17" s="1"/>
  <c r="AL77" i="2" s="1"/>
  <c r="BU6" i="17"/>
  <c r="N58" i="17" s="1"/>
  <c r="AL78" i="2" s="1"/>
  <c r="O58" i="17"/>
  <c r="O56" i="17"/>
  <c r="O57" i="17"/>
  <c r="O60" i="17"/>
  <c r="O61" i="17"/>
  <c r="O59" i="17"/>
  <c r="CA6" i="17"/>
  <c r="N64" i="17" s="1"/>
  <c r="AP78" i="2" s="1"/>
  <c r="BZ6" i="17"/>
  <c r="N63" i="17" s="1"/>
  <c r="AP77" i="2" s="1"/>
  <c r="BY6" i="17"/>
  <c r="N62" i="17" s="1"/>
  <c r="AP76" i="2" s="1"/>
  <c r="O64" i="17"/>
  <c r="O63" i="17"/>
  <c r="O62" i="17"/>
  <c r="CB6" i="17"/>
  <c r="N65" i="17" s="1"/>
  <c r="CC6" i="17"/>
  <c r="N66" i="17" s="1"/>
  <c r="CD6" i="17"/>
  <c r="N67" i="17" s="1"/>
  <c r="O67" i="17"/>
  <c r="O66" i="17"/>
  <c r="O65" i="17"/>
  <c r="L27" i="18"/>
  <c r="O165" i="20"/>
  <c r="O161" i="20"/>
  <c r="O162" i="20"/>
  <c r="O164" i="20"/>
  <c r="O166" i="20"/>
  <c r="O167" i="20"/>
  <c r="O163" i="20"/>
  <c r="L26" i="18"/>
  <c r="O156" i="20"/>
  <c r="O152" i="20"/>
  <c r="O153" i="20"/>
  <c r="O159" i="20"/>
  <c r="O155" i="20"/>
  <c r="O157" i="20"/>
  <c r="O158" i="20"/>
  <c r="O154" i="20"/>
  <c r="L25" i="18"/>
  <c r="O160" i="20"/>
  <c r="O148" i="20"/>
  <c r="O144" i="20"/>
  <c r="O151" i="20"/>
  <c r="O147" i="20"/>
  <c r="O150" i="20"/>
  <c r="O146" i="20"/>
  <c r="O149" i="20"/>
  <c r="O145" i="20"/>
  <c r="L24" i="18"/>
  <c r="O136" i="20"/>
  <c r="O140" i="20"/>
  <c r="O137" i="20"/>
  <c r="O141" i="20"/>
  <c r="O138" i="20"/>
  <c r="O142" i="20"/>
  <c r="O139" i="20"/>
  <c r="O143" i="20"/>
  <c r="L23" i="18"/>
  <c r="O130" i="20"/>
  <c r="O134" i="20"/>
  <c r="O133" i="20"/>
  <c r="O131" i="20"/>
  <c r="O135" i="20"/>
  <c r="O129" i="20"/>
  <c r="O128" i="20"/>
  <c r="O132" i="20"/>
  <c r="L22" i="18"/>
  <c r="O125" i="20"/>
  <c r="O121" i="20"/>
  <c r="O122" i="20"/>
  <c r="O124" i="20"/>
  <c r="O120" i="20"/>
  <c r="O126" i="20"/>
  <c r="O127" i="20"/>
  <c r="O123" i="20"/>
  <c r="O109" i="20"/>
  <c r="O107" i="20"/>
  <c r="O111" i="20"/>
  <c r="O108" i="20"/>
  <c r="O110" i="20"/>
  <c r="L20" i="18"/>
  <c r="O104" i="20"/>
  <c r="O105" i="20"/>
  <c r="O106" i="20"/>
  <c r="L19" i="18"/>
  <c r="O102" i="20"/>
  <c r="O98" i="20"/>
  <c r="O103" i="20"/>
  <c r="O101" i="20"/>
  <c r="O97" i="20"/>
  <c r="O99" i="20"/>
  <c r="O100" i="20"/>
  <c r="O96" i="20"/>
  <c r="B139" i="19"/>
  <c r="L79" i="19"/>
  <c r="L99" i="19"/>
  <c r="L119" i="19"/>
  <c r="B140" i="19"/>
  <c r="L120" i="19"/>
  <c r="L80" i="19"/>
  <c r="L100" i="19"/>
  <c r="L102" i="19"/>
  <c r="L82" i="19"/>
  <c r="B142" i="19"/>
  <c r="L122" i="19"/>
  <c r="L123" i="19"/>
  <c r="L103" i="19"/>
  <c r="B143" i="19"/>
  <c r="L83" i="19"/>
  <c r="L124" i="19"/>
  <c r="L64" i="19"/>
  <c r="B144" i="19"/>
  <c r="L84" i="19"/>
  <c r="L104" i="19"/>
  <c r="L105" i="19"/>
  <c r="L85" i="19"/>
  <c r="L65" i="19"/>
  <c r="B145" i="19"/>
  <c r="L125" i="19"/>
  <c r="B146" i="19"/>
  <c r="L27" i="19"/>
  <c r="B147" i="19"/>
  <c r="L126" i="19"/>
  <c r="L66" i="19"/>
  <c r="L106" i="19"/>
  <c r="L86" i="19"/>
  <c r="L87" i="19"/>
  <c r="L127" i="19"/>
  <c r="L107" i="19"/>
  <c r="L67" i="19"/>
  <c r="T97" i="22"/>
  <c r="L47" i="19"/>
  <c r="D97" i="22"/>
  <c r="L23" i="19"/>
  <c r="L43" i="19"/>
  <c r="L63" i="19"/>
  <c r="P97" i="22"/>
  <c r="L46" i="19"/>
  <c r="L26" i="19"/>
  <c r="T67" i="22"/>
  <c r="L62" i="19"/>
  <c r="L42" i="19"/>
  <c r="L22" i="19"/>
  <c r="L97" i="22"/>
  <c r="L25" i="19"/>
  <c r="L45" i="19"/>
  <c r="L67" i="22"/>
  <c r="L40" i="19"/>
  <c r="L60" i="19"/>
  <c r="L20" i="19"/>
  <c r="H97" i="22"/>
  <c r="L44" i="19"/>
  <c r="L24" i="19"/>
  <c r="H67" i="22" a="1"/>
  <c r="H67" i="22" s="1"/>
  <c r="L19" i="19"/>
  <c r="L59" i="19"/>
  <c r="L39" i="19"/>
  <c r="BX9" i="2"/>
  <c r="BC9" i="2" s="1"/>
  <c r="BX25" i="2"/>
  <c r="AU6" i="9"/>
  <c r="AU7" i="9"/>
  <c r="AU8" i="9"/>
  <c r="AU9" i="9"/>
  <c r="AU10" i="9"/>
  <c r="AU11" i="9"/>
  <c r="J21" i="45"/>
  <c r="J22" i="45"/>
  <c r="J23" i="45"/>
  <c r="P5" i="45"/>
  <c r="G32" i="45" s="1"/>
  <c r="AE6" i="1153" s="1"/>
  <c r="AE56" i="154"/>
  <c r="AD56" i="154"/>
  <c r="AC56" i="154"/>
  <c r="AB56" i="154"/>
  <c r="AA56" i="154"/>
  <c r="Z56" i="154"/>
  <c r="Y56" i="154"/>
  <c r="X56" i="154"/>
  <c r="W56" i="154"/>
  <c r="V56" i="154"/>
  <c r="U56" i="154"/>
  <c r="T56" i="154"/>
  <c r="S56" i="154"/>
  <c r="R56" i="154"/>
  <c r="Q56" i="154"/>
  <c r="P56" i="154"/>
  <c r="O56" i="154"/>
  <c r="N56" i="154"/>
  <c r="M56" i="154"/>
  <c r="L56" i="154"/>
  <c r="K56" i="154"/>
  <c r="J56" i="154"/>
  <c r="I56" i="154"/>
  <c r="H56" i="154"/>
  <c r="G56" i="154"/>
  <c r="F56" i="154"/>
  <c r="E56" i="154"/>
  <c r="D56" i="154"/>
  <c r="AE55" i="154"/>
  <c r="AD55" i="154"/>
  <c r="AC55" i="154"/>
  <c r="AB55" i="154"/>
  <c r="AA55" i="154"/>
  <c r="Z55" i="154"/>
  <c r="Y55" i="154"/>
  <c r="X55" i="154"/>
  <c r="W55" i="154"/>
  <c r="V55" i="154"/>
  <c r="U55" i="154"/>
  <c r="T55" i="154"/>
  <c r="S55" i="154"/>
  <c r="R55" i="154"/>
  <c r="Q55" i="154"/>
  <c r="P55" i="154"/>
  <c r="O55" i="154"/>
  <c r="N55" i="154"/>
  <c r="M55" i="154"/>
  <c r="L55" i="154"/>
  <c r="K55" i="154"/>
  <c r="J55" i="154"/>
  <c r="I55" i="154"/>
  <c r="H55" i="154"/>
  <c r="G55" i="154"/>
  <c r="F55" i="154"/>
  <c r="E55" i="154"/>
  <c r="D55" i="154"/>
  <c r="AE54" i="154"/>
  <c r="AD54" i="154"/>
  <c r="AC54" i="154"/>
  <c r="AB54" i="154"/>
  <c r="AA54" i="154"/>
  <c r="Z54" i="154"/>
  <c r="Y54" i="154"/>
  <c r="X54" i="154"/>
  <c r="W54" i="154"/>
  <c r="V54" i="154"/>
  <c r="U54" i="154"/>
  <c r="T54" i="154"/>
  <c r="S54" i="154"/>
  <c r="R54" i="154"/>
  <c r="Q54" i="154"/>
  <c r="P54" i="154"/>
  <c r="O54" i="154"/>
  <c r="N54" i="154"/>
  <c r="M54" i="154"/>
  <c r="L54" i="154"/>
  <c r="K54" i="154"/>
  <c r="J54" i="154"/>
  <c r="I54" i="154"/>
  <c r="H54" i="154"/>
  <c r="G54" i="154"/>
  <c r="F54" i="154"/>
  <c r="E54" i="154"/>
  <c r="D54" i="154"/>
  <c r="AE53" i="154"/>
  <c r="AD53" i="154"/>
  <c r="AC53" i="154"/>
  <c r="AB53" i="154"/>
  <c r="AA53" i="154"/>
  <c r="Z53" i="154"/>
  <c r="Y53" i="154"/>
  <c r="X53" i="154"/>
  <c r="W53" i="154"/>
  <c r="V53" i="154"/>
  <c r="U53" i="154"/>
  <c r="T53" i="154"/>
  <c r="S53" i="154"/>
  <c r="R53" i="154"/>
  <c r="Q53" i="154"/>
  <c r="P53" i="154"/>
  <c r="O53" i="154"/>
  <c r="N53" i="154"/>
  <c r="M53" i="154"/>
  <c r="L53" i="154"/>
  <c r="K53" i="154"/>
  <c r="J53" i="154"/>
  <c r="I53" i="154"/>
  <c r="H53" i="154"/>
  <c r="G53" i="154"/>
  <c r="F53" i="154"/>
  <c r="E53" i="154"/>
  <c r="D53" i="154"/>
  <c r="AE52" i="154"/>
  <c r="AD52" i="154"/>
  <c r="AC52" i="154"/>
  <c r="AB52" i="154"/>
  <c r="AA52" i="154"/>
  <c r="Z52" i="154"/>
  <c r="Y52" i="154"/>
  <c r="X52" i="154"/>
  <c r="W52" i="154"/>
  <c r="V52" i="154"/>
  <c r="U52" i="154"/>
  <c r="T52" i="154"/>
  <c r="S52" i="154"/>
  <c r="R52" i="154"/>
  <c r="Q52" i="154"/>
  <c r="P52" i="154"/>
  <c r="O52" i="154"/>
  <c r="N52" i="154"/>
  <c r="M52" i="154"/>
  <c r="L52" i="154"/>
  <c r="K52" i="154"/>
  <c r="J52" i="154"/>
  <c r="I52" i="154"/>
  <c r="H52" i="154"/>
  <c r="G52" i="154"/>
  <c r="F52" i="154"/>
  <c r="E52" i="154"/>
  <c r="AE50" i="154"/>
  <c r="AD50" i="154"/>
  <c r="AC50" i="154"/>
  <c r="AB50" i="154"/>
  <c r="AA50" i="154"/>
  <c r="Z50" i="154"/>
  <c r="Y50" i="154"/>
  <c r="X50" i="154"/>
  <c r="W50" i="154"/>
  <c r="V50" i="154"/>
  <c r="U50" i="154"/>
  <c r="T50" i="154"/>
  <c r="S50" i="154"/>
  <c r="R50" i="154"/>
  <c r="Q50" i="154"/>
  <c r="P50" i="154"/>
  <c r="O50" i="154"/>
  <c r="N50" i="154"/>
  <c r="M50" i="154"/>
  <c r="L50" i="154"/>
  <c r="K50" i="154"/>
  <c r="J50" i="154"/>
  <c r="I50" i="154"/>
  <c r="H50" i="154"/>
  <c r="G50" i="154"/>
  <c r="F50" i="154"/>
  <c r="E50" i="154"/>
  <c r="AE40" i="154"/>
  <c r="AE36" i="154" s="1"/>
  <c r="AD40" i="154"/>
  <c r="AD36" i="154" s="1"/>
  <c r="AC40" i="154"/>
  <c r="AC36" i="154" s="1"/>
  <c r="AB40" i="154"/>
  <c r="AB36" i="154" s="1"/>
  <c r="AA40" i="154"/>
  <c r="AA36" i="154" s="1"/>
  <c r="Z40" i="154"/>
  <c r="Z36" i="154" s="1"/>
  <c r="Y40" i="154"/>
  <c r="Y36" i="154" s="1"/>
  <c r="X40" i="154"/>
  <c r="X36" i="154" s="1"/>
  <c r="W40" i="154"/>
  <c r="W36" i="154" s="1"/>
  <c r="V40" i="154"/>
  <c r="V36" i="154" s="1"/>
  <c r="U40" i="154"/>
  <c r="U36" i="154" s="1"/>
  <c r="T40" i="154"/>
  <c r="T36" i="154" s="1"/>
  <c r="S40" i="154"/>
  <c r="S36" i="154" s="1"/>
  <c r="R40" i="154"/>
  <c r="R36" i="154" s="1"/>
  <c r="Q40" i="154"/>
  <c r="Q36" i="154" s="1"/>
  <c r="P40" i="154"/>
  <c r="P36" i="154" s="1"/>
  <c r="O40" i="154"/>
  <c r="O36" i="154" s="1"/>
  <c r="N40" i="154"/>
  <c r="N36" i="154" s="1"/>
  <c r="M40" i="154"/>
  <c r="M36" i="154" s="1"/>
  <c r="L40" i="154"/>
  <c r="L36" i="154" s="1"/>
  <c r="K40" i="154"/>
  <c r="K36" i="154" s="1"/>
  <c r="J40" i="154"/>
  <c r="J36" i="154" s="1"/>
  <c r="I40" i="154"/>
  <c r="I36" i="154" s="1"/>
  <c r="H40" i="154"/>
  <c r="H36" i="154" s="1"/>
  <c r="G40" i="154"/>
  <c r="G36" i="154" s="1"/>
  <c r="F40" i="154"/>
  <c r="F36" i="154" s="1"/>
  <c r="E40" i="154"/>
  <c r="E36" i="154" s="1"/>
  <c r="D40" i="154"/>
  <c r="D36" i="154" s="1"/>
  <c r="AE39" i="154"/>
  <c r="AD39" i="154"/>
  <c r="AC39" i="154"/>
  <c r="AB39" i="154"/>
  <c r="AA39" i="154"/>
  <c r="Z39" i="154"/>
  <c r="Y39" i="154"/>
  <c r="X39" i="154"/>
  <c r="W39" i="154"/>
  <c r="V39" i="154"/>
  <c r="U39" i="154"/>
  <c r="T39" i="154"/>
  <c r="S39" i="154"/>
  <c r="R39" i="154"/>
  <c r="Q39" i="154"/>
  <c r="P39" i="154"/>
  <c r="O39" i="154"/>
  <c r="N39" i="154"/>
  <c r="M39" i="154"/>
  <c r="L39" i="154"/>
  <c r="K39" i="154"/>
  <c r="J39" i="154"/>
  <c r="I39" i="154"/>
  <c r="H39" i="154"/>
  <c r="G39" i="154"/>
  <c r="F39" i="154"/>
  <c r="E39" i="154"/>
  <c r="D39" i="154"/>
  <c r="B28" i="154"/>
  <c r="B27" i="154"/>
  <c r="C4" i="154"/>
  <c r="C3" i="154"/>
  <c r="C2" i="154"/>
  <c r="AL1" i="154"/>
  <c r="C1" i="154"/>
  <c r="AP80" i="2" l="1"/>
  <c r="AE6" i="1148"/>
  <c r="AN80" i="2"/>
  <c r="AE6" i="1143"/>
  <c r="AE6" i="1144"/>
  <c r="AL80" i="2"/>
  <c r="AJ80" i="2"/>
  <c r="AE6" i="1141"/>
  <c r="AE6" i="1142"/>
  <c r="AH80" i="2"/>
  <c r="AF80" i="2"/>
  <c r="AD80" i="2"/>
  <c r="AE6" i="1139"/>
  <c r="AE6" i="1140"/>
  <c r="AB80" i="2"/>
  <c r="AE6" i="1137"/>
  <c r="AE6" i="1138"/>
  <c r="AE6" i="1135"/>
  <c r="AE6" i="1136"/>
  <c r="AE6" i="1133"/>
  <c r="AE6" i="1134"/>
  <c r="AE6" i="1131"/>
  <c r="AE6" i="1132"/>
  <c r="AE6" i="1129"/>
  <c r="AE6" i="1130"/>
  <c r="AE6" i="1127"/>
  <c r="AE6" i="1128"/>
  <c r="D57" i="154"/>
  <c r="J32" i="45" l="1"/>
  <c r="J31" i="45"/>
  <c r="J30" i="45"/>
  <c r="J29" i="45"/>
  <c r="J28" i="45"/>
  <c r="J27" i="45"/>
  <c r="J26" i="45"/>
  <c r="J25" i="45"/>
  <c r="J24" i="45"/>
  <c r="J20" i="45"/>
  <c r="J19" i="45"/>
  <c r="J18" i="45"/>
  <c r="J17" i="45"/>
  <c r="J16" i="45"/>
  <c r="J15" i="45"/>
  <c r="J14" i="45"/>
  <c r="J13" i="45"/>
  <c r="J12" i="45"/>
  <c r="J11" i="45"/>
  <c r="J10" i="45"/>
  <c r="J9" i="45"/>
  <c r="B9" i="45"/>
  <c r="J8" i="45"/>
  <c r="J7" i="45"/>
  <c r="G23" i="45"/>
  <c r="V6" i="1153" s="1"/>
  <c r="J5" i="45"/>
  <c r="N1" i="45"/>
  <c r="J1" i="45"/>
  <c r="D39" i="26"/>
  <c r="V6" i="1148" l="1"/>
  <c r="V6" i="1143"/>
  <c r="V6" i="1144"/>
  <c r="V6" i="1141"/>
  <c r="V6" i="1142"/>
  <c r="V6" i="1139"/>
  <c r="V6" i="1140"/>
  <c r="V6" i="1137"/>
  <c r="V6" i="1138"/>
  <c r="V6" i="1135"/>
  <c r="V6" i="1136"/>
  <c r="V6" i="1133"/>
  <c r="V6" i="1134"/>
  <c r="V6" i="1131"/>
  <c r="V6" i="1132"/>
  <c r="V6" i="1129"/>
  <c r="V6" i="1130"/>
  <c r="V6" i="1127"/>
  <c r="V6" i="1128"/>
  <c r="V6" i="154"/>
  <c r="G16" i="45"/>
  <c r="O6" i="1153" s="1"/>
  <c r="G13" i="45"/>
  <c r="L6" i="1153" s="1"/>
  <c r="G21" i="45"/>
  <c r="T6" i="1153" s="1"/>
  <c r="G12" i="45"/>
  <c r="K6" i="1153" s="1"/>
  <c r="G20" i="45"/>
  <c r="S6" i="1153" s="1"/>
  <c r="G29" i="45"/>
  <c r="AB6" i="1153" s="1"/>
  <c r="G6" i="45"/>
  <c r="E6" i="1153" s="1"/>
  <c r="G9" i="45"/>
  <c r="H6" i="1153" s="1"/>
  <c r="G17" i="45"/>
  <c r="P6" i="1153" s="1"/>
  <c r="G25" i="45"/>
  <c r="X6" i="1153" s="1"/>
  <c r="G14" i="45"/>
  <c r="M6" i="1153" s="1"/>
  <c r="G22" i="45"/>
  <c r="U6" i="1153" s="1"/>
  <c r="G28" i="45"/>
  <c r="AA6" i="1153" s="1"/>
  <c r="G5" i="45"/>
  <c r="D6" i="1153" s="1"/>
  <c r="G8" i="45"/>
  <c r="G6" i="1153" s="1"/>
  <c r="G11" i="45"/>
  <c r="J6" i="1153" s="1"/>
  <c r="G19" i="45"/>
  <c r="R6" i="1153" s="1"/>
  <c r="G24" i="45"/>
  <c r="W6" i="1153" s="1"/>
  <c r="G27" i="45"/>
  <c r="Z6" i="1153" s="1"/>
  <c r="G31" i="45"/>
  <c r="AD6" i="1153" s="1"/>
  <c r="G7" i="45"/>
  <c r="F6" i="1153" s="1"/>
  <c r="G10" i="45"/>
  <c r="I6" i="1153" s="1"/>
  <c r="G18" i="45"/>
  <c r="Q6" i="1153" s="1"/>
  <c r="G26" i="45"/>
  <c r="Y6" i="1153" s="1"/>
  <c r="G30" i="45"/>
  <c r="AC6" i="1153" s="1"/>
  <c r="G15" i="45"/>
  <c r="N6" i="1153" s="1"/>
  <c r="AB57" i="9"/>
  <c r="AD57" i="9"/>
  <c r="AC57" i="9"/>
  <c r="AA57" i="9"/>
  <c r="Z57" i="9"/>
  <c r="Y57" i="9"/>
  <c r="X57" i="9"/>
  <c r="W57" i="9"/>
  <c r="V57" i="9"/>
  <c r="U57" i="9"/>
  <c r="T57" i="9"/>
  <c r="S57" i="9"/>
  <c r="R57" i="9"/>
  <c r="Q57" i="9"/>
  <c r="P57" i="9"/>
  <c r="O57" i="9"/>
  <c r="N57" i="9"/>
  <c r="M57" i="9"/>
  <c r="L57" i="9"/>
  <c r="K57" i="9"/>
  <c r="J57" i="9"/>
  <c r="I57" i="9"/>
  <c r="H57" i="9"/>
  <c r="G57" i="9"/>
  <c r="F57" i="9"/>
  <c r="E57" i="9"/>
  <c r="D57"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7" i="9"/>
  <c r="C56"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C54" i="9"/>
  <c r="AB54" i="9"/>
  <c r="AA54" i="9"/>
  <c r="Z54" i="9"/>
  <c r="Y54" i="9"/>
  <c r="X54" i="9"/>
  <c r="W54" i="9"/>
  <c r="V54" i="9"/>
  <c r="U54" i="9"/>
  <c r="T54" i="9"/>
  <c r="S54" i="9"/>
  <c r="R54" i="9"/>
  <c r="Q54" i="9"/>
  <c r="P54" i="9"/>
  <c r="O54" i="9"/>
  <c r="N54" i="9"/>
  <c r="M54" i="9"/>
  <c r="L54" i="9"/>
  <c r="K54" i="9"/>
  <c r="J54" i="9"/>
  <c r="I54" i="9"/>
  <c r="H54" i="9"/>
  <c r="G54" i="9"/>
  <c r="F54" i="9"/>
  <c r="E54" i="9"/>
  <c r="D54" i="9"/>
  <c r="AD54" i="9"/>
  <c r="AD55" i="9"/>
  <c r="C54" i="9"/>
  <c r="Q6" i="1148" l="1"/>
  <c r="Z6" i="1148"/>
  <c r="G6" i="1148"/>
  <c r="M6" i="1148"/>
  <c r="E6" i="1148"/>
  <c r="T6" i="1148"/>
  <c r="N6" i="1148"/>
  <c r="I6" i="1148"/>
  <c r="W6" i="1148"/>
  <c r="D6" i="1148"/>
  <c r="X6" i="1148"/>
  <c r="AB6" i="1148"/>
  <c r="L6" i="1148"/>
  <c r="AC6" i="1148"/>
  <c r="F6" i="1148"/>
  <c r="R6" i="1148"/>
  <c r="AA6" i="1148"/>
  <c r="P6" i="1148"/>
  <c r="S6" i="1148"/>
  <c r="O6" i="1148"/>
  <c r="Y6" i="1148"/>
  <c r="AD6" i="1148"/>
  <c r="J6" i="1148"/>
  <c r="U6" i="1148"/>
  <c r="H6" i="1148"/>
  <c r="K6" i="1148"/>
  <c r="Y6" i="1143"/>
  <c r="Y6" i="1144"/>
  <c r="AC6" i="1143"/>
  <c r="AC6" i="1144"/>
  <c r="F6" i="1143"/>
  <c r="F6" i="1144"/>
  <c r="R6" i="1143"/>
  <c r="R6" i="1144"/>
  <c r="AA6" i="1143"/>
  <c r="AA6" i="1144"/>
  <c r="P6" i="1143"/>
  <c r="P6" i="1144"/>
  <c r="S6" i="1143"/>
  <c r="S6" i="1144"/>
  <c r="O6" i="1143"/>
  <c r="O6" i="1144"/>
  <c r="AD6" i="1143"/>
  <c r="AD6" i="1144"/>
  <c r="J6" i="1143"/>
  <c r="J6" i="1144"/>
  <c r="U6" i="1143"/>
  <c r="U6" i="1144"/>
  <c r="H6" i="1143"/>
  <c r="H6" i="1144"/>
  <c r="K6" i="1143"/>
  <c r="K6" i="1144"/>
  <c r="Z6" i="1143"/>
  <c r="Z6" i="1144"/>
  <c r="G6" i="1143"/>
  <c r="G6" i="1144"/>
  <c r="M6" i="1143"/>
  <c r="M6" i="1144"/>
  <c r="E6" i="1143"/>
  <c r="E6" i="1144"/>
  <c r="T6" i="1143"/>
  <c r="T6" i="1144"/>
  <c r="Q6" i="1143"/>
  <c r="Q6" i="1144"/>
  <c r="N6" i="1143"/>
  <c r="N6" i="1144"/>
  <c r="I6" i="1143"/>
  <c r="I6" i="1144"/>
  <c r="W6" i="1143"/>
  <c r="W6" i="1144"/>
  <c r="D6" i="1143"/>
  <c r="D6" i="1144"/>
  <c r="X6" i="1143"/>
  <c r="X6" i="1144"/>
  <c r="AB6" i="1143"/>
  <c r="AB6" i="1144"/>
  <c r="L6" i="1143"/>
  <c r="L6" i="1144"/>
  <c r="Z6" i="1141"/>
  <c r="Z6" i="1142"/>
  <c r="M6" i="1141"/>
  <c r="M6" i="1142"/>
  <c r="N6" i="1141"/>
  <c r="N6" i="1142"/>
  <c r="I6" i="1141"/>
  <c r="I6" i="1142"/>
  <c r="W6" i="1141"/>
  <c r="W6" i="1142"/>
  <c r="D6" i="1141"/>
  <c r="D6" i="1142"/>
  <c r="X6" i="1141"/>
  <c r="X6" i="1142"/>
  <c r="AB6" i="1141"/>
  <c r="AB6" i="1142"/>
  <c r="L6" i="1141"/>
  <c r="L6" i="1142"/>
  <c r="AC6" i="1141"/>
  <c r="AC6" i="1142"/>
  <c r="O6" i="1141"/>
  <c r="O6" i="1142"/>
  <c r="Q6" i="1141"/>
  <c r="Q6" i="1142"/>
  <c r="G6" i="1141"/>
  <c r="G6" i="1142"/>
  <c r="E6" i="1141"/>
  <c r="E6" i="1142"/>
  <c r="T6" i="1141"/>
  <c r="T6" i="1142"/>
  <c r="F6" i="1141"/>
  <c r="F6" i="1142"/>
  <c r="R6" i="1141"/>
  <c r="R6" i="1142"/>
  <c r="AA6" i="1141"/>
  <c r="AA6" i="1142"/>
  <c r="P6" i="1141"/>
  <c r="P6" i="1142"/>
  <c r="S6" i="1141"/>
  <c r="S6" i="1142"/>
  <c r="Y6" i="1141"/>
  <c r="Y6" i="1142"/>
  <c r="AD6" i="1141"/>
  <c r="AD6" i="1142"/>
  <c r="J6" i="1141"/>
  <c r="J6" i="1142"/>
  <c r="U6" i="1141"/>
  <c r="U6" i="1142"/>
  <c r="H6" i="1141"/>
  <c r="H6" i="1142"/>
  <c r="K6" i="1141"/>
  <c r="K6" i="1142"/>
  <c r="AA6" i="1139"/>
  <c r="AA6" i="1140"/>
  <c r="O6" i="1139"/>
  <c r="O6" i="1140"/>
  <c r="Y6" i="1139"/>
  <c r="Y6" i="1140"/>
  <c r="AD6" i="1139"/>
  <c r="AD6" i="1140"/>
  <c r="J6" i="1139"/>
  <c r="J6" i="1140"/>
  <c r="U6" i="1139"/>
  <c r="U6" i="1140"/>
  <c r="H6" i="1139"/>
  <c r="H6" i="1140"/>
  <c r="K6" i="1139"/>
  <c r="K6" i="1140"/>
  <c r="AC6" i="1139"/>
  <c r="AC6" i="1140"/>
  <c r="R6" i="1139"/>
  <c r="R6" i="1140"/>
  <c r="S6" i="1139"/>
  <c r="S6" i="1140"/>
  <c r="Q6" i="1139"/>
  <c r="Q6" i="1140"/>
  <c r="Z6" i="1139"/>
  <c r="Z6" i="1140"/>
  <c r="G6" i="1139"/>
  <c r="G6" i="1140"/>
  <c r="M6" i="1139"/>
  <c r="M6" i="1140"/>
  <c r="E6" i="1139"/>
  <c r="E6" i="1140"/>
  <c r="T6" i="1139"/>
  <c r="T6" i="1140"/>
  <c r="F6" i="1139"/>
  <c r="F6" i="1140"/>
  <c r="P6" i="1139"/>
  <c r="P6" i="1140"/>
  <c r="N6" i="1139"/>
  <c r="N6" i="1140"/>
  <c r="I6" i="1139"/>
  <c r="I6" i="1140"/>
  <c r="W6" i="1139"/>
  <c r="W6" i="1140"/>
  <c r="D6" i="1139"/>
  <c r="D6" i="1140"/>
  <c r="X6" i="1139"/>
  <c r="X6" i="1140"/>
  <c r="AB6" i="1139"/>
  <c r="AB6" i="1140"/>
  <c r="L6" i="1139"/>
  <c r="L6" i="1140"/>
  <c r="F6" i="1137"/>
  <c r="F6" i="1138"/>
  <c r="AA6" i="1137"/>
  <c r="AA6" i="1138"/>
  <c r="O6" i="1137"/>
  <c r="O6" i="1138"/>
  <c r="Y6" i="1137"/>
  <c r="Y6" i="1138"/>
  <c r="J6" i="1137"/>
  <c r="J6" i="1138"/>
  <c r="H6" i="1137"/>
  <c r="H6" i="1138"/>
  <c r="K6" i="1137"/>
  <c r="K6" i="1138"/>
  <c r="Q6" i="1137"/>
  <c r="Q6" i="1138"/>
  <c r="Z6" i="1137"/>
  <c r="Z6" i="1138"/>
  <c r="G6" i="1137"/>
  <c r="G6" i="1138"/>
  <c r="M6" i="1137"/>
  <c r="M6" i="1138"/>
  <c r="E6" i="1137"/>
  <c r="E6" i="1138"/>
  <c r="T6" i="1137"/>
  <c r="T6" i="1138"/>
  <c r="R6" i="1137"/>
  <c r="R6" i="1138"/>
  <c r="P6" i="1137"/>
  <c r="P6" i="1138"/>
  <c r="AD6" i="1137"/>
  <c r="AD6" i="1138"/>
  <c r="N6" i="1137"/>
  <c r="N6" i="1138"/>
  <c r="I6" i="1137"/>
  <c r="I6" i="1138"/>
  <c r="W6" i="1137"/>
  <c r="W6" i="1138"/>
  <c r="D6" i="1137"/>
  <c r="D6" i="1138"/>
  <c r="X6" i="1137"/>
  <c r="X6" i="1138"/>
  <c r="AB6" i="1137"/>
  <c r="AB6" i="1138"/>
  <c r="L6" i="1137"/>
  <c r="L6" i="1138"/>
  <c r="AC6" i="1137"/>
  <c r="AC6" i="1138"/>
  <c r="S6" i="1137"/>
  <c r="S6" i="1138"/>
  <c r="U6" i="1137"/>
  <c r="U6" i="1138"/>
  <c r="N6" i="1135"/>
  <c r="N6" i="1136"/>
  <c r="I6" i="1135"/>
  <c r="I6" i="1136"/>
  <c r="D6" i="1135"/>
  <c r="D6" i="1136"/>
  <c r="X6" i="1135"/>
  <c r="X6" i="1136"/>
  <c r="AB6" i="1135"/>
  <c r="AB6" i="1136"/>
  <c r="L6" i="1135"/>
  <c r="L6" i="1136"/>
  <c r="AC6" i="1135"/>
  <c r="AC6" i="1136"/>
  <c r="F6" i="1135"/>
  <c r="F6" i="1136"/>
  <c r="R6" i="1135"/>
  <c r="R6" i="1136"/>
  <c r="AA6" i="1135"/>
  <c r="AA6" i="1136"/>
  <c r="P6" i="1135"/>
  <c r="P6" i="1136"/>
  <c r="S6" i="1135"/>
  <c r="S6" i="1136"/>
  <c r="O6" i="1135"/>
  <c r="O6" i="1136"/>
  <c r="Y6" i="1135"/>
  <c r="Y6" i="1136"/>
  <c r="AD6" i="1135"/>
  <c r="AD6" i="1136"/>
  <c r="J6" i="1135"/>
  <c r="J6" i="1136"/>
  <c r="U6" i="1135"/>
  <c r="U6" i="1136"/>
  <c r="H6" i="1135"/>
  <c r="H6" i="1136"/>
  <c r="K6" i="1135"/>
  <c r="K6" i="1136"/>
  <c r="Q6" i="1135"/>
  <c r="Q6" i="1136"/>
  <c r="Z6" i="1135"/>
  <c r="Z6" i="1136"/>
  <c r="G6" i="1135"/>
  <c r="G6" i="1136"/>
  <c r="M6" i="1135"/>
  <c r="M6" i="1136"/>
  <c r="E6" i="1135"/>
  <c r="E6" i="1136"/>
  <c r="T6" i="1135"/>
  <c r="T6" i="1136"/>
  <c r="W6" i="1135"/>
  <c r="W6" i="1136"/>
  <c r="Q6" i="1133"/>
  <c r="Q6" i="1134"/>
  <c r="Z6" i="1133"/>
  <c r="Z6" i="1134"/>
  <c r="G6" i="1133"/>
  <c r="G6" i="1134"/>
  <c r="M6" i="1133"/>
  <c r="M6" i="1134"/>
  <c r="E6" i="1133"/>
  <c r="E6" i="1134"/>
  <c r="T6" i="1133"/>
  <c r="T6" i="1134"/>
  <c r="I6" i="1133"/>
  <c r="I6" i="1134"/>
  <c r="W6" i="1133"/>
  <c r="W6" i="1134"/>
  <c r="D6" i="1133"/>
  <c r="D6" i="1134"/>
  <c r="X6" i="1133"/>
  <c r="X6" i="1134"/>
  <c r="AB6" i="1133"/>
  <c r="AB6" i="1134"/>
  <c r="L6" i="1133"/>
  <c r="L6" i="1134"/>
  <c r="AC6" i="1133"/>
  <c r="AC6" i="1134"/>
  <c r="F6" i="1133"/>
  <c r="F6" i="1134"/>
  <c r="R6" i="1133"/>
  <c r="R6" i="1134"/>
  <c r="AA6" i="1133"/>
  <c r="AA6" i="1134"/>
  <c r="P6" i="1133"/>
  <c r="P6" i="1134"/>
  <c r="S6" i="1133"/>
  <c r="S6" i="1134"/>
  <c r="O6" i="1133"/>
  <c r="O6" i="1134"/>
  <c r="N6" i="1133"/>
  <c r="N6" i="1134"/>
  <c r="Y6" i="1133"/>
  <c r="Y6" i="1134"/>
  <c r="AD6" i="1133"/>
  <c r="AD6" i="1134"/>
  <c r="J6" i="1133"/>
  <c r="J6" i="1134"/>
  <c r="U6" i="1133"/>
  <c r="U6" i="1134"/>
  <c r="H6" i="1133"/>
  <c r="H6" i="1134"/>
  <c r="K6" i="1133"/>
  <c r="K6" i="1134"/>
  <c r="G6" i="1131"/>
  <c r="G6" i="1132"/>
  <c r="E6" i="1131"/>
  <c r="E6" i="1132"/>
  <c r="N6" i="1131"/>
  <c r="N6" i="1132"/>
  <c r="I6" i="1131"/>
  <c r="I6" i="1132"/>
  <c r="X6" i="1131"/>
  <c r="X6" i="1132"/>
  <c r="AC6" i="1131"/>
  <c r="AC6" i="1132"/>
  <c r="F6" i="1131"/>
  <c r="F6" i="1132"/>
  <c r="R6" i="1131"/>
  <c r="R6" i="1132"/>
  <c r="AA6" i="1131"/>
  <c r="AA6" i="1132"/>
  <c r="P6" i="1131"/>
  <c r="P6" i="1132"/>
  <c r="S6" i="1131"/>
  <c r="S6" i="1132"/>
  <c r="O6" i="1131"/>
  <c r="O6" i="1132"/>
  <c r="Z6" i="1131"/>
  <c r="Z6" i="1132"/>
  <c r="T6" i="1131"/>
  <c r="T6" i="1132"/>
  <c r="W6" i="1131"/>
  <c r="W6" i="1132"/>
  <c r="D6" i="1131"/>
  <c r="D6" i="1132"/>
  <c r="AB6" i="1131"/>
  <c r="AB6" i="1132"/>
  <c r="L6" i="1131"/>
  <c r="L6" i="1132"/>
  <c r="Y6" i="1131"/>
  <c r="Y6" i="1132"/>
  <c r="AD6" i="1131"/>
  <c r="AD6" i="1132"/>
  <c r="J6" i="1131"/>
  <c r="J6" i="1132"/>
  <c r="U6" i="1131"/>
  <c r="U6" i="1132"/>
  <c r="H6" i="1131"/>
  <c r="H6" i="1132"/>
  <c r="K6" i="1131"/>
  <c r="K6" i="1132"/>
  <c r="Q6" i="1131"/>
  <c r="Q6" i="1132"/>
  <c r="M6" i="1131"/>
  <c r="M6" i="1132"/>
  <c r="Q6" i="1129"/>
  <c r="Q6" i="1130"/>
  <c r="Z6" i="1129"/>
  <c r="Z6" i="1130"/>
  <c r="G6" i="1129"/>
  <c r="G6" i="1130"/>
  <c r="M6" i="1129"/>
  <c r="M6" i="1130"/>
  <c r="E6" i="1129"/>
  <c r="E6" i="1130"/>
  <c r="T6" i="1129"/>
  <c r="T6" i="1130"/>
  <c r="N6" i="1129"/>
  <c r="N6" i="1130"/>
  <c r="I6" i="1129"/>
  <c r="I6" i="1130"/>
  <c r="W6" i="1129"/>
  <c r="W6" i="1130"/>
  <c r="D6" i="1129"/>
  <c r="D6" i="1130"/>
  <c r="X6" i="1129"/>
  <c r="X6" i="1130"/>
  <c r="AB6" i="1129"/>
  <c r="AB6" i="1130"/>
  <c r="L6" i="1129"/>
  <c r="L6" i="1130"/>
  <c r="AC6" i="1129"/>
  <c r="AC6" i="1130"/>
  <c r="F6" i="1129"/>
  <c r="F6" i="1130"/>
  <c r="R6" i="1129"/>
  <c r="R6" i="1130"/>
  <c r="AA6" i="1129"/>
  <c r="AA6" i="1130"/>
  <c r="P6" i="1129"/>
  <c r="P6" i="1130"/>
  <c r="S6" i="1129"/>
  <c r="S6" i="1130"/>
  <c r="O6" i="1129"/>
  <c r="O6" i="1130"/>
  <c r="Y6" i="1129"/>
  <c r="Y6" i="1130"/>
  <c r="AD6" i="1129"/>
  <c r="AD6" i="1130"/>
  <c r="J6" i="1129"/>
  <c r="J6" i="1130"/>
  <c r="U6" i="1129"/>
  <c r="U6" i="1130"/>
  <c r="H6" i="1129"/>
  <c r="H6" i="1130"/>
  <c r="K6" i="1129"/>
  <c r="K6" i="1130"/>
  <c r="AC6" i="1127"/>
  <c r="AC6" i="1128"/>
  <c r="P6" i="1127"/>
  <c r="P6" i="1128"/>
  <c r="Y6" i="1127"/>
  <c r="Y6" i="1128"/>
  <c r="J6" i="1127"/>
  <c r="J6" i="1128"/>
  <c r="U6" i="1127"/>
  <c r="U6" i="1128"/>
  <c r="H6" i="1127"/>
  <c r="H6" i="1128"/>
  <c r="K6" i="1127"/>
  <c r="K6" i="1128"/>
  <c r="R6" i="1127"/>
  <c r="R6" i="1128"/>
  <c r="S6" i="1127"/>
  <c r="S6" i="1128"/>
  <c r="AD6" i="1127"/>
  <c r="AD6" i="1128"/>
  <c r="Q6" i="1127"/>
  <c r="Q6" i="1128"/>
  <c r="Z6" i="1127"/>
  <c r="Z6" i="1128"/>
  <c r="G6" i="1127"/>
  <c r="G6" i="1128"/>
  <c r="M6" i="1127"/>
  <c r="M6" i="1128"/>
  <c r="E6" i="1127"/>
  <c r="E6" i="1128"/>
  <c r="T6" i="1127"/>
  <c r="T6" i="1128"/>
  <c r="F6" i="1127"/>
  <c r="F6" i="1128"/>
  <c r="AA6" i="1127"/>
  <c r="AA6" i="1128"/>
  <c r="O6" i="1127"/>
  <c r="O6" i="1128"/>
  <c r="N6" i="1127"/>
  <c r="N6" i="1128"/>
  <c r="I6" i="1127"/>
  <c r="I6" i="1128"/>
  <c r="W6" i="1127"/>
  <c r="W6" i="1128"/>
  <c r="D6" i="1127"/>
  <c r="D6" i="1128"/>
  <c r="X6" i="1127"/>
  <c r="X6" i="1128"/>
  <c r="AB6" i="1127"/>
  <c r="AB6" i="1128"/>
  <c r="L6" i="1127"/>
  <c r="L6" i="1128"/>
  <c r="AC6" i="154"/>
  <c r="R6" i="154"/>
  <c r="AB6" i="154"/>
  <c r="L6" i="154"/>
  <c r="Y6" i="154"/>
  <c r="AD6" i="154"/>
  <c r="J6" i="154"/>
  <c r="U6" i="154"/>
  <c r="P6" i="154"/>
  <c r="S6" i="154"/>
  <c r="O6" i="154"/>
  <c r="AA6" i="154"/>
  <c r="Z6" i="154"/>
  <c r="G6" i="154"/>
  <c r="M6" i="154"/>
  <c r="H6" i="154"/>
  <c r="K6" i="154"/>
  <c r="F6" i="154"/>
  <c r="X6" i="154"/>
  <c r="Q6" i="154"/>
  <c r="N6" i="154"/>
  <c r="I6" i="154"/>
  <c r="W6" i="154"/>
  <c r="D6" i="154"/>
  <c r="AE6" i="154"/>
  <c r="E6" i="154"/>
  <c r="T6" i="154"/>
  <c r="BA153" i="37"/>
  <c r="M153" i="37"/>
  <c r="BA130" i="37"/>
  <c r="BC130" i="37" s="1"/>
  <c r="BA129" i="37"/>
  <c r="BC129" i="37" s="1"/>
  <c r="BA128" i="37"/>
  <c r="BC128" i="37" s="1"/>
  <c r="AV130" i="37"/>
  <c r="AX130" i="37" s="1"/>
  <c r="AV129" i="37"/>
  <c r="AX129" i="37" s="1"/>
  <c r="AV128" i="37"/>
  <c r="AX128" i="37" s="1"/>
  <c r="AQ130" i="37"/>
  <c r="AS130" i="37" s="1"/>
  <c r="AQ129" i="37"/>
  <c r="AS129" i="37" s="1"/>
  <c r="AQ128" i="37"/>
  <c r="AS128" i="37" s="1"/>
  <c r="AL130" i="37"/>
  <c r="AN130" i="37" s="1"/>
  <c r="AL129" i="37"/>
  <c r="AN129" i="37" s="1"/>
  <c r="AL128" i="37"/>
  <c r="AN128" i="37" s="1"/>
  <c r="AG130" i="37"/>
  <c r="AI130" i="37" s="1"/>
  <c r="AG129" i="37"/>
  <c r="AI129" i="37" s="1"/>
  <c r="AG128" i="37"/>
  <c r="AI128" i="37" s="1"/>
  <c r="AB130" i="37"/>
  <c r="AD130" i="37" s="1"/>
  <c r="AB129" i="37"/>
  <c r="AD129" i="37" s="1"/>
  <c r="AB128" i="37"/>
  <c r="AD128" i="37" s="1"/>
  <c r="W130" i="37"/>
  <c r="Y130" i="37" s="1"/>
  <c r="W129" i="37"/>
  <c r="Y129" i="37" s="1"/>
  <c r="W128" i="37"/>
  <c r="Y128" i="37" s="1"/>
  <c r="R130" i="37"/>
  <c r="T130" i="37" s="1"/>
  <c r="R129" i="37"/>
  <c r="T129" i="37" s="1"/>
  <c r="R128" i="37"/>
  <c r="T128" i="37" s="1"/>
  <c r="M130" i="37"/>
  <c r="O130" i="37" s="1"/>
  <c r="M129" i="37"/>
  <c r="O129" i="37" s="1"/>
  <c r="M128" i="37"/>
  <c r="O128" i="37" s="1"/>
  <c r="BA150" i="37"/>
  <c r="BC150" i="37" s="1"/>
  <c r="BA149" i="37"/>
  <c r="BC149" i="37" s="1"/>
  <c r="BA148" i="37"/>
  <c r="BC148" i="37" s="1"/>
  <c r="AV150" i="37"/>
  <c r="AX150" i="37" s="1"/>
  <c r="AV149" i="37"/>
  <c r="AX149" i="37" s="1"/>
  <c r="AV148" i="37"/>
  <c r="AX148" i="37" s="1"/>
  <c r="AQ150" i="37"/>
  <c r="AS150" i="37" s="1"/>
  <c r="AQ149" i="37"/>
  <c r="AS149" i="37" s="1"/>
  <c r="AQ148" i="37"/>
  <c r="AS148" i="37" s="1"/>
  <c r="AN150" i="37"/>
  <c r="AL148" i="37"/>
  <c r="AN148" i="37" s="1"/>
  <c r="AG150" i="37"/>
  <c r="AI150" i="37" s="1"/>
  <c r="AG149" i="37"/>
  <c r="AI149" i="37" s="1"/>
  <c r="AG148" i="37"/>
  <c r="AI148" i="37" s="1"/>
  <c r="AB150" i="37"/>
  <c r="AD150" i="37" s="1"/>
  <c r="AB149" i="37"/>
  <c r="AD149" i="37" s="1"/>
  <c r="AB148" i="37"/>
  <c r="AD148" i="37" s="1"/>
  <c r="W150" i="37"/>
  <c r="Y150" i="37" s="1"/>
  <c r="W149" i="37"/>
  <c r="Y149" i="37" s="1"/>
  <c r="W148" i="37"/>
  <c r="Y148" i="37" s="1"/>
  <c r="R150" i="37"/>
  <c r="T150" i="37" s="1"/>
  <c r="R149" i="37"/>
  <c r="T149" i="37" s="1"/>
  <c r="R148" i="37"/>
  <c r="T148" i="37" s="1"/>
  <c r="M150" i="37"/>
  <c r="O150" i="37" s="1"/>
  <c r="M149" i="37"/>
  <c r="O149" i="37" s="1"/>
  <c r="M148" i="37"/>
  <c r="O148" i="37" s="1"/>
  <c r="H150" i="37"/>
  <c r="J150" i="37" s="1"/>
  <c r="H151" i="37"/>
  <c r="H149" i="37"/>
  <c r="J149" i="37" s="1"/>
  <c r="H148" i="37"/>
  <c r="J148" i="37" s="1"/>
  <c r="H128" i="37"/>
  <c r="J128" i="37" s="1"/>
  <c r="H129" i="37"/>
  <c r="J129" i="37" s="1"/>
  <c r="H130" i="37"/>
  <c r="J130" i="37" s="1"/>
  <c r="N9" i="19" l="1"/>
  <c r="N10" i="19"/>
  <c r="N11" i="19"/>
  <c r="N12" i="19"/>
  <c r="N13" i="19"/>
  <c r="N14" i="19"/>
  <c r="N15" i="19"/>
  <c r="N16" i="19"/>
  <c r="N17" i="19"/>
  <c r="I17" i="19"/>
  <c r="J17" i="19" s="1"/>
  <c r="I16" i="19"/>
  <c r="J16" i="19" s="1"/>
  <c r="I15" i="19"/>
  <c r="I14" i="19"/>
  <c r="I13" i="19"/>
  <c r="I12" i="19"/>
  <c r="I11" i="19"/>
  <c r="I10" i="19"/>
  <c r="I9" i="19"/>
  <c r="I8" i="19"/>
  <c r="BA152" i="37" l="1"/>
  <c r="BA151" i="37"/>
  <c r="BA147" i="37"/>
  <c r="BA146" i="37"/>
  <c r="BA145" i="37"/>
  <c r="BA144" i="37"/>
  <c r="BA143" i="37"/>
  <c r="BA142" i="37"/>
  <c r="BA141" i="37"/>
  <c r="BA140" i="37"/>
  <c r="BA139" i="37"/>
  <c r="BA138" i="37"/>
  <c r="BA137" i="37"/>
  <c r="BA136" i="37"/>
  <c r="BA135" i="37"/>
  <c r="BA134" i="37"/>
  <c r="BA133" i="37"/>
  <c r="BA132" i="37"/>
  <c r="BA131" i="37"/>
  <c r="BA127" i="37"/>
  <c r="BA126" i="37"/>
  <c r="BA125" i="37"/>
  <c r="BA124" i="37"/>
  <c r="BA123" i="37"/>
  <c r="BA122" i="37"/>
  <c r="BA121" i="37"/>
  <c r="BA120" i="37"/>
  <c r="BA119" i="37"/>
  <c r="BA118" i="37"/>
  <c r="BA117" i="37"/>
  <c r="BA116" i="37"/>
  <c r="BA115" i="37"/>
  <c r="BA114" i="37"/>
  <c r="BA113" i="37"/>
  <c r="BA112" i="37"/>
  <c r="BA111" i="37"/>
  <c r="BA110" i="37"/>
  <c r="BA109" i="37"/>
  <c r="BA108" i="37"/>
  <c r="BA107" i="37"/>
  <c r="BA106" i="37"/>
  <c r="BA105" i="37"/>
  <c r="BA104" i="37"/>
  <c r="BA103" i="37"/>
  <c r="BA102" i="37"/>
  <c r="BA101" i="37"/>
  <c r="BA100" i="37"/>
  <c r="BA99" i="37"/>
  <c r="BA98" i="37"/>
  <c r="BA97" i="37"/>
  <c r="BA96" i="37"/>
  <c r="BA95" i="37"/>
  <c r="BA94" i="37"/>
  <c r="BA93" i="37"/>
  <c r="BA92" i="37"/>
  <c r="BA91" i="37"/>
  <c r="BA90" i="37"/>
  <c r="BA89" i="37"/>
  <c r="BA88" i="37"/>
  <c r="BA87" i="37"/>
  <c r="BA86" i="37"/>
  <c r="BA85" i="37"/>
  <c r="BA84" i="37"/>
  <c r="BA83" i="37"/>
  <c r="BA82" i="37"/>
  <c r="BA81" i="37"/>
  <c r="BA80" i="37"/>
  <c r="BA79" i="37"/>
  <c r="BA78" i="37"/>
  <c r="BA77" i="37"/>
  <c r="BA76" i="37"/>
  <c r="BA75" i="37"/>
  <c r="BA74" i="37"/>
  <c r="BA73" i="37"/>
  <c r="BA72" i="37"/>
  <c r="BA71" i="37"/>
  <c r="BA70" i="37"/>
  <c r="BA69" i="37"/>
  <c r="BA68" i="37"/>
  <c r="BA67" i="37"/>
  <c r="BA66" i="37"/>
  <c r="BA65" i="37"/>
  <c r="BA64" i="37"/>
  <c r="BA63" i="37"/>
  <c r="BA62" i="37"/>
  <c r="BA61" i="37"/>
  <c r="BA60" i="37"/>
  <c r="BA59" i="37"/>
  <c r="BA58" i="37"/>
  <c r="BA57" i="37"/>
  <c r="BA56" i="37"/>
  <c r="BA55" i="37"/>
  <c r="BA54" i="37"/>
  <c r="BA53" i="37"/>
  <c r="BA52" i="37"/>
  <c r="BA51" i="37"/>
  <c r="BA50" i="37"/>
  <c r="BA49" i="37"/>
  <c r="BA48" i="37"/>
  <c r="BA47" i="37"/>
  <c r="BA46" i="37"/>
  <c r="BA45" i="37"/>
  <c r="BA44" i="37"/>
  <c r="BA43" i="37"/>
  <c r="BA42" i="37"/>
  <c r="BA41" i="37"/>
  <c r="BA40" i="37"/>
  <c r="BA39" i="37"/>
  <c r="BA38" i="37"/>
  <c r="BA37" i="37"/>
  <c r="BA36" i="37"/>
  <c r="BA35" i="37"/>
  <c r="BA34" i="37"/>
  <c r="BA33" i="37"/>
  <c r="BA32" i="37"/>
  <c r="BA31" i="37"/>
  <c r="BA30" i="37"/>
  <c r="BA29" i="37"/>
  <c r="BA28" i="37"/>
  <c r="BA27" i="37"/>
  <c r="BA26" i="37"/>
  <c r="BA25" i="37"/>
  <c r="BA24" i="37"/>
  <c r="BA23" i="37"/>
  <c r="BA22" i="37"/>
  <c r="BA21" i="37"/>
  <c r="BA20" i="37"/>
  <c r="BA19" i="37"/>
  <c r="BA18" i="37"/>
  <c r="BA17" i="37"/>
  <c r="BA16" i="37"/>
  <c r="BA15" i="37"/>
  <c r="BA14" i="37"/>
  <c r="BA13" i="37"/>
  <c r="BA12" i="37"/>
  <c r="BA11" i="37"/>
  <c r="BA10" i="37"/>
  <c r="BA9" i="37"/>
  <c r="AV153" i="37"/>
  <c r="AV152" i="37"/>
  <c r="AV151" i="37"/>
  <c r="AV147" i="37"/>
  <c r="AV146" i="37"/>
  <c r="AV145" i="37"/>
  <c r="AV144" i="37"/>
  <c r="AV143" i="37"/>
  <c r="AV142" i="37"/>
  <c r="AV141" i="37"/>
  <c r="AV140" i="37"/>
  <c r="AV139" i="37"/>
  <c r="AV138" i="37"/>
  <c r="AV137" i="37"/>
  <c r="AV136" i="37"/>
  <c r="AV135" i="37"/>
  <c r="AV134" i="37"/>
  <c r="AV133" i="37"/>
  <c r="AV132" i="37"/>
  <c r="AV131" i="37"/>
  <c r="AV127" i="37"/>
  <c r="AV126" i="37"/>
  <c r="AV125" i="37"/>
  <c r="AV124" i="37"/>
  <c r="AV123" i="37"/>
  <c r="AV122" i="37"/>
  <c r="AV121" i="37"/>
  <c r="AV120" i="37"/>
  <c r="AV119" i="37"/>
  <c r="AV118" i="37"/>
  <c r="AV117" i="37"/>
  <c r="AV116" i="37"/>
  <c r="AV115" i="37"/>
  <c r="AV114" i="37"/>
  <c r="AV113" i="37"/>
  <c r="AV112" i="37"/>
  <c r="AV111" i="37"/>
  <c r="AV110" i="37"/>
  <c r="AV109" i="37"/>
  <c r="AV108" i="37"/>
  <c r="AV107" i="37"/>
  <c r="AV106" i="37"/>
  <c r="AV105" i="37"/>
  <c r="AV104" i="37"/>
  <c r="AV103" i="37"/>
  <c r="AV102" i="37"/>
  <c r="AV101" i="37"/>
  <c r="AV100" i="37"/>
  <c r="AV99" i="37"/>
  <c r="AV98" i="37"/>
  <c r="AV97" i="37"/>
  <c r="AV96" i="37"/>
  <c r="AV95" i="37"/>
  <c r="AV94" i="37"/>
  <c r="AV93" i="37"/>
  <c r="AV92" i="37"/>
  <c r="AV91" i="37"/>
  <c r="AV90" i="37"/>
  <c r="AV89" i="37"/>
  <c r="AV88" i="37"/>
  <c r="AV87" i="37"/>
  <c r="AV86" i="37"/>
  <c r="AV85" i="37"/>
  <c r="AV84" i="37"/>
  <c r="AV83" i="37"/>
  <c r="AV82" i="37"/>
  <c r="AV81" i="37"/>
  <c r="AV80" i="37"/>
  <c r="AV79" i="37"/>
  <c r="AV78" i="37"/>
  <c r="AV77" i="37"/>
  <c r="AV76" i="37"/>
  <c r="AV75" i="37"/>
  <c r="AV74" i="37"/>
  <c r="AV73" i="37"/>
  <c r="AV72" i="37"/>
  <c r="AV71" i="37"/>
  <c r="AV70" i="37"/>
  <c r="AV69" i="37"/>
  <c r="AV68" i="37"/>
  <c r="AV67" i="37"/>
  <c r="AV66" i="37"/>
  <c r="AV65" i="37"/>
  <c r="AV64" i="37"/>
  <c r="AV63" i="37"/>
  <c r="AV62" i="37"/>
  <c r="AV61" i="37"/>
  <c r="AV60" i="37"/>
  <c r="AV59" i="37"/>
  <c r="AV58" i="37"/>
  <c r="AV57" i="37"/>
  <c r="AV56" i="37"/>
  <c r="AV55" i="37"/>
  <c r="AV54" i="37"/>
  <c r="AV53" i="37"/>
  <c r="AV52" i="37"/>
  <c r="AV51" i="37"/>
  <c r="AV50" i="37"/>
  <c r="AV49" i="37"/>
  <c r="AV48" i="37"/>
  <c r="AV47" i="37"/>
  <c r="AV46" i="37"/>
  <c r="AV45" i="37"/>
  <c r="AV44" i="37"/>
  <c r="AV43" i="37"/>
  <c r="AV42" i="37"/>
  <c r="AV41" i="37"/>
  <c r="AV40" i="37"/>
  <c r="AV39" i="37"/>
  <c r="AV38" i="37"/>
  <c r="AV37" i="37"/>
  <c r="AV36" i="37"/>
  <c r="AV35" i="37"/>
  <c r="AV34" i="37"/>
  <c r="AV33" i="37"/>
  <c r="AV32" i="37"/>
  <c r="AV31" i="37"/>
  <c r="AV30" i="37"/>
  <c r="AV29" i="37"/>
  <c r="AV28" i="37"/>
  <c r="AV27" i="37"/>
  <c r="AV26" i="37"/>
  <c r="AV25" i="37"/>
  <c r="AV24" i="37"/>
  <c r="AV23" i="37"/>
  <c r="AV22" i="37"/>
  <c r="AV21" i="37"/>
  <c r="AV20" i="37"/>
  <c r="AV19" i="37"/>
  <c r="AV18" i="37"/>
  <c r="AV17" i="37"/>
  <c r="AV16" i="37"/>
  <c r="AV15" i="37"/>
  <c r="AV14" i="37"/>
  <c r="AV13" i="37"/>
  <c r="AV12" i="37"/>
  <c r="AV11" i="37"/>
  <c r="AV10" i="37"/>
  <c r="AV9" i="37"/>
  <c r="AQ153" i="37"/>
  <c r="AQ152" i="37"/>
  <c r="AQ151" i="37"/>
  <c r="AQ147" i="37"/>
  <c r="AQ146" i="37"/>
  <c r="AQ145" i="37"/>
  <c r="AQ144" i="37"/>
  <c r="AQ143" i="37"/>
  <c r="AQ142" i="37"/>
  <c r="AQ141" i="37"/>
  <c r="AQ140" i="37"/>
  <c r="AQ139" i="37"/>
  <c r="AQ138" i="37"/>
  <c r="AQ137" i="37"/>
  <c r="AQ136" i="37"/>
  <c r="AQ135" i="37"/>
  <c r="AQ134" i="37"/>
  <c r="AQ133" i="37"/>
  <c r="AQ132" i="37"/>
  <c r="AQ131" i="37"/>
  <c r="AQ127" i="37"/>
  <c r="AQ126" i="37"/>
  <c r="AQ125" i="37"/>
  <c r="AQ124" i="37"/>
  <c r="AQ123" i="37"/>
  <c r="AQ122" i="37"/>
  <c r="AQ121" i="37"/>
  <c r="AQ120" i="37"/>
  <c r="AQ119" i="37"/>
  <c r="AQ118" i="37"/>
  <c r="AQ117" i="37"/>
  <c r="AQ116" i="37"/>
  <c r="AQ115" i="37"/>
  <c r="AQ114" i="37"/>
  <c r="AQ113" i="37"/>
  <c r="AQ112" i="37"/>
  <c r="AQ111" i="37"/>
  <c r="AQ110" i="37"/>
  <c r="AQ109" i="37"/>
  <c r="AQ108" i="37"/>
  <c r="AQ107" i="37"/>
  <c r="AQ106" i="37"/>
  <c r="AQ105" i="37"/>
  <c r="AQ104" i="37"/>
  <c r="AQ103" i="37"/>
  <c r="AQ102" i="37"/>
  <c r="AQ101" i="37"/>
  <c r="AQ100" i="37"/>
  <c r="AQ99" i="37"/>
  <c r="AQ98" i="37"/>
  <c r="AQ97" i="37"/>
  <c r="AQ96" i="37"/>
  <c r="AQ95" i="37"/>
  <c r="AQ94" i="37"/>
  <c r="AQ93" i="37"/>
  <c r="AQ92" i="37"/>
  <c r="AQ91" i="37"/>
  <c r="AQ90" i="37"/>
  <c r="AQ89" i="37"/>
  <c r="AQ88" i="37"/>
  <c r="AQ87" i="37"/>
  <c r="AQ86" i="37"/>
  <c r="AQ85" i="37"/>
  <c r="AQ84" i="37"/>
  <c r="AQ83" i="37"/>
  <c r="AQ82" i="37"/>
  <c r="AQ81" i="37"/>
  <c r="AQ80" i="37"/>
  <c r="AQ79" i="37"/>
  <c r="AQ78" i="37"/>
  <c r="AQ77" i="37"/>
  <c r="AQ76" i="37"/>
  <c r="AQ75" i="37"/>
  <c r="AQ74" i="37"/>
  <c r="AQ73" i="37"/>
  <c r="AQ72" i="37"/>
  <c r="AQ71" i="37"/>
  <c r="AQ70" i="37"/>
  <c r="AQ69" i="37"/>
  <c r="AQ68" i="37"/>
  <c r="AQ67" i="37"/>
  <c r="AQ66" i="37"/>
  <c r="AQ65" i="37"/>
  <c r="AQ64" i="37"/>
  <c r="AQ63" i="37"/>
  <c r="AQ62" i="37"/>
  <c r="AQ61" i="37"/>
  <c r="AQ60" i="37"/>
  <c r="AQ59" i="37"/>
  <c r="AQ58" i="37"/>
  <c r="AQ57" i="37"/>
  <c r="AQ56" i="37"/>
  <c r="AQ55" i="37"/>
  <c r="AQ54" i="37"/>
  <c r="AQ53" i="37"/>
  <c r="AQ52" i="37"/>
  <c r="AQ51" i="37"/>
  <c r="AQ50" i="37"/>
  <c r="AQ49" i="37"/>
  <c r="AQ48" i="37"/>
  <c r="AQ47" i="37"/>
  <c r="AQ46" i="37"/>
  <c r="AQ45" i="37"/>
  <c r="AQ44" i="37"/>
  <c r="AQ43" i="37"/>
  <c r="AQ42" i="37"/>
  <c r="AQ41" i="37"/>
  <c r="AQ40" i="37"/>
  <c r="AQ39" i="37"/>
  <c r="AQ38" i="37"/>
  <c r="AQ37" i="37"/>
  <c r="AQ36" i="37"/>
  <c r="AQ35" i="37"/>
  <c r="AQ34" i="37"/>
  <c r="AQ33" i="37"/>
  <c r="AQ32" i="37"/>
  <c r="AQ31" i="37"/>
  <c r="AQ30" i="37"/>
  <c r="AQ29" i="37"/>
  <c r="AQ28" i="37"/>
  <c r="AQ27" i="37"/>
  <c r="AQ26" i="37"/>
  <c r="AQ25" i="37"/>
  <c r="AQ24" i="37"/>
  <c r="AQ23" i="37"/>
  <c r="AQ22" i="37"/>
  <c r="AQ21" i="37"/>
  <c r="AQ20" i="37"/>
  <c r="AQ19" i="37"/>
  <c r="AQ18" i="37"/>
  <c r="AQ17" i="37"/>
  <c r="AQ16" i="37"/>
  <c r="AQ15" i="37"/>
  <c r="AQ14" i="37"/>
  <c r="AQ13" i="37"/>
  <c r="AQ12" i="37"/>
  <c r="AQ11" i="37"/>
  <c r="AQ10" i="37"/>
  <c r="AQ9" i="37"/>
  <c r="AL153" i="37"/>
  <c r="AL152" i="37"/>
  <c r="AL151" i="37"/>
  <c r="AL147" i="37"/>
  <c r="AL146" i="37"/>
  <c r="AL145" i="37"/>
  <c r="AL144" i="37"/>
  <c r="AL143" i="37"/>
  <c r="AL142" i="37"/>
  <c r="AL141" i="37"/>
  <c r="AL140" i="37"/>
  <c r="AL139" i="37"/>
  <c r="AL138" i="37"/>
  <c r="AL137" i="37"/>
  <c r="AL136" i="37"/>
  <c r="AL135" i="37"/>
  <c r="AL134" i="37"/>
  <c r="AL133" i="37"/>
  <c r="AL132" i="37"/>
  <c r="AL131" i="37"/>
  <c r="AL127" i="37"/>
  <c r="AL126" i="37"/>
  <c r="AL125" i="37"/>
  <c r="AL124" i="37"/>
  <c r="AL123" i="37"/>
  <c r="AL122" i="37"/>
  <c r="AL121" i="37"/>
  <c r="AL120" i="37"/>
  <c r="AL119" i="37"/>
  <c r="AL118" i="37"/>
  <c r="AL117" i="37"/>
  <c r="AL116" i="37"/>
  <c r="AL115" i="37"/>
  <c r="AL114" i="37"/>
  <c r="AL113" i="37"/>
  <c r="AL112" i="37"/>
  <c r="AL111" i="37"/>
  <c r="AL110" i="37"/>
  <c r="AL109" i="37"/>
  <c r="AL108" i="37"/>
  <c r="AL107" i="37"/>
  <c r="AL106" i="37"/>
  <c r="AL105" i="37"/>
  <c r="AL104" i="37"/>
  <c r="AL103" i="37"/>
  <c r="AL102" i="37"/>
  <c r="AL101" i="37"/>
  <c r="AL100" i="37"/>
  <c r="AL99" i="37"/>
  <c r="AL98" i="37"/>
  <c r="AL97" i="37"/>
  <c r="AL96" i="37"/>
  <c r="AL95" i="37"/>
  <c r="AL94" i="37"/>
  <c r="AL93" i="37"/>
  <c r="AL92" i="37"/>
  <c r="AL91" i="37"/>
  <c r="AL90" i="37"/>
  <c r="AL89" i="37"/>
  <c r="AL88" i="37"/>
  <c r="AL87" i="37"/>
  <c r="AL86" i="37"/>
  <c r="AL85" i="37"/>
  <c r="AL84" i="37"/>
  <c r="AL83" i="37"/>
  <c r="AL82" i="37"/>
  <c r="AL81" i="37"/>
  <c r="AL80" i="37"/>
  <c r="AL79" i="37"/>
  <c r="AL78" i="37"/>
  <c r="AL77" i="37"/>
  <c r="AL76" i="37"/>
  <c r="AL75" i="37"/>
  <c r="AL74" i="37"/>
  <c r="AL73" i="37"/>
  <c r="AL72" i="37"/>
  <c r="AL71" i="37"/>
  <c r="AL70" i="37"/>
  <c r="AL69" i="37"/>
  <c r="AL68" i="37"/>
  <c r="AL67" i="37"/>
  <c r="AL66" i="37"/>
  <c r="AL65" i="37"/>
  <c r="AL64" i="37"/>
  <c r="AL63" i="37"/>
  <c r="AL62" i="37"/>
  <c r="AL61" i="37"/>
  <c r="AL60" i="37"/>
  <c r="AL59" i="37"/>
  <c r="AL58" i="37"/>
  <c r="AL57" i="37"/>
  <c r="AL56" i="37"/>
  <c r="AL55" i="37"/>
  <c r="AL54" i="37"/>
  <c r="AL53" i="37"/>
  <c r="AL52" i="37"/>
  <c r="AL51" i="37"/>
  <c r="AL50" i="37"/>
  <c r="AL49" i="37"/>
  <c r="AL48" i="37"/>
  <c r="AL47" i="37"/>
  <c r="AL46" i="37"/>
  <c r="AL45" i="37"/>
  <c r="AL44" i="37"/>
  <c r="AL43" i="37"/>
  <c r="AL42" i="37"/>
  <c r="AL41" i="37"/>
  <c r="AL40" i="37"/>
  <c r="AL39" i="37"/>
  <c r="AL38" i="37"/>
  <c r="AL37" i="37"/>
  <c r="AL36" i="37"/>
  <c r="AL35" i="37"/>
  <c r="AL34" i="37"/>
  <c r="AL33" i="37"/>
  <c r="AL32" i="37"/>
  <c r="AL31" i="37"/>
  <c r="AL30" i="37"/>
  <c r="AL29" i="37"/>
  <c r="AL28" i="37"/>
  <c r="AL27" i="37"/>
  <c r="AL26" i="37"/>
  <c r="AL25" i="37"/>
  <c r="AL24" i="37"/>
  <c r="AL23" i="37"/>
  <c r="AL22" i="37"/>
  <c r="AL21" i="37"/>
  <c r="AL20" i="37"/>
  <c r="AL19" i="37"/>
  <c r="AL18" i="37"/>
  <c r="AL17" i="37"/>
  <c r="AL16" i="37"/>
  <c r="AL15" i="37"/>
  <c r="AL14" i="37"/>
  <c r="AL13" i="37"/>
  <c r="AL12" i="37"/>
  <c r="AL11" i="37"/>
  <c r="AL10" i="37"/>
  <c r="AL9" i="37"/>
  <c r="AG153" i="37"/>
  <c r="AG152" i="37"/>
  <c r="AG151" i="37"/>
  <c r="AG147" i="37"/>
  <c r="AG146" i="37"/>
  <c r="AG145" i="37"/>
  <c r="AG144" i="37"/>
  <c r="AG143" i="37"/>
  <c r="AG142" i="37"/>
  <c r="AG141" i="37"/>
  <c r="AG140" i="37"/>
  <c r="AG139" i="37"/>
  <c r="AG138" i="37"/>
  <c r="AG137" i="37"/>
  <c r="AG136" i="37"/>
  <c r="AG135" i="37"/>
  <c r="AG134" i="37"/>
  <c r="AG133" i="37"/>
  <c r="AG132" i="37"/>
  <c r="AG131" i="37"/>
  <c r="AG127" i="37"/>
  <c r="AG126" i="37"/>
  <c r="AG125" i="37"/>
  <c r="AG124" i="37"/>
  <c r="AG123" i="37"/>
  <c r="AG122" i="37"/>
  <c r="AG121" i="37"/>
  <c r="AG120" i="37"/>
  <c r="AG119" i="37"/>
  <c r="AG118" i="37"/>
  <c r="AG117" i="37"/>
  <c r="AG116" i="37"/>
  <c r="AG115" i="37"/>
  <c r="AG114" i="37"/>
  <c r="AG113" i="37"/>
  <c r="AG112" i="37"/>
  <c r="AG111" i="37"/>
  <c r="AG110" i="37"/>
  <c r="AG109" i="37"/>
  <c r="AG108" i="37"/>
  <c r="AG107" i="37"/>
  <c r="AG106" i="37"/>
  <c r="AG105" i="37"/>
  <c r="AG104" i="37"/>
  <c r="AG103" i="37"/>
  <c r="AG102" i="37"/>
  <c r="AG101" i="37"/>
  <c r="AG100" i="37"/>
  <c r="AG99" i="37"/>
  <c r="AG98" i="37"/>
  <c r="AG97" i="37"/>
  <c r="AG96" i="37"/>
  <c r="AG95" i="37"/>
  <c r="AG94" i="37"/>
  <c r="AG93" i="37"/>
  <c r="AG92" i="37"/>
  <c r="AG91" i="37"/>
  <c r="AG90" i="37"/>
  <c r="AG89" i="37"/>
  <c r="AG88" i="37"/>
  <c r="AG87" i="37"/>
  <c r="AG86" i="37"/>
  <c r="AG85" i="37"/>
  <c r="AG84" i="37"/>
  <c r="AG83" i="37"/>
  <c r="AG82" i="37"/>
  <c r="AG81" i="37"/>
  <c r="AG80" i="37"/>
  <c r="AG79" i="37"/>
  <c r="AG78" i="37"/>
  <c r="AG77" i="37"/>
  <c r="AG76" i="37"/>
  <c r="AG75" i="37"/>
  <c r="AG74" i="37"/>
  <c r="AG73" i="37"/>
  <c r="AG72" i="37"/>
  <c r="AG71" i="37"/>
  <c r="AG70" i="37"/>
  <c r="AG69" i="37"/>
  <c r="AG68" i="37"/>
  <c r="AG67" i="37"/>
  <c r="AG66" i="37"/>
  <c r="AG65" i="37"/>
  <c r="AG64" i="37"/>
  <c r="AG63" i="37"/>
  <c r="AG62" i="37"/>
  <c r="AG61" i="37"/>
  <c r="AG60" i="37"/>
  <c r="AG59" i="37"/>
  <c r="AG58" i="37"/>
  <c r="AG57" i="37"/>
  <c r="AG56" i="37"/>
  <c r="AG55" i="37"/>
  <c r="AG54" i="37"/>
  <c r="AG53" i="37"/>
  <c r="AG52" i="37"/>
  <c r="AG51" i="37"/>
  <c r="AG50" i="37"/>
  <c r="AG49" i="37"/>
  <c r="AG48" i="37"/>
  <c r="AG47" i="37"/>
  <c r="AG46" i="37"/>
  <c r="AG45" i="37"/>
  <c r="AG44" i="37"/>
  <c r="AG43" i="37"/>
  <c r="AG42" i="37"/>
  <c r="AG41" i="37"/>
  <c r="AG40" i="37"/>
  <c r="AG39" i="37"/>
  <c r="AG38" i="37"/>
  <c r="AG37" i="37"/>
  <c r="AG36" i="37"/>
  <c r="AG35" i="37"/>
  <c r="AG34" i="37"/>
  <c r="AG33" i="37"/>
  <c r="AG32" i="37"/>
  <c r="AG31" i="37"/>
  <c r="AG30" i="37"/>
  <c r="AG29" i="37"/>
  <c r="AG28" i="37"/>
  <c r="AG27" i="37"/>
  <c r="AG26" i="37"/>
  <c r="AG25" i="37"/>
  <c r="AG24" i="37"/>
  <c r="AG23" i="37"/>
  <c r="AG22" i="37"/>
  <c r="AG21" i="37"/>
  <c r="AG20" i="37"/>
  <c r="AG19" i="37"/>
  <c r="AG18" i="37"/>
  <c r="AG17" i="37"/>
  <c r="AG16" i="37"/>
  <c r="AG15" i="37"/>
  <c r="AG14" i="37"/>
  <c r="AG13" i="37"/>
  <c r="AG12" i="37"/>
  <c r="AG11" i="37"/>
  <c r="AG10" i="37"/>
  <c r="AG9" i="37"/>
  <c r="AB153" i="37"/>
  <c r="AB152" i="37"/>
  <c r="AB151" i="37"/>
  <c r="AB147" i="37"/>
  <c r="AB146" i="37"/>
  <c r="AB145" i="37"/>
  <c r="AB144" i="37"/>
  <c r="AB143" i="37"/>
  <c r="AB142" i="37"/>
  <c r="AB141" i="37"/>
  <c r="AB140" i="37"/>
  <c r="AB139" i="37"/>
  <c r="AB138" i="37"/>
  <c r="AB137" i="37"/>
  <c r="AB136" i="37"/>
  <c r="AB135" i="37"/>
  <c r="AB134" i="37"/>
  <c r="AB133" i="37"/>
  <c r="AB132" i="37"/>
  <c r="AB131" i="37"/>
  <c r="AB127" i="37"/>
  <c r="AB126" i="37"/>
  <c r="AB125" i="37"/>
  <c r="AB124" i="37"/>
  <c r="AB123" i="37"/>
  <c r="AB122" i="37"/>
  <c r="AB121" i="37"/>
  <c r="AB120" i="37"/>
  <c r="AB119" i="37"/>
  <c r="AB118" i="37"/>
  <c r="AB117" i="37"/>
  <c r="AB116" i="37"/>
  <c r="AB115" i="37"/>
  <c r="AB114" i="37"/>
  <c r="AB113" i="37"/>
  <c r="AB112" i="37"/>
  <c r="AB111" i="37"/>
  <c r="AB110" i="37"/>
  <c r="AB109" i="37"/>
  <c r="AB108" i="37"/>
  <c r="AB107" i="37"/>
  <c r="AB106" i="37"/>
  <c r="AB105" i="37"/>
  <c r="AB104" i="37"/>
  <c r="AB103" i="37"/>
  <c r="AB102" i="37"/>
  <c r="AB101" i="37"/>
  <c r="AB100" i="37"/>
  <c r="AB99" i="37"/>
  <c r="AB98" i="37"/>
  <c r="AB97" i="37"/>
  <c r="AB96" i="37"/>
  <c r="AB95" i="37"/>
  <c r="AB94" i="37"/>
  <c r="AB93" i="37"/>
  <c r="AB92" i="37"/>
  <c r="AB91" i="37"/>
  <c r="AB90" i="37"/>
  <c r="AB89" i="37"/>
  <c r="AB88" i="37"/>
  <c r="AB87" i="37"/>
  <c r="AB86" i="37"/>
  <c r="AB85" i="37"/>
  <c r="AB84" i="37"/>
  <c r="AB83" i="37"/>
  <c r="AB82" i="37"/>
  <c r="AB81" i="37"/>
  <c r="AB80" i="37"/>
  <c r="AB79" i="37"/>
  <c r="AB78" i="37"/>
  <c r="AB77" i="37"/>
  <c r="AB76" i="37"/>
  <c r="AB75" i="37"/>
  <c r="AB74" i="37"/>
  <c r="AB73" i="37"/>
  <c r="AB72" i="37"/>
  <c r="AB71" i="37"/>
  <c r="AB70" i="37"/>
  <c r="AB69" i="37"/>
  <c r="AB68" i="37"/>
  <c r="AB67" i="37"/>
  <c r="AB66" i="37"/>
  <c r="AB65" i="37"/>
  <c r="AB64" i="37"/>
  <c r="AB63" i="37"/>
  <c r="AB62" i="37"/>
  <c r="AB61" i="37"/>
  <c r="AB60" i="37"/>
  <c r="AB59" i="37"/>
  <c r="AB58" i="37"/>
  <c r="AB57" i="37"/>
  <c r="AB56" i="37"/>
  <c r="AB55" i="37"/>
  <c r="AB54" i="37"/>
  <c r="AB53" i="37"/>
  <c r="AB52" i="37"/>
  <c r="AB51" i="37"/>
  <c r="AB50" i="37"/>
  <c r="AB49" i="37"/>
  <c r="AB48" i="37"/>
  <c r="AB47" i="37"/>
  <c r="AB46" i="37"/>
  <c r="AB45" i="37"/>
  <c r="AB44" i="37"/>
  <c r="AB43" i="37"/>
  <c r="AB42" i="37"/>
  <c r="AB41" i="37"/>
  <c r="AB40" i="37"/>
  <c r="AB39" i="37"/>
  <c r="AB38" i="37"/>
  <c r="AB37" i="37"/>
  <c r="AB36" i="37"/>
  <c r="AB35" i="37"/>
  <c r="AB34" i="37"/>
  <c r="AB33" i="37"/>
  <c r="AB32" i="37"/>
  <c r="AB31" i="37"/>
  <c r="AB30" i="37"/>
  <c r="AB29" i="37"/>
  <c r="AB28" i="37"/>
  <c r="AB27" i="37"/>
  <c r="AB26" i="37"/>
  <c r="AB25" i="37"/>
  <c r="AB24" i="37"/>
  <c r="AB23" i="37"/>
  <c r="AB22" i="37"/>
  <c r="AB21" i="37"/>
  <c r="AB20" i="37"/>
  <c r="AB19" i="37"/>
  <c r="AB18" i="37"/>
  <c r="AB17" i="37"/>
  <c r="AB16" i="37"/>
  <c r="AB15" i="37"/>
  <c r="AB14" i="37"/>
  <c r="AB13" i="37"/>
  <c r="AB12" i="37"/>
  <c r="AB11" i="37"/>
  <c r="AB10" i="37"/>
  <c r="AB9" i="37"/>
  <c r="W153" i="37"/>
  <c r="W152" i="37"/>
  <c r="W151" i="37"/>
  <c r="W147" i="37"/>
  <c r="W146" i="37"/>
  <c r="W145" i="37"/>
  <c r="W144" i="37"/>
  <c r="W143" i="37"/>
  <c r="W142" i="37"/>
  <c r="W141" i="37"/>
  <c r="W140" i="37"/>
  <c r="W139" i="37"/>
  <c r="W138" i="37"/>
  <c r="W137" i="37"/>
  <c r="W136" i="37"/>
  <c r="W135" i="37"/>
  <c r="W134" i="37"/>
  <c r="W133" i="37"/>
  <c r="W132" i="37"/>
  <c r="W131" i="37"/>
  <c r="W127" i="37"/>
  <c r="W126" i="37"/>
  <c r="W125" i="37"/>
  <c r="W124" i="37"/>
  <c r="W123" i="37"/>
  <c r="W122" i="37"/>
  <c r="W121" i="37"/>
  <c r="W120" i="37"/>
  <c r="W119" i="37"/>
  <c r="W118" i="37"/>
  <c r="W117" i="37"/>
  <c r="W116" i="37"/>
  <c r="W115" i="37"/>
  <c r="W114" i="37"/>
  <c r="W113" i="37"/>
  <c r="W112" i="37"/>
  <c r="W111" i="37"/>
  <c r="W110" i="37"/>
  <c r="W109" i="37"/>
  <c r="W108" i="37"/>
  <c r="W107" i="37"/>
  <c r="W106" i="37"/>
  <c r="W105" i="37"/>
  <c r="W104" i="37"/>
  <c r="W103" i="37"/>
  <c r="W102" i="37"/>
  <c r="W101" i="37"/>
  <c r="W100" i="37"/>
  <c r="W99" i="37"/>
  <c r="W98" i="37"/>
  <c r="W97" i="37"/>
  <c r="W96" i="37"/>
  <c r="W95" i="37"/>
  <c r="W94" i="37"/>
  <c r="W93" i="37"/>
  <c r="W92" i="37"/>
  <c r="W91" i="37"/>
  <c r="W90" i="37"/>
  <c r="W89" i="37"/>
  <c r="W88" i="37"/>
  <c r="W87" i="37"/>
  <c r="W86" i="37"/>
  <c r="W85" i="37"/>
  <c r="W84" i="37"/>
  <c r="W83" i="37"/>
  <c r="W82" i="37"/>
  <c r="W81" i="37"/>
  <c r="W80" i="37"/>
  <c r="W79" i="37"/>
  <c r="W78" i="37"/>
  <c r="W77" i="37"/>
  <c r="W76" i="37"/>
  <c r="W75" i="37"/>
  <c r="W74" i="37"/>
  <c r="W73" i="37"/>
  <c r="W72" i="37"/>
  <c r="W71" i="37"/>
  <c r="W70" i="37"/>
  <c r="W69" i="37"/>
  <c r="W68" i="37"/>
  <c r="W67" i="37"/>
  <c r="W66" i="37"/>
  <c r="W65" i="37"/>
  <c r="W64" i="37"/>
  <c r="W63" i="37"/>
  <c r="W62" i="37"/>
  <c r="W61" i="37"/>
  <c r="W60" i="37"/>
  <c r="W59" i="37"/>
  <c r="W58" i="37"/>
  <c r="W57" i="37"/>
  <c r="W56" i="37"/>
  <c r="W55" i="37"/>
  <c r="W54" i="37"/>
  <c r="W53" i="37"/>
  <c r="W52" i="37"/>
  <c r="W51" i="37"/>
  <c r="W50" i="37"/>
  <c r="W49" i="37"/>
  <c r="W48" i="37"/>
  <c r="W47" i="37"/>
  <c r="W46" i="37"/>
  <c r="W45" i="37"/>
  <c r="W44" i="37"/>
  <c r="W43" i="37"/>
  <c r="W42" i="37"/>
  <c r="W41" i="37"/>
  <c r="W40" i="37"/>
  <c r="W39" i="37"/>
  <c r="W38" i="37"/>
  <c r="W37" i="37"/>
  <c r="W36" i="37"/>
  <c r="W35" i="37"/>
  <c r="W34" i="37"/>
  <c r="W33" i="37"/>
  <c r="W32" i="37"/>
  <c r="W31" i="37"/>
  <c r="W30" i="37"/>
  <c r="W29" i="37"/>
  <c r="W28" i="37"/>
  <c r="W27" i="37"/>
  <c r="W26" i="37"/>
  <c r="W25" i="37"/>
  <c r="W24" i="37"/>
  <c r="W23" i="37"/>
  <c r="W22" i="37"/>
  <c r="W21" i="37"/>
  <c r="W20" i="37"/>
  <c r="W19" i="37"/>
  <c r="W18" i="37"/>
  <c r="W17" i="37"/>
  <c r="W16" i="37"/>
  <c r="W15" i="37"/>
  <c r="W14" i="37"/>
  <c r="W13" i="37"/>
  <c r="W12" i="37"/>
  <c r="W11" i="37"/>
  <c r="W10" i="37"/>
  <c r="W9" i="37"/>
  <c r="R153" i="37"/>
  <c r="R152" i="37"/>
  <c r="R151" i="37"/>
  <c r="R147" i="37"/>
  <c r="R146" i="37"/>
  <c r="R145" i="37"/>
  <c r="R144" i="37"/>
  <c r="R143" i="37"/>
  <c r="R142" i="37"/>
  <c r="R141" i="37"/>
  <c r="R140" i="37"/>
  <c r="R139" i="37"/>
  <c r="R138" i="37"/>
  <c r="R137" i="37"/>
  <c r="R136" i="37"/>
  <c r="R135" i="37"/>
  <c r="R134" i="37"/>
  <c r="R133" i="37"/>
  <c r="R132" i="37"/>
  <c r="R131" i="37"/>
  <c r="R127" i="37"/>
  <c r="R126" i="37"/>
  <c r="R125" i="37"/>
  <c r="R124" i="37"/>
  <c r="R123" i="37"/>
  <c r="R122" i="37"/>
  <c r="R121" i="37"/>
  <c r="R120" i="37"/>
  <c r="R119" i="37"/>
  <c r="R118" i="37"/>
  <c r="R117" i="37"/>
  <c r="R116" i="37"/>
  <c r="R115" i="37"/>
  <c r="R114" i="37"/>
  <c r="R113" i="37"/>
  <c r="R112" i="37"/>
  <c r="R111" i="37"/>
  <c r="R110" i="37"/>
  <c r="R109" i="37"/>
  <c r="R108" i="37"/>
  <c r="R107" i="37"/>
  <c r="R106" i="37"/>
  <c r="R105" i="37"/>
  <c r="R104" i="37"/>
  <c r="R103" i="37"/>
  <c r="R102" i="37"/>
  <c r="R101" i="37"/>
  <c r="R100" i="37"/>
  <c r="R99" i="37"/>
  <c r="R98" i="37"/>
  <c r="R97" i="37"/>
  <c r="R96" i="37"/>
  <c r="R95" i="37"/>
  <c r="R94" i="37"/>
  <c r="R93" i="37"/>
  <c r="R92" i="37"/>
  <c r="R91" i="37"/>
  <c r="R90" i="37"/>
  <c r="R89" i="37"/>
  <c r="R88" i="37"/>
  <c r="R87" i="37"/>
  <c r="R86" i="37"/>
  <c r="R85" i="37"/>
  <c r="R84" i="37"/>
  <c r="R83" i="37"/>
  <c r="R82" i="37"/>
  <c r="R81" i="37"/>
  <c r="R80" i="37"/>
  <c r="R79" i="37"/>
  <c r="R78" i="37"/>
  <c r="R77" i="37"/>
  <c r="R76" i="37"/>
  <c r="R75" i="37"/>
  <c r="R74" i="37"/>
  <c r="R73" i="37"/>
  <c r="R72" i="37"/>
  <c r="R71" i="37"/>
  <c r="R70" i="37"/>
  <c r="R69" i="37"/>
  <c r="R68" i="37"/>
  <c r="R67" i="37"/>
  <c r="R66" i="37"/>
  <c r="R65" i="37"/>
  <c r="R64" i="37"/>
  <c r="R63" i="37"/>
  <c r="R62" i="37"/>
  <c r="R61" i="37"/>
  <c r="R60" i="37"/>
  <c r="R59" i="37"/>
  <c r="R58" i="37"/>
  <c r="R57" i="37"/>
  <c r="R56" i="37"/>
  <c r="R55" i="37"/>
  <c r="R54" i="37"/>
  <c r="R53" i="37"/>
  <c r="R52" i="37"/>
  <c r="R51"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20" i="37"/>
  <c r="R19" i="37"/>
  <c r="R18" i="37"/>
  <c r="R17" i="37"/>
  <c r="R16" i="37"/>
  <c r="R15" i="37"/>
  <c r="R14" i="37"/>
  <c r="R13" i="37"/>
  <c r="R12" i="37"/>
  <c r="R11" i="37"/>
  <c r="R10" i="37"/>
  <c r="R9" i="37"/>
  <c r="M152" i="37"/>
  <c r="M151" i="37"/>
  <c r="M147" i="37"/>
  <c r="M146" i="37"/>
  <c r="M145" i="37"/>
  <c r="M144" i="37"/>
  <c r="M143" i="37"/>
  <c r="M142" i="37"/>
  <c r="M141" i="37"/>
  <c r="M140" i="37"/>
  <c r="M139" i="37"/>
  <c r="M136" i="37"/>
  <c r="M135" i="37"/>
  <c r="M134" i="37"/>
  <c r="M133" i="37"/>
  <c r="M132" i="37"/>
  <c r="M131" i="37"/>
  <c r="M127" i="37"/>
  <c r="M126" i="37"/>
  <c r="M125" i="37"/>
  <c r="M124" i="37"/>
  <c r="M123" i="37"/>
  <c r="M122" i="37"/>
  <c r="M121" i="37"/>
  <c r="M120" i="37"/>
  <c r="M119" i="37"/>
  <c r="M118" i="37"/>
  <c r="M117" i="37"/>
  <c r="M116" i="37"/>
  <c r="M115" i="37"/>
  <c r="M114" i="37"/>
  <c r="M113" i="37"/>
  <c r="M112" i="37"/>
  <c r="M111" i="37"/>
  <c r="M110" i="37"/>
  <c r="M109" i="37"/>
  <c r="M108" i="37"/>
  <c r="M107" i="37"/>
  <c r="M106" i="37"/>
  <c r="M105" i="37"/>
  <c r="M104" i="37"/>
  <c r="M103" i="37"/>
  <c r="M102" i="37"/>
  <c r="M101" i="37"/>
  <c r="M100" i="37"/>
  <c r="M99" i="37"/>
  <c r="M98" i="37"/>
  <c r="M97" i="37"/>
  <c r="M96" i="37"/>
  <c r="M95" i="37"/>
  <c r="M94" i="37"/>
  <c r="M93" i="37"/>
  <c r="M92" i="37"/>
  <c r="M91" i="37"/>
  <c r="M90" i="37"/>
  <c r="M89" i="37"/>
  <c r="M88" i="37"/>
  <c r="M87" i="37"/>
  <c r="M86" i="37"/>
  <c r="M85" i="37"/>
  <c r="M84" i="37"/>
  <c r="M83" i="37"/>
  <c r="M82" i="37"/>
  <c r="M81" i="37"/>
  <c r="M80" i="37"/>
  <c r="M79" i="37"/>
  <c r="M78" i="37"/>
  <c r="M77" i="37"/>
  <c r="M76" i="37"/>
  <c r="M75" i="37"/>
  <c r="M74" i="37"/>
  <c r="M73" i="37"/>
  <c r="M72" i="37"/>
  <c r="M71" i="37"/>
  <c r="M70" i="37"/>
  <c r="M69" i="37"/>
  <c r="M68" i="37"/>
  <c r="M67" i="37"/>
  <c r="M66" i="37"/>
  <c r="M65" i="37"/>
  <c r="M64" i="37"/>
  <c r="M63" i="37"/>
  <c r="M62" i="37"/>
  <c r="M61" i="37"/>
  <c r="M60" i="37"/>
  <c r="M59" i="37"/>
  <c r="M58" i="37"/>
  <c r="M57" i="37"/>
  <c r="M56" i="37"/>
  <c r="M55" i="37"/>
  <c r="M54" i="37"/>
  <c r="M53" i="37"/>
  <c r="M52" i="37"/>
  <c r="M51" i="37"/>
  <c r="M50" i="37"/>
  <c r="M49" i="37"/>
  <c r="M48" i="37"/>
  <c r="M47" i="37"/>
  <c r="M46" i="37"/>
  <c r="M45" i="37"/>
  <c r="M44" i="37"/>
  <c r="M43" i="37"/>
  <c r="M42" i="37"/>
  <c r="M41" i="37"/>
  <c r="M40" i="37"/>
  <c r="M39" i="37"/>
  <c r="M38" i="37"/>
  <c r="M37" i="37"/>
  <c r="M36" i="37"/>
  <c r="M35" i="37"/>
  <c r="M34" i="37"/>
  <c r="M33" i="37"/>
  <c r="M32" i="37"/>
  <c r="M31" i="37"/>
  <c r="M30" i="37"/>
  <c r="M29" i="37"/>
  <c r="M28" i="37"/>
  <c r="M27" i="37"/>
  <c r="M26" i="37"/>
  <c r="M25" i="37"/>
  <c r="M24" i="37"/>
  <c r="M23" i="37"/>
  <c r="M22" i="37"/>
  <c r="M21" i="37"/>
  <c r="M20" i="37"/>
  <c r="M19" i="37"/>
  <c r="M18" i="37"/>
  <c r="M17" i="37"/>
  <c r="M16" i="37"/>
  <c r="M15" i="37"/>
  <c r="M14" i="37"/>
  <c r="M13" i="37"/>
  <c r="M12" i="37"/>
  <c r="M11" i="37"/>
  <c r="M10" i="37"/>
  <c r="M9" i="37"/>
  <c r="H153" i="37"/>
  <c r="H152" i="37"/>
  <c r="H147" i="37"/>
  <c r="H144" i="37"/>
  <c r="H143" i="37"/>
  <c r="H142" i="37"/>
  <c r="H141" i="37"/>
  <c r="H140" i="37"/>
  <c r="H139" i="37"/>
  <c r="H136" i="37"/>
  <c r="H135" i="37"/>
  <c r="H134" i="37"/>
  <c r="H133" i="37"/>
  <c r="H132" i="37"/>
  <c r="H131" i="37"/>
  <c r="H127" i="37"/>
  <c r="H126" i="37"/>
  <c r="H125" i="37"/>
  <c r="H124" i="37"/>
  <c r="H123" i="37"/>
  <c r="H122" i="37"/>
  <c r="H121" i="37"/>
  <c r="H120" i="37"/>
  <c r="H119" i="37"/>
  <c r="H118" i="37"/>
  <c r="H117" i="37"/>
  <c r="H116" i="37"/>
  <c r="H115" i="37"/>
  <c r="H114" i="37"/>
  <c r="H113" i="37"/>
  <c r="H112" i="37"/>
  <c r="H111" i="37"/>
  <c r="H110" i="37"/>
  <c r="H109" i="37"/>
  <c r="H108" i="37"/>
  <c r="H107" i="37"/>
  <c r="H106" i="37"/>
  <c r="H105" i="37"/>
  <c r="H104" i="37"/>
  <c r="H103" i="37"/>
  <c r="H102" i="37"/>
  <c r="H101" i="37"/>
  <c r="H100" i="37"/>
  <c r="H99" i="37"/>
  <c r="H98" i="37"/>
  <c r="H97" i="37"/>
  <c r="H96" i="37"/>
  <c r="H95" i="37"/>
  <c r="H94" i="37"/>
  <c r="H93" i="37"/>
  <c r="H92" i="37"/>
  <c r="H91" i="37"/>
  <c r="H90" i="37"/>
  <c r="H89" i="37"/>
  <c r="H88" i="37"/>
  <c r="H87" i="37"/>
  <c r="H86" i="37"/>
  <c r="H85" i="37"/>
  <c r="H84" i="37"/>
  <c r="H83" i="37"/>
  <c r="H82" i="37"/>
  <c r="H81" i="37"/>
  <c r="H80" i="37"/>
  <c r="H79" i="37"/>
  <c r="H78" i="37"/>
  <c r="H77" i="37"/>
  <c r="H76" i="37"/>
  <c r="H75" i="37"/>
  <c r="H74"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H38" i="37"/>
  <c r="H37" i="37"/>
  <c r="H36" i="37"/>
  <c r="H35" i="37"/>
  <c r="H34" i="37"/>
  <c r="H33" i="37"/>
  <c r="H32" i="37"/>
  <c r="H31" i="37"/>
  <c r="H30" i="37"/>
  <c r="H29" i="37"/>
  <c r="H28" i="37"/>
  <c r="H27" i="37"/>
  <c r="H26" i="37"/>
  <c r="H25" i="37"/>
  <c r="H24" i="37"/>
  <c r="H23" i="37"/>
  <c r="H22" i="37"/>
  <c r="H21" i="37"/>
  <c r="H20" i="37"/>
  <c r="H19" i="37"/>
  <c r="H18" i="37"/>
  <c r="H17" i="37"/>
  <c r="H16" i="37"/>
  <c r="H15" i="37"/>
  <c r="H14" i="37"/>
  <c r="H13" i="37"/>
  <c r="H12" i="37"/>
  <c r="H11" i="37"/>
  <c r="E7" i="43"/>
  <c r="BC153" i="37" l="1"/>
  <c r="BC152" i="37"/>
  <c r="BC151" i="37"/>
  <c r="BC147" i="37"/>
  <c r="BC146" i="37"/>
  <c r="BC145" i="37"/>
  <c r="BC144" i="37"/>
  <c r="BC143" i="37"/>
  <c r="BC142" i="37"/>
  <c r="BC141" i="37"/>
  <c r="BC140" i="37"/>
  <c r="BC139" i="37"/>
  <c r="BC138" i="37"/>
  <c r="BC137" i="37"/>
  <c r="BC136" i="37"/>
  <c r="BC135" i="37"/>
  <c r="BC134" i="37"/>
  <c r="BC133" i="37"/>
  <c r="BC132" i="37"/>
  <c r="BC131" i="37"/>
  <c r="BC127" i="37"/>
  <c r="BC126" i="37"/>
  <c r="BC125" i="37"/>
  <c r="BC124" i="37"/>
  <c r="BC123" i="37"/>
  <c r="BC122" i="37"/>
  <c r="BC121" i="37"/>
  <c r="BC120" i="37"/>
  <c r="BC119" i="37"/>
  <c r="BC118" i="37"/>
  <c r="BC117" i="37"/>
  <c r="BC116" i="37"/>
  <c r="BC115" i="37"/>
  <c r="BC114" i="37"/>
  <c r="BC113" i="37"/>
  <c r="BC112" i="37"/>
  <c r="BC111" i="37"/>
  <c r="BC110" i="37"/>
  <c r="BC109" i="37"/>
  <c r="BC108" i="37"/>
  <c r="BC107" i="37"/>
  <c r="BC106" i="37"/>
  <c r="BC105" i="37"/>
  <c r="BC104" i="37"/>
  <c r="BC103" i="37"/>
  <c r="BC102" i="37"/>
  <c r="BC101" i="37"/>
  <c r="BC100" i="37"/>
  <c r="BC99" i="37"/>
  <c r="BC98" i="37"/>
  <c r="BC97" i="37"/>
  <c r="BC96" i="37"/>
  <c r="BC95" i="37"/>
  <c r="BC94" i="37"/>
  <c r="BC93" i="37"/>
  <c r="BC92" i="37"/>
  <c r="BC91" i="37"/>
  <c r="BC90" i="37"/>
  <c r="BC89" i="37"/>
  <c r="BC88" i="37"/>
  <c r="BC87" i="37"/>
  <c r="BC86" i="37"/>
  <c r="BC85" i="37"/>
  <c r="BC84" i="37"/>
  <c r="BC83" i="37"/>
  <c r="BC82" i="37"/>
  <c r="BC81" i="37"/>
  <c r="BC80" i="37"/>
  <c r="BC79" i="37"/>
  <c r="BC78" i="37"/>
  <c r="BC77" i="37"/>
  <c r="BC76" i="37"/>
  <c r="BC75" i="37"/>
  <c r="BC74" i="37"/>
  <c r="BC73" i="37"/>
  <c r="BC72" i="37"/>
  <c r="BC71" i="37"/>
  <c r="BC70" i="37"/>
  <c r="BC69" i="37"/>
  <c r="BC68" i="37"/>
  <c r="BC67" i="37"/>
  <c r="BC66" i="37"/>
  <c r="BC65" i="37"/>
  <c r="BC64" i="37"/>
  <c r="BC63" i="37"/>
  <c r="BC62" i="37"/>
  <c r="BC61" i="37"/>
  <c r="BC60" i="37"/>
  <c r="BC59" i="37"/>
  <c r="BC58" i="37"/>
  <c r="BC57" i="37"/>
  <c r="BC56" i="37"/>
  <c r="BC55" i="37"/>
  <c r="BC54" i="37"/>
  <c r="BC53" i="37"/>
  <c r="BC52" i="37"/>
  <c r="BC51" i="37"/>
  <c r="BC50" i="37"/>
  <c r="BC49" i="37"/>
  <c r="BC48" i="37"/>
  <c r="BC47" i="37"/>
  <c r="BC46" i="37"/>
  <c r="BC45" i="37"/>
  <c r="BC44" i="37"/>
  <c r="BC43" i="37"/>
  <c r="BC42" i="37"/>
  <c r="BC41" i="37"/>
  <c r="BC40" i="37"/>
  <c r="BC39" i="37"/>
  <c r="BC38" i="37"/>
  <c r="BC37" i="37"/>
  <c r="BC36" i="37"/>
  <c r="BC35" i="37"/>
  <c r="BC34" i="37"/>
  <c r="BC33" i="37"/>
  <c r="BC32" i="37"/>
  <c r="BC31" i="37"/>
  <c r="BC30" i="37"/>
  <c r="BC29" i="37"/>
  <c r="BC28" i="37"/>
  <c r="BC27" i="37"/>
  <c r="BC26" i="37"/>
  <c r="BC25" i="37"/>
  <c r="BC24" i="37"/>
  <c r="BC23" i="37"/>
  <c r="BC22" i="37"/>
  <c r="BC21" i="37"/>
  <c r="BC20" i="37"/>
  <c r="BC19" i="37"/>
  <c r="BC18" i="37"/>
  <c r="BC17" i="37"/>
  <c r="BC16" i="37"/>
  <c r="BC15" i="37"/>
  <c r="BC14" i="37"/>
  <c r="BC13" i="37"/>
  <c r="BC12" i="37"/>
  <c r="BC11" i="37"/>
  <c r="BC10" i="37"/>
  <c r="BC9" i="37"/>
  <c r="AX153" i="37"/>
  <c r="AX152" i="37"/>
  <c r="AX151" i="37"/>
  <c r="AX147" i="37"/>
  <c r="AX146" i="37"/>
  <c r="AX145" i="37"/>
  <c r="AX144" i="37"/>
  <c r="AX143" i="37"/>
  <c r="AX142" i="37"/>
  <c r="AX141" i="37"/>
  <c r="AX140" i="37"/>
  <c r="AX139" i="37"/>
  <c r="AX138" i="37"/>
  <c r="AX137" i="37"/>
  <c r="AX136" i="37"/>
  <c r="AX135" i="37"/>
  <c r="AX134" i="37"/>
  <c r="AX133" i="37"/>
  <c r="AX132" i="37"/>
  <c r="AX131" i="37"/>
  <c r="AX127" i="37"/>
  <c r="AX126" i="37"/>
  <c r="AX125" i="37"/>
  <c r="AX124" i="37"/>
  <c r="AX123" i="37"/>
  <c r="AX122" i="37"/>
  <c r="AX121" i="37"/>
  <c r="AX120" i="37"/>
  <c r="AX119" i="37"/>
  <c r="AX118" i="37"/>
  <c r="AX117" i="37"/>
  <c r="AX116" i="37"/>
  <c r="AX115" i="37"/>
  <c r="AX114" i="37"/>
  <c r="AX113" i="37"/>
  <c r="AX112" i="37"/>
  <c r="AX111" i="37"/>
  <c r="AX110" i="37"/>
  <c r="AX109" i="37"/>
  <c r="AX108" i="37"/>
  <c r="AX107" i="37"/>
  <c r="AX106" i="37"/>
  <c r="AX105" i="37"/>
  <c r="AX104" i="37"/>
  <c r="AX103" i="37"/>
  <c r="AX102" i="37"/>
  <c r="AX101" i="37"/>
  <c r="AX100" i="37"/>
  <c r="AX99" i="37"/>
  <c r="AX98" i="37"/>
  <c r="AX97" i="37"/>
  <c r="AX96" i="37"/>
  <c r="AX95" i="37"/>
  <c r="AX94" i="37"/>
  <c r="AX93" i="37"/>
  <c r="AX92" i="37"/>
  <c r="AX91" i="37"/>
  <c r="AX90" i="37"/>
  <c r="AX89" i="37"/>
  <c r="AX88" i="37"/>
  <c r="AX87" i="37"/>
  <c r="AX86" i="37"/>
  <c r="AX85" i="37"/>
  <c r="AX84" i="37"/>
  <c r="AX83" i="37"/>
  <c r="AX82" i="37"/>
  <c r="AX81" i="37"/>
  <c r="AX80" i="37"/>
  <c r="AX79" i="37"/>
  <c r="AX78" i="37"/>
  <c r="AX77" i="37"/>
  <c r="AX76" i="37"/>
  <c r="AX75" i="37"/>
  <c r="AX74" i="37"/>
  <c r="AX73" i="37"/>
  <c r="AX72" i="37"/>
  <c r="AX71" i="37"/>
  <c r="AX70" i="37"/>
  <c r="AX69" i="37"/>
  <c r="AX68" i="37"/>
  <c r="AX67" i="37"/>
  <c r="AX66" i="37"/>
  <c r="AX65" i="37"/>
  <c r="AX64" i="37"/>
  <c r="AX63" i="37"/>
  <c r="AX62" i="37"/>
  <c r="AX61" i="37"/>
  <c r="AX60" i="37"/>
  <c r="AX59" i="37"/>
  <c r="AX58" i="37"/>
  <c r="AX57" i="37"/>
  <c r="AX56" i="37"/>
  <c r="AX55" i="37"/>
  <c r="AX54" i="37"/>
  <c r="AX53" i="37"/>
  <c r="AX52" i="37"/>
  <c r="AX51" i="37"/>
  <c r="AX50" i="37"/>
  <c r="AX49" i="37"/>
  <c r="AX48" i="37"/>
  <c r="AX47" i="37"/>
  <c r="AX46" i="37"/>
  <c r="AX45" i="37"/>
  <c r="AX44" i="37"/>
  <c r="AX43" i="37"/>
  <c r="AX42" i="37"/>
  <c r="AX41" i="37"/>
  <c r="AX40" i="37"/>
  <c r="AX39" i="37"/>
  <c r="AX38" i="37"/>
  <c r="AX37" i="37"/>
  <c r="AX36" i="37"/>
  <c r="AX35" i="37"/>
  <c r="AX34" i="37"/>
  <c r="AX33" i="37"/>
  <c r="AX32" i="37"/>
  <c r="AX31" i="37"/>
  <c r="AX30" i="37"/>
  <c r="AX29" i="37"/>
  <c r="AX28" i="37"/>
  <c r="AX27" i="37"/>
  <c r="AX26" i="37"/>
  <c r="AX25" i="37"/>
  <c r="AX24" i="37"/>
  <c r="AX23" i="37"/>
  <c r="AX22" i="37"/>
  <c r="AX21" i="37"/>
  <c r="AX20" i="37"/>
  <c r="AX19" i="37"/>
  <c r="AX18" i="37"/>
  <c r="AX17" i="37"/>
  <c r="AX16" i="37"/>
  <c r="AX15" i="37"/>
  <c r="AX14" i="37"/>
  <c r="AX13" i="37"/>
  <c r="AX12" i="37"/>
  <c r="AX11" i="37"/>
  <c r="AX10" i="37"/>
  <c r="AX9" i="37"/>
  <c r="AS153" i="37"/>
  <c r="AS152" i="37"/>
  <c r="AS151" i="37"/>
  <c r="AS147" i="37"/>
  <c r="AS146" i="37"/>
  <c r="AS145" i="37"/>
  <c r="AS144" i="37"/>
  <c r="AS143" i="37"/>
  <c r="AS142" i="37"/>
  <c r="AS141" i="37"/>
  <c r="AS140" i="37"/>
  <c r="AS139" i="37"/>
  <c r="AS138" i="37"/>
  <c r="AS137" i="37"/>
  <c r="AS136" i="37"/>
  <c r="AS135" i="37"/>
  <c r="AS134" i="37"/>
  <c r="AS133" i="37"/>
  <c r="AS132" i="37"/>
  <c r="AS131" i="37"/>
  <c r="AS127" i="37"/>
  <c r="AS126" i="37"/>
  <c r="AS125" i="37"/>
  <c r="AS124" i="37"/>
  <c r="AS123" i="37"/>
  <c r="AS122" i="37"/>
  <c r="AS121" i="37"/>
  <c r="AS120" i="37"/>
  <c r="AS119" i="37"/>
  <c r="AS118" i="37"/>
  <c r="AS117" i="37"/>
  <c r="AS116" i="37"/>
  <c r="AS115" i="37"/>
  <c r="AS114" i="37"/>
  <c r="AS113" i="37"/>
  <c r="AS112" i="37"/>
  <c r="AS111" i="37"/>
  <c r="AS110" i="37"/>
  <c r="AS109" i="37"/>
  <c r="AS108" i="37"/>
  <c r="AS107" i="37"/>
  <c r="AS106" i="37"/>
  <c r="AS105" i="37"/>
  <c r="AS104" i="37"/>
  <c r="AS103" i="37"/>
  <c r="AS102" i="37"/>
  <c r="AS101" i="37"/>
  <c r="AS100" i="37"/>
  <c r="AS99" i="37"/>
  <c r="AS98" i="37"/>
  <c r="AS97" i="37"/>
  <c r="AS96" i="37"/>
  <c r="AS95" i="37"/>
  <c r="AS94" i="37"/>
  <c r="AS93" i="37"/>
  <c r="AS92" i="37"/>
  <c r="AS91" i="37"/>
  <c r="AS90" i="37"/>
  <c r="AS89" i="37"/>
  <c r="AS88" i="37"/>
  <c r="AS87" i="37"/>
  <c r="AS86" i="37"/>
  <c r="AS85" i="37"/>
  <c r="AS84" i="37"/>
  <c r="AS83" i="37"/>
  <c r="AS82" i="37"/>
  <c r="AS81" i="37"/>
  <c r="AS80" i="37"/>
  <c r="AS79" i="37"/>
  <c r="AS78" i="37"/>
  <c r="AS77" i="37"/>
  <c r="AS76" i="37"/>
  <c r="AS75" i="37"/>
  <c r="AS74" i="37"/>
  <c r="AS73" i="37"/>
  <c r="AS72" i="37"/>
  <c r="AS71" i="37"/>
  <c r="AS70" i="37"/>
  <c r="AS69" i="37"/>
  <c r="AS68" i="37"/>
  <c r="AS67" i="37"/>
  <c r="AS66" i="37"/>
  <c r="AS65" i="37"/>
  <c r="AS64" i="37"/>
  <c r="AS63" i="37"/>
  <c r="AS62" i="37"/>
  <c r="AS61" i="37"/>
  <c r="AS60" i="37"/>
  <c r="AS59" i="37"/>
  <c r="AS58" i="37"/>
  <c r="AS57" i="37"/>
  <c r="AS56" i="37"/>
  <c r="AS55" i="37"/>
  <c r="AS54" i="37"/>
  <c r="AS53" i="37"/>
  <c r="AS52" i="37"/>
  <c r="AS51" i="37"/>
  <c r="AS50" i="37"/>
  <c r="AS49" i="37"/>
  <c r="AS48" i="37"/>
  <c r="AS47" i="37"/>
  <c r="AS46" i="37"/>
  <c r="AS45" i="37"/>
  <c r="AS44" i="37"/>
  <c r="AS43" i="37"/>
  <c r="AS42" i="37"/>
  <c r="AS41" i="37"/>
  <c r="AS40" i="37"/>
  <c r="AS39" i="37"/>
  <c r="AS38" i="37"/>
  <c r="AS37" i="37"/>
  <c r="AS36" i="37"/>
  <c r="AS35" i="37"/>
  <c r="AS34" i="37"/>
  <c r="AS33" i="37"/>
  <c r="AS32" i="37"/>
  <c r="AS31" i="37"/>
  <c r="AS30" i="37"/>
  <c r="AS29" i="37"/>
  <c r="AS28" i="37"/>
  <c r="AS27" i="37"/>
  <c r="AS26" i="37"/>
  <c r="AS25" i="37"/>
  <c r="AS24" i="37"/>
  <c r="AS23" i="37"/>
  <c r="AS22" i="37"/>
  <c r="AS21" i="37"/>
  <c r="AS20" i="37"/>
  <c r="AS19" i="37"/>
  <c r="AS18" i="37"/>
  <c r="AS17" i="37"/>
  <c r="AS16" i="37"/>
  <c r="AS15" i="37"/>
  <c r="AS14" i="37"/>
  <c r="AS13" i="37"/>
  <c r="AS12" i="37"/>
  <c r="AS11" i="37"/>
  <c r="AS10" i="37"/>
  <c r="AS9" i="37"/>
  <c r="AN153" i="37"/>
  <c r="AN152" i="37"/>
  <c r="AN151" i="37"/>
  <c r="AN147" i="37"/>
  <c r="AN146" i="37"/>
  <c r="AN145" i="37"/>
  <c r="AN144" i="37"/>
  <c r="AN143" i="37"/>
  <c r="AN142" i="37"/>
  <c r="AN141" i="37"/>
  <c r="AN140" i="37"/>
  <c r="AN139" i="37"/>
  <c r="AN138" i="37"/>
  <c r="AN137" i="37"/>
  <c r="AN136" i="37"/>
  <c r="AN135" i="37"/>
  <c r="AN134" i="37"/>
  <c r="AN133" i="37"/>
  <c r="AN132" i="37"/>
  <c r="AN131" i="37"/>
  <c r="AN127" i="37"/>
  <c r="AN126" i="37"/>
  <c r="AN125" i="37"/>
  <c r="AN124" i="37"/>
  <c r="AN123" i="37"/>
  <c r="AN122" i="37"/>
  <c r="AN121" i="37"/>
  <c r="AN120" i="37"/>
  <c r="AN119" i="37"/>
  <c r="AN118" i="37"/>
  <c r="AN117" i="37"/>
  <c r="AN116" i="37"/>
  <c r="AN115" i="37"/>
  <c r="AN114" i="37"/>
  <c r="AN113" i="37"/>
  <c r="AN112" i="37"/>
  <c r="AN111" i="37"/>
  <c r="AN110" i="37"/>
  <c r="AN109" i="37"/>
  <c r="AN108" i="37"/>
  <c r="AN107" i="37"/>
  <c r="AN106" i="37"/>
  <c r="AN105" i="37"/>
  <c r="AN104" i="37"/>
  <c r="AN103" i="37"/>
  <c r="AN102" i="37"/>
  <c r="AN101" i="37"/>
  <c r="AN100" i="37"/>
  <c r="AN99" i="37"/>
  <c r="AN98" i="37"/>
  <c r="AN97" i="37"/>
  <c r="AN96" i="37"/>
  <c r="AN95" i="37"/>
  <c r="AN94" i="37"/>
  <c r="AN93" i="37"/>
  <c r="AN92" i="37"/>
  <c r="AN91" i="37"/>
  <c r="AN90" i="37"/>
  <c r="AN89" i="37"/>
  <c r="AN88" i="37"/>
  <c r="AN87" i="37"/>
  <c r="AN86" i="37"/>
  <c r="AN85" i="37"/>
  <c r="AN84" i="37"/>
  <c r="AN83" i="37"/>
  <c r="AN82" i="37"/>
  <c r="AN81" i="37"/>
  <c r="AN80" i="37"/>
  <c r="AN79" i="37"/>
  <c r="AN78" i="37"/>
  <c r="AN77" i="37"/>
  <c r="AN76" i="37"/>
  <c r="AN75" i="37"/>
  <c r="AN74" i="37"/>
  <c r="AN73" i="37"/>
  <c r="AN72" i="37"/>
  <c r="AN71" i="37"/>
  <c r="AN70" i="37"/>
  <c r="AN69" i="37"/>
  <c r="AN68" i="37"/>
  <c r="AN67" i="37"/>
  <c r="AN66" i="37"/>
  <c r="AN65" i="37"/>
  <c r="AN64" i="37"/>
  <c r="AN63" i="37"/>
  <c r="AN62" i="37"/>
  <c r="AN61" i="37"/>
  <c r="AN60" i="37"/>
  <c r="AN59" i="37"/>
  <c r="AN58" i="37"/>
  <c r="AN57" i="37"/>
  <c r="AN56" i="37"/>
  <c r="AN55" i="37"/>
  <c r="AN54" i="37"/>
  <c r="AN53" i="37"/>
  <c r="AN52" i="37"/>
  <c r="AN51" i="37"/>
  <c r="AN50" i="37"/>
  <c r="AN49" i="37"/>
  <c r="AN48" i="37"/>
  <c r="AN47" i="37"/>
  <c r="AN46" i="37"/>
  <c r="AN45" i="37"/>
  <c r="AN44" i="37"/>
  <c r="AN43" i="37"/>
  <c r="AN42" i="37"/>
  <c r="AN41" i="37"/>
  <c r="AN40" i="37"/>
  <c r="AN39" i="37"/>
  <c r="AN38" i="37"/>
  <c r="AN37" i="37"/>
  <c r="AN36" i="37"/>
  <c r="AN35" i="37"/>
  <c r="AN34" i="37"/>
  <c r="AN33" i="37"/>
  <c r="AN32" i="37"/>
  <c r="AN31" i="37"/>
  <c r="AN30" i="37"/>
  <c r="AN29" i="37"/>
  <c r="AN28" i="37"/>
  <c r="AN27" i="37"/>
  <c r="AN26" i="37"/>
  <c r="AN25" i="37"/>
  <c r="AN24" i="37"/>
  <c r="AN23" i="37"/>
  <c r="AN22" i="37"/>
  <c r="AN21" i="37"/>
  <c r="AN20" i="37"/>
  <c r="AN19" i="37"/>
  <c r="AN18" i="37"/>
  <c r="AN17" i="37"/>
  <c r="AN16" i="37"/>
  <c r="AN15" i="37"/>
  <c r="AN14" i="37"/>
  <c r="AN13" i="37"/>
  <c r="AN12" i="37"/>
  <c r="AN11" i="37"/>
  <c r="AN10" i="37"/>
  <c r="AN9" i="37"/>
  <c r="AI153" i="37"/>
  <c r="AI152" i="37"/>
  <c r="AI151" i="37"/>
  <c r="AI147" i="37"/>
  <c r="AI146" i="37"/>
  <c r="AI145" i="37"/>
  <c r="AI144" i="37"/>
  <c r="AI143" i="37"/>
  <c r="AI142" i="37"/>
  <c r="AI141" i="37"/>
  <c r="AI140" i="37"/>
  <c r="AI139" i="37"/>
  <c r="AI138" i="37"/>
  <c r="AI137" i="37"/>
  <c r="AI136" i="37"/>
  <c r="AI135" i="37"/>
  <c r="AI134" i="37"/>
  <c r="AI133" i="37"/>
  <c r="AI132" i="37"/>
  <c r="AI131" i="37"/>
  <c r="AI127" i="37"/>
  <c r="AI126" i="37"/>
  <c r="AI125" i="37"/>
  <c r="AI124" i="37"/>
  <c r="AI123" i="37"/>
  <c r="AI122" i="37"/>
  <c r="AI121" i="37"/>
  <c r="AI120" i="37"/>
  <c r="AI119" i="37"/>
  <c r="AI118" i="37"/>
  <c r="AI117" i="37"/>
  <c r="AI116" i="37"/>
  <c r="AI115" i="37"/>
  <c r="AI114" i="37"/>
  <c r="AI113" i="37"/>
  <c r="AI112" i="37"/>
  <c r="AI111" i="37"/>
  <c r="AI110" i="37"/>
  <c r="AI109" i="37"/>
  <c r="AI108" i="37"/>
  <c r="AI107" i="37"/>
  <c r="AI106" i="37"/>
  <c r="AI105" i="37"/>
  <c r="AI104" i="37"/>
  <c r="AI103" i="37"/>
  <c r="AI102" i="37"/>
  <c r="AI101" i="37"/>
  <c r="AI100" i="37"/>
  <c r="AI99" i="37"/>
  <c r="AI98" i="37"/>
  <c r="AI97" i="37"/>
  <c r="AI96" i="37"/>
  <c r="AI95" i="37"/>
  <c r="AI94" i="37"/>
  <c r="AI93" i="37"/>
  <c r="AI92" i="37"/>
  <c r="AI91" i="37"/>
  <c r="AI90" i="37"/>
  <c r="AI89" i="37"/>
  <c r="AI88" i="37"/>
  <c r="AI87" i="37"/>
  <c r="AI86" i="37"/>
  <c r="AI85" i="37"/>
  <c r="AI84" i="37"/>
  <c r="AI83" i="37"/>
  <c r="AI82" i="37"/>
  <c r="AI81" i="37"/>
  <c r="AI80" i="37"/>
  <c r="AI79" i="37"/>
  <c r="AI78" i="37"/>
  <c r="AI77" i="37"/>
  <c r="AI76" i="37"/>
  <c r="AI75" i="37"/>
  <c r="AI74" i="37"/>
  <c r="AI73" i="37"/>
  <c r="AI72" i="37"/>
  <c r="AI71" i="37"/>
  <c r="AI70" i="37"/>
  <c r="AI69" i="37"/>
  <c r="AI68" i="37"/>
  <c r="AI67" i="37"/>
  <c r="AI66" i="37"/>
  <c r="AI65" i="37"/>
  <c r="AI64" i="37"/>
  <c r="AI63" i="37"/>
  <c r="AI62" i="37"/>
  <c r="AI61" i="37"/>
  <c r="AI60" i="37"/>
  <c r="AI59" i="37"/>
  <c r="AI58" i="37"/>
  <c r="AI57" i="37"/>
  <c r="AI56" i="37"/>
  <c r="AI55" i="37"/>
  <c r="AI54" i="37"/>
  <c r="AI53" i="37"/>
  <c r="AI52" i="37"/>
  <c r="AI51" i="37"/>
  <c r="AI50" i="37"/>
  <c r="AI49" i="37"/>
  <c r="AI48" i="37"/>
  <c r="AI47" i="37"/>
  <c r="AI46" i="37"/>
  <c r="AI45" i="37"/>
  <c r="AI44" i="37"/>
  <c r="AI43" i="37"/>
  <c r="AI42" i="37"/>
  <c r="AI41" i="37"/>
  <c r="AI40" i="37"/>
  <c r="AI39" i="37"/>
  <c r="AI38" i="37"/>
  <c r="AI37" i="37"/>
  <c r="AI36" i="37"/>
  <c r="AI35" i="37"/>
  <c r="AI34" i="37"/>
  <c r="AI33" i="37"/>
  <c r="AI32" i="37"/>
  <c r="AI31" i="37"/>
  <c r="AI30" i="37"/>
  <c r="AI29" i="37"/>
  <c r="AI28" i="37"/>
  <c r="AI27" i="37"/>
  <c r="AI26" i="37"/>
  <c r="AI25" i="37"/>
  <c r="AI24" i="37"/>
  <c r="AI23" i="37"/>
  <c r="AI22" i="37"/>
  <c r="AI21" i="37"/>
  <c r="AI20" i="37"/>
  <c r="AI19" i="37"/>
  <c r="AI18" i="37"/>
  <c r="AI17" i="37"/>
  <c r="AI16" i="37"/>
  <c r="AI15" i="37"/>
  <c r="AI14" i="37"/>
  <c r="AI13" i="37"/>
  <c r="AI12" i="37"/>
  <c r="AI11" i="37"/>
  <c r="AI10" i="37"/>
  <c r="AI9" i="37"/>
  <c r="AD153" i="37"/>
  <c r="AD152" i="37"/>
  <c r="AD151" i="37"/>
  <c r="AD147" i="37"/>
  <c r="AD146" i="37"/>
  <c r="AD145" i="37"/>
  <c r="AD144" i="37"/>
  <c r="AD143" i="37"/>
  <c r="AD142" i="37"/>
  <c r="AD141" i="37"/>
  <c r="AD140" i="37"/>
  <c r="AD139" i="37"/>
  <c r="AD138" i="37"/>
  <c r="AD137" i="37"/>
  <c r="AD136" i="37"/>
  <c r="AD135" i="37"/>
  <c r="AD134" i="37"/>
  <c r="AD133" i="37"/>
  <c r="AD132" i="37"/>
  <c r="AD131" i="37"/>
  <c r="AD127" i="37"/>
  <c r="AD126" i="37"/>
  <c r="AD125" i="37"/>
  <c r="AD124" i="37"/>
  <c r="AD123" i="37"/>
  <c r="AD122" i="37"/>
  <c r="AD121" i="37"/>
  <c r="AD120" i="37"/>
  <c r="AD119" i="37"/>
  <c r="AD118" i="37"/>
  <c r="AD117" i="37"/>
  <c r="AD116" i="37"/>
  <c r="AD115" i="37"/>
  <c r="AD114" i="37"/>
  <c r="AD113" i="37"/>
  <c r="AD112" i="37"/>
  <c r="AD111" i="37"/>
  <c r="AD110" i="37"/>
  <c r="AD109" i="37"/>
  <c r="AD108" i="37"/>
  <c r="AD107" i="37"/>
  <c r="AD106" i="37"/>
  <c r="AD105" i="37"/>
  <c r="AD104" i="37"/>
  <c r="AD103" i="37"/>
  <c r="AD102" i="37"/>
  <c r="AD101" i="37"/>
  <c r="AD100" i="37"/>
  <c r="AD99" i="37"/>
  <c r="AD98" i="37"/>
  <c r="AD97" i="37"/>
  <c r="AD96" i="37"/>
  <c r="AD95" i="37"/>
  <c r="AD94" i="37"/>
  <c r="AD93" i="37"/>
  <c r="AD92" i="37"/>
  <c r="AD91" i="37"/>
  <c r="AD90" i="37"/>
  <c r="AD89" i="37"/>
  <c r="AD88" i="37"/>
  <c r="AD87" i="37"/>
  <c r="AD86" i="37"/>
  <c r="AD85" i="37"/>
  <c r="AD84" i="37"/>
  <c r="AD83" i="37"/>
  <c r="AD82" i="37"/>
  <c r="AD81" i="37"/>
  <c r="AD80" i="37"/>
  <c r="AD79" i="37"/>
  <c r="AD78" i="37"/>
  <c r="AD77" i="37"/>
  <c r="AD76" i="37"/>
  <c r="AD75" i="37"/>
  <c r="AD74" i="37"/>
  <c r="AD73" i="37"/>
  <c r="AD72" i="37"/>
  <c r="AD71" i="37"/>
  <c r="AD70" i="37"/>
  <c r="AD69" i="37"/>
  <c r="AD68" i="37"/>
  <c r="AD67" i="37"/>
  <c r="AD66" i="37"/>
  <c r="AD65" i="37"/>
  <c r="AD64" i="37"/>
  <c r="AD63" i="37"/>
  <c r="AD62" i="37"/>
  <c r="AD61" i="37"/>
  <c r="AD60" i="37"/>
  <c r="AD59" i="37"/>
  <c r="AD58" i="37"/>
  <c r="AD57" i="37"/>
  <c r="AD56" i="37"/>
  <c r="AD55" i="37"/>
  <c r="AD54" i="37"/>
  <c r="AD53" i="37"/>
  <c r="AD52" i="37"/>
  <c r="AD51" i="37"/>
  <c r="AD50" i="37"/>
  <c r="AD49" i="37"/>
  <c r="AD48" i="37"/>
  <c r="AD47" i="37"/>
  <c r="AD46" i="37"/>
  <c r="AD45" i="37"/>
  <c r="AD44" i="37"/>
  <c r="AD43" i="37"/>
  <c r="AD42" i="37"/>
  <c r="AD41" i="37"/>
  <c r="AD40" i="37"/>
  <c r="AD39" i="37"/>
  <c r="AD38" i="37"/>
  <c r="AD37" i="37"/>
  <c r="AD36" i="37"/>
  <c r="AD35" i="37"/>
  <c r="AD34" i="37"/>
  <c r="AD33" i="37"/>
  <c r="AD32" i="37"/>
  <c r="AD31" i="37"/>
  <c r="AD30" i="37"/>
  <c r="AD29" i="37"/>
  <c r="AD28" i="37"/>
  <c r="AD27" i="37"/>
  <c r="AD26" i="37"/>
  <c r="AD25" i="37"/>
  <c r="AD24" i="37"/>
  <c r="AD23" i="37"/>
  <c r="AD22" i="37"/>
  <c r="AD21" i="37"/>
  <c r="AD20" i="37"/>
  <c r="AD19" i="37"/>
  <c r="AD18" i="37"/>
  <c r="AD17" i="37"/>
  <c r="AD16" i="37"/>
  <c r="AD15" i="37"/>
  <c r="AD14" i="37"/>
  <c r="AD13" i="37"/>
  <c r="AD12" i="37"/>
  <c r="AD11" i="37"/>
  <c r="AD10" i="37"/>
  <c r="AD9" i="37"/>
  <c r="Y153" i="37"/>
  <c r="Y152" i="37"/>
  <c r="Y151" i="37"/>
  <c r="Y147" i="37"/>
  <c r="Y146" i="37"/>
  <c r="Y145" i="37"/>
  <c r="Y144" i="37"/>
  <c r="Y143" i="37"/>
  <c r="Y142" i="37"/>
  <c r="Y141" i="37"/>
  <c r="Y140" i="37"/>
  <c r="Y139" i="37"/>
  <c r="Y138" i="37"/>
  <c r="Y137" i="37"/>
  <c r="Y136" i="37"/>
  <c r="Y135" i="37"/>
  <c r="Y134" i="37"/>
  <c r="Y133" i="37"/>
  <c r="Y132" i="37"/>
  <c r="Y131" i="37"/>
  <c r="Y127" i="37"/>
  <c r="Y126" i="37"/>
  <c r="Y125" i="37"/>
  <c r="Y124" i="37"/>
  <c r="Y123" i="37"/>
  <c r="Y122" i="37"/>
  <c r="Y121" i="37"/>
  <c r="Y120" i="37"/>
  <c r="Y119" i="37"/>
  <c r="Y118" i="37"/>
  <c r="Y117" i="37"/>
  <c r="Y116" i="37"/>
  <c r="Y115" i="37"/>
  <c r="Y114" i="37"/>
  <c r="Y113" i="37"/>
  <c r="Y112" i="37"/>
  <c r="Y111" i="37"/>
  <c r="Y110" i="37"/>
  <c r="Y109" i="37"/>
  <c r="Y108" i="37"/>
  <c r="Y107" i="37"/>
  <c r="Y106" i="37"/>
  <c r="Y105" i="37"/>
  <c r="Y104" i="37"/>
  <c r="Y103" i="37"/>
  <c r="Y102" i="37"/>
  <c r="Y101" i="37"/>
  <c r="Y100" i="37"/>
  <c r="Y99" i="37"/>
  <c r="Y98" i="37"/>
  <c r="Y97" i="37"/>
  <c r="Y96" i="37"/>
  <c r="Y95" i="37"/>
  <c r="Y94" i="37"/>
  <c r="Y93" i="37"/>
  <c r="Y92" i="37"/>
  <c r="Y91" i="37"/>
  <c r="Y90" i="37"/>
  <c r="Y89" i="37"/>
  <c r="Y88" i="37"/>
  <c r="Y87" i="37"/>
  <c r="Y86" i="37"/>
  <c r="Y85" i="37"/>
  <c r="Y84" i="37"/>
  <c r="Y83" i="37"/>
  <c r="Y82" i="37"/>
  <c r="Y81" i="37"/>
  <c r="Y80" i="37"/>
  <c r="Y79" i="37"/>
  <c r="Y78" i="37"/>
  <c r="Y77" i="37"/>
  <c r="Y76" i="37"/>
  <c r="Y75" i="37"/>
  <c r="Y74" i="37"/>
  <c r="Y73" i="37"/>
  <c r="Y72" i="37"/>
  <c r="Y71" i="37"/>
  <c r="Y70" i="37"/>
  <c r="Y69" i="37"/>
  <c r="Y68" i="37"/>
  <c r="Y67" i="37"/>
  <c r="Y66" i="37"/>
  <c r="Y65" i="37"/>
  <c r="Y64" i="37"/>
  <c r="Y63" i="37"/>
  <c r="Y62" i="37"/>
  <c r="Y61" i="37"/>
  <c r="Y60" i="37"/>
  <c r="Y59" i="37"/>
  <c r="Y58" i="37"/>
  <c r="Y57" i="37"/>
  <c r="Y56" i="37"/>
  <c r="Y55" i="37"/>
  <c r="Y54" i="37"/>
  <c r="Y53" i="37"/>
  <c r="Y52" i="37"/>
  <c r="Y51" i="37"/>
  <c r="Y50" i="37"/>
  <c r="Y49" i="37"/>
  <c r="Y48" i="37"/>
  <c r="Y47" i="37"/>
  <c r="Y46" i="37"/>
  <c r="Y45" i="37"/>
  <c r="Y44" i="37"/>
  <c r="Y43" i="37"/>
  <c r="Y42" i="37"/>
  <c r="Y41" i="37"/>
  <c r="Y40" i="37"/>
  <c r="Y39" i="37"/>
  <c r="Y38" i="37"/>
  <c r="Y37" i="37"/>
  <c r="Y36" i="37"/>
  <c r="Y35" i="37"/>
  <c r="Y34" i="37"/>
  <c r="Y33" i="37"/>
  <c r="Y32" i="37"/>
  <c r="Y31" i="37"/>
  <c r="Y30" i="37"/>
  <c r="Y29" i="37"/>
  <c r="Y28" i="37"/>
  <c r="Y27" i="37"/>
  <c r="Y26" i="37"/>
  <c r="Y25" i="37"/>
  <c r="Y24" i="37"/>
  <c r="Y23" i="37"/>
  <c r="Y22" i="37"/>
  <c r="Y21" i="37"/>
  <c r="Y20" i="37"/>
  <c r="Y19" i="37"/>
  <c r="Y18" i="37"/>
  <c r="Y17" i="37"/>
  <c r="Y16" i="37"/>
  <c r="Y15" i="37"/>
  <c r="Y14" i="37"/>
  <c r="Y13" i="37"/>
  <c r="Y12" i="37"/>
  <c r="Y11" i="37"/>
  <c r="Y10" i="37"/>
  <c r="Y9" i="37"/>
  <c r="T153" i="37"/>
  <c r="T152" i="37"/>
  <c r="T151" i="37"/>
  <c r="T147" i="37"/>
  <c r="T146" i="37"/>
  <c r="T145" i="37"/>
  <c r="T144" i="37"/>
  <c r="T143" i="37"/>
  <c r="T142" i="37"/>
  <c r="T141" i="37"/>
  <c r="T140" i="37"/>
  <c r="T139" i="37"/>
  <c r="T138" i="37"/>
  <c r="T137" i="37"/>
  <c r="T136" i="37"/>
  <c r="T135" i="37"/>
  <c r="T134" i="37"/>
  <c r="T133" i="37"/>
  <c r="T132" i="37"/>
  <c r="T131" i="37"/>
  <c r="T127" i="37"/>
  <c r="T126" i="37"/>
  <c r="T125" i="37"/>
  <c r="T124" i="37"/>
  <c r="T123" i="37"/>
  <c r="T122" i="37"/>
  <c r="T121" i="37"/>
  <c r="T120" i="37"/>
  <c r="T119" i="37"/>
  <c r="T118" i="37"/>
  <c r="T117" i="37"/>
  <c r="T116" i="37"/>
  <c r="T115" i="37"/>
  <c r="T114" i="37"/>
  <c r="T113" i="37"/>
  <c r="T112" i="37"/>
  <c r="T111" i="37"/>
  <c r="T110" i="37"/>
  <c r="T109" i="37"/>
  <c r="T108" i="37"/>
  <c r="T107" i="37"/>
  <c r="T106" i="37"/>
  <c r="T105" i="37"/>
  <c r="T104" i="37"/>
  <c r="T103" i="37"/>
  <c r="T102" i="37"/>
  <c r="T101" i="37"/>
  <c r="T100" i="37"/>
  <c r="T99" i="37"/>
  <c r="T98" i="37"/>
  <c r="T97" i="37"/>
  <c r="T96" i="37"/>
  <c r="T95" i="37"/>
  <c r="T94" i="37"/>
  <c r="T93" i="37"/>
  <c r="T92" i="37"/>
  <c r="T91" i="37"/>
  <c r="T90" i="37"/>
  <c r="T89" i="37"/>
  <c r="T88" i="37"/>
  <c r="T87" i="37"/>
  <c r="T86" i="37"/>
  <c r="T85" i="37"/>
  <c r="T84" i="37"/>
  <c r="T83" i="37"/>
  <c r="T82" i="37"/>
  <c r="T81" i="37"/>
  <c r="T80" i="37"/>
  <c r="T79" i="37"/>
  <c r="T78" i="37"/>
  <c r="T77" i="37"/>
  <c r="T76" i="37"/>
  <c r="T75" i="37"/>
  <c r="T74" i="37"/>
  <c r="T73" i="37"/>
  <c r="T72" i="37"/>
  <c r="T71" i="37"/>
  <c r="T70" i="37"/>
  <c r="T69" i="37"/>
  <c r="T68" i="37"/>
  <c r="T67" i="37"/>
  <c r="T66" i="37"/>
  <c r="T65" i="37"/>
  <c r="T64" i="37"/>
  <c r="T63" i="37"/>
  <c r="T62" i="37"/>
  <c r="T61" i="37"/>
  <c r="T60" i="37"/>
  <c r="T59" i="37"/>
  <c r="T58" i="37"/>
  <c r="T57" i="37"/>
  <c r="T56" i="37"/>
  <c r="T55" i="37"/>
  <c r="T54" i="37"/>
  <c r="T53" i="37"/>
  <c r="T52" i="37"/>
  <c r="T51" i="37"/>
  <c r="T50" i="37"/>
  <c r="T49" i="37"/>
  <c r="T48" i="37"/>
  <c r="T47" i="37"/>
  <c r="T46" i="37"/>
  <c r="T45" i="37"/>
  <c r="T44" i="37"/>
  <c r="T43" i="37"/>
  <c r="T42" i="37"/>
  <c r="T41" i="37"/>
  <c r="T40" i="37"/>
  <c r="T39" i="37"/>
  <c r="T38" i="37"/>
  <c r="T37" i="37"/>
  <c r="T36" i="37"/>
  <c r="T35" i="37"/>
  <c r="T34" i="37"/>
  <c r="T33" i="37"/>
  <c r="T32" i="37"/>
  <c r="T31" i="37"/>
  <c r="T30" i="37"/>
  <c r="T29" i="37"/>
  <c r="T28" i="37"/>
  <c r="T27" i="37"/>
  <c r="T26" i="37"/>
  <c r="T25" i="37"/>
  <c r="T24" i="37"/>
  <c r="T23" i="37"/>
  <c r="T22" i="37"/>
  <c r="T21" i="37"/>
  <c r="T20" i="37"/>
  <c r="T19" i="37"/>
  <c r="T18" i="37"/>
  <c r="T17" i="37"/>
  <c r="T16" i="37"/>
  <c r="T15" i="37"/>
  <c r="T14" i="37"/>
  <c r="T13" i="37"/>
  <c r="T12" i="37"/>
  <c r="T11" i="37"/>
  <c r="T10" i="37"/>
  <c r="T9" i="37"/>
  <c r="O153" i="37"/>
  <c r="O152" i="37"/>
  <c r="O151" i="37"/>
  <c r="O147" i="37"/>
  <c r="O146" i="37"/>
  <c r="O145" i="37"/>
  <c r="O144" i="37"/>
  <c r="O143" i="37"/>
  <c r="O142" i="37"/>
  <c r="O141" i="37"/>
  <c r="O140" i="37"/>
  <c r="O139" i="37"/>
  <c r="O137" i="37"/>
  <c r="O136" i="37"/>
  <c r="O135" i="37"/>
  <c r="O134" i="37"/>
  <c r="O133" i="37"/>
  <c r="O132" i="37"/>
  <c r="O131" i="37"/>
  <c r="O127" i="37"/>
  <c r="O126" i="37"/>
  <c r="O125" i="37"/>
  <c r="O124" i="37"/>
  <c r="O123" i="37"/>
  <c r="O122" i="37"/>
  <c r="O121" i="37"/>
  <c r="O120" i="37"/>
  <c r="O119" i="37"/>
  <c r="O118" i="37"/>
  <c r="O117" i="37"/>
  <c r="O116" i="37"/>
  <c r="O115" i="37"/>
  <c r="O114" i="37"/>
  <c r="O113" i="37"/>
  <c r="O112" i="37"/>
  <c r="O111" i="37"/>
  <c r="O110" i="37"/>
  <c r="O109" i="37"/>
  <c r="O108" i="37"/>
  <c r="O107" i="37"/>
  <c r="O106" i="37"/>
  <c r="O105" i="37"/>
  <c r="O104" i="37"/>
  <c r="O103" i="37"/>
  <c r="O102" i="37"/>
  <c r="O101" i="37"/>
  <c r="O100" i="37"/>
  <c r="O99" i="37"/>
  <c r="O98" i="37"/>
  <c r="O97" i="37"/>
  <c r="O96" i="37"/>
  <c r="O95" i="37"/>
  <c r="O94" i="37"/>
  <c r="O93" i="37"/>
  <c r="O92" i="37"/>
  <c r="O91" i="37"/>
  <c r="O90" i="37"/>
  <c r="O89" i="37"/>
  <c r="O88" i="37"/>
  <c r="O87" i="37"/>
  <c r="O86" i="37"/>
  <c r="O85" i="37"/>
  <c r="O84" i="37"/>
  <c r="O83" i="37"/>
  <c r="O82" i="37"/>
  <c r="O81" i="37"/>
  <c r="O80" i="37"/>
  <c r="O79" i="37"/>
  <c r="O78" i="37"/>
  <c r="O77" i="37"/>
  <c r="O76" i="37"/>
  <c r="O75" i="37"/>
  <c r="O74" i="37"/>
  <c r="O73" i="37"/>
  <c r="O72" i="37"/>
  <c r="O71" i="37"/>
  <c r="O70" i="37"/>
  <c r="O69" i="37"/>
  <c r="O68" i="37"/>
  <c r="O67" i="37"/>
  <c r="O66" i="37"/>
  <c r="O65" i="37"/>
  <c r="O64" i="37"/>
  <c r="O63" i="37"/>
  <c r="O62" i="37"/>
  <c r="O61" i="37"/>
  <c r="O60" i="37"/>
  <c r="O59" i="37"/>
  <c r="O58" i="37"/>
  <c r="O57" i="37"/>
  <c r="O56" i="37"/>
  <c r="O55" i="37"/>
  <c r="O54" i="37"/>
  <c r="O53" i="37"/>
  <c r="O52" i="37"/>
  <c r="O51" i="37"/>
  <c r="O50" i="37"/>
  <c r="O49" i="37"/>
  <c r="O48" i="37"/>
  <c r="O47" i="37"/>
  <c r="O46" i="37"/>
  <c r="O45" i="37"/>
  <c r="O44" i="37"/>
  <c r="O43" i="37"/>
  <c r="O42" i="37"/>
  <c r="O41" i="37"/>
  <c r="O40" i="37"/>
  <c r="O39" i="37"/>
  <c r="O38" i="37"/>
  <c r="O37" i="37"/>
  <c r="O36" i="37"/>
  <c r="O35" i="37"/>
  <c r="O34" i="37"/>
  <c r="O33" i="37"/>
  <c r="O32" i="37"/>
  <c r="O31" i="37"/>
  <c r="O30" i="37"/>
  <c r="O29" i="37"/>
  <c r="O28" i="37"/>
  <c r="O27" i="37"/>
  <c r="O26" i="37"/>
  <c r="O25" i="37"/>
  <c r="O24" i="37"/>
  <c r="O23" i="37"/>
  <c r="O22" i="37"/>
  <c r="O21" i="37"/>
  <c r="O20" i="37"/>
  <c r="O19" i="37"/>
  <c r="O18" i="37"/>
  <c r="O17" i="37"/>
  <c r="O16" i="37"/>
  <c r="O15" i="37"/>
  <c r="O14" i="37"/>
  <c r="O13" i="37"/>
  <c r="O12" i="37"/>
  <c r="O11" i="37"/>
  <c r="O10" i="37"/>
  <c r="O9" i="37"/>
  <c r="J9" i="37"/>
  <c r="J153" i="37"/>
  <c r="J152" i="37"/>
  <c r="J151" i="37"/>
  <c r="J147" i="37"/>
  <c r="J146" i="37"/>
  <c r="J145" i="37"/>
  <c r="J144" i="37"/>
  <c r="J143" i="37"/>
  <c r="J142" i="37"/>
  <c r="J141" i="37"/>
  <c r="J140" i="37"/>
  <c r="J139" i="37"/>
  <c r="J138" i="37"/>
  <c r="J137" i="37"/>
  <c r="J136" i="37"/>
  <c r="J135" i="37"/>
  <c r="J134" i="37"/>
  <c r="J133" i="37"/>
  <c r="J132" i="37"/>
  <c r="J131" i="37"/>
  <c r="J127" i="37"/>
  <c r="J126" i="37"/>
  <c r="J125" i="37"/>
  <c r="J124" i="37"/>
  <c r="J123" i="37"/>
  <c r="J122" i="37"/>
  <c r="J121" i="37"/>
  <c r="J120" i="37"/>
  <c r="J119" i="37"/>
  <c r="J118" i="37"/>
  <c r="J117" i="37"/>
  <c r="J116" i="37"/>
  <c r="J115" i="37"/>
  <c r="J114" i="37"/>
  <c r="J113" i="37"/>
  <c r="J112" i="37"/>
  <c r="J111" i="37"/>
  <c r="J110" i="37"/>
  <c r="J109" i="37"/>
  <c r="J108" i="37"/>
  <c r="J107" i="37"/>
  <c r="J106" i="37"/>
  <c r="J105" i="37"/>
  <c r="J104" i="37"/>
  <c r="J103" i="37"/>
  <c r="J102" i="37"/>
  <c r="J101" i="37"/>
  <c r="J100" i="37"/>
  <c r="J99" i="37"/>
  <c r="J98" i="37"/>
  <c r="J97" i="37"/>
  <c r="J96" i="37"/>
  <c r="J95" i="37"/>
  <c r="J94" i="37"/>
  <c r="J93" i="37"/>
  <c r="J92" i="37"/>
  <c r="J91" i="37"/>
  <c r="J90" i="37"/>
  <c r="J89" i="37"/>
  <c r="J88" i="37"/>
  <c r="J87" i="37"/>
  <c r="J86" i="37"/>
  <c r="J85" i="37"/>
  <c r="J84" i="37"/>
  <c r="J83" i="37"/>
  <c r="J82" i="37"/>
  <c r="J81" i="37"/>
  <c r="J80" i="37"/>
  <c r="J79" i="37"/>
  <c r="J78" i="37"/>
  <c r="J77" i="37"/>
  <c r="J76" i="37"/>
  <c r="J75" i="37"/>
  <c r="J74" i="37"/>
  <c r="J73" i="37"/>
  <c r="J72" i="37"/>
  <c r="J71" i="37"/>
  <c r="J70" i="37"/>
  <c r="J69" i="37"/>
  <c r="J68" i="37"/>
  <c r="J67" i="37"/>
  <c r="J66" i="37"/>
  <c r="J65" i="37"/>
  <c r="J64" i="37"/>
  <c r="J63" i="37"/>
  <c r="J62" i="37"/>
  <c r="J61" i="37"/>
  <c r="J60" i="37"/>
  <c r="J59" i="37"/>
  <c r="J58" i="37"/>
  <c r="J57" i="37"/>
  <c r="J56" i="37"/>
  <c r="J55" i="37"/>
  <c r="J54" i="37"/>
  <c r="J53" i="37"/>
  <c r="J52" i="37"/>
  <c r="J51" i="37"/>
  <c r="J50" i="37"/>
  <c r="J49" i="37"/>
  <c r="J48" i="37"/>
  <c r="J47" i="37"/>
  <c r="J46" i="37"/>
  <c r="J45" i="37"/>
  <c r="J44" i="37"/>
  <c r="J43" i="37"/>
  <c r="J42" i="37"/>
  <c r="J41" i="37"/>
  <c r="J40" i="37"/>
  <c r="J39" i="37"/>
  <c r="J38" i="37"/>
  <c r="J37" i="37"/>
  <c r="J36" i="37"/>
  <c r="J35" i="37"/>
  <c r="J34" i="37"/>
  <c r="J33" i="37"/>
  <c r="J32" i="37"/>
  <c r="J31" i="37"/>
  <c r="J30" i="37"/>
  <c r="J29" i="37"/>
  <c r="J28" i="37"/>
  <c r="J27" i="37"/>
  <c r="J26" i="37"/>
  <c r="J25" i="37"/>
  <c r="J24" i="37"/>
  <c r="J23" i="37"/>
  <c r="J22" i="37"/>
  <c r="J21" i="37"/>
  <c r="J20" i="37"/>
  <c r="J19" i="37"/>
  <c r="J18" i="37"/>
  <c r="J17" i="37"/>
  <c r="J16" i="37"/>
  <c r="J15" i="37"/>
  <c r="J14" i="37"/>
  <c r="J13" i="37"/>
  <c r="J12" i="37"/>
  <c r="J11" i="37"/>
  <c r="J10" i="37"/>
  <c r="M150" i="42"/>
  <c r="L150" i="42"/>
  <c r="J150" i="42"/>
  <c r="M149" i="42"/>
  <c r="L149" i="42"/>
  <c r="J149" i="42"/>
  <c r="K148" i="42"/>
  <c r="K147" i="42"/>
  <c r="M130" i="42"/>
  <c r="L130" i="42"/>
  <c r="J130" i="42"/>
  <c r="G130" i="42"/>
  <c r="M129" i="42"/>
  <c r="L129" i="42"/>
  <c r="J129" i="42"/>
  <c r="G129" i="42"/>
  <c r="J127" i="42"/>
  <c r="J126" i="42"/>
  <c r="M125" i="42"/>
  <c r="L125" i="42"/>
  <c r="J125" i="42"/>
  <c r="M124" i="42"/>
  <c r="L124" i="42"/>
  <c r="J124" i="42"/>
  <c r="M123" i="42"/>
  <c r="L123" i="42"/>
  <c r="J123" i="42"/>
  <c r="G123" i="42"/>
  <c r="M122" i="42"/>
  <c r="L122" i="42"/>
  <c r="J122" i="42"/>
  <c r="G122" i="42"/>
  <c r="M121" i="42"/>
  <c r="L121" i="42"/>
  <c r="J121" i="42"/>
  <c r="G121" i="42"/>
  <c r="M120" i="42"/>
  <c r="L120" i="42"/>
  <c r="J120" i="42"/>
  <c r="G120" i="42"/>
  <c r="K119" i="42"/>
  <c r="M118" i="42"/>
  <c r="L118" i="42"/>
  <c r="J118" i="42"/>
  <c r="G118" i="42"/>
  <c r="M117" i="42"/>
  <c r="L117" i="42"/>
  <c r="J117" i="42"/>
  <c r="G117" i="42"/>
  <c r="M114" i="42"/>
  <c r="L114" i="42"/>
  <c r="J114" i="42"/>
  <c r="G114" i="42"/>
  <c r="M113" i="42"/>
  <c r="L113" i="42"/>
  <c r="J113" i="42"/>
  <c r="G113" i="42"/>
  <c r="K112" i="42"/>
  <c r="K110" i="42"/>
  <c r="M109" i="42"/>
  <c r="L109" i="42"/>
  <c r="J109" i="42"/>
  <c r="G109" i="42"/>
  <c r="M108" i="42"/>
  <c r="L108" i="42"/>
  <c r="J108" i="42"/>
  <c r="G108" i="42"/>
  <c r="K107" i="42"/>
  <c r="K105" i="42"/>
  <c r="M104" i="42"/>
  <c r="L104" i="42"/>
  <c r="J104" i="42"/>
  <c r="M103" i="42"/>
  <c r="L103" i="42"/>
  <c r="J103" i="42"/>
  <c r="M102" i="42"/>
  <c r="L102" i="42"/>
  <c r="J102" i="42"/>
  <c r="M101" i="42"/>
  <c r="L101" i="42"/>
  <c r="J101" i="42"/>
  <c r="M100" i="42"/>
  <c r="L100" i="42"/>
  <c r="J100" i="42"/>
  <c r="M99" i="42"/>
  <c r="L99" i="42"/>
  <c r="J99" i="42"/>
  <c r="M98" i="42"/>
  <c r="L98" i="42"/>
  <c r="J98" i="42"/>
  <c r="M97" i="42"/>
  <c r="L97" i="42"/>
  <c r="J97" i="42"/>
  <c r="K96" i="42"/>
  <c r="M95" i="42"/>
  <c r="L95" i="42"/>
  <c r="J95" i="42"/>
  <c r="F95" i="42" s="1"/>
  <c r="G95" i="42"/>
  <c r="M94" i="42"/>
  <c r="L94" i="42"/>
  <c r="J94" i="42"/>
  <c r="G94" i="42"/>
  <c r="F94" i="42"/>
  <c r="M93" i="42"/>
  <c r="L93" i="42"/>
  <c r="J93" i="42"/>
  <c r="F93" i="42" s="1"/>
  <c r="G93" i="42"/>
  <c r="M92" i="42"/>
  <c r="L92" i="42"/>
  <c r="J92" i="42"/>
  <c r="G92" i="42"/>
  <c r="F92" i="42"/>
  <c r="M91" i="42"/>
  <c r="L91" i="42"/>
  <c r="J91" i="42"/>
  <c r="F91" i="42" s="1"/>
  <c r="G91" i="42"/>
  <c r="M90" i="42"/>
  <c r="L90" i="42"/>
  <c r="J90" i="42"/>
  <c r="G90" i="42"/>
  <c r="F90" i="42"/>
  <c r="M89" i="42"/>
  <c r="L89" i="42"/>
  <c r="J89" i="42"/>
  <c r="F89" i="42" s="1"/>
  <c r="G89" i="42"/>
  <c r="M88" i="42"/>
  <c r="L88" i="42"/>
  <c r="J88" i="42"/>
  <c r="G88" i="42"/>
  <c r="F88" i="42"/>
  <c r="M87" i="42"/>
  <c r="L87" i="42"/>
  <c r="J87" i="42"/>
  <c r="F87" i="42" s="1"/>
  <c r="G87" i="42"/>
  <c r="M86" i="42"/>
  <c r="L86" i="42"/>
  <c r="J86" i="42"/>
  <c r="G86" i="42"/>
  <c r="F86" i="42"/>
  <c r="M85" i="42"/>
  <c r="L85" i="42"/>
  <c r="J85" i="42"/>
  <c r="F85" i="42" s="1"/>
  <c r="G85" i="42"/>
  <c r="M84" i="42"/>
  <c r="L84" i="42"/>
  <c r="J84" i="42"/>
  <c r="G84" i="42"/>
  <c r="F84" i="42"/>
  <c r="M83" i="42"/>
  <c r="L83" i="42"/>
  <c r="J83" i="42"/>
  <c r="F83" i="42" s="1"/>
  <c r="G83" i="42"/>
  <c r="M82" i="42"/>
  <c r="L82" i="42"/>
  <c r="J82" i="42"/>
  <c r="G82" i="42"/>
  <c r="F82" i="42"/>
  <c r="M81" i="42"/>
  <c r="L81" i="42"/>
  <c r="J81" i="42"/>
  <c r="F81" i="42" s="1"/>
  <c r="G81" i="42"/>
  <c r="M80" i="42"/>
  <c r="L80" i="42"/>
  <c r="J80" i="42"/>
  <c r="G80" i="42"/>
  <c r="F80" i="42"/>
  <c r="G78" i="42"/>
  <c r="F78" i="42"/>
  <c r="M77" i="42"/>
  <c r="L77" i="42"/>
  <c r="J77" i="42"/>
  <c r="G77" i="42"/>
  <c r="F77" i="42"/>
  <c r="M76" i="42"/>
  <c r="L76" i="42"/>
  <c r="J76" i="42"/>
  <c r="G76" i="42"/>
  <c r="M75" i="42"/>
  <c r="L75" i="42"/>
  <c r="J75" i="42"/>
  <c r="G75" i="42"/>
  <c r="M74" i="42"/>
  <c r="L74" i="42"/>
  <c r="J74" i="42"/>
  <c r="F74" i="42" s="1"/>
  <c r="G74" i="42"/>
  <c r="M73" i="42"/>
  <c r="L73" i="42"/>
  <c r="J73" i="42"/>
  <c r="G73" i="42"/>
  <c r="F73" i="42"/>
  <c r="M72" i="42"/>
  <c r="L72" i="42"/>
  <c r="J72" i="42"/>
  <c r="F72" i="42" s="1"/>
  <c r="G72" i="42"/>
  <c r="M71" i="42"/>
  <c r="L71" i="42"/>
  <c r="J71" i="42"/>
  <c r="G71" i="42"/>
  <c r="F71" i="42"/>
  <c r="K70" i="42"/>
  <c r="K69" i="42"/>
  <c r="K68" i="42"/>
  <c r="K67" i="42"/>
  <c r="K66" i="42"/>
  <c r="K65" i="42"/>
  <c r="K64" i="42"/>
  <c r="K63" i="42"/>
  <c r="K62" i="42"/>
  <c r="K61" i="42"/>
  <c r="K60" i="42"/>
  <c r="K59" i="42"/>
  <c r="M58" i="42"/>
  <c r="L58" i="42"/>
  <c r="J58" i="42"/>
  <c r="F58" i="42" s="1"/>
  <c r="M57" i="42"/>
  <c r="L57" i="42"/>
  <c r="J57" i="42"/>
  <c r="F57" i="42"/>
  <c r="M56" i="42"/>
  <c r="L56" i="42"/>
  <c r="J56" i="42"/>
  <c r="F56" i="42" s="1"/>
  <c r="M55" i="42"/>
  <c r="L55" i="42"/>
  <c r="J55" i="42"/>
  <c r="F55" i="42"/>
  <c r="M54" i="42"/>
  <c r="L54" i="42"/>
  <c r="J54" i="42"/>
  <c r="F54" i="42" s="1"/>
  <c r="M53" i="42"/>
  <c r="L53" i="42"/>
  <c r="J53" i="42"/>
  <c r="F53" i="42"/>
  <c r="K52" i="42"/>
  <c r="K51" i="42"/>
  <c r="M42" i="42"/>
  <c r="L42" i="42"/>
  <c r="J42" i="42"/>
  <c r="G42" i="42"/>
  <c r="M41" i="42"/>
  <c r="L41" i="42"/>
  <c r="J41" i="42"/>
  <c r="G41" i="42"/>
  <c r="M40" i="42"/>
  <c r="L40" i="42"/>
  <c r="J40" i="42"/>
  <c r="G40" i="42"/>
  <c r="M39" i="42"/>
  <c r="L39" i="42"/>
  <c r="J39" i="42"/>
  <c r="G39" i="42"/>
  <c r="M36" i="42"/>
  <c r="L36" i="42"/>
  <c r="J36" i="42"/>
  <c r="G36" i="42"/>
  <c r="M35" i="42"/>
  <c r="L35" i="42"/>
  <c r="J35" i="42"/>
  <c r="G35" i="42"/>
  <c r="M32" i="42"/>
  <c r="L32" i="42"/>
  <c r="J32" i="42"/>
  <c r="G32" i="42"/>
  <c r="M31" i="42"/>
  <c r="L31" i="42"/>
  <c r="J31" i="42"/>
  <c r="G31" i="42"/>
  <c r="M30" i="42"/>
  <c r="L30" i="42"/>
  <c r="J30" i="42"/>
  <c r="G30" i="42"/>
  <c r="M29" i="42"/>
  <c r="L29" i="42"/>
  <c r="J29" i="42"/>
  <c r="G29" i="42"/>
  <c r="M28" i="42"/>
  <c r="L28" i="42"/>
  <c r="J28" i="42"/>
  <c r="G28" i="42"/>
  <c r="M27" i="42"/>
  <c r="L27" i="42"/>
  <c r="J27" i="42"/>
  <c r="G27" i="42"/>
  <c r="M26" i="42"/>
  <c r="L26" i="42"/>
  <c r="J26" i="42"/>
  <c r="G26" i="42"/>
  <c r="M25" i="42"/>
  <c r="L25" i="42"/>
  <c r="J25" i="42"/>
  <c r="G25" i="42"/>
  <c r="M24" i="42"/>
  <c r="L24" i="42"/>
  <c r="J24" i="42"/>
  <c r="G24" i="42"/>
  <c r="M23" i="42"/>
  <c r="L23" i="42"/>
  <c r="J23" i="42"/>
  <c r="G23" i="42"/>
  <c r="M22" i="42"/>
  <c r="L22" i="42"/>
  <c r="J22" i="42"/>
  <c r="G22" i="42"/>
  <c r="M21" i="42"/>
  <c r="L21" i="42"/>
  <c r="J21" i="42"/>
  <c r="G21" i="42"/>
  <c r="M20" i="42"/>
  <c r="L20" i="42"/>
  <c r="J20" i="42"/>
  <c r="G20" i="42"/>
  <c r="M19" i="42"/>
  <c r="L19" i="42"/>
  <c r="J19" i="42"/>
  <c r="G19" i="42"/>
  <c r="M15" i="42"/>
  <c r="L15" i="42"/>
  <c r="J15" i="42"/>
  <c r="G15" i="42"/>
  <c r="M14" i="42"/>
  <c r="L14" i="42"/>
  <c r="J14" i="42"/>
  <c r="G14" i="42"/>
  <c r="M13" i="42"/>
  <c r="L13" i="42"/>
  <c r="J13" i="42"/>
  <c r="G13" i="42"/>
  <c r="M12" i="42"/>
  <c r="L12" i="42"/>
  <c r="J12" i="42"/>
  <c r="G12" i="42"/>
  <c r="AD154" i="37" l="1"/>
  <c r="AD156" i="37"/>
  <c r="AX155" i="37"/>
  <c r="Y155" i="37"/>
  <c r="AS154" i="37"/>
  <c r="AS156" i="37"/>
  <c r="T154" i="37"/>
  <c r="T156" i="37"/>
  <c r="AN155" i="37"/>
  <c r="AI154" i="37"/>
  <c r="AI156" i="37"/>
  <c r="BC155" i="37"/>
  <c r="J154" i="37"/>
  <c r="AD155" i="37"/>
  <c r="AX154" i="37"/>
  <c r="AX156" i="37"/>
  <c r="J156" i="37"/>
  <c r="O155" i="37"/>
  <c r="Y154" i="37"/>
  <c r="Y156" i="37"/>
  <c r="AS155" i="37"/>
  <c r="T155" i="37"/>
  <c r="AN154" i="37"/>
  <c r="AN156" i="37"/>
  <c r="J155" i="37"/>
  <c r="AI155" i="37"/>
  <c r="BC154" i="37"/>
  <c r="BC156" i="37"/>
  <c r="AD157" i="37" l="1"/>
  <c r="Y157" i="37"/>
  <c r="AN157" i="37"/>
  <c r="AS157" i="37"/>
  <c r="J157" i="37"/>
  <c r="T157" i="37"/>
  <c r="BC157" i="37"/>
  <c r="AI157" i="37"/>
  <c r="AX157" i="37"/>
  <c r="CG10" i="2"/>
  <c r="CG11" i="2"/>
  <c r="BL11" i="2" s="1"/>
  <c r="X11" i="2" s="1"/>
  <c r="CG12" i="2"/>
  <c r="BL12" i="2" s="1"/>
  <c r="X12" i="2" s="1"/>
  <c r="CG13" i="2"/>
  <c r="BL13" i="2" s="1"/>
  <c r="X13" i="2" s="1"/>
  <c r="CG14" i="2"/>
  <c r="BL14" i="2" s="1"/>
  <c r="X14" i="2" s="1"/>
  <c r="CG15" i="2"/>
  <c r="BL15" i="2" s="1"/>
  <c r="X15" i="2" s="1"/>
  <c r="CG16" i="2"/>
  <c r="BL16" i="2" s="1"/>
  <c r="X16" i="2" s="1"/>
  <c r="CG17" i="2"/>
  <c r="BL17" i="2" s="1"/>
  <c r="X17" i="2" s="1"/>
  <c r="CG18" i="2"/>
  <c r="BL18" i="2" s="1"/>
  <c r="X18" i="2" s="1"/>
  <c r="CG19" i="2"/>
  <c r="BL19" i="2" s="1"/>
  <c r="X19" i="2" s="1"/>
  <c r="CG20" i="2"/>
  <c r="BL20" i="2" s="1"/>
  <c r="X20" i="2" s="1"/>
  <c r="CG21" i="2"/>
  <c r="BL21" i="2" s="1"/>
  <c r="X21" i="2" s="1"/>
  <c r="CG22" i="2"/>
  <c r="BL22" i="2" s="1"/>
  <c r="X22" i="2" s="1"/>
  <c r="CG23" i="2"/>
  <c r="BL23" i="2" s="1"/>
  <c r="X23" i="2" s="1"/>
  <c r="BL24" i="2"/>
  <c r="X24" i="2" s="1"/>
  <c r="CG25" i="2"/>
  <c r="BL25" i="2" s="1"/>
  <c r="X25" i="2" s="1"/>
  <c r="CG26" i="2"/>
  <c r="BL26" i="2" s="1"/>
  <c r="X26" i="2" s="1"/>
  <c r="CG27" i="2"/>
  <c r="BL27" i="2" s="1"/>
  <c r="X27" i="2" s="1"/>
  <c r="CG28" i="2"/>
  <c r="BL28" i="2" s="1"/>
  <c r="X28" i="2" s="1"/>
  <c r="CG29" i="2"/>
  <c r="BL29" i="2" s="1"/>
  <c r="X29" i="2" s="1"/>
  <c r="CG30" i="2"/>
  <c r="BL30" i="2" s="1"/>
  <c r="X30" i="2" s="1"/>
  <c r="CG31" i="2"/>
  <c r="BL31" i="2" s="1"/>
  <c r="X31" i="2" s="1"/>
  <c r="CG32" i="2"/>
  <c r="BL32" i="2" s="1"/>
  <c r="X32" i="2" s="1"/>
  <c r="CG33" i="2"/>
  <c r="BL33" i="2" s="1"/>
  <c r="X33" i="2" s="1"/>
  <c r="CG34" i="2"/>
  <c r="BL34" i="2" s="1"/>
  <c r="X34" i="2" s="1"/>
  <c r="CG35" i="2"/>
  <c r="BL35" i="2" s="1"/>
  <c r="X35" i="2" s="1"/>
  <c r="CG36" i="2"/>
  <c r="BL36" i="2" s="1"/>
  <c r="X36" i="2" s="1"/>
  <c r="B3" i="9"/>
  <c r="CF9" i="2"/>
  <c r="BK9" i="2" s="1"/>
  <c r="V9" i="2" s="1"/>
  <c r="CF10" i="2"/>
  <c r="BK10" i="2" s="1"/>
  <c r="V10" i="2" s="1"/>
  <c r="CF11" i="2"/>
  <c r="BK11" i="2" s="1"/>
  <c r="V11" i="2" s="1"/>
  <c r="CF12" i="2"/>
  <c r="BK12" i="2" s="1"/>
  <c r="V12" i="2" s="1"/>
  <c r="CF13" i="2"/>
  <c r="BK13" i="2" s="1"/>
  <c r="V13" i="2" s="1"/>
  <c r="CF14" i="2"/>
  <c r="BK14" i="2" s="1"/>
  <c r="V14" i="2" s="1"/>
  <c r="CF15" i="2"/>
  <c r="BK15" i="2" s="1"/>
  <c r="V15" i="2" s="1"/>
  <c r="CF16" i="2"/>
  <c r="BK16" i="2" s="1"/>
  <c r="V16" i="2" s="1"/>
  <c r="CF17" i="2"/>
  <c r="BK17" i="2" s="1"/>
  <c r="V17" i="2" s="1"/>
  <c r="CF18" i="2"/>
  <c r="BK18" i="2" s="1"/>
  <c r="V18" i="2" s="1"/>
  <c r="CF19" i="2"/>
  <c r="BK19" i="2" s="1"/>
  <c r="V19" i="2" s="1"/>
  <c r="CF20" i="2"/>
  <c r="BK20" i="2" s="1"/>
  <c r="V20" i="2" s="1"/>
  <c r="CF21" i="2"/>
  <c r="BK21" i="2" s="1"/>
  <c r="V21" i="2" s="1"/>
  <c r="CF22" i="2"/>
  <c r="BK22" i="2" s="1"/>
  <c r="V22" i="2" s="1"/>
  <c r="CF23" i="2"/>
  <c r="BK23" i="2" s="1"/>
  <c r="V23" i="2" s="1"/>
  <c r="CF24" i="2"/>
  <c r="BK24" i="2" s="1"/>
  <c r="V24" i="2" s="1"/>
  <c r="CF25" i="2"/>
  <c r="BK25" i="2" s="1"/>
  <c r="V25" i="2" s="1"/>
  <c r="CF26" i="2"/>
  <c r="BK26" i="2" s="1"/>
  <c r="V26" i="2" s="1"/>
  <c r="CF27" i="2"/>
  <c r="BK27" i="2" s="1"/>
  <c r="V27" i="2" s="1"/>
  <c r="CF28" i="2"/>
  <c r="BK28" i="2" s="1"/>
  <c r="V28" i="2" s="1"/>
  <c r="CF29" i="2"/>
  <c r="BK29" i="2" s="1"/>
  <c r="V29" i="2" s="1"/>
  <c r="CF30" i="2"/>
  <c r="BK30" i="2" s="1"/>
  <c r="V30" i="2" s="1"/>
  <c r="CF31" i="2"/>
  <c r="BK31" i="2" s="1"/>
  <c r="V31" i="2" s="1"/>
  <c r="CF32" i="2"/>
  <c r="BK32" i="2" s="1"/>
  <c r="V32" i="2" s="1"/>
  <c r="CF33" i="2"/>
  <c r="BK33" i="2" s="1"/>
  <c r="V33" i="2" s="1"/>
  <c r="CF34" i="2"/>
  <c r="BK34" i="2" s="1"/>
  <c r="V34" i="2" s="1"/>
  <c r="CF35" i="2"/>
  <c r="BK35" i="2" s="1"/>
  <c r="V35" i="2" s="1"/>
  <c r="CF36" i="2"/>
  <c r="BK36" i="2" s="1"/>
  <c r="V36" i="2" s="1"/>
  <c r="CE9" i="2"/>
  <c r="BJ9" i="2" s="1"/>
  <c r="T9" i="2" s="1"/>
  <c r="CE10" i="2"/>
  <c r="BJ10" i="2" s="1"/>
  <c r="T10" i="2" s="1"/>
  <c r="CE11" i="2"/>
  <c r="BJ11" i="2" s="1"/>
  <c r="T11" i="2" s="1"/>
  <c r="CE12" i="2"/>
  <c r="BJ12" i="2" s="1"/>
  <c r="T12" i="2" s="1"/>
  <c r="CE13" i="2"/>
  <c r="BJ13" i="2" s="1"/>
  <c r="T13" i="2" s="1"/>
  <c r="CE14" i="2"/>
  <c r="BJ14" i="2" s="1"/>
  <c r="T14" i="2" s="1"/>
  <c r="CE15" i="2"/>
  <c r="BJ15" i="2" s="1"/>
  <c r="T15" i="2" s="1"/>
  <c r="CE16" i="2"/>
  <c r="BJ16" i="2" s="1"/>
  <c r="T16" i="2" s="1"/>
  <c r="CE17" i="2"/>
  <c r="BJ17" i="2" s="1"/>
  <c r="T17" i="2" s="1"/>
  <c r="CE18" i="2"/>
  <c r="BJ18" i="2" s="1"/>
  <c r="T18" i="2" s="1"/>
  <c r="CE19" i="2"/>
  <c r="BJ19" i="2" s="1"/>
  <c r="T19" i="2" s="1"/>
  <c r="CE20" i="2"/>
  <c r="BJ20" i="2" s="1"/>
  <c r="T20" i="2" s="1"/>
  <c r="CE21" i="2"/>
  <c r="BJ21" i="2" s="1"/>
  <c r="T21" i="2" s="1"/>
  <c r="CE22" i="2"/>
  <c r="BJ22" i="2" s="1"/>
  <c r="T22" i="2" s="1"/>
  <c r="CE23" i="2"/>
  <c r="BJ23" i="2" s="1"/>
  <c r="T23" i="2" s="1"/>
  <c r="CE24" i="2"/>
  <c r="BJ24" i="2" s="1"/>
  <c r="T24" i="2" s="1"/>
  <c r="CE25" i="2"/>
  <c r="BJ25" i="2" s="1"/>
  <c r="T25" i="2" s="1"/>
  <c r="CE26" i="2"/>
  <c r="BJ26" i="2" s="1"/>
  <c r="T26" i="2" s="1"/>
  <c r="CE27" i="2"/>
  <c r="BJ27" i="2" s="1"/>
  <c r="T27" i="2" s="1"/>
  <c r="CE28" i="2"/>
  <c r="BJ28" i="2" s="1"/>
  <c r="T28" i="2" s="1"/>
  <c r="CE29" i="2"/>
  <c r="BJ29" i="2" s="1"/>
  <c r="T29" i="2" s="1"/>
  <c r="CE30" i="2"/>
  <c r="BJ30" i="2" s="1"/>
  <c r="T30" i="2" s="1"/>
  <c r="CE31" i="2"/>
  <c r="BJ31" i="2" s="1"/>
  <c r="T31" i="2" s="1"/>
  <c r="CE32" i="2"/>
  <c r="BJ32" i="2" s="1"/>
  <c r="T32" i="2" s="1"/>
  <c r="CE33" i="2"/>
  <c r="BJ33" i="2" s="1"/>
  <c r="T33" i="2" s="1"/>
  <c r="CE34" i="2"/>
  <c r="BJ34" i="2" s="1"/>
  <c r="T34" i="2" s="1"/>
  <c r="CE35" i="2"/>
  <c r="BJ35" i="2" s="1"/>
  <c r="T35" i="2" s="1"/>
  <c r="CE36" i="2"/>
  <c r="BJ36" i="2" s="1"/>
  <c r="T36" i="2" s="1"/>
  <c r="CD9" i="2"/>
  <c r="BI9" i="2" s="1"/>
  <c r="R9" i="2" s="1"/>
  <c r="CD10" i="2"/>
  <c r="BI10" i="2" s="1"/>
  <c r="R10" i="2" s="1"/>
  <c r="CD11" i="2"/>
  <c r="BI11" i="2" s="1"/>
  <c r="R11" i="2" s="1"/>
  <c r="CD12" i="2"/>
  <c r="BI12" i="2" s="1"/>
  <c r="R12" i="2" s="1"/>
  <c r="CD13" i="2"/>
  <c r="BI13" i="2" s="1"/>
  <c r="R13" i="2" s="1"/>
  <c r="CD14" i="2"/>
  <c r="BI14" i="2" s="1"/>
  <c r="R14" i="2" s="1"/>
  <c r="CD15" i="2"/>
  <c r="BI15" i="2" s="1"/>
  <c r="R15" i="2" s="1"/>
  <c r="CD16" i="2"/>
  <c r="BI16" i="2" s="1"/>
  <c r="R16" i="2" s="1"/>
  <c r="CD17" i="2"/>
  <c r="BI17" i="2" s="1"/>
  <c r="R17" i="2" s="1"/>
  <c r="CD18" i="2"/>
  <c r="BI18" i="2" s="1"/>
  <c r="R18" i="2" s="1"/>
  <c r="CD19" i="2"/>
  <c r="BI19" i="2" s="1"/>
  <c r="R19" i="2" s="1"/>
  <c r="CD20" i="2"/>
  <c r="BI20" i="2" s="1"/>
  <c r="R20" i="2" s="1"/>
  <c r="CD21" i="2"/>
  <c r="BI21" i="2" s="1"/>
  <c r="R21" i="2" s="1"/>
  <c r="CD22" i="2"/>
  <c r="BI22" i="2" s="1"/>
  <c r="R22" i="2" s="1"/>
  <c r="CD23" i="2"/>
  <c r="BI23" i="2" s="1"/>
  <c r="R23" i="2" s="1"/>
  <c r="CD24" i="2"/>
  <c r="BI24" i="2" s="1"/>
  <c r="R24" i="2" s="1"/>
  <c r="CD25" i="2"/>
  <c r="BI25" i="2" s="1"/>
  <c r="R25" i="2" s="1"/>
  <c r="CD26" i="2"/>
  <c r="BI26" i="2" s="1"/>
  <c r="R26" i="2" s="1"/>
  <c r="CD27" i="2"/>
  <c r="BI27" i="2" s="1"/>
  <c r="R27" i="2" s="1"/>
  <c r="CD28" i="2"/>
  <c r="BI28" i="2" s="1"/>
  <c r="R28" i="2" s="1"/>
  <c r="CD29" i="2"/>
  <c r="BI29" i="2" s="1"/>
  <c r="R29" i="2" s="1"/>
  <c r="CD30" i="2"/>
  <c r="BI30" i="2" s="1"/>
  <c r="R30" i="2" s="1"/>
  <c r="CD31" i="2"/>
  <c r="BI31" i="2" s="1"/>
  <c r="R31" i="2" s="1"/>
  <c r="CD32" i="2"/>
  <c r="BI32" i="2" s="1"/>
  <c r="R32" i="2" s="1"/>
  <c r="CD33" i="2"/>
  <c r="BI33" i="2" s="1"/>
  <c r="R33" i="2" s="1"/>
  <c r="CD34" i="2"/>
  <c r="BI34" i="2" s="1"/>
  <c r="R34" i="2" s="1"/>
  <c r="CD35" i="2"/>
  <c r="BI35" i="2" s="1"/>
  <c r="R35" i="2" s="1"/>
  <c r="CD36" i="2"/>
  <c r="BI36" i="2" s="1"/>
  <c r="R36" i="2" s="1"/>
  <c r="CC9" i="2"/>
  <c r="BH9" i="2" s="1"/>
  <c r="P9" i="2" s="1"/>
  <c r="CC10" i="2"/>
  <c r="BH10" i="2" s="1"/>
  <c r="P10" i="2" s="1"/>
  <c r="CC11" i="2"/>
  <c r="BH11" i="2" s="1"/>
  <c r="P11" i="2" s="1"/>
  <c r="CC12" i="2"/>
  <c r="BH12" i="2" s="1"/>
  <c r="P12" i="2" s="1"/>
  <c r="CC13" i="2"/>
  <c r="BH13" i="2" s="1"/>
  <c r="P13" i="2" s="1"/>
  <c r="CC14" i="2"/>
  <c r="BH14" i="2" s="1"/>
  <c r="P14" i="2" s="1"/>
  <c r="CC15" i="2"/>
  <c r="BH15" i="2" s="1"/>
  <c r="P15" i="2" s="1"/>
  <c r="CC16" i="2"/>
  <c r="BH16" i="2" s="1"/>
  <c r="P16" i="2" s="1"/>
  <c r="CC17" i="2"/>
  <c r="BH17" i="2" s="1"/>
  <c r="P17" i="2" s="1"/>
  <c r="CC18" i="2"/>
  <c r="BH18" i="2" s="1"/>
  <c r="P18" i="2" s="1"/>
  <c r="CC19" i="2"/>
  <c r="BH19" i="2" s="1"/>
  <c r="P19" i="2" s="1"/>
  <c r="CC20" i="2"/>
  <c r="BH20" i="2" s="1"/>
  <c r="P20" i="2" s="1"/>
  <c r="CC21" i="2"/>
  <c r="BH21" i="2" s="1"/>
  <c r="P21" i="2" s="1"/>
  <c r="CC22" i="2"/>
  <c r="BH22" i="2" s="1"/>
  <c r="P22" i="2" s="1"/>
  <c r="CC23" i="2"/>
  <c r="BH23" i="2" s="1"/>
  <c r="P23" i="2" s="1"/>
  <c r="CC24" i="2"/>
  <c r="BH24" i="2" s="1"/>
  <c r="P24" i="2" s="1"/>
  <c r="CC25" i="2"/>
  <c r="BH25" i="2" s="1"/>
  <c r="P25" i="2" s="1"/>
  <c r="CC26" i="2"/>
  <c r="BH26" i="2" s="1"/>
  <c r="P26" i="2" s="1"/>
  <c r="CC27" i="2"/>
  <c r="BH27" i="2" s="1"/>
  <c r="P27" i="2" s="1"/>
  <c r="CC28" i="2"/>
  <c r="BH28" i="2" s="1"/>
  <c r="P28" i="2" s="1"/>
  <c r="CC29" i="2"/>
  <c r="BH29" i="2" s="1"/>
  <c r="P29" i="2" s="1"/>
  <c r="CC30" i="2"/>
  <c r="BH30" i="2" s="1"/>
  <c r="P30" i="2" s="1"/>
  <c r="CC31" i="2"/>
  <c r="BH31" i="2" s="1"/>
  <c r="P31" i="2" s="1"/>
  <c r="CC32" i="2"/>
  <c r="BH32" i="2" s="1"/>
  <c r="P32" i="2" s="1"/>
  <c r="CC33" i="2"/>
  <c r="BH33" i="2" s="1"/>
  <c r="P33" i="2" s="1"/>
  <c r="CC34" i="2"/>
  <c r="BH34" i="2" s="1"/>
  <c r="P34" i="2" s="1"/>
  <c r="CC35" i="2"/>
  <c r="BH35" i="2" s="1"/>
  <c r="P35" i="2" s="1"/>
  <c r="CC36" i="2"/>
  <c r="BH36" i="2" s="1"/>
  <c r="P36" i="2" s="1"/>
  <c r="CB9" i="2"/>
  <c r="BG9" i="2" s="1"/>
  <c r="N9" i="2" s="1"/>
  <c r="CB11" i="2"/>
  <c r="BG11" i="2" s="1"/>
  <c r="N11" i="2" s="1"/>
  <c r="CB12" i="2"/>
  <c r="BG12" i="2" s="1"/>
  <c r="N12" i="2" s="1"/>
  <c r="CB13" i="2"/>
  <c r="BG13" i="2" s="1"/>
  <c r="N13" i="2" s="1"/>
  <c r="CB14" i="2"/>
  <c r="BG14" i="2" s="1"/>
  <c r="N14" i="2" s="1"/>
  <c r="CB15" i="2"/>
  <c r="BG15" i="2" s="1"/>
  <c r="N15" i="2" s="1"/>
  <c r="CB16" i="2"/>
  <c r="BG16" i="2" s="1"/>
  <c r="N16" i="2" s="1"/>
  <c r="CB17" i="2"/>
  <c r="BG17" i="2" s="1"/>
  <c r="N17" i="2" s="1"/>
  <c r="CB18" i="2"/>
  <c r="BG18" i="2" s="1"/>
  <c r="N18" i="2" s="1"/>
  <c r="CB19" i="2"/>
  <c r="BG19" i="2" s="1"/>
  <c r="N19" i="2" s="1"/>
  <c r="CB20" i="2"/>
  <c r="BG20" i="2" s="1"/>
  <c r="N20" i="2" s="1"/>
  <c r="CB21" i="2"/>
  <c r="BG21" i="2" s="1"/>
  <c r="N21" i="2" s="1"/>
  <c r="CB22" i="2"/>
  <c r="BG22" i="2" s="1"/>
  <c r="N22" i="2" s="1"/>
  <c r="CB23" i="2"/>
  <c r="BG23" i="2" s="1"/>
  <c r="N23" i="2" s="1"/>
  <c r="CB24" i="2"/>
  <c r="BG24" i="2" s="1"/>
  <c r="N24" i="2" s="1"/>
  <c r="CB25" i="2"/>
  <c r="BG25" i="2" s="1"/>
  <c r="N25" i="2" s="1"/>
  <c r="CB26" i="2"/>
  <c r="BG26" i="2" s="1"/>
  <c r="N26" i="2" s="1"/>
  <c r="CB27" i="2"/>
  <c r="BG27" i="2" s="1"/>
  <c r="N27" i="2" s="1"/>
  <c r="CB28" i="2"/>
  <c r="BG28" i="2" s="1"/>
  <c r="N28" i="2" s="1"/>
  <c r="CB29" i="2"/>
  <c r="BG29" i="2" s="1"/>
  <c r="N29" i="2" s="1"/>
  <c r="CB30" i="2"/>
  <c r="BG30" i="2" s="1"/>
  <c r="N30" i="2" s="1"/>
  <c r="CB31" i="2"/>
  <c r="BG31" i="2" s="1"/>
  <c r="N31" i="2" s="1"/>
  <c r="CB32" i="2"/>
  <c r="BG32" i="2" s="1"/>
  <c r="N32" i="2" s="1"/>
  <c r="CB33" i="2"/>
  <c r="BG33" i="2" s="1"/>
  <c r="N33" i="2" s="1"/>
  <c r="CB34" i="2"/>
  <c r="BG34" i="2" s="1"/>
  <c r="N34" i="2" s="1"/>
  <c r="CB35" i="2"/>
  <c r="BG35" i="2" s="1"/>
  <c r="N35" i="2" s="1"/>
  <c r="CB36" i="2"/>
  <c r="BG36" i="2" s="1"/>
  <c r="N36" i="2" s="1"/>
  <c r="CA9" i="2"/>
  <c r="BF9" i="2" s="1"/>
  <c r="L9" i="2" s="1"/>
  <c r="CA10" i="2"/>
  <c r="BF10" i="2" s="1"/>
  <c r="L10" i="2" s="1"/>
  <c r="CA11" i="2"/>
  <c r="BF11" i="2" s="1"/>
  <c r="L11" i="2" s="1"/>
  <c r="CA12" i="2"/>
  <c r="BF12" i="2" s="1"/>
  <c r="L12" i="2" s="1"/>
  <c r="CA13" i="2"/>
  <c r="BF13" i="2" s="1"/>
  <c r="L13" i="2" s="1"/>
  <c r="CA14" i="2"/>
  <c r="BF14" i="2" s="1"/>
  <c r="L14" i="2" s="1"/>
  <c r="CA15" i="2"/>
  <c r="BF15" i="2" s="1"/>
  <c r="L15" i="2" s="1"/>
  <c r="CA16" i="2"/>
  <c r="BF16" i="2" s="1"/>
  <c r="L16" i="2" s="1"/>
  <c r="CA17" i="2"/>
  <c r="BF17" i="2" s="1"/>
  <c r="L17" i="2" s="1"/>
  <c r="CA18" i="2"/>
  <c r="BF18" i="2" s="1"/>
  <c r="L18" i="2" s="1"/>
  <c r="CA19" i="2"/>
  <c r="BF19" i="2" s="1"/>
  <c r="L19" i="2" s="1"/>
  <c r="CA20" i="2"/>
  <c r="BF20" i="2" s="1"/>
  <c r="L20" i="2" s="1"/>
  <c r="CA21" i="2"/>
  <c r="BF21" i="2" s="1"/>
  <c r="L21" i="2" s="1"/>
  <c r="CA22" i="2"/>
  <c r="BF22" i="2" s="1"/>
  <c r="L22" i="2" s="1"/>
  <c r="CA23" i="2"/>
  <c r="BF23" i="2" s="1"/>
  <c r="L23" i="2" s="1"/>
  <c r="CA24" i="2"/>
  <c r="BF24" i="2" s="1"/>
  <c r="L24" i="2" s="1"/>
  <c r="CA25" i="2"/>
  <c r="BF25" i="2" s="1"/>
  <c r="L25" i="2" s="1"/>
  <c r="CA26" i="2"/>
  <c r="BF26" i="2" s="1"/>
  <c r="L26" i="2" s="1"/>
  <c r="CA27" i="2"/>
  <c r="BF27" i="2" s="1"/>
  <c r="L27" i="2" s="1"/>
  <c r="CA28" i="2"/>
  <c r="BF28" i="2" s="1"/>
  <c r="L28" i="2" s="1"/>
  <c r="CA29" i="2"/>
  <c r="BF29" i="2" s="1"/>
  <c r="L29" i="2" s="1"/>
  <c r="CA31" i="2"/>
  <c r="BF31" i="2" s="1"/>
  <c r="L31" i="2" s="1"/>
  <c r="CA32" i="2"/>
  <c r="BF32" i="2" s="1"/>
  <c r="L32" i="2" s="1"/>
  <c r="CA34" i="2"/>
  <c r="BF34" i="2" s="1"/>
  <c r="L34" i="2" s="1"/>
  <c r="CA35" i="2"/>
  <c r="BF35" i="2" s="1"/>
  <c r="L35" i="2" s="1"/>
  <c r="CA36" i="2"/>
  <c r="BF36" i="2" s="1"/>
  <c r="L36" i="2" s="1"/>
  <c r="BZ9" i="2"/>
  <c r="BE9" i="2" s="1"/>
  <c r="J9" i="2" s="1"/>
  <c r="BZ10" i="2"/>
  <c r="BE10" i="2" s="1"/>
  <c r="J10" i="2" s="1"/>
  <c r="BZ11" i="2"/>
  <c r="BE11" i="2" s="1"/>
  <c r="J11" i="2" s="1"/>
  <c r="BZ12" i="2"/>
  <c r="BE12" i="2" s="1"/>
  <c r="J12" i="2" s="1"/>
  <c r="BZ13" i="2"/>
  <c r="BE13" i="2" s="1"/>
  <c r="J13" i="2" s="1"/>
  <c r="BZ14" i="2"/>
  <c r="BE14" i="2" s="1"/>
  <c r="J14" i="2" s="1"/>
  <c r="BZ15" i="2"/>
  <c r="BE15" i="2" s="1"/>
  <c r="J15" i="2" s="1"/>
  <c r="BZ16" i="2"/>
  <c r="BE16" i="2" s="1"/>
  <c r="J16" i="2" s="1"/>
  <c r="BZ17" i="2"/>
  <c r="BE17" i="2" s="1"/>
  <c r="J17" i="2" s="1"/>
  <c r="BZ18" i="2"/>
  <c r="BE18" i="2" s="1"/>
  <c r="J18" i="2" s="1"/>
  <c r="BZ19" i="2"/>
  <c r="BE19" i="2" s="1"/>
  <c r="J19" i="2" s="1"/>
  <c r="BZ20" i="2"/>
  <c r="BE20" i="2" s="1"/>
  <c r="J20" i="2" s="1"/>
  <c r="BZ21" i="2"/>
  <c r="BE21" i="2" s="1"/>
  <c r="J21" i="2" s="1"/>
  <c r="BZ22" i="2"/>
  <c r="BE22" i="2" s="1"/>
  <c r="J22" i="2" s="1"/>
  <c r="BZ23" i="2"/>
  <c r="BE23" i="2" s="1"/>
  <c r="J23" i="2" s="1"/>
  <c r="BZ24" i="2"/>
  <c r="BE24" i="2" s="1"/>
  <c r="J24" i="2" s="1"/>
  <c r="BZ25" i="2"/>
  <c r="BE25" i="2" s="1"/>
  <c r="J25" i="2" s="1"/>
  <c r="BZ26" i="2"/>
  <c r="BE26" i="2" s="1"/>
  <c r="J26" i="2" s="1"/>
  <c r="BZ27" i="2"/>
  <c r="BE27" i="2" s="1"/>
  <c r="J27" i="2" s="1"/>
  <c r="BZ28" i="2"/>
  <c r="BE28" i="2" s="1"/>
  <c r="J28" i="2" s="1"/>
  <c r="BZ29" i="2"/>
  <c r="BE29" i="2" s="1"/>
  <c r="J29" i="2" s="1"/>
  <c r="BZ30" i="2"/>
  <c r="BE30" i="2" s="1"/>
  <c r="J30" i="2" s="1"/>
  <c r="BZ31" i="2"/>
  <c r="BE31" i="2" s="1"/>
  <c r="J31" i="2" s="1"/>
  <c r="BZ33" i="2"/>
  <c r="BE33" i="2" s="1"/>
  <c r="J33" i="2" s="1"/>
  <c r="BZ34" i="2"/>
  <c r="BE34" i="2" s="1"/>
  <c r="J34" i="2" s="1"/>
  <c r="BZ35" i="2"/>
  <c r="BE35" i="2" s="1"/>
  <c r="J35" i="2" s="1"/>
  <c r="BD9" i="2"/>
  <c r="H9" i="2" s="1"/>
  <c r="BY10" i="2"/>
  <c r="BD10" i="2" s="1"/>
  <c r="H10" i="2" s="1"/>
  <c r="BY12" i="2"/>
  <c r="BD12" i="2" s="1"/>
  <c r="H12" i="2" s="1"/>
  <c r="BY13" i="2"/>
  <c r="BD13" i="2" s="1"/>
  <c r="BY14" i="2"/>
  <c r="BD14" i="2" s="1"/>
  <c r="BY15" i="2"/>
  <c r="BD15" i="2" s="1"/>
  <c r="BY16" i="2"/>
  <c r="BD16" i="2" s="1"/>
  <c r="BY17" i="2"/>
  <c r="BD17" i="2" s="1"/>
  <c r="BY18" i="2"/>
  <c r="BD18" i="2" s="1"/>
  <c r="BY19" i="2"/>
  <c r="BD19" i="2" s="1"/>
  <c r="BY20" i="2"/>
  <c r="BD20" i="2" s="1"/>
  <c r="BY21" i="2"/>
  <c r="BD21" i="2" s="1"/>
  <c r="H21" i="2" s="1"/>
  <c r="BY22" i="2"/>
  <c r="BD22" i="2" s="1"/>
  <c r="H22" i="2" s="1"/>
  <c r="BY23" i="2"/>
  <c r="BD23" i="2" s="1"/>
  <c r="H23" i="2" s="1"/>
  <c r="BY24" i="2"/>
  <c r="BD24" i="2" s="1"/>
  <c r="H24" i="2" s="1"/>
  <c r="BY25" i="2"/>
  <c r="BD25" i="2" s="1"/>
  <c r="H25" i="2" s="1"/>
  <c r="BY26" i="2"/>
  <c r="BD26" i="2" s="1"/>
  <c r="H26" i="2" s="1"/>
  <c r="BY28" i="2"/>
  <c r="BD28" i="2" s="1"/>
  <c r="H28" i="2" s="1"/>
  <c r="BY29" i="2"/>
  <c r="BD29" i="2" s="1"/>
  <c r="H29" i="2" s="1"/>
  <c r="BY30" i="2"/>
  <c r="BD30" i="2" s="1"/>
  <c r="H30" i="2" s="1"/>
  <c r="BY31" i="2"/>
  <c r="BD31" i="2" s="1"/>
  <c r="H31" i="2" s="1"/>
  <c r="BY32" i="2"/>
  <c r="BD32" i="2" s="1"/>
  <c r="H32" i="2" s="1"/>
  <c r="BY33" i="2"/>
  <c r="BD33" i="2" s="1"/>
  <c r="H33" i="2" s="1"/>
  <c r="BY34" i="2"/>
  <c r="BD34" i="2" s="1"/>
  <c r="H34" i="2" s="1"/>
  <c r="BY35" i="2"/>
  <c r="BD35" i="2" s="1"/>
  <c r="H35" i="2" s="1"/>
  <c r="BY36" i="2"/>
  <c r="BD36" i="2" s="1"/>
  <c r="H36" i="2" s="1"/>
  <c r="F9" i="2"/>
  <c r="BX10" i="2"/>
  <c r="BC10" i="2" s="1"/>
  <c r="F10" i="2" s="1"/>
  <c r="BX13" i="2"/>
  <c r="BC13" i="2" s="1"/>
  <c r="BX14" i="2"/>
  <c r="BC14" i="2" s="1"/>
  <c r="F14" i="2" s="1"/>
  <c r="BX16" i="2"/>
  <c r="BC16" i="2" s="1"/>
  <c r="F16" i="2" s="1"/>
  <c r="BX18" i="2"/>
  <c r="BC18" i="2" s="1"/>
  <c r="F18" i="2" s="1"/>
  <c r="BX19" i="2"/>
  <c r="BC19" i="2" s="1"/>
  <c r="F19" i="2" s="1"/>
  <c r="BX20" i="2"/>
  <c r="BC20" i="2" s="1"/>
  <c r="F20" i="2" s="1"/>
  <c r="BX21" i="2"/>
  <c r="BC21" i="2" s="1"/>
  <c r="F21" i="2" s="1"/>
  <c r="BX22" i="2"/>
  <c r="BC22" i="2" s="1"/>
  <c r="F22" i="2" s="1"/>
  <c r="BX23" i="2"/>
  <c r="BC23" i="2" s="1"/>
  <c r="F23" i="2" s="1"/>
  <c r="BC24" i="2"/>
  <c r="F24" i="2" s="1"/>
  <c r="BC25" i="2"/>
  <c r="F25" i="2" s="1"/>
  <c r="BX26" i="2"/>
  <c r="BC26" i="2" s="1"/>
  <c r="F26" i="2" s="1"/>
  <c r="BX27" i="2"/>
  <c r="BC27" i="2" s="1"/>
  <c r="F27" i="2" s="1"/>
  <c r="BX28" i="2"/>
  <c r="BC28" i="2" s="1"/>
  <c r="F28" i="2" s="1"/>
  <c r="BX29" i="2"/>
  <c r="BC29" i="2" s="1"/>
  <c r="F29" i="2" s="1"/>
  <c r="BX30" i="2"/>
  <c r="BC30" i="2" s="1"/>
  <c r="F30" i="2" s="1"/>
  <c r="BX31" i="2"/>
  <c r="BC31" i="2" s="1"/>
  <c r="F31" i="2" s="1"/>
  <c r="BX32" i="2"/>
  <c r="BC32" i="2" s="1"/>
  <c r="F32" i="2" s="1"/>
  <c r="BX33" i="2"/>
  <c r="BC33" i="2" s="1"/>
  <c r="F33" i="2" s="1"/>
  <c r="BX34" i="2"/>
  <c r="BC34" i="2" s="1"/>
  <c r="F34" i="2" s="1"/>
  <c r="BX35" i="2"/>
  <c r="BC35" i="2" s="1"/>
  <c r="F35" i="2" s="1"/>
  <c r="BX36" i="2"/>
  <c r="BC36" i="2" s="1"/>
  <c r="F36" i="2" s="1"/>
  <c r="I33" i="35"/>
  <c r="G33" i="35"/>
  <c r="B6" i="9"/>
  <c r="B7" i="9"/>
  <c r="J5" i="28"/>
  <c r="J4" i="28"/>
  <c r="J1" i="28"/>
  <c r="R16" i="26"/>
  <c r="T16" i="26"/>
  <c r="U16" i="26"/>
  <c r="G4" i="37"/>
  <c r="G3" i="37"/>
  <c r="G2" i="37"/>
  <c r="O11" i="20"/>
  <c r="E34" i="26"/>
  <c r="F34" i="26"/>
  <c r="B3" i="35"/>
  <c r="B5" i="35"/>
  <c r="V16" i="26"/>
  <c r="S16" i="26"/>
  <c r="B4" i="35"/>
  <c r="A75" i="35"/>
  <c r="A74" i="35"/>
  <c r="A73" i="35"/>
  <c r="A72" i="35"/>
  <c r="A71" i="35"/>
  <c r="H28" i="35"/>
  <c r="F28" i="35"/>
  <c r="E28" i="35"/>
  <c r="L14" i="35"/>
  <c r="K14" i="35"/>
  <c r="J14" i="35"/>
  <c r="H14" i="35"/>
  <c r="F14" i="35"/>
  <c r="E14" i="35"/>
  <c r="B6" i="35"/>
  <c r="B49" i="22"/>
  <c r="B41" i="22"/>
  <c r="D4" i="22"/>
  <c r="D3" i="22"/>
  <c r="D2" i="22"/>
  <c r="W50" i="22"/>
  <c r="W48" i="22"/>
  <c r="W57" i="22" s="1"/>
  <c r="W47" i="22"/>
  <c r="W55" i="22" s="1"/>
  <c r="W46" i="22"/>
  <c r="W44" i="22"/>
  <c r="W43" i="22"/>
  <c r="W42" i="22"/>
  <c r="S50" i="22"/>
  <c r="S48" i="22"/>
  <c r="S57" i="22" s="1"/>
  <c r="S47" i="22"/>
  <c r="S55" i="22" s="1"/>
  <c r="S46" i="22"/>
  <c r="S44" i="22"/>
  <c r="S43" i="22"/>
  <c r="S42" i="22"/>
  <c r="O50" i="22"/>
  <c r="O48" i="22"/>
  <c r="O57" i="22" s="1"/>
  <c r="O47" i="22"/>
  <c r="O55" i="22" s="1"/>
  <c r="O46" i="22"/>
  <c r="O44" i="22"/>
  <c r="O43" i="22"/>
  <c r="O42" i="22"/>
  <c r="K50" i="22"/>
  <c r="K48" i="22"/>
  <c r="K57" i="22" s="1"/>
  <c r="K47" i="22"/>
  <c r="K55" i="22" s="1"/>
  <c r="K46" i="22"/>
  <c r="K44" i="22"/>
  <c r="K43" i="22"/>
  <c r="K42" i="22"/>
  <c r="J137" i="19"/>
  <c r="J136" i="19"/>
  <c r="J135" i="19"/>
  <c r="J134" i="19"/>
  <c r="J133" i="19"/>
  <c r="X7" i="2"/>
  <c r="V7" i="2"/>
  <c r="T7" i="2"/>
  <c r="R7" i="2"/>
  <c r="V5" i="2"/>
  <c r="T5" i="2"/>
  <c r="R5" i="2"/>
  <c r="O66" i="20"/>
  <c r="O60" i="20"/>
  <c r="AW11" i="9"/>
  <c r="AW10" i="9"/>
  <c r="AW9" i="9"/>
  <c r="AW8" i="9"/>
  <c r="BW9" i="2"/>
  <c r="BB9" i="2"/>
  <c r="E10" i="26"/>
  <c r="E9" i="26"/>
  <c r="E6" i="26"/>
  <c r="C47" i="2"/>
  <c r="C48" i="2"/>
  <c r="C45" i="2"/>
  <c r="C46" i="2"/>
  <c r="B5" i="9"/>
  <c r="J9" i="19"/>
  <c r="F14" i="28"/>
  <c r="F17" i="28" s="1"/>
  <c r="J14" i="19"/>
  <c r="J8" i="19"/>
  <c r="O20" i="26"/>
  <c r="E23" i="26"/>
  <c r="E21" i="26"/>
  <c r="CR36" i="2"/>
  <c r="CR35" i="2"/>
  <c r="CR34" i="2"/>
  <c r="CR33" i="2"/>
  <c r="CR32" i="2"/>
  <c r="CR31" i="2"/>
  <c r="CR30" i="2"/>
  <c r="CR29" i="2"/>
  <c r="CR28" i="2"/>
  <c r="CR27" i="2"/>
  <c r="CR26" i="2"/>
  <c r="CR25" i="2"/>
  <c r="CR24" i="2"/>
  <c r="CR22" i="2"/>
  <c r="CR21" i="2"/>
  <c r="CR20" i="2"/>
  <c r="CR19" i="2"/>
  <c r="CR18" i="2"/>
  <c r="CR17" i="2"/>
  <c r="CR16" i="2"/>
  <c r="CR15" i="2"/>
  <c r="CR14" i="2"/>
  <c r="CR13" i="2"/>
  <c r="CR12" i="2"/>
  <c r="CR11" i="2"/>
  <c r="CR10" i="2"/>
  <c r="CR9" i="2"/>
  <c r="BW36" i="2"/>
  <c r="BW35" i="2"/>
  <c r="BW34" i="2"/>
  <c r="BW33" i="2"/>
  <c r="BW32" i="2"/>
  <c r="BW31" i="2"/>
  <c r="BW30" i="2"/>
  <c r="BW29" i="2"/>
  <c r="BW28" i="2"/>
  <c r="BW27" i="2"/>
  <c r="BW26" i="2"/>
  <c r="BW25" i="2"/>
  <c r="BW24" i="2"/>
  <c r="BW22" i="2"/>
  <c r="BW21" i="2"/>
  <c r="BW20" i="2"/>
  <c r="BW19" i="2"/>
  <c r="BW18" i="2"/>
  <c r="BW17" i="2"/>
  <c r="BW16" i="2"/>
  <c r="BW15" i="2"/>
  <c r="BW14" i="2"/>
  <c r="BW13" i="2"/>
  <c r="BW12" i="2"/>
  <c r="BW11" i="2"/>
  <c r="BW10" i="2"/>
  <c r="BB36" i="2"/>
  <c r="BB35" i="2"/>
  <c r="BB34" i="2"/>
  <c r="BB33" i="2"/>
  <c r="BB32" i="2"/>
  <c r="BB31" i="2"/>
  <c r="BB30" i="2"/>
  <c r="BB29" i="2"/>
  <c r="BB28" i="2"/>
  <c r="BB27" i="2"/>
  <c r="BB26" i="2"/>
  <c r="BB25" i="2"/>
  <c r="BB24" i="2"/>
  <c r="BB22" i="2"/>
  <c r="BB21" i="2"/>
  <c r="BB20" i="2"/>
  <c r="BB19" i="2"/>
  <c r="BB18" i="2"/>
  <c r="BB17" i="2"/>
  <c r="BB16" i="2"/>
  <c r="BB15" i="2"/>
  <c r="BB14" i="2"/>
  <c r="BB13" i="2"/>
  <c r="BB12" i="2"/>
  <c r="BB11" i="2"/>
  <c r="BB10" i="2"/>
  <c r="B26" i="2"/>
  <c r="B25" i="2"/>
  <c r="B24" i="2"/>
  <c r="B22" i="2"/>
  <c r="B21" i="2"/>
  <c r="B20" i="2"/>
  <c r="B19" i="2"/>
  <c r="B18" i="2"/>
  <c r="B17" i="2"/>
  <c r="B15" i="2"/>
  <c r="B16" i="2"/>
  <c r="B4" i="9"/>
  <c r="CR23" i="2"/>
  <c r="BW23" i="2"/>
  <c r="BB23" i="2"/>
  <c r="B23" i="2"/>
  <c r="B28" i="2"/>
  <c r="O48" i="20"/>
  <c r="O22" i="17"/>
  <c r="AW7" i="9"/>
  <c r="AW6" i="9"/>
  <c r="AW5" i="9"/>
  <c r="B36" i="2"/>
  <c r="B35" i="2"/>
  <c r="B34" i="2"/>
  <c r="B33" i="2"/>
  <c r="B32" i="2"/>
  <c r="B31" i="2"/>
  <c r="B30" i="2"/>
  <c r="B29" i="2"/>
  <c r="B14" i="2"/>
  <c r="B13" i="2"/>
  <c r="B11" i="2"/>
  <c r="B10" i="2"/>
  <c r="L10" i="18"/>
  <c r="AU3" i="2"/>
  <c r="P7" i="2"/>
  <c r="N7" i="2"/>
  <c r="L7" i="2"/>
  <c r="J7" i="2"/>
  <c r="H7" i="2"/>
  <c r="F7" i="2"/>
  <c r="P5" i="2"/>
  <c r="N5" i="2"/>
  <c r="L5" i="2"/>
  <c r="J5" i="2"/>
  <c r="H5" i="2"/>
  <c r="F5" i="2"/>
  <c r="D4" i="2"/>
  <c r="O18" i="22"/>
  <c r="O16" i="22"/>
  <c r="O20" i="22"/>
  <c r="O17" i="22"/>
  <c r="S18" i="22"/>
  <c r="S16" i="22"/>
  <c r="S20" i="22"/>
  <c r="S17" i="22"/>
  <c r="W18" i="22"/>
  <c r="W16" i="22"/>
  <c r="W20" i="22"/>
  <c r="W17" i="22"/>
  <c r="G48" i="22"/>
  <c r="G57" i="22" s="1"/>
  <c r="G46" i="22"/>
  <c r="G56" i="22" s="1"/>
  <c r="G50" i="22"/>
  <c r="G47" i="22"/>
  <c r="G55" i="22" s="1"/>
  <c r="K18" i="22"/>
  <c r="K16" i="22"/>
  <c r="K20" i="22"/>
  <c r="K17" i="22"/>
  <c r="G18" i="22"/>
  <c r="G16" i="22"/>
  <c r="G20" i="22"/>
  <c r="G17" i="22"/>
  <c r="G12" i="22"/>
  <c r="G13" i="22"/>
  <c r="G14" i="22"/>
  <c r="K12" i="22"/>
  <c r="K13" i="22"/>
  <c r="K14" i="22"/>
  <c r="O12" i="22"/>
  <c r="O13" i="22"/>
  <c r="O14" i="22"/>
  <c r="S12" i="22"/>
  <c r="S13" i="22"/>
  <c r="S14" i="22"/>
  <c r="W12" i="22"/>
  <c r="W13" i="22"/>
  <c r="W14" i="22"/>
  <c r="G42" i="22"/>
  <c r="G43" i="22"/>
  <c r="G44" i="22"/>
  <c r="J132" i="19"/>
  <c r="J131" i="19"/>
  <c r="I130" i="19"/>
  <c r="J130" i="19" s="1"/>
  <c r="I129" i="19"/>
  <c r="J129" i="19" s="1"/>
  <c r="J15" i="19"/>
  <c r="J13" i="19"/>
  <c r="J12" i="19"/>
  <c r="J10" i="19"/>
  <c r="C4" i="19"/>
  <c r="C3" i="19"/>
  <c r="C2" i="19"/>
  <c r="H8" i="18"/>
  <c r="I8" i="18" s="1"/>
  <c r="H47" i="18"/>
  <c r="I47" i="18" s="1"/>
  <c r="H46" i="18"/>
  <c r="I46" i="18" s="1"/>
  <c r="H45" i="18"/>
  <c r="I45" i="18" s="1"/>
  <c r="H44" i="18"/>
  <c r="I44" i="18" s="1"/>
  <c r="H43" i="18"/>
  <c r="I43" i="18" s="1"/>
  <c r="H42" i="18"/>
  <c r="I42" i="18" s="1"/>
  <c r="H41" i="18"/>
  <c r="I41" i="18" s="1"/>
  <c r="H40" i="18"/>
  <c r="I40" i="18" s="1"/>
  <c r="H39" i="18"/>
  <c r="I39" i="18" s="1"/>
  <c r="H38" i="18"/>
  <c r="I38" i="18" s="1"/>
  <c r="H37" i="18"/>
  <c r="I37" i="18" s="1"/>
  <c r="H36" i="18"/>
  <c r="I36" i="18" s="1"/>
  <c r="H35" i="18"/>
  <c r="I35" i="18" s="1"/>
  <c r="H34" i="18"/>
  <c r="I34" i="18" s="1"/>
  <c r="H33" i="18"/>
  <c r="I33" i="18" s="1"/>
  <c r="H32" i="18"/>
  <c r="I32" i="18" s="1"/>
  <c r="H31" i="18"/>
  <c r="I31" i="18" s="1"/>
  <c r="H30" i="18"/>
  <c r="I30" i="18" s="1"/>
  <c r="H29" i="18"/>
  <c r="I29" i="18" s="1"/>
  <c r="H28" i="18"/>
  <c r="I28" i="18" s="1"/>
  <c r="H27" i="18"/>
  <c r="I27" i="18" s="1"/>
  <c r="O27" i="18" s="1"/>
  <c r="H26" i="18"/>
  <c r="I26" i="18" s="1"/>
  <c r="O26" i="18" s="1"/>
  <c r="AP71" i="2" s="1"/>
  <c r="AP73" i="2" s="1"/>
  <c r="H25" i="18"/>
  <c r="I25" i="18" s="1"/>
  <c r="O25" i="18" s="1"/>
  <c r="AN71" i="2" s="1"/>
  <c r="AN73" i="2" s="1"/>
  <c r="H24" i="18"/>
  <c r="I24" i="18" s="1"/>
  <c r="O24" i="18" s="1"/>
  <c r="AL71" i="2" s="1"/>
  <c r="AL73" i="2" s="1"/>
  <c r="H23" i="18"/>
  <c r="I23" i="18" s="1"/>
  <c r="O23" i="18" s="1"/>
  <c r="AJ71" i="2" s="1"/>
  <c r="AJ73" i="2" s="1"/>
  <c r="H22" i="18"/>
  <c r="I22" i="18" s="1"/>
  <c r="O22" i="18" s="1"/>
  <c r="AH71" i="2" s="1"/>
  <c r="AH73" i="2" s="1"/>
  <c r="H21" i="18"/>
  <c r="I21" i="18" s="1"/>
  <c r="O21" i="18" s="1"/>
  <c r="AF71" i="2" s="1"/>
  <c r="AF73" i="2" s="1"/>
  <c r="H20" i="18"/>
  <c r="I20" i="18" s="1"/>
  <c r="O20" i="18" s="1"/>
  <c r="AD71" i="2" s="1"/>
  <c r="AD73" i="2" s="1"/>
  <c r="H19" i="18"/>
  <c r="I19" i="18" s="1"/>
  <c r="O19" i="18" s="1"/>
  <c r="AB71" i="2" s="1"/>
  <c r="AB73" i="2" s="1"/>
  <c r="H18" i="18"/>
  <c r="I18" i="18" s="1"/>
  <c r="O18" i="18" s="1"/>
  <c r="Z71" i="2" s="1"/>
  <c r="Z73" i="2" s="1"/>
  <c r="H17" i="18"/>
  <c r="I17" i="18" s="1"/>
  <c r="H16" i="18"/>
  <c r="I16" i="18" s="1"/>
  <c r="H15" i="18"/>
  <c r="I15" i="18" s="1"/>
  <c r="H14" i="18"/>
  <c r="I14" i="18" s="1"/>
  <c r="H13" i="18"/>
  <c r="I13" i="18" s="1"/>
  <c r="H12" i="18"/>
  <c r="I12" i="18" s="1"/>
  <c r="H11" i="18"/>
  <c r="I11" i="18" s="1"/>
  <c r="H10" i="18"/>
  <c r="I10" i="18" s="1"/>
  <c r="H9" i="18"/>
  <c r="I9" i="18" s="1"/>
  <c r="C4" i="18"/>
  <c r="C3" i="18"/>
  <c r="C2" i="18"/>
  <c r="AW4" i="9"/>
  <c r="AW3" i="9"/>
  <c r="AW2" i="9"/>
  <c r="I46" i="20"/>
  <c r="J46" i="20" s="1"/>
  <c r="I45" i="20"/>
  <c r="J45" i="20" s="1"/>
  <c r="I44" i="20"/>
  <c r="J44" i="20" s="1"/>
  <c r="I43" i="20"/>
  <c r="J43" i="20" s="1"/>
  <c r="I42" i="20"/>
  <c r="J42" i="20" s="1"/>
  <c r="I41" i="20"/>
  <c r="J41" i="20" s="1"/>
  <c r="I40" i="20"/>
  <c r="J40" i="20" s="1"/>
  <c r="I39" i="20"/>
  <c r="J39" i="20" s="1"/>
  <c r="I38" i="20"/>
  <c r="J38" i="20" s="1"/>
  <c r="I37" i="20"/>
  <c r="J37" i="20" s="1"/>
  <c r="I36" i="20"/>
  <c r="J36" i="20" s="1"/>
  <c r="I35" i="20"/>
  <c r="J35" i="20" s="1"/>
  <c r="I34" i="20"/>
  <c r="J34" i="20" s="1"/>
  <c r="I33" i="20"/>
  <c r="J33" i="20" s="1"/>
  <c r="I32" i="20"/>
  <c r="J32" i="20" s="1"/>
  <c r="I31" i="20"/>
  <c r="J31" i="20" s="1"/>
  <c r="I30" i="20"/>
  <c r="J30" i="20" s="1"/>
  <c r="I29" i="20"/>
  <c r="J29" i="20" s="1"/>
  <c r="I28" i="20"/>
  <c r="J28" i="20" s="1"/>
  <c r="I27" i="20"/>
  <c r="J27" i="20" s="1"/>
  <c r="I26" i="20"/>
  <c r="J26" i="20" s="1"/>
  <c r="I25" i="20"/>
  <c r="J25" i="20" s="1"/>
  <c r="I24" i="20"/>
  <c r="J24" i="20" s="1"/>
  <c r="I23" i="20"/>
  <c r="J23" i="20" s="1"/>
  <c r="I22" i="20"/>
  <c r="J22" i="20" s="1"/>
  <c r="I21" i="20"/>
  <c r="J21" i="20" s="1"/>
  <c r="I20" i="20"/>
  <c r="J20" i="20" s="1"/>
  <c r="I19" i="20"/>
  <c r="J19" i="20" s="1"/>
  <c r="I18" i="20"/>
  <c r="J18" i="20" s="1"/>
  <c r="I17" i="20"/>
  <c r="J17" i="20" s="1"/>
  <c r="I16" i="20"/>
  <c r="J16" i="20" s="1"/>
  <c r="I15" i="20"/>
  <c r="J15" i="20" s="1"/>
  <c r="I14" i="20"/>
  <c r="J14" i="20" s="1"/>
  <c r="I13" i="20"/>
  <c r="J13" i="20" s="1"/>
  <c r="I12" i="20"/>
  <c r="J12" i="20" s="1"/>
  <c r="I11" i="20"/>
  <c r="J11" i="20" s="1"/>
  <c r="I10" i="20"/>
  <c r="J10" i="20" s="1"/>
  <c r="I9" i="20"/>
  <c r="J9" i="20" s="1"/>
  <c r="I8" i="20"/>
  <c r="C4" i="20"/>
  <c r="C3" i="20"/>
  <c r="C2" i="20"/>
  <c r="I39" i="17"/>
  <c r="J39" i="17" s="1"/>
  <c r="BB39" i="17" s="1"/>
  <c r="BB6" i="17" s="1"/>
  <c r="N39" i="17" s="1"/>
  <c r="Z77" i="2" s="1"/>
  <c r="I38" i="17"/>
  <c r="J38" i="17" s="1"/>
  <c r="BA38" i="17" s="1"/>
  <c r="BA6" i="17" s="1"/>
  <c r="N38" i="17" s="1"/>
  <c r="Z76" i="2" s="1"/>
  <c r="I37" i="17"/>
  <c r="J37" i="17" s="1"/>
  <c r="I36" i="17"/>
  <c r="J36" i="17" s="1"/>
  <c r="I35" i="17"/>
  <c r="J35" i="17" s="1"/>
  <c r="I34" i="17"/>
  <c r="J34" i="17" s="1"/>
  <c r="I33" i="17"/>
  <c r="J33" i="17" s="1"/>
  <c r="I32" i="17"/>
  <c r="J32" i="17" s="1"/>
  <c r="I31" i="17"/>
  <c r="J31" i="17" s="1"/>
  <c r="I30" i="17"/>
  <c r="J30" i="17" s="1"/>
  <c r="I29" i="17"/>
  <c r="J29" i="17" s="1"/>
  <c r="I28" i="17"/>
  <c r="J28" i="17" s="1"/>
  <c r="I27" i="17"/>
  <c r="J27" i="17" s="1"/>
  <c r="I26" i="17"/>
  <c r="J26" i="17" s="1"/>
  <c r="I25" i="17"/>
  <c r="J25" i="17" s="1"/>
  <c r="I24" i="17"/>
  <c r="J24" i="17" s="1"/>
  <c r="I23" i="17"/>
  <c r="J23" i="17" s="1"/>
  <c r="I22" i="17"/>
  <c r="J22" i="17" s="1"/>
  <c r="I21" i="17"/>
  <c r="J21" i="17" s="1"/>
  <c r="I20" i="17"/>
  <c r="J20" i="17" s="1"/>
  <c r="I19" i="17"/>
  <c r="J19" i="17" s="1"/>
  <c r="I18" i="17"/>
  <c r="J18" i="17" s="1"/>
  <c r="I17" i="17"/>
  <c r="J17" i="17" s="1"/>
  <c r="I16" i="17"/>
  <c r="J16" i="17" s="1"/>
  <c r="I15" i="17"/>
  <c r="J15" i="17" s="1"/>
  <c r="I14" i="17"/>
  <c r="J14" i="17" s="1"/>
  <c r="I13" i="17"/>
  <c r="J13" i="17" s="1"/>
  <c r="I12" i="17"/>
  <c r="J12" i="17" s="1"/>
  <c r="I11" i="17"/>
  <c r="J11" i="17" s="1"/>
  <c r="I10" i="17"/>
  <c r="J10" i="17" s="1"/>
  <c r="I9" i="17"/>
  <c r="J9" i="17" s="1"/>
  <c r="I8" i="17"/>
  <c r="C4" i="17"/>
  <c r="C3" i="17"/>
  <c r="C2" i="17"/>
  <c r="B11" i="22"/>
  <c r="B19" i="22"/>
  <c r="E79" i="22" s="1"/>
  <c r="B9" i="2"/>
  <c r="B27" i="2"/>
  <c r="B12" i="2"/>
  <c r="AQ47" i="2"/>
  <c r="AO48" i="2"/>
  <c r="AK46" i="2"/>
  <c r="AI47" i="2"/>
  <c r="AG48" i="2"/>
  <c r="AC46" i="2"/>
  <c r="AA47" i="2"/>
  <c r="X46" i="2"/>
  <c r="P58" i="2"/>
  <c r="R58" i="2"/>
  <c r="R48" i="2"/>
  <c r="T48" i="2"/>
  <c r="AO46" i="2"/>
  <c r="AK47" i="2"/>
  <c r="AE48" i="2"/>
  <c r="X48" i="2"/>
  <c r="V58" i="2"/>
  <c r="N58" i="2"/>
  <c r="AQ46" i="2"/>
  <c r="AM48" i="2"/>
  <c r="AG47" i="2"/>
  <c r="V46" i="2"/>
  <c r="L58" i="2"/>
  <c r="P46" i="2"/>
  <c r="AQ48" i="2"/>
  <c r="AM46" i="2"/>
  <c r="AK48" i="2"/>
  <c r="AI48" i="2"/>
  <c r="AE46" i="2"/>
  <c r="AC47" i="2"/>
  <c r="AA48" i="2"/>
  <c r="V48" i="2"/>
  <c r="R46" i="2"/>
  <c r="P47" i="2"/>
  <c r="T58" i="2"/>
  <c r="X58" i="2"/>
  <c r="AM47" i="2"/>
  <c r="AG46" i="2"/>
  <c r="AC48" i="2"/>
  <c r="P48" i="2"/>
  <c r="T46" i="2"/>
  <c r="AO47" i="2"/>
  <c r="AI46" i="2"/>
  <c r="AE47" i="2"/>
  <c r="H58" i="2"/>
  <c r="J58" i="2"/>
  <c r="AA46" i="2"/>
  <c r="Z80" i="2" l="1"/>
  <c r="I168" i="20"/>
  <c r="N129" i="20"/>
  <c r="AJ63" i="2" s="1"/>
  <c r="N105" i="20"/>
  <c r="AD63" i="2" s="1"/>
  <c r="CY18" i="20"/>
  <c r="CZ39" i="20"/>
  <c r="N97" i="20"/>
  <c r="AB63" i="2" s="1"/>
  <c r="AB70" i="2" s="1"/>
  <c r="N153" i="20"/>
  <c r="AP63" i="2" s="1"/>
  <c r="W56" i="22"/>
  <c r="S56" i="22"/>
  <c r="O56" i="22"/>
  <c r="K56" i="22"/>
  <c r="U79" i="22"/>
  <c r="W79" i="22" s="1"/>
  <c r="W83" i="22" s="1"/>
  <c r="AH45" i="2" s="1"/>
  <c r="Q79" i="22"/>
  <c r="S79" i="22" s="1"/>
  <c r="S83" i="22" s="1"/>
  <c r="AF45" i="2" s="1"/>
  <c r="M79" i="22"/>
  <c r="O79" i="22" s="1"/>
  <c r="O83" i="22" s="1"/>
  <c r="AD45" i="2" s="1"/>
  <c r="I79" i="22"/>
  <c r="K79" i="22" s="1"/>
  <c r="K83" i="22" s="1"/>
  <c r="AB45" i="2" s="1"/>
  <c r="G79" i="22"/>
  <c r="G83" i="22" s="1"/>
  <c r="Z45" i="2" s="1"/>
  <c r="E109" i="22"/>
  <c r="G109" i="22" s="1"/>
  <c r="G113" i="22" s="1"/>
  <c r="AJ45" i="2" s="1"/>
  <c r="U109" i="22"/>
  <c r="W109" i="22" s="1"/>
  <c r="W113" i="22" s="1"/>
  <c r="M109" i="22"/>
  <c r="O109" i="22" s="1"/>
  <c r="O113" i="22" s="1"/>
  <c r="AN45" i="2" s="1"/>
  <c r="Q109" i="22"/>
  <c r="S109" i="22" s="1"/>
  <c r="S113" i="22" s="1"/>
  <c r="AP45" i="2" s="1"/>
  <c r="I109" i="22"/>
  <c r="K109" i="22" s="1"/>
  <c r="K113" i="22" s="1"/>
  <c r="AL45" i="2" s="1"/>
  <c r="H20" i="2"/>
  <c r="H19" i="2"/>
  <c r="H18" i="2"/>
  <c r="H17" i="2"/>
  <c r="H16" i="2"/>
  <c r="H13" i="2"/>
  <c r="H15" i="2"/>
  <c r="F13" i="2"/>
  <c r="H14" i="2"/>
  <c r="X4" i="2"/>
  <c r="B137" i="19"/>
  <c r="J128" i="19"/>
  <c r="I148" i="19"/>
  <c r="U101" i="22"/>
  <c r="W101" i="22" s="1"/>
  <c r="W114" i="22" s="1"/>
  <c r="I101" i="22"/>
  <c r="K101" i="22" s="1"/>
  <c r="K114" i="22" s="1"/>
  <c r="AL44" i="2" s="1"/>
  <c r="E101" i="22"/>
  <c r="G101" i="22" s="1"/>
  <c r="G114" i="22" s="1"/>
  <c r="AJ44" i="2" s="1"/>
  <c r="M101" i="22"/>
  <c r="O101" i="22" s="1"/>
  <c r="O114" i="22" s="1"/>
  <c r="AN44" i="2" s="1"/>
  <c r="Q101" i="22"/>
  <c r="S101" i="22" s="1"/>
  <c r="S114" i="22" s="1"/>
  <c r="AP44" i="2" s="1"/>
  <c r="G26" i="22"/>
  <c r="G27" i="22"/>
  <c r="K27" i="22"/>
  <c r="O25" i="22"/>
  <c r="G25" i="22"/>
  <c r="K25" i="22"/>
  <c r="W27" i="22"/>
  <c r="I71" i="22"/>
  <c r="K71" i="22" s="1"/>
  <c r="K84" i="22" s="1"/>
  <c r="AB44" i="2" s="1"/>
  <c r="Q71" i="22"/>
  <c r="S71" i="22" s="1"/>
  <c r="S84" i="22" s="1"/>
  <c r="AF44" i="2" s="1"/>
  <c r="E71" i="22"/>
  <c r="G71" i="22" s="1"/>
  <c r="G84" i="22" s="1"/>
  <c r="Z44" i="2" s="1"/>
  <c r="U71" i="22"/>
  <c r="W71" i="22" s="1"/>
  <c r="W84" i="22" s="1"/>
  <c r="AH44" i="2" s="1"/>
  <c r="M71" i="22"/>
  <c r="O71" i="22" s="1"/>
  <c r="O84" i="22" s="1"/>
  <c r="AD44" i="2" s="1"/>
  <c r="W25" i="22"/>
  <c r="S27" i="22"/>
  <c r="S25" i="22"/>
  <c r="O27" i="22"/>
  <c r="O26" i="22"/>
  <c r="W26" i="22"/>
  <c r="BL10" i="2"/>
  <c r="X10" i="2" s="1"/>
  <c r="O83" i="20"/>
  <c r="BX17" i="2"/>
  <c r="BC17" i="2" s="1"/>
  <c r="F17" i="2" s="1"/>
  <c r="BX12" i="2"/>
  <c r="BC12" i="2" s="1"/>
  <c r="O8" i="20"/>
  <c r="D47" i="45"/>
  <c r="D45" i="45"/>
  <c r="E39" i="2" s="1"/>
  <c r="D46" i="45"/>
  <c r="E42" i="2" s="1"/>
  <c r="D50" i="45"/>
  <c r="D49" i="45"/>
  <c r="O10" i="17"/>
  <c r="O14" i="20"/>
  <c r="O10" i="20"/>
  <c r="O13" i="20"/>
  <c r="O9" i="20"/>
  <c r="O9" i="17"/>
  <c r="O8" i="17"/>
  <c r="F4" i="2"/>
  <c r="B128" i="19"/>
  <c r="L8" i="18"/>
  <c r="AS2" i="9"/>
  <c r="R8" i="17" s="1"/>
  <c r="D7" i="22"/>
  <c r="O15" i="20"/>
  <c r="O12" i="20"/>
  <c r="BY11" i="2"/>
  <c r="BD11" i="2" s="1"/>
  <c r="H11" i="2" s="1"/>
  <c r="BX15" i="2"/>
  <c r="BC15" i="2" s="1"/>
  <c r="F15" i="2" s="1"/>
  <c r="BX11" i="2"/>
  <c r="BC11" i="2" s="1"/>
  <c r="F11" i="2" s="1"/>
  <c r="BY27" i="2"/>
  <c r="BD27" i="2" s="1"/>
  <c r="H27" i="2" s="1"/>
  <c r="BZ36" i="2"/>
  <c r="BE36" i="2" s="1"/>
  <c r="J36" i="2" s="1"/>
  <c r="BZ32" i="2"/>
  <c r="BE32" i="2" s="1"/>
  <c r="J32" i="2" s="1"/>
  <c r="CA33" i="2"/>
  <c r="BF33" i="2" s="1"/>
  <c r="L33" i="2" s="1"/>
  <c r="CA30" i="2"/>
  <c r="BF30" i="2" s="1"/>
  <c r="L30" i="2" s="1"/>
  <c r="CB10" i="2"/>
  <c r="BG10" i="2" s="1"/>
  <c r="N10" i="2" s="1"/>
  <c r="K26" i="22"/>
  <c r="S26" i="22"/>
  <c r="O80" i="20"/>
  <c r="L17" i="18"/>
  <c r="O42" i="20"/>
  <c r="O67" i="20"/>
  <c r="O72" i="20"/>
  <c r="O65" i="20"/>
  <c r="O37" i="17"/>
  <c r="L97" i="19"/>
  <c r="L17" i="19"/>
  <c r="L77" i="19"/>
  <c r="L57" i="19"/>
  <c r="L117" i="19"/>
  <c r="L37" i="19"/>
  <c r="L54" i="19"/>
  <c r="L114" i="19"/>
  <c r="L34" i="19"/>
  <c r="L94" i="19"/>
  <c r="L14" i="19"/>
  <c r="L74" i="19"/>
  <c r="L15" i="18"/>
  <c r="O24" i="17"/>
  <c r="O21" i="17"/>
  <c r="L89" i="19"/>
  <c r="L9" i="19"/>
  <c r="L69" i="19"/>
  <c r="L49" i="19"/>
  <c r="L109" i="19"/>
  <c r="L29" i="19"/>
  <c r="O73" i="20"/>
  <c r="O85" i="20"/>
  <c r="L115" i="19"/>
  <c r="L35" i="19"/>
  <c r="L95" i="19"/>
  <c r="L15" i="19"/>
  <c r="L75" i="19"/>
  <c r="L55" i="19"/>
  <c r="T7" i="22"/>
  <c r="O36" i="17"/>
  <c r="O31" i="17"/>
  <c r="L108" i="19"/>
  <c r="L28" i="19"/>
  <c r="L88" i="19"/>
  <c r="L8" i="19"/>
  <c r="L68" i="19"/>
  <c r="L48" i="19"/>
  <c r="L53" i="19"/>
  <c r="L113" i="19"/>
  <c r="L33" i="19"/>
  <c r="L93" i="19"/>
  <c r="L13" i="19"/>
  <c r="L73" i="19"/>
  <c r="L116" i="19"/>
  <c r="L36" i="19"/>
  <c r="L96" i="19"/>
  <c r="L16" i="19"/>
  <c r="L76" i="19"/>
  <c r="L56" i="19"/>
  <c r="O45" i="20"/>
  <c r="L90" i="19"/>
  <c r="L10" i="19"/>
  <c r="L70" i="19"/>
  <c r="L50" i="19"/>
  <c r="L110" i="19"/>
  <c r="L30" i="19"/>
  <c r="O32" i="17"/>
  <c r="O35" i="17"/>
  <c r="O29" i="17"/>
  <c r="L71" i="19"/>
  <c r="L51" i="19"/>
  <c r="L111" i="19"/>
  <c r="L31" i="19"/>
  <c r="L91" i="19"/>
  <c r="L11" i="19"/>
  <c r="L72" i="19"/>
  <c r="L52" i="19"/>
  <c r="L112" i="19"/>
  <c r="L32" i="19"/>
  <c r="L92" i="19"/>
  <c r="L12" i="19"/>
  <c r="O54" i="20"/>
  <c r="O20" i="17"/>
  <c r="O44" i="20"/>
  <c r="O87" i="20"/>
  <c r="O71" i="20"/>
  <c r="B134" i="19"/>
  <c r="C187" i="37"/>
  <c r="C178" i="37"/>
  <c r="C179" i="37"/>
  <c r="O56" i="20"/>
  <c r="AS9" i="9"/>
  <c r="R15" i="17" s="1"/>
  <c r="C182" i="37"/>
  <c r="C181" i="37"/>
  <c r="C161" i="37"/>
  <c r="C160" i="37"/>
  <c r="E19" i="22"/>
  <c r="G19" i="22" s="1"/>
  <c r="G23" i="22" s="1"/>
  <c r="U49" i="22"/>
  <c r="W49" i="22" s="1"/>
  <c r="I19" i="22"/>
  <c r="K19" i="22" s="1"/>
  <c r="K23" i="22" s="1"/>
  <c r="Q49" i="22"/>
  <c r="S49" i="22" s="1"/>
  <c r="M49" i="22"/>
  <c r="O49" i="22" s="1"/>
  <c r="O53" i="22" s="1"/>
  <c r="I49" i="22"/>
  <c r="K49" i="22" s="1"/>
  <c r="K53" i="22" s="1"/>
  <c r="E49" i="22"/>
  <c r="G49" i="22" s="1"/>
  <c r="G53" i="22" s="1"/>
  <c r="U19" i="22"/>
  <c r="W19" i="22" s="1"/>
  <c r="W23" i="22" s="1"/>
  <c r="Q19" i="22"/>
  <c r="S19" i="22" s="1"/>
  <c r="S23" i="22" s="1"/>
  <c r="M19" i="22"/>
  <c r="O19" i="22" s="1"/>
  <c r="O23" i="22" s="1"/>
  <c r="C166" i="37"/>
  <c r="C167" i="37"/>
  <c r="O61" i="20"/>
  <c r="P37" i="22"/>
  <c r="C184" i="37"/>
  <c r="C163" i="37"/>
  <c r="C164" i="37"/>
  <c r="O58" i="20"/>
  <c r="C170" i="37"/>
  <c r="C169" i="37"/>
  <c r="O62" i="20"/>
  <c r="C172" i="37"/>
  <c r="C173" i="37"/>
  <c r="O27" i="17"/>
  <c r="AS8" i="9"/>
  <c r="C175" i="37"/>
  <c r="C176" i="37"/>
  <c r="O59" i="20"/>
  <c r="O26" i="17"/>
  <c r="N16" i="35"/>
  <c r="J2" i="28"/>
  <c r="Q41" i="22"/>
  <c r="S41" i="22" s="1"/>
  <c r="S54" i="22" s="1"/>
  <c r="M41" i="22"/>
  <c r="O41" i="22" s="1"/>
  <c r="O54" i="22" s="1"/>
  <c r="E41" i="22"/>
  <c r="G41" i="22" s="1"/>
  <c r="G54" i="22" s="1"/>
  <c r="I41" i="22"/>
  <c r="K41" i="22" s="1"/>
  <c r="K54" i="22" s="1"/>
  <c r="U11" i="22"/>
  <c r="W11" i="22" s="1"/>
  <c r="W24" i="22" s="1"/>
  <c r="I11" i="22"/>
  <c r="K11" i="22" s="1"/>
  <c r="Q11" i="22"/>
  <c r="S11" i="22" s="1"/>
  <c r="S24" i="22" s="1"/>
  <c r="M11" i="22"/>
  <c r="O11" i="22" s="1"/>
  <c r="O24" i="22" s="1"/>
  <c r="U41" i="22"/>
  <c r="W41" i="22" s="1"/>
  <c r="E11" i="22"/>
  <c r="G11" i="22" s="1"/>
  <c r="R38" i="2"/>
  <c r="T38" i="2"/>
  <c r="P38" i="2"/>
  <c r="O36" i="20"/>
  <c r="O35" i="20"/>
  <c r="L4" i="2"/>
  <c r="B131" i="19"/>
  <c r="O17" i="17"/>
  <c r="O19" i="17"/>
  <c r="O37" i="20"/>
  <c r="L11" i="18"/>
  <c r="T4" i="2"/>
  <c r="J11" i="19"/>
  <c r="O13" i="17"/>
  <c r="O11" i="17"/>
  <c r="O19" i="20"/>
  <c r="AS3" i="9"/>
  <c r="O17" i="20"/>
  <c r="O21" i="20"/>
  <c r="H4" i="2"/>
  <c r="L9" i="18"/>
  <c r="B129" i="19"/>
  <c r="O12" i="17"/>
  <c r="O18" i="20"/>
  <c r="O23" i="20"/>
  <c r="O22" i="20"/>
  <c r="H7" i="22"/>
  <c r="O20" i="20"/>
  <c r="O16" i="20"/>
  <c r="V38" i="2"/>
  <c r="O30" i="20"/>
  <c r="O14" i="17"/>
  <c r="O16" i="17"/>
  <c r="L7" i="22"/>
  <c r="O15" i="17"/>
  <c r="O31" i="20"/>
  <c r="O41" i="20"/>
  <c r="O47" i="20"/>
  <c r="J8" i="17"/>
  <c r="J68" i="17" s="1"/>
  <c r="I68" i="17"/>
  <c r="I48" i="18"/>
  <c r="O39" i="20"/>
  <c r="O38" i="20"/>
  <c r="O34" i="20"/>
  <c r="O33" i="20"/>
  <c r="AS5" i="9"/>
  <c r="R11" i="18" s="1"/>
  <c r="O11" i="18" s="1"/>
  <c r="P7" i="22"/>
  <c r="AS6" i="9"/>
  <c r="O43" i="20"/>
  <c r="N4" i="2"/>
  <c r="B132" i="19"/>
  <c r="O46" i="20"/>
  <c r="L12" i="18"/>
  <c r="O18" i="17"/>
  <c r="O32" i="20"/>
  <c r="O40" i="20"/>
  <c r="O23" i="17"/>
  <c r="O51" i="20"/>
  <c r="B133" i="19"/>
  <c r="O25" i="17"/>
  <c r="AS10" i="9"/>
  <c r="L16" i="18"/>
  <c r="O75" i="20"/>
  <c r="C185" i="37"/>
  <c r="O34" i="17"/>
  <c r="O77" i="20"/>
  <c r="O76" i="20"/>
  <c r="V4" i="2"/>
  <c r="O74" i="20"/>
  <c r="B136" i="19"/>
  <c r="O33" i="17"/>
  <c r="O84" i="20"/>
  <c r="O86" i="20"/>
  <c r="O70" i="20"/>
  <c r="C188" i="37"/>
  <c r="O64" i="20"/>
  <c r="O30" i="17"/>
  <c r="O69" i="20"/>
  <c r="O68" i="20"/>
  <c r="L37" i="22"/>
  <c r="B135" i="19"/>
  <c r="T37" i="22"/>
  <c r="AS11" i="9"/>
  <c r="O82" i="20"/>
  <c r="O81" i="20"/>
  <c r="O57" i="20"/>
  <c r="R4" i="2"/>
  <c r="E43" i="2"/>
  <c r="N18" i="35"/>
  <c r="C5" i="18"/>
  <c r="C5" i="19"/>
  <c r="C5" i="17"/>
  <c r="C5" i="20"/>
  <c r="E7" i="26"/>
  <c r="D2" i="2"/>
  <c r="D5" i="22"/>
  <c r="G5" i="37"/>
  <c r="L13" i="18"/>
  <c r="O26" i="26"/>
  <c r="O22" i="26"/>
  <c r="O27" i="20"/>
  <c r="J4" i="2"/>
  <c r="AS4" i="9"/>
  <c r="O26" i="20"/>
  <c r="O28" i="20"/>
  <c r="O25" i="20"/>
  <c r="B130" i="19"/>
  <c r="H48" i="18"/>
  <c r="O29" i="20"/>
  <c r="O24" i="20"/>
  <c r="D37" i="22"/>
  <c r="O52" i="20"/>
  <c r="O50" i="20"/>
  <c r="O49" i="20"/>
  <c r="P4" i="2"/>
  <c r="AS7" i="9"/>
  <c r="O53" i="20"/>
  <c r="O55" i="20"/>
  <c r="J8" i="20"/>
  <c r="J168" i="20" s="1"/>
  <c r="F19" i="28"/>
  <c r="F18" i="28"/>
  <c r="F16" i="28"/>
  <c r="F20" i="28"/>
  <c r="F15" i="28"/>
  <c r="O28" i="17"/>
  <c r="H37" i="22"/>
  <c r="L14" i="18"/>
  <c r="O63" i="20"/>
  <c r="O78" i="20"/>
  <c r="O79" i="20"/>
  <c r="AQ45" i="2"/>
  <c r="AQ65" i="2"/>
  <c r="AQ44" i="2"/>
  <c r="AQ74" i="2"/>
  <c r="AQ78" i="2"/>
  <c r="AO66" i="2"/>
  <c r="AO45" i="2"/>
  <c r="AO74" i="2"/>
  <c r="AO78" i="2"/>
  <c r="AM64" i="2"/>
  <c r="AM68" i="2"/>
  <c r="AM74" i="2"/>
  <c r="AM78" i="2"/>
  <c r="AK63" i="2"/>
  <c r="AK67" i="2"/>
  <c r="AK74" i="2"/>
  <c r="AK78" i="2"/>
  <c r="AI65" i="2"/>
  <c r="AI44" i="2"/>
  <c r="AI75" i="2"/>
  <c r="AG44" i="2"/>
  <c r="AG75" i="2"/>
  <c r="AG45" i="2"/>
  <c r="AG66" i="2"/>
  <c r="AE71" i="2"/>
  <c r="AE77" i="2"/>
  <c r="AE64" i="2"/>
  <c r="AE68" i="2"/>
  <c r="AC62" i="2"/>
  <c r="AC66" i="2"/>
  <c r="AC44" i="2"/>
  <c r="AC75" i="2"/>
  <c r="AA45" i="2"/>
  <c r="AA65" i="2"/>
  <c r="AA53" i="2"/>
  <c r="AA75" i="2"/>
  <c r="Q57" i="2" a="1"/>
  <c r="Q58" i="2" a="1"/>
  <c r="Q46" i="2" a="1"/>
  <c r="H48" i="2"/>
  <c r="F45" i="2"/>
  <c r="I54" i="2" a="1"/>
  <c r="L47" i="2"/>
  <c r="U54" i="2" a="1"/>
  <c r="U57" i="2" a="1"/>
  <c r="W58" i="2" a="1"/>
  <c r="F46" i="2"/>
  <c r="K54" i="2" a="1"/>
  <c r="O54" i="2" a="1"/>
  <c r="Y54" i="2" a="1"/>
  <c r="L71" i="2"/>
  <c r="R47" i="2"/>
  <c r="M54" i="2" a="1"/>
  <c r="F58" i="2"/>
  <c r="J47" i="2"/>
  <c r="AO44" i="2"/>
  <c r="AM61" i="2"/>
  <c r="AM77" i="2"/>
  <c r="AK66" i="2"/>
  <c r="AI64" i="2"/>
  <c r="AI74" i="2"/>
  <c r="AG78" i="2"/>
  <c r="AE58" i="2"/>
  <c r="AE67" i="2"/>
  <c r="AC65" i="2"/>
  <c r="AC78" i="2"/>
  <c r="AA68" i="2"/>
  <c r="AA78" i="2"/>
  <c r="K57" i="2" a="1"/>
  <c r="O58" i="2" a="1"/>
  <c r="M58" i="2" a="1"/>
  <c r="W48" i="2" a="1"/>
  <c r="Y58" i="2" a="1"/>
  <c r="AQ61" i="2"/>
  <c r="AQ66" i="2"/>
  <c r="AQ51" i="2"/>
  <c r="AQ75" i="2"/>
  <c r="AO61" i="2"/>
  <c r="AO67" i="2"/>
  <c r="AO51" i="2"/>
  <c r="AO75" i="2"/>
  <c r="AM44" i="2"/>
  <c r="AM65" i="2"/>
  <c r="AM51" i="2"/>
  <c r="AM75" i="2"/>
  <c r="AK45" i="2"/>
  <c r="AK64" i="2"/>
  <c r="AK68" i="2"/>
  <c r="AK75" i="2"/>
  <c r="AI45" i="2"/>
  <c r="AI66" i="2"/>
  <c r="AI58" i="2"/>
  <c r="AI76" i="2"/>
  <c r="AG58" i="2"/>
  <c r="AG76" i="2"/>
  <c r="AG61" i="2"/>
  <c r="AG67" i="2"/>
  <c r="AE74" i="2"/>
  <c r="AE78" i="2"/>
  <c r="AE65" i="2"/>
  <c r="AE45" i="2"/>
  <c r="AC63" i="2"/>
  <c r="AC67" i="2"/>
  <c r="AC58" i="2"/>
  <c r="AC76" i="2"/>
  <c r="AA44" i="2"/>
  <c r="AA66" i="2"/>
  <c r="AA58" i="2"/>
  <c r="AA76" i="2"/>
  <c r="G57" i="2" a="1"/>
  <c r="P45" i="2"/>
  <c r="I58" i="2" a="1"/>
  <c r="H45" i="2"/>
  <c r="Y48" i="2" a="1"/>
  <c r="F48" i="2"/>
  <c r="O57" i="2" a="1"/>
  <c r="H46" i="2"/>
  <c r="G54" i="2" a="1"/>
  <c r="M57" i="2" a="1"/>
  <c r="F47" i="2"/>
  <c r="L48" i="2"/>
  <c r="W46" i="2" a="1"/>
  <c r="N47" i="2"/>
  <c r="S57" i="2" a="1"/>
  <c r="J48" i="2"/>
  <c r="J45" i="2"/>
  <c r="S54" i="2" a="1"/>
  <c r="V44" i="2"/>
  <c r="AQ64" i="2"/>
  <c r="AQ68" i="2"/>
  <c r="AQ71" i="2"/>
  <c r="AO65" i="2"/>
  <c r="AO71" i="2"/>
  <c r="AO77" i="2"/>
  <c r="AM67" i="2"/>
  <c r="AK61" i="2"/>
  <c r="AK71" i="2"/>
  <c r="AI68" i="2"/>
  <c r="AI78" i="2"/>
  <c r="AG65" i="2"/>
  <c r="AE63" i="2"/>
  <c r="AC61" i="2"/>
  <c r="AC74" i="2"/>
  <c r="AA64" i="2"/>
  <c r="X47" i="2"/>
  <c r="J44" i="2"/>
  <c r="T47" i="2"/>
  <c r="K58" i="2" a="1"/>
  <c r="T44" i="2"/>
  <c r="L44" i="2"/>
  <c r="N44" i="2"/>
  <c r="R44" i="2"/>
  <c r="V47" i="2"/>
  <c r="U48" i="2" a="1"/>
  <c r="Q48" i="2" a="1"/>
  <c r="L45" i="2"/>
  <c r="AQ63" i="2"/>
  <c r="AQ67" i="2"/>
  <c r="AQ58" i="2"/>
  <c r="AQ76" i="2"/>
  <c r="AO64" i="2"/>
  <c r="AO68" i="2"/>
  <c r="AO58" i="2"/>
  <c r="AO76" i="2"/>
  <c r="AM45" i="2"/>
  <c r="AM66" i="2"/>
  <c r="AM58" i="2"/>
  <c r="AM76" i="2"/>
  <c r="AK44" i="2"/>
  <c r="AK65" i="2"/>
  <c r="AK58" i="2"/>
  <c r="AK76" i="2"/>
  <c r="AI61" i="2"/>
  <c r="AI67" i="2"/>
  <c r="AI71" i="2"/>
  <c r="AI77" i="2"/>
  <c r="AG71" i="2"/>
  <c r="AG77" i="2"/>
  <c r="AG64" i="2"/>
  <c r="AG68" i="2"/>
  <c r="AE75" i="2"/>
  <c r="AE61" i="2"/>
  <c r="AE66" i="2"/>
  <c r="AE44" i="2"/>
  <c r="AC64" i="2"/>
  <c r="AC68" i="2"/>
  <c r="AC71" i="2"/>
  <c r="AC77" i="2"/>
  <c r="AA61" i="2"/>
  <c r="AA67" i="2"/>
  <c r="AA71" i="2"/>
  <c r="AA77" i="2"/>
  <c r="W57" i="2" a="1"/>
  <c r="U58" i="2" a="1"/>
  <c r="N45" i="2"/>
  <c r="Y46" i="2" a="1"/>
  <c r="S58" i="2" a="1"/>
  <c r="L46" i="2"/>
  <c r="S48" i="2" a="1"/>
  <c r="U46" i="2" a="1"/>
  <c r="T45" i="2"/>
  <c r="J46" i="2"/>
  <c r="R45" i="2"/>
  <c r="H47" i="2"/>
  <c r="W54" i="2" a="1"/>
  <c r="P44" i="2"/>
  <c r="N48" i="2"/>
  <c r="Y57" i="2" a="1"/>
  <c r="Q47" i="2" a="1"/>
  <c r="N46" i="2"/>
  <c r="Q54" i="2" a="1"/>
  <c r="AQ77" i="2"/>
  <c r="AM71" i="2"/>
  <c r="AK77" i="2"/>
  <c r="AG74" i="2"/>
  <c r="AE76" i="2"/>
  <c r="AC45" i="2"/>
  <c r="AA74" i="2"/>
  <c r="I57" i="2" a="1"/>
  <c r="S46" i="2" a="1"/>
  <c r="F65" i="35" l="1" a="1"/>
  <c r="F65" i="35" s="1"/>
  <c r="AI20" i="35" s="1"/>
  <c r="AQ80" i="2"/>
  <c r="AQ73" i="2"/>
  <c r="E65" i="35" s="1"/>
  <c r="AH20" i="35" s="1"/>
  <c r="AQ50" i="2"/>
  <c r="AP50" i="2"/>
  <c r="AO80" i="2"/>
  <c r="AO73" i="2"/>
  <c r="L49" i="35" s="1"/>
  <c r="AG20" i="35" s="1"/>
  <c r="AO50" i="2"/>
  <c r="AN50" i="2"/>
  <c r="AM80" i="2"/>
  <c r="AM73" i="2"/>
  <c r="K49" i="35" s="1"/>
  <c r="AF20" i="35" s="1"/>
  <c r="AM50" i="2"/>
  <c r="AL50" i="2"/>
  <c r="AK80" i="2"/>
  <c r="AK73" i="2"/>
  <c r="J49" i="35" s="1"/>
  <c r="AE20" i="35" s="1"/>
  <c r="AK50" i="2"/>
  <c r="AJ50" i="2"/>
  <c r="AI80" i="2"/>
  <c r="AI73" i="2"/>
  <c r="H49" i="35" s="1"/>
  <c r="AD20" i="35" s="1"/>
  <c r="AI50" i="2"/>
  <c r="AH50" i="2"/>
  <c r="AG80" i="2"/>
  <c r="AG73" i="2"/>
  <c r="AG50" i="2"/>
  <c r="AF50" i="2"/>
  <c r="AE50" i="2"/>
  <c r="AE80" i="2"/>
  <c r="AE73" i="2"/>
  <c r="E49" i="35" s="1"/>
  <c r="AB20" i="35" s="1"/>
  <c r="AD50" i="2"/>
  <c r="AC80" i="2"/>
  <c r="AC73" i="2"/>
  <c r="L34" i="35" s="1"/>
  <c r="AA20" i="35" s="1"/>
  <c r="AC50" i="2"/>
  <c r="AC70" i="2"/>
  <c r="AB50" i="2"/>
  <c r="AA80" i="2"/>
  <c r="AA73" i="2"/>
  <c r="K34" i="35" s="1" a="1"/>
  <c r="K34" i="35" s="1"/>
  <c r="AA50" i="2"/>
  <c r="Z50" i="2"/>
  <c r="CZ6" i="20"/>
  <c r="N89" i="20" s="1"/>
  <c r="Z63" i="2" s="1"/>
  <c r="CY6" i="20"/>
  <c r="N88" i="20" s="1"/>
  <c r="Z62" i="2" s="1"/>
  <c r="N152" i="20"/>
  <c r="AP62" i="2" s="1"/>
  <c r="N112" i="20"/>
  <c r="AF62" i="2" s="1"/>
  <c r="N113" i="20"/>
  <c r="AF63" i="2" s="1"/>
  <c r="N137" i="20"/>
  <c r="AL63" i="2" s="1"/>
  <c r="N145" i="20"/>
  <c r="AN63" i="2" s="1"/>
  <c r="N136" i="20"/>
  <c r="AL62" i="2" s="1"/>
  <c r="N128" i="20"/>
  <c r="AJ62" i="2" s="1"/>
  <c r="N121" i="20"/>
  <c r="AH63" i="2" s="1"/>
  <c r="N144" i="20"/>
  <c r="AN62" i="2" s="1"/>
  <c r="N104" i="20"/>
  <c r="AD62" i="2" s="1"/>
  <c r="N120" i="20"/>
  <c r="AH62" i="2" s="1"/>
  <c r="U48" i="2"/>
  <c r="W48" i="2"/>
  <c r="Y48" i="2"/>
  <c r="Q16" i="26"/>
  <c r="Q21" i="26" s="1"/>
  <c r="Q48" i="2"/>
  <c r="Q47" i="2"/>
  <c r="S48" i="2"/>
  <c r="R50" i="2"/>
  <c r="P50" i="2"/>
  <c r="N50" i="2"/>
  <c r="L50" i="2"/>
  <c r="U46" i="2"/>
  <c r="W46" i="2"/>
  <c r="Y46" i="2"/>
  <c r="Q46" i="2"/>
  <c r="S46" i="2"/>
  <c r="Y58" i="2"/>
  <c r="W58" i="2"/>
  <c r="U58" i="2"/>
  <c r="S58" i="2"/>
  <c r="Q58" i="2"/>
  <c r="O58" i="2"/>
  <c r="M58" i="2"/>
  <c r="K58" i="2"/>
  <c r="I58" i="2"/>
  <c r="F12" i="2"/>
  <c r="X38" i="2"/>
  <c r="W54" i="22"/>
  <c r="S53" i="22"/>
  <c r="W53" i="22"/>
  <c r="Q17" i="45"/>
  <c r="L17" i="45" s="1"/>
  <c r="Q25" i="45"/>
  <c r="L25" i="45" s="1"/>
  <c r="Q18" i="45"/>
  <c r="L18" i="45" s="1"/>
  <c r="Q10" i="45"/>
  <c r="L10" i="45" s="1"/>
  <c r="Q5" i="45"/>
  <c r="L5" i="45" s="1"/>
  <c r="Q29" i="45"/>
  <c r="L29" i="45" s="1"/>
  <c r="Q31" i="45"/>
  <c r="L31" i="45" s="1"/>
  <c r="Q24" i="45"/>
  <c r="L24" i="45" s="1"/>
  <c r="Q21" i="45"/>
  <c r="L21" i="45" s="1"/>
  <c r="Q30" i="45"/>
  <c r="L30" i="45" s="1"/>
  <c r="Q23" i="45"/>
  <c r="L23" i="45" s="1"/>
  <c r="Q6" i="45"/>
  <c r="L6" i="45" s="1"/>
  <c r="Q22" i="45"/>
  <c r="L22" i="45" s="1"/>
  <c r="Q11" i="45"/>
  <c r="L11" i="45" s="1"/>
  <c r="Q12" i="45"/>
  <c r="L12" i="45" s="1"/>
  <c r="Q27" i="45"/>
  <c r="L27" i="45" s="1"/>
  <c r="J4" i="45"/>
  <c r="Q7" i="45"/>
  <c r="L7" i="45" s="1"/>
  <c r="Q20" i="45"/>
  <c r="L20" i="45" s="1"/>
  <c r="Q9" i="45"/>
  <c r="L9" i="45" s="1"/>
  <c r="Q28" i="45"/>
  <c r="L28" i="45" s="1"/>
  <c r="Q19" i="45"/>
  <c r="L19" i="45" s="1"/>
  <c r="Q16" i="45"/>
  <c r="L16" i="45" s="1"/>
  <c r="Q13" i="45"/>
  <c r="L13" i="45" s="1"/>
  <c r="Q26" i="45"/>
  <c r="L26" i="45" s="1"/>
  <c r="Q15" i="45"/>
  <c r="L15" i="45" s="1"/>
  <c r="Q32" i="45"/>
  <c r="L32" i="45" s="1"/>
  <c r="Q14" i="45"/>
  <c r="L14" i="45" s="1"/>
  <c r="Q8" i="45"/>
  <c r="L8" i="45" s="1"/>
  <c r="J33" i="45"/>
  <c r="J148" i="19"/>
  <c r="Y57" i="2"/>
  <c r="Y54" i="2"/>
  <c r="W54" i="2"/>
  <c r="W57" i="2"/>
  <c r="U54" i="2"/>
  <c r="U57" i="2"/>
  <c r="S57" i="2"/>
  <c r="S54" i="2"/>
  <c r="Q54" i="2"/>
  <c r="Q57" i="2"/>
  <c r="O54" i="2"/>
  <c r="O57" i="2"/>
  <c r="M54" i="2"/>
  <c r="M57" i="2"/>
  <c r="K54" i="2"/>
  <c r="K57" i="2"/>
  <c r="I54" i="2"/>
  <c r="I57" i="2"/>
  <c r="G54" i="2"/>
  <c r="G57" i="2"/>
  <c r="AT62" i="17"/>
  <c r="AS63" i="17"/>
  <c r="AR64" i="17"/>
  <c r="AT66" i="17"/>
  <c r="AS67" i="17"/>
  <c r="AR68" i="17"/>
  <c r="AT53" i="17"/>
  <c r="AS54" i="17"/>
  <c r="AR55" i="17"/>
  <c r="AT57" i="17"/>
  <c r="AS58" i="17"/>
  <c r="AR59" i="17"/>
  <c r="AT40" i="17"/>
  <c r="AS41" i="17"/>
  <c r="AR42" i="17"/>
  <c r="AR61" i="17"/>
  <c r="AT63" i="17"/>
  <c r="AS64" i="17"/>
  <c r="AR65" i="17"/>
  <c r="AT67" i="17"/>
  <c r="AS68" i="17"/>
  <c r="AR52" i="17"/>
  <c r="AT54" i="17"/>
  <c r="AS55" i="17"/>
  <c r="AR56" i="17"/>
  <c r="AT58" i="17"/>
  <c r="AS59" i="17"/>
  <c r="AR60" i="17"/>
  <c r="AT41" i="17"/>
  <c r="AS42" i="17"/>
  <c r="AR43" i="17"/>
  <c r="AT45" i="17"/>
  <c r="AS46" i="17"/>
  <c r="AR47" i="17"/>
  <c r="AT49" i="17"/>
  <c r="AS50" i="17"/>
  <c r="AR51" i="17"/>
  <c r="AS61" i="17"/>
  <c r="AR62" i="17"/>
  <c r="AT64" i="17"/>
  <c r="AS65" i="17"/>
  <c r="AR66" i="17"/>
  <c r="AT68" i="17"/>
  <c r="AS52" i="17"/>
  <c r="AR53" i="17"/>
  <c r="AT55" i="17"/>
  <c r="AS56" i="17"/>
  <c r="AR57" i="17"/>
  <c r="AT59" i="17"/>
  <c r="AS60" i="17"/>
  <c r="AR40" i="17"/>
  <c r="AT42" i="17"/>
  <c r="AS43" i="17"/>
  <c r="AR44" i="17"/>
  <c r="AT46" i="17"/>
  <c r="AS47" i="17"/>
  <c r="AR48" i="17"/>
  <c r="AT50" i="17"/>
  <c r="AS51" i="17"/>
  <c r="AT61" i="17"/>
  <c r="AR63" i="17"/>
  <c r="AS53" i="17"/>
  <c r="AT60" i="17"/>
  <c r="AR41" i="17"/>
  <c r="AT48" i="17"/>
  <c r="AS49" i="17"/>
  <c r="AR50" i="17"/>
  <c r="AS66" i="17"/>
  <c r="AR58" i="17"/>
  <c r="AR49" i="17"/>
  <c r="AT65" i="17"/>
  <c r="AR67" i="17"/>
  <c r="AS57" i="17"/>
  <c r="AT43" i="17"/>
  <c r="AS44" i="17"/>
  <c r="AR45" i="17"/>
  <c r="AT51" i="17"/>
  <c r="AT56" i="17"/>
  <c r="AT47" i="17"/>
  <c r="AS62" i="17"/>
  <c r="AT52" i="17"/>
  <c r="AR54" i="17"/>
  <c r="AS40" i="17"/>
  <c r="AT44" i="17"/>
  <c r="AS45" i="17"/>
  <c r="AR46" i="17"/>
  <c r="AS48" i="17"/>
  <c r="W26" i="17"/>
  <c r="Y59" i="17"/>
  <c r="X60" i="17"/>
  <c r="W61" i="17"/>
  <c r="Y63" i="17"/>
  <c r="X64" i="17"/>
  <c r="W65" i="17"/>
  <c r="Y67" i="17"/>
  <c r="X40" i="17"/>
  <c r="W68" i="17"/>
  <c r="Y60" i="17"/>
  <c r="X61" i="17"/>
  <c r="W62" i="17"/>
  <c r="Y64" i="17"/>
  <c r="X65" i="17"/>
  <c r="W66" i="17"/>
  <c r="Y40" i="17"/>
  <c r="X59" i="17"/>
  <c r="Y62" i="17"/>
  <c r="W64" i="17"/>
  <c r="X67" i="17"/>
  <c r="Y42" i="17"/>
  <c r="X43" i="17"/>
  <c r="W44" i="17"/>
  <c r="Y46" i="17"/>
  <c r="X47" i="17"/>
  <c r="W48" i="17"/>
  <c r="Y50" i="17"/>
  <c r="X51" i="17"/>
  <c r="W52" i="17"/>
  <c r="Y54" i="17"/>
  <c r="X55" i="17"/>
  <c r="W56" i="17"/>
  <c r="Y58" i="17"/>
  <c r="W59" i="17"/>
  <c r="W43" i="17"/>
  <c r="Y45" i="17"/>
  <c r="X54" i="17"/>
  <c r="Y57" i="17"/>
  <c r="X58" i="17"/>
  <c r="X68" i="17"/>
  <c r="Y61" i="17"/>
  <c r="W63" i="17"/>
  <c r="X66" i="17"/>
  <c r="W41" i="17"/>
  <c r="Y43" i="17"/>
  <c r="X44" i="17"/>
  <c r="W45" i="17"/>
  <c r="Y47" i="17"/>
  <c r="X48" i="17"/>
  <c r="W49" i="17"/>
  <c r="Y51" i="17"/>
  <c r="X52" i="17"/>
  <c r="W53" i="17"/>
  <c r="Y55" i="17"/>
  <c r="X56" i="17"/>
  <c r="W57" i="17"/>
  <c r="X62" i="17"/>
  <c r="W67" i="17"/>
  <c r="Y41" i="17"/>
  <c r="X46" i="17"/>
  <c r="W47" i="17"/>
  <c r="Y49" i="17"/>
  <c r="X50" i="17"/>
  <c r="Y53" i="17"/>
  <c r="W55" i="17"/>
  <c r="Y68" i="17"/>
  <c r="W60" i="17"/>
  <c r="X63" i="17"/>
  <c r="Y66" i="17"/>
  <c r="W40" i="17"/>
  <c r="X41" i="17"/>
  <c r="W42" i="17"/>
  <c r="Y44" i="17"/>
  <c r="X45" i="17"/>
  <c r="W46" i="17"/>
  <c r="Y48" i="17"/>
  <c r="X49" i="17"/>
  <c r="W50" i="17"/>
  <c r="Y52" i="17"/>
  <c r="X53" i="17"/>
  <c r="W54" i="17"/>
  <c r="Y56" i="17"/>
  <c r="X57" i="17"/>
  <c r="W58" i="17"/>
  <c r="Y65" i="17"/>
  <c r="X42" i="17"/>
  <c r="W51" i="17"/>
  <c r="AZ8" i="19"/>
  <c r="AZ6" i="19" s="1"/>
  <c r="AF8" i="19"/>
  <c r="AF6" i="19" s="1"/>
  <c r="K24" i="22"/>
  <c r="G24" i="22"/>
  <c r="D21" i="2"/>
  <c r="G14" i="28"/>
  <c r="G15" i="28" s="1"/>
  <c r="X18" i="17"/>
  <c r="Y30" i="17"/>
  <c r="Y33" i="17"/>
  <c r="P8" i="19"/>
  <c r="W9" i="17"/>
  <c r="Y22" i="17"/>
  <c r="Y14" i="17"/>
  <c r="X34" i="17"/>
  <c r="Y28" i="17"/>
  <c r="W34" i="17"/>
  <c r="Y27" i="17"/>
  <c r="Y26" i="17"/>
  <c r="Y15" i="17"/>
  <c r="X28" i="17"/>
  <c r="X37" i="17"/>
  <c r="W14" i="17"/>
  <c r="Y31" i="17"/>
  <c r="X25" i="17"/>
  <c r="W27" i="17"/>
  <c r="Y35" i="17"/>
  <c r="Y32" i="17"/>
  <c r="W20" i="17"/>
  <c r="W15" i="17"/>
  <c r="X26" i="17"/>
  <c r="X35" i="17"/>
  <c r="Y39" i="17"/>
  <c r="X27" i="17"/>
  <c r="W13" i="17"/>
  <c r="W30" i="17"/>
  <c r="X11" i="17"/>
  <c r="Y37" i="17"/>
  <c r="Y36" i="17"/>
  <c r="Y19" i="17"/>
  <c r="W24" i="17"/>
  <c r="Y9" i="17"/>
  <c r="W17" i="17"/>
  <c r="X16" i="17"/>
  <c r="W32" i="17"/>
  <c r="Y23" i="17"/>
  <c r="W35" i="17"/>
  <c r="W8" i="17"/>
  <c r="X22" i="17"/>
  <c r="Y18" i="17"/>
  <c r="Y34" i="17"/>
  <c r="W38" i="17"/>
  <c r="X17" i="17"/>
  <c r="X38" i="17"/>
  <c r="Y20" i="17"/>
  <c r="R8" i="20"/>
  <c r="W163" i="20" s="1"/>
  <c r="W31" i="17"/>
  <c r="W19" i="17"/>
  <c r="X10" i="17"/>
  <c r="X31" i="17"/>
  <c r="X15" i="17"/>
  <c r="X30" i="17"/>
  <c r="Y24" i="17"/>
  <c r="Y10" i="17"/>
  <c r="R8" i="18"/>
  <c r="O8" i="18" s="1"/>
  <c r="W11" i="17"/>
  <c r="J161" i="37"/>
  <c r="G161" i="37" s="1"/>
  <c r="W23" i="17"/>
  <c r="X29" i="17"/>
  <c r="X23" i="17"/>
  <c r="W12" i="17"/>
  <c r="X12" i="17"/>
  <c r="Y25" i="17"/>
  <c r="W10" i="17"/>
  <c r="Y17" i="17"/>
  <c r="Y38" i="17"/>
  <c r="Y16" i="17"/>
  <c r="W36" i="17"/>
  <c r="W21" i="17"/>
  <c r="W33" i="17"/>
  <c r="W28" i="17"/>
  <c r="X20" i="17"/>
  <c r="Y21" i="17"/>
  <c r="X39" i="17"/>
  <c r="X19" i="17"/>
  <c r="X24" i="17"/>
  <c r="X8" i="17"/>
  <c r="W37" i="17"/>
  <c r="X14" i="17"/>
  <c r="Y12" i="17"/>
  <c r="W16" i="17"/>
  <c r="Y13" i="17"/>
  <c r="X9" i="17"/>
  <c r="X13" i="17"/>
  <c r="Y8" i="17"/>
  <c r="W18" i="17"/>
  <c r="Y29" i="17"/>
  <c r="X36" i="17"/>
  <c r="X33" i="17"/>
  <c r="X21" i="17"/>
  <c r="X32" i="17"/>
  <c r="W25" i="17"/>
  <c r="W22" i="17"/>
  <c r="Y11" i="17"/>
  <c r="W29" i="17"/>
  <c r="W39" i="17"/>
  <c r="H38" i="2"/>
  <c r="L38" i="2"/>
  <c r="D30" i="2"/>
  <c r="D9" i="2"/>
  <c r="D34" i="2"/>
  <c r="D26" i="2"/>
  <c r="D18" i="2"/>
  <c r="N38" i="2"/>
  <c r="R15" i="18"/>
  <c r="O15" i="18" s="1"/>
  <c r="D28" i="2"/>
  <c r="D17" i="2"/>
  <c r="D20" i="2"/>
  <c r="D13" i="2"/>
  <c r="D25" i="2"/>
  <c r="J38" i="2"/>
  <c r="D22" i="2"/>
  <c r="D12" i="2"/>
  <c r="D33" i="2"/>
  <c r="D29" i="2"/>
  <c r="D14" i="2"/>
  <c r="D36" i="2"/>
  <c r="D31" i="2"/>
  <c r="D19" i="2"/>
  <c r="D27" i="2"/>
  <c r="D11" i="2"/>
  <c r="D32" i="2"/>
  <c r="D23" i="2"/>
  <c r="D35" i="2"/>
  <c r="D16" i="2"/>
  <c r="D10" i="2"/>
  <c r="D24" i="2"/>
  <c r="D15" i="2"/>
  <c r="J168" i="37"/>
  <c r="G182" i="37" s="1"/>
  <c r="R15" i="20"/>
  <c r="P15" i="19"/>
  <c r="R14" i="20"/>
  <c r="P14" i="19"/>
  <c r="R14" i="17"/>
  <c r="J167" i="37"/>
  <c r="R14" i="18"/>
  <c r="O14" i="18" s="1"/>
  <c r="P16" i="19"/>
  <c r="R16" i="20"/>
  <c r="J169" i="37"/>
  <c r="G184" i="37" s="1"/>
  <c r="R16" i="17"/>
  <c r="R16" i="18"/>
  <c r="O16" i="18" s="1"/>
  <c r="J164" i="37"/>
  <c r="R11" i="20"/>
  <c r="P11" i="19"/>
  <c r="R11" i="17"/>
  <c r="J165" i="37"/>
  <c r="P12" i="19"/>
  <c r="R12" i="17"/>
  <c r="R12" i="18"/>
  <c r="O12" i="18" s="1"/>
  <c r="R12" i="20"/>
  <c r="R9" i="17"/>
  <c r="P9" i="19"/>
  <c r="R9" i="18"/>
  <c r="O9" i="18" s="1"/>
  <c r="J162" i="37"/>
  <c r="R9" i="20"/>
  <c r="R17" i="20"/>
  <c r="R17" i="18"/>
  <c r="O17" i="18" s="1"/>
  <c r="P17" i="19"/>
  <c r="J170" i="37"/>
  <c r="R17" i="17"/>
  <c r="AT15" i="17"/>
  <c r="AR25" i="17"/>
  <c r="AR13" i="17"/>
  <c r="AS37" i="17"/>
  <c r="AS22" i="17"/>
  <c r="AT20" i="17"/>
  <c r="AT26" i="17"/>
  <c r="AR24" i="17"/>
  <c r="AS34" i="17"/>
  <c r="AR10" i="17"/>
  <c r="AR17" i="17"/>
  <c r="AT35" i="17"/>
  <c r="AT39" i="17"/>
  <c r="AR29" i="17"/>
  <c r="AS19" i="17"/>
  <c r="AS30" i="17"/>
  <c r="AR19" i="17"/>
  <c r="AT11" i="17"/>
  <c r="AR22" i="17"/>
  <c r="AS29" i="17"/>
  <c r="AT10" i="17"/>
  <c r="AR39" i="17"/>
  <c r="AR30" i="17"/>
  <c r="AR34" i="17"/>
  <c r="AT36" i="17"/>
  <c r="AS25" i="17"/>
  <c r="AT27" i="17"/>
  <c r="AR23" i="17"/>
  <c r="AS18" i="17"/>
  <c r="AT23" i="17"/>
  <c r="AS33" i="17"/>
  <c r="AS13" i="17"/>
  <c r="AR11" i="17"/>
  <c r="AR16" i="17"/>
  <c r="AR20" i="17"/>
  <c r="AR14" i="17"/>
  <c r="AS15" i="17"/>
  <c r="AS8" i="17"/>
  <c r="AT37" i="17"/>
  <c r="AS39" i="17"/>
  <c r="AR32" i="17"/>
  <c r="AS23" i="17"/>
  <c r="AT33" i="17"/>
  <c r="AS9" i="17"/>
  <c r="AR36" i="17"/>
  <c r="AR26" i="17"/>
  <c r="AT16" i="17"/>
  <c r="AS20" i="17"/>
  <c r="AT22" i="17"/>
  <c r="AS35" i="17"/>
  <c r="AS10" i="17"/>
  <c r="AR27" i="17"/>
  <c r="AR35" i="17"/>
  <c r="AS14" i="17"/>
  <c r="AS17" i="17"/>
  <c r="AT9" i="17"/>
  <c r="AT18" i="17"/>
  <c r="AT8" i="17"/>
  <c r="AR12" i="17"/>
  <c r="AR8" i="17"/>
  <c r="AR31" i="17"/>
  <c r="AT31" i="17"/>
  <c r="AT28" i="17"/>
  <c r="AR37" i="17"/>
  <c r="AR33" i="17"/>
  <c r="AS26" i="17"/>
  <c r="AT29" i="17"/>
  <c r="AT38" i="17"/>
  <c r="AT14" i="17"/>
  <c r="AS32" i="17"/>
  <c r="AS24" i="17"/>
  <c r="AT19" i="17"/>
  <c r="AS21" i="17"/>
  <c r="AT25" i="17"/>
  <c r="AR18" i="17"/>
  <c r="AS36" i="17"/>
  <c r="AS11" i="17"/>
  <c r="AR28" i="17"/>
  <c r="AS31" i="17"/>
  <c r="AT17" i="17"/>
  <c r="AS27" i="17"/>
  <c r="AR21" i="17"/>
  <c r="AT21" i="17"/>
  <c r="AS12" i="17"/>
  <c r="AS28" i="17"/>
  <c r="AS38" i="17"/>
  <c r="AR15" i="17"/>
  <c r="AT24" i="17"/>
  <c r="AS16" i="17"/>
  <c r="AT34" i="17"/>
  <c r="AR9" i="17"/>
  <c r="AT13" i="17"/>
  <c r="AT30" i="17"/>
  <c r="AT32" i="17"/>
  <c r="AT12" i="17"/>
  <c r="AR38" i="17"/>
  <c r="J163" i="37"/>
  <c r="R10" i="17"/>
  <c r="P10" i="19"/>
  <c r="R10" i="20"/>
  <c r="R10" i="18"/>
  <c r="O10" i="18" s="1"/>
  <c r="J166" i="37"/>
  <c r="R13" i="20"/>
  <c r="P13" i="19"/>
  <c r="R13" i="18"/>
  <c r="O13" i="18" s="1"/>
  <c r="R13" i="17"/>
  <c r="O29" i="26"/>
  <c r="O28" i="26"/>
  <c r="O24" i="26"/>
  <c r="AO62" i="2"/>
  <c r="AI63" i="2"/>
  <c r="AE62" i="2"/>
  <c r="V74" i="2"/>
  <c r="I46" i="2" a="1"/>
  <c r="M71" i="2" a="1"/>
  <c r="V71" i="2"/>
  <c r="U47" i="2" a="1"/>
  <c r="Q45" i="2" a="1"/>
  <c r="W44" i="2" a="1"/>
  <c r="M48" i="2" a="1"/>
  <c r="G48" i="2" a="1"/>
  <c r="S44" i="2" a="1"/>
  <c r="H44" i="2"/>
  <c r="G47" i="2" a="1"/>
  <c r="U44" i="2" a="1"/>
  <c r="AK62" i="2"/>
  <c r="T71" i="2"/>
  <c r="Q44" i="2" a="1"/>
  <c r="F71" i="2"/>
  <c r="G46" i="2" a="1"/>
  <c r="M44" i="2" a="1"/>
  <c r="G58" i="2" a="1"/>
  <c r="AM63" i="2"/>
  <c r="AI62" i="2"/>
  <c r="AA63" i="2"/>
  <c r="I47" i="2" a="1"/>
  <c r="K44" i="2" a="1"/>
  <c r="S47" i="2" a="1"/>
  <c r="K48" i="2" a="1"/>
  <c r="O48" i="2" a="1"/>
  <c r="V45" i="2"/>
  <c r="O44" i="2" a="1"/>
  <c r="R71" i="2"/>
  <c r="Y47" i="2" a="1"/>
  <c r="X44" i="2"/>
  <c r="M47" i="2" a="1"/>
  <c r="T75" i="2"/>
  <c r="M45" i="2" a="1"/>
  <c r="AO63" i="2"/>
  <c r="I45" i="2" a="1"/>
  <c r="S45" i="2" a="1"/>
  <c r="O47" i="2" a="1"/>
  <c r="K46" i="2" a="1"/>
  <c r="G45" i="2" a="1"/>
  <c r="N71" i="2"/>
  <c r="K47" i="2" a="1"/>
  <c r="AQ62" i="2"/>
  <c r="AM62" i="2"/>
  <c r="AG62" i="2"/>
  <c r="AA62" i="2"/>
  <c r="I48" i="2" a="1"/>
  <c r="F75" i="2"/>
  <c r="H71" i="2"/>
  <c r="O46" i="2" a="1"/>
  <c r="F44" i="2"/>
  <c r="O45" i="2" a="1"/>
  <c r="M46" i="2" a="1"/>
  <c r="P71" i="2"/>
  <c r="U45" i="2" a="1"/>
  <c r="X45" i="2"/>
  <c r="X71" i="2"/>
  <c r="W47" i="2" a="1"/>
  <c r="K45" i="2" a="1"/>
  <c r="AG63" i="2"/>
  <c r="J71" i="2"/>
  <c r="AT71" i="2" l="1"/>
  <c r="AT73" i="2" s="1"/>
  <c r="AQ70" i="2"/>
  <c r="E67" i="35" s="1"/>
  <c r="AH22" i="35" s="1"/>
  <c r="AP70" i="2"/>
  <c r="AO70" i="2"/>
  <c r="L51" i="35" s="1"/>
  <c r="AG22" i="35" s="1"/>
  <c r="AN70" i="2"/>
  <c r="AM70" i="2"/>
  <c r="K51" i="35" s="1"/>
  <c r="AF22" i="35" s="1"/>
  <c r="AL70" i="2"/>
  <c r="AK70" i="2"/>
  <c r="J51" i="35" s="1"/>
  <c r="AE22" i="35" s="1"/>
  <c r="AJ70" i="2"/>
  <c r="AI70" i="2"/>
  <c r="H51" i="35" s="1" a="1"/>
  <c r="H51" i="35" s="1"/>
  <c r="AD22" i="35" s="1"/>
  <c r="AH70" i="2"/>
  <c r="AG70" i="2"/>
  <c r="AF70" i="2"/>
  <c r="AE70" i="2"/>
  <c r="E51" i="35" s="1"/>
  <c r="AB22" i="35" s="1"/>
  <c r="AD70" i="2"/>
  <c r="AA70" i="2"/>
  <c r="K36" i="35" s="1"/>
  <c r="Z70" i="2"/>
  <c r="CO167" i="20"/>
  <c r="CO166" i="20"/>
  <c r="L36" i="35"/>
  <c r="AA22" i="35" s="1"/>
  <c r="DW109" i="19"/>
  <c r="DW111" i="19"/>
  <c r="DW113" i="19"/>
  <c r="DW115" i="19"/>
  <c r="DW117" i="19"/>
  <c r="DW119" i="19"/>
  <c r="DW121" i="19"/>
  <c r="DW123" i="19"/>
  <c r="DW9" i="19"/>
  <c r="DW11" i="19"/>
  <c r="DW13" i="19"/>
  <c r="DW15" i="19"/>
  <c r="DW17" i="19"/>
  <c r="DW19" i="19"/>
  <c r="DC99" i="19"/>
  <c r="DC101" i="19"/>
  <c r="DC103" i="19"/>
  <c r="DC105" i="19"/>
  <c r="DC107" i="19"/>
  <c r="DC88" i="19"/>
  <c r="DC90" i="19"/>
  <c r="DC92" i="19"/>
  <c r="DC9" i="19"/>
  <c r="DC11" i="19"/>
  <c r="DC13" i="19"/>
  <c r="DC15" i="19"/>
  <c r="DW126" i="19"/>
  <c r="DW21" i="19"/>
  <c r="DW23" i="19"/>
  <c r="DW25" i="19"/>
  <c r="DW27" i="19"/>
  <c r="DW29" i="19"/>
  <c r="DW31" i="19"/>
  <c r="DW33" i="19"/>
  <c r="DW35" i="19"/>
  <c r="DW37" i="19"/>
  <c r="DW39" i="19"/>
  <c r="DW41" i="19"/>
  <c r="DW43" i="19"/>
  <c r="DW45" i="19"/>
  <c r="DW47" i="19"/>
  <c r="DW49" i="19"/>
  <c r="DW51" i="19"/>
  <c r="DW53" i="19"/>
  <c r="DW55" i="19"/>
  <c r="DW57" i="19"/>
  <c r="DW59" i="19"/>
  <c r="DW61" i="19"/>
  <c r="DW63" i="19"/>
  <c r="DW65" i="19"/>
  <c r="DW67" i="19"/>
  <c r="DW69" i="19"/>
  <c r="DW71" i="19"/>
  <c r="DW73" i="19"/>
  <c r="DW75" i="19"/>
  <c r="DW77" i="19"/>
  <c r="DW79" i="19"/>
  <c r="DW81" i="19"/>
  <c r="DW83" i="19"/>
  <c r="DW85" i="19"/>
  <c r="DW87" i="19"/>
  <c r="DW89" i="19"/>
  <c r="DW91" i="19"/>
  <c r="DW93" i="19"/>
  <c r="DW95" i="19"/>
  <c r="DW97" i="19"/>
  <c r="DW99" i="19"/>
  <c r="DW101" i="19"/>
  <c r="DW103" i="19"/>
  <c r="DW105" i="19"/>
  <c r="DW107" i="19"/>
  <c r="DC108" i="19"/>
  <c r="DC110" i="19"/>
  <c r="DC112" i="19"/>
  <c r="DC114" i="19"/>
  <c r="DC116" i="19"/>
  <c r="DC118" i="19"/>
  <c r="DC120" i="19"/>
  <c r="DC122" i="19"/>
  <c r="DC124" i="19"/>
  <c r="DC126" i="19"/>
  <c r="DC94" i="19"/>
  <c r="DC96" i="19"/>
  <c r="DC20" i="19"/>
  <c r="DC22" i="19"/>
  <c r="DC24" i="19"/>
  <c r="DC26" i="19"/>
  <c r="DC28" i="19"/>
  <c r="DC30" i="19"/>
  <c r="DC32" i="19"/>
  <c r="DC34" i="19"/>
  <c r="DC36" i="19"/>
  <c r="DC38" i="19"/>
  <c r="DC40" i="19"/>
  <c r="DC42" i="19"/>
  <c r="DC44" i="19"/>
  <c r="DC46" i="19"/>
  <c r="DC48" i="19"/>
  <c r="DC50" i="19"/>
  <c r="DC52" i="19"/>
  <c r="DC54" i="19"/>
  <c r="DC56" i="19"/>
  <c r="DC58" i="19"/>
  <c r="DC60" i="19"/>
  <c r="DC62" i="19"/>
  <c r="DC64" i="19"/>
  <c r="DC66" i="19"/>
  <c r="DC68" i="19"/>
  <c r="DC70" i="19"/>
  <c r="DC72" i="19"/>
  <c r="DC74" i="19"/>
  <c r="DC76" i="19"/>
  <c r="DC78" i="19"/>
  <c r="DC80" i="19"/>
  <c r="DC82" i="19"/>
  <c r="DC84" i="19"/>
  <c r="DC86" i="19"/>
  <c r="DW108" i="19"/>
  <c r="DW110" i="19"/>
  <c r="DW112" i="19"/>
  <c r="DW114" i="19"/>
  <c r="DW116" i="19"/>
  <c r="DW118" i="19"/>
  <c r="DW120" i="19"/>
  <c r="DW122" i="19"/>
  <c r="DW124" i="19"/>
  <c r="DW10" i="19"/>
  <c r="DW12" i="19"/>
  <c r="DW14" i="19"/>
  <c r="DW16" i="19"/>
  <c r="DW18" i="19"/>
  <c r="DW20" i="19"/>
  <c r="DC98" i="19"/>
  <c r="DC100" i="19"/>
  <c r="DC102" i="19"/>
  <c r="DC104" i="19"/>
  <c r="DC106" i="19"/>
  <c r="DC89" i="19"/>
  <c r="DC91" i="19"/>
  <c r="DC93" i="19"/>
  <c r="DC10" i="19"/>
  <c r="DC12" i="19"/>
  <c r="DC14" i="19"/>
  <c r="DC16" i="19"/>
  <c r="DC18" i="19"/>
  <c r="DC19" i="19"/>
  <c r="DW125" i="19"/>
  <c r="DW127" i="19"/>
  <c r="DW22" i="19"/>
  <c r="DW24" i="19"/>
  <c r="DW26" i="19"/>
  <c r="DW28" i="19"/>
  <c r="DW30" i="19"/>
  <c r="DW32" i="19"/>
  <c r="DW34" i="19"/>
  <c r="DW36" i="19"/>
  <c r="DW38" i="19"/>
  <c r="DW40" i="19"/>
  <c r="DW42" i="19"/>
  <c r="DW44" i="19"/>
  <c r="DW46" i="19"/>
  <c r="DW48" i="19"/>
  <c r="DW50" i="19"/>
  <c r="DW52" i="19"/>
  <c r="DW54" i="19"/>
  <c r="DW56" i="19"/>
  <c r="DW58" i="19"/>
  <c r="DW60" i="19"/>
  <c r="DW62" i="19"/>
  <c r="DW64" i="19"/>
  <c r="DW66" i="19"/>
  <c r="DW68" i="19"/>
  <c r="DW70" i="19"/>
  <c r="DW72" i="19"/>
  <c r="DW74" i="19"/>
  <c r="DW76" i="19"/>
  <c r="DW78" i="19"/>
  <c r="DW80" i="19"/>
  <c r="DW82" i="19"/>
  <c r="DW84" i="19"/>
  <c r="DW86" i="19"/>
  <c r="DW88" i="19"/>
  <c r="DW90" i="19"/>
  <c r="DW92" i="19"/>
  <c r="DW94" i="19"/>
  <c r="DW96" i="19"/>
  <c r="DW98" i="19"/>
  <c r="DW100" i="19"/>
  <c r="DW102" i="19"/>
  <c r="DW104" i="19"/>
  <c r="DW106" i="19"/>
  <c r="DC109" i="19"/>
  <c r="DC111" i="19"/>
  <c r="DC113" i="19"/>
  <c r="DC115" i="19"/>
  <c r="DC117" i="19"/>
  <c r="DC119" i="19"/>
  <c r="DC121" i="19"/>
  <c r="DC123" i="19"/>
  <c r="DC125" i="19"/>
  <c r="DC127" i="19"/>
  <c r="DC95" i="19"/>
  <c r="DC97" i="19"/>
  <c r="DC21" i="19"/>
  <c r="DC23" i="19"/>
  <c r="DC25" i="19"/>
  <c r="DC27" i="19"/>
  <c r="DC29" i="19"/>
  <c r="DC31" i="19"/>
  <c r="DC33" i="19"/>
  <c r="DC35" i="19"/>
  <c r="DC37" i="19"/>
  <c r="DC39" i="19"/>
  <c r="DC41" i="19"/>
  <c r="DC43" i="19"/>
  <c r="DC45" i="19"/>
  <c r="DC47" i="19"/>
  <c r="DC49" i="19"/>
  <c r="DC51" i="19"/>
  <c r="DC53" i="19"/>
  <c r="DC55" i="19"/>
  <c r="DC57" i="19"/>
  <c r="DC59" i="19"/>
  <c r="DC61" i="19"/>
  <c r="DC63" i="19"/>
  <c r="DC65" i="19"/>
  <c r="DC67" i="19"/>
  <c r="DC69" i="19"/>
  <c r="DC71" i="19"/>
  <c r="DC73" i="19"/>
  <c r="DC75" i="19"/>
  <c r="DC77" i="19"/>
  <c r="DC79" i="19"/>
  <c r="DC81" i="19"/>
  <c r="DC83" i="19"/>
  <c r="DC85" i="19"/>
  <c r="DC87" i="19"/>
  <c r="DC17" i="19"/>
  <c r="CI120" i="19"/>
  <c r="CI122" i="19"/>
  <c r="CI124" i="19"/>
  <c r="CI126" i="19"/>
  <c r="CI81" i="19"/>
  <c r="CI83" i="19"/>
  <c r="CI85" i="19"/>
  <c r="CI87" i="19"/>
  <c r="CI89" i="19"/>
  <c r="CI91" i="19"/>
  <c r="CI93" i="19"/>
  <c r="CI95" i="19"/>
  <c r="CI97" i="19"/>
  <c r="CI99" i="19"/>
  <c r="CI101" i="19"/>
  <c r="CI103" i="19"/>
  <c r="CI105" i="19"/>
  <c r="CI107" i="19"/>
  <c r="CI109" i="19"/>
  <c r="CI111" i="19"/>
  <c r="CI113" i="19"/>
  <c r="CI115" i="19"/>
  <c r="CI117" i="19"/>
  <c r="CI55" i="19"/>
  <c r="CI57" i="19"/>
  <c r="CI59" i="19"/>
  <c r="CI61" i="19"/>
  <c r="CI63" i="19"/>
  <c r="CI65" i="19"/>
  <c r="CI67" i="19"/>
  <c r="CI69" i="19"/>
  <c r="CI71" i="19"/>
  <c r="CI73" i="19"/>
  <c r="CI75" i="19"/>
  <c r="CI77" i="19"/>
  <c r="CI79" i="19"/>
  <c r="CI9" i="19"/>
  <c r="CI11" i="19"/>
  <c r="CI13" i="19"/>
  <c r="CI15" i="19"/>
  <c r="CI17" i="19"/>
  <c r="CI19" i="19"/>
  <c r="CI21" i="19"/>
  <c r="CI23" i="19"/>
  <c r="CI25" i="19"/>
  <c r="CI27" i="19"/>
  <c r="CI29" i="19"/>
  <c r="CI31" i="19"/>
  <c r="CI33" i="19"/>
  <c r="CI35" i="19"/>
  <c r="CI37" i="19"/>
  <c r="CI39" i="19"/>
  <c r="CI41" i="19"/>
  <c r="CI43" i="19"/>
  <c r="CI45" i="19"/>
  <c r="CI47" i="19"/>
  <c r="CI49" i="19"/>
  <c r="CI51" i="19"/>
  <c r="CI53" i="19"/>
  <c r="BO121" i="19"/>
  <c r="BO123" i="19"/>
  <c r="BO125" i="19"/>
  <c r="BO127" i="19"/>
  <c r="BO106" i="19"/>
  <c r="BO108" i="19"/>
  <c r="BO110" i="19"/>
  <c r="BO112" i="19"/>
  <c r="BO114" i="19"/>
  <c r="BO116" i="19"/>
  <c r="BO118" i="19"/>
  <c r="BO96" i="19"/>
  <c r="BO98" i="19"/>
  <c r="BO100" i="19"/>
  <c r="BO102" i="19"/>
  <c r="BO104" i="19"/>
  <c r="BO86" i="19"/>
  <c r="BO88" i="19"/>
  <c r="BO90" i="19"/>
  <c r="BO92" i="19"/>
  <c r="BO94" i="19"/>
  <c r="BO9" i="19"/>
  <c r="BO11" i="19"/>
  <c r="BO13" i="19"/>
  <c r="BO15" i="19"/>
  <c r="BO17" i="19"/>
  <c r="BO19" i="19"/>
  <c r="BO21" i="19"/>
  <c r="BO23" i="19"/>
  <c r="BO25" i="19"/>
  <c r="BO27" i="19"/>
  <c r="BO29" i="19"/>
  <c r="BO31" i="19"/>
  <c r="BO33" i="19"/>
  <c r="BO35" i="19"/>
  <c r="BO37" i="19"/>
  <c r="BO39" i="19"/>
  <c r="BO41" i="19"/>
  <c r="BO43" i="19"/>
  <c r="BO45" i="19"/>
  <c r="BO47" i="19"/>
  <c r="BO49" i="19"/>
  <c r="BO51" i="19"/>
  <c r="BO53" i="19"/>
  <c r="BO55" i="19"/>
  <c r="BO57" i="19"/>
  <c r="BO59" i="19"/>
  <c r="BO61" i="19"/>
  <c r="BO63" i="19"/>
  <c r="BO65" i="19"/>
  <c r="BO67" i="19"/>
  <c r="BO69" i="19"/>
  <c r="BO71" i="19"/>
  <c r="BO73" i="19"/>
  <c r="BO75" i="19"/>
  <c r="BO77" i="19"/>
  <c r="BO79" i="19"/>
  <c r="BO81" i="19"/>
  <c r="BO83" i="19"/>
  <c r="CI119" i="19"/>
  <c r="CI121" i="19"/>
  <c r="CI123" i="19"/>
  <c r="CI125" i="19"/>
  <c r="CI127" i="19"/>
  <c r="CI82" i="19"/>
  <c r="CI84" i="19"/>
  <c r="CI86" i="19"/>
  <c r="CI88" i="19"/>
  <c r="CI90" i="19"/>
  <c r="CI92" i="19"/>
  <c r="CI94" i="19"/>
  <c r="CI96" i="19"/>
  <c r="CI98" i="19"/>
  <c r="CI100" i="19"/>
  <c r="CI102" i="19"/>
  <c r="CI104" i="19"/>
  <c r="CI106" i="19"/>
  <c r="CI108" i="19"/>
  <c r="CI110" i="19"/>
  <c r="CI112" i="19"/>
  <c r="CI114" i="19"/>
  <c r="CI116" i="19"/>
  <c r="CI118" i="19"/>
  <c r="CI56" i="19"/>
  <c r="CI58" i="19"/>
  <c r="CI60" i="19"/>
  <c r="CI62" i="19"/>
  <c r="CI64" i="19"/>
  <c r="CI66" i="19"/>
  <c r="CI68" i="19"/>
  <c r="CI70" i="19"/>
  <c r="CI72" i="19"/>
  <c r="CI74" i="19"/>
  <c r="CI76" i="19"/>
  <c r="CI78" i="19"/>
  <c r="CI80" i="19"/>
  <c r="CI10" i="19"/>
  <c r="CI12" i="19"/>
  <c r="CI14" i="19"/>
  <c r="CI16" i="19"/>
  <c r="CI18" i="19"/>
  <c r="CI20" i="19"/>
  <c r="CI22" i="19"/>
  <c r="CI24" i="19"/>
  <c r="CI26" i="19"/>
  <c r="CI28" i="19"/>
  <c r="CI30" i="19"/>
  <c r="CI32" i="19"/>
  <c r="CI34" i="19"/>
  <c r="CI36" i="19"/>
  <c r="CI38" i="19"/>
  <c r="CI40" i="19"/>
  <c r="CI42" i="19"/>
  <c r="CI44" i="19"/>
  <c r="CI46" i="19"/>
  <c r="CI48" i="19"/>
  <c r="CI50" i="19"/>
  <c r="CI52" i="19"/>
  <c r="CI54" i="19"/>
  <c r="BO120" i="19"/>
  <c r="BO122" i="19"/>
  <c r="BO124" i="19"/>
  <c r="BO126" i="19"/>
  <c r="BO105" i="19"/>
  <c r="BO107" i="19"/>
  <c r="BO109" i="19"/>
  <c r="BO111" i="19"/>
  <c r="BO113" i="19"/>
  <c r="BO115" i="19"/>
  <c r="BO117" i="19"/>
  <c r="BO119" i="19"/>
  <c r="BO97" i="19"/>
  <c r="BO99" i="19"/>
  <c r="BO101" i="19"/>
  <c r="BO103" i="19"/>
  <c r="BO85" i="19"/>
  <c r="BO87" i="19"/>
  <c r="BO89" i="19"/>
  <c r="BO91" i="19"/>
  <c r="BO93" i="19"/>
  <c r="BO95" i="19"/>
  <c r="BO10" i="19"/>
  <c r="BO12" i="19"/>
  <c r="BO14" i="19"/>
  <c r="BO16" i="19"/>
  <c r="BO18" i="19"/>
  <c r="BO20" i="19"/>
  <c r="BO22" i="19"/>
  <c r="BO24" i="19"/>
  <c r="BO26" i="19"/>
  <c r="BO28" i="19"/>
  <c r="BO30" i="19"/>
  <c r="BO32" i="19"/>
  <c r="BO34" i="19"/>
  <c r="BO36" i="19"/>
  <c r="BO38" i="19"/>
  <c r="BO40" i="19"/>
  <c r="BO42" i="19"/>
  <c r="BO44" i="19"/>
  <c r="BO46" i="19"/>
  <c r="BO48" i="19"/>
  <c r="BO50" i="19"/>
  <c r="BO52" i="19"/>
  <c r="BO54" i="19"/>
  <c r="BO56" i="19"/>
  <c r="BO58" i="19"/>
  <c r="BO60" i="19"/>
  <c r="BO62" i="19"/>
  <c r="BO64" i="19"/>
  <c r="BO66" i="19"/>
  <c r="BO68" i="19"/>
  <c r="BO70" i="19"/>
  <c r="BO72" i="19"/>
  <c r="BO74" i="19"/>
  <c r="BO78" i="19"/>
  <c r="BO82" i="19"/>
  <c r="AU88" i="19"/>
  <c r="AU25" i="19"/>
  <c r="AU27" i="19"/>
  <c r="AU29" i="19"/>
  <c r="AU31" i="19"/>
  <c r="AU41" i="19"/>
  <c r="AU43" i="19"/>
  <c r="AU45" i="19"/>
  <c r="AU53" i="19"/>
  <c r="AU63" i="19"/>
  <c r="AU65" i="19"/>
  <c r="AU79" i="19"/>
  <c r="AU90" i="19"/>
  <c r="AU108" i="19"/>
  <c r="AU110" i="19"/>
  <c r="AU15" i="19"/>
  <c r="AU24" i="19"/>
  <c r="AU26" i="19"/>
  <c r="AU28" i="19"/>
  <c r="AU30" i="19"/>
  <c r="AU32" i="19"/>
  <c r="AU34" i="19"/>
  <c r="AU36" i="19"/>
  <c r="AU38" i="19"/>
  <c r="AU40" i="19"/>
  <c r="AU42" i="19"/>
  <c r="AU44" i="19"/>
  <c r="AU46" i="19"/>
  <c r="AU48" i="19"/>
  <c r="AU50" i="19"/>
  <c r="AU52" i="19"/>
  <c r="AU54" i="19"/>
  <c r="AU56" i="19"/>
  <c r="AU58" i="19"/>
  <c r="AU60" i="19"/>
  <c r="AU62" i="19"/>
  <c r="AU64" i="19"/>
  <c r="AU66" i="19"/>
  <c r="AU68" i="19"/>
  <c r="AU70" i="19"/>
  <c r="AU72" i="19"/>
  <c r="AU74" i="19"/>
  <c r="AU76" i="19"/>
  <c r="AU78" i="19"/>
  <c r="AU80" i="19"/>
  <c r="AU82" i="19"/>
  <c r="AU84" i="19"/>
  <c r="AU86" i="19"/>
  <c r="AU89" i="19"/>
  <c r="AU91" i="19"/>
  <c r="AU93" i="19"/>
  <c r="AU95" i="19"/>
  <c r="AU97" i="19"/>
  <c r="AU99" i="19"/>
  <c r="AU101" i="19"/>
  <c r="AU103" i="19"/>
  <c r="AU105" i="19"/>
  <c r="AU107" i="19"/>
  <c r="AU109" i="19"/>
  <c r="AU111" i="19"/>
  <c r="AU113" i="19"/>
  <c r="AU115" i="19"/>
  <c r="AU117" i="19"/>
  <c r="AU119" i="19"/>
  <c r="AU121" i="19"/>
  <c r="AU123" i="19"/>
  <c r="AU125" i="19"/>
  <c r="AU127" i="19"/>
  <c r="AU10" i="19"/>
  <c r="AU12" i="19"/>
  <c r="AU14" i="19"/>
  <c r="AU16" i="19"/>
  <c r="AU18" i="19"/>
  <c r="AU20" i="19"/>
  <c r="AU22" i="19"/>
  <c r="AU33" i="19"/>
  <c r="AU35" i="19"/>
  <c r="AU49" i="19"/>
  <c r="AU51" i="19"/>
  <c r="AU55" i="19"/>
  <c r="AU57" i="19"/>
  <c r="AU69" i="19"/>
  <c r="AU71" i="19"/>
  <c r="AU73" i="19"/>
  <c r="AU75" i="19"/>
  <c r="AU81" i="19"/>
  <c r="AU83" i="19"/>
  <c r="AU92" i="19"/>
  <c r="AU94" i="19"/>
  <c r="AU96" i="19"/>
  <c r="AU98" i="19"/>
  <c r="AU100" i="19"/>
  <c r="AU102" i="19"/>
  <c r="AU112" i="19"/>
  <c r="AU114" i="19"/>
  <c r="AU116" i="19"/>
  <c r="AU118" i="19"/>
  <c r="AU120" i="19"/>
  <c r="AU122" i="19"/>
  <c r="AU9" i="19"/>
  <c r="AU11" i="19"/>
  <c r="AU17" i="19"/>
  <c r="BO76" i="19"/>
  <c r="BO80" i="19"/>
  <c r="BO84" i="19"/>
  <c r="AU23" i="19"/>
  <c r="AU37" i="19"/>
  <c r="AU39" i="19"/>
  <c r="AU47" i="19"/>
  <c r="AU59" i="19"/>
  <c r="AU61" i="19"/>
  <c r="AU67" i="19"/>
  <c r="AU77" i="19"/>
  <c r="AU85" i="19"/>
  <c r="AU87" i="19"/>
  <c r="AU104" i="19"/>
  <c r="AU106" i="19"/>
  <c r="AU124" i="19"/>
  <c r="AU126" i="19"/>
  <c r="AU13" i="19"/>
  <c r="AU19" i="19"/>
  <c r="AU21" i="19"/>
  <c r="AO166" i="20"/>
  <c r="AS166" i="20"/>
  <c r="AO167" i="20"/>
  <c r="AS167" i="20"/>
  <c r="AO21" i="20"/>
  <c r="AS21" i="20"/>
  <c r="AO22" i="20"/>
  <c r="AS22" i="20"/>
  <c r="AO23" i="20"/>
  <c r="AS23" i="20"/>
  <c r="AO24" i="20"/>
  <c r="AS24" i="20"/>
  <c r="AO25" i="20"/>
  <c r="AS25" i="20"/>
  <c r="AO26" i="20"/>
  <c r="AS26" i="20"/>
  <c r="AO27" i="20"/>
  <c r="AS27" i="20"/>
  <c r="AO28" i="20"/>
  <c r="AS28" i="20"/>
  <c r="AO29" i="20"/>
  <c r="AS29" i="20"/>
  <c r="AO30" i="20"/>
  <c r="AS30" i="20"/>
  <c r="AO31" i="20"/>
  <c r="AS31" i="20"/>
  <c r="AO32" i="20"/>
  <c r="AS32" i="20"/>
  <c r="AO33" i="20"/>
  <c r="AS33" i="20"/>
  <c r="AO34" i="20"/>
  <c r="AS34" i="20"/>
  <c r="AO35" i="20"/>
  <c r="AS35" i="20"/>
  <c r="AO36" i="20"/>
  <c r="AS36" i="20"/>
  <c r="AO37" i="20"/>
  <c r="AS37" i="20"/>
  <c r="AO38" i="20"/>
  <c r="AS38" i="20"/>
  <c r="AO39" i="20"/>
  <c r="AS39" i="20"/>
  <c r="AO40" i="20"/>
  <c r="AS40" i="20"/>
  <c r="AO41" i="20"/>
  <c r="AS41" i="20"/>
  <c r="AO42" i="20"/>
  <c r="AS42" i="20"/>
  <c r="AO43" i="20"/>
  <c r="AS43" i="20"/>
  <c r="AO44" i="20"/>
  <c r="AS44" i="20"/>
  <c r="AO45" i="20"/>
  <c r="AS45" i="20"/>
  <c r="AO46" i="20"/>
  <c r="AS46" i="20"/>
  <c r="AO47" i="20"/>
  <c r="AS47" i="20"/>
  <c r="AO48" i="20"/>
  <c r="AS48" i="20"/>
  <c r="AO49" i="20"/>
  <c r="AS49" i="20"/>
  <c r="AO50" i="20"/>
  <c r="AS50" i="20"/>
  <c r="AO51" i="20"/>
  <c r="AS51" i="20"/>
  <c r="AO52" i="20"/>
  <c r="AS52" i="20"/>
  <c r="AO53" i="20"/>
  <c r="AS53" i="20"/>
  <c r="AO54" i="20"/>
  <c r="AS54" i="20"/>
  <c r="AO55" i="20"/>
  <c r="AS55" i="20"/>
  <c r="AO56" i="20"/>
  <c r="AS56" i="20"/>
  <c r="AO57" i="20"/>
  <c r="AS57" i="20"/>
  <c r="AO58" i="20"/>
  <c r="AS58" i="20"/>
  <c r="AO59" i="20"/>
  <c r="AS59" i="20"/>
  <c r="AO60" i="20"/>
  <c r="AS60" i="20"/>
  <c r="AP166" i="20"/>
  <c r="AT166" i="20"/>
  <c r="AP167" i="20"/>
  <c r="AT167" i="20"/>
  <c r="AP21" i="20"/>
  <c r="AT21" i="20"/>
  <c r="AP22" i="20"/>
  <c r="AT22" i="20"/>
  <c r="AP23" i="20"/>
  <c r="AT23" i="20"/>
  <c r="AP24" i="20"/>
  <c r="AT24" i="20"/>
  <c r="AP25" i="20"/>
  <c r="AT25" i="20"/>
  <c r="AP26" i="20"/>
  <c r="AT26" i="20"/>
  <c r="AP27" i="20"/>
  <c r="AT27" i="20"/>
  <c r="AP28" i="20"/>
  <c r="AT28" i="20"/>
  <c r="AP29" i="20"/>
  <c r="AT29" i="20"/>
  <c r="AP30" i="20"/>
  <c r="AT30" i="20"/>
  <c r="AP31" i="20"/>
  <c r="AT31" i="20"/>
  <c r="AP32" i="20"/>
  <c r="AT32" i="20"/>
  <c r="AP33" i="20"/>
  <c r="AT33" i="20"/>
  <c r="AP34" i="20"/>
  <c r="AT34" i="20"/>
  <c r="AP35" i="20"/>
  <c r="AT35" i="20"/>
  <c r="AP36" i="20"/>
  <c r="AT36" i="20"/>
  <c r="AP37" i="20"/>
  <c r="AT37" i="20"/>
  <c r="AP38" i="20"/>
  <c r="AT38" i="20"/>
  <c r="AP39" i="20"/>
  <c r="AT39" i="20"/>
  <c r="AP40" i="20"/>
  <c r="AT40" i="20"/>
  <c r="AP41" i="20"/>
  <c r="AT41" i="20"/>
  <c r="AP42" i="20"/>
  <c r="AT42" i="20"/>
  <c r="AP43" i="20"/>
  <c r="AT43" i="20"/>
  <c r="AP44" i="20"/>
  <c r="AT44" i="20"/>
  <c r="AP45" i="20"/>
  <c r="AT45" i="20"/>
  <c r="AP46" i="20"/>
  <c r="AT46" i="20"/>
  <c r="AP47" i="20"/>
  <c r="AT47" i="20"/>
  <c r="AP48" i="20"/>
  <c r="AT48" i="20"/>
  <c r="AP49" i="20"/>
  <c r="AT49" i="20"/>
  <c r="AP50" i="20"/>
  <c r="AT50" i="20"/>
  <c r="AP51" i="20"/>
  <c r="AT51" i="20"/>
  <c r="AP52" i="20"/>
  <c r="AT52" i="20"/>
  <c r="AP53" i="20"/>
  <c r="AT53" i="20"/>
  <c r="AP54" i="20"/>
  <c r="AT54" i="20"/>
  <c r="AP55" i="20"/>
  <c r="AT55" i="20"/>
  <c r="AP56" i="20"/>
  <c r="AT56" i="20"/>
  <c r="AP57" i="20"/>
  <c r="AT57" i="20"/>
  <c r="AP58" i="20"/>
  <c r="AT58" i="20"/>
  <c r="AP59" i="20"/>
  <c r="AT59" i="20"/>
  <c r="AP60" i="20"/>
  <c r="AT60" i="20"/>
  <c r="AP61" i="20"/>
  <c r="AT61" i="20"/>
  <c r="AP62" i="20"/>
  <c r="AT62" i="20"/>
  <c r="AP63" i="20"/>
  <c r="AT63" i="20"/>
  <c r="AP64" i="20"/>
  <c r="AT64" i="20"/>
  <c r="AP65" i="20"/>
  <c r="AT65" i="20"/>
  <c r="AP66" i="20"/>
  <c r="AT66" i="20"/>
  <c r="AP67" i="20"/>
  <c r="AT67" i="20"/>
  <c r="AP68" i="20"/>
  <c r="AT68" i="20"/>
  <c r="AP69" i="20"/>
  <c r="AT69" i="20"/>
  <c r="AP70" i="20"/>
  <c r="AT70" i="20"/>
  <c r="AP71" i="20"/>
  <c r="AT71" i="20"/>
  <c r="AP72" i="20"/>
  <c r="AT72" i="20"/>
  <c r="AM166" i="20"/>
  <c r="AQ166" i="20"/>
  <c r="AM167" i="20"/>
  <c r="AQ167" i="20"/>
  <c r="AM21" i="20"/>
  <c r="AQ21" i="20"/>
  <c r="AM22" i="20"/>
  <c r="AN166" i="20"/>
  <c r="AN167" i="20"/>
  <c r="AN21" i="20"/>
  <c r="AN22" i="20"/>
  <c r="AN23" i="20"/>
  <c r="AN24" i="20"/>
  <c r="AN25" i="20"/>
  <c r="AN26" i="20"/>
  <c r="AN27" i="20"/>
  <c r="AN28" i="20"/>
  <c r="AN29" i="20"/>
  <c r="AN30" i="20"/>
  <c r="AN31" i="20"/>
  <c r="AN32" i="20"/>
  <c r="AN33" i="20"/>
  <c r="AN34" i="20"/>
  <c r="AN35" i="20"/>
  <c r="AN36" i="20"/>
  <c r="AN37" i="20"/>
  <c r="AN38" i="20"/>
  <c r="AN39" i="20"/>
  <c r="AN40" i="20"/>
  <c r="AN41" i="20"/>
  <c r="AN42" i="20"/>
  <c r="AN43" i="20"/>
  <c r="AN44" i="20"/>
  <c r="AN45" i="20"/>
  <c r="AN46" i="20"/>
  <c r="AN47" i="20"/>
  <c r="AN48" i="20"/>
  <c r="AN49" i="20"/>
  <c r="AN50" i="20"/>
  <c r="AN51" i="20"/>
  <c r="AN52" i="20"/>
  <c r="AN53" i="20"/>
  <c r="AN54" i="20"/>
  <c r="AN55" i="20"/>
  <c r="AN56" i="20"/>
  <c r="AN57" i="20"/>
  <c r="AN58" i="20"/>
  <c r="AN59" i="20"/>
  <c r="AN60" i="20"/>
  <c r="AM61" i="20"/>
  <c r="AR61" i="20"/>
  <c r="AM62" i="20"/>
  <c r="AR62" i="20"/>
  <c r="AM63" i="20"/>
  <c r="AR63" i="20"/>
  <c r="AM64" i="20"/>
  <c r="AR64" i="20"/>
  <c r="AM65" i="20"/>
  <c r="AR65" i="20"/>
  <c r="AM66" i="20"/>
  <c r="AR66" i="20"/>
  <c r="AM67" i="20"/>
  <c r="AR67" i="20"/>
  <c r="AM68" i="20"/>
  <c r="AR68" i="20"/>
  <c r="AM69" i="20"/>
  <c r="AR69" i="20"/>
  <c r="AM70" i="20"/>
  <c r="AR70" i="20"/>
  <c r="AM71" i="20"/>
  <c r="AR71" i="20"/>
  <c r="AM72" i="20"/>
  <c r="AR72" i="20"/>
  <c r="AO73" i="20"/>
  <c r="AS73" i="20"/>
  <c r="AO74" i="20"/>
  <c r="AS74" i="20"/>
  <c r="AO75" i="20"/>
  <c r="AS75" i="20"/>
  <c r="AO76" i="20"/>
  <c r="AS76" i="20"/>
  <c r="AO77" i="20"/>
  <c r="AS77" i="20"/>
  <c r="AO78" i="20"/>
  <c r="AS78" i="20"/>
  <c r="AO79" i="20"/>
  <c r="AS79" i="20"/>
  <c r="AO80" i="20"/>
  <c r="AS80" i="20"/>
  <c r="AO81" i="20"/>
  <c r="AS81" i="20"/>
  <c r="AO82" i="20"/>
  <c r="AS82" i="20"/>
  <c r="AO83" i="20"/>
  <c r="AS83" i="20"/>
  <c r="AO84" i="20"/>
  <c r="AS84" i="20"/>
  <c r="AO85" i="20"/>
  <c r="AS85" i="20"/>
  <c r="AO86" i="20"/>
  <c r="AS86" i="20"/>
  <c r="AO87" i="20"/>
  <c r="AS87" i="20"/>
  <c r="AO88" i="20"/>
  <c r="AS88" i="20"/>
  <c r="AO89" i="20"/>
  <c r="AS89" i="20"/>
  <c r="AO90" i="20"/>
  <c r="AS90" i="20"/>
  <c r="AO91" i="20"/>
  <c r="AS91" i="20"/>
  <c r="AO92" i="20"/>
  <c r="AS92" i="20"/>
  <c r="AO93" i="20"/>
  <c r="AS93" i="20"/>
  <c r="AO94" i="20"/>
  <c r="AS94" i="20"/>
  <c r="AO95" i="20"/>
  <c r="AS95" i="20"/>
  <c r="AO96" i="20"/>
  <c r="AS96" i="20"/>
  <c r="AO97" i="20"/>
  <c r="AS97" i="20"/>
  <c r="AO98" i="20"/>
  <c r="AS98" i="20"/>
  <c r="AO99" i="20"/>
  <c r="AS99" i="20"/>
  <c r="AO100" i="20"/>
  <c r="AS100" i="20"/>
  <c r="AO101" i="20"/>
  <c r="AS101" i="20"/>
  <c r="AO102" i="20"/>
  <c r="AS102" i="20"/>
  <c r="AO103" i="20"/>
  <c r="AS103" i="20"/>
  <c r="AO104" i="20"/>
  <c r="AS104" i="20"/>
  <c r="AO105" i="20"/>
  <c r="AS105" i="20"/>
  <c r="AO106" i="20"/>
  <c r="AS106" i="20"/>
  <c r="AO107" i="20"/>
  <c r="AS107" i="20"/>
  <c r="AO108" i="20"/>
  <c r="AS108" i="20"/>
  <c r="AO109" i="20"/>
  <c r="AS109" i="20"/>
  <c r="AO110" i="20"/>
  <c r="AS110" i="20"/>
  <c r="AO111" i="20"/>
  <c r="AS111" i="20"/>
  <c r="AO112" i="20"/>
  <c r="AS112" i="20"/>
  <c r="AO113" i="20"/>
  <c r="AS113" i="20"/>
  <c r="AO114" i="20"/>
  <c r="AS114" i="20"/>
  <c r="AO115" i="20"/>
  <c r="AS115" i="20"/>
  <c r="AO116" i="20"/>
  <c r="AS116" i="20"/>
  <c r="AO117" i="20"/>
  <c r="AS117" i="20"/>
  <c r="AO118" i="20"/>
  <c r="AS118" i="20"/>
  <c r="AO119" i="20"/>
  <c r="AS119" i="20"/>
  <c r="AO120" i="20"/>
  <c r="AS120" i="20"/>
  <c r="AO121" i="20"/>
  <c r="AS121" i="20"/>
  <c r="AO122" i="20"/>
  <c r="AS122" i="20"/>
  <c r="AO123" i="20"/>
  <c r="AS123" i="20"/>
  <c r="AO124" i="20"/>
  <c r="AS124" i="20"/>
  <c r="AO125" i="20"/>
  <c r="AS125" i="20"/>
  <c r="AO126" i="20"/>
  <c r="AS126" i="20"/>
  <c r="AO127" i="20"/>
  <c r="AS127" i="20"/>
  <c r="AO128" i="20"/>
  <c r="AS128" i="20"/>
  <c r="AO129" i="20"/>
  <c r="AS129" i="20"/>
  <c r="AO130" i="20"/>
  <c r="AS130" i="20"/>
  <c r="AO131" i="20"/>
  <c r="AS131" i="20"/>
  <c r="AO132" i="20"/>
  <c r="AS132" i="20"/>
  <c r="AO133" i="20"/>
  <c r="AS133" i="20"/>
  <c r="AO134" i="20"/>
  <c r="AS134" i="20"/>
  <c r="AO135" i="20"/>
  <c r="AS135" i="20"/>
  <c r="AO136" i="20"/>
  <c r="AS136" i="20"/>
  <c r="AO137" i="20"/>
  <c r="AS137" i="20"/>
  <c r="AO138" i="20"/>
  <c r="AS138" i="20"/>
  <c r="AO139" i="20"/>
  <c r="AS139" i="20"/>
  <c r="AO140" i="20"/>
  <c r="AS140" i="20"/>
  <c r="AO141" i="20"/>
  <c r="AS141" i="20"/>
  <c r="AO142" i="20"/>
  <c r="AS142" i="20"/>
  <c r="AO143" i="20"/>
  <c r="AS143" i="20"/>
  <c r="AO144" i="20"/>
  <c r="AS144" i="20"/>
  <c r="AO145" i="20"/>
  <c r="AS145" i="20"/>
  <c r="AO146" i="20"/>
  <c r="AS146" i="20"/>
  <c r="AO147" i="20"/>
  <c r="AS147" i="20"/>
  <c r="AO148" i="20"/>
  <c r="AS148" i="20"/>
  <c r="AO149" i="20"/>
  <c r="AS149" i="20"/>
  <c r="AO150" i="20"/>
  <c r="AS150" i="20"/>
  <c r="AO151" i="20"/>
  <c r="AS151" i="20"/>
  <c r="AO152" i="20"/>
  <c r="AS152" i="20"/>
  <c r="AO153" i="20"/>
  <c r="AS153" i="20"/>
  <c r="AO154" i="20"/>
  <c r="AS154" i="20"/>
  <c r="AO155" i="20"/>
  <c r="AS155" i="20"/>
  <c r="AO156" i="20"/>
  <c r="AS156" i="20"/>
  <c r="AO157" i="20"/>
  <c r="AS157" i="20"/>
  <c r="AO158" i="20"/>
  <c r="AS158" i="20"/>
  <c r="AO159" i="20"/>
  <c r="AS159" i="20"/>
  <c r="AO160" i="20"/>
  <c r="AS160" i="20"/>
  <c r="AO161" i="20"/>
  <c r="AS161" i="20"/>
  <c r="AO162" i="20"/>
  <c r="AS162" i="20"/>
  <c r="AO163" i="20"/>
  <c r="AS163" i="20"/>
  <c r="AO164" i="20"/>
  <c r="AS164" i="20"/>
  <c r="AO165" i="20"/>
  <c r="AS165" i="20"/>
  <c r="AO9" i="20"/>
  <c r="AS9" i="20"/>
  <c r="AO10" i="20"/>
  <c r="AS10" i="20"/>
  <c r="AO11" i="20"/>
  <c r="AS11" i="20"/>
  <c r="AO12" i="20"/>
  <c r="AS12" i="20"/>
  <c r="AO13" i="20"/>
  <c r="AS13" i="20"/>
  <c r="AO14" i="20"/>
  <c r="AS14" i="20"/>
  <c r="AO15" i="20"/>
  <c r="AS15" i="20"/>
  <c r="AO16" i="20"/>
  <c r="AS16" i="20"/>
  <c r="AO17" i="20"/>
  <c r="AS17" i="20"/>
  <c r="AO18" i="20"/>
  <c r="AS18" i="20"/>
  <c r="AO19" i="20"/>
  <c r="AS19" i="20"/>
  <c r="AO20" i="20"/>
  <c r="AS20" i="20"/>
  <c r="AR166" i="20"/>
  <c r="AR167" i="20"/>
  <c r="AR21" i="20"/>
  <c r="AQ22" i="20"/>
  <c r="AQ23" i="20"/>
  <c r="AQ24" i="20"/>
  <c r="AQ25" i="20"/>
  <c r="AQ26" i="20"/>
  <c r="AQ27" i="20"/>
  <c r="AQ28" i="20"/>
  <c r="AQ29" i="20"/>
  <c r="AQ30" i="20"/>
  <c r="AQ31" i="20"/>
  <c r="AQ32" i="20"/>
  <c r="AQ33" i="20"/>
  <c r="AQ34" i="20"/>
  <c r="AQ35" i="20"/>
  <c r="AQ36" i="20"/>
  <c r="AQ37" i="20"/>
  <c r="AQ38" i="20"/>
  <c r="AQ39" i="20"/>
  <c r="AQ40" i="20"/>
  <c r="AQ41" i="20"/>
  <c r="AQ42" i="20"/>
  <c r="AQ43" i="20"/>
  <c r="AQ44" i="20"/>
  <c r="AQ45" i="20"/>
  <c r="AQ46" i="20"/>
  <c r="AQ47" i="20"/>
  <c r="AQ48" i="20"/>
  <c r="AQ49" i="20"/>
  <c r="AQ50" i="20"/>
  <c r="AQ51" i="20"/>
  <c r="AQ52" i="20"/>
  <c r="AQ53" i="20"/>
  <c r="AQ54" i="20"/>
  <c r="AQ55" i="20"/>
  <c r="AQ56" i="20"/>
  <c r="AQ57" i="20"/>
  <c r="AQ58" i="20"/>
  <c r="AQ59" i="20"/>
  <c r="AQ60" i="20"/>
  <c r="AN61" i="20"/>
  <c r="AS61" i="20"/>
  <c r="AN62" i="20"/>
  <c r="AS62" i="20"/>
  <c r="AN63" i="20"/>
  <c r="AS63" i="20"/>
  <c r="AN64" i="20"/>
  <c r="AS64" i="20"/>
  <c r="AN65" i="20"/>
  <c r="AS65" i="20"/>
  <c r="AN66" i="20"/>
  <c r="AS66" i="20"/>
  <c r="AN67" i="20"/>
  <c r="AS67" i="20"/>
  <c r="AN68" i="20"/>
  <c r="AS68" i="20"/>
  <c r="AN69" i="20"/>
  <c r="AS69" i="20"/>
  <c r="AN70" i="20"/>
  <c r="AS70" i="20"/>
  <c r="AN71" i="20"/>
  <c r="AS71" i="20"/>
  <c r="AN72" i="20"/>
  <c r="AS72" i="20"/>
  <c r="AP73" i="20"/>
  <c r="AT73" i="20"/>
  <c r="AP74" i="20"/>
  <c r="AT74" i="20"/>
  <c r="AP75" i="20"/>
  <c r="AT75" i="20"/>
  <c r="AP76" i="20"/>
  <c r="AT76" i="20"/>
  <c r="AP77" i="20"/>
  <c r="AT77" i="20"/>
  <c r="AP78" i="20"/>
  <c r="AT78" i="20"/>
  <c r="AP79" i="20"/>
  <c r="AT79" i="20"/>
  <c r="AP80" i="20"/>
  <c r="AT80" i="20"/>
  <c r="AP81" i="20"/>
  <c r="AT81" i="20"/>
  <c r="AP82" i="20"/>
  <c r="AT82" i="20"/>
  <c r="AP83" i="20"/>
  <c r="AT83" i="20"/>
  <c r="AP84" i="20"/>
  <c r="AT84" i="20"/>
  <c r="AP85" i="20"/>
  <c r="AT85" i="20"/>
  <c r="AP86" i="20"/>
  <c r="AT86" i="20"/>
  <c r="AP87" i="20"/>
  <c r="AT87" i="20"/>
  <c r="AP88" i="20"/>
  <c r="AT88" i="20"/>
  <c r="AP89" i="20"/>
  <c r="AT89" i="20"/>
  <c r="AP90" i="20"/>
  <c r="AT90" i="20"/>
  <c r="AP91" i="20"/>
  <c r="AT91" i="20"/>
  <c r="AP92" i="20"/>
  <c r="AT92" i="20"/>
  <c r="AP93" i="20"/>
  <c r="AT93" i="20"/>
  <c r="AP94" i="20"/>
  <c r="AT94" i="20"/>
  <c r="AP95" i="20"/>
  <c r="AT95" i="20"/>
  <c r="AP96" i="20"/>
  <c r="AT96" i="20"/>
  <c r="AP97" i="20"/>
  <c r="AT97" i="20"/>
  <c r="AP98" i="20"/>
  <c r="AT98" i="20"/>
  <c r="AP99" i="20"/>
  <c r="AT99" i="20"/>
  <c r="AP100" i="20"/>
  <c r="AT100" i="20"/>
  <c r="AP101" i="20"/>
  <c r="AT101" i="20"/>
  <c r="AP102" i="20"/>
  <c r="AT102" i="20"/>
  <c r="AP103" i="20"/>
  <c r="AT103" i="20"/>
  <c r="AP104" i="20"/>
  <c r="AT104" i="20"/>
  <c r="AP105" i="20"/>
  <c r="AT105" i="20"/>
  <c r="AP106" i="20"/>
  <c r="AT106" i="20"/>
  <c r="AP107" i="20"/>
  <c r="AT107" i="20"/>
  <c r="AP108" i="20"/>
  <c r="AT108" i="20"/>
  <c r="AP109" i="20"/>
  <c r="AT109" i="20"/>
  <c r="AP110" i="20"/>
  <c r="AT110" i="20"/>
  <c r="AP111" i="20"/>
  <c r="AT111" i="20"/>
  <c r="AP112" i="20"/>
  <c r="AT112" i="20"/>
  <c r="AP113" i="20"/>
  <c r="AT113" i="20"/>
  <c r="AP114" i="20"/>
  <c r="AT114" i="20"/>
  <c r="AP115" i="20"/>
  <c r="AT115" i="20"/>
  <c r="AP116" i="20"/>
  <c r="AT116" i="20"/>
  <c r="AP117" i="20"/>
  <c r="AT117" i="20"/>
  <c r="AP118" i="20"/>
  <c r="AT118" i="20"/>
  <c r="AP119" i="20"/>
  <c r="AT119" i="20"/>
  <c r="AP120" i="20"/>
  <c r="AT120" i="20"/>
  <c r="AP121" i="20"/>
  <c r="AT121" i="20"/>
  <c r="AP122" i="20"/>
  <c r="AT122" i="20"/>
  <c r="AP123" i="20"/>
  <c r="AT123" i="20"/>
  <c r="AP124" i="20"/>
  <c r="AT124" i="20"/>
  <c r="AP125" i="20"/>
  <c r="AT125" i="20"/>
  <c r="AP126" i="20"/>
  <c r="AT126" i="20"/>
  <c r="AP127" i="20"/>
  <c r="AT127" i="20"/>
  <c r="AP128" i="20"/>
  <c r="AT128" i="20"/>
  <c r="AP129" i="20"/>
  <c r="AT129" i="20"/>
  <c r="AP130" i="20"/>
  <c r="AT130" i="20"/>
  <c r="AP131" i="20"/>
  <c r="AT131" i="20"/>
  <c r="AP132" i="20"/>
  <c r="AT132" i="20"/>
  <c r="AP133" i="20"/>
  <c r="AT133" i="20"/>
  <c r="AP134" i="20"/>
  <c r="AT134" i="20"/>
  <c r="AP135" i="20"/>
  <c r="AT135" i="20"/>
  <c r="AP136" i="20"/>
  <c r="AT136" i="20"/>
  <c r="AP137" i="20"/>
  <c r="AT137" i="20"/>
  <c r="AP138" i="20"/>
  <c r="AT138" i="20"/>
  <c r="AP139" i="20"/>
  <c r="AT139" i="20"/>
  <c r="AP140" i="20"/>
  <c r="AT140" i="20"/>
  <c r="AP141" i="20"/>
  <c r="AT141" i="20"/>
  <c r="AP142" i="20"/>
  <c r="AT142" i="20"/>
  <c r="AP143" i="20"/>
  <c r="AT143" i="20"/>
  <c r="AP144" i="20"/>
  <c r="AT144" i="20"/>
  <c r="AP145" i="20"/>
  <c r="AT145" i="20"/>
  <c r="AP146" i="20"/>
  <c r="AT146" i="20"/>
  <c r="AP147" i="20"/>
  <c r="AT147" i="20"/>
  <c r="AP148" i="20"/>
  <c r="AT148" i="20"/>
  <c r="AP149" i="20"/>
  <c r="AT149" i="20"/>
  <c r="AP150" i="20"/>
  <c r="AT150" i="20"/>
  <c r="AP151" i="20"/>
  <c r="AT151" i="20"/>
  <c r="AP152" i="20"/>
  <c r="AT152" i="20"/>
  <c r="AP153" i="20"/>
  <c r="AT153" i="20"/>
  <c r="AP154" i="20"/>
  <c r="AT154" i="20"/>
  <c r="AP155" i="20"/>
  <c r="AT155" i="20"/>
  <c r="AP156" i="20"/>
  <c r="AT156" i="20"/>
  <c r="AP157" i="20"/>
  <c r="AT157" i="20"/>
  <c r="AP158" i="20"/>
  <c r="AT158" i="20"/>
  <c r="AP159" i="20"/>
  <c r="AT159" i="20"/>
  <c r="AP160" i="20"/>
  <c r="AT160" i="20"/>
  <c r="AP161" i="20"/>
  <c r="AT161" i="20"/>
  <c r="AP162" i="20"/>
  <c r="AT162" i="20"/>
  <c r="AP163" i="20"/>
  <c r="AT163" i="20"/>
  <c r="AP164" i="20"/>
  <c r="AT164" i="20"/>
  <c r="AP165" i="20"/>
  <c r="AT165" i="20"/>
  <c r="AP9" i="20"/>
  <c r="AT9" i="20"/>
  <c r="AP10" i="20"/>
  <c r="AT10" i="20"/>
  <c r="AP11" i="20"/>
  <c r="AT11" i="20"/>
  <c r="AP12" i="20"/>
  <c r="AT12" i="20"/>
  <c r="AP13" i="20"/>
  <c r="AT13" i="20"/>
  <c r="AP14" i="20"/>
  <c r="AT14" i="20"/>
  <c r="AP15" i="20"/>
  <c r="AT15" i="20"/>
  <c r="AP16" i="20"/>
  <c r="AT16" i="20"/>
  <c r="AP17" i="20"/>
  <c r="AT17" i="20"/>
  <c r="AP18" i="20"/>
  <c r="AT18" i="20"/>
  <c r="AP19" i="20"/>
  <c r="AT19" i="20"/>
  <c r="AP20" i="20"/>
  <c r="AT20" i="20"/>
  <c r="AR22" i="20"/>
  <c r="AR23" i="20"/>
  <c r="AR24" i="20"/>
  <c r="AR25" i="20"/>
  <c r="AR26" i="20"/>
  <c r="AR27" i="20"/>
  <c r="AR28" i="20"/>
  <c r="AR29" i="20"/>
  <c r="AR30" i="20"/>
  <c r="AR31" i="20"/>
  <c r="AR32" i="20"/>
  <c r="AR33" i="20"/>
  <c r="AR34" i="20"/>
  <c r="AR35" i="20"/>
  <c r="AR36" i="20"/>
  <c r="AR37" i="20"/>
  <c r="AR38" i="20"/>
  <c r="AR39" i="20"/>
  <c r="AR40" i="20"/>
  <c r="AR41" i="20"/>
  <c r="AR42" i="20"/>
  <c r="AR43" i="20"/>
  <c r="AR44" i="20"/>
  <c r="AR45" i="20"/>
  <c r="AR46" i="20"/>
  <c r="AR47" i="20"/>
  <c r="AR48" i="20"/>
  <c r="AR49" i="20"/>
  <c r="AR50" i="20"/>
  <c r="AR51" i="20"/>
  <c r="AR52" i="20"/>
  <c r="AR53" i="20"/>
  <c r="AR54" i="20"/>
  <c r="AR55" i="20"/>
  <c r="AR56" i="20"/>
  <c r="AR57" i="20"/>
  <c r="AR58" i="20"/>
  <c r="AR59" i="20"/>
  <c r="AR60" i="20"/>
  <c r="AO61" i="20"/>
  <c r="AO62" i="20"/>
  <c r="AO63" i="20"/>
  <c r="AO64" i="20"/>
  <c r="AO65" i="20"/>
  <c r="AO66" i="20"/>
  <c r="AO67" i="20"/>
  <c r="AO68" i="20"/>
  <c r="AO69" i="20"/>
  <c r="AO70" i="20"/>
  <c r="AO71" i="20"/>
  <c r="AO72" i="20"/>
  <c r="AM73" i="20"/>
  <c r="AQ73" i="20"/>
  <c r="AM74" i="20"/>
  <c r="AQ74" i="20"/>
  <c r="AM75" i="20"/>
  <c r="AQ75" i="20"/>
  <c r="AM76" i="20"/>
  <c r="AQ76" i="20"/>
  <c r="AM77" i="20"/>
  <c r="AQ77" i="20"/>
  <c r="AM78" i="20"/>
  <c r="AQ78" i="20"/>
  <c r="AM79" i="20"/>
  <c r="AQ79" i="20"/>
  <c r="AM80" i="20"/>
  <c r="AQ80" i="20"/>
  <c r="AM81" i="20"/>
  <c r="AQ81" i="20"/>
  <c r="AM82" i="20"/>
  <c r="AQ82" i="20"/>
  <c r="AM83" i="20"/>
  <c r="AQ83" i="20"/>
  <c r="AM84" i="20"/>
  <c r="AQ84" i="20"/>
  <c r="AM85" i="20"/>
  <c r="AQ85" i="20"/>
  <c r="AM86" i="20"/>
  <c r="AQ86" i="20"/>
  <c r="AM87" i="20"/>
  <c r="AQ87" i="20"/>
  <c r="AM88" i="20"/>
  <c r="AQ88" i="20"/>
  <c r="AM89" i="20"/>
  <c r="AQ89" i="20"/>
  <c r="AM90" i="20"/>
  <c r="AQ90" i="20"/>
  <c r="AM91" i="20"/>
  <c r="AQ91" i="20"/>
  <c r="AM92" i="20"/>
  <c r="AQ92" i="20"/>
  <c r="AM93" i="20"/>
  <c r="AQ93" i="20"/>
  <c r="AM94" i="20"/>
  <c r="AQ94" i="20"/>
  <c r="AM95" i="20"/>
  <c r="AQ95" i="20"/>
  <c r="AM96" i="20"/>
  <c r="AQ96" i="20"/>
  <c r="AM97" i="20"/>
  <c r="AQ97" i="20"/>
  <c r="AM98" i="20"/>
  <c r="AQ98" i="20"/>
  <c r="AM99" i="20"/>
  <c r="AQ99" i="20"/>
  <c r="AM100" i="20"/>
  <c r="AQ100" i="20"/>
  <c r="AM101" i="20"/>
  <c r="AQ101" i="20"/>
  <c r="AM102" i="20"/>
  <c r="AQ102" i="20"/>
  <c r="AM103" i="20"/>
  <c r="AQ103" i="20"/>
  <c r="AM104" i="20"/>
  <c r="AQ104" i="20"/>
  <c r="AM105" i="20"/>
  <c r="AQ105" i="20"/>
  <c r="AM106" i="20"/>
  <c r="AQ106" i="20"/>
  <c r="AM107" i="20"/>
  <c r="AQ107" i="20"/>
  <c r="AM108" i="20"/>
  <c r="AQ108" i="20"/>
  <c r="AM109" i="20"/>
  <c r="AQ109" i="20"/>
  <c r="AM110" i="20"/>
  <c r="AQ110" i="20"/>
  <c r="AM111" i="20"/>
  <c r="AQ111" i="20"/>
  <c r="AM112" i="20"/>
  <c r="AQ112" i="20"/>
  <c r="AM113" i="20"/>
  <c r="AQ113" i="20"/>
  <c r="AM114" i="20"/>
  <c r="AQ114" i="20"/>
  <c r="AM115" i="20"/>
  <c r="AQ115" i="20"/>
  <c r="AM116" i="20"/>
  <c r="AQ116" i="20"/>
  <c r="AM117" i="20"/>
  <c r="AQ117" i="20"/>
  <c r="AM118" i="20"/>
  <c r="AQ118" i="20"/>
  <c r="AM119" i="20"/>
  <c r="AQ119" i="20"/>
  <c r="AM120" i="20"/>
  <c r="AQ120" i="20"/>
  <c r="AM121" i="20"/>
  <c r="AQ121" i="20"/>
  <c r="AM122" i="20"/>
  <c r="AQ122" i="20"/>
  <c r="AM123" i="20"/>
  <c r="AQ123" i="20"/>
  <c r="AM124" i="20"/>
  <c r="AQ124" i="20"/>
  <c r="AM125" i="20"/>
  <c r="AQ125" i="20"/>
  <c r="AM126" i="20"/>
  <c r="AQ126" i="20"/>
  <c r="AM127" i="20"/>
  <c r="AQ127" i="20"/>
  <c r="AM128" i="20"/>
  <c r="AQ128" i="20"/>
  <c r="AM129" i="20"/>
  <c r="AQ129" i="20"/>
  <c r="AM130" i="20"/>
  <c r="AQ130" i="20"/>
  <c r="AM131" i="20"/>
  <c r="AQ131" i="20"/>
  <c r="AM132" i="20"/>
  <c r="AQ132" i="20"/>
  <c r="AM133" i="20"/>
  <c r="AQ133" i="20"/>
  <c r="AM134" i="20"/>
  <c r="AQ134" i="20"/>
  <c r="AM135" i="20"/>
  <c r="AQ135" i="20"/>
  <c r="AM136" i="20"/>
  <c r="AQ136" i="20"/>
  <c r="AM137" i="20"/>
  <c r="AQ137" i="20"/>
  <c r="AM138" i="20"/>
  <c r="AQ138" i="20"/>
  <c r="AM139" i="20"/>
  <c r="AQ139" i="20"/>
  <c r="AM140" i="20"/>
  <c r="AQ140" i="20"/>
  <c r="AM141" i="20"/>
  <c r="AQ141" i="20"/>
  <c r="AM142" i="20"/>
  <c r="AQ142" i="20"/>
  <c r="AM143" i="20"/>
  <c r="AQ143" i="20"/>
  <c r="AM144" i="20"/>
  <c r="AQ144" i="20"/>
  <c r="AM145" i="20"/>
  <c r="AQ145" i="20"/>
  <c r="AM146" i="20"/>
  <c r="AQ146" i="20"/>
  <c r="AM147" i="20"/>
  <c r="AQ147" i="20"/>
  <c r="AM148" i="20"/>
  <c r="AQ148" i="20"/>
  <c r="AM149" i="20"/>
  <c r="AQ149" i="20"/>
  <c r="AM150" i="20"/>
  <c r="AQ150" i="20"/>
  <c r="AM151" i="20"/>
  <c r="AQ151" i="20"/>
  <c r="AM152" i="20"/>
  <c r="AQ152" i="20"/>
  <c r="AM153" i="20"/>
  <c r="AQ153" i="20"/>
  <c r="AM154" i="20"/>
  <c r="AQ154" i="20"/>
  <c r="AM155" i="20"/>
  <c r="AQ155" i="20"/>
  <c r="AM156" i="20"/>
  <c r="AQ156" i="20"/>
  <c r="AM157" i="20"/>
  <c r="AQ157" i="20"/>
  <c r="AM158" i="20"/>
  <c r="AQ158" i="20"/>
  <c r="AM159" i="20"/>
  <c r="AQ159" i="20"/>
  <c r="AM160" i="20"/>
  <c r="AQ160" i="20"/>
  <c r="AM161" i="20"/>
  <c r="AQ161" i="20"/>
  <c r="AM162" i="20"/>
  <c r="AQ162" i="20"/>
  <c r="AM163" i="20"/>
  <c r="AQ163" i="20"/>
  <c r="AM164" i="20"/>
  <c r="AQ164" i="20"/>
  <c r="AM165" i="20"/>
  <c r="AQ165" i="20"/>
  <c r="AM9" i="20"/>
  <c r="AQ9" i="20"/>
  <c r="AM10" i="20"/>
  <c r="AQ10" i="20"/>
  <c r="AM11" i="20"/>
  <c r="AQ11" i="20"/>
  <c r="AM12" i="20"/>
  <c r="AQ12" i="20"/>
  <c r="AM13" i="20"/>
  <c r="AQ13" i="20"/>
  <c r="AM14" i="20"/>
  <c r="AQ14" i="20"/>
  <c r="AM15" i="20"/>
  <c r="AQ15" i="20"/>
  <c r="AM16" i="20"/>
  <c r="AQ16" i="20"/>
  <c r="AM17" i="20"/>
  <c r="AQ17" i="20"/>
  <c r="AM18" i="20"/>
  <c r="AQ18" i="20"/>
  <c r="AM19" i="20"/>
  <c r="AQ19" i="20"/>
  <c r="AM20" i="20"/>
  <c r="AQ20" i="20"/>
  <c r="AM23" i="20"/>
  <c r="AM24" i="20"/>
  <c r="AM25" i="20"/>
  <c r="AM26" i="20"/>
  <c r="AM27" i="20"/>
  <c r="AM28" i="20"/>
  <c r="AM29" i="20"/>
  <c r="AM30" i="20"/>
  <c r="AM31" i="20"/>
  <c r="AM32" i="20"/>
  <c r="AM33" i="20"/>
  <c r="AM34" i="20"/>
  <c r="AM35" i="20"/>
  <c r="AM36" i="20"/>
  <c r="AM37" i="20"/>
  <c r="AM38" i="20"/>
  <c r="AM39" i="20"/>
  <c r="AM40" i="20"/>
  <c r="AM41" i="20"/>
  <c r="AM42" i="20"/>
  <c r="AM43" i="20"/>
  <c r="AM44" i="20"/>
  <c r="AM45" i="20"/>
  <c r="AM46" i="20"/>
  <c r="AM47" i="20"/>
  <c r="AM48" i="20"/>
  <c r="AM49" i="20"/>
  <c r="AM50" i="20"/>
  <c r="AM51" i="20"/>
  <c r="AM52" i="20"/>
  <c r="AM53" i="20"/>
  <c r="AM54" i="20"/>
  <c r="AM55" i="20"/>
  <c r="AM56" i="20"/>
  <c r="AM57" i="20"/>
  <c r="AM58" i="20"/>
  <c r="AM59" i="20"/>
  <c r="AM60" i="20"/>
  <c r="AQ61" i="20"/>
  <c r="AQ62" i="20"/>
  <c r="AQ63" i="20"/>
  <c r="AQ64" i="20"/>
  <c r="AQ65" i="20"/>
  <c r="AQ66" i="20"/>
  <c r="AQ67" i="20"/>
  <c r="AQ68" i="20"/>
  <c r="AQ69" i="20"/>
  <c r="AQ70" i="20"/>
  <c r="AQ71" i="20"/>
  <c r="AQ72" i="20"/>
  <c r="AN73" i="20"/>
  <c r="AR73" i="20"/>
  <c r="AN74" i="20"/>
  <c r="AR74" i="20"/>
  <c r="AN75" i="20"/>
  <c r="AR75" i="20"/>
  <c r="AN76" i="20"/>
  <c r="AR76" i="20"/>
  <c r="AN77" i="20"/>
  <c r="AR77" i="20"/>
  <c r="AN78" i="20"/>
  <c r="AR78" i="20"/>
  <c r="AN79" i="20"/>
  <c r="AR79" i="20"/>
  <c r="AN80" i="20"/>
  <c r="AR80" i="20"/>
  <c r="AN81" i="20"/>
  <c r="AR81" i="20"/>
  <c r="AN82" i="20"/>
  <c r="AR82" i="20"/>
  <c r="AN83" i="20"/>
  <c r="AR83" i="20"/>
  <c r="AN84" i="20"/>
  <c r="AR84" i="20"/>
  <c r="AN85" i="20"/>
  <c r="AR85" i="20"/>
  <c r="AN86" i="20"/>
  <c r="AR86" i="20"/>
  <c r="AN87" i="20"/>
  <c r="AR87" i="20"/>
  <c r="AN88" i="20"/>
  <c r="AR88" i="20"/>
  <c r="AN89" i="20"/>
  <c r="AR89" i="20"/>
  <c r="AN90" i="20"/>
  <c r="AR90" i="20"/>
  <c r="AN91" i="20"/>
  <c r="AR91" i="20"/>
  <c r="AN92" i="20"/>
  <c r="AR92" i="20"/>
  <c r="AN93" i="20"/>
  <c r="AR93" i="20"/>
  <c r="AN94" i="20"/>
  <c r="AR94" i="20"/>
  <c r="AN95" i="20"/>
  <c r="AR95" i="20"/>
  <c r="AN96" i="20"/>
  <c r="AR96" i="20"/>
  <c r="AN97" i="20"/>
  <c r="AR97" i="20"/>
  <c r="AN98" i="20"/>
  <c r="AR98" i="20"/>
  <c r="AN99" i="20"/>
  <c r="AR99" i="20"/>
  <c r="AN100" i="20"/>
  <c r="AR100" i="20"/>
  <c r="AN101" i="20"/>
  <c r="AR101" i="20"/>
  <c r="AN102" i="20"/>
  <c r="AR102" i="20"/>
  <c r="AN103" i="20"/>
  <c r="AR103" i="20"/>
  <c r="AN104" i="20"/>
  <c r="AR104" i="20"/>
  <c r="AN105" i="20"/>
  <c r="AR105" i="20"/>
  <c r="AN106" i="20"/>
  <c r="AR106" i="20"/>
  <c r="AN107" i="20"/>
  <c r="AR107" i="20"/>
  <c r="AN108" i="20"/>
  <c r="AR108" i="20"/>
  <c r="AN109" i="20"/>
  <c r="AR109" i="20"/>
  <c r="AN110" i="20"/>
  <c r="AR110" i="20"/>
  <c r="AN111" i="20"/>
  <c r="AR111" i="20"/>
  <c r="AN112" i="20"/>
  <c r="AR112" i="20"/>
  <c r="AN113" i="20"/>
  <c r="AR113" i="20"/>
  <c r="AN114" i="20"/>
  <c r="AR114" i="20"/>
  <c r="AN115" i="20"/>
  <c r="AR115" i="20"/>
  <c r="AN116" i="20"/>
  <c r="AR116" i="20"/>
  <c r="AN117" i="20"/>
  <c r="AR117" i="20"/>
  <c r="AN118" i="20"/>
  <c r="AR118" i="20"/>
  <c r="AN119" i="20"/>
  <c r="AR119" i="20"/>
  <c r="AN120" i="20"/>
  <c r="AR120" i="20"/>
  <c r="AN121" i="20"/>
  <c r="AR121" i="20"/>
  <c r="AN122" i="20"/>
  <c r="AR122" i="20"/>
  <c r="AN123" i="20"/>
  <c r="AR123" i="20"/>
  <c r="AN124" i="20"/>
  <c r="AR124" i="20"/>
  <c r="AN125" i="20"/>
  <c r="AR125" i="20"/>
  <c r="AN126" i="20"/>
  <c r="AR126" i="20"/>
  <c r="AN127" i="20"/>
  <c r="AR127" i="20"/>
  <c r="AN128" i="20"/>
  <c r="AR128" i="20"/>
  <c r="AN129" i="20"/>
  <c r="AR129" i="20"/>
  <c r="AN130" i="20"/>
  <c r="AR130" i="20"/>
  <c r="AN131" i="20"/>
  <c r="AR131" i="20"/>
  <c r="AN132" i="20"/>
  <c r="AR132" i="20"/>
  <c r="AN133" i="20"/>
  <c r="AR133" i="20"/>
  <c r="AN134" i="20"/>
  <c r="AR134" i="20"/>
  <c r="AN135" i="20"/>
  <c r="AR135" i="20"/>
  <c r="AN136" i="20"/>
  <c r="AR136" i="20"/>
  <c r="AN137" i="20"/>
  <c r="AR137" i="20"/>
  <c r="AN138" i="20"/>
  <c r="AR138" i="20"/>
  <c r="AN139" i="20"/>
  <c r="AR139" i="20"/>
  <c r="AN140" i="20"/>
  <c r="AR140" i="20"/>
  <c r="AN141" i="20"/>
  <c r="AR141" i="20"/>
  <c r="AN142" i="20"/>
  <c r="AR142" i="20"/>
  <c r="AN143" i="20"/>
  <c r="AR143" i="20"/>
  <c r="AN144" i="20"/>
  <c r="AR144" i="20"/>
  <c r="AN145" i="20"/>
  <c r="AR145" i="20"/>
  <c r="AN146" i="20"/>
  <c r="AR146" i="20"/>
  <c r="AN147" i="20"/>
  <c r="AR147" i="20"/>
  <c r="AN148" i="20"/>
  <c r="AR148" i="20"/>
  <c r="AN149" i="20"/>
  <c r="AR149" i="20"/>
  <c r="AN150" i="20"/>
  <c r="AR150" i="20"/>
  <c r="AN151" i="20"/>
  <c r="AR151" i="20"/>
  <c r="AN152" i="20"/>
  <c r="AR152" i="20"/>
  <c r="AN153" i="20"/>
  <c r="AR153" i="20"/>
  <c r="AN154" i="20"/>
  <c r="AR154" i="20"/>
  <c r="AN155" i="20"/>
  <c r="AR155" i="20"/>
  <c r="AN156" i="20"/>
  <c r="AR156" i="20"/>
  <c r="AN157" i="20"/>
  <c r="AR157" i="20"/>
  <c r="AN158" i="20"/>
  <c r="AR158" i="20"/>
  <c r="AN159" i="20"/>
  <c r="AR159" i="20"/>
  <c r="AN160" i="20"/>
  <c r="AR160" i="20"/>
  <c r="AN161" i="20"/>
  <c r="AR161" i="20"/>
  <c r="AN162" i="20"/>
  <c r="AR162" i="20"/>
  <c r="AN163" i="20"/>
  <c r="AR163" i="20"/>
  <c r="AN164" i="20"/>
  <c r="AR164" i="20"/>
  <c r="AN165" i="20"/>
  <c r="AR165" i="20"/>
  <c r="AN9" i="20"/>
  <c r="AR9" i="20"/>
  <c r="AN10" i="20"/>
  <c r="AR10" i="20"/>
  <c r="AN11" i="20"/>
  <c r="AR11" i="20"/>
  <c r="AN12" i="20"/>
  <c r="AR12" i="20"/>
  <c r="AN13" i="20"/>
  <c r="AR13" i="20"/>
  <c r="AN14" i="20"/>
  <c r="AR14" i="20"/>
  <c r="AN15" i="20"/>
  <c r="AR15" i="20"/>
  <c r="AN16" i="20"/>
  <c r="AR16" i="20"/>
  <c r="AN17" i="20"/>
  <c r="AR17" i="20"/>
  <c r="AN18" i="20"/>
  <c r="AR18" i="20"/>
  <c r="AN19" i="20"/>
  <c r="AR19" i="20"/>
  <c r="AN20" i="20"/>
  <c r="AR20" i="20"/>
  <c r="CQ166" i="20"/>
  <c r="CU166" i="20"/>
  <c r="CQ167" i="20"/>
  <c r="CU167" i="20"/>
  <c r="CQ93" i="20"/>
  <c r="CU93" i="20"/>
  <c r="CQ94" i="20"/>
  <c r="CU94" i="20"/>
  <c r="CQ95" i="20"/>
  <c r="CU95" i="20"/>
  <c r="CQ96" i="20"/>
  <c r="CU96" i="20"/>
  <c r="CQ97" i="20"/>
  <c r="CU97" i="20"/>
  <c r="CQ98" i="20"/>
  <c r="CU98" i="20"/>
  <c r="CQ99" i="20"/>
  <c r="CU99" i="20"/>
  <c r="CQ100" i="20"/>
  <c r="CU100" i="20"/>
  <c r="CQ101" i="20"/>
  <c r="CU101" i="20"/>
  <c r="CQ102" i="20"/>
  <c r="CU102" i="20"/>
  <c r="CQ103" i="20"/>
  <c r="CU103" i="20"/>
  <c r="CQ104" i="20"/>
  <c r="CU104" i="20"/>
  <c r="CQ105" i="20"/>
  <c r="CU105" i="20"/>
  <c r="CQ106" i="20"/>
  <c r="CU106" i="20"/>
  <c r="CQ107" i="20"/>
  <c r="CU107" i="20"/>
  <c r="CQ108" i="20"/>
  <c r="CU108" i="20"/>
  <c r="CQ109" i="20"/>
  <c r="CU109" i="20"/>
  <c r="CQ110" i="20"/>
  <c r="CU110" i="20"/>
  <c r="CQ111" i="20"/>
  <c r="CU111" i="20"/>
  <c r="CQ112" i="20"/>
  <c r="CU112" i="20"/>
  <c r="CQ113" i="20"/>
  <c r="CU113" i="20"/>
  <c r="CQ114" i="20"/>
  <c r="CU114" i="20"/>
  <c r="CQ115" i="20"/>
  <c r="CU115" i="20"/>
  <c r="CQ116" i="20"/>
  <c r="CU116" i="20"/>
  <c r="CQ117" i="20"/>
  <c r="CU117" i="20"/>
  <c r="CQ118" i="20"/>
  <c r="CU118" i="20"/>
  <c r="CQ119" i="20"/>
  <c r="CU119" i="20"/>
  <c r="CQ120" i="20"/>
  <c r="CU120" i="20"/>
  <c r="CQ121" i="20"/>
  <c r="CU121" i="20"/>
  <c r="CQ122" i="20"/>
  <c r="CU122" i="20"/>
  <c r="CQ123" i="20"/>
  <c r="CU123" i="20"/>
  <c r="CQ124" i="20"/>
  <c r="CU124" i="20"/>
  <c r="CQ125" i="20"/>
  <c r="CU125" i="20"/>
  <c r="CQ126" i="20"/>
  <c r="CU126" i="20"/>
  <c r="CQ127" i="20"/>
  <c r="CU127" i="20"/>
  <c r="CQ128" i="20"/>
  <c r="CU128" i="20"/>
  <c r="CQ129" i="20"/>
  <c r="CU129" i="20"/>
  <c r="CQ130" i="20"/>
  <c r="CU130" i="20"/>
  <c r="CQ131" i="20"/>
  <c r="CU131" i="20"/>
  <c r="CQ132" i="20"/>
  <c r="CU132" i="20"/>
  <c r="CQ133" i="20"/>
  <c r="CU133" i="20"/>
  <c r="CQ134" i="20"/>
  <c r="CU134" i="20"/>
  <c r="CQ135" i="20"/>
  <c r="CU135" i="20"/>
  <c r="CQ136" i="20"/>
  <c r="CU136" i="20"/>
  <c r="CQ137" i="20"/>
  <c r="CU137" i="20"/>
  <c r="CQ138" i="20"/>
  <c r="CU138" i="20"/>
  <c r="CQ139" i="20"/>
  <c r="CU139" i="20"/>
  <c r="CQ140" i="20"/>
  <c r="CU140" i="20"/>
  <c r="CQ141" i="20"/>
  <c r="CU141" i="20"/>
  <c r="CQ142" i="20"/>
  <c r="CU142" i="20"/>
  <c r="CQ143" i="20"/>
  <c r="CU143" i="20"/>
  <c r="CQ144" i="20"/>
  <c r="CU144" i="20"/>
  <c r="CQ145" i="20"/>
  <c r="CU145" i="20"/>
  <c r="CQ146" i="20"/>
  <c r="CU146" i="20"/>
  <c r="CQ147" i="20"/>
  <c r="CU147" i="20"/>
  <c r="CQ148" i="20"/>
  <c r="CU148" i="20"/>
  <c r="CQ149" i="20"/>
  <c r="CU149" i="20"/>
  <c r="CQ150" i="20"/>
  <c r="CU150" i="20"/>
  <c r="CQ151" i="20"/>
  <c r="CU151" i="20"/>
  <c r="CQ152" i="20"/>
  <c r="CU152" i="20"/>
  <c r="CQ153" i="20"/>
  <c r="CU153" i="20"/>
  <c r="CQ154" i="20"/>
  <c r="CU154" i="20"/>
  <c r="CQ155" i="20"/>
  <c r="CU155" i="20"/>
  <c r="CQ156" i="20"/>
  <c r="CU156" i="20"/>
  <c r="CQ157" i="20"/>
  <c r="CU157" i="20"/>
  <c r="CQ158" i="20"/>
  <c r="CU158" i="20"/>
  <c r="CQ159" i="20"/>
  <c r="CU159" i="20"/>
  <c r="CQ160" i="20"/>
  <c r="CU160" i="20"/>
  <c r="CQ161" i="20"/>
  <c r="CU161" i="20"/>
  <c r="CQ162" i="20"/>
  <c r="CU162" i="20"/>
  <c r="CQ163" i="20"/>
  <c r="CU163" i="20"/>
  <c r="CQ164" i="20"/>
  <c r="CU164" i="20"/>
  <c r="CQ165" i="20"/>
  <c r="CU165" i="20"/>
  <c r="CQ9" i="20"/>
  <c r="CU9" i="20"/>
  <c r="CQ10" i="20"/>
  <c r="CU10" i="20"/>
  <c r="CQ11" i="20"/>
  <c r="CU11" i="20"/>
  <c r="CQ12" i="20"/>
  <c r="CU12" i="20"/>
  <c r="CQ13" i="20"/>
  <c r="CU13" i="20"/>
  <c r="CQ14" i="20"/>
  <c r="CU14" i="20"/>
  <c r="CQ15" i="20"/>
  <c r="CU15" i="20"/>
  <c r="CQ16" i="20"/>
  <c r="CU16" i="20"/>
  <c r="CQ17" i="20"/>
  <c r="CU17" i="20"/>
  <c r="CQ18" i="20"/>
  <c r="CU18" i="20"/>
  <c r="CQ19" i="20"/>
  <c r="CU19" i="20"/>
  <c r="CQ20" i="20"/>
  <c r="CU20" i="20"/>
  <c r="CQ21" i="20"/>
  <c r="CU21" i="20"/>
  <c r="CQ22" i="20"/>
  <c r="CU22" i="20"/>
  <c r="CQ23" i="20"/>
  <c r="CU23" i="20"/>
  <c r="CQ24" i="20"/>
  <c r="CU24" i="20"/>
  <c r="CQ25" i="20"/>
  <c r="CU25" i="20"/>
  <c r="CQ26" i="20"/>
  <c r="CU26" i="20"/>
  <c r="CQ27" i="20"/>
  <c r="CU27" i="20"/>
  <c r="CQ28" i="20"/>
  <c r="CU28" i="20"/>
  <c r="CQ29" i="20"/>
  <c r="CU29" i="20"/>
  <c r="CQ30" i="20"/>
  <c r="CU30" i="20"/>
  <c r="CQ31" i="20"/>
  <c r="CU31" i="20"/>
  <c r="CQ32" i="20"/>
  <c r="CU32" i="20"/>
  <c r="CQ33" i="20"/>
  <c r="CU33" i="20"/>
  <c r="CQ34" i="20"/>
  <c r="CU34" i="20"/>
  <c r="CQ35" i="20"/>
  <c r="CU35" i="20"/>
  <c r="CQ36" i="20"/>
  <c r="CU36" i="20"/>
  <c r="CQ37" i="20"/>
  <c r="CU37" i="20"/>
  <c r="CQ38" i="20"/>
  <c r="CU38" i="20"/>
  <c r="CQ39" i="20"/>
  <c r="CU39" i="20"/>
  <c r="CQ40" i="20"/>
  <c r="CU40" i="20"/>
  <c r="CQ41" i="20"/>
  <c r="CU41" i="20"/>
  <c r="CQ42" i="20"/>
  <c r="CU42" i="20"/>
  <c r="CQ43" i="20"/>
  <c r="CU43" i="20"/>
  <c r="CQ44" i="20"/>
  <c r="CU44" i="20"/>
  <c r="CQ45" i="20"/>
  <c r="CU45" i="20"/>
  <c r="CQ46" i="20"/>
  <c r="CU46" i="20"/>
  <c r="CQ47" i="20"/>
  <c r="CU47" i="20"/>
  <c r="CQ48" i="20"/>
  <c r="CU48" i="20"/>
  <c r="CQ49" i="20"/>
  <c r="CU49" i="20"/>
  <c r="CQ50" i="20"/>
  <c r="CU50" i="20"/>
  <c r="CQ51" i="20"/>
  <c r="CU51" i="20"/>
  <c r="CQ52" i="20"/>
  <c r="CU52" i="20"/>
  <c r="CQ53" i="20"/>
  <c r="CU53" i="20"/>
  <c r="CQ54" i="20"/>
  <c r="CU54" i="20"/>
  <c r="CQ55" i="20"/>
  <c r="CU55" i="20"/>
  <c r="CQ56" i="20"/>
  <c r="CU56" i="20"/>
  <c r="CQ57" i="20"/>
  <c r="CU57" i="20"/>
  <c r="CQ58" i="20"/>
  <c r="CU58" i="20"/>
  <c r="CQ59" i="20"/>
  <c r="CU59" i="20"/>
  <c r="CQ60" i="20"/>
  <c r="CU60" i="20"/>
  <c r="CQ61" i="20"/>
  <c r="CU61" i="20"/>
  <c r="CQ62" i="20"/>
  <c r="CU62" i="20"/>
  <c r="CQ63" i="20"/>
  <c r="CU63" i="20"/>
  <c r="CQ64" i="20"/>
  <c r="CU64" i="20"/>
  <c r="CQ65" i="20"/>
  <c r="CU65" i="20"/>
  <c r="CQ66" i="20"/>
  <c r="CU66" i="20"/>
  <c r="CQ67" i="20"/>
  <c r="CU67" i="20"/>
  <c r="CQ68" i="20"/>
  <c r="CU68" i="20"/>
  <c r="CQ69" i="20"/>
  <c r="CU69" i="20"/>
  <c r="CQ70" i="20"/>
  <c r="CU70" i="20"/>
  <c r="CQ71" i="20"/>
  <c r="CU71" i="20"/>
  <c r="CQ72" i="20"/>
  <c r="CU72" i="20"/>
  <c r="CQ73" i="20"/>
  <c r="CU73" i="20"/>
  <c r="CQ74" i="20"/>
  <c r="CU74" i="20"/>
  <c r="CQ75" i="20"/>
  <c r="CU75" i="20"/>
  <c r="CQ76" i="20"/>
  <c r="CU76" i="20"/>
  <c r="CQ77" i="20"/>
  <c r="CU77" i="20"/>
  <c r="CQ78" i="20"/>
  <c r="CU78" i="20"/>
  <c r="CQ79" i="20"/>
  <c r="CU79" i="20"/>
  <c r="CQ80" i="20"/>
  <c r="CU80" i="20"/>
  <c r="CQ81" i="20"/>
  <c r="CU81" i="20"/>
  <c r="CQ82" i="20"/>
  <c r="CU82" i="20"/>
  <c r="CQ83" i="20"/>
  <c r="CU83" i="20"/>
  <c r="CQ84" i="20"/>
  <c r="CU84" i="20"/>
  <c r="CQ85" i="20"/>
  <c r="CU85" i="20"/>
  <c r="CQ86" i="20"/>
  <c r="CU86" i="20"/>
  <c r="CQ87" i="20"/>
  <c r="CU87" i="20"/>
  <c r="CQ88" i="20"/>
  <c r="CU88" i="20"/>
  <c r="CQ89" i="20"/>
  <c r="CU89" i="20"/>
  <c r="CQ90" i="20"/>
  <c r="CU90" i="20"/>
  <c r="CQ91" i="20"/>
  <c r="CU91" i="20"/>
  <c r="CQ92" i="20"/>
  <c r="CU92" i="20"/>
  <c r="CR166" i="20"/>
  <c r="CV166" i="20"/>
  <c r="CR167" i="20"/>
  <c r="CV167" i="20"/>
  <c r="CR93" i="20"/>
  <c r="CV93" i="20"/>
  <c r="CR94" i="20"/>
  <c r="CV94" i="20"/>
  <c r="CR95" i="20"/>
  <c r="CV95" i="20"/>
  <c r="CR96" i="20"/>
  <c r="CV96" i="20"/>
  <c r="CR97" i="20"/>
  <c r="CV97" i="20"/>
  <c r="CR98" i="20"/>
  <c r="CV98" i="20"/>
  <c r="CR99" i="20"/>
  <c r="CV99" i="20"/>
  <c r="CR100" i="20"/>
  <c r="CV100" i="20"/>
  <c r="CR101" i="20"/>
  <c r="CV101" i="20"/>
  <c r="CR102" i="20"/>
  <c r="CV102" i="20"/>
  <c r="CR103" i="20"/>
  <c r="CV103" i="20"/>
  <c r="CR104" i="20"/>
  <c r="CV104" i="20"/>
  <c r="CR105" i="20"/>
  <c r="CV105" i="20"/>
  <c r="CR106" i="20"/>
  <c r="CV106" i="20"/>
  <c r="CR107" i="20"/>
  <c r="CV107" i="20"/>
  <c r="CR108" i="20"/>
  <c r="CV108" i="20"/>
  <c r="CR109" i="20"/>
  <c r="CV109" i="20"/>
  <c r="CR110" i="20"/>
  <c r="CV110" i="20"/>
  <c r="CR111" i="20"/>
  <c r="CV111" i="20"/>
  <c r="CR112" i="20"/>
  <c r="CV112" i="20"/>
  <c r="CR113" i="20"/>
  <c r="CV113" i="20"/>
  <c r="CR114" i="20"/>
  <c r="CV114" i="20"/>
  <c r="CR115" i="20"/>
  <c r="CV115" i="20"/>
  <c r="CR116" i="20"/>
  <c r="CV116" i="20"/>
  <c r="CR117" i="20"/>
  <c r="CV117" i="20"/>
  <c r="CR118" i="20"/>
  <c r="CV118" i="20"/>
  <c r="CR119" i="20"/>
  <c r="CV119" i="20"/>
  <c r="CR120" i="20"/>
  <c r="CV120" i="20"/>
  <c r="CR121" i="20"/>
  <c r="CV121" i="20"/>
  <c r="CR122" i="20"/>
  <c r="CV122" i="20"/>
  <c r="CR123" i="20"/>
  <c r="CV123" i="20"/>
  <c r="CR124" i="20"/>
  <c r="CV124" i="20"/>
  <c r="CR125" i="20"/>
  <c r="CV125" i="20"/>
  <c r="CR126" i="20"/>
  <c r="CV126" i="20"/>
  <c r="CR127" i="20"/>
  <c r="CV127" i="20"/>
  <c r="CR128" i="20"/>
  <c r="CV128" i="20"/>
  <c r="CR129" i="20"/>
  <c r="CV129" i="20"/>
  <c r="CR130" i="20"/>
  <c r="CV130" i="20"/>
  <c r="CR131" i="20"/>
  <c r="CV131" i="20"/>
  <c r="CR132" i="20"/>
  <c r="CV132" i="20"/>
  <c r="CR133" i="20"/>
  <c r="CV133" i="20"/>
  <c r="CR134" i="20"/>
  <c r="CV134" i="20"/>
  <c r="CR135" i="20"/>
  <c r="CV135" i="20"/>
  <c r="CR136" i="20"/>
  <c r="CV136" i="20"/>
  <c r="CR137" i="20"/>
  <c r="CV137" i="20"/>
  <c r="CR138" i="20"/>
  <c r="CV138" i="20"/>
  <c r="CR139" i="20"/>
  <c r="CV139" i="20"/>
  <c r="CR140" i="20"/>
  <c r="CV140" i="20"/>
  <c r="CR141" i="20"/>
  <c r="CV141" i="20"/>
  <c r="CR142" i="20"/>
  <c r="CV142" i="20"/>
  <c r="CR143" i="20"/>
  <c r="CV143" i="20"/>
  <c r="CR144" i="20"/>
  <c r="CV144" i="20"/>
  <c r="CR145" i="20"/>
  <c r="CV145" i="20"/>
  <c r="CR146" i="20"/>
  <c r="CV146" i="20"/>
  <c r="CR147" i="20"/>
  <c r="CV147" i="20"/>
  <c r="CR148" i="20"/>
  <c r="CV148" i="20"/>
  <c r="CR149" i="20"/>
  <c r="CV149" i="20"/>
  <c r="CR150" i="20"/>
  <c r="CV150" i="20"/>
  <c r="CR151" i="20"/>
  <c r="CV151" i="20"/>
  <c r="CR152" i="20"/>
  <c r="CV152" i="20"/>
  <c r="CR153" i="20"/>
  <c r="CV153" i="20"/>
  <c r="CR154" i="20"/>
  <c r="CV154" i="20"/>
  <c r="CR155" i="20"/>
  <c r="CV155" i="20"/>
  <c r="CR156" i="20"/>
  <c r="CV156" i="20"/>
  <c r="CR157" i="20"/>
  <c r="CV157" i="20"/>
  <c r="CR158" i="20"/>
  <c r="CV158" i="20"/>
  <c r="CR159" i="20"/>
  <c r="CV159" i="20"/>
  <c r="CR160" i="20"/>
  <c r="CV160" i="20"/>
  <c r="CR161" i="20"/>
  <c r="CV161" i="20"/>
  <c r="CR162" i="20"/>
  <c r="CV162" i="20"/>
  <c r="CR163" i="20"/>
  <c r="CV163" i="20"/>
  <c r="CR164" i="20"/>
  <c r="CV164" i="20"/>
  <c r="CR165" i="20"/>
  <c r="CV165" i="20"/>
  <c r="CR9" i="20"/>
  <c r="CV9" i="20"/>
  <c r="CR10" i="20"/>
  <c r="CV10" i="20"/>
  <c r="CR11" i="20"/>
  <c r="CV11" i="20"/>
  <c r="CR12" i="20"/>
  <c r="CV12" i="20"/>
  <c r="CR13" i="20"/>
  <c r="CV13" i="20"/>
  <c r="CR14" i="20"/>
  <c r="CV14" i="20"/>
  <c r="CR15" i="20"/>
  <c r="CV15" i="20"/>
  <c r="CR16" i="20"/>
  <c r="CV16" i="20"/>
  <c r="CR17" i="20"/>
  <c r="CV17" i="20"/>
  <c r="CR18" i="20"/>
  <c r="CV18" i="20"/>
  <c r="CR19" i="20"/>
  <c r="CV19" i="20"/>
  <c r="CR20" i="20"/>
  <c r="CV20" i="20"/>
  <c r="CR21" i="20"/>
  <c r="CV21" i="20"/>
  <c r="CR22" i="20"/>
  <c r="CV22" i="20"/>
  <c r="CR23" i="20"/>
  <c r="CV23" i="20"/>
  <c r="CR24" i="20"/>
  <c r="CV24" i="20"/>
  <c r="CR25" i="20"/>
  <c r="CV25" i="20"/>
  <c r="CR26" i="20"/>
  <c r="CV26" i="20"/>
  <c r="CR27" i="20"/>
  <c r="CV27" i="20"/>
  <c r="CR28" i="20"/>
  <c r="CV28" i="20"/>
  <c r="CR29" i="20"/>
  <c r="CV29" i="20"/>
  <c r="CR30" i="20"/>
  <c r="CV30" i="20"/>
  <c r="CR31" i="20"/>
  <c r="CV31" i="20"/>
  <c r="CR32" i="20"/>
  <c r="CV32" i="20"/>
  <c r="CR33" i="20"/>
  <c r="CV33" i="20"/>
  <c r="CR34" i="20"/>
  <c r="CV34" i="20"/>
  <c r="CR35" i="20"/>
  <c r="CV35" i="20"/>
  <c r="CR36" i="20"/>
  <c r="CV36" i="20"/>
  <c r="CR37" i="20"/>
  <c r="CV37" i="20"/>
  <c r="CR38" i="20"/>
  <c r="CV38" i="20"/>
  <c r="CR39" i="20"/>
  <c r="CV39" i="20"/>
  <c r="CR40" i="20"/>
  <c r="CV40" i="20"/>
  <c r="CR41" i="20"/>
  <c r="CV41" i="20"/>
  <c r="CR42" i="20"/>
  <c r="CV42" i="20"/>
  <c r="CR43" i="20"/>
  <c r="CV43" i="20"/>
  <c r="CR44" i="20"/>
  <c r="CV44" i="20"/>
  <c r="CR45" i="20"/>
  <c r="CV45" i="20"/>
  <c r="CR46" i="20"/>
  <c r="CV46" i="20"/>
  <c r="CR47" i="20"/>
  <c r="CV47" i="20"/>
  <c r="CR48" i="20"/>
  <c r="CV48" i="20"/>
  <c r="CR49" i="20"/>
  <c r="CV49" i="20"/>
  <c r="CR50" i="20"/>
  <c r="CV50" i="20"/>
  <c r="CR51" i="20"/>
  <c r="CV51" i="20"/>
  <c r="CR52" i="20"/>
  <c r="CV52" i="20"/>
  <c r="CR53" i="20"/>
  <c r="CV53" i="20"/>
  <c r="CR54" i="20"/>
  <c r="CV54" i="20"/>
  <c r="CR55" i="20"/>
  <c r="CV55" i="20"/>
  <c r="CR56" i="20"/>
  <c r="CV56" i="20"/>
  <c r="CR57" i="20"/>
  <c r="CV57" i="20"/>
  <c r="CR58" i="20"/>
  <c r="CV58" i="20"/>
  <c r="CR59" i="20"/>
  <c r="CV59" i="20"/>
  <c r="CR60" i="20"/>
  <c r="CV60" i="20"/>
  <c r="CR61" i="20"/>
  <c r="CV61" i="20"/>
  <c r="CR62" i="20"/>
  <c r="CV62" i="20"/>
  <c r="CR63" i="20"/>
  <c r="CV63" i="20"/>
  <c r="CR64" i="20"/>
  <c r="CV64" i="20"/>
  <c r="CR65" i="20"/>
  <c r="CV65" i="20"/>
  <c r="CR66" i="20"/>
  <c r="CV66" i="20"/>
  <c r="CR67" i="20"/>
  <c r="CV67" i="20"/>
  <c r="CR68" i="20"/>
  <c r="CV68" i="20"/>
  <c r="CR69" i="20"/>
  <c r="CV69" i="20"/>
  <c r="CR70" i="20"/>
  <c r="CV70" i="20"/>
  <c r="CR71" i="20"/>
  <c r="CV71" i="20"/>
  <c r="CR72" i="20"/>
  <c r="CV72" i="20"/>
  <c r="CR73" i="20"/>
  <c r="CV73" i="20"/>
  <c r="CR74" i="20"/>
  <c r="CV74" i="20"/>
  <c r="CR75" i="20"/>
  <c r="CV75" i="20"/>
  <c r="CR76" i="20"/>
  <c r="CV76" i="20"/>
  <c r="CR77" i="20"/>
  <c r="CV77" i="20"/>
  <c r="CR78" i="20"/>
  <c r="CV78" i="20"/>
  <c r="CR79" i="20"/>
  <c r="CV79" i="20"/>
  <c r="CR80" i="20"/>
  <c r="CV80" i="20"/>
  <c r="CS166" i="20"/>
  <c r="CW166" i="20"/>
  <c r="CS167" i="20"/>
  <c r="CW167" i="20"/>
  <c r="CS93" i="20"/>
  <c r="CW93" i="20"/>
  <c r="CS94" i="20"/>
  <c r="CW94" i="20"/>
  <c r="CS95" i="20"/>
  <c r="CW95" i="20"/>
  <c r="CS96" i="20"/>
  <c r="CW96" i="20"/>
  <c r="CS97" i="20"/>
  <c r="CW97" i="20"/>
  <c r="CS98" i="20"/>
  <c r="CW98" i="20"/>
  <c r="CS99" i="20"/>
  <c r="CW99" i="20"/>
  <c r="CS100" i="20"/>
  <c r="CW100" i="20"/>
  <c r="CS101" i="20"/>
  <c r="CW101" i="20"/>
  <c r="CS102" i="20"/>
  <c r="CW102" i="20"/>
  <c r="CS103" i="20"/>
  <c r="CW103" i="20"/>
  <c r="CS104" i="20"/>
  <c r="CW104" i="20"/>
  <c r="CS105" i="20"/>
  <c r="CW105" i="20"/>
  <c r="CS106" i="20"/>
  <c r="CW106" i="20"/>
  <c r="CS107" i="20"/>
  <c r="CW107" i="20"/>
  <c r="CS108" i="20"/>
  <c r="CW108" i="20"/>
  <c r="CS109" i="20"/>
  <c r="CW109" i="20"/>
  <c r="CS110" i="20"/>
  <c r="CW110" i="20"/>
  <c r="CS111" i="20"/>
  <c r="CW111" i="20"/>
  <c r="CS112" i="20"/>
  <c r="CW112" i="20"/>
  <c r="CS113" i="20"/>
  <c r="CW113" i="20"/>
  <c r="CS114" i="20"/>
  <c r="CW114" i="20"/>
  <c r="CS115" i="20"/>
  <c r="CW115" i="20"/>
  <c r="CS116" i="20"/>
  <c r="CW116" i="20"/>
  <c r="CS117" i="20"/>
  <c r="CW117" i="20"/>
  <c r="CS118" i="20"/>
  <c r="CW118" i="20"/>
  <c r="CS119" i="20"/>
  <c r="CW119" i="20"/>
  <c r="CS120" i="20"/>
  <c r="CW120" i="20"/>
  <c r="CS121" i="20"/>
  <c r="CW121" i="20"/>
  <c r="CS122" i="20"/>
  <c r="CW122" i="20"/>
  <c r="CS123" i="20"/>
  <c r="CW123" i="20"/>
  <c r="CS124" i="20"/>
  <c r="CW124" i="20"/>
  <c r="CS125" i="20"/>
  <c r="CW125" i="20"/>
  <c r="CS126" i="20"/>
  <c r="CW126" i="20"/>
  <c r="CS127" i="20"/>
  <c r="CW127" i="20"/>
  <c r="CS128" i="20"/>
  <c r="CW128" i="20"/>
  <c r="CS129" i="20"/>
  <c r="CW129" i="20"/>
  <c r="CS130" i="20"/>
  <c r="CW130" i="20"/>
  <c r="CS131" i="20"/>
  <c r="CW131" i="20"/>
  <c r="CS132" i="20"/>
  <c r="CW132" i="20"/>
  <c r="CS133" i="20"/>
  <c r="CW133" i="20"/>
  <c r="CS134" i="20"/>
  <c r="CW134" i="20"/>
  <c r="CS135" i="20"/>
  <c r="CW135" i="20"/>
  <c r="CS136" i="20"/>
  <c r="CW136" i="20"/>
  <c r="CS137" i="20"/>
  <c r="CW137" i="20"/>
  <c r="CS138" i="20"/>
  <c r="CW138" i="20"/>
  <c r="CS139" i="20"/>
  <c r="CW139" i="20"/>
  <c r="CS140" i="20"/>
  <c r="CW140" i="20"/>
  <c r="CS141" i="20"/>
  <c r="CW141" i="20"/>
  <c r="CS142" i="20"/>
  <c r="CW142" i="20"/>
  <c r="CS143" i="20"/>
  <c r="CW143" i="20"/>
  <c r="CS144" i="20"/>
  <c r="CW144" i="20"/>
  <c r="CS145" i="20"/>
  <c r="CW145" i="20"/>
  <c r="CS146" i="20"/>
  <c r="CW146" i="20"/>
  <c r="CS147" i="20"/>
  <c r="CW147" i="20"/>
  <c r="CS148" i="20"/>
  <c r="CW148" i="20"/>
  <c r="CS149" i="20"/>
  <c r="CW149" i="20"/>
  <c r="CS150" i="20"/>
  <c r="CW150" i="20"/>
  <c r="CS151" i="20"/>
  <c r="CW151" i="20"/>
  <c r="CS152" i="20"/>
  <c r="CW152" i="20"/>
  <c r="CS153" i="20"/>
  <c r="CW153" i="20"/>
  <c r="CS154" i="20"/>
  <c r="CW154" i="20"/>
  <c r="CS155" i="20"/>
  <c r="CW155" i="20"/>
  <c r="CS156" i="20"/>
  <c r="CW156" i="20"/>
  <c r="CS157" i="20"/>
  <c r="CW157" i="20"/>
  <c r="CS158" i="20"/>
  <c r="CW158" i="20"/>
  <c r="CS159" i="20"/>
  <c r="CW159" i="20"/>
  <c r="CS160" i="20"/>
  <c r="CW160" i="20"/>
  <c r="CS161" i="20"/>
  <c r="CW161" i="20"/>
  <c r="CS162" i="20"/>
  <c r="CW162" i="20"/>
  <c r="CS163" i="20"/>
  <c r="CW163" i="20"/>
  <c r="CS164" i="20"/>
  <c r="CW164" i="20"/>
  <c r="CS165" i="20"/>
  <c r="CW165" i="20"/>
  <c r="CS9" i="20"/>
  <c r="CW9" i="20"/>
  <c r="CS10" i="20"/>
  <c r="CW10" i="20"/>
  <c r="CS11" i="20"/>
  <c r="CW11" i="20"/>
  <c r="CS12" i="20"/>
  <c r="CW12" i="20"/>
  <c r="CS13" i="20"/>
  <c r="CW13" i="20"/>
  <c r="CS14" i="20"/>
  <c r="CW14" i="20"/>
  <c r="CS15" i="20"/>
  <c r="CW15" i="20"/>
  <c r="CS16" i="20"/>
  <c r="CW16" i="20"/>
  <c r="CS17" i="20"/>
  <c r="CW17" i="20"/>
  <c r="CS18" i="20"/>
  <c r="CW18" i="20"/>
  <c r="CS19" i="20"/>
  <c r="CW19" i="20"/>
  <c r="CS20" i="20"/>
  <c r="CW20" i="20"/>
  <c r="CS21" i="20"/>
  <c r="CW21" i="20"/>
  <c r="CS22" i="20"/>
  <c r="CW22" i="20"/>
  <c r="CS23" i="20"/>
  <c r="CW23" i="20"/>
  <c r="CS24" i="20"/>
  <c r="CW24" i="20"/>
  <c r="CS25" i="20"/>
  <c r="CW25" i="20"/>
  <c r="CS26" i="20"/>
  <c r="CW26" i="20"/>
  <c r="CS27" i="20"/>
  <c r="CW27" i="20"/>
  <c r="CS28" i="20"/>
  <c r="CW28" i="20"/>
  <c r="CS29" i="20"/>
  <c r="CW29" i="20"/>
  <c r="CS30" i="20"/>
  <c r="CW30" i="20"/>
  <c r="CS31" i="20"/>
  <c r="CW31" i="20"/>
  <c r="CS32" i="20"/>
  <c r="CW32" i="20"/>
  <c r="CS33" i="20"/>
  <c r="CW33" i="20"/>
  <c r="CS34" i="20"/>
  <c r="CW34" i="20"/>
  <c r="CS35" i="20"/>
  <c r="CW35" i="20"/>
  <c r="CS36" i="20"/>
  <c r="CW36" i="20"/>
  <c r="CS37" i="20"/>
  <c r="CW37" i="20"/>
  <c r="CS38" i="20"/>
  <c r="CW38" i="20"/>
  <c r="CS39" i="20"/>
  <c r="CW39" i="20"/>
  <c r="CS40" i="20"/>
  <c r="CW40" i="20"/>
  <c r="CS41" i="20"/>
  <c r="CW41" i="20"/>
  <c r="CS42" i="20"/>
  <c r="CW42" i="20"/>
  <c r="CS43" i="20"/>
  <c r="CW43" i="20"/>
  <c r="CS44" i="20"/>
  <c r="CW44" i="20"/>
  <c r="CS45" i="20"/>
  <c r="CW45" i="20"/>
  <c r="CS46" i="20"/>
  <c r="CW46" i="20"/>
  <c r="CS47" i="20"/>
  <c r="CW47" i="20"/>
  <c r="CS48" i="20"/>
  <c r="CW48" i="20"/>
  <c r="CS49" i="20"/>
  <c r="CW49" i="20"/>
  <c r="CS50" i="20"/>
  <c r="CW50" i="20"/>
  <c r="CS51" i="20"/>
  <c r="CW51" i="20"/>
  <c r="CS52" i="20"/>
  <c r="CW52" i="20"/>
  <c r="CS53" i="20"/>
  <c r="CW53" i="20"/>
  <c r="CS54" i="20"/>
  <c r="CW54" i="20"/>
  <c r="CS55" i="20"/>
  <c r="CW55" i="20"/>
  <c r="CS56" i="20"/>
  <c r="CW56" i="20"/>
  <c r="CS57" i="20"/>
  <c r="CW57" i="20"/>
  <c r="CS58" i="20"/>
  <c r="CW58" i="20"/>
  <c r="CS59" i="20"/>
  <c r="CW59" i="20"/>
  <c r="CS60" i="20"/>
  <c r="CW60" i="20"/>
  <c r="CS61" i="20"/>
  <c r="CW61" i="20"/>
  <c r="CS62" i="20"/>
  <c r="CW62" i="20"/>
  <c r="CS63" i="20"/>
  <c r="CW63" i="20"/>
  <c r="CS64" i="20"/>
  <c r="CW64" i="20"/>
  <c r="CS65" i="20"/>
  <c r="CW65" i="20"/>
  <c r="CS66" i="20"/>
  <c r="CW66" i="20"/>
  <c r="CS67" i="20"/>
  <c r="CW67" i="20"/>
  <c r="CS68" i="20"/>
  <c r="CW68" i="20"/>
  <c r="CS69" i="20"/>
  <c r="CW69" i="20"/>
  <c r="CS70" i="20"/>
  <c r="CW70" i="20"/>
  <c r="CS71" i="20"/>
  <c r="CW71" i="20"/>
  <c r="CS72" i="20"/>
  <c r="CW72" i="20"/>
  <c r="CS73" i="20"/>
  <c r="CW73" i="20"/>
  <c r="CS74" i="20"/>
  <c r="CW74" i="20"/>
  <c r="CS75" i="20"/>
  <c r="CW75" i="20"/>
  <c r="CS76" i="20"/>
  <c r="CW76" i="20"/>
  <c r="CS77" i="20"/>
  <c r="CW77" i="20"/>
  <c r="CS78" i="20"/>
  <c r="CW78" i="20"/>
  <c r="CS79" i="20"/>
  <c r="CW79" i="20"/>
  <c r="CS80" i="20"/>
  <c r="CW80" i="20"/>
  <c r="CT166" i="20"/>
  <c r="CX166" i="20"/>
  <c r="CT167" i="20"/>
  <c r="CX167" i="20"/>
  <c r="CT93" i="20"/>
  <c r="CX93" i="20"/>
  <c r="CT94" i="20"/>
  <c r="CX94" i="20"/>
  <c r="CT95" i="20"/>
  <c r="CX95" i="20"/>
  <c r="CT96" i="20"/>
  <c r="CX96" i="20"/>
  <c r="CT97" i="20"/>
  <c r="CX97" i="20"/>
  <c r="CT98" i="20"/>
  <c r="CX98" i="20"/>
  <c r="CT99" i="20"/>
  <c r="CX99" i="20"/>
  <c r="CT100" i="20"/>
  <c r="CX100" i="20"/>
  <c r="CT101" i="20"/>
  <c r="CX101" i="20"/>
  <c r="CT102" i="20"/>
  <c r="CX102" i="20"/>
  <c r="CT103" i="20"/>
  <c r="CX103" i="20"/>
  <c r="CT104" i="20"/>
  <c r="CX104" i="20"/>
  <c r="CT105" i="20"/>
  <c r="CX105" i="20"/>
  <c r="CT106" i="20"/>
  <c r="CX106" i="20"/>
  <c r="CT107" i="20"/>
  <c r="CX107" i="20"/>
  <c r="CT108" i="20"/>
  <c r="CX108" i="20"/>
  <c r="CT109" i="20"/>
  <c r="CX109" i="20"/>
  <c r="CT110" i="20"/>
  <c r="CX110" i="20"/>
  <c r="CT111" i="20"/>
  <c r="CX111" i="20"/>
  <c r="CT112" i="20"/>
  <c r="CX112" i="20"/>
  <c r="CT113" i="20"/>
  <c r="CX113" i="20"/>
  <c r="CT114" i="20"/>
  <c r="CX114" i="20"/>
  <c r="CT115" i="20"/>
  <c r="CX115" i="20"/>
  <c r="CT116" i="20"/>
  <c r="CX116" i="20"/>
  <c r="CT117" i="20"/>
  <c r="CX117" i="20"/>
  <c r="CT118" i="20"/>
  <c r="CX118" i="20"/>
  <c r="CT119" i="20"/>
  <c r="CX119" i="20"/>
  <c r="CT120" i="20"/>
  <c r="CX120" i="20"/>
  <c r="CT121" i="20"/>
  <c r="CX121" i="20"/>
  <c r="CT122" i="20"/>
  <c r="CX122" i="20"/>
  <c r="CT123" i="20"/>
  <c r="CX123" i="20"/>
  <c r="CT124" i="20"/>
  <c r="CX124" i="20"/>
  <c r="CT125" i="20"/>
  <c r="CX125" i="20"/>
  <c r="CT126" i="20"/>
  <c r="CX126" i="20"/>
  <c r="CT127" i="20"/>
  <c r="CX127" i="20"/>
  <c r="CT128" i="20"/>
  <c r="CX128" i="20"/>
  <c r="CT129" i="20"/>
  <c r="CX129" i="20"/>
  <c r="CT130" i="20"/>
  <c r="CX130" i="20"/>
  <c r="CT131" i="20"/>
  <c r="CX131" i="20"/>
  <c r="CT132" i="20"/>
  <c r="CX132" i="20"/>
  <c r="CT133" i="20"/>
  <c r="CX133" i="20"/>
  <c r="CT134" i="20"/>
  <c r="CX134" i="20"/>
  <c r="CT135" i="20"/>
  <c r="CX135" i="20"/>
  <c r="CT136" i="20"/>
  <c r="CX136" i="20"/>
  <c r="CT137" i="20"/>
  <c r="CX137" i="20"/>
  <c r="CT138" i="20"/>
  <c r="CX138" i="20"/>
  <c r="CT139" i="20"/>
  <c r="CX139" i="20"/>
  <c r="CT140" i="20"/>
  <c r="CX140" i="20"/>
  <c r="CT141" i="20"/>
  <c r="CX141" i="20"/>
  <c r="CT142" i="20"/>
  <c r="CX142" i="20"/>
  <c r="CT143" i="20"/>
  <c r="CX143" i="20"/>
  <c r="CT144" i="20"/>
  <c r="CX144" i="20"/>
  <c r="CT145" i="20"/>
  <c r="CX145" i="20"/>
  <c r="CT146" i="20"/>
  <c r="CX146" i="20"/>
  <c r="CT147" i="20"/>
  <c r="CX147" i="20"/>
  <c r="CT148" i="20"/>
  <c r="CX148" i="20"/>
  <c r="CT149" i="20"/>
  <c r="CX149" i="20"/>
  <c r="CT150" i="20"/>
  <c r="CX150" i="20"/>
  <c r="CT151" i="20"/>
  <c r="CX151" i="20"/>
  <c r="CT152" i="20"/>
  <c r="CX152" i="20"/>
  <c r="CT153" i="20"/>
  <c r="CX153" i="20"/>
  <c r="CT154" i="20"/>
  <c r="CX154" i="20"/>
  <c r="CT155" i="20"/>
  <c r="CX155" i="20"/>
  <c r="CT156" i="20"/>
  <c r="CX156" i="20"/>
  <c r="CT157" i="20"/>
  <c r="CX157" i="20"/>
  <c r="CT158" i="20"/>
  <c r="CX158" i="20"/>
  <c r="CT159" i="20"/>
  <c r="CX159" i="20"/>
  <c r="CT160" i="20"/>
  <c r="CX160" i="20"/>
  <c r="CT161" i="20"/>
  <c r="CX161" i="20"/>
  <c r="CT162" i="20"/>
  <c r="CX162" i="20"/>
  <c r="CT163" i="20"/>
  <c r="CX163" i="20"/>
  <c r="CT164" i="20"/>
  <c r="CX164" i="20"/>
  <c r="CT165" i="20"/>
  <c r="CX165" i="20"/>
  <c r="CT9" i="20"/>
  <c r="CX9" i="20"/>
  <c r="CT10" i="20"/>
  <c r="CX10" i="20"/>
  <c r="CT11" i="20"/>
  <c r="CX11" i="20"/>
  <c r="CT12" i="20"/>
  <c r="CX12" i="20"/>
  <c r="CT13" i="20"/>
  <c r="CX13" i="20"/>
  <c r="CT14" i="20"/>
  <c r="CX14" i="20"/>
  <c r="CT15" i="20"/>
  <c r="CX15" i="20"/>
  <c r="CT16" i="20"/>
  <c r="CX16" i="20"/>
  <c r="CT17" i="20"/>
  <c r="CX17" i="20"/>
  <c r="CT18" i="20"/>
  <c r="CX18" i="20"/>
  <c r="CT19" i="20"/>
  <c r="CX19" i="20"/>
  <c r="CT20" i="20"/>
  <c r="CX20" i="20"/>
  <c r="CT21" i="20"/>
  <c r="CX21" i="20"/>
  <c r="CT22" i="20"/>
  <c r="CX22" i="20"/>
  <c r="CT23" i="20"/>
  <c r="CX23" i="20"/>
  <c r="CT24" i="20"/>
  <c r="CX24" i="20"/>
  <c r="CT25" i="20"/>
  <c r="CX25" i="20"/>
  <c r="CT26" i="20"/>
  <c r="CX26" i="20"/>
  <c r="CT27" i="20"/>
  <c r="CX27" i="20"/>
  <c r="CT28" i="20"/>
  <c r="CX28" i="20"/>
  <c r="CT29" i="20"/>
  <c r="CX29" i="20"/>
  <c r="CT30" i="20"/>
  <c r="CX30" i="20"/>
  <c r="CT31" i="20"/>
  <c r="CX31" i="20"/>
  <c r="CT32" i="20"/>
  <c r="CX32" i="20"/>
  <c r="CT33" i="20"/>
  <c r="CX33" i="20"/>
  <c r="CT34" i="20"/>
  <c r="CX34" i="20"/>
  <c r="CT35" i="20"/>
  <c r="CX35" i="20"/>
  <c r="CT36" i="20"/>
  <c r="CX36" i="20"/>
  <c r="CT37" i="20"/>
  <c r="CX37" i="20"/>
  <c r="CT38" i="20"/>
  <c r="CX38" i="20"/>
  <c r="CT39" i="20"/>
  <c r="CX39" i="20"/>
  <c r="CT40" i="20"/>
  <c r="CX40" i="20"/>
  <c r="CT41" i="20"/>
  <c r="CX41" i="20"/>
  <c r="CT42" i="20"/>
  <c r="CX42" i="20"/>
  <c r="CT43" i="20"/>
  <c r="CX43" i="20"/>
  <c r="CT44" i="20"/>
  <c r="CX44" i="20"/>
  <c r="CT45" i="20"/>
  <c r="CX45" i="20"/>
  <c r="CT46" i="20"/>
  <c r="CX46" i="20"/>
  <c r="CT47" i="20"/>
  <c r="CX47" i="20"/>
  <c r="CT48" i="20"/>
  <c r="CX48" i="20"/>
  <c r="CT49" i="20"/>
  <c r="CX49" i="20"/>
  <c r="CT50" i="20"/>
  <c r="CX50" i="20"/>
  <c r="CT51" i="20"/>
  <c r="CX51" i="20"/>
  <c r="CT52" i="20"/>
  <c r="CX52" i="20"/>
  <c r="CT53" i="20"/>
  <c r="CX53" i="20"/>
  <c r="CT54" i="20"/>
  <c r="CX54" i="20"/>
  <c r="CT55" i="20"/>
  <c r="CX55" i="20"/>
  <c r="CT56" i="20"/>
  <c r="CX56" i="20"/>
  <c r="CT57" i="20"/>
  <c r="CX57" i="20"/>
  <c r="CT58" i="20"/>
  <c r="CX58" i="20"/>
  <c r="CT59" i="20"/>
  <c r="CX59" i="20"/>
  <c r="CT60" i="20"/>
  <c r="CX60" i="20"/>
  <c r="CT61" i="20"/>
  <c r="CX61" i="20"/>
  <c r="CT62" i="20"/>
  <c r="CX62" i="20"/>
  <c r="CT63" i="20"/>
  <c r="CX63" i="20"/>
  <c r="CT64" i="20"/>
  <c r="CX64" i="20"/>
  <c r="CT65" i="20"/>
  <c r="CX65" i="20"/>
  <c r="CT66" i="20"/>
  <c r="CX66" i="20"/>
  <c r="CT67" i="20"/>
  <c r="CX67" i="20"/>
  <c r="CT68" i="20"/>
  <c r="CX68" i="20"/>
  <c r="CT69" i="20"/>
  <c r="CX69" i="20"/>
  <c r="CT70" i="20"/>
  <c r="CX70" i="20"/>
  <c r="CT71" i="20"/>
  <c r="CX71" i="20"/>
  <c r="CT72" i="20"/>
  <c r="CX72" i="20"/>
  <c r="CT73" i="20"/>
  <c r="CX73" i="20"/>
  <c r="CT74" i="20"/>
  <c r="CX74" i="20"/>
  <c r="CT75" i="20"/>
  <c r="CX75" i="20"/>
  <c r="CT76" i="20"/>
  <c r="CX76" i="20"/>
  <c r="CT77" i="20"/>
  <c r="CX77" i="20"/>
  <c r="CT78" i="20"/>
  <c r="CX78" i="20"/>
  <c r="CT79" i="20"/>
  <c r="CX79" i="20"/>
  <c r="CT80" i="20"/>
  <c r="CX80" i="20"/>
  <c r="CT81" i="20"/>
  <c r="CX81" i="20"/>
  <c r="CT82" i="20"/>
  <c r="CX82" i="20"/>
  <c r="CT83" i="20"/>
  <c r="CX83" i="20"/>
  <c r="CT84" i="20"/>
  <c r="CX84" i="20"/>
  <c r="CT85" i="20"/>
  <c r="CX85" i="20"/>
  <c r="CT86" i="20"/>
  <c r="CX86" i="20"/>
  <c r="CT87" i="20"/>
  <c r="CX87" i="20"/>
  <c r="CT88" i="20"/>
  <c r="CX88" i="20"/>
  <c r="CT89" i="20"/>
  <c r="CX89" i="20"/>
  <c r="CT90" i="20"/>
  <c r="CX90" i="20"/>
  <c r="CT91" i="20"/>
  <c r="CX91" i="20"/>
  <c r="CT92" i="20"/>
  <c r="CX92" i="20"/>
  <c r="CW81" i="20"/>
  <c r="CW82" i="20"/>
  <c r="CW83" i="20"/>
  <c r="CW84" i="20"/>
  <c r="CW85" i="20"/>
  <c r="CW86" i="20"/>
  <c r="CW87" i="20"/>
  <c r="CW88" i="20"/>
  <c r="CW89" i="20"/>
  <c r="CW90" i="20"/>
  <c r="CW91" i="20"/>
  <c r="CW92" i="20"/>
  <c r="CR81" i="20"/>
  <c r="CR82" i="20"/>
  <c r="CR83" i="20"/>
  <c r="CR84" i="20"/>
  <c r="CR85" i="20"/>
  <c r="CR86" i="20"/>
  <c r="CR87" i="20"/>
  <c r="CR88" i="20"/>
  <c r="CR89" i="20"/>
  <c r="CR90" i="20"/>
  <c r="CR91" i="20"/>
  <c r="CR92" i="20"/>
  <c r="CS81" i="20"/>
  <c r="CS82" i="20"/>
  <c r="CS83" i="20"/>
  <c r="CS84" i="20"/>
  <c r="CS85" i="20"/>
  <c r="CS86" i="20"/>
  <c r="CS87" i="20"/>
  <c r="CS88" i="20"/>
  <c r="CS89" i="20"/>
  <c r="CS90" i="20"/>
  <c r="CS91" i="20"/>
  <c r="CS92" i="20"/>
  <c r="CV81" i="20"/>
  <c r="CV82" i="20"/>
  <c r="CV83" i="20"/>
  <c r="CV84" i="20"/>
  <c r="CV85" i="20"/>
  <c r="CV86" i="20"/>
  <c r="CV87" i="20"/>
  <c r="CV88" i="20"/>
  <c r="CV89" i="20"/>
  <c r="CV90" i="20"/>
  <c r="CV91" i="20"/>
  <c r="CV92" i="20"/>
  <c r="DS109" i="19"/>
  <c r="DS111" i="19"/>
  <c r="DS113" i="19"/>
  <c r="DS115" i="19"/>
  <c r="DS117" i="19"/>
  <c r="DS119" i="19"/>
  <c r="DS121" i="19"/>
  <c r="DS123" i="19"/>
  <c r="DS9" i="19"/>
  <c r="DS11" i="19"/>
  <c r="DS13" i="19"/>
  <c r="DS15" i="19"/>
  <c r="DS17" i="19"/>
  <c r="DS19" i="19"/>
  <c r="CY99" i="19"/>
  <c r="CY101" i="19"/>
  <c r="CY103" i="19"/>
  <c r="CY105" i="19"/>
  <c r="CY107" i="19"/>
  <c r="CY88" i="19"/>
  <c r="CY90" i="19"/>
  <c r="CY92" i="19"/>
  <c r="CY9" i="19"/>
  <c r="CY11" i="19"/>
  <c r="CY13" i="19"/>
  <c r="CY15" i="19"/>
  <c r="CY17" i="19"/>
  <c r="CY19" i="19"/>
  <c r="DS126" i="19"/>
  <c r="DS21" i="19"/>
  <c r="DS23" i="19"/>
  <c r="DS25" i="19"/>
  <c r="DS27" i="19"/>
  <c r="DS29" i="19"/>
  <c r="DS31" i="19"/>
  <c r="DS33" i="19"/>
  <c r="DS35" i="19"/>
  <c r="DS37" i="19"/>
  <c r="DS39" i="19"/>
  <c r="DS41" i="19"/>
  <c r="DS43" i="19"/>
  <c r="DS45" i="19"/>
  <c r="DS47" i="19"/>
  <c r="DS49" i="19"/>
  <c r="DS51" i="19"/>
  <c r="DS53" i="19"/>
  <c r="DS55" i="19"/>
  <c r="DS57" i="19"/>
  <c r="DS59" i="19"/>
  <c r="DS61" i="19"/>
  <c r="DS63" i="19"/>
  <c r="DS65" i="19"/>
  <c r="DS67" i="19"/>
  <c r="DS69" i="19"/>
  <c r="DS71" i="19"/>
  <c r="DS73" i="19"/>
  <c r="DS75" i="19"/>
  <c r="DS77" i="19"/>
  <c r="DS79" i="19"/>
  <c r="DS81" i="19"/>
  <c r="DS83" i="19"/>
  <c r="DS85" i="19"/>
  <c r="DS87" i="19"/>
  <c r="DS89" i="19"/>
  <c r="DS91" i="19"/>
  <c r="DS93" i="19"/>
  <c r="DS95" i="19"/>
  <c r="DS97" i="19"/>
  <c r="DS99" i="19"/>
  <c r="DS101" i="19"/>
  <c r="DS103" i="19"/>
  <c r="DS105" i="19"/>
  <c r="DS107" i="19"/>
  <c r="CY108" i="19"/>
  <c r="CY110" i="19"/>
  <c r="CY112" i="19"/>
  <c r="CY114" i="19"/>
  <c r="CY116" i="19"/>
  <c r="CY118" i="19"/>
  <c r="CY120" i="19"/>
  <c r="CY122" i="19"/>
  <c r="CY124" i="19"/>
  <c r="CY126" i="19"/>
  <c r="CY94" i="19"/>
  <c r="CY96" i="19"/>
  <c r="CY20" i="19"/>
  <c r="CY22" i="19"/>
  <c r="CY24" i="19"/>
  <c r="CY26" i="19"/>
  <c r="CY28" i="19"/>
  <c r="CY30" i="19"/>
  <c r="CY32" i="19"/>
  <c r="CY34" i="19"/>
  <c r="CY36" i="19"/>
  <c r="CY38" i="19"/>
  <c r="CY40" i="19"/>
  <c r="CY42" i="19"/>
  <c r="CY44" i="19"/>
  <c r="CY46" i="19"/>
  <c r="CY48" i="19"/>
  <c r="CY50" i="19"/>
  <c r="CY52" i="19"/>
  <c r="CY54" i="19"/>
  <c r="CY56" i="19"/>
  <c r="CY58" i="19"/>
  <c r="CY60" i="19"/>
  <c r="CY62" i="19"/>
  <c r="CY64" i="19"/>
  <c r="CY66" i="19"/>
  <c r="CY68" i="19"/>
  <c r="CY70" i="19"/>
  <c r="CY72" i="19"/>
  <c r="CY74" i="19"/>
  <c r="CY76" i="19"/>
  <c r="CY78" i="19"/>
  <c r="CY80" i="19"/>
  <c r="CY82" i="19"/>
  <c r="CY84" i="19"/>
  <c r="CY86" i="19"/>
  <c r="DS108" i="19"/>
  <c r="DS110" i="19"/>
  <c r="DS112" i="19"/>
  <c r="DS114" i="19"/>
  <c r="DS116" i="19"/>
  <c r="DS118" i="19"/>
  <c r="DS120" i="19"/>
  <c r="DS122" i="19"/>
  <c r="DS124" i="19"/>
  <c r="DS10" i="19"/>
  <c r="DS12" i="19"/>
  <c r="DS14" i="19"/>
  <c r="DS16" i="19"/>
  <c r="DS18" i="19"/>
  <c r="DS20" i="19"/>
  <c r="CY98" i="19"/>
  <c r="CY100" i="19"/>
  <c r="CY102" i="19"/>
  <c r="CY104" i="19"/>
  <c r="CY106" i="19"/>
  <c r="CY89" i="19"/>
  <c r="CY91" i="19"/>
  <c r="CY93" i="19"/>
  <c r="CY10" i="19"/>
  <c r="CY12" i="19"/>
  <c r="CY14" i="19"/>
  <c r="CY16" i="19"/>
  <c r="CY18" i="19"/>
  <c r="DS125" i="19"/>
  <c r="DS127" i="19"/>
  <c r="DS22" i="19"/>
  <c r="DS24" i="19"/>
  <c r="DS26" i="19"/>
  <c r="DS28" i="19"/>
  <c r="DS30" i="19"/>
  <c r="DS32" i="19"/>
  <c r="DS34" i="19"/>
  <c r="DS36" i="19"/>
  <c r="DS38" i="19"/>
  <c r="DS40" i="19"/>
  <c r="DS42" i="19"/>
  <c r="DS44" i="19"/>
  <c r="DS46" i="19"/>
  <c r="DS48" i="19"/>
  <c r="DS50" i="19"/>
  <c r="DS52" i="19"/>
  <c r="DS54" i="19"/>
  <c r="DS56" i="19"/>
  <c r="DS58" i="19"/>
  <c r="DS60" i="19"/>
  <c r="DS62" i="19"/>
  <c r="DS64" i="19"/>
  <c r="DS66" i="19"/>
  <c r="DS68" i="19"/>
  <c r="DS70" i="19"/>
  <c r="DS72" i="19"/>
  <c r="DS74" i="19"/>
  <c r="DS76" i="19"/>
  <c r="DS78" i="19"/>
  <c r="DS80" i="19"/>
  <c r="DS82" i="19"/>
  <c r="DS84" i="19"/>
  <c r="DS86" i="19"/>
  <c r="DS88" i="19"/>
  <c r="DS90" i="19"/>
  <c r="DS92" i="19"/>
  <c r="DS94" i="19"/>
  <c r="DS96" i="19"/>
  <c r="DS98" i="19"/>
  <c r="DS100" i="19"/>
  <c r="DS102" i="19"/>
  <c r="DS104" i="19"/>
  <c r="DS106" i="19"/>
  <c r="CY109" i="19"/>
  <c r="CY111" i="19"/>
  <c r="CY113" i="19"/>
  <c r="CY115" i="19"/>
  <c r="CY117" i="19"/>
  <c r="CY119" i="19"/>
  <c r="CY121" i="19"/>
  <c r="CY123" i="19"/>
  <c r="CY125" i="19"/>
  <c r="CY127" i="19"/>
  <c r="CY95" i="19"/>
  <c r="CY97" i="19"/>
  <c r="CY21" i="19"/>
  <c r="CY23" i="19"/>
  <c r="CY25" i="19"/>
  <c r="CY27" i="19"/>
  <c r="CY29" i="19"/>
  <c r="CY31" i="19"/>
  <c r="CY33" i="19"/>
  <c r="CY35" i="19"/>
  <c r="CY37" i="19"/>
  <c r="CY39" i="19"/>
  <c r="CY41" i="19"/>
  <c r="CY43" i="19"/>
  <c r="CY45" i="19"/>
  <c r="CY47" i="19"/>
  <c r="CY49" i="19"/>
  <c r="CY51" i="19"/>
  <c r="CY53" i="19"/>
  <c r="CY55" i="19"/>
  <c r="CY57" i="19"/>
  <c r="CY59" i="19"/>
  <c r="CY61" i="19"/>
  <c r="CY63" i="19"/>
  <c r="CY65" i="19"/>
  <c r="CY67" i="19"/>
  <c r="CY69" i="19"/>
  <c r="CY71" i="19"/>
  <c r="CY73" i="19"/>
  <c r="CY75" i="19"/>
  <c r="CY77" i="19"/>
  <c r="CY79" i="19"/>
  <c r="CY81" i="19"/>
  <c r="CY83" i="19"/>
  <c r="CY85" i="19"/>
  <c r="CY87" i="19"/>
  <c r="CE120" i="19"/>
  <c r="CE122" i="19"/>
  <c r="CE124" i="19"/>
  <c r="CE126" i="19"/>
  <c r="CE81" i="19"/>
  <c r="CE83" i="19"/>
  <c r="CE85" i="19"/>
  <c r="CE87" i="19"/>
  <c r="CE89" i="19"/>
  <c r="CE91" i="19"/>
  <c r="CE93" i="19"/>
  <c r="CE95" i="19"/>
  <c r="CE97" i="19"/>
  <c r="CE99" i="19"/>
  <c r="CE101" i="19"/>
  <c r="CE103" i="19"/>
  <c r="CE105" i="19"/>
  <c r="CE107" i="19"/>
  <c r="CE109" i="19"/>
  <c r="CE111" i="19"/>
  <c r="CE113" i="19"/>
  <c r="CE115" i="19"/>
  <c r="CE117" i="19"/>
  <c r="CE55" i="19"/>
  <c r="CE57" i="19"/>
  <c r="CE59" i="19"/>
  <c r="CE61" i="19"/>
  <c r="CE63" i="19"/>
  <c r="CE65" i="19"/>
  <c r="CE67" i="19"/>
  <c r="CE69" i="19"/>
  <c r="CE71" i="19"/>
  <c r="CE73" i="19"/>
  <c r="CE75" i="19"/>
  <c r="CE77" i="19"/>
  <c r="CE79" i="19"/>
  <c r="CE9" i="19"/>
  <c r="CE11" i="19"/>
  <c r="CE13" i="19"/>
  <c r="CE15" i="19"/>
  <c r="CE17" i="19"/>
  <c r="CE19" i="19"/>
  <c r="CE21" i="19"/>
  <c r="CE23" i="19"/>
  <c r="CE25" i="19"/>
  <c r="CE27" i="19"/>
  <c r="CE29" i="19"/>
  <c r="CE31" i="19"/>
  <c r="CE33" i="19"/>
  <c r="CE35" i="19"/>
  <c r="CE37" i="19"/>
  <c r="CE39" i="19"/>
  <c r="CE41" i="19"/>
  <c r="CE43" i="19"/>
  <c r="CE45" i="19"/>
  <c r="CE47" i="19"/>
  <c r="CE49" i="19"/>
  <c r="CE51" i="19"/>
  <c r="CE53" i="19"/>
  <c r="BK121" i="19"/>
  <c r="BK123" i="19"/>
  <c r="BK125" i="19"/>
  <c r="BK127" i="19"/>
  <c r="BK106" i="19"/>
  <c r="BK108" i="19"/>
  <c r="BK110" i="19"/>
  <c r="BK112" i="19"/>
  <c r="BK114" i="19"/>
  <c r="BK116" i="19"/>
  <c r="BK118" i="19"/>
  <c r="BK96" i="19"/>
  <c r="BK98" i="19"/>
  <c r="BK100" i="19"/>
  <c r="BK102" i="19"/>
  <c r="BK104" i="19"/>
  <c r="BK86" i="19"/>
  <c r="BK88" i="19"/>
  <c r="BK90" i="19"/>
  <c r="BK92" i="19"/>
  <c r="BK94" i="19"/>
  <c r="BK9" i="19"/>
  <c r="BK11" i="19"/>
  <c r="BK13" i="19"/>
  <c r="BK15" i="19"/>
  <c r="BK17" i="19"/>
  <c r="BK19" i="19"/>
  <c r="BK21" i="19"/>
  <c r="BK23" i="19"/>
  <c r="BK25" i="19"/>
  <c r="BK27" i="19"/>
  <c r="BK29" i="19"/>
  <c r="BK31" i="19"/>
  <c r="BK33" i="19"/>
  <c r="BK35" i="19"/>
  <c r="BK37" i="19"/>
  <c r="BK39" i="19"/>
  <c r="BK41" i="19"/>
  <c r="BK43" i="19"/>
  <c r="BK45" i="19"/>
  <c r="BK47" i="19"/>
  <c r="BK49" i="19"/>
  <c r="BK51" i="19"/>
  <c r="BK53" i="19"/>
  <c r="BK55" i="19"/>
  <c r="BK57" i="19"/>
  <c r="BK59" i="19"/>
  <c r="BK61" i="19"/>
  <c r="BK63" i="19"/>
  <c r="BK65" i="19"/>
  <c r="BK67" i="19"/>
  <c r="BK69" i="19"/>
  <c r="BK71" i="19"/>
  <c r="BK73" i="19"/>
  <c r="BK75" i="19"/>
  <c r="BK77" i="19"/>
  <c r="BK79" i="19"/>
  <c r="BK81" i="19"/>
  <c r="BK83" i="19"/>
  <c r="CE119" i="19"/>
  <c r="CE121" i="19"/>
  <c r="CE123" i="19"/>
  <c r="CE125" i="19"/>
  <c r="CE127" i="19"/>
  <c r="CE82" i="19"/>
  <c r="CE84" i="19"/>
  <c r="CE86" i="19"/>
  <c r="CE88" i="19"/>
  <c r="CE90" i="19"/>
  <c r="CE92" i="19"/>
  <c r="CE94" i="19"/>
  <c r="CE96" i="19"/>
  <c r="CE98" i="19"/>
  <c r="CE100" i="19"/>
  <c r="CE102" i="19"/>
  <c r="CE104" i="19"/>
  <c r="CE106" i="19"/>
  <c r="CE108" i="19"/>
  <c r="CE110" i="19"/>
  <c r="CE112" i="19"/>
  <c r="CE114" i="19"/>
  <c r="CE116" i="19"/>
  <c r="CE118" i="19"/>
  <c r="CE56" i="19"/>
  <c r="CE58" i="19"/>
  <c r="CE60" i="19"/>
  <c r="CE62" i="19"/>
  <c r="CE64" i="19"/>
  <c r="CE66" i="19"/>
  <c r="CE68" i="19"/>
  <c r="CE70" i="19"/>
  <c r="CE72" i="19"/>
  <c r="CE74" i="19"/>
  <c r="CE76" i="19"/>
  <c r="CE78" i="19"/>
  <c r="CE80" i="19"/>
  <c r="CE10" i="19"/>
  <c r="CE12" i="19"/>
  <c r="CE14" i="19"/>
  <c r="CE16" i="19"/>
  <c r="CE18" i="19"/>
  <c r="CE20" i="19"/>
  <c r="CE22" i="19"/>
  <c r="CE24" i="19"/>
  <c r="CE26" i="19"/>
  <c r="CE28" i="19"/>
  <c r="CE30" i="19"/>
  <c r="CE32" i="19"/>
  <c r="CE34" i="19"/>
  <c r="CE36" i="19"/>
  <c r="CE38" i="19"/>
  <c r="CE40" i="19"/>
  <c r="CE42" i="19"/>
  <c r="CE44" i="19"/>
  <c r="CE46" i="19"/>
  <c r="CE48" i="19"/>
  <c r="CE50" i="19"/>
  <c r="CE52" i="19"/>
  <c r="CE54" i="19"/>
  <c r="BK120" i="19"/>
  <c r="BK122" i="19"/>
  <c r="BK124" i="19"/>
  <c r="BK126" i="19"/>
  <c r="BK105" i="19"/>
  <c r="BK107" i="19"/>
  <c r="BK109" i="19"/>
  <c r="BK111" i="19"/>
  <c r="BK113" i="19"/>
  <c r="BK115" i="19"/>
  <c r="BK117" i="19"/>
  <c r="BK119" i="19"/>
  <c r="BK97" i="19"/>
  <c r="BK99" i="19"/>
  <c r="BK101" i="19"/>
  <c r="BK103" i="19"/>
  <c r="BK85" i="19"/>
  <c r="BK87" i="19"/>
  <c r="BK89" i="19"/>
  <c r="BK91" i="19"/>
  <c r="BK93" i="19"/>
  <c r="BK95" i="19"/>
  <c r="BK10" i="19"/>
  <c r="BK12" i="19"/>
  <c r="BK14" i="19"/>
  <c r="BK16" i="19"/>
  <c r="BK18" i="19"/>
  <c r="BK20" i="19"/>
  <c r="BK22" i="19"/>
  <c r="BK24" i="19"/>
  <c r="BK26" i="19"/>
  <c r="BK28" i="19"/>
  <c r="BK30" i="19"/>
  <c r="BK32" i="19"/>
  <c r="BK34" i="19"/>
  <c r="BK36" i="19"/>
  <c r="BK38" i="19"/>
  <c r="BK40" i="19"/>
  <c r="BK42" i="19"/>
  <c r="BK44" i="19"/>
  <c r="BK46" i="19"/>
  <c r="BK48" i="19"/>
  <c r="BK50" i="19"/>
  <c r="BK52" i="19"/>
  <c r="BK54" i="19"/>
  <c r="BK56" i="19"/>
  <c r="BK58" i="19"/>
  <c r="BK60" i="19"/>
  <c r="BK62" i="19"/>
  <c r="BK64" i="19"/>
  <c r="BK66" i="19"/>
  <c r="BK68" i="19"/>
  <c r="BK70" i="19"/>
  <c r="BK72" i="19"/>
  <c r="BK76" i="19"/>
  <c r="BK80" i="19"/>
  <c r="BK84" i="19"/>
  <c r="AQ88" i="19"/>
  <c r="AQ23" i="19"/>
  <c r="AQ37" i="19"/>
  <c r="AQ39" i="19"/>
  <c r="AQ51" i="19"/>
  <c r="AQ57" i="19"/>
  <c r="AQ59" i="19"/>
  <c r="AQ61" i="19"/>
  <c r="AQ71" i="19"/>
  <c r="AQ73" i="19"/>
  <c r="AQ75" i="19"/>
  <c r="AQ77" i="19"/>
  <c r="AQ83" i="19"/>
  <c r="AQ85" i="19"/>
  <c r="AQ87" i="19"/>
  <c r="AQ94" i="19"/>
  <c r="AQ96" i="19"/>
  <c r="AQ100" i="19"/>
  <c r="AQ102" i="19"/>
  <c r="AQ104" i="19"/>
  <c r="AQ106" i="19"/>
  <c r="AQ114" i="19"/>
  <c r="AQ116" i="19"/>
  <c r="AQ118" i="19"/>
  <c r="AQ122" i="19"/>
  <c r="AQ9" i="19"/>
  <c r="AQ11" i="19"/>
  <c r="AQ13" i="19"/>
  <c r="AQ17" i="19"/>
  <c r="AQ19" i="19"/>
  <c r="AQ21" i="19"/>
  <c r="AQ24" i="19"/>
  <c r="AQ26" i="19"/>
  <c r="AQ28" i="19"/>
  <c r="AQ30" i="19"/>
  <c r="AQ32" i="19"/>
  <c r="AQ34" i="19"/>
  <c r="AQ36" i="19"/>
  <c r="AQ38" i="19"/>
  <c r="AQ40" i="19"/>
  <c r="AQ42" i="19"/>
  <c r="AQ44" i="19"/>
  <c r="AQ46" i="19"/>
  <c r="AQ48" i="19"/>
  <c r="AQ50" i="19"/>
  <c r="AQ52" i="19"/>
  <c r="AQ54" i="19"/>
  <c r="AQ56" i="19"/>
  <c r="AQ58" i="19"/>
  <c r="AQ60" i="19"/>
  <c r="AQ62" i="19"/>
  <c r="AQ64" i="19"/>
  <c r="AQ66" i="19"/>
  <c r="AQ68" i="19"/>
  <c r="AQ70" i="19"/>
  <c r="AQ72" i="19"/>
  <c r="AQ74" i="19"/>
  <c r="AQ76" i="19"/>
  <c r="AQ78" i="19"/>
  <c r="AQ80" i="19"/>
  <c r="AQ82" i="19"/>
  <c r="AQ84" i="19"/>
  <c r="AQ86" i="19"/>
  <c r="AQ89" i="19"/>
  <c r="AQ91" i="19"/>
  <c r="AQ93" i="19"/>
  <c r="AQ95" i="19"/>
  <c r="AQ97" i="19"/>
  <c r="AQ99" i="19"/>
  <c r="AQ101" i="19"/>
  <c r="AQ103" i="19"/>
  <c r="AQ105" i="19"/>
  <c r="AQ107" i="19"/>
  <c r="AQ109" i="19"/>
  <c r="AQ111" i="19"/>
  <c r="AQ113" i="19"/>
  <c r="AQ115" i="19"/>
  <c r="AQ117" i="19"/>
  <c r="AQ119" i="19"/>
  <c r="AQ121" i="19"/>
  <c r="AQ123" i="19"/>
  <c r="AQ125" i="19"/>
  <c r="AQ127" i="19"/>
  <c r="AQ10" i="19"/>
  <c r="AQ12" i="19"/>
  <c r="AQ14" i="19"/>
  <c r="AQ16" i="19"/>
  <c r="AQ18" i="19"/>
  <c r="AQ20" i="19"/>
  <c r="AQ22" i="19"/>
  <c r="AQ27" i="19"/>
  <c r="AQ29" i="19"/>
  <c r="AQ31" i="19"/>
  <c r="AQ43" i="19"/>
  <c r="AQ45" i="19"/>
  <c r="AQ47" i="19"/>
  <c r="AQ53" i="19"/>
  <c r="AQ63" i="19"/>
  <c r="AQ65" i="19"/>
  <c r="AQ67" i="19"/>
  <c r="AQ90" i="19"/>
  <c r="AQ108" i="19"/>
  <c r="AQ110" i="19"/>
  <c r="AQ124" i="19"/>
  <c r="AQ126" i="19"/>
  <c r="BK74" i="19"/>
  <c r="BK78" i="19"/>
  <c r="BK82" i="19"/>
  <c r="AQ25" i="19"/>
  <c r="AQ33" i="19"/>
  <c r="AQ35" i="19"/>
  <c r="AQ41" i="19"/>
  <c r="AQ49" i="19"/>
  <c r="AQ55" i="19"/>
  <c r="AQ69" i="19"/>
  <c r="AQ79" i="19"/>
  <c r="AQ81" i="19"/>
  <c r="AQ92" i="19"/>
  <c r="AQ98" i="19"/>
  <c r="AQ112" i="19"/>
  <c r="AQ120" i="19"/>
  <c r="AQ15" i="19"/>
  <c r="DU108" i="19"/>
  <c r="DU110" i="19"/>
  <c r="DU112" i="19"/>
  <c r="DU114" i="19"/>
  <c r="DU116" i="19"/>
  <c r="DU118" i="19"/>
  <c r="DU120" i="19"/>
  <c r="DU122" i="19"/>
  <c r="DU124" i="19"/>
  <c r="DU10" i="19"/>
  <c r="DU12" i="19"/>
  <c r="DU14" i="19"/>
  <c r="DU16" i="19"/>
  <c r="DU18" i="19"/>
  <c r="DU20" i="19"/>
  <c r="DA98" i="19"/>
  <c r="DA100" i="19"/>
  <c r="DA102" i="19"/>
  <c r="DA104" i="19"/>
  <c r="DA106" i="19"/>
  <c r="DA89" i="19"/>
  <c r="DA91" i="19"/>
  <c r="DA93" i="19"/>
  <c r="DA10" i="19"/>
  <c r="DA12" i="19"/>
  <c r="DA14" i="19"/>
  <c r="DU125" i="19"/>
  <c r="DU127" i="19"/>
  <c r="DU22" i="19"/>
  <c r="DU24" i="19"/>
  <c r="DU26" i="19"/>
  <c r="DU28" i="19"/>
  <c r="DU30" i="19"/>
  <c r="DU32" i="19"/>
  <c r="DU34" i="19"/>
  <c r="DU36" i="19"/>
  <c r="DU38" i="19"/>
  <c r="DU40" i="19"/>
  <c r="DU42" i="19"/>
  <c r="DU44" i="19"/>
  <c r="DU46" i="19"/>
  <c r="DU48" i="19"/>
  <c r="DU50" i="19"/>
  <c r="DU52" i="19"/>
  <c r="DU54" i="19"/>
  <c r="DU56" i="19"/>
  <c r="DU58" i="19"/>
  <c r="DU60" i="19"/>
  <c r="DU62" i="19"/>
  <c r="DU64" i="19"/>
  <c r="DU66" i="19"/>
  <c r="DU68" i="19"/>
  <c r="DU70" i="19"/>
  <c r="DU72" i="19"/>
  <c r="DU74" i="19"/>
  <c r="DU76" i="19"/>
  <c r="DU78" i="19"/>
  <c r="DU80" i="19"/>
  <c r="DU82" i="19"/>
  <c r="DU84" i="19"/>
  <c r="DU86" i="19"/>
  <c r="DU88" i="19"/>
  <c r="DU90" i="19"/>
  <c r="DU92" i="19"/>
  <c r="DU94" i="19"/>
  <c r="DU96" i="19"/>
  <c r="DU98" i="19"/>
  <c r="DU100" i="19"/>
  <c r="DU102" i="19"/>
  <c r="DU104" i="19"/>
  <c r="DU106" i="19"/>
  <c r="DA109" i="19"/>
  <c r="DA111" i="19"/>
  <c r="DA113" i="19"/>
  <c r="DA115" i="19"/>
  <c r="DA117" i="19"/>
  <c r="DA119" i="19"/>
  <c r="DA121" i="19"/>
  <c r="DA123" i="19"/>
  <c r="DA125" i="19"/>
  <c r="DA127" i="19"/>
  <c r="DA95" i="19"/>
  <c r="DA97" i="19"/>
  <c r="DA21" i="19"/>
  <c r="DA23" i="19"/>
  <c r="DA25" i="19"/>
  <c r="DA27" i="19"/>
  <c r="DA29" i="19"/>
  <c r="DA31" i="19"/>
  <c r="DA33" i="19"/>
  <c r="DA35" i="19"/>
  <c r="DA37" i="19"/>
  <c r="DA39" i="19"/>
  <c r="DA41" i="19"/>
  <c r="DA43" i="19"/>
  <c r="DA45" i="19"/>
  <c r="DA47" i="19"/>
  <c r="DA49" i="19"/>
  <c r="DA51" i="19"/>
  <c r="DA53" i="19"/>
  <c r="DA55" i="19"/>
  <c r="DA57" i="19"/>
  <c r="DA59" i="19"/>
  <c r="DA61" i="19"/>
  <c r="DA63" i="19"/>
  <c r="DA65" i="19"/>
  <c r="DA67" i="19"/>
  <c r="DA69" i="19"/>
  <c r="DA71" i="19"/>
  <c r="DA73" i="19"/>
  <c r="DA75" i="19"/>
  <c r="DA77" i="19"/>
  <c r="DA79" i="19"/>
  <c r="DA81" i="19"/>
  <c r="DA83" i="19"/>
  <c r="DA85" i="19"/>
  <c r="DA87" i="19"/>
  <c r="DU109" i="19"/>
  <c r="DU111" i="19"/>
  <c r="DU113" i="19"/>
  <c r="DU115" i="19"/>
  <c r="DU117" i="19"/>
  <c r="DU119" i="19"/>
  <c r="DU121" i="19"/>
  <c r="DU123" i="19"/>
  <c r="DU9" i="19"/>
  <c r="DU11" i="19"/>
  <c r="DU13" i="19"/>
  <c r="DU15" i="19"/>
  <c r="DU17" i="19"/>
  <c r="DU19" i="19"/>
  <c r="DA99" i="19"/>
  <c r="DA101" i="19"/>
  <c r="DA103" i="19"/>
  <c r="DA105" i="19"/>
  <c r="DA107" i="19"/>
  <c r="DA88" i="19"/>
  <c r="DA90" i="19"/>
  <c r="DA92" i="19"/>
  <c r="DA9" i="19"/>
  <c r="DA11" i="19"/>
  <c r="DA13" i="19"/>
  <c r="DA15" i="19"/>
  <c r="DA17" i="19"/>
  <c r="DA19" i="19"/>
  <c r="DU126" i="19"/>
  <c r="DU21" i="19"/>
  <c r="DU23" i="19"/>
  <c r="DU25" i="19"/>
  <c r="DU27" i="19"/>
  <c r="DU29" i="19"/>
  <c r="DU31" i="19"/>
  <c r="DU33" i="19"/>
  <c r="DU35" i="19"/>
  <c r="DU37" i="19"/>
  <c r="DU39" i="19"/>
  <c r="DU41" i="19"/>
  <c r="DU43" i="19"/>
  <c r="DU45" i="19"/>
  <c r="DU47" i="19"/>
  <c r="DU49" i="19"/>
  <c r="DU51" i="19"/>
  <c r="DU53" i="19"/>
  <c r="DU55" i="19"/>
  <c r="DU57" i="19"/>
  <c r="DU59" i="19"/>
  <c r="DU61" i="19"/>
  <c r="DU63" i="19"/>
  <c r="DU65" i="19"/>
  <c r="DU67" i="19"/>
  <c r="DU69" i="19"/>
  <c r="DU71" i="19"/>
  <c r="DU73" i="19"/>
  <c r="DU75" i="19"/>
  <c r="DU77" i="19"/>
  <c r="DU79" i="19"/>
  <c r="DU81" i="19"/>
  <c r="DU83" i="19"/>
  <c r="DU85" i="19"/>
  <c r="DU87" i="19"/>
  <c r="DU89" i="19"/>
  <c r="DU91" i="19"/>
  <c r="DU93" i="19"/>
  <c r="DU95" i="19"/>
  <c r="DU97" i="19"/>
  <c r="DU99" i="19"/>
  <c r="DU101" i="19"/>
  <c r="DU103" i="19"/>
  <c r="DU105" i="19"/>
  <c r="DU107" i="19"/>
  <c r="DA108" i="19"/>
  <c r="DA110" i="19"/>
  <c r="DA112" i="19"/>
  <c r="DA114" i="19"/>
  <c r="DA116" i="19"/>
  <c r="DA118" i="19"/>
  <c r="DA120" i="19"/>
  <c r="DA122" i="19"/>
  <c r="DA124" i="19"/>
  <c r="DA126" i="19"/>
  <c r="DA94" i="19"/>
  <c r="DA96" i="19"/>
  <c r="DA20" i="19"/>
  <c r="DA22" i="19"/>
  <c r="DA24" i="19"/>
  <c r="DA26" i="19"/>
  <c r="DA28" i="19"/>
  <c r="DA30" i="19"/>
  <c r="DA32" i="19"/>
  <c r="DA34" i="19"/>
  <c r="DA36" i="19"/>
  <c r="DA38" i="19"/>
  <c r="DA40" i="19"/>
  <c r="DA42" i="19"/>
  <c r="DA44" i="19"/>
  <c r="DA46" i="19"/>
  <c r="DA48" i="19"/>
  <c r="DA50" i="19"/>
  <c r="DA52" i="19"/>
  <c r="DA54" i="19"/>
  <c r="DA56" i="19"/>
  <c r="DA58" i="19"/>
  <c r="DA60" i="19"/>
  <c r="DA62" i="19"/>
  <c r="DA64" i="19"/>
  <c r="DA66" i="19"/>
  <c r="DA68" i="19"/>
  <c r="DA70" i="19"/>
  <c r="DA72" i="19"/>
  <c r="DA74" i="19"/>
  <c r="DA76" i="19"/>
  <c r="DA78" i="19"/>
  <c r="DA80" i="19"/>
  <c r="DA82" i="19"/>
  <c r="DA84" i="19"/>
  <c r="DA86" i="19"/>
  <c r="DA16" i="19"/>
  <c r="DA18" i="19"/>
  <c r="CG119" i="19"/>
  <c r="CG121" i="19"/>
  <c r="CG123" i="19"/>
  <c r="CG125" i="19"/>
  <c r="CG127" i="19"/>
  <c r="CG82" i="19"/>
  <c r="CG84" i="19"/>
  <c r="CG86" i="19"/>
  <c r="CG88" i="19"/>
  <c r="CG90" i="19"/>
  <c r="CG92" i="19"/>
  <c r="CG94" i="19"/>
  <c r="CG96" i="19"/>
  <c r="CG98" i="19"/>
  <c r="CG100" i="19"/>
  <c r="CG102" i="19"/>
  <c r="CG104" i="19"/>
  <c r="CG106" i="19"/>
  <c r="CG108" i="19"/>
  <c r="CG110" i="19"/>
  <c r="CG112" i="19"/>
  <c r="CG114" i="19"/>
  <c r="CG116" i="19"/>
  <c r="CG118" i="19"/>
  <c r="CG56" i="19"/>
  <c r="CG58" i="19"/>
  <c r="CG60" i="19"/>
  <c r="CG62" i="19"/>
  <c r="CG64" i="19"/>
  <c r="CG66" i="19"/>
  <c r="CG68" i="19"/>
  <c r="CG70" i="19"/>
  <c r="CG72" i="19"/>
  <c r="CG74" i="19"/>
  <c r="CG76" i="19"/>
  <c r="CG78" i="19"/>
  <c r="CG80" i="19"/>
  <c r="CG10" i="19"/>
  <c r="CG12" i="19"/>
  <c r="CG14" i="19"/>
  <c r="CG16" i="19"/>
  <c r="CG18" i="19"/>
  <c r="CG20" i="19"/>
  <c r="CG22" i="19"/>
  <c r="CG24" i="19"/>
  <c r="CG26" i="19"/>
  <c r="CG28" i="19"/>
  <c r="CG30" i="19"/>
  <c r="CG32" i="19"/>
  <c r="CG34" i="19"/>
  <c r="CG36" i="19"/>
  <c r="CG38" i="19"/>
  <c r="CG40" i="19"/>
  <c r="CG42" i="19"/>
  <c r="CG44" i="19"/>
  <c r="CG46" i="19"/>
  <c r="CG48" i="19"/>
  <c r="CG50" i="19"/>
  <c r="CG52" i="19"/>
  <c r="CG54" i="19"/>
  <c r="BM120" i="19"/>
  <c r="BM122" i="19"/>
  <c r="BM124" i="19"/>
  <c r="BM126" i="19"/>
  <c r="BM105" i="19"/>
  <c r="BM107" i="19"/>
  <c r="BM109" i="19"/>
  <c r="BM111" i="19"/>
  <c r="BM113" i="19"/>
  <c r="BM115" i="19"/>
  <c r="BM117" i="19"/>
  <c r="BM119" i="19"/>
  <c r="BM97" i="19"/>
  <c r="BM99" i="19"/>
  <c r="BM101" i="19"/>
  <c r="BM103" i="19"/>
  <c r="BM85" i="19"/>
  <c r="BM87" i="19"/>
  <c r="BM89" i="19"/>
  <c r="BM91" i="19"/>
  <c r="BM93" i="19"/>
  <c r="BM95" i="19"/>
  <c r="BM10" i="19"/>
  <c r="BM12" i="19"/>
  <c r="BM14" i="19"/>
  <c r="BM16" i="19"/>
  <c r="BM18" i="19"/>
  <c r="BM20" i="19"/>
  <c r="BM22" i="19"/>
  <c r="BM24" i="19"/>
  <c r="BM26" i="19"/>
  <c r="BM28" i="19"/>
  <c r="BM30" i="19"/>
  <c r="BM32" i="19"/>
  <c r="BM34" i="19"/>
  <c r="BM36" i="19"/>
  <c r="BM38" i="19"/>
  <c r="BM40" i="19"/>
  <c r="BM42" i="19"/>
  <c r="BM44" i="19"/>
  <c r="BM46" i="19"/>
  <c r="BM48" i="19"/>
  <c r="BM50" i="19"/>
  <c r="BM52" i="19"/>
  <c r="BM54" i="19"/>
  <c r="BM56" i="19"/>
  <c r="BM58" i="19"/>
  <c r="BM60" i="19"/>
  <c r="BM62" i="19"/>
  <c r="BM64" i="19"/>
  <c r="BM66" i="19"/>
  <c r="BM68" i="19"/>
  <c r="BM70" i="19"/>
  <c r="BM72" i="19"/>
  <c r="BM74" i="19"/>
  <c r="BM76" i="19"/>
  <c r="BM78" i="19"/>
  <c r="BM80" i="19"/>
  <c r="BM82" i="19"/>
  <c r="BM84" i="19"/>
  <c r="CG120" i="19"/>
  <c r="CG122" i="19"/>
  <c r="CG124" i="19"/>
  <c r="CG126" i="19"/>
  <c r="CG81" i="19"/>
  <c r="CG83" i="19"/>
  <c r="CG85" i="19"/>
  <c r="CG87" i="19"/>
  <c r="CG89" i="19"/>
  <c r="CG91" i="19"/>
  <c r="CG93" i="19"/>
  <c r="CG95" i="19"/>
  <c r="CG97" i="19"/>
  <c r="CG99" i="19"/>
  <c r="CG101" i="19"/>
  <c r="CG103" i="19"/>
  <c r="CG105" i="19"/>
  <c r="CG107" i="19"/>
  <c r="CG109" i="19"/>
  <c r="CG111" i="19"/>
  <c r="CG113" i="19"/>
  <c r="CG115" i="19"/>
  <c r="CG117" i="19"/>
  <c r="CG55" i="19"/>
  <c r="CG57" i="19"/>
  <c r="CG59" i="19"/>
  <c r="CG61" i="19"/>
  <c r="CG63" i="19"/>
  <c r="CG65" i="19"/>
  <c r="CG67" i="19"/>
  <c r="CG69" i="19"/>
  <c r="CG71" i="19"/>
  <c r="CG73" i="19"/>
  <c r="CG75" i="19"/>
  <c r="CG77" i="19"/>
  <c r="CG79" i="19"/>
  <c r="CG9" i="19"/>
  <c r="CG11" i="19"/>
  <c r="CG13" i="19"/>
  <c r="CG15" i="19"/>
  <c r="CG17" i="19"/>
  <c r="CG19" i="19"/>
  <c r="CG21" i="19"/>
  <c r="CG23" i="19"/>
  <c r="CG25" i="19"/>
  <c r="CG27" i="19"/>
  <c r="CG29" i="19"/>
  <c r="CG31" i="19"/>
  <c r="CG33" i="19"/>
  <c r="CG35" i="19"/>
  <c r="CG37" i="19"/>
  <c r="CG39" i="19"/>
  <c r="CG41" i="19"/>
  <c r="CG43" i="19"/>
  <c r="CG45" i="19"/>
  <c r="CG47" i="19"/>
  <c r="CG49" i="19"/>
  <c r="CG51" i="19"/>
  <c r="CG53" i="19"/>
  <c r="BM121" i="19"/>
  <c r="BM123" i="19"/>
  <c r="BM125" i="19"/>
  <c r="BM127" i="19"/>
  <c r="BM106" i="19"/>
  <c r="BM108" i="19"/>
  <c r="BM110" i="19"/>
  <c r="BM112" i="19"/>
  <c r="BM114" i="19"/>
  <c r="BM116" i="19"/>
  <c r="BM118" i="19"/>
  <c r="BM96" i="19"/>
  <c r="BM98" i="19"/>
  <c r="BM100" i="19"/>
  <c r="BM102" i="19"/>
  <c r="BM104" i="19"/>
  <c r="BM86" i="19"/>
  <c r="BM88" i="19"/>
  <c r="BM90" i="19"/>
  <c r="BM92" i="19"/>
  <c r="BM94" i="19"/>
  <c r="BM9" i="19"/>
  <c r="BM11" i="19"/>
  <c r="BM13" i="19"/>
  <c r="BM15" i="19"/>
  <c r="BM17" i="19"/>
  <c r="BM19" i="19"/>
  <c r="BM21" i="19"/>
  <c r="BM23" i="19"/>
  <c r="BM25" i="19"/>
  <c r="BM27" i="19"/>
  <c r="BM29" i="19"/>
  <c r="BM31" i="19"/>
  <c r="BM33" i="19"/>
  <c r="BM35" i="19"/>
  <c r="BM37" i="19"/>
  <c r="BM39" i="19"/>
  <c r="BM41" i="19"/>
  <c r="BM43" i="19"/>
  <c r="BM45" i="19"/>
  <c r="BM47" i="19"/>
  <c r="BM49" i="19"/>
  <c r="BM51" i="19"/>
  <c r="BM53" i="19"/>
  <c r="BM55" i="19"/>
  <c r="BM57" i="19"/>
  <c r="BM59" i="19"/>
  <c r="BM61" i="19"/>
  <c r="BM63" i="19"/>
  <c r="BM65" i="19"/>
  <c r="BM67" i="19"/>
  <c r="BM69" i="19"/>
  <c r="BM71" i="19"/>
  <c r="BM73" i="19"/>
  <c r="BM75" i="19"/>
  <c r="BM79" i="19"/>
  <c r="BM83" i="19"/>
  <c r="AS24" i="19"/>
  <c r="AS26" i="19"/>
  <c r="AS28" i="19"/>
  <c r="AS38" i="19"/>
  <c r="AS40" i="19"/>
  <c r="AS42" i="19"/>
  <c r="AS52" i="19"/>
  <c r="AS60" i="19"/>
  <c r="AS62" i="19"/>
  <c r="AS64" i="19"/>
  <c r="AS74" i="19"/>
  <c r="AS76" i="19"/>
  <c r="AS78" i="19"/>
  <c r="AS80" i="19"/>
  <c r="AS86" i="19"/>
  <c r="AS95" i="19"/>
  <c r="AS97" i="19"/>
  <c r="AS105" i="19"/>
  <c r="AS107" i="19"/>
  <c r="AS117" i="19"/>
  <c r="AS119" i="19"/>
  <c r="AS12" i="19"/>
  <c r="AS14" i="19"/>
  <c r="AS20" i="19"/>
  <c r="AS22" i="19"/>
  <c r="AS23" i="19"/>
  <c r="AS25" i="19"/>
  <c r="AS27" i="19"/>
  <c r="AS29" i="19"/>
  <c r="AS31" i="19"/>
  <c r="AS33" i="19"/>
  <c r="AS35" i="19"/>
  <c r="AS37" i="19"/>
  <c r="AS39" i="19"/>
  <c r="AS41" i="19"/>
  <c r="AS43" i="19"/>
  <c r="AS45" i="19"/>
  <c r="AS47" i="19"/>
  <c r="AS49" i="19"/>
  <c r="AS51" i="19"/>
  <c r="AS53" i="19"/>
  <c r="AS55" i="19"/>
  <c r="AS57" i="19"/>
  <c r="AS59" i="19"/>
  <c r="AS61" i="19"/>
  <c r="AS63" i="19"/>
  <c r="AS65" i="19"/>
  <c r="AS67" i="19"/>
  <c r="AS69" i="19"/>
  <c r="AS71" i="19"/>
  <c r="AS73" i="19"/>
  <c r="AS75" i="19"/>
  <c r="AS77" i="19"/>
  <c r="AS79" i="19"/>
  <c r="AS81" i="19"/>
  <c r="AS83" i="19"/>
  <c r="AS85" i="19"/>
  <c r="AS87" i="19"/>
  <c r="AS90" i="19"/>
  <c r="AS92" i="19"/>
  <c r="AS94" i="19"/>
  <c r="AS96" i="19"/>
  <c r="AS98" i="19"/>
  <c r="AS100" i="19"/>
  <c r="AS102" i="19"/>
  <c r="AS104" i="19"/>
  <c r="AS106" i="19"/>
  <c r="AS108" i="19"/>
  <c r="AS110" i="19"/>
  <c r="AS112" i="19"/>
  <c r="AS114" i="19"/>
  <c r="AS116" i="19"/>
  <c r="AS118" i="19"/>
  <c r="AS120" i="19"/>
  <c r="AS122" i="19"/>
  <c r="AS124" i="19"/>
  <c r="AS126" i="19"/>
  <c r="AS9" i="19"/>
  <c r="AS11" i="19"/>
  <c r="AS13" i="19"/>
  <c r="AS15" i="19"/>
  <c r="AS17" i="19"/>
  <c r="AS19" i="19"/>
  <c r="AS21" i="19"/>
  <c r="AS30" i="19"/>
  <c r="AS32" i="19"/>
  <c r="AS34" i="19"/>
  <c r="AS46" i="19"/>
  <c r="AS48" i="19"/>
  <c r="AS50" i="19"/>
  <c r="AS54" i="19"/>
  <c r="AS66" i="19"/>
  <c r="AS68" i="19"/>
  <c r="AS89" i="19"/>
  <c r="AS91" i="19"/>
  <c r="AS93" i="19"/>
  <c r="AS99" i="19"/>
  <c r="AS111" i="19"/>
  <c r="AS113" i="19"/>
  <c r="AS125" i="19"/>
  <c r="AS127" i="19"/>
  <c r="BM77" i="19"/>
  <c r="BM81" i="19"/>
  <c r="AS88" i="19"/>
  <c r="AS36" i="19"/>
  <c r="AS44" i="19"/>
  <c r="AS56" i="19"/>
  <c r="AS58" i="19"/>
  <c r="AS70" i="19"/>
  <c r="AS72" i="19"/>
  <c r="AS82" i="19"/>
  <c r="AS84" i="19"/>
  <c r="AS101" i="19"/>
  <c r="AS103" i="19"/>
  <c r="AS109" i="19"/>
  <c r="AS115" i="19"/>
  <c r="AS121" i="19"/>
  <c r="AS123" i="19"/>
  <c r="AS10" i="19"/>
  <c r="AS16" i="19"/>
  <c r="AS18" i="19"/>
  <c r="BV160" i="20"/>
  <c r="BZ160" i="20"/>
  <c r="BV161" i="20"/>
  <c r="BZ161" i="20"/>
  <c r="BV162" i="20"/>
  <c r="BZ162" i="20"/>
  <c r="BV163" i="20"/>
  <c r="BZ163" i="20"/>
  <c r="BV164" i="20"/>
  <c r="BZ164" i="20"/>
  <c r="BV165" i="20"/>
  <c r="BZ165" i="20"/>
  <c r="BV166" i="20"/>
  <c r="BZ166" i="20"/>
  <c r="BV167" i="20"/>
  <c r="BZ167" i="20"/>
  <c r="BV143" i="20"/>
  <c r="BZ143" i="20"/>
  <c r="BV144" i="20"/>
  <c r="BZ144" i="20"/>
  <c r="BV145" i="20"/>
  <c r="BZ145" i="20"/>
  <c r="BV146" i="20"/>
  <c r="BZ146" i="20"/>
  <c r="BV147" i="20"/>
  <c r="BZ147" i="20"/>
  <c r="BV148" i="20"/>
  <c r="BZ148" i="20"/>
  <c r="BV149" i="20"/>
  <c r="BZ149" i="20"/>
  <c r="BV150" i="20"/>
  <c r="BZ150" i="20"/>
  <c r="BV151" i="20"/>
  <c r="BZ151" i="20"/>
  <c r="BV152" i="20"/>
  <c r="BZ152" i="20"/>
  <c r="BV153" i="20"/>
  <c r="BZ153" i="20"/>
  <c r="BV154" i="20"/>
  <c r="BZ154" i="20"/>
  <c r="BV155" i="20"/>
  <c r="BZ155" i="20"/>
  <c r="BV156" i="20"/>
  <c r="BZ156" i="20"/>
  <c r="BV157" i="20"/>
  <c r="BZ157" i="20"/>
  <c r="BV158" i="20"/>
  <c r="BZ158" i="20"/>
  <c r="BV159" i="20"/>
  <c r="BZ159" i="20"/>
  <c r="BV129" i="20"/>
  <c r="BZ129" i="20"/>
  <c r="BV130" i="20"/>
  <c r="BZ130" i="20"/>
  <c r="BV131" i="20"/>
  <c r="BZ131" i="20"/>
  <c r="BV132" i="20"/>
  <c r="BZ132" i="20"/>
  <c r="BV133" i="20"/>
  <c r="BZ133" i="20"/>
  <c r="BV134" i="20"/>
  <c r="BZ134" i="20"/>
  <c r="BV135" i="20"/>
  <c r="BZ135" i="20"/>
  <c r="BV136" i="20"/>
  <c r="BZ136" i="20"/>
  <c r="BV137" i="20"/>
  <c r="BZ137" i="20"/>
  <c r="BV138" i="20"/>
  <c r="BZ138" i="20"/>
  <c r="BV139" i="20"/>
  <c r="BZ139" i="20"/>
  <c r="BV140" i="20"/>
  <c r="BZ140" i="20"/>
  <c r="BV141" i="20"/>
  <c r="BZ141" i="20"/>
  <c r="BV142" i="20"/>
  <c r="BZ142" i="20"/>
  <c r="BV95" i="20"/>
  <c r="BZ95" i="20"/>
  <c r="BV96" i="20"/>
  <c r="BZ96" i="20"/>
  <c r="BV97" i="20"/>
  <c r="BZ97" i="20"/>
  <c r="BV98" i="20"/>
  <c r="BZ98" i="20"/>
  <c r="BV99" i="20"/>
  <c r="BZ99" i="20"/>
  <c r="BV100" i="20"/>
  <c r="BZ100" i="20"/>
  <c r="BV101" i="20"/>
  <c r="BZ101" i="20"/>
  <c r="BV102" i="20"/>
  <c r="BZ102" i="20"/>
  <c r="BV103" i="20"/>
  <c r="BZ103" i="20"/>
  <c r="BV104" i="20"/>
  <c r="BZ104" i="20"/>
  <c r="BV105" i="20"/>
  <c r="BZ105" i="20"/>
  <c r="BV106" i="20"/>
  <c r="BZ106" i="20"/>
  <c r="BV107" i="20"/>
  <c r="BZ107" i="20"/>
  <c r="BV108" i="20"/>
  <c r="BZ108" i="20"/>
  <c r="BV109" i="20"/>
  <c r="BZ109" i="20"/>
  <c r="BV110" i="20"/>
  <c r="BZ110" i="20"/>
  <c r="BV111" i="20"/>
  <c r="BZ111" i="20"/>
  <c r="BV112" i="20"/>
  <c r="BZ112" i="20"/>
  <c r="BV113" i="20"/>
  <c r="BZ113" i="20"/>
  <c r="BV114" i="20"/>
  <c r="BZ114" i="20"/>
  <c r="BV115" i="20"/>
  <c r="BZ115" i="20"/>
  <c r="BV116" i="20"/>
  <c r="BZ116" i="20"/>
  <c r="BV117" i="20"/>
  <c r="BZ117" i="20"/>
  <c r="BV118" i="20"/>
  <c r="BZ118" i="20"/>
  <c r="BV119" i="20"/>
  <c r="BZ119" i="20"/>
  <c r="BV120" i="20"/>
  <c r="BZ120" i="20"/>
  <c r="BV121" i="20"/>
  <c r="BZ121" i="20"/>
  <c r="BV122" i="20"/>
  <c r="BZ122" i="20"/>
  <c r="BV123" i="20"/>
  <c r="BZ123" i="20"/>
  <c r="BV124" i="20"/>
  <c r="BZ124" i="20"/>
  <c r="BV125" i="20"/>
  <c r="BZ125" i="20"/>
  <c r="BV126" i="20"/>
  <c r="BZ126" i="20"/>
  <c r="BV127" i="20"/>
  <c r="BZ127" i="20"/>
  <c r="BV128" i="20"/>
  <c r="BZ128" i="20"/>
  <c r="BV84" i="20"/>
  <c r="BZ84" i="20"/>
  <c r="BV85" i="20"/>
  <c r="BZ85" i="20"/>
  <c r="BV86" i="20"/>
  <c r="BZ86" i="20"/>
  <c r="BV87" i="20"/>
  <c r="BZ87" i="20"/>
  <c r="BV88" i="20"/>
  <c r="BZ88" i="20"/>
  <c r="BV89" i="20"/>
  <c r="BZ89" i="20"/>
  <c r="BV90" i="20"/>
  <c r="BZ90" i="20"/>
  <c r="BV91" i="20"/>
  <c r="BZ91" i="20"/>
  <c r="BV92" i="20"/>
  <c r="BZ92" i="20"/>
  <c r="BV93" i="20"/>
  <c r="BZ93" i="20"/>
  <c r="BV94" i="20"/>
  <c r="BZ94" i="20"/>
  <c r="BV9" i="20"/>
  <c r="BZ9" i="20"/>
  <c r="BV10" i="20"/>
  <c r="BZ10" i="20"/>
  <c r="BV11" i="20"/>
  <c r="BZ11" i="20"/>
  <c r="BV12" i="20"/>
  <c r="BZ12" i="20"/>
  <c r="BV13" i="20"/>
  <c r="BZ13" i="20"/>
  <c r="BV14" i="20"/>
  <c r="BZ14" i="20"/>
  <c r="BV15" i="20"/>
  <c r="BZ15" i="20"/>
  <c r="BV16" i="20"/>
  <c r="BZ16" i="20"/>
  <c r="BV17" i="20"/>
  <c r="BZ17" i="20"/>
  <c r="BV18" i="20"/>
  <c r="BZ18" i="20"/>
  <c r="BV19" i="20"/>
  <c r="BZ19" i="20"/>
  <c r="BV20" i="20"/>
  <c r="BZ20" i="20"/>
  <c r="BV21" i="20"/>
  <c r="BZ21" i="20"/>
  <c r="BV22" i="20"/>
  <c r="BZ22" i="20"/>
  <c r="BV23" i="20"/>
  <c r="BZ23" i="20"/>
  <c r="BV24" i="20"/>
  <c r="BZ24" i="20"/>
  <c r="BV25" i="20"/>
  <c r="BZ25" i="20"/>
  <c r="BV26" i="20"/>
  <c r="BZ26" i="20"/>
  <c r="BV27" i="20"/>
  <c r="BZ27" i="20"/>
  <c r="BV28" i="20"/>
  <c r="BZ28" i="20"/>
  <c r="BV29" i="20"/>
  <c r="BZ29" i="20"/>
  <c r="BV30" i="20"/>
  <c r="BZ30" i="20"/>
  <c r="BV31" i="20"/>
  <c r="BZ31" i="20"/>
  <c r="BV32" i="20"/>
  <c r="BZ32" i="20"/>
  <c r="BV33" i="20"/>
  <c r="BZ33" i="20"/>
  <c r="BV34" i="20"/>
  <c r="BZ34" i="20"/>
  <c r="BV35" i="20"/>
  <c r="BZ35" i="20"/>
  <c r="BV36" i="20"/>
  <c r="BZ36" i="20"/>
  <c r="BV37" i="20"/>
  <c r="BZ37" i="20"/>
  <c r="BV38" i="20"/>
  <c r="BZ38" i="20"/>
  <c r="BV39" i="20"/>
  <c r="BZ39" i="20"/>
  <c r="BV40" i="20"/>
  <c r="BZ40" i="20"/>
  <c r="BV41" i="20"/>
  <c r="BZ41" i="20"/>
  <c r="BV42" i="20"/>
  <c r="BZ42" i="20"/>
  <c r="BV43" i="20"/>
  <c r="BZ43" i="20"/>
  <c r="BV44" i="20"/>
  <c r="BZ44" i="20"/>
  <c r="BV45" i="20"/>
  <c r="BZ45" i="20"/>
  <c r="BV46" i="20"/>
  <c r="BZ46" i="20"/>
  <c r="BV47" i="20"/>
  <c r="BZ47" i="20"/>
  <c r="BV48" i="20"/>
  <c r="BZ48" i="20"/>
  <c r="BV49" i="20"/>
  <c r="BZ49" i="20"/>
  <c r="BV50" i="20"/>
  <c r="BZ50" i="20"/>
  <c r="BV51" i="20"/>
  <c r="BZ51" i="20"/>
  <c r="BV52" i="20"/>
  <c r="BZ52" i="20"/>
  <c r="BV53" i="20"/>
  <c r="BZ53" i="20"/>
  <c r="BV54" i="20"/>
  <c r="BZ54" i="20"/>
  <c r="BV55" i="20"/>
  <c r="BZ55" i="20"/>
  <c r="BV56" i="20"/>
  <c r="BZ56" i="20"/>
  <c r="BV57" i="20"/>
  <c r="BZ57" i="20"/>
  <c r="BV58" i="20"/>
  <c r="BZ58" i="20"/>
  <c r="BV59" i="20"/>
  <c r="BZ59" i="20"/>
  <c r="BV60" i="20"/>
  <c r="BZ60" i="20"/>
  <c r="BV61" i="20"/>
  <c r="BZ61" i="20"/>
  <c r="BV62" i="20"/>
  <c r="BZ62" i="20"/>
  <c r="BV63" i="20"/>
  <c r="BZ63" i="20"/>
  <c r="BV64" i="20"/>
  <c r="BZ64" i="20"/>
  <c r="BV65" i="20"/>
  <c r="BZ65" i="20"/>
  <c r="BV66" i="20"/>
  <c r="BZ66" i="20"/>
  <c r="BV67" i="20"/>
  <c r="BZ67" i="20"/>
  <c r="BV68" i="20"/>
  <c r="BZ68" i="20"/>
  <c r="BV69" i="20"/>
  <c r="BZ69" i="20"/>
  <c r="BV70" i="20"/>
  <c r="BZ70" i="20"/>
  <c r="BV71" i="20"/>
  <c r="BZ71" i="20"/>
  <c r="BV72" i="20"/>
  <c r="BZ72" i="20"/>
  <c r="BV73" i="20"/>
  <c r="BZ73" i="20"/>
  <c r="BV74" i="20"/>
  <c r="BZ74" i="20"/>
  <c r="BV75" i="20"/>
  <c r="BZ75" i="20"/>
  <c r="BV76" i="20"/>
  <c r="BZ76" i="20"/>
  <c r="BV77" i="20"/>
  <c r="BZ77" i="20"/>
  <c r="BV78" i="20"/>
  <c r="BZ78" i="20"/>
  <c r="BV79" i="20"/>
  <c r="BZ79" i="20"/>
  <c r="BV80" i="20"/>
  <c r="BZ80" i="20"/>
  <c r="BV81" i="20"/>
  <c r="BZ81" i="20"/>
  <c r="BV82" i="20"/>
  <c r="BZ82" i="20"/>
  <c r="BV83" i="20"/>
  <c r="BZ83" i="20"/>
  <c r="BS160" i="20"/>
  <c r="BW160" i="20"/>
  <c r="BS161" i="20"/>
  <c r="BW161" i="20"/>
  <c r="BS162" i="20"/>
  <c r="BW162" i="20"/>
  <c r="BS163" i="20"/>
  <c r="BW163" i="20"/>
  <c r="BS164" i="20"/>
  <c r="BW164" i="20"/>
  <c r="BS165" i="20"/>
  <c r="BW165" i="20"/>
  <c r="BS166" i="20"/>
  <c r="BW166" i="20"/>
  <c r="BS167" i="20"/>
  <c r="BW167" i="20"/>
  <c r="BS143" i="20"/>
  <c r="BW143" i="20"/>
  <c r="BS144" i="20"/>
  <c r="BW144" i="20"/>
  <c r="BS145" i="20"/>
  <c r="BW145" i="20"/>
  <c r="BS146" i="20"/>
  <c r="BW146" i="20"/>
  <c r="BS147" i="20"/>
  <c r="BW147" i="20"/>
  <c r="BS148" i="20"/>
  <c r="BW148" i="20"/>
  <c r="BS149" i="20"/>
  <c r="BW149" i="20"/>
  <c r="BS150" i="20"/>
  <c r="BW150" i="20"/>
  <c r="BS151" i="20"/>
  <c r="BW151" i="20"/>
  <c r="BS152" i="20"/>
  <c r="BW152" i="20"/>
  <c r="BS153" i="20"/>
  <c r="BW153" i="20"/>
  <c r="BS154" i="20"/>
  <c r="BW154" i="20"/>
  <c r="BS155" i="20"/>
  <c r="BW155" i="20"/>
  <c r="BS156" i="20"/>
  <c r="BW156" i="20"/>
  <c r="BS157" i="20"/>
  <c r="BW157" i="20"/>
  <c r="BS158" i="20"/>
  <c r="BW158" i="20"/>
  <c r="BS159" i="20"/>
  <c r="BW159" i="20"/>
  <c r="BS129" i="20"/>
  <c r="BW129" i="20"/>
  <c r="BS130" i="20"/>
  <c r="BW130" i="20"/>
  <c r="BS131" i="20"/>
  <c r="BW131" i="20"/>
  <c r="BS132" i="20"/>
  <c r="BW132" i="20"/>
  <c r="BS133" i="20"/>
  <c r="BW133" i="20"/>
  <c r="BS134" i="20"/>
  <c r="BW134" i="20"/>
  <c r="BS135" i="20"/>
  <c r="BW135" i="20"/>
  <c r="BS136" i="20"/>
  <c r="BW136" i="20"/>
  <c r="BS137" i="20"/>
  <c r="BW137" i="20"/>
  <c r="BS138" i="20"/>
  <c r="BW138" i="20"/>
  <c r="BS139" i="20"/>
  <c r="BW139" i="20"/>
  <c r="BS140" i="20"/>
  <c r="BW140" i="20"/>
  <c r="BS141" i="20"/>
  <c r="BW141" i="20"/>
  <c r="BS142" i="20"/>
  <c r="BW142" i="20"/>
  <c r="BS95" i="20"/>
  <c r="BW95" i="20"/>
  <c r="BS96" i="20"/>
  <c r="BW96" i="20"/>
  <c r="BS97" i="20"/>
  <c r="BW97" i="20"/>
  <c r="BS98" i="20"/>
  <c r="BW98" i="20"/>
  <c r="BS99" i="20"/>
  <c r="BW99" i="20"/>
  <c r="BS100" i="20"/>
  <c r="BW100" i="20"/>
  <c r="BS101" i="20"/>
  <c r="BW101" i="20"/>
  <c r="BS102" i="20"/>
  <c r="BW102" i="20"/>
  <c r="BS103" i="20"/>
  <c r="BW103" i="20"/>
  <c r="BS104" i="20"/>
  <c r="BW104" i="20"/>
  <c r="BS105" i="20"/>
  <c r="BW105" i="20"/>
  <c r="BS106" i="20"/>
  <c r="BW106" i="20"/>
  <c r="BS107" i="20"/>
  <c r="BW107" i="20"/>
  <c r="BS108" i="20"/>
  <c r="BW108" i="20"/>
  <c r="BS109" i="20"/>
  <c r="BW109" i="20"/>
  <c r="BS110" i="20"/>
  <c r="BW110" i="20"/>
  <c r="BS111" i="20"/>
  <c r="BW111" i="20"/>
  <c r="BS112" i="20"/>
  <c r="BW112" i="20"/>
  <c r="BS113" i="20"/>
  <c r="BW113" i="20"/>
  <c r="BS114" i="20"/>
  <c r="BW114" i="20"/>
  <c r="BS115" i="20"/>
  <c r="BW115" i="20"/>
  <c r="BS116" i="20"/>
  <c r="BW116" i="20"/>
  <c r="BS117" i="20"/>
  <c r="BW117" i="20"/>
  <c r="BS118" i="20"/>
  <c r="BW118" i="20"/>
  <c r="BS119" i="20"/>
  <c r="BW119" i="20"/>
  <c r="BS120" i="20"/>
  <c r="BW120" i="20"/>
  <c r="BS121" i="20"/>
  <c r="BW121" i="20"/>
  <c r="BS122" i="20"/>
  <c r="BW122" i="20"/>
  <c r="BS123" i="20"/>
  <c r="BW123" i="20"/>
  <c r="BS124" i="20"/>
  <c r="BW124" i="20"/>
  <c r="BS125" i="20"/>
  <c r="BW125" i="20"/>
  <c r="BS126" i="20"/>
  <c r="BW126" i="20"/>
  <c r="BS127" i="20"/>
  <c r="BW127" i="20"/>
  <c r="BS128" i="20"/>
  <c r="BW128" i="20"/>
  <c r="BS84" i="20"/>
  <c r="BW84" i="20"/>
  <c r="BS85" i="20"/>
  <c r="BW85" i="20"/>
  <c r="BS86" i="20"/>
  <c r="BW86" i="20"/>
  <c r="BS87" i="20"/>
  <c r="BW87" i="20"/>
  <c r="BS88" i="20"/>
  <c r="BW88" i="20"/>
  <c r="BS89" i="20"/>
  <c r="BW89" i="20"/>
  <c r="BS90" i="20"/>
  <c r="BW90" i="20"/>
  <c r="BS91" i="20"/>
  <c r="BW91" i="20"/>
  <c r="BS92" i="20"/>
  <c r="BW92" i="20"/>
  <c r="BS93" i="20"/>
  <c r="BW93" i="20"/>
  <c r="BS94" i="20"/>
  <c r="BW94" i="20"/>
  <c r="BS9" i="20"/>
  <c r="BW9" i="20"/>
  <c r="BS10" i="20"/>
  <c r="BW10" i="20"/>
  <c r="BS11" i="20"/>
  <c r="BW11" i="20"/>
  <c r="BS12" i="20"/>
  <c r="BW12" i="20"/>
  <c r="BS13" i="20"/>
  <c r="BW13" i="20"/>
  <c r="BS14" i="20"/>
  <c r="BW14" i="20"/>
  <c r="BS15" i="20"/>
  <c r="BW15" i="20"/>
  <c r="BS16" i="20"/>
  <c r="BW16" i="20"/>
  <c r="BS17" i="20"/>
  <c r="BW17" i="20"/>
  <c r="BS18" i="20"/>
  <c r="BW18" i="20"/>
  <c r="BS19" i="20"/>
  <c r="BW19" i="20"/>
  <c r="BS20" i="20"/>
  <c r="BW20" i="20"/>
  <c r="BS21" i="20"/>
  <c r="BW21" i="20"/>
  <c r="BS22" i="20"/>
  <c r="BW22" i="20"/>
  <c r="BS23" i="20"/>
  <c r="BW23" i="20"/>
  <c r="BS24" i="20"/>
  <c r="BW24" i="20"/>
  <c r="BS25" i="20"/>
  <c r="BW25" i="20"/>
  <c r="BS26" i="20"/>
  <c r="BW26" i="20"/>
  <c r="BS27" i="20"/>
  <c r="BW27" i="20"/>
  <c r="BS28" i="20"/>
  <c r="BW28" i="20"/>
  <c r="BS29" i="20"/>
  <c r="BW29" i="20"/>
  <c r="BS30" i="20"/>
  <c r="BW30" i="20"/>
  <c r="BS31" i="20"/>
  <c r="BW31" i="20"/>
  <c r="BS32" i="20"/>
  <c r="BW32" i="20"/>
  <c r="BS33" i="20"/>
  <c r="BW33" i="20"/>
  <c r="BS34" i="20"/>
  <c r="BW34" i="20"/>
  <c r="BS35" i="20"/>
  <c r="BW35" i="20"/>
  <c r="BS36" i="20"/>
  <c r="BW36" i="20"/>
  <c r="BS37" i="20"/>
  <c r="BW37" i="20"/>
  <c r="BS38" i="20"/>
  <c r="BW38" i="20"/>
  <c r="BS39" i="20"/>
  <c r="BW39" i="20"/>
  <c r="BS40" i="20"/>
  <c r="BW40" i="20"/>
  <c r="BS41" i="20"/>
  <c r="BW41" i="20"/>
  <c r="BS42" i="20"/>
  <c r="BW42" i="20"/>
  <c r="BS43" i="20"/>
  <c r="BW43" i="20"/>
  <c r="BS44" i="20"/>
  <c r="BW44" i="20"/>
  <c r="BS45" i="20"/>
  <c r="BW45" i="20"/>
  <c r="BS46" i="20"/>
  <c r="BW46" i="20"/>
  <c r="BS47" i="20"/>
  <c r="BW47" i="20"/>
  <c r="BS48" i="20"/>
  <c r="BW48" i="20"/>
  <c r="BS49" i="20"/>
  <c r="BW49" i="20"/>
  <c r="BS50" i="20"/>
  <c r="BW50" i="20"/>
  <c r="BS51" i="20"/>
  <c r="BW51" i="20"/>
  <c r="BS52" i="20"/>
  <c r="BW52" i="20"/>
  <c r="BS53" i="20"/>
  <c r="BW53" i="20"/>
  <c r="BS54" i="20"/>
  <c r="BW54" i="20"/>
  <c r="BS55" i="20"/>
  <c r="BW55" i="20"/>
  <c r="BS56" i="20"/>
  <c r="BW56" i="20"/>
  <c r="BS57" i="20"/>
  <c r="BW57" i="20"/>
  <c r="BS58" i="20"/>
  <c r="BW58" i="20"/>
  <c r="BS59" i="20"/>
  <c r="BW59" i="20"/>
  <c r="BS60" i="20"/>
  <c r="BW60" i="20"/>
  <c r="BS61" i="20"/>
  <c r="BW61" i="20"/>
  <c r="BS62" i="20"/>
  <c r="BW62" i="20"/>
  <c r="BS63" i="20"/>
  <c r="BW63" i="20"/>
  <c r="BS64" i="20"/>
  <c r="BW64" i="20"/>
  <c r="BS65" i="20"/>
  <c r="BW65" i="20"/>
  <c r="BS66" i="20"/>
  <c r="BW66" i="20"/>
  <c r="BS67" i="20"/>
  <c r="BW67" i="20"/>
  <c r="BS68" i="20"/>
  <c r="BW68" i="20"/>
  <c r="BT160" i="20"/>
  <c r="BX160" i="20"/>
  <c r="BT161" i="20"/>
  <c r="BX161" i="20"/>
  <c r="BT162" i="20"/>
  <c r="BX162" i="20"/>
  <c r="BT163" i="20"/>
  <c r="BX163" i="20"/>
  <c r="BT164" i="20"/>
  <c r="BX164" i="20"/>
  <c r="BT165" i="20"/>
  <c r="BX165" i="20"/>
  <c r="BT166" i="20"/>
  <c r="BX166" i="20"/>
  <c r="BT167" i="20"/>
  <c r="BX167" i="20"/>
  <c r="BT143" i="20"/>
  <c r="BX143" i="20"/>
  <c r="BT144" i="20"/>
  <c r="BX144" i="20"/>
  <c r="BT145" i="20"/>
  <c r="BX145" i="20"/>
  <c r="BT146" i="20"/>
  <c r="BX146" i="20"/>
  <c r="BT147" i="20"/>
  <c r="BX147" i="20"/>
  <c r="BT148" i="20"/>
  <c r="BX148" i="20"/>
  <c r="BT149" i="20"/>
  <c r="BX149" i="20"/>
  <c r="BT150" i="20"/>
  <c r="BX150" i="20"/>
  <c r="BT151" i="20"/>
  <c r="BX151" i="20"/>
  <c r="BT152" i="20"/>
  <c r="BX152" i="20"/>
  <c r="BT153" i="20"/>
  <c r="BX153" i="20"/>
  <c r="BT154" i="20"/>
  <c r="BX154" i="20"/>
  <c r="BT155" i="20"/>
  <c r="BX155" i="20"/>
  <c r="BT156" i="20"/>
  <c r="BX156" i="20"/>
  <c r="BT157" i="20"/>
  <c r="BX157" i="20"/>
  <c r="BT158" i="20"/>
  <c r="BX158" i="20"/>
  <c r="BT159" i="20"/>
  <c r="BX159" i="20"/>
  <c r="BT129" i="20"/>
  <c r="BX129" i="20"/>
  <c r="BT130" i="20"/>
  <c r="BX130" i="20"/>
  <c r="BT131" i="20"/>
  <c r="BX131" i="20"/>
  <c r="BT132" i="20"/>
  <c r="BX132" i="20"/>
  <c r="BT133" i="20"/>
  <c r="BX133" i="20"/>
  <c r="BT134" i="20"/>
  <c r="BX134" i="20"/>
  <c r="BT135" i="20"/>
  <c r="BX135" i="20"/>
  <c r="BT136" i="20"/>
  <c r="BX136" i="20"/>
  <c r="BT137" i="20"/>
  <c r="BX137" i="20"/>
  <c r="BT138" i="20"/>
  <c r="BX138" i="20"/>
  <c r="BT139" i="20"/>
  <c r="BX139" i="20"/>
  <c r="BT140" i="20"/>
  <c r="BX140" i="20"/>
  <c r="BT141" i="20"/>
  <c r="BX141" i="20"/>
  <c r="BT142" i="20"/>
  <c r="BX142" i="20"/>
  <c r="BT95" i="20"/>
  <c r="BX95" i="20"/>
  <c r="BT96" i="20"/>
  <c r="BX96" i="20"/>
  <c r="BT97" i="20"/>
  <c r="BX97" i="20"/>
  <c r="BT98" i="20"/>
  <c r="BX98" i="20"/>
  <c r="BT99" i="20"/>
  <c r="BX99" i="20"/>
  <c r="BT100" i="20"/>
  <c r="BX100" i="20"/>
  <c r="BT101" i="20"/>
  <c r="BX101" i="20"/>
  <c r="BT102" i="20"/>
  <c r="BX102" i="20"/>
  <c r="BT103" i="20"/>
  <c r="BX103" i="20"/>
  <c r="BT104" i="20"/>
  <c r="BX104" i="20"/>
  <c r="BT105" i="20"/>
  <c r="BX105" i="20"/>
  <c r="BT106" i="20"/>
  <c r="BX106" i="20"/>
  <c r="BT107" i="20"/>
  <c r="BX107" i="20"/>
  <c r="BT108" i="20"/>
  <c r="BX108" i="20"/>
  <c r="BT109" i="20"/>
  <c r="BX109" i="20"/>
  <c r="BT110" i="20"/>
  <c r="BX110" i="20"/>
  <c r="BT111" i="20"/>
  <c r="BX111" i="20"/>
  <c r="BT112" i="20"/>
  <c r="BX112" i="20"/>
  <c r="BT113" i="20"/>
  <c r="BX113" i="20"/>
  <c r="BT114" i="20"/>
  <c r="BX114" i="20"/>
  <c r="BT115" i="20"/>
  <c r="BX115" i="20"/>
  <c r="BT116" i="20"/>
  <c r="BX116" i="20"/>
  <c r="BT117" i="20"/>
  <c r="BX117" i="20"/>
  <c r="BT118" i="20"/>
  <c r="BX118" i="20"/>
  <c r="BT119" i="20"/>
  <c r="BX119" i="20"/>
  <c r="BT120" i="20"/>
  <c r="BX120" i="20"/>
  <c r="BT121" i="20"/>
  <c r="BX121" i="20"/>
  <c r="BT122" i="20"/>
  <c r="BX122" i="20"/>
  <c r="BT123" i="20"/>
  <c r="BX123" i="20"/>
  <c r="BT124" i="20"/>
  <c r="BX124" i="20"/>
  <c r="BT125" i="20"/>
  <c r="BX125" i="20"/>
  <c r="BT126" i="20"/>
  <c r="BX126" i="20"/>
  <c r="BT127" i="20"/>
  <c r="BX127" i="20"/>
  <c r="BT128" i="20"/>
  <c r="BX128" i="20"/>
  <c r="BT84" i="20"/>
  <c r="BX84" i="20"/>
  <c r="BT85" i="20"/>
  <c r="BX85" i="20"/>
  <c r="BT86" i="20"/>
  <c r="BX86" i="20"/>
  <c r="BT87" i="20"/>
  <c r="BX87" i="20"/>
  <c r="BT88" i="20"/>
  <c r="BX88" i="20"/>
  <c r="BT89" i="20"/>
  <c r="BX89" i="20"/>
  <c r="BT90" i="20"/>
  <c r="BX90" i="20"/>
  <c r="BT91" i="20"/>
  <c r="BX91" i="20"/>
  <c r="BT92" i="20"/>
  <c r="BX92" i="20"/>
  <c r="BT93" i="20"/>
  <c r="BX93" i="20"/>
  <c r="BT94" i="20"/>
  <c r="BX94" i="20"/>
  <c r="BT9" i="20"/>
  <c r="BX9" i="20"/>
  <c r="BT10" i="20"/>
  <c r="BX10" i="20"/>
  <c r="BT11" i="20"/>
  <c r="BX11" i="20"/>
  <c r="BT12" i="20"/>
  <c r="BX12" i="20"/>
  <c r="BT13" i="20"/>
  <c r="BX13" i="20"/>
  <c r="BT14" i="20"/>
  <c r="BX14" i="20"/>
  <c r="BT15" i="20"/>
  <c r="BX15" i="20"/>
  <c r="BT16" i="20"/>
  <c r="BX16" i="20"/>
  <c r="BT17" i="20"/>
  <c r="BX17" i="20"/>
  <c r="BT18" i="20"/>
  <c r="BX18" i="20"/>
  <c r="BT19" i="20"/>
  <c r="BX19" i="20"/>
  <c r="BT20" i="20"/>
  <c r="BX20" i="20"/>
  <c r="BT21" i="20"/>
  <c r="BX21" i="20"/>
  <c r="BT22" i="20"/>
  <c r="BX22" i="20"/>
  <c r="BT23" i="20"/>
  <c r="BX23" i="20"/>
  <c r="BT24" i="20"/>
  <c r="BX24" i="20"/>
  <c r="BT25" i="20"/>
  <c r="BX25" i="20"/>
  <c r="BT26" i="20"/>
  <c r="BX26" i="20"/>
  <c r="BT27" i="20"/>
  <c r="BX27" i="20"/>
  <c r="BT28" i="20"/>
  <c r="BX28" i="20"/>
  <c r="BT29" i="20"/>
  <c r="BX29" i="20"/>
  <c r="BT30" i="20"/>
  <c r="BX30" i="20"/>
  <c r="BT31" i="20"/>
  <c r="BX31" i="20"/>
  <c r="BT32" i="20"/>
  <c r="BX32" i="20"/>
  <c r="BT33" i="20"/>
  <c r="BX33" i="20"/>
  <c r="BT34" i="20"/>
  <c r="BX34" i="20"/>
  <c r="BT35" i="20"/>
  <c r="BX35" i="20"/>
  <c r="BT36" i="20"/>
  <c r="BX36" i="20"/>
  <c r="BT37" i="20"/>
  <c r="BX37" i="20"/>
  <c r="BT38" i="20"/>
  <c r="BX38" i="20"/>
  <c r="BT39" i="20"/>
  <c r="BX39" i="20"/>
  <c r="BT40" i="20"/>
  <c r="BX40" i="20"/>
  <c r="BT41" i="20"/>
  <c r="BX41" i="20"/>
  <c r="BT42" i="20"/>
  <c r="BX42" i="20"/>
  <c r="BT43" i="20"/>
  <c r="BX43" i="20"/>
  <c r="BT44" i="20"/>
  <c r="BX44" i="20"/>
  <c r="BT45" i="20"/>
  <c r="BX45" i="20"/>
  <c r="BT46" i="20"/>
  <c r="BX46" i="20"/>
  <c r="BT47" i="20"/>
  <c r="BX47" i="20"/>
  <c r="BT48" i="20"/>
  <c r="BX48" i="20"/>
  <c r="BT49" i="20"/>
  <c r="BX49" i="20"/>
  <c r="BT50" i="20"/>
  <c r="BX50" i="20"/>
  <c r="BT51" i="20"/>
  <c r="BX51" i="20"/>
  <c r="BT52" i="20"/>
  <c r="BX52" i="20"/>
  <c r="BT53" i="20"/>
  <c r="BX53" i="20"/>
  <c r="BT54" i="20"/>
  <c r="BX54" i="20"/>
  <c r="BT55" i="20"/>
  <c r="BX55" i="20"/>
  <c r="BT56" i="20"/>
  <c r="BX56" i="20"/>
  <c r="BT57" i="20"/>
  <c r="BX57" i="20"/>
  <c r="BT58" i="20"/>
  <c r="BX58" i="20"/>
  <c r="BT59" i="20"/>
  <c r="BX59" i="20"/>
  <c r="BT60" i="20"/>
  <c r="BX60" i="20"/>
  <c r="BT61" i="20"/>
  <c r="BX61" i="20"/>
  <c r="BT62" i="20"/>
  <c r="BX62" i="20"/>
  <c r="BT63" i="20"/>
  <c r="BX63" i="20"/>
  <c r="BT64" i="20"/>
  <c r="BX64" i="20"/>
  <c r="BT65" i="20"/>
  <c r="BX65" i="20"/>
  <c r="BT66" i="20"/>
  <c r="BX66" i="20"/>
  <c r="BT67" i="20"/>
  <c r="BX67" i="20"/>
  <c r="BT68" i="20"/>
  <c r="BX68" i="20"/>
  <c r="BT69" i="20"/>
  <c r="BX69" i="20"/>
  <c r="BT70" i="20"/>
  <c r="BX70" i="20"/>
  <c r="BT71" i="20"/>
  <c r="BX71" i="20"/>
  <c r="BT72" i="20"/>
  <c r="BX72" i="20"/>
  <c r="BT73" i="20"/>
  <c r="BX73" i="20"/>
  <c r="BT74" i="20"/>
  <c r="BX74" i="20"/>
  <c r="BT75" i="20"/>
  <c r="BX75" i="20"/>
  <c r="BT76" i="20"/>
  <c r="BX76" i="20"/>
  <c r="BT77" i="20"/>
  <c r="BX77" i="20"/>
  <c r="BT78" i="20"/>
  <c r="BX78" i="20"/>
  <c r="BT79" i="20"/>
  <c r="BX79" i="20"/>
  <c r="BT80" i="20"/>
  <c r="BX80" i="20"/>
  <c r="BT81" i="20"/>
  <c r="BX81" i="20"/>
  <c r="BT82" i="20"/>
  <c r="BX82" i="20"/>
  <c r="BT83" i="20"/>
  <c r="BX83" i="20"/>
  <c r="BU160" i="20"/>
  <c r="BY160" i="20"/>
  <c r="BU161" i="20"/>
  <c r="BY161" i="20"/>
  <c r="BU162" i="20"/>
  <c r="BY162" i="20"/>
  <c r="BU163" i="20"/>
  <c r="BY163" i="20"/>
  <c r="BU164" i="20"/>
  <c r="BY164" i="20"/>
  <c r="BU165" i="20"/>
  <c r="BY165" i="20"/>
  <c r="BU166" i="20"/>
  <c r="BY166" i="20"/>
  <c r="BU167" i="20"/>
  <c r="BY167" i="20"/>
  <c r="BU143" i="20"/>
  <c r="BY143" i="20"/>
  <c r="BU144" i="20"/>
  <c r="BY144" i="20"/>
  <c r="BU145" i="20"/>
  <c r="BY145" i="20"/>
  <c r="BU146" i="20"/>
  <c r="BY146" i="20"/>
  <c r="BU147" i="20"/>
  <c r="BY147" i="20"/>
  <c r="BU148" i="20"/>
  <c r="BY148" i="20"/>
  <c r="BU149" i="20"/>
  <c r="BY149" i="20"/>
  <c r="BU150" i="20"/>
  <c r="BY150" i="20"/>
  <c r="BU151" i="20"/>
  <c r="BY151" i="20"/>
  <c r="BU152" i="20"/>
  <c r="BY152" i="20"/>
  <c r="BU153" i="20"/>
  <c r="BY153" i="20"/>
  <c r="BU154" i="20"/>
  <c r="BY154" i="20"/>
  <c r="BU155" i="20"/>
  <c r="BY155" i="20"/>
  <c r="BU156" i="20"/>
  <c r="BY156" i="20"/>
  <c r="BU157" i="20"/>
  <c r="BY157" i="20"/>
  <c r="BU158" i="20"/>
  <c r="BY158" i="20"/>
  <c r="BU159" i="20"/>
  <c r="BY159" i="20"/>
  <c r="BU129" i="20"/>
  <c r="BY129" i="20"/>
  <c r="BU130" i="20"/>
  <c r="BY130" i="20"/>
  <c r="BU131" i="20"/>
  <c r="BY131" i="20"/>
  <c r="BU132" i="20"/>
  <c r="BY132" i="20"/>
  <c r="BU133" i="20"/>
  <c r="BY133" i="20"/>
  <c r="BU134" i="20"/>
  <c r="BY134" i="20"/>
  <c r="BU135" i="20"/>
  <c r="BY135" i="20"/>
  <c r="BU136" i="20"/>
  <c r="BY136" i="20"/>
  <c r="BU137" i="20"/>
  <c r="BY137" i="20"/>
  <c r="BU138" i="20"/>
  <c r="BY138" i="20"/>
  <c r="BU139" i="20"/>
  <c r="BY139" i="20"/>
  <c r="BU140" i="20"/>
  <c r="BY140" i="20"/>
  <c r="BU141" i="20"/>
  <c r="BY141" i="20"/>
  <c r="BU142" i="20"/>
  <c r="BY142" i="20"/>
  <c r="BU95" i="20"/>
  <c r="BY95" i="20"/>
  <c r="BU96" i="20"/>
  <c r="BY96" i="20"/>
  <c r="BU97" i="20"/>
  <c r="BY97" i="20"/>
  <c r="BU98" i="20"/>
  <c r="BY98" i="20"/>
  <c r="BU99" i="20"/>
  <c r="BY99" i="20"/>
  <c r="BU100" i="20"/>
  <c r="BY100" i="20"/>
  <c r="BU101" i="20"/>
  <c r="BY101" i="20"/>
  <c r="BU102" i="20"/>
  <c r="BY102" i="20"/>
  <c r="BU103" i="20"/>
  <c r="BY103" i="20"/>
  <c r="BU104" i="20"/>
  <c r="BY104" i="20"/>
  <c r="BU105" i="20"/>
  <c r="BY105" i="20"/>
  <c r="BU106" i="20"/>
  <c r="BY106" i="20"/>
  <c r="BU107" i="20"/>
  <c r="BY107" i="20"/>
  <c r="BU108" i="20"/>
  <c r="BY108" i="20"/>
  <c r="BU109" i="20"/>
  <c r="BY109" i="20"/>
  <c r="BU110" i="20"/>
  <c r="BY110" i="20"/>
  <c r="BU111" i="20"/>
  <c r="BY111" i="20"/>
  <c r="BU112" i="20"/>
  <c r="BY112" i="20"/>
  <c r="BU113" i="20"/>
  <c r="BY113" i="20"/>
  <c r="BU114" i="20"/>
  <c r="BY114" i="20"/>
  <c r="BU115" i="20"/>
  <c r="BY115" i="20"/>
  <c r="BU116" i="20"/>
  <c r="BY116" i="20"/>
  <c r="BU117" i="20"/>
  <c r="BY117" i="20"/>
  <c r="BU118" i="20"/>
  <c r="BY118" i="20"/>
  <c r="BU119" i="20"/>
  <c r="BY119" i="20"/>
  <c r="BU120" i="20"/>
  <c r="BY120" i="20"/>
  <c r="BU121" i="20"/>
  <c r="BY121" i="20"/>
  <c r="BU122" i="20"/>
  <c r="BY122" i="20"/>
  <c r="BU123" i="20"/>
  <c r="BY123" i="20"/>
  <c r="BU124" i="20"/>
  <c r="BY124" i="20"/>
  <c r="BU125" i="20"/>
  <c r="BY125" i="20"/>
  <c r="BU126" i="20"/>
  <c r="BY126" i="20"/>
  <c r="BU127" i="20"/>
  <c r="BY127" i="20"/>
  <c r="BU128" i="20"/>
  <c r="BY128" i="20"/>
  <c r="BU84" i="20"/>
  <c r="BY84" i="20"/>
  <c r="BU85" i="20"/>
  <c r="BY85" i="20"/>
  <c r="BU86" i="20"/>
  <c r="BY86" i="20"/>
  <c r="BU87" i="20"/>
  <c r="BY87" i="20"/>
  <c r="BU88" i="20"/>
  <c r="BY88" i="20"/>
  <c r="BU89" i="20"/>
  <c r="BY89" i="20"/>
  <c r="BU90" i="20"/>
  <c r="BY90" i="20"/>
  <c r="BU91" i="20"/>
  <c r="BY91" i="20"/>
  <c r="BU92" i="20"/>
  <c r="BY92" i="20"/>
  <c r="BU93" i="20"/>
  <c r="BY93" i="20"/>
  <c r="BU94" i="20"/>
  <c r="BY94" i="20"/>
  <c r="BU9" i="20"/>
  <c r="BY9" i="20"/>
  <c r="BU10" i="20"/>
  <c r="BY10" i="20"/>
  <c r="BU11" i="20"/>
  <c r="BY11" i="20"/>
  <c r="BU12" i="20"/>
  <c r="BY12" i="20"/>
  <c r="BU13" i="20"/>
  <c r="BY13" i="20"/>
  <c r="BU14" i="20"/>
  <c r="BY14" i="20"/>
  <c r="BU15" i="20"/>
  <c r="BY15" i="20"/>
  <c r="BU16" i="20"/>
  <c r="BY16" i="20"/>
  <c r="BU17" i="20"/>
  <c r="BY17" i="20"/>
  <c r="BU18" i="20"/>
  <c r="BY18" i="20"/>
  <c r="BU19" i="20"/>
  <c r="BY19" i="20"/>
  <c r="BU20" i="20"/>
  <c r="BY20" i="20"/>
  <c r="BU21" i="20"/>
  <c r="BY21" i="20"/>
  <c r="BU22" i="20"/>
  <c r="BY22" i="20"/>
  <c r="BU23" i="20"/>
  <c r="BY23" i="20"/>
  <c r="BU24" i="20"/>
  <c r="BY24" i="20"/>
  <c r="BU25" i="20"/>
  <c r="BY25" i="20"/>
  <c r="BU26" i="20"/>
  <c r="BY26" i="20"/>
  <c r="BU27" i="20"/>
  <c r="BY27" i="20"/>
  <c r="BU28" i="20"/>
  <c r="BY28" i="20"/>
  <c r="BU29" i="20"/>
  <c r="BY29" i="20"/>
  <c r="BU30" i="20"/>
  <c r="BY30" i="20"/>
  <c r="BU31" i="20"/>
  <c r="BY31" i="20"/>
  <c r="BU32" i="20"/>
  <c r="BY32" i="20"/>
  <c r="BU33" i="20"/>
  <c r="BY33" i="20"/>
  <c r="BU34" i="20"/>
  <c r="BY34" i="20"/>
  <c r="BU35" i="20"/>
  <c r="BY35" i="20"/>
  <c r="BU36" i="20"/>
  <c r="BY36" i="20"/>
  <c r="BU37" i="20"/>
  <c r="BY37" i="20"/>
  <c r="BU38" i="20"/>
  <c r="BY38" i="20"/>
  <c r="BU39" i="20"/>
  <c r="BY39" i="20"/>
  <c r="BU40" i="20"/>
  <c r="BY40" i="20"/>
  <c r="BU41" i="20"/>
  <c r="BY41" i="20"/>
  <c r="BU42" i="20"/>
  <c r="BY42" i="20"/>
  <c r="BU43" i="20"/>
  <c r="BY43" i="20"/>
  <c r="BU44" i="20"/>
  <c r="BY44" i="20"/>
  <c r="BU45" i="20"/>
  <c r="BY45" i="20"/>
  <c r="BU46" i="20"/>
  <c r="BY46" i="20"/>
  <c r="BU47" i="20"/>
  <c r="BY47" i="20"/>
  <c r="BU48" i="20"/>
  <c r="BY48" i="20"/>
  <c r="BU49" i="20"/>
  <c r="BY49" i="20"/>
  <c r="BU50" i="20"/>
  <c r="BY50" i="20"/>
  <c r="BU51" i="20"/>
  <c r="BY51" i="20"/>
  <c r="BU52" i="20"/>
  <c r="BY52" i="20"/>
  <c r="BU53" i="20"/>
  <c r="BY53" i="20"/>
  <c r="BU54" i="20"/>
  <c r="BY54" i="20"/>
  <c r="BU55" i="20"/>
  <c r="BY55" i="20"/>
  <c r="BU56" i="20"/>
  <c r="BY56" i="20"/>
  <c r="BU57" i="20"/>
  <c r="BY57" i="20"/>
  <c r="BU58" i="20"/>
  <c r="BY58" i="20"/>
  <c r="BU59" i="20"/>
  <c r="BY59" i="20"/>
  <c r="BU60" i="20"/>
  <c r="BY60" i="20"/>
  <c r="BU61" i="20"/>
  <c r="BY61" i="20"/>
  <c r="BU62" i="20"/>
  <c r="BY62" i="20"/>
  <c r="BU63" i="20"/>
  <c r="BY63" i="20"/>
  <c r="BU64" i="20"/>
  <c r="BY64" i="20"/>
  <c r="BU65" i="20"/>
  <c r="BY65" i="20"/>
  <c r="BU66" i="20"/>
  <c r="BY66" i="20"/>
  <c r="BU67" i="20"/>
  <c r="BY67" i="20"/>
  <c r="BU68" i="20"/>
  <c r="BY68" i="20"/>
  <c r="BU69" i="20"/>
  <c r="BY69" i="20"/>
  <c r="BU70" i="20"/>
  <c r="BY70" i="20"/>
  <c r="BU71" i="20"/>
  <c r="BY71" i="20"/>
  <c r="BU72" i="20"/>
  <c r="BY72" i="20"/>
  <c r="BU73" i="20"/>
  <c r="BY73" i="20"/>
  <c r="BU74" i="20"/>
  <c r="BY74" i="20"/>
  <c r="BU75" i="20"/>
  <c r="BY75" i="20"/>
  <c r="BU76" i="20"/>
  <c r="BY76" i="20"/>
  <c r="BU77" i="20"/>
  <c r="BY77" i="20"/>
  <c r="BU78" i="20"/>
  <c r="BY78" i="20"/>
  <c r="BU79" i="20"/>
  <c r="BY79" i="20"/>
  <c r="BU80" i="20"/>
  <c r="BY80" i="20"/>
  <c r="BU81" i="20"/>
  <c r="BY81" i="20"/>
  <c r="BU82" i="20"/>
  <c r="BY82" i="20"/>
  <c r="BU83" i="20"/>
  <c r="BY83" i="20"/>
  <c r="BW70" i="20"/>
  <c r="BW72" i="20"/>
  <c r="BW74" i="20"/>
  <c r="BW76" i="20"/>
  <c r="BW78" i="20"/>
  <c r="BW80" i="20"/>
  <c r="BW82" i="20"/>
  <c r="BS69" i="20"/>
  <c r="BS71" i="20"/>
  <c r="BS73" i="20"/>
  <c r="BS75" i="20"/>
  <c r="BS77" i="20"/>
  <c r="BS79" i="20"/>
  <c r="BS81" i="20"/>
  <c r="BS83" i="20"/>
  <c r="BW69" i="20"/>
  <c r="BW71" i="20"/>
  <c r="BW73" i="20"/>
  <c r="BW75" i="20"/>
  <c r="BW77" i="20"/>
  <c r="BW79" i="20"/>
  <c r="BW81" i="20"/>
  <c r="BW83" i="20"/>
  <c r="BS76" i="20"/>
  <c r="BS70" i="20"/>
  <c r="BS78" i="20"/>
  <c r="BS72" i="20"/>
  <c r="BS80" i="20"/>
  <c r="BS74" i="20"/>
  <c r="BS82" i="20"/>
  <c r="DZ126" i="19"/>
  <c r="DZ21" i="19"/>
  <c r="DZ23" i="19"/>
  <c r="DZ25" i="19"/>
  <c r="DZ27" i="19"/>
  <c r="DZ29" i="19"/>
  <c r="DZ31" i="19"/>
  <c r="DZ33" i="19"/>
  <c r="DZ35" i="19"/>
  <c r="DZ37" i="19"/>
  <c r="DZ39" i="19"/>
  <c r="DZ41" i="19"/>
  <c r="DZ43" i="19"/>
  <c r="DZ45" i="19"/>
  <c r="DZ47" i="19"/>
  <c r="DZ49" i="19"/>
  <c r="DZ51" i="19"/>
  <c r="DZ53" i="19"/>
  <c r="DZ55" i="19"/>
  <c r="DZ57" i="19"/>
  <c r="DZ59" i="19"/>
  <c r="DZ61" i="19"/>
  <c r="DZ63" i="19"/>
  <c r="DZ65" i="19"/>
  <c r="DZ67" i="19"/>
  <c r="DZ69" i="19"/>
  <c r="DZ71" i="19"/>
  <c r="DZ73" i="19"/>
  <c r="DZ75" i="19"/>
  <c r="DZ77" i="19"/>
  <c r="DZ79" i="19"/>
  <c r="DZ81" i="19"/>
  <c r="DZ83" i="19"/>
  <c r="DZ85" i="19"/>
  <c r="DZ87" i="19"/>
  <c r="DZ89" i="19"/>
  <c r="DZ91" i="19"/>
  <c r="DZ93" i="19"/>
  <c r="DZ95" i="19"/>
  <c r="DZ97" i="19"/>
  <c r="DZ99" i="19"/>
  <c r="DZ101" i="19"/>
  <c r="DZ103" i="19"/>
  <c r="DZ105" i="19"/>
  <c r="DZ107" i="19"/>
  <c r="DF108" i="19"/>
  <c r="DF110" i="19"/>
  <c r="DF112" i="19"/>
  <c r="DF114" i="19"/>
  <c r="DF116" i="19"/>
  <c r="DF118" i="19"/>
  <c r="DF120" i="19"/>
  <c r="DF122" i="19"/>
  <c r="DF124" i="19"/>
  <c r="DF126" i="19"/>
  <c r="DF94" i="19"/>
  <c r="DF96" i="19"/>
  <c r="DF20" i="19"/>
  <c r="DF22" i="19"/>
  <c r="DF24" i="19"/>
  <c r="DF26" i="19"/>
  <c r="DF28" i="19"/>
  <c r="DF30" i="19"/>
  <c r="DF32" i="19"/>
  <c r="DF34" i="19"/>
  <c r="DF36" i="19"/>
  <c r="DF38" i="19"/>
  <c r="DF40" i="19"/>
  <c r="DF42" i="19"/>
  <c r="DF44" i="19"/>
  <c r="DF46" i="19"/>
  <c r="DF48" i="19"/>
  <c r="DF50" i="19"/>
  <c r="DF52" i="19"/>
  <c r="DF54" i="19"/>
  <c r="DF56" i="19"/>
  <c r="DF58" i="19"/>
  <c r="DF60" i="19"/>
  <c r="DF62" i="19"/>
  <c r="DF64" i="19"/>
  <c r="DF66" i="19"/>
  <c r="DF68" i="19"/>
  <c r="DF70" i="19"/>
  <c r="DF72" i="19"/>
  <c r="DF74" i="19"/>
  <c r="DF76" i="19"/>
  <c r="DF78" i="19"/>
  <c r="DF80" i="19"/>
  <c r="DF82" i="19"/>
  <c r="DF84" i="19"/>
  <c r="DF86" i="19"/>
  <c r="DZ108" i="19"/>
  <c r="DZ110" i="19"/>
  <c r="DZ112" i="19"/>
  <c r="DZ114" i="19"/>
  <c r="DZ116" i="19"/>
  <c r="DZ118" i="19"/>
  <c r="DZ120" i="19"/>
  <c r="DZ122" i="19"/>
  <c r="DZ124" i="19"/>
  <c r="DZ10" i="19"/>
  <c r="DZ12" i="19"/>
  <c r="DZ14" i="19"/>
  <c r="DZ16" i="19"/>
  <c r="DZ18" i="19"/>
  <c r="DZ20" i="19"/>
  <c r="DF98" i="19"/>
  <c r="DF100" i="19"/>
  <c r="DF102" i="19"/>
  <c r="DF104" i="19"/>
  <c r="DF106" i="19"/>
  <c r="DF89" i="19"/>
  <c r="DF91" i="19"/>
  <c r="DF93" i="19"/>
  <c r="DF10" i="19"/>
  <c r="DF12" i="19"/>
  <c r="DF14" i="19"/>
  <c r="DF16" i="19"/>
  <c r="DF18" i="19"/>
  <c r="DZ125" i="19"/>
  <c r="DZ127" i="19"/>
  <c r="DZ22" i="19"/>
  <c r="DZ24" i="19"/>
  <c r="DZ26" i="19"/>
  <c r="DZ28" i="19"/>
  <c r="DZ30" i="19"/>
  <c r="DZ32" i="19"/>
  <c r="DZ34" i="19"/>
  <c r="DZ36" i="19"/>
  <c r="DZ38" i="19"/>
  <c r="DZ40" i="19"/>
  <c r="DZ42" i="19"/>
  <c r="DZ44" i="19"/>
  <c r="DZ46" i="19"/>
  <c r="DZ48" i="19"/>
  <c r="DZ50" i="19"/>
  <c r="DZ52" i="19"/>
  <c r="DZ54" i="19"/>
  <c r="DZ56" i="19"/>
  <c r="DZ58" i="19"/>
  <c r="DZ60" i="19"/>
  <c r="DZ62" i="19"/>
  <c r="DZ64" i="19"/>
  <c r="DZ66" i="19"/>
  <c r="DZ68" i="19"/>
  <c r="DZ70" i="19"/>
  <c r="DZ72" i="19"/>
  <c r="DZ74" i="19"/>
  <c r="DZ76" i="19"/>
  <c r="DZ78" i="19"/>
  <c r="DZ80" i="19"/>
  <c r="DZ82" i="19"/>
  <c r="DZ84" i="19"/>
  <c r="DZ86" i="19"/>
  <c r="DZ88" i="19"/>
  <c r="DZ90" i="19"/>
  <c r="DZ92" i="19"/>
  <c r="DZ94" i="19"/>
  <c r="DZ96" i="19"/>
  <c r="DZ98" i="19"/>
  <c r="DZ100" i="19"/>
  <c r="DZ102" i="19"/>
  <c r="DZ104" i="19"/>
  <c r="DZ106" i="19"/>
  <c r="DF109" i="19"/>
  <c r="DF111" i="19"/>
  <c r="DF113" i="19"/>
  <c r="DF115" i="19"/>
  <c r="DF117" i="19"/>
  <c r="DF119" i="19"/>
  <c r="DF121" i="19"/>
  <c r="DF123" i="19"/>
  <c r="DF125" i="19"/>
  <c r="DF127" i="19"/>
  <c r="DF95" i="19"/>
  <c r="DF97" i="19"/>
  <c r="DF21" i="19"/>
  <c r="DF23" i="19"/>
  <c r="DF25" i="19"/>
  <c r="DF27" i="19"/>
  <c r="DF29" i="19"/>
  <c r="DF31" i="19"/>
  <c r="DF33" i="19"/>
  <c r="DF35" i="19"/>
  <c r="DF37" i="19"/>
  <c r="DF39" i="19"/>
  <c r="DF41" i="19"/>
  <c r="DF43" i="19"/>
  <c r="DF45" i="19"/>
  <c r="DF47" i="19"/>
  <c r="DF49" i="19"/>
  <c r="DF51" i="19"/>
  <c r="DF53" i="19"/>
  <c r="DF55" i="19"/>
  <c r="DF57" i="19"/>
  <c r="DF59" i="19"/>
  <c r="DF61" i="19"/>
  <c r="DF63" i="19"/>
  <c r="DF65" i="19"/>
  <c r="DF67" i="19"/>
  <c r="DF69" i="19"/>
  <c r="DF71" i="19"/>
  <c r="DF73" i="19"/>
  <c r="DF75" i="19"/>
  <c r="DF77" i="19"/>
  <c r="DF79" i="19"/>
  <c r="DF81" i="19"/>
  <c r="DF83" i="19"/>
  <c r="DF85" i="19"/>
  <c r="DF87" i="19"/>
  <c r="DZ109" i="19"/>
  <c r="DZ111" i="19"/>
  <c r="DZ113" i="19"/>
  <c r="DZ115" i="19"/>
  <c r="DZ117" i="19"/>
  <c r="DZ119" i="19"/>
  <c r="DZ121" i="19"/>
  <c r="DZ123" i="19"/>
  <c r="DZ9" i="19"/>
  <c r="DZ11" i="19"/>
  <c r="DZ13" i="19"/>
  <c r="DZ15" i="19"/>
  <c r="DZ17" i="19"/>
  <c r="DZ19" i="19"/>
  <c r="DF99" i="19"/>
  <c r="DF101" i="19"/>
  <c r="DF103" i="19"/>
  <c r="DF105" i="19"/>
  <c r="DF107" i="19"/>
  <c r="DF88" i="19"/>
  <c r="DF90" i="19"/>
  <c r="DF92" i="19"/>
  <c r="DF9" i="19"/>
  <c r="DF11" i="19"/>
  <c r="DF13" i="19"/>
  <c r="DF15" i="19"/>
  <c r="DF17" i="19"/>
  <c r="DF19" i="19"/>
  <c r="CL120" i="19"/>
  <c r="CL122" i="19"/>
  <c r="CL124" i="19"/>
  <c r="CL126" i="19"/>
  <c r="CL81" i="19"/>
  <c r="CL83" i="19"/>
  <c r="CL85" i="19"/>
  <c r="CL87" i="19"/>
  <c r="CL89" i="19"/>
  <c r="CL91" i="19"/>
  <c r="CL93" i="19"/>
  <c r="CL95" i="19"/>
  <c r="CL97" i="19"/>
  <c r="CL99" i="19"/>
  <c r="CL101" i="19"/>
  <c r="CL103" i="19"/>
  <c r="CL105" i="19"/>
  <c r="CL107" i="19"/>
  <c r="CL109" i="19"/>
  <c r="CL111" i="19"/>
  <c r="CL113" i="19"/>
  <c r="CL115" i="19"/>
  <c r="CL117" i="19"/>
  <c r="CL55" i="19"/>
  <c r="CL57" i="19"/>
  <c r="CL59" i="19"/>
  <c r="CL61" i="19"/>
  <c r="CL63" i="19"/>
  <c r="CL65" i="19"/>
  <c r="CL67" i="19"/>
  <c r="CL69" i="19"/>
  <c r="CL71" i="19"/>
  <c r="CL73" i="19"/>
  <c r="CL75" i="19"/>
  <c r="CL77" i="19"/>
  <c r="CL79" i="19"/>
  <c r="CL9" i="19"/>
  <c r="CL11" i="19"/>
  <c r="CL13" i="19"/>
  <c r="CL15" i="19"/>
  <c r="CL17" i="19"/>
  <c r="CL19" i="19"/>
  <c r="CL21" i="19"/>
  <c r="CL23" i="19"/>
  <c r="CL25" i="19"/>
  <c r="CL27" i="19"/>
  <c r="CL29" i="19"/>
  <c r="CL31" i="19"/>
  <c r="CL33" i="19"/>
  <c r="CL35" i="19"/>
  <c r="CL37" i="19"/>
  <c r="CL39" i="19"/>
  <c r="CL41" i="19"/>
  <c r="CL43" i="19"/>
  <c r="CL45" i="19"/>
  <c r="CL47" i="19"/>
  <c r="CL49" i="19"/>
  <c r="CL51" i="19"/>
  <c r="CL53" i="19"/>
  <c r="BR121" i="19"/>
  <c r="BR123" i="19"/>
  <c r="BR125" i="19"/>
  <c r="BR127" i="19"/>
  <c r="BR106" i="19"/>
  <c r="BR108" i="19"/>
  <c r="BR110" i="19"/>
  <c r="BR112" i="19"/>
  <c r="BR114" i="19"/>
  <c r="BR116" i="19"/>
  <c r="BR118" i="19"/>
  <c r="BR96" i="19"/>
  <c r="BR98" i="19"/>
  <c r="BR100" i="19"/>
  <c r="BR102" i="19"/>
  <c r="BR104" i="19"/>
  <c r="BR86" i="19"/>
  <c r="BR88" i="19"/>
  <c r="BR90" i="19"/>
  <c r="BR92" i="19"/>
  <c r="BR94" i="19"/>
  <c r="BR9" i="19"/>
  <c r="BR11" i="19"/>
  <c r="BR13" i="19"/>
  <c r="BR15" i="19"/>
  <c r="BR17" i="19"/>
  <c r="BR19" i="19"/>
  <c r="BR21" i="19"/>
  <c r="BR23" i="19"/>
  <c r="BR25" i="19"/>
  <c r="BR27" i="19"/>
  <c r="BR29" i="19"/>
  <c r="BR31" i="19"/>
  <c r="BR33" i="19"/>
  <c r="BR35" i="19"/>
  <c r="BR37" i="19"/>
  <c r="BR39" i="19"/>
  <c r="BR41" i="19"/>
  <c r="BR43" i="19"/>
  <c r="BR45" i="19"/>
  <c r="BR47" i="19"/>
  <c r="BR49" i="19"/>
  <c r="BR51" i="19"/>
  <c r="BR53" i="19"/>
  <c r="BR55" i="19"/>
  <c r="BR57" i="19"/>
  <c r="BR59" i="19"/>
  <c r="BR61" i="19"/>
  <c r="BR63" i="19"/>
  <c r="BR65" i="19"/>
  <c r="BR67" i="19"/>
  <c r="BR69" i="19"/>
  <c r="BR71" i="19"/>
  <c r="BR73" i="19"/>
  <c r="BR75" i="19"/>
  <c r="BR77" i="19"/>
  <c r="BR79" i="19"/>
  <c r="BR81" i="19"/>
  <c r="BR83" i="19"/>
  <c r="CL123" i="19"/>
  <c r="CL84" i="19"/>
  <c r="CL92" i="19"/>
  <c r="CL100" i="19"/>
  <c r="CL108" i="19"/>
  <c r="CL116" i="19"/>
  <c r="CL60" i="19"/>
  <c r="CL68" i="19"/>
  <c r="CL76" i="19"/>
  <c r="CL12" i="19"/>
  <c r="CL20" i="19"/>
  <c r="CL28" i="19"/>
  <c r="CL36" i="19"/>
  <c r="CL44" i="19"/>
  <c r="CL52" i="19"/>
  <c r="BR126" i="19"/>
  <c r="BR111" i="19"/>
  <c r="BR119" i="19"/>
  <c r="BR103" i="19"/>
  <c r="BR91" i="19"/>
  <c r="BR12" i="19"/>
  <c r="BR20" i="19"/>
  <c r="BR28" i="19"/>
  <c r="BR36" i="19"/>
  <c r="BR44" i="19"/>
  <c r="BR52" i="19"/>
  <c r="BR60" i="19"/>
  <c r="BR68" i="19"/>
  <c r="AX24" i="19"/>
  <c r="AX26" i="19"/>
  <c r="AX28" i="19"/>
  <c r="AX30" i="19"/>
  <c r="AX32" i="19"/>
  <c r="AX34" i="19"/>
  <c r="AX36" i="19"/>
  <c r="AX38" i="19"/>
  <c r="AX40" i="19"/>
  <c r="AX42" i="19"/>
  <c r="AX44" i="19"/>
  <c r="AX46" i="19"/>
  <c r="AX48" i="19"/>
  <c r="AX50" i="19"/>
  <c r="AX52" i="19"/>
  <c r="AX54" i="19"/>
  <c r="AX56" i="19"/>
  <c r="AX58" i="19"/>
  <c r="AX60" i="19"/>
  <c r="AX62" i="19"/>
  <c r="AX64" i="19"/>
  <c r="AX66" i="19"/>
  <c r="AX68" i="19"/>
  <c r="AX70" i="19"/>
  <c r="AX72" i="19"/>
  <c r="AX74" i="19"/>
  <c r="AX76" i="19"/>
  <c r="AX78" i="19"/>
  <c r="AX80" i="19"/>
  <c r="AX82" i="19"/>
  <c r="AX84" i="19"/>
  <c r="AX86" i="19"/>
  <c r="AX89" i="19"/>
  <c r="AX91" i="19"/>
  <c r="AX93" i="19"/>
  <c r="AX95" i="19"/>
  <c r="AX97" i="19"/>
  <c r="AX99" i="19"/>
  <c r="AX101" i="19"/>
  <c r="AX103" i="19"/>
  <c r="AX105" i="19"/>
  <c r="AX107" i="19"/>
  <c r="AX109" i="19"/>
  <c r="AX111" i="19"/>
  <c r="AX113" i="19"/>
  <c r="AX115" i="19"/>
  <c r="AX117" i="19"/>
  <c r="AX119" i="19"/>
  <c r="AX121" i="19"/>
  <c r="AX123" i="19"/>
  <c r="AX125" i="19"/>
  <c r="AX127" i="19"/>
  <c r="AX10" i="19"/>
  <c r="AX12" i="19"/>
  <c r="AX14" i="19"/>
  <c r="AX16" i="19"/>
  <c r="AX18" i="19"/>
  <c r="AX20" i="19"/>
  <c r="AX22" i="19"/>
  <c r="CL90" i="19"/>
  <c r="CL114" i="19"/>
  <c r="CL58" i="19"/>
  <c r="CL66" i="19"/>
  <c r="CL74" i="19"/>
  <c r="BR124" i="19"/>
  <c r="BR109" i="19"/>
  <c r="BR18" i="19"/>
  <c r="BR26" i="19"/>
  <c r="BR34" i="19"/>
  <c r="BR42" i="19"/>
  <c r="BR50" i="19"/>
  <c r="BR58" i="19"/>
  <c r="CL125" i="19"/>
  <c r="CL86" i="19"/>
  <c r="CL94" i="19"/>
  <c r="CL102" i="19"/>
  <c r="CL110" i="19"/>
  <c r="CL118" i="19"/>
  <c r="CL62" i="19"/>
  <c r="CL70" i="19"/>
  <c r="CL78" i="19"/>
  <c r="CL14" i="19"/>
  <c r="CL22" i="19"/>
  <c r="CL30" i="19"/>
  <c r="CL38" i="19"/>
  <c r="CL46" i="19"/>
  <c r="CL54" i="19"/>
  <c r="BR120" i="19"/>
  <c r="BR105" i="19"/>
  <c r="BR113" i="19"/>
  <c r="BR97" i="19"/>
  <c r="BR85" i="19"/>
  <c r="BR93" i="19"/>
  <c r="BR14" i="19"/>
  <c r="BR22" i="19"/>
  <c r="BR30" i="19"/>
  <c r="BR38" i="19"/>
  <c r="BR46" i="19"/>
  <c r="BR54" i="19"/>
  <c r="BR62" i="19"/>
  <c r="BR70" i="19"/>
  <c r="BR74" i="19"/>
  <c r="BR78" i="19"/>
  <c r="BR82" i="19"/>
  <c r="CL121" i="19"/>
  <c r="CL82" i="19"/>
  <c r="CL106" i="19"/>
  <c r="CL10" i="19"/>
  <c r="CL18" i="19"/>
  <c r="CL26" i="19"/>
  <c r="CL34" i="19"/>
  <c r="CL42" i="19"/>
  <c r="CL50" i="19"/>
  <c r="BR89" i="19"/>
  <c r="BR10" i="19"/>
  <c r="BR76" i="19"/>
  <c r="CL119" i="19"/>
  <c r="CL127" i="19"/>
  <c r="CL88" i="19"/>
  <c r="CL96" i="19"/>
  <c r="CL104" i="19"/>
  <c r="CL112" i="19"/>
  <c r="CL56" i="19"/>
  <c r="CL64" i="19"/>
  <c r="CL72" i="19"/>
  <c r="CL80" i="19"/>
  <c r="CL16" i="19"/>
  <c r="CL24" i="19"/>
  <c r="CL32" i="19"/>
  <c r="CL40" i="19"/>
  <c r="CL48" i="19"/>
  <c r="BR122" i="19"/>
  <c r="BR107" i="19"/>
  <c r="BR115" i="19"/>
  <c r="BR99" i="19"/>
  <c r="BR87" i="19"/>
  <c r="BR95" i="19"/>
  <c r="BR16" i="19"/>
  <c r="BR24" i="19"/>
  <c r="BR32" i="19"/>
  <c r="BR40" i="19"/>
  <c r="BR48" i="19"/>
  <c r="BR56" i="19"/>
  <c r="BR64" i="19"/>
  <c r="BR72" i="19"/>
  <c r="AX23" i="19"/>
  <c r="AX25" i="19"/>
  <c r="AX27" i="19"/>
  <c r="AX29" i="19"/>
  <c r="AX31" i="19"/>
  <c r="AX33" i="19"/>
  <c r="AX35" i="19"/>
  <c r="AX37" i="19"/>
  <c r="AX39" i="19"/>
  <c r="AX41" i="19"/>
  <c r="AX43" i="19"/>
  <c r="AX45" i="19"/>
  <c r="AX47" i="19"/>
  <c r="AX49" i="19"/>
  <c r="AX51" i="19"/>
  <c r="AX53" i="19"/>
  <c r="AX55" i="19"/>
  <c r="AX57" i="19"/>
  <c r="AX59" i="19"/>
  <c r="AX61" i="19"/>
  <c r="AX63" i="19"/>
  <c r="AX65" i="19"/>
  <c r="AX67" i="19"/>
  <c r="AX69" i="19"/>
  <c r="AX71" i="19"/>
  <c r="AX73" i="19"/>
  <c r="AX75" i="19"/>
  <c r="AX77" i="19"/>
  <c r="AX79" i="19"/>
  <c r="AX81" i="19"/>
  <c r="AX83" i="19"/>
  <c r="AX85" i="19"/>
  <c r="AX87" i="19"/>
  <c r="AX90" i="19"/>
  <c r="AX92" i="19"/>
  <c r="AX94" i="19"/>
  <c r="AX96" i="19"/>
  <c r="AX98" i="19"/>
  <c r="AX100" i="19"/>
  <c r="AX102" i="19"/>
  <c r="AX104" i="19"/>
  <c r="AX106" i="19"/>
  <c r="AX108" i="19"/>
  <c r="AX110" i="19"/>
  <c r="AX112" i="19"/>
  <c r="AX114" i="19"/>
  <c r="AX116" i="19"/>
  <c r="AX118" i="19"/>
  <c r="AX120" i="19"/>
  <c r="AX122" i="19"/>
  <c r="AX124" i="19"/>
  <c r="AX126" i="19"/>
  <c r="AX9" i="19"/>
  <c r="AX11" i="19"/>
  <c r="AX13" i="19"/>
  <c r="AX15" i="19"/>
  <c r="AX17" i="19"/>
  <c r="AX19" i="19"/>
  <c r="AX21" i="19"/>
  <c r="CL98" i="19"/>
  <c r="BR117" i="19"/>
  <c r="BR101" i="19"/>
  <c r="BR66" i="19"/>
  <c r="BR80" i="19"/>
  <c r="BR84" i="19"/>
  <c r="AX88" i="19"/>
  <c r="BN164" i="20"/>
  <c r="BR164" i="20"/>
  <c r="BN165" i="20"/>
  <c r="BR165" i="20"/>
  <c r="BN166" i="20"/>
  <c r="BR166" i="20"/>
  <c r="BN167" i="20"/>
  <c r="BR167" i="20"/>
  <c r="BN153" i="20"/>
  <c r="BR153" i="20"/>
  <c r="BN154" i="20"/>
  <c r="BR154" i="20"/>
  <c r="BN155" i="20"/>
  <c r="BR155" i="20"/>
  <c r="BN156" i="20"/>
  <c r="BR156" i="20"/>
  <c r="BN157" i="20"/>
  <c r="BR157" i="20"/>
  <c r="BN158" i="20"/>
  <c r="BR158" i="20"/>
  <c r="BN159" i="20"/>
  <c r="BR159" i="20"/>
  <c r="BN160" i="20"/>
  <c r="BR160" i="20"/>
  <c r="BN161" i="20"/>
  <c r="BR161" i="20"/>
  <c r="BN162" i="20"/>
  <c r="BR162" i="20"/>
  <c r="BN163" i="20"/>
  <c r="BR163" i="20"/>
  <c r="BN140" i="20"/>
  <c r="BR140" i="20"/>
  <c r="BN141" i="20"/>
  <c r="BR141" i="20"/>
  <c r="BN142" i="20"/>
  <c r="BR142" i="20"/>
  <c r="BN143" i="20"/>
  <c r="BR143" i="20"/>
  <c r="BN144" i="20"/>
  <c r="BR144" i="20"/>
  <c r="BN145" i="20"/>
  <c r="BR145" i="20"/>
  <c r="BN146" i="20"/>
  <c r="BR146" i="20"/>
  <c r="BN147" i="20"/>
  <c r="BR147" i="20"/>
  <c r="BN148" i="20"/>
  <c r="BR148" i="20"/>
  <c r="BN149" i="20"/>
  <c r="BR149" i="20"/>
  <c r="BN150" i="20"/>
  <c r="BR150" i="20"/>
  <c r="BN151" i="20"/>
  <c r="BR151" i="20"/>
  <c r="BN152" i="20"/>
  <c r="BR152" i="20"/>
  <c r="BN9" i="20"/>
  <c r="BR9" i="20"/>
  <c r="BN10" i="20"/>
  <c r="BR10" i="20"/>
  <c r="BN11" i="20"/>
  <c r="BR11" i="20"/>
  <c r="BN12" i="20"/>
  <c r="BR12" i="20"/>
  <c r="BN13" i="20"/>
  <c r="BR13" i="20"/>
  <c r="BN14" i="20"/>
  <c r="BR14" i="20"/>
  <c r="BN15" i="20"/>
  <c r="BR15" i="20"/>
  <c r="BN16" i="20"/>
  <c r="BR16" i="20"/>
  <c r="BN17" i="20"/>
  <c r="BR17" i="20"/>
  <c r="BN18" i="20"/>
  <c r="BR18" i="20"/>
  <c r="BN19" i="20"/>
  <c r="BR19" i="20"/>
  <c r="BN20" i="20"/>
  <c r="BR20" i="20"/>
  <c r="BN21" i="20"/>
  <c r="BR21" i="20"/>
  <c r="BN22" i="20"/>
  <c r="BR22" i="20"/>
  <c r="BN23" i="20"/>
  <c r="BR23" i="20"/>
  <c r="BN24" i="20"/>
  <c r="BR24" i="20"/>
  <c r="BN25" i="20"/>
  <c r="BR25" i="20"/>
  <c r="BN26" i="20"/>
  <c r="BR26" i="20"/>
  <c r="BN27" i="20"/>
  <c r="BR27" i="20"/>
  <c r="BN28" i="20"/>
  <c r="BR28" i="20"/>
  <c r="BN29" i="20"/>
  <c r="BR29" i="20"/>
  <c r="BN30" i="20"/>
  <c r="BR30" i="20"/>
  <c r="BN31" i="20"/>
  <c r="BR31" i="20"/>
  <c r="BN32" i="20"/>
  <c r="BR32" i="20"/>
  <c r="BN33" i="20"/>
  <c r="BR33" i="20"/>
  <c r="BN34" i="20"/>
  <c r="BR34" i="20"/>
  <c r="BN35" i="20"/>
  <c r="BR35" i="20"/>
  <c r="BN36" i="20"/>
  <c r="BR36" i="20"/>
  <c r="BN37" i="20"/>
  <c r="BR37" i="20"/>
  <c r="BN38" i="20"/>
  <c r="BR38" i="20"/>
  <c r="BN39" i="20"/>
  <c r="BR39" i="20"/>
  <c r="BN40" i="20"/>
  <c r="BR40" i="20"/>
  <c r="BN41" i="20"/>
  <c r="BR41" i="20"/>
  <c r="BN42" i="20"/>
  <c r="BR42" i="20"/>
  <c r="BN43" i="20"/>
  <c r="BR43" i="20"/>
  <c r="BN44" i="20"/>
  <c r="BR44" i="20"/>
  <c r="BN45" i="20"/>
  <c r="BR45" i="20"/>
  <c r="BN46" i="20"/>
  <c r="BR46" i="20"/>
  <c r="BN47" i="20"/>
  <c r="BR47" i="20"/>
  <c r="BN48" i="20"/>
  <c r="BR48" i="20"/>
  <c r="BN49" i="20"/>
  <c r="BR49" i="20"/>
  <c r="BN50" i="20"/>
  <c r="BR50" i="20"/>
  <c r="BN51" i="20"/>
  <c r="BR51" i="20"/>
  <c r="BN52" i="20"/>
  <c r="BR52" i="20"/>
  <c r="BN53" i="20"/>
  <c r="BR53" i="20"/>
  <c r="BN54" i="20"/>
  <c r="BR54" i="20"/>
  <c r="BN55" i="20"/>
  <c r="BR55" i="20"/>
  <c r="BN56" i="20"/>
  <c r="BR56" i="20"/>
  <c r="BN57" i="20"/>
  <c r="BR57" i="20"/>
  <c r="BN58" i="20"/>
  <c r="BR58" i="20"/>
  <c r="BN59" i="20"/>
  <c r="BR59" i="20"/>
  <c r="BN60" i="20"/>
  <c r="BR60" i="20"/>
  <c r="BN61" i="20"/>
  <c r="BR61" i="20"/>
  <c r="BN62" i="20"/>
  <c r="BR62" i="20"/>
  <c r="BN63" i="20"/>
  <c r="BR63" i="20"/>
  <c r="BN64" i="20"/>
  <c r="BR64" i="20"/>
  <c r="BN65" i="20"/>
  <c r="BR65" i="20"/>
  <c r="BN66" i="20"/>
  <c r="BR66" i="20"/>
  <c r="BN67" i="20"/>
  <c r="BR67" i="20"/>
  <c r="BN68" i="20"/>
  <c r="BR68" i="20"/>
  <c r="BN69" i="20"/>
  <c r="BR69" i="20"/>
  <c r="BN70" i="20"/>
  <c r="BR70" i="20"/>
  <c r="BN71" i="20"/>
  <c r="BR71" i="20"/>
  <c r="BN72" i="20"/>
  <c r="BR72" i="20"/>
  <c r="BN73" i="20"/>
  <c r="BR73" i="20"/>
  <c r="BN74" i="20"/>
  <c r="BR74" i="20"/>
  <c r="BN75" i="20"/>
  <c r="BR75" i="20"/>
  <c r="BN76" i="20"/>
  <c r="BR76" i="20"/>
  <c r="BN77" i="20"/>
  <c r="BR77" i="20"/>
  <c r="BN78" i="20"/>
  <c r="BR78" i="20"/>
  <c r="BN79" i="20"/>
  <c r="BR79" i="20"/>
  <c r="BN80" i="20"/>
  <c r="BR80" i="20"/>
  <c r="BN81" i="20"/>
  <c r="BR81" i="20"/>
  <c r="BN82" i="20"/>
  <c r="BR82" i="20"/>
  <c r="BN83" i="20"/>
  <c r="BR83" i="20"/>
  <c r="BN84" i="20"/>
  <c r="BR84" i="20"/>
  <c r="BN85" i="20"/>
  <c r="BR85" i="20"/>
  <c r="BN86" i="20"/>
  <c r="BR86" i="20"/>
  <c r="BN87" i="20"/>
  <c r="BR87" i="20"/>
  <c r="BN88" i="20"/>
  <c r="BR88" i="20"/>
  <c r="BN89" i="20"/>
  <c r="BR89" i="20"/>
  <c r="BN90" i="20"/>
  <c r="BR90" i="20"/>
  <c r="BN91" i="20"/>
  <c r="BR91" i="20"/>
  <c r="BN92" i="20"/>
  <c r="BR92" i="20"/>
  <c r="BN93" i="20"/>
  <c r="BR93" i="20"/>
  <c r="BN94" i="20"/>
  <c r="BR94" i="20"/>
  <c r="BN95" i="20"/>
  <c r="BR95" i="20"/>
  <c r="BN96" i="20"/>
  <c r="BR96" i="20"/>
  <c r="BN97" i="20"/>
  <c r="BR97" i="20"/>
  <c r="BN98" i="20"/>
  <c r="BR98" i="20"/>
  <c r="BN99" i="20"/>
  <c r="BR99" i="20"/>
  <c r="BN100" i="20"/>
  <c r="BR100" i="20"/>
  <c r="BN101" i="20"/>
  <c r="BR101" i="20"/>
  <c r="BN102" i="20"/>
  <c r="BR102" i="20"/>
  <c r="BN103" i="20"/>
  <c r="BR103" i="20"/>
  <c r="BN104" i="20"/>
  <c r="BR104" i="20"/>
  <c r="BN105" i="20"/>
  <c r="BR105" i="20"/>
  <c r="BN106" i="20"/>
  <c r="BR106" i="20"/>
  <c r="BN107" i="20"/>
  <c r="BR107" i="20"/>
  <c r="BN108" i="20"/>
  <c r="BR108" i="20"/>
  <c r="BN109" i="20"/>
  <c r="BR109" i="20"/>
  <c r="BN110" i="20"/>
  <c r="BR110" i="20"/>
  <c r="BN111" i="20"/>
  <c r="BR111" i="20"/>
  <c r="BN112" i="20"/>
  <c r="BR112" i="20"/>
  <c r="BN113" i="20"/>
  <c r="BR113" i="20"/>
  <c r="BN114" i="20"/>
  <c r="BR114" i="20"/>
  <c r="BN115" i="20"/>
  <c r="BR115" i="20"/>
  <c r="BN116" i="20"/>
  <c r="BR116" i="20"/>
  <c r="BN117" i="20"/>
  <c r="BR117" i="20"/>
  <c r="BN118" i="20"/>
  <c r="BR118" i="20"/>
  <c r="BN119" i="20"/>
  <c r="BR119" i="20"/>
  <c r="BN120" i="20"/>
  <c r="BR120" i="20"/>
  <c r="BN121" i="20"/>
  <c r="BR121" i="20"/>
  <c r="BN122" i="20"/>
  <c r="BR122" i="20"/>
  <c r="BL164" i="20"/>
  <c r="BP164" i="20"/>
  <c r="BL165" i="20"/>
  <c r="BP165" i="20"/>
  <c r="BL166" i="20"/>
  <c r="BP166" i="20"/>
  <c r="BL167" i="20"/>
  <c r="BP167" i="20"/>
  <c r="BL153" i="20"/>
  <c r="BP153" i="20"/>
  <c r="BL154" i="20"/>
  <c r="BP154" i="20"/>
  <c r="BL155" i="20"/>
  <c r="BP155" i="20"/>
  <c r="BL156" i="20"/>
  <c r="BP156" i="20"/>
  <c r="BL157" i="20"/>
  <c r="BP157" i="20"/>
  <c r="BL158" i="20"/>
  <c r="BP158" i="20"/>
  <c r="BL159" i="20"/>
  <c r="BP159" i="20"/>
  <c r="BL160" i="20"/>
  <c r="BP160" i="20"/>
  <c r="BL161" i="20"/>
  <c r="BP161" i="20"/>
  <c r="BL162" i="20"/>
  <c r="BP162" i="20"/>
  <c r="BL163" i="20"/>
  <c r="BP163" i="20"/>
  <c r="BL140" i="20"/>
  <c r="BP140" i="20"/>
  <c r="BL141" i="20"/>
  <c r="BP141" i="20"/>
  <c r="BL142" i="20"/>
  <c r="BP142" i="20"/>
  <c r="BL143" i="20"/>
  <c r="BP143" i="20"/>
  <c r="BL144" i="20"/>
  <c r="BP144" i="20"/>
  <c r="BL145" i="20"/>
  <c r="BP145" i="20"/>
  <c r="BL146" i="20"/>
  <c r="BP146" i="20"/>
  <c r="BL147" i="20"/>
  <c r="BP147" i="20"/>
  <c r="BL148" i="20"/>
  <c r="BP148" i="20"/>
  <c r="BL149" i="20"/>
  <c r="BP149" i="20"/>
  <c r="BL150" i="20"/>
  <c r="BP150" i="20"/>
  <c r="BL151" i="20"/>
  <c r="BP151" i="20"/>
  <c r="BL152" i="20"/>
  <c r="BP152" i="20"/>
  <c r="BL9" i="20"/>
  <c r="BP9" i="20"/>
  <c r="BL10" i="20"/>
  <c r="BP10" i="20"/>
  <c r="BL11" i="20"/>
  <c r="BP11" i="20"/>
  <c r="BL12" i="20"/>
  <c r="BP12" i="20"/>
  <c r="BL13" i="20"/>
  <c r="BP13" i="20"/>
  <c r="BL14" i="20"/>
  <c r="BP14" i="20"/>
  <c r="BL15" i="20"/>
  <c r="BP15" i="20"/>
  <c r="BL16" i="20"/>
  <c r="BP16" i="20"/>
  <c r="BL17" i="20"/>
  <c r="BP17" i="20"/>
  <c r="BL18" i="20"/>
  <c r="BP18" i="20"/>
  <c r="BL19" i="20"/>
  <c r="BP19" i="20"/>
  <c r="BL20" i="20"/>
  <c r="BP20" i="20"/>
  <c r="BL21" i="20"/>
  <c r="BP21" i="20"/>
  <c r="BL22" i="20"/>
  <c r="BP22" i="20"/>
  <c r="BL23" i="20"/>
  <c r="BP23" i="20"/>
  <c r="BL24" i="20"/>
  <c r="BP24" i="20"/>
  <c r="BL25" i="20"/>
  <c r="BP25" i="20"/>
  <c r="BL26" i="20"/>
  <c r="BP26" i="20"/>
  <c r="BL27" i="20"/>
  <c r="BP27" i="20"/>
  <c r="BL28" i="20"/>
  <c r="BP28" i="20"/>
  <c r="BL29" i="20"/>
  <c r="BP29" i="20"/>
  <c r="BL30" i="20"/>
  <c r="BP30" i="20"/>
  <c r="BL31" i="20"/>
  <c r="BP31" i="20"/>
  <c r="BL32" i="20"/>
  <c r="BP32" i="20"/>
  <c r="BL33" i="20"/>
  <c r="BP33" i="20"/>
  <c r="BL34" i="20"/>
  <c r="BP34" i="20"/>
  <c r="BL35" i="20"/>
  <c r="BP35" i="20"/>
  <c r="BL36" i="20"/>
  <c r="BM164" i="20"/>
  <c r="BQ164" i="20"/>
  <c r="BM165" i="20"/>
  <c r="BQ165" i="20"/>
  <c r="BM166" i="20"/>
  <c r="BQ166" i="20"/>
  <c r="BM167" i="20"/>
  <c r="BQ167" i="20"/>
  <c r="BM153" i="20"/>
  <c r="BQ153" i="20"/>
  <c r="BM154" i="20"/>
  <c r="BQ154" i="20"/>
  <c r="BM155" i="20"/>
  <c r="BQ155" i="20"/>
  <c r="BM156" i="20"/>
  <c r="BQ156" i="20"/>
  <c r="BM157" i="20"/>
  <c r="BQ157" i="20"/>
  <c r="BM158" i="20"/>
  <c r="BQ158" i="20"/>
  <c r="BM159" i="20"/>
  <c r="BQ159" i="20"/>
  <c r="BM160" i="20"/>
  <c r="BQ160" i="20"/>
  <c r="BM161" i="20"/>
  <c r="BQ161" i="20"/>
  <c r="BM162" i="20"/>
  <c r="BQ162" i="20"/>
  <c r="BM163" i="20"/>
  <c r="BQ163" i="20"/>
  <c r="BM140" i="20"/>
  <c r="BQ140" i="20"/>
  <c r="BM141" i="20"/>
  <c r="BQ141" i="20"/>
  <c r="BM142" i="20"/>
  <c r="BQ142" i="20"/>
  <c r="BM143" i="20"/>
  <c r="BQ143" i="20"/>
  <c r="BM144" i="20"/>
  <c r="BQ144" i="20"/>
  <c r="BM145" i="20"/>
  <c r="BQ145" i="20"/>
  <c r="BM146" i="20"/>
  <c r="BQ146" i="20"/>
  <c r="BM147" i="20"/>
  <c r="BQ147" i="20"/>
  <c r="BM148" i="20"/>
  <c r="BQ148" i="20"/>
  <c r="BM149" i="20"/>
  <c r="BQ149" i="20"/>
  <c r="BM150" i="20"/>
  <c r="BQ150" i="20"/>
  <c r="BM151" i="20"/>
  <c r="BQ151" i="20"/>
  <c r="BM152" i="20"/>
  <c r="BQ152" i="20"/>
  <c r="BM9" i="20"/>
  <c r="BQ9" i="20"/>
  <c r="BM10" i="20"/>
  <c r="BQ10" i="20"/>
  <c r="BM11" i="20"/>
  <c r="BQ11" i="20"/>
  <c r="BM12" i="20"/>
  <c r="BQ12" i="20"/>
  <c r="BM13" i="20"/>
  <c r="BQ13" i="20"/>
  <c r="BM14" i="20"/>
  <c r="BQ14" i="20"/>
  <c r="BM15" i="20"/>
  <c r="BQ15" i="20"/>
  <c r="BM16" i="20"/>
  <c r="BQ16" i="20"/>
  <c r="BM17" i="20"/>
  <c r="BQ17" i="20"/>
  <c r="BM18" i="20"/>
  <c r="BQ18" i="20"/>
  <c r="BM19" i="20"/>
  <c r="BQ19" i="20"/>
  <c r="BM20" i="20"/>
  <c r="BQ20" i="20"/>
  <c r="BM21" i="20"/>
  <c r="BQ21" i="20"/>
  <c r="BM22" i="20"/>
  <c r="BQ22" i="20"/>
  <c r="BM23" i="20"/>
  <c r="BQ23" i="20"/>
  <c r="BM24" i="20"/>
  <c r="BQ24" i="20"/>
  <c r="BM25" i="20"/>
  <c r="BQ25" i="20"/>
  <c r="BM26" i="20"/>
  <c r="BQ26" i="20"/>
  <c r="BM27" i="20"/>
  <c r="BQ27" i="20"/>
  <c r="BM28" i="20"/>
  <c r="BQ28" i="20"/>
  <c r="BM29" i="20"/>
  <c r="BQ29" i="20"/>
  <c r="BM30" i="20"/>
  <c r="BQ30" i="20"/>
  <c r="BM31" i="20"/>
  <c r="BQ31" i="20"/>
  <c r="BM32" i="20"/>
  <c r="BQ32" i="20"/>
  <c r="BM33" i="20"/>
  <c r="BQ33" i="20"/>
  <c r="BM34" i="20"/>
  <c r="BQ34" i="20"/>
  <c r="BM35" i="20"/>
  <c r="BQ35" i="20"/>
  <c r="BM36" i="20"/>
  <c r="BQ36" i="20"/>
  <c r="BM37" i="20"/>
  <c r="BQ37" i="20"/>
  <c r="BM38" i="20"/>
  <c r="BQ38" i="20"/>
  <c r="BM39" i="20"/>
  <c r="BQ39" i="20"/>
  <c r="BM40" i="20"/>
  <c r="BQ40" i="20"/>
  <c r="BM41" i="20"/>
  <c r="BQ41" i="20"/>
  <c r="BM42" i="20"/>
  <c r="BQ42" i="20"/>
  <c r="BM43" i="20"/>
  <c r="BQ43" i="20"/>
  <c r="BM44" i="20"/>
  <c r="BQ44" i="20"/>
  <c r="BM45" i="20"/>
  <c r="BQ45" i="20"/>
  <c r="BM46" i="20"/>
  <c r="BQ46" i="20"/>
  <c r="BM47" i="20"/>
  <c r="BQ47" i="20"/>
  <c r="BM48" i="20"/>
  <c r="BQ48" i="20"/>
  <c r="BM49" i="20"/>
  <c r="BQ49" i="20"/>
  <c r="BM50" i="20"/>
  <c r="BQ50" i="20"/>
  <c r="BM51" i="20"/>
  <c r="BQ51" i="20"/>
  <c r="BM52" i="20"/>
  <c r="BQ52" i="20"/>
  <c r="BM53" i="20"/>
  <c r="BQ53" i="20"/>
  <c r="BM54" i="20"/>
  <c r="BQ54" i="20"/>
  <c r="BM55" i="20"/>
  <c r="BQ55" i="20"/>
  <c r="BM56" i="20"/>
  <c r="BQ56" i="20"/>
  <c r="BM57" i="20"/>
  <c r="BQ57" i="20"/>
  <c r="BM58" i="20"/>
  <c r="BQ58" i="20"/>
  <c r="BM59" i="20"/>
  <c r="BQ59" i="20"/>
  <c r="BM60" i="20"/>
  <c r="BQ60" i="20"/>
  <c r="BM61" i="20"/>
  <c r="BQ61" i="20"/>
  <c r="BM62" i="20"/>
  <c r="BQ62" i="20"/>
  <c r="BM63" i="20"/>
  <c r="BQ63" i="20"/>
  <c r="BM64" i="20"/>
  <c r="BQ64" i="20"/>
  <c r="BM65" i="20"/>
  <c r="BQ65" i="20"/>
  <c r="BM66" i="20"/>
  <c r="BQ66" i="20"/>
  <c r="BM67" i="20"/>
  <c r="BQ67" i="20"/>
  <c r="BM68" i="20"/>
  <c r="BQ68" i="20"/>
  <c r="BM69" i="20"/>
  <c r="BQ69" i="20"/>
  <c r="BM70" i="20"/>
  <c r="BQ70" i="20"/>
  <c r="BM71" i="20"/>
  <c r="BQ71" i="20"/>
  <c r="BM72" i="20"/>
  <c r="BQ72" i="20"/>
  <c r="BM73" i="20"/>
  <c r="BQ73" i="20"/>
  <c r="BM74" i="20"/>
  <c r="BQ74" i="20"/>
  <c r="BM75" i="20"/>
  <c r="BQ75" i="20"/>
  <c r="BM76" i="20"/>
  <c r="BQ76" i="20"/>
  <c r="BM77" i="20"/>
  <c r="BQ77" i="20"/>
  <c r="BM78" i="20"/>
  <c r="BQ78" i="20"/>
  <c r="BM79" i="20"/>
  <c r="BQ79" i="20"/>
  <c r="BM80" i="20"/>
  <c r="BQ80" i="20"/>
  <c r="BM81" i="20"/>
  <c r="BQ81" i="20"/>
  <c r="BM82" i="20"/>
  <c r="BQ82" i="20"/>
  <c r="BM83" i="20"/>
  <c r="BQ83" i="20"/>
  <c r="BM84" i="20"/>
  <c r="BQ84" i="20"/>
  <c r="BM85" i="20"/>
  <c r="BQ85" i="20"/>
  <c r="BM86" i="20"/>
  <c r="BQ86" i="20"/>
  <c r="BM87" i="20"/>
  <c r="BQ87" i="20"/>
  <c r="BM88" i="20"/>
  <c r="BQ88" i="20"/>
  <c r="BM89" i="20"/>
  <c r="BQ89" i="20"/>
  <c r="BM90" i="20"/>
  <c r="BQ90" i="20"/>
  <c r="BM91" i="20"/>
  <c r="BQ91" i="20"/>
  <c r="BM92" i="20"/>
  <c r="BQ92" i="20"/>
  <c r="BM93" i="20"/>
  <c r="BQ93" i="20"/>
  <c r="BM94" i="20"/>
  <c r="BQ94" i="20"/>
  <c r="BM95" i="20"/>
  <c r="BQ95" i="20"/>
  <c r="BM96" i="20"/>
  <c r="BQ96" i="20"/>
  <c r="BM97" i="20"/>
  <c r="BQ97" i="20"/>
  <c r="BM98" i="20"/>
  <c r="BQ98" i="20"/>
  <c r="BM99" i="20"/>
  <c r="BQ99" i="20"/>
  <c r="BM100" i="20"/>
  <c r="BQ100" i="20"/>
  <c r="BM101" i="20"/>
  <c r="BQ101" i="20"/>
  <c r="BM102" i="20"/>
  <c r="BQ102" i="20"/>
  <c r="BM103" i="20"/>
  <c r="BQ103" i="20"/>
  <c r="BM104" i="20"/>
  <c r="BQ104" i="20"/>
  <c r="BM105" i="20"/>
  <c r="BQ105" i="20"/>
  <c r="BM106" i="20"/>
  <c r="BQ106" i="20"/>
  <c r="BM107" i="20"/>
  <c r="BQ107" i="20"/>
  <c r="BM108" i="20"/>
  <c r="BQ108" i="20"/>
  <c r="BM109" i="20"/>
  <c r="BQ109" i="20"/>
  <c r="BM110" i="20"/>
  <c r="BQ110" i="20"/>
  <c r="BM111" i="20"/>
  <c r="BQ111" i="20"/>
  <c r="BM112" i="20"/>
  <c r="BQ112" i="20"/>
  <c r="BM113" i="20"/>
  <c r="BQ113" i="20"/>
  <c r="BM114" i="20"/>
  <c r="BQ114" i="20"/>
  <c r="BM115" i="20"/>
  <c r="BQ115" i="20"/>
  <c r="BM116" i="20"/>
  <c r="BQ116" i="20"/>
  <c r="BM117" i="20"/>
  <c r="BQ117" i="20"/>
  <c r="BM118" i="20"/>
  <c r="BQ118" i="20"/>
  <c r="BM119" i="20"/>
  <c r="BQ119" i="20"/>
  <c r="BM120" i="20"/>
  <c r="BQ120" i="20"/>
  <c r="BM121" i="20"/>
  <c r="BQ121" i="20"/>
  <c r="BM122" i="20"/>
  <c r="BQ122" i="20"/>
  <c r="BM123" i="20"/>
  <c r="BQ123" i="20"/>
  <c r="BM124" i="20"/>
  <c r="BQ124" i="20"/>
  <c r="BM125" i="20"/>
  <c r="BQ125" i="20"/>
  <c r="BM126" i="20"/>
  <c r="BQ126" i="20"/>
  <c r="BM127" i="20"/>
  <c r="BQ127" i="20"/>
  <c r="BM128" i="20"/>
  <c r="BQ128" i="20"/>
  <c r="BM129" i="20"/>
  <c r="BQ129" i="20"/>
  <c r="BM130" i="20"/>
  <c r="BQ130" i="20"/>
  <c r="BM131" i="20"/>
  <c r="BQ131" i="20"/>
  <c r="BM132" i="20"/>
  <c r="BQ132" i="20"/>
  <c r="BM133" i="20"/>
  <c r="BQ133" i="20"/>
  <c r="BM134" i="20"/>
  <c r="BQ134" i="20"/>
  <c r="BM135" i="20"/>
  <c r="BQ135" i="20"/>
  <c r="BO164" i="20"/>
  <c r="BO166" i="20"/>
  <c r="BO153" i="20"/>
  <c r="BO155" i="20"/>
  <c r="BO157" i="20"/>
  <c r="BO159" i="20"/>
  <c r="BO161" i="20"/>
  <c r="BO163" i="20"/>
  <c r="BO141" i="20"/>
  <c r="BO143" i="20"/>
  <c r="BO145" i="20"/>
  <c r="BO147" i="20"/>
  <c r="BO149" i="20"/>
  <c r="BO151" i="20"/>
  <c r="BO9" i="20"/>
  <c r="BO11" i="20"/>
  <c r="BO13" i="20"/>
  <c r="BO15" i="20"/>
  <c r="BO17" i="20"/>
  <c r="BO19" i="20"/>
  <c r="BO21" i="20"/>
  <c r="BO23" i="20"/>
  <c r="BO25" i="20"/>
  <c r="BO27" i="20"/>
  <c r="BO29" i="20"/>
  <c r="BO31" i="20"/>
  <c r="BO33" i="20"/>
  <c r="BO35" i="20"/>
  <c r="BK37" i="20"/>
  <c r="BK38" i="20"/>
  <c r="BK39" i="20"/>
  <c r="BK40" i="20"/>
  <c r="BK41" i="20"/>
  <c r="BK42" i="20"/>
  <c r="BK43" i="20"/>
  <c r="BK44" i="20"/>
  <c r="BK45" i="20"/>
  <c r="BK46" i="20"/>
  <c r="BK47" i="20"/>
  <c r="BK48" i="20"/>
  <c r="BK49" i="20"/>
  <c r="BK50" i="20"/>
  <c r="BK51" i="20"/>
  <c r="BK52" i="20"/>
  <c r="BK53" i="20"/>
  <c r="BK54" i="20"/>
  <c r="BK55" i="20"/>
  <c r="BK56" i="20"/>
  <c r="BK57" i="20"/>
  <c r="BK58" i="20"/>
  <c r="BK59" i="20"/>
  <c r="BK60" i="20"/>
  <c r="BK61" i="20"/>
  <c r="BK62" i="20"/>
  <c r="BK63" i="20"/>
  <c r="BK64" i="20"/>
  <c r="BK65" i="20"/>
  <c r="BK66" i="20"/>
  <c r="BK67" i="20"/>
  <c r="BK68" i="20"/>
  <c r="BK69" i="20"/>
  <c r="BK70" i="20"/>
  <c r="BK71" i="20"/>
  <c r="BK72" i="20"/>
  <c r="BK73" i="20"/>
  <c r="BK74" i="20"/>
  <c r="BK75" i="20"/>
  <c r="BK76" i="20"/>
  <c r="BK77" i="20"/>
  <c r="BK78" i="20"/>
  <c r="BK79" i="20"/>
  <c r="BK80" i="20"/>
  <c r="BK81" i="20"/>
  <c r="BK82" i="20"/>
  <c r="BK83" i="20"/>
  <c r="BK84" i="20"/>
  <c r="BK85" i="20"/>
  <c r="BK86" i="20"/>
  <c r="BK87" i="20"/>
  <c r="BK88" i="20"/>
  <c r="BK89" i="20"/>
  <c r="BK90" i="20"/>
  <c r="BK91" i="20"/>
  <c r="BK92" i="20"/>
  <c r="BK93" i="20"/>
  <c r="BK94" i="20"/>
  <c r="BK95" i="20"/>
  <c r="BK96" i="20"/>
  <c r="BK97" i="20"/>
  <c r="BK98" i="20"/>
  <c r="BK99" i="20"/>
  <c r="BK100" i="20"/>
  <c r="BK101" i="20"/>
  <c r="BK102" i="20"/>
  <c r="BK103" i="20"/>
  <c r="BK104" i="20"/>
  <c r="BK105" i="20"/>
  <c r="BK106" i="20"/>
  <c r="BK107" i="20"/>
  <c r="BK108" i="20"/>
  <c r="BK109" i="20"/>
  <c r="BK110" i="20"/>
  <c r="BK111" i="20"/>
  <c r="BK112" i="20"/>
  <c r="BK113" i="20"/>
  <c r="BK114" i="20"/>
  <c r="BK115" i="20"/>
  <c r="BK116" i="20"/>
  <c r="BK117" i="20"/>
  <c r="BK118" i="20"/>
  <c r="BK119" i="20"/>
  <c r="BK120" i="20"/>
  <c r="BK121" i="20"/>
  <c r="BK122" i="20"/>
  <c r="BK123" i="20"/>
  <c r="BP123" i="20"/>
  <c r="BN124" i="20"/>
  <c r="BK125" i="20"/>
  <c r="BP125" i="20"/>
  <c r="BN126" i="20"/>
  <c r="BK127" i="20"/>
  <c r="BP127" i="20"/>
  <c r="BN128" i="20"/>
  <c r="BK129" i="20"/>
  <c r="BP129" i="20"/>
  <c r="BN130" i="20"/>
  <c r="BK131" i="20"/>
  <c r="BP131" i="20"/>
  <c r="BN132" i="20"/>
  <c r="BK133" i="20"/>
  <c r="BP133" i="20"/>
  <c r="BN134" i="20"/>
  <c r="BK135" i="20"/>
  <c r="BP135" i="20"/>
  <c r="BM136" i="20"/>
  <c r="BQ136" i="20"/>
  <c r="BM137" i="20"/>
  <c r="BQ137" i="20"/>
  <c r="BM138" i="20"/>
  <c r="BQ138" i="20"/>
  <c r="BM139" i="20"/>
  <c r="BQ139" i="20"/>
  <c r="BK165" i="20"/>
  <c r="BK167" i="20"/>
  <c r="BK154" i="20"/>
  <c r="BK156" i="20"/>
  <c r="BK158" i="20"/>
  <c r="BK160" i="20"/>
  <c r="BK162" i="20"/>
  <c r="BK140" i="20"/>
  <c r="BK142" i="20"/>
  <c r="BK144" i="20"/>
  <c r="BK146" i="20"/>
  <c r="BK148" i="20"/>
  <c r="BK150" i="20"/>
  <c r="BK152" i="20"/>
  <c r="BK10" i="20"/>
  <c r="BK12" i="20"/>
  <c r="BK14" i="20"/>
  <c r="BK16" i="20"/>
  <c r="BK18" i="20"/>
  <c r="BK20" i="20"/>
  <c r="BK22" i="20"/>
  <c r="BK24" i="20"/>
  <c r="BK26" i="20"/>
  <c r="BK28" i="20"/>
  <c r="BK30" i="20"/>
  <c r="BK32" i="20"/>
  <c r="BK34" i="20"/>
  <c r="BK36" i="20"/>
  <c r="BL37" i="20"/>
  <c r="BL38" i="20"/>
  <c r="BL39" i="20"/>
  <c r="BL40" i="20"/>
  <c r="BL41" i="20"/>
  <c r="BL42" i="20"/>
  <c r="BL43" i="20"/>
  <c r="BL44" i="20"/>
  <c r="BL45" i="20"/>
  <c r="BL46" i="20"/>
  <c r="BL47" i="20"/>
  <c r="BL48" i="20"/>
  <c r="BL49" i="20"/>
  <c r="BL50" i="20"/>
  <c r="BL51" i="20"/>
  <c r="BL52" i="20"/>
  <c r="BL53" i="20"/>
  <c r="BL54" i="20"/>
  <c r="BL55" i="20"/>
  <c r="BL56" i="20"/>
  <c r="BL57" i="20"/>
  <c r="BL58" i="20"/>
  <c r="BL59" i="20"/>
  <c r="BL60" i="20"/>
  <c r="BL61" i="20"/>
  <c r="BL62" i="20"/>
  <c r="BL63" i="20"/>
  <c r="BL64" i="20"/>
  <c r="BL65" i="20"/>
  <c r="BL66" i="20"/>
  <c r="BL67" i="20"/>
  <c r="BL68" i="20"/>
  <c r="BL69" i="20"/>
  <c r="BL70" i="20"/>
  <c r="BL71" i="20"/>
  <c r="BL72" i="20"/>
  <c r="BL73" i="20"/>
  <c r="BL74" i="20"/>
  <c r="BL75" i="20"/>
  <c r="BL76" i="20"/>
  <c r="BL77" i="20"/>
  <c r="BL78" i="20"/>
  <c r="BL79" i="20"/>
  <c r="BL80" i="20"/>
  <c r="BL81" i="20"/>
  <c r="BL82" i="20"/>
  <c r="BL83" i="20"/>
  <c r="BL84" i="20"/>
  <c r="BL85" i="20"/>
  <c r="BL86" i="20"/>
  <c r="BL87" i="20"/>
  <c r="BL88" i="20"/>
  <c r="BL89" i="20"/>
  <c r="BL90" i="20"/>
  <c r="BL91" i="20"/>
  <c r="BL92" i="20"/>
  <c r="BL93" i="20"/>
  <c r="BL94" i="20"/>
  <c r="BL95" i="20"/>
  <c r="BL96" i="20"/>
  <c r="BL97" i="20"/>
  <c r="BL98" i="20"/>
  <c r="BL99" i="20"/>
  <c r="BL100" i="20"/>
  <c r="BL101" i="20"/>
  <c r="BL102" i="20"/>
  <c r="BL103" i="20"/>
  <c r="BL104" i="20"/>
  <c r="BL105" i="20"/>
  <c r="BL106" i="20"/>
  <c r="BL107" i="20"/>
  <c r="BL108" i="20"/>
  <c r="BL109" i="20"/>
  <c r="BL110" i="20"/>
  <c r="BL111" i="20"/>
  <c r="BL112" i="20"/>
  <c r="BL113" i="20"/>
  <c r="BL114" i="20"/>
  <c r="BL115" i="20"/>
  <c r="BL116" i="20"/>
  <c r="BL117" i="20"/>
  <c r="BL118" i="20"/>
  <c r="BL119" i="20"/>
  <c r="BL120" i="20"/>
  <c r="BL121" i="20"/>
  <c r="BL122" i="20"/>
  <c r="BL123" i="20"/>
  <c r="BR123" i="20"/>
  <c r="BO124" i="20"/>
  <c r="BL125" i="20"/>
  <c r="BR125" i="20"/>
  <c r="BO126" i="20"/>
  <c r="BL127" i="20"/>
  <c r="BR127" i="20"/>
  <c r="BO128" i="20"/>
  <c r="BL129" i="20"/>
  <c r="BR129" i="20"/>
  <c r="BO130" i="20"/>
  <c r="BL131" i="20"/>
  <c r="BR131" i="20"/>
  <c r="BO132" i="20"/>
  <c r="BL133" i="20"/>
  <c r="BR133" i="20"/>
  <c r="BO134" i="20"/>
  <c r="BL135" i="20"/>
  <c r="BR135" i="20"/>
  <c r="BN136" i="20"/>
  <c r="BR136" i="20"/>
  <c r="BN137" i="20"/>
  <c r="BR137" i="20"/>
  <c r="BN138" i="20"/>
  <c r="BR138" i="20"/>
  <c r="BN139" i="20"/>
  <c r="BR139" i="20"/>
  <c r="BO165" i="20"/>
  <c r="BO167" i="20"/>
  <c r="BO154" i="20"/>
  <c r="BO156" i="20"/>
  <c r="BO158" i="20"/>
  <c r="BO160" i="20"/>
  <c r="BO162" i="20"/>
  <c r="BO140" i="20"/>
  <c r="BO142" i="20"/>
  <c r="BO144" i="20"/>
  <c r="BO146" i="20"/>
  <c r="BO148" i="20"/>
  <c r="BO150" i="20"/>
  <c r="BO152" i="20"/>
  <c r="BO10" i="20"/>
  <c r="BO12" i="20"/>
  <c r="BO14" i="20"/>
  <c r="BO16" i="20"/>
  <c r="BO18" i="20"/>
  <c r="BO20" i="20"/>
  <c r="BO22" i="20"/>
  <c r="BO24" i="20"/>
  <c r="BO26" i="20"/>
  <c r="BO28" i="20"/>
  <c r="BO30" i="20"/>
  <c r="BO32" i="20"/>
  <c r="BO34" i="20"/>
  <c r="BO36" i="20"/>
  <c r="BO37" i="20"/>
  <c r="BO38" i="20"/>
  <c r="BO39" i="20"/>
  <c r="BO40" i="20"/>
  <c r="BO41" i="20"/>
  <c r="BO42" i="20"/>
  <c r="BO43" i="20"/>
  <c r="BO44" i="20"/>
  <c r="BO45" i="20"/>
  <c r="BO46" i="20"/>
  <c r="BO47" i="20"/>
  <c r="BO48" i="20"/>
  <c r="BO49" i="20"/>
  <c r="BO50" i="20"/>
  <c r="BO51" i="20"/>
  <c r="BO52" i="20"/>
  <c r="BO53" i="20"/>
  <c r="BO54" i="20"/>
  <c r="BO55" i="20"/>
  <c r="BO56" i="20"/>
  <c r="BO57" i="20"/>
  <c r="BO58" i="20"/>
  <c r="BO59" i="20"/>
  <c r="BO60" i="20"/>
  <c r="BO61" i="20"/>
  <c r="BO62" i="20"/>
  <c r="BO63" i="20"/>
  <c r="BO64" i="20"/>
  <c r="BO65" i="20"/>
  <c r="BO66" i="20"/>
  <c r="BO67" i="20"/>
  <c r="BO68" i="20"/>
  <c r="BO69" i="20"/>
  <c r="BO70" i="20"/>
  <c r="BO71" i="20"/>
  <c r="BO72" i="20"/>
  <c r="BO73" i="20"/>
  <c r="BO74" i="20"/>
  <c r="BO75" i="20"/>
  <c r="BO76" i="20"/>
  <c r="BO77" i="20"/>
  <c r="BO78" i="20"/>
  <c r="BO79" i="20"/>
  <c r="BO80" i="20"/>
  <c r="BO81" i="20"/>
  <c r="BO82" i="20"/>
  <c r="BO83" i="20"/>
  <c r="BO84" i="20"/>
  <c r="BO85" i="20"/>
  <c r="BO86" i="20"/>
  <c r="BO87" i="20"/>
  <c r="BO88" i="20"/>
  <c r="BO89" i="20"/>
  <c r="BO90" i="20"/>
  <c r="BO91" i="20"/>
  <c r="BO92" i="20"/>
  <c r="BO93" i="20"/>
  <c r="BO94" i="20"/>
  <c r="BO95" i="20"/>
  <c r="BO96" i="20"/>
  <c r="BO97" i="20"/>
  <c r="BO98" i="20"/>
  <c r="BO99" i="20"/>
  <c r="BO100" i="20"/>
  <c r="BO101" i="20"/>
  <c r="BO102" i="20"/>
  <c r="BO103" i="20"/>
  <c r="BO104" i="20"/>
  <c r="BO105" i="20"/>
  <c r="BO106" i="20"/>
  <c r="BO107" i="20"/>
  <c r="BO108" i="20"/>
  <c r="BO109" i="20"/>
  <c r="BO110" i="20"/>
  <c r="BO111" i="20"/>
  <c r="BO112" i="20"/>
  <c r="BO113" i="20"/>
  <c r="BO114" i="20"/>
  <c r="BO115" i="20"/>
  <c r="BO116" i="20"/>
  <c r="BO117" i="20"/>
  <c r="BO118" i="20"/>
  <c r="BO119" i="20"/>
  <c r="BO120" i="20"/>
  <c r="BO121" i="20"/>
  <c r="BO122" i="20"/>
  <c r="BN123" i="20"/>
  <c r="BK124" i="20"/>
  <c r="BP124" i="20"/>
  <c r="BN125" i="20"/>
  <c r="BK126" i="20"/>
  <c r="BP126" i="20"/>
  <c r="BN127" i="20"/>
  <c r="BK128" i="20"/>
  <c r="BP128" i="20"/>
  <c r="BN129" i="20"/>
  <c r="BK130" i="20"/>
  <c r="BP130" i="20"/>
  <c r="BN131" i="20"/>
  <c r="BK132" i="20"/>
  <c r="BP132" i="20"/>
  <c r="BN133" i="20"/>
  <c r="BK134" i="20"/>
  <c r="BP134" i="20"/>
  <c r="BN135" i="20"/>
  <c r="BK136" i="20"/>
  <c r="BO136" i="20"/>
  <c r="BK137" i="20"/>
  <c r="BO137" i="20"/>
  <c r="BK138" i="20"/>
  <c r="BO138" i="20"/>
  <c r="BK139" i="20"/>
  <c r="BO139" i="20"/>
  <c r="BK164" i="20"/>
  <c r="BK157" i="20"/>
  <c r="BK141" i="20"/>
  <c r="BK149" i="20"/>
  <c r="BK13" i="20"/>
  <c r="BK21" i="20"/>
  <c r="BK29" i="20"/>
  <c r="BP36" i="20"/>
  <c r="BP40" i="20"/>
  <c r="BP44" i="20"/>
  <c r="BP48" i="20"/>
  <c r="BP52" i="20"/>
  <c r="BP56" i="20"/>
  <c r="BP60" i="20"/>
  <c r="BP64" i="20"/>
  <c r="BP68" i="20"/>
  <c r="BP72" i="20"/>
  <c r="BP76" i="20"/>
  <c r="BP80" i="20"/>
  <c r="BP84" i="20"/>
  <c r="BP88" i="20"/>
  <c r="BP92" i="20"/>
  <c r="BP96" i="20"/>
  <c r="BP100" i="20"/>
  <c r="BP104" i="20"/>
  <c r="BP108" i="20"/>
  <c r="BP112" i="20"/>
  <c r="BP116" i="20"/>
  <c r="BP120" i="20"/>
  <c r="BL124" i="20"/>
  <c r="BR126" i="20"/>
  <c r="BO129" i="20"/>
  <c r="BL132" i="20"/>
  <c r="BR134" i="20"/>
  <c r="BL137" i="20"/>
  <c r="BL139" i="20"/>
  <c r="BK166" i="20"/>
  <c r="BK159" i="20"/>
  <c r="BK143" i="20"/>
  <c r="BK151" i="20"/>
  <c r="BK15" i="20"/>
  <c r="BK23" i="20"/>
  <c r="BK31" i="20"/>
  <c r="BP37" i="20"/>
  <c r="BP41" i="20"/>
  <c r="BP45" i="20"/>
  <c r="BP49" i="20"/>
  <c r="BP53" i="20"/>
  <c r="BP57" i="20"/>
  <c r="BP61" i="20"/>
  <c r="BP65" i="20"/>
  <c r="BP69" i="20"/>
  <c r="BP73" i="20"/>
  <c r="BP77" i="20"/>
  <c r="BP81" i="20"/>
  <c r="BP85" i="20"/>
  <c r="BP89" i="20"/>
  <c r="BP93" i="20"/>
  <c r="BP97" i="20"/>
  <c r="BP101" i="20"/>
  <c r="BP105" i="20"/>
  <c r="BP109" i="20"/>
  <c r="BP113" i="20"/>
  <c r="BP117" i="20"/>
  <c r="BP121" i="20"/>
  <c r="BR124" i="20"/>
  <c r="BO127" i="20"/>
  <c r="BL130" i="20"/>
  <c r="BR132" i="20"/>
  <c r="BO135" i="20"/>
  <c r="BP137" i="20"/>
  <c r="BP139" i="20"/>
  <c r="BK153" i="20"/>
  <c r="BK161" i="20"/>
  <c r="BK145" i="20"/>
  <c r="BK9" i="20"/>
  <c r="BK17" i="20"/>
  <c r="BK25" i="20"/>
  <c r="BK33" i="20"/>
  <c r="BP38" i="20"/>
  <c r="BP42" i="20"/>
  <c r="BP46" i="20"/>
  <c r="BP50" i="20"/>
  <c r="BP54" i="20"/>
  <c r="BP58" i="20"/>
  <c r="BP62" i="20"/>
  <c r="BP66" i="20"/>
  <c r="BP70" i="20"/>
  <c r="BP74" i="20"/>
  <c r="BP78" i="20"/>
  <c r="BP82" i="20"/>
  <c r="BP86" i="20"/>
  <c r="BP90" i="20"/>
  <c r="BP94" i="20"/>
  <c r="BP98" i="20"/>
  <c r="BP102" i="20"/>
  <c r="BP106" i="20"/>
  <c r="BP110" i="20"/>
  <c r="BP114" i="20"/>
  <c r="BP118" i="20"/>
  <c r="BP122" i="20"/>
  <c r="BO125" i="20"/>
  <c r="BL128" i="20"/>
  <c r="BR130" i="20"/>
  <c r="BO133" i="20"/>
  <c r="BL136" i="20"/>
  <c r="BL138" i="20"/>
  <c r="BK155" i="20"/>
  <c r="BK163" i="20"/>
  <c r="BK147" i="20"/>
  <c r="BK11" i="20"/>
  <c r="BK19" i="20"/>
  <c r="BK27" i="20"/>
  <c r="BK35" i="20"/>
  <c r="BP39" i="20"/>
  <c r="BP43" i="20"/>
  <c r="BP47" i="20"/>
  <c r="BP51" i="20"/>
  <c r="BP55" i="20"/>
  <c r="BP59" i="20"/>
  <c r="BP63" i="20"/>
  <c r="BP67" i="20"/>
  <c r="BP71" i="20"/>
  <c r="BP75" i="20"/>
  <c r="BP79" i="20"/>
  <c r="BP83" i="20"/>
  <c r="BP87" i="20"/>
  <c r="BP91" i="20"/>
  <c r="BP95" i="20"/>
  <c r="BP99" i="20"/>
  <c r="BP103" i="20"/>
  <c r="BP107" i="20"/>
  <c r="BP111" i="20"/>
  <c r="BP115" i="20"/>
  <c r="BP119" i="20"/>
  <c r="BO123" i="20"/>
  <c r="BL126" i="20"/>
  <c r="BR128" i="20"/>
  <c r="BO131" i="20"/>
  <c r="BL134" i="20"/>
  <c r="BP136" i="20"/>
  <c r="BP138" i="20"/>
  <c r="AG167" i="20"/>
  <c r="AK167" i="20"/>
  <c r="AG27" i="20"/>
  <c r="AK27" i="20"/>
  <c r="AG28" i="20"/>
  <c r="AK28" i="20"/>
  <c r="AG29" i="20"/>
  <c r="AK29" i="20"/>
  <c r="AG30" i="20"/>
  <c r="AK30" i="20"/>
  <c r="AG31" i="20"/>
  <c r="AK31" i="20"/>
  <c r="AG32" i="20"/>
  <c r="AK32" i="20"/>
  <c r="AG33" i="20"/>
  <c r="AK33" i="20"/>
  <c r="AG34" i="20"/>
  <c r="AK34" i="20"/>
  <c r="AG35" i="20"/>
  <c r="AK35" i="20"/>
  <c r="AG36" i="20"/>
  <c r="AK36" i="20"/>
  <c r="AG37" i="20"/>
  <c r="AK37" i="20"/>
  <c r="AG38" i="20"/>
  <c r="AK38" i="20"/>
  <c r="AG39" i="20"/>
  <c r="AK39" i="20"/>
  <c r="AG40" i="20"/>
  <c r="AK40" i="20"/>
  <c r="AG41" i="20"/>
  <c r="AK41" i="20"/>
  <c r="AG42" i="20"/>
  <c r="AK42" i="20"/>
  <c r="AG43" i="20"/>
  <c r="AK43" i="20"/>
  <c r="AG44" i="20"/>
  <c r="AK44" i="20"/>
  <c r="AG45" i="20"/>
  <c r="AK45" i="20"/>
  <c r="AG46" i="20"/>
  <c r="AK46" i="20"/>
  <c r="AG47" i="20"/>
  <c r="AK47" i="20"/>
  <c r="AG48" i="20"/>
  <c r="AK48" i="20"/>
  <c r="AG49" i="20"/>
  <c r="AK49" i="20"/>
  <c r="AG50" i="20"/>
  <c r="AK50" i="20"/>
  <c r="AG51" i="20"/>
  <c r="AK51" i="20"/>
  <c r="AG52" i="20"/>
  <c r="AK52" i="20"/>
  <c r="AG53" i="20"/>
  <c r="AK53" i="20"/>
  <c r="AG54" i="20"/>
  <c r="AK54" i="20"/>
  <c r="AG55" i="20"/>
  <c r="AK55" i="20"/>
  <c r="AG56" i="20"/>
  <c r="AK56" i="20"/>
  <c r="AG57" i="20"/>
  <c r="AK57" i="20"/>
  <c r="AG58" i="20"/>
  <c r="AK58" i="20"/>
  <c r="AG59" i="20"/>
  <c r="AK59" i="20"/>
  <c r="AG60" i="20"/>
  <c r="AK60" i="20"/>
  <c r="AG61" i="20"/>
  <c r="AK61" i="20"/>
  <c r="AG62" i="20"/>
  <c r="AK62" i="20"/>
  <c r="AG63" i="20"/>
  <c r="AK63" i="20"/>
  <c r="AG64" i="20"/>
  <c r="AK64" i="20"/>
  <c r="AG65" i="20"/>
  <c r="AK65" i="20"/>
  <c r="AG66" i="20"/>
  <c r="AK66" i="20"/>
  <c r="AG67" i="20"/>
  <c r="AK67" i="20"/>
  <c r="AG68" i="20"/>
  <c r="AK68" i="20"/>
  <c r="AG69" i="20"/>
  <c r="AK69" i="20"/>
  <c r="AG70" i="20"/>
  <c r="AK70" i="20"/>
  <c r="AG71" i="20"/>
  <c r="AK71" i="20"/>
  <c r="AG72" i="20"/>
  <c r="AK72" i="20"/>
  <c r="AG73" i="20"/>
  <c r="AK73" i="20"/>
  <c r="AG74" i="20"/>
  <c r="AK74" i="20"/>
  <c r="AG75" i="20"/>
  <c r="AK75" i="20"/>
  <c r="AG76" i="20"/>
  <c r="AK76" i="20"/>
  <c r="AG77" i="20"/>
  <c r="AK77" i="20"/>
  <c r="AG78" i="20"/>
  <c r="AK78" i="20"/>
  <c r="AG79" i="20"/>
  <c r="AK79" i="20"/>
  <c r="AG80" i="20"/>
  <c r="AK80" i="20"/>
  <c r="AG81" i="20"/>
  <c r="AK81" i="20"/>
  <c r="AG82" i="20"/>
  <c r="AK82" i="20"/>
  <c r="AG83" i="20"/>
  <c r="AK83" i="20"/>
  <c r="AG84" i="20"/>
  <c r="AK84" i="20"/>
  <c r="AG85" i="20"/>
  <c r="AK85" i="20"/>
  <c r="AG86" i="20"/>
  <c r="AK86" i="20"/>
  <c r="AG87" i="20"/>
  <c r="AK87" i="20"/>
  <c r="AG88" i="20"/>
  <c r="AK88" i="20"/>
  <c r="AG89" i="20"/>
  <c r="AK89" i="20"/>
  <c r="AG90" i="20"/>
  <c r="AK90" i="20"/>
  <c r="AG91" i="20"/>
  <c r="AK91" i="20"/>
  <c r="AG92" i="20"/>
  <c r="AK92" i="20"/>
  <c r="AG93" i="20"/>
  <c r="AK93" i="20"/>
  <c r="AG94" i="20"/>
  <c r="AK94" i="20"/>
  <c r="AG95" i="20"/>
  <c r="AK95" i="20"/>
  <c r="AG96" i="20"/>
  <c r="AK96" i="20"/>
  <c r="AG97" i="20"/>
  <c r="AK97" i="20"/>
  <c r="AG98" i="20"/>
  <c r="AK98" i="20"/>
  <c r="AG99" i="20"/>
  <c r="AK99" i="20"/>
  <c r="AG100" i="20"/>
  <c r="AK100" i="20"/>
  <c r="AG101" i="20"/>
  <c r="AK101" i="20"/>
  <c r="AG102" i="20"/>
  <c r="AK102" i="20"/>
  <c r="AG103" i="20"/>
  <c r="AK103" i="20"/>
  <c r="AG104" i="20"/>
  <c r="AK104" i="20"/>
  <c r="AG105" i="20"/>
  <c r="AK105" i="20"/>
  <c r="AG106" i="20"/>
  <c r="AK106" i="20"/>
  <c r="AG107" i="20"/>
  <c r="AK107" i="20"/>
  <c r="AG108" i="20"/>
  <c r="AK108" i="20"/>
  <c r="AG109" i="20"/>
  <c r="AK109" i="20"/>
  <c r="AG110" i="20"/>
  <c r="AK110" i="20"/>
  <c r="AG111" i="20"/>
  <c r="AK111" i="20"/>
  <c r="AG112" i="20"/>
  <c r="AK112" i="20"/>
  <c r="AG113" i="20"/>
  <c r="AK113" i="20"/>
  <c r="AG114" i="20"/>
  <c r="AK114" i="20"/>
  <c r="AG115" i="20"/>
  <c r="AK115" i="20"/>
  <c r="AG116" i="20"/>
  <c r="AK116" i="20"/>
  <c r="AG117" i="20"/>
  <c r="AK117" i="20"/>
  <c r="AG118" i="20"/>
  <c r="AK118" i="20"/>
  <c r="AG119" i="20"/>
  <c r="AK119" i="20"/>
  <c r="AG120" i="20"/>
  <c r="AK120" i="20"/>
  <c r="AG121" i="20"/>
  <c r="AK121" i="20"/>
  <c r="AG122" i="20"/>
  <c r="AK122" i="20"/>
  <c r="AG123" i="20"/>
  <c r="AK123" i="20"/>
  <c r="AG124" i="20"/>
  <c r="AK124" i="20"/>
  <c r="AG125" i="20"/>
  <c r="AK125" i="20"/>
  <c r="AG126" i="20"/>
  <c r="AK126" i="20"/>
  <c r="AG127" i="20"/>
  <c r="AK127" i="20"/>
  <c r="AG128" i="20"/>
  <c r="AK128" i="20"/>
  <c r="AG129" i="20"/>
  <c r="AK129" i="20"/>
  <c r="AG130" i="20"/>
  <c r="AK130" i="20"/>
  <c r="AG131" i="20"/>
  <c r="AK131" i="20"/>
  <c r="AG132" i="20"/>
  <c r="AK132" i="20"/>
  <c r="AG133" i="20"/>
  <c r="AK133" i="20"/>
  <c r="AG134" i="20"/>
  <c r="AK134" i="20"/>
  <c r="AG135" i="20"/>
  <c r="AK135" i="20"/>
  <c r="AG136" i="20"/>
  <c r="AK136" i="20"/>
  <c r="AG137" i="20"/>
  <c r="AK137" i="20"/>
  <c r="AG138" i="20"/>
  <c r="AK138" i="20"/>
  <c r="AG139" i="20"/>
  <c r="AK139" i="20"/>
  <c r="AG140" i="20"/>
  <c r="AK140" i="20"/>
  <c r="AG141" i="20"/>
  <c r="AK141" i="20"/>
  <c r="AG142" i="20"/>
  <c r="AK142" i="20"/>
  <c r="AG143" i="20"/>
  <c r="AK143" i="20"/>
  <c r="AG144" i="20"/>
  <c r="AK144" i="20"/>
  <c r="AG145" i="20"/>
  <c r="AK145" i="20"/>
  <c r="AG146" i="20"/>
  <c r="AK146" i="20"/>
  <c r="AG147" i="20"/>
  <c r="AK147" i="20"/>
  <c r="AG148" i="20"/>
  <c r="AK148" i="20"/>
  <c r="AG149" i="20"/>
  <c r="AK149" i="20"/>
  <c r="AG150" i="20"/>
  <c r="AK150" i="20"/>
  <c r="AG151" i="20"/>
  <c r="AK151" i="20"/>
  <c r="AG152" i="20"/>
  <c r="AK152" i="20"/>
  <c r="AG153" i="20"/>
  <c r="AK153" i="20"/>
  <c r="AG154" i="20"/>
  <c r="AK154" i="20"/>
  <c r="AG155" i="20"/>
  <c r="AK155" i="20"/>
  <c r="AG156" i="20"/>
  <c r="AK156" i="20"/>
  <c r="AG157" i="20"/>
  <c r="AK157" i="20"/>
  <c r="AG158" i="20"/>
  <c r="AK158" i="20"/>
  <c r="AG159" i="20"/>
  <c r="AK159" i="20"/>
  <c r="AG160" i="20"/>
  <c r="AK160" i="20"/>
  <c r="AG161" i="20"/>
  <c r="AK161" i="20"/>
  <c r="AG162" i="20"/>
  <c r="AK162" i="20"/>
  <c r="AG163" i="20"/>
  <c r="AK163" i="20"/>
  <c r="AG164" i="20"/>
  <c r="AK164" i="20"/>
  <c r="AG165" i="20"/>
  <c r="AK165" i="20"/>
  <c r="AG166" i="20"/>
  <c r="AK166" i="20"/>
  <c r="AG9" i="20"/>
  <c r="AK9" i="20"/>
  <c r="AG10" i="20"/>
  <c r="AK10" i="20"/>
  <c r="AG11" i="20"/>
  <c r="AK11" i="20"/>
  <c r="AG12" i="20"/>
  <c r="AK12" i="20"/>
  <c r="AG13" i="20"/>
  <c r="AK13" i="20"/>
  <c r="AG14" i="20"/>
  <c r="AK14" i="20"/>
  <c r="AG15" i="20"/>
  <c r="AK15" i="20"/>
  <c r="AG16" i="20"/>
  <c r="AK16" i="20"/>
  <c r="AG17" i="20"/>
  <c r="AK17" i="20"/>
  <c r="AG18" i="20"/>
  <c r="AK18" i="20"/>
  <c r="AG19" i="20"/>
  <c r="AK19" i="20"/>
  <c r="AG20" i="20"/>
  <c r="AK20" i="20"/>
  <c r="AG21" i="20"/>
  <c r="AK21" i="20"/>
  <c r="AG22" i="20"/>
  <c r="AK22" i="20"/>
  <c r="AG23" i="20"/>
  <c r="AK23" i="20"/>
  <c r="AG24" i="20"/>
  <c r="AK24" i="20"/>
  <c r="AG25" i="20"/>
  <c r="AK25" i="20"/>
  <c r="AG26" i="20"/>
  <c r="AK26" i="20"/>
  <c r="AH167" i="20"/>
  <c r="AL167" i="20"/>
  <c r="AH27" i="20"/>
  <c r="AL27" i="20"/>
  <c r="AH28" i="20"/>
  <c r="AL28" i="20"/>
  <c r="AH29" i="20"/>
  <c r="AL29" i="20"/>
  <c r="AH30" i="20"/>
  <c r="AL30" i="20"/>
  <c r="AH31" i="20"/>
  <c r="AL31" i="20"/>
  <c r="AH32" i="20"/>
  <c r="AL32" i="20"/>
  <c r="AH33" i="20"/>
  <c r="AL33" i="20"/>
  <c r="AH34" i="20"/>
  <c r="AL34" i="20"/>
  <c r="AH35" i="20"/>
  <c r="AL35" i="20"/>
  <c r="AH36" i="20"/>
  <c r="AL36" i="20"/>
  <c r="AH37" i="20"/>
  <c r="AL37" i="20"/>
  <c r="AH38" i="20"/>
  <c r="AL38" i="20"/>
  <c r="AH39" i="20"/>
  <c r="AL39" i="20"/>
  <c r="AH40" i="20"/>
  <c r="AL40" i="20"/>
  <c r="AH41" i="20"/>
  <c r="AL41" i="20"/>
  <c r="AH42" i="20"/>
  <c r="AL42" i="20"/>
  <c r="AH43" i="20"/>
  <c r="AL43" i="20"/>
  <c r="AH44" i="20"/>
  <c r="AL44" i="20"/>
  <c r="AH45" i="20"/>
  <c r="AL45" i="20"/>
  <c r="AH46" i="20"/>
  <c r="AL46" i="20"/>
  <c r="AH47" i="20"/>
  <c r="AL47" i="20"/>
  <c r="AH48" i="20"/>
  <c r="AL48" i="20"/>
  <c r="AH49" i="20"/>
  <c r="AL49" i="20"/>
  <c r="AH50" i="20"/>
  <c r="AL50" i="20"/>
  <c r="AH51" i="20"/>
  <c r="AL51" i="20"/>
  <c r="AH52" i="20"/>
  <c r="AL52" i="20"/>
  <c r="AH53" i="20"/>
  <c r="AL53" i="20"/>
  <c r="AH54" i="20"/>
  <c r="AL54" i="20"/>
  <c r="AH55" i="20"/>
  <c r="AL55" i="20"/>
  <c r="AH56" i="20"/>
  <c r="AL56" i="20"/>
  <c r="AH57" i="20"/>
  <c r="AL57" i="20"/>
  <c r="AH58" i="20"/>
  <c r="AL58" i="20"/>
  <c r="AH59" i="20"/>
  <c r="AL59" i="20"/>
  <c r="AH60" i="20"/>
  <c r="AL60" i="20"/>
  <c r="AH61" i="20"/>
  <c r="AL61" i="20"/>
  <c r="AH62" i="20"/>
  <c r="AL62" i="20"/>
  <c r="AH63" i="20"/>
  <c r="AL63" i="20"/>
  <c r="AH64" i="20"/>
  <c r="AL64" i="20"/>
  <c r="AH65" i="20"/>
  <c r="AL65" i="20"/>
  <c r="AH66" i="20"/>
  <c r="AL66" i="20"/>
  <c r="AH67" i="20"/>
  <c r="AL67" i="20"/>
  <c r="AH68" i="20"/>
  <c r="AL68" i="20"/>
  <c r="AH69" i="20"/>
  <c r="AL69" i="20"/>
  <c r="AH70" i="20"/>
  <c r="AL70" i="20"/>
  <c r="AH71" i="20"/>
  <c r="AL71" i="20"/>
  <c r="AH72" i="20"/>
  <c r="AL72" i="20"/>
  <c r="AH73" i="20"/>
  <c r="AL73" i="20"/>
  <c r="AH74" i="20"/>
  <c r="AL74" i="20"/>
  <c r="AH75" i="20"/>
  <c r="AL75" i="20"/>
  <c r="AH76" i="20"/>
  <c r="AL76" i="20"/>
  <c r="AH77" i="20"/>
  <c r="AL77" i="20"/>
  <c r="AH78" i="20"/>
  <c r="AL78" i="20"/>
  <c r="AH79" i="20"/>
  <c r="AL79" i="20"/>
  <c r="AH80" i="20"/>
  <c r="AL80" i="20"/>
  <c r="AH81" i="20"/>
  <c r="AL81" i="20"/>
  <c r="AH82" i="20"/>
  <c r="AL82" i="20"/>
  <c r="AH83" i="20"/>
  <c r="AL83" i="20"/>
  <c r="AH84" i="20"/>
  <c r="AL84" i="20"/>
  <c r="AH85" i="20"/>
  <c r="AL85" i="20"/>
  <c r="AH86" i="20"/>
  <c r="AL86" i="20"/>
  <c r="AH87" i="20"/>
  <c r="AL87" i="20"/>
  <c r="AH88" i="20"/>
  <c r="AL88" i="20"/>
  <c r="AH89" i="20"/>
  <c r="AL89" i="20"/>
  <c r="AH90" i="20"/>
  <c r="AL90" i="20"/>
  <c r="AH91" i="20"/>
  <c r="AL91" i="20"/>
  <c r="AH92" i="20"/>
  <c r="AL92" i="20"/>
  <c r="AH93" i="20"/>
  <c r="AL93" i="20"/>
  <c r="AH94" i="20"/>
  <c r="AL94" i="20"/>
  <c r="AH95" i="20"/>
  <c r="AL95" i="20"/>
  <c r="AH96" i="20"/>
  <c r="AL96" i="20"/>
  <c r="AH97" i="20"/>
  <c r="AL97" i="20"/>
  <c r="AH98" i="20"/>
  <c r="AL98" i="20"/>
  <c r="AH99" i="20"/>
  <c r="AL99" i="20"/>
  <c r="AH100" i="20"/>
  <c r="AL100" i="20"/>
  <c r="AH101" i="20"/>
  <c r="AL101" i="20"/>
  <c r="AH102" i="20"/>
  <c r="AL102" i="20"/>
  <c r="AH103" i="20"/>
  <c r="AL103" i="20"/>
  <c r="AH104" i="20"/>
  <c r="AL104" i="20"/>
  <c r="AH105" i="20"/>
  <c r="AL105" i="20"/>
  <c r="AH106" i="20"/>
  <c r="AL106" i="20"/>
  <c r="AH107" i="20"/>
  <c r="AL107" i="20"/>
  <c r="AH108" i="20"/>
  <c r="AL108" i="20"/>
  <c r="AH109" i="20"/>
  <c r="AL109" i="20"/>
  <c r="AH110" i="20"/>
  <c r="AL110" i="20"/>
  <c r="AH111" i="20"/>
  <c r="AL111" i="20"/>
  <c r="AH112" i="20"/>
  <c r="AL112" i="20"/>
  <c r="AH113" i="20"/>
  <c r="AL113" i="20"/>
  <c r="AH114" i="20"/>
  <c r="AL114" i="20"/>
  <c r="AH115" i="20"/>
  <c r="AL115" i="20"/>
  <c r="AH116" i="20"/>
  <c r="AL116" i="20"/>
  <c r="AH117" i="20"/>
  <c r="AL117" i="20"/>
  <c r="AH118" i="20"/>
  <c r="AL118" i="20"/>
  <c r="AH119" i="20"/>
  <c r="AL119" i="20"/>
  <c r="AH120" i="20"/>
  <c r="AL120" i="20"/>
  <c r="AH121" i="20"/>
  <c r="AL121" i="20"/>
  <c r="AH122" i="20"/>
  <c r="AL122" i="20"/>
  <c r="AH123" i="20"/>
  <c r="AL123" i="20"/>
  <c r="AH124" i="20"/>
  <c r="AL124" i="20"/>
  <c r="AH125" i="20"/>
  <c r="AL125" i="20"/>
  <c r="AH126" i="20"/>
  <c r="AL126" i="20"/>
  <c r="AH127" i="20"/>
  <c r="AL127" i="20"/>
  <c r="AH128" i="20"/>
  <c r="AL128" i="20"/>
  <c r="AH129" i="20"/>
  <c r="AL129" i="20"/>
  <c r="AH130" i="20"/>
  <c r="AL130" i="20"/>
  <c r="AH131" i="20"/>
  <c r="AL131" i="20"/>
  <c r="AH132" i="20"/>
  <c r="AL132" i="20"/>
  <c r="AH133" i="20"/>
  <c r="AL133" i="20"/>
  <c r="AH134" i="20"/>
  <c r="AL134" i="20"/>
  <c r="AH135" i="20"/>
  <c r="AL135" i="20"/>
  <c r="AH136" i="20"/>
  <c r="AL136" i="20"/>
  <c r="AH137" i="20"/>
  <c r="AL137" i="20"/>
  <c r="AH138" i="20"/>
  <c r="AL138" i="20"/>
  <c r="AH139" i="20"/>
  <c r="AL139" i="20"/>
  <c r="AH140" i="20"/>
  <c r="AL140" i="20"/>
  <c r="AH141" i="20"/>
  <c r="AL141" i="20"/>
  <c r="AH142" i="20"/>
  <c r="AL142" i="20"/>
  <c r="AH143" i="20"/>
  <c r="AL143" i="20"/>
  <c r="AH144" i="20"/>
  <c r="AL144" i="20"/>
  <c r="AH145" i="20"/>
  <c r="AL145" i="20"/>
  <c r="AH146" i="20"/>
  <c r="AL146" i="20"/>
  <c r="AH147" i="20"/>
  <c r="AL147" i="20"/>
  <c r="AH148" i="20"/>
  <c r="AL148" i="20"/>
  <c r="AH149" i="20"/>
  <c r="AL149" i="20"/>
  <c r="AH150" i="20"/>
  <c r="AL150" i="20"/>
  <c r="AH151" i="20"/>
  <c r="AL151" i="20"/>
  <c r="AH152" i="20"/>
  <c r="AL152" i="20"/>
  <c r="AE167" i="20"/>
  <c r="AI167" i="20"/>
  <c r="AE27" i="20"/>
  <c r="AI27" i="20"/>
  <c r="AE28" i="20"/>
  <c r="AI28" i="20"/>
  <c r="AE29" i="20"/>
  <c r="AI29" i="20"/>
  <c r="AE30" i="20"/>
  <c r="AI30" i="20"/>
  <c r="AE31" i="20"/>
  <c r="AI31" i="20"/>
  <c r="AE32" i="20"/>
  <c r="AI32" i="20"/>
  <c r="AE33" i="20"/>
  <c r="AI33" i="20"/>
  <c r="AE34" i="20"/>
  <c r="AI34" i="20"/>
  <c r="AE35" i="20"/>
  <c r="AI35" i="20"/>
  <c r="AE36" i="20"/>
  <c r="AI36" i="20"/>
  <c r="AE37" i="20"/>
  <c r="AI37" i="20"/>
  <c r="AE38" i="20"/>
  <c r="AI38" i="20"/>
  <c r="AE39" i="20"/>
  <c r="AI39" i="20"/>
  <c r="AE40" i="20"/>
  <c r="AI40" i="20"/>
  <c r="AE41" i="20"/>
  <c r="AI41" i="20"/>
  <c r="AE42" i="20"/>
  <c r="AI42" i="20"/>
  <c r="AE43" i="20"/>
  <c r="AI43" i="20"/>
  <c r="AE44" i="20"/>
  <c r="AI44" i="20"/>
  <c r="AE45" i="20"/>
  <c r="AI45" i="20"/>
  <c r="AE46" i="20"/>
  <c r="AI46" i="20"/>
  <c r="AE47" i="20"/>
  <c r="AI47" i="20"/>
  <c r="AE48" i="20"/>
  <c r="AI48" i="20"/>
  <c r="AE49" i="20"/>
  <c r="AI49" i="20"/>
  <c r="AE50" i="20"/>
  <c r="AI50" i="20"/>
  <c r="AE51" i="20"/>
  <c r="AI51" i="20"/>
  <c r="AE52" i="20"/>
  <c r="AI52" i="20"/>
  <c r="AE53" i="20"/>
  <c r="AI53" i="20"/>
  <c r="AE54" i="20"/>
  <c r="AI54" i="20"/>
  <c r="AE55" i="20"/>
  <c r="AI55" i="20"/>
  <c r="AE56" i="20"/>
  <c r="AI56" i="20"/>
  <c r="AE57" i="20"/>
  <c r="AI57" i="20"/>
  <c r="AE58" i="20"/>
  <c r="AI58" i="20"/>
  <c r="AE59" i="20"/>
  <c r="AI59" i="20"/>
  <c r="AE60" i="20"/>
  <c r="AI60" i="20"/>
  <c r="AE61" i="20"/>
  <c r="AI61" i="20"/>
  <c r="AE62" i="20"/>
  <c r="AI62" i="20"/>
  <c r="AE63" i="20"/>
  <c r="AI63" i="20"/>
  <c r="AE64" i="20"/>
  <c r="AI64" i="20"/>
  <c r="AE65" i="20"/>
  <c r="AI65" i="20"/>
  <c r="AE66" i="20"/>
  <c r="AI66" i="20"/>
  <c r="AE67" i="20"/>
  <c r="AI67" i="20"/>
  <c r="AE68" i="20"/>
  <c r="AI68" i="20"/>
  <c r="AE69" i="20"/>
  <c r="AI69" i="20"/>
  <c r="AE70" i="20"/>
  <c r="AI70" i="20"/>
  <c r="AE71" i="20"/>
  <c r="AI71" i="20"/>
  <c r="AE72" i="20"/>
  <c r="AI72" i="20"/>
  <c r="AE73" i="20"/>
  <c r="AI73" i="20"/>
  <c r="AE74" i="20"/>
  <c r="AI74" i="20"/>
  <c r="AE75" i="20"/>
  <c r="AI75" i="20"/>
  <c r="AE76" i="20"/>
  <c r="AI76" i="20"/>
  <c r="AE77" i="20"/>
  <c r="AI77" i="20"/>
  <c r="AE78" i="20"/>
  <c r="AI78" i="20"/>
  <c r="AE79" i="20"/>
  <c r="AI79" i="20"/>
  <c r="AE80" i="20"/>
  <c r="AI80" i="20"/>
  <c r="AE81" i="20"/>
  <c r="AI81" i="20"/>
  <c r="AE82" i="20"/>
  <c r="AI82" i="20"/>
  <c r="AE83" i="20"/>
  <c r="AI83" i="20"/>
  <c r="AE84" i="20"/>
  <c r="AI84" i="20"/>
  <c r="AE85" i="20"/>
  <c r="AI85" i="20"/>
  <c r="AE86" i="20"/>
  <c r="AI86" i="20"/>
  <c r="AE87" i="20"/>
  <c r="AI87" i="20"/>
  <c r="AE88" i="20"/>
  <c r="AI88" i="20"/>
  <c r="AE89" i="20"/>
  <c r="AI89" i="20"/>
  <c r="AE90" i="20"/>
  <c r="AI90" i="20"/>
  <c r="AE91" i="20"/>
  <c r="AI91" i="20"/>
  <c r="AE92" i="20"/>
  <c r="AI92" i="20"/>
  <c r="AE93" i="20"/>
  <c r="AI93" i="20"/>
  <c r="AE94" i="20"/>
  <c r="AI94" i="20"/>
  <c r="AE95" i="20"/>
  <c r="AI95" i="20"/>
  <c r="AE96" i="20"/>
  <c r="AI96" i="20"/>
  <c r="AE97" i="20"/>
  <c r="AI97" i="20"/>
  <c r="AE98" i="20"/>
  <c r="AI98" i="20"/>
  <c r="AE99" i="20"/>
  <c r="AI99" i="20"/>
  <c r="AE100" i="20"/>
  <c r="AI100" i="20"/>
  <c r="AE101" i="20"/>
  <c r="AI101" i="20"/>
  <c r="AE102" i="20"/>
  <c r="AI102" i="20"/>
  <c r="AE103" i="20"/>
  <c r="AI103" i="20"/>
  <c r="AE104" i="20"/>
  <c r="AI104" i="20"/>
  <c r="AE105" i="20"/>
  <c r="AI105" i="20"/>
  <c r="AE106" i="20"/>
  <c r="AI106" i="20"/>
  <c r="AE107" i="20"/>
  <c r="AI107" i="20"/>
  <c r="AE108" i="20"/>
  <c r="AI108" i="20"/>
  <c r="AE109" i="20"/>
  <c r="AI109" i="20"/>
  <c r="AE110" i="20"/>
  <c r="AI110" i="20"/>
  <c r="AE111" i="20"/>
  <c r="AI111" i="20"/>
  <c r="AE112" i="20"/>
  <c r="AI112" i="20"/>
  <c r="AE113" i="20"/>
  <c r="AI113" i="20"/>
  <c r="AE114" i="20"/>
  <c r="AI114" i="20"/>
  <c r="AE115" i="20"/>
  <c r="AI115" i="20"/>
  <c r="AE116" i="20"/>
  <c r="AI116" i="20"/>
  <c r="AE117" i="20"/>
  <c r="AI117" i="20"/>
  <c r="AE118" i="20"/>
  <c r="AI118" i="20"/>
  <c r="AE119" i="20"/>
  <c r="AI119" i="20"/>
  <c r="AE120" i="20"/>
  <c r="AI120" i="20"/>
  <c r="AE121" i="20"/>
  <c r="AI121" i="20"/>
  <c r="AE122" i="20"/>
  <c r="AI122" i="20"/>
  <c r="AE123" i="20"/>
  <c r="AI123" i="20"/>
  <c r="AE124" i="20"/>
  <c r="AI124" i="20"/>
  <c r="AE125" i="20"/>
  <c r="AI125" i="20"/>
  <c r="AE126" i="20"/>
  <c r="AI126" i="20"/>
  <c r="AE127" i="20"/>
  <c r="AI127" i="20"/>
  <c r="AE128" i="20"/>
  <c r="AI128" i="20"/>
  <c r="AE129" i="20"/>
  <c r="AI129" i="20"/>
  <c r="AE130" i="20"/>
  <c r="AI130" i="20"/>
  <c r="AE131" i="20"/>
  <c r="AI131" i="20"/>
  <c r="AE132" i="20"/>
  <c r="AI132" i="20"/>
  <c r="AE133" i="20"/>
  <c r="AI133" i="20"/>
  <c r="AE134" i="20"/>
  <c r="AI134" i="20"/>
  <c r="AE135" i="20"/>
  <c r="AI135" i="20"/>
  <c r="AE136" i="20"/>
  <c r="AI136" i="20"/>
  <c r="AE137" i="20"/>
  <c r="AI137" i="20"/>
  <c r="AE138" i="20"/>
  <c r="AI138" i="20"/>
  <c r="AE139" i="20"/>
  <c r="AI139" i="20"/>
  <c r="AE140" i="20"/>
  <c r="AI140" i="20"/>
  <c r="AE141" i="20"/>
  <c r="AI141" i="20"/>
  <c r="AE142" i="20"/>
  <c r="AI142" i="20"/>
  <c r="AE143" i="20"/>
  <c r="AI143" i="20"/>
  <c r="AE144" i="20"/>
  <c r="AI144" i="20"/>
  <c r="AE145" i="20"/>
  <c r="AI145" i="20"/>
  <c r="AE146" i="20"/>
  <c r="AI146" i="20"/>
  <c r="AE147" i="20"/>
  <c r="AI147" i="20"/>
  <c r="AE148" i="20"/>
  <c r="AI148" i="20"/>
  <c r="AE149" i="20"/>
  <c r="AI149" i="20"/>
  <c r="AE150" i="20"/>
  <c r="AI150" i="20"/>
  <c r="AE151" i="20"/>
  <c r="AI151" i="20"/>
  <c r="AE152" i="20"/>
  <c r="AI152" i="20"/>
  <c r="AE153" i="20"/>
  <c r="AI153" i="20"/>
  <c r="AE154" i="20"/>
  <c r="AI154" i="20"/>
  <c r="AE155" i="20"/>
  <c r="AI155" i="20"/>
  <c r="AE156" i="20"/>
  <c r="AI156" i="20"/>
  <c r="AE157" i="20"/>
  <c r="AI157" i="20"/>
  <c r="AE158" i="20"/>
  <c r="AI158" i="20"/>
  <c r="AE159" i="20"/>
  <c r="AI159" i="20"/>
  <c r="AE160" i="20"/>
  <c r="AI160" i="20"/>
  <c r="AE161" i="20"/>
  <c r="AI161" i="20"/>
  <c r="AE162" i="20"/>
  <c r="AI162" i="20"/>
  <c r="AE163" i="20"/>
  <c r="AI163" i="20"/>
  <c r="AE164" i="20"/>
  <c r="AI164" i="20"/>
  <c r="AE165" i="20"/>
  <c r="AI165" i="20"/>
  <c r="AE166" i="20"/>
  <c r="AI166" i="20"/>
  <c r="AE9" i="20"/>
  <c r="AI9" i="20"/>
  <c r="AE10" i="20"/>
  <c r="AI10" i="20"/>
  <c r="AE11" i="20"/>
  <c r="AI11" i="20"/>
  <c r="AE12" i="20"/>
  <c r="AI12" i="20"/>
  <c r="AE13" i="20"/>
  <c r="AI13" i="20"/>
  <c r="AE14" i="20"/>
  <c r="AI14" i="20"/>
  <c r="AE15" i="20"/>
  <c r="AI15" i="20"/>
  <c r="AE16" i="20"/>
  <c r="AI16" i="20"/>
  <c r="AE17" i="20"/>
  <c r="AI17" i="20"/>
  <c r="AE18" i="20"/>
  <c r="AI18" i="20"/>
  <c r="AE19" i="20"/>
  <c r="AI19" i="20"/>
  <c r="AE20" i="20"/>
  <c r="AI20" i="20"/>
  <c r="AE21" i="20"/>
  <c r="AI21" i="20"/>
  <c r="AE22" i="20"/>
  <c r="AI22" i="20"/>
  <c r="AE23" i="20"/>
  <c r="AI23" i="20"/>
  <c r="AE24" i="20"/>
  <c r="AI24" i="20"/>
  <c r="AE25" i="20"/>
  <c r="AI25" i="20"/>
  <c r="AE26" i="20"/>
  <c r="AI26" i="20"/>
  <c r="AF138" i="20"/>
  <c r="AJ139" i="20"/>
  <c r="AJ140" i="20"/>
  <c r="AF142" i="20"/>
  <c r="AF143" i="20"/>
  <c r="AF144" i="20"/>
  <c r="AJ145" i="20"/>
  <c r="AJ146" i="20"/>
  <c r="AJ147" i="20"/>
  <c r="AF149" i="20"/>
  <c r="AF150" i="20"/>
  <c r="AF151" i="20"/>
  <c r="AF152" i="20"/>
  <c r="AJ153" i="20"/>
  <c r="AJ154" i="20"/>
  <c r="AF156" i="20"/>
  <c r="AF157" i="20"/>
  <c r="AF158" i="20"/>
  <c r="AF159" i="20"/>
  <c r="AF160" i="20"/>
  <c r="AF161" i="20"/>
  <c r="AJ162" i="20"/>
  <c r="AJ163" i="20"/>
  <c r="AJ164" i="20"/>
  <c r="AF165" i="20"/>
  <c r="AF166" i="20"/>
  <c r="AF9" i="20"/>
  <c r="AJ10" i="20"/>
  <c r="AJ11" i="20"/>
  <c r="AF12" i="20"/>
  <c r="AF13" i="20"/>
  <c r="AF14" i="20"/>
  <c r="AJ15" i="20"/>
  <c r="AJ16" i="20"/>
  <c r="AJ17" i="20"/>
  <c r="AF19" i="20"/>
  <c r="AF167" i="20"/>
  <c r="AJ167" i="20"/>
  <c r="AF27" i="20"/>
  <c r="AJ27" i="20"/>
  <c r="AF28" i="20"/>
  <c r="AJ28" i="20"/>
  <c r="AF29" i="20"/>
  <c r="AJ29" i="20"/>
  <c r="AF30" i="20"/>
  <c r="AJ30" i="20"/>
  <c r="AF31" i="20"/>
  <c r="AJ31" i="20"/>
  <c r="AF32" i="20"/>
  <c r="AJ32" i="20"/>
  <c r="AF33" i="20"/>
  <c r="AJ33" i="20"/>
  <c r="AF34" i="20"/>
  <c r="AJ34" i="20"/>
  <c r="AF35" i="20"/>
  <c r="AJ35" i="20"/>
  <c r="AF36" i="20"/>
  <c r="AJ36" i="20"/>
  <c r="AF37" i="20"/>
  <c r="AJ37" i="20"/>
  <c r="AF38" i="20"/>
  <c r="AJ38" i="20"/>
  <c r="AF39" i="20"/>
  <c r="AJ39" i="20"/>
  <c r="AF40" i="20"/>
  <c r="AJ40" i="20"/>
  <c r="AF41" i="20"/>
  <c r="AJ41" i="20"/>
  <c r="AF42" i="20"/>
  <c r="AJ42" i="20"/>
  <c r="AF43" i="20"/>
  <c r="AJ43" i="20"/>
  <c r="AF44" i="20"/>
  <c r="AJ44" i="20"/>
  <c r="AF45" i="20"/>
  <c r="AJ45" i="20"/>
  <c r="AF46" i="20"/>
  <c r="AJ46" i="20"/>
  <c r="AF47" i="20"/>
  <c r="AJ47" i="20"/>
  <c r="AF48" i="20"/>
  <c r="AJ48" i="20"/>
  <c r="AF49" i="20"/>
  <c r="AJ49" i="20"/>
  <c r="AF50" i="20"/>
  <c r="AJ50" i="20"/>
  <c r="AF51" i="20"/>
  <c r="AJ51" i="20"/>
  <c r="AF52" i="20"/>
  <c r="AJ52" i="20"/>
  <c r="AF53" i="20"/>
  <c r="AJ53" i="20"/>
  <c r="AF54" i="20"/>
  <c r="AJ54" i="20"/>
  <c r="AF55" i="20"/>
  <c r="AJ55" i="20"/>
  <c r="AF56" i="20"/>
  <c r="AJ56" i="20"/>
  <c r="AF57" i="20"/>
  <c r="AJ57" i="20"/>
  <c r="AF58" i="20"/>
  <c r="AJ58" i="20"/>
  <c r="AF59" i="20"/>
  <c r="AJ59" i="20"/>
  <c r="AF60" i="20"/>
  <c r="AJ60" i="20"/>
  <c r="AF61" i="20"/>
  <c r="AJ61" i="20"/>
  <c r="AF62" i="20"/>
  <c r="AJ62" i="20"/>
  <c r="AF63" i="20"/>
  <c r="AJ63" i="20"/>
  <c r="AF64" i="20"/>
  <c r="AJ64" i="20"/>
  <c r="AF65" i="20"/>
  <c r="AJ65" i="20"/>
  <c r="AF66" i="20"/>
  <c r="AJ66" i="20"/>
  <c r="AF67" i="20"/>
  <c r="AJ67" i="20"/>
  <c r="AF68" i="20"/>
  <c r="AJ68" i="20"/>
  <c r="AF69" i="20"/>
  <c r="AJ69" i="20"/>
  <c r="AF70" i="20"/>
  <c r="AJ70" i="20"/>
  <c r="AF71" i="20"/>
  <c r="AJ71" i="20"/>
  <c r="AF72" i="20"/>
  <c r="AJ72" i="20"/>
  <c r="AF73" i="20"/>
  <c r="AJ73" i="20"/>
  <c r="AF74" i="20"/>
  <c r="AJ74" i="20"/>
  <c r="AF75" i="20"/>
  <c r="AJ75" i="20"/>
  <c r="AF76" i="20"/>
  <c r="AJ76" i="20"/>
  <c r="AF77" i="20"/>
  <c r="AJ77" i="20"/>
  <c r="AF78" i="20"/>
  <c r="AJ78" i="20"/>
  <c r="AF79" i="20"/>
  <c r="AJ79" i="20"/>
  <c r="AF80" i="20"/>
  <c r="AJ80" i="20"/>
  <c r="AF81" i="20"/>
  <c r="AJ81" i="20"/>
  <c r="AF82" i="20"/>
  <c r="AJ82" i="20"/>
  <c r="AF83" i="20"/>
  <c r="AJ83" i="20"/>
  <c r="AF84" i="20"/>
  <c r="AJ84" i="20"/>
  <c r="AF85" i="20"/>
  <c r="AJ85" i="20"/>
  <c r="AF86" i="20"/>
  <c r="AJ86" i="20"/>
  <c r="AF87" i="20"/>
  <c r="AJ87" i="20"/>
  <c r="AF88" i="20"/>
  <c r="AJ88" i="20"/>
  <c r="AF89" i="20"/>
  <c r="AJ89" i="20"/>
  <c r="AF90" i="20"/>
  <c r="AJ90" i="20"/>
  <c r="AF91" i="20"/>
  <c r="AJ91" i="20"/>
  <c r="AF92" i="20"/>
  <c r="AJ92" i="20"/>
  <c r="AF93" i="20"/>
  <c r="AJ93" i="20"/>
  <c r="AF94" i="20"/>
  <c r="AJ94" i="20"/>
  <c r="AF95" i="20"/>
  <c r="AJ95" i="20"/>
  <c r="AF96" i="20"/>
  <c r="AJ96" i="20"/>
  <c r="AF97" i="20"/>
  <c r="AJ97" i="20"/>
  <c r="AF98" i="20"/>
  <c r="AJ98" i="20"/>
  <c r="AF99" i="20"/>
  <c r="AJ99" i="20"/>
  <c r="AF100" i="20"/>
  <c r="AJ100" i="20"/>
  <c r="AF101" i="20"/>
  <c r="AJ101" i="20"/>
  <c r="AF102" i="20"/>
  <c r="AJ102" i="20"/>
  <c r="AF103" i="20"/>
  <c r="AJ103" i="20"/>
  <c r="AF104" i="20"/>
  <c r="AJ104" i="20"/>
  <c r="AF105" i="20"/>
  <c r="AJ105" i="20"/>
  <c r="AF106" i="20"/>
  <c r="AJ106" i="20"/>
  <c r="AF107" i="20"/>
  <c r="AJ107" i="20"/>
  <c r="AF108" i="20"/>
  <c r="AJ108" i="20"/>
  <c r="AF109" i="20"/>
  <c r="AJ109" i="20"/>
  <c r="AF110" i="20"/>
  <c r="AJ110" i="20"/>
  <c r="AF111" i="20"/>
  <c r="AJ111" i="20"/>
  <c r="AF112" i="20"/>
  <c r="AJ112" i="20"/>
  <c r="AF113" i="20"/>
  <c r="AJ113" i="20"/>
  <c r="AF114" i="20"/>
  <c r="AJ114" i="20"/>
  <c r="AF115" i="20"/>
  <c r="AJ115" i="20"/>
  <c r="AF116" i="20"/>
  <c r="AJ116" i="20"/>
  <c r="AF117" i="20"/>
  <c r="AJ117" i="20"/>
  <c r="AF118" i="20"/>
  <c r="AJ118" i="20"/>
  <c r="AF119" i="20"/>
  <c r="AJ119" i="20"/>
  <c r="AF120" i="20"/>
  <c r="AJ120" i="20"/>
  <c r="AF121" i="20"/>
  <c r="AJ121" i="20"/>
  <c r="AF122" i="20"/>
  <c r="AJ122" i="20"/>
  <c r="AF123" i="20"/>
  <c r="AJ123" i="20"/>
  <c r="AF124" i="20"/>
  <c r="AJ124" i="20"/>
  <c r="AF125" i="20"/>
  <c r="AJ125" i="20"/>
  <c r="AF126" i="20"/>
  <c r="AJ126" i="20"/>
  <c r="AF127" i="20"/>
  <c r="AJ127" i="20"/>
  <c r="AF128" i="20"/>
  <c r="AJ128" i="20"/>
  <c r="AF129" i="20"/>
  <c r="AJ129" i="20"/>
  <c r="AF130" i="20"/>
  <c r="AJ130" i="20"/>
  <c r="AF131" i="20"/>
  <c r="AJ131" i="20"/>
  <c r="AF132" i="20"/>
  <c r="AJ132" i="20"/>
  <c r="AF133" i="20"/>
  <c r="AJ133" i="20"/>
  <c r="AF134" i="20"/>
  <c r="AJ134" i="20"/>
  <c r="AF135" i="20"/>
  <c r="AJ135" i="20"/>
  <c r="AF136" i="20"/>
  <c r="AJ136" i="20"/>
  <c r="AF137" i="20"/>
  <c r="AJ137" i="20"/>
  <c r="AJ138" i="20"/>
  <c r="AF139" i="20"/>
  <c r="AF140" i="20"/>
  <c r="AF141" i="20"/>
  <c r="AJ141" i="20"/>
  <c r="AJ142" i="20"/>
  <c r="AJ143" i="20"/>
  <c r="AJ144" i="20"/>
  <c r="AF145" i="20"/>
  <c r="AF146" i="20"/>
  <c r="AF147" i="20"/>
  <c r="AF148" i="20"/>
  <c r="AJ148" i="20"/>
  <c r="AJ149" i="20"/>
  <c r="AJ150" i="20"/>
  <c r="AJ151" i="20"/>
  <c r="AJ152" i="20"/>
  <c r="AF153" i="20"/>
  <c r="AF154" i="20"/>
  <c r="AF155" i="20"/>
  <c r="AJ155" i="20"/>
  <c r="AJ156" i="20"/>
  <c r="AJ157" i="20"/>
  <c r="AJ158" i="20"/>
  <c r="AJ159" i="20"/>
  <c r="AJ160" i="20"/>
  <c r="AJ161" i="20"/>
  <c r="AF162" i="20"/>
  <c r="AF163" i="20"/>
  <c r="AF164" i="20"/>
  <c r="AJ165" i="20"/>
  <c r="AJ166" i="20"/>
  <c r="AJ9" i="20"/>
  <c r="AF10" i="20"/>
  <c r="AF11" i="20"/>
  <c r="AJ12" i="20"/>
  <c r="AJ13" i="20"/>
  <c r="AJ14" i="20"/>
  <c r="AF15" i="20"/>
  <c r="AF16" i="20"/>
  <c r="AF17" i="20"/>
  <c r="AF18" i="20"/>
  <c r="AJ18" i="20"/>
  <c r="AJ19" i="20"/>
  <c r="AL153" i="20"/>
  <c r="AL154" i="20"/>
  <c r="AL155" i="20"/>
  <c r="AL156" i="20"/>
  <c r="AL157" i="20"/>
  <c r="AL158" i="20"/>
  <c r="AL159" i="20"/>
  <c r="AL160" i="20"/>
  <c r="AL161" i="20"/>
  <c r="AL162" i="20"/>
  <c r="AL163" i="20"/>
  <c r="AL164" i="20"/>
  <c r="AL165" i="20"/>
  <c r="AL166" i="20"/>
  <c r="AL9" i="20"/>
  <c r="AL10" i="20"/>
  <c r="AL11" i="20"/>
  <c r="AL12" i="20"/>
  <c r="AL13" i="20"/>
  <c r="AL14" i="20"/>
  <c r="AL15" i="20"/>
  <c r="AL16" i="20"/>
  <c r="AL17" i="20"/>
  <c r="AL18" i="20"/>
  <c r="AL19" i="20"/>
  <c r="AL20" i="20"/>
  <c r="AL21" i="20"/>
  <c r="AL22" i="20"/>
  <c r="AL23" i="20"/>
  <c r="AL24" i="20"/>
  <c r="AL25" i="20"/>
  <c r="AL26" i="20"/>
  <c r="AF20" i="20"/>
  <c r="AF21" i="20"/>
  <c r="AF22" i="20"/>
  <c r="AF23" i="20"/>
  <c r="AF24" i="20"/>
  <c r="AF25" i="20"/>
  <c r="AF26" i="20"/>
  <c r="AH20" i="20"/>
  <c r="AH21" i="20"/>
  <c r="AH22" i="20"/>
  <c r="AH23" i="20"/>
  <c r="AH24" i="20"/>
  <c r="AH25" i="20"/>
  <c r="AH26" i="20"/>
  <c r="AH153" i="20"/>
  <c r="AH154" i="20"/>
  <c r="AH155" i="20"/>
  <c r="AH156" i="20"/>
  <c r="AH157" i="20"/>
  <c r="AH158" i="20"/>
  <c r="AH159" i="20"/>
  <c r="AH160" i="20"/>
  <c r="AH161" i="20"/>
  <c r="AH162" i="20"/>
  <c r="AH163" i="20"/>
  <c r="AH164" i="20"/>
  <c r="AH165" i="20"/>
  <c r="AH166" i="20"/>
  <c r="AH9" i="20"/>
  <c r="AH10" i="20"/>
  <c r="AH11" i="20"/>
  <c r="AH12" i="20"/>
  <c r="AH13" i="20"/>
  <c r="AH14" i="20"/>
  <c r="AH15" i="20"/>
  <c r="AH16" i="20"/>
  <c r="AH17" i="20"/>
  <c r="AH18" i="20"/>
  <c r="AH19" i="20"/>
  <c r="AJ20" i="20"/>
  <c r="AJ21" i="20"/>
  <c r="AJ22" i="20"/>
  <c r="AJ23" i="20"/>
  <c r="AJ24" i="20"/>
  <c r="AJ25" i="20"/>
  <c r="AJ26" i="20"/>
  <c r="DV126" i="19"/>
  <c r="DV21" i="19"/>
  <c r="DV23" i="19"/>
  <c r="DV25" i="19"/>
  <c r="DV27" i="19"/>
  <c r="DV29" i="19"/>
  <c r="DV31" i="19"/>
  <c r="DV33" i="19"/>
  <c r="DV35" i="19"/>
  <c r="DV37" i="19"/>
  <c r="DV39" i="19"/>
  <c r="DV41" i="19"/>
  <c r="DV43" i="19"/>
  <c r="DV45" i="19"/>
  <c r="DV47" i="19"/>
  <c r="DV49" i="19"/>
  <c r="DV51" i="19"/>
  <c r="DV53" i="19"/>
  <c r="DV55" i="19"/>
  <c r="DV57" i="19"/>
  <c r="DV59" i="19"/>
  <c r="DV61" i="19"/>
  <c r="DV63" i="19"/>
  <c r="DV65" i="19"/>
  <c r="DV67" i="19"/>
  <c r="DV69" i="19"/>
  <c r="DV71" i="19"/>
  <c r="DV73" i="19"/>
  <c r="DV75" i="19"/>
  <c r="DV77" i="19"/>
  <c r="DV79" i="19"/>
  <c r="DV81" i="19"/>
  <c r="DV83" i="19"/>
  <c r="DV85" i="19"/>
  <c r="DV87" i="19"/>
  <c r="DV89" i="19"/>
  <c r="DV91" i="19"/>
  <c r="DV93" i="19"/>
  <c r="DV95" i="19"/>
  <c r="DV97" i="19"/>
  <c r="DV99" i="19"/>
  <c r="DV101" i="19"/>
  <c r="DV103" i="19"/>
  <c r="DV105" i="19"/>
  <c r="DV107" i="19"/>
  <c r="DB108" i="19"/>
  <c r="DB110" i="19"/>
  <c r="DB112" i="19"/>
  <c r="DB114" i="19"/>
  <c r="DB116" i="19"/>
  <c r="DB118" i="19"/>
  <c r="DB120" i="19"/>
  <c r="DB122" i="19"/>
  <c r="DB124" i="19"/>
  <c r="DB126" i="19"/>
  <c r="DB94" i="19"/>
  <c r="DB96" i="19"/>
  <c r="DB20" i="19"/>
  <c r="DB22" i="19"/>
  <c r="DB24" i="19"/>
  <c r="DB26" i="19"/>
  <c r="DB28" i="19"/>
  <c r="DB30" i="19"/>
  <c r="DB32" i="19"/>
  <c r="DB34" i="19"/>
  <c r="DB36" i="19"/>
  <c r="DB38" i="19"/>
  <c r="DB40" i="19"/>
  <c r="DB42" i="19"/>
  <c r="DB44" i="19"/>
  <c r="DB46" i="19"/>
  <c r="DB48" i="19"/>
  <c r="DB50" i="19"/>
  <c r="DB52" i="19"/>
  <c r="DB54" i="19"/>
  <c r="DB56" i="19"/>
  <c r="DB58" i="19"/>
  <c r="DB60" i="19"/>
  <c r="DB62" i="19"/>
  <c r="DB64" i="19"/>
  <c r="DB66" i="19"/>
  <c r="DB68" i="19"/>
  <c r="DB70" i="19"/>
  <c r="DB72" i="19"/>
  <c r="DB74" i="19"/>
  <c r="DB76" i="19"/>
  <c r="DB78" i="19"/>
  <c r="DB80" i="19"/>
  <c r="DB82" i="19"/>
  <c r="DB84" i="19"/>
  <c r="DB86" i="19"/>
  <c r="DV108" i="19"/>
  <c r="DV110" i="19"/>
  <c r="DV112" i="19"/>
  <c r="DV114" i="19"/>
  <c r="DV116" i="19"/>
  <c r="DV118" i="19"/>
  <c r="DV120" i="19"/>
  <c r="DV122" i="19"/>
  <c r="DV124" i="19"/>
  <c r="DV10" i="19"/>
  <c r="DV12" i="19"/>
  <c r="DV14" i="19"/>
  <c r="DV16" i="19"/>
  <c r="DV18" i="19"/>
  <c r="DV20" i="19"/>
  <c r="DB98" i="19"/>
  <c r="DB100" i="19"/>
  <c r="DB102" i="19"/>
  <c r="DB104" i="19"/>
  <c r="DB106" i="19"/>
  <c r="DB89" i="19"/>
  <c r="DB91" i="19"/>
  <c r="DB93" i="19"/>
  <c r="DB10" i="19"/>
  <c r="DB12" i="19"/>
  <c r="DB14" i="19"/>
  <c r="DB16" i="19"/>
  <c r="DB18" i="19"/>
  <c r="DV125" i="19"/>
  <c r="DV127" i="19"/>
  <c r="DV22" i="19"/>
  <c r="DV24" i="19"/>
  <c r="DV26" i="19"/>
  <c r="DV28" i="19"/>
  <c r="DV30" i="19"/>
  <c r="DV32" i="19"/>
  <c r="DV34" i="19"/>
  <c r="DV36" i="19"/>
  <c r="DV38" i="19"/>
  <c r="DV40" i="19"/>
  <c r="DV42" i="19"/>
  <c r="DV44" i="19"/>
  <c r="DV46" i="19"/>
  <c r="DV48" i="19"/>
  <c r="DV50" i="19"/>
  <c r="DV52" i="19"/>
  <c r="DV54" i="19"/>
  <c r="DV56" i="19"/>
  <c r="DV58" i="19"/>
  <c r="DV60" i="19"/>
  <c r="DV62" i="19"/>
  <c r="DV64" i="19"/>
  <c r="DV66" i="19"/>
  <c r="DV68" i="19"/>
  <c r="DV70" i="19"/>
  <c r="DV72" i="19"/>
  <c r="DV74" i="19"/>
  <c r="DV76" i="19"/>
  <c r="DV78" i="19"/>
  <c r="DV80" i="19"/>
  <c r="DV82" i="19"/>
  <c r="DV84" i="19"/>
  <c r="DV86" i="19"/>
  <c r="DV88" i="19"/>
  <c r="DV90" i="19"/>
  <c r="DV92" i="19"/>
  <c r="DV94" i="19"/>
  <c r="DV96" i="19"/>
  <c r="DV98" i="19"/>
  <c r="DV100" i="19"/>
  <c r="DV102" i="19"/>
  <c r="DV104" i="19"/>
  <c r="DV106" i="19"/>
  <c r="DB109" i="19"/>
  <c r="DB111" i="19"/>
  <c r="DB113" i="19"/>
  <c r="DB115" i="19"/>
  <c r="DB117" i="19"/>
  <c r="DB119" i="19"/>
  <c r="DB121" i="19"/>
  <c r="DB123" i="19"/>
  <c r="DB125" i="19"/>
  <c r="DB127" i="19"/>
  <c r="DB95" i="19"/>
  <c r="DB97" i="19"/>
  <c r="DB21" i="19"/>
  <c r="DB23" i="19"/>
  <c r="DB25" i="19"/>
  <c r="DB27" i="19"/>
  <c r="DB29" i="19"/>
  <c r="DB31" i="19"/>
  <c r="DB33" i="19"/>
  <c r="DB35" i="19"/>
  <c r="DB37" i="19"/>
  <c r="DB39" i="19"/>
  <c r="DB41" i="19"/>
  <c r="DB43" i="19"/>
  <c r="DB45" i="19"/>
  <c r="DB47" i="19"/>
  <c r="DB49" i="19"/>
  <c r="DB51" i="19"/>
  <c r="DB53" i="19"/>
  <c r="DB55" i="19"/>
  <c r="DB57" i="19"/>
  <c r="DB59" i="19"/>
  <c r="DB61" i="19"/>
  <c r="DB63" i="19"/>
  <c r="DB65" i="19"/>
  <c r="DB67" i="19"/>
  <c r="DB69" i="19"/>
  <c r="DB71" i="19"/>
  <c r="DB73" i="19"/>
  <c r="DB75" i="19"/>
  <c r="DB77" i="19"/>
  <c r="DB79" i="19"/>
  <c r="DB81" i="19"/>
  <c r="DB83" i="19"/>
  <c r="DB85" i="19"/>
  <c r="DB87" i="19"/>
  <c r="DV109" i="19"/>
  <c r="DV111" i="19"/>
  <c r="DV113" i="19"/>
  <c r="DV115" i="19"/>
  <c r="DV117" i="19"/>
  <c r="DV119" i="19"/>
  <c r="DV121" i="19"/>
  <c r="DV123" i="19"/>
  <c r="DV9" i="19"/>
  <c r="DV11" i="19"/>
  <c r="DV13" i="19"/>
  <c r="DV15" i="19"/>
  <c r="DV17" i="19"/>
  <c r="DV19" i="19"/>
  <c r="DB99" i="19"/>
  <c r="DB101" i="19"/>
  <c r="DB103" i="19"/>
  <c r="DB105" i="19"/>
  <c r="DB107" i="19"/>
  <c r="DB88" i="19"/>
  <c r="DB90" i="19"/>
  <c r="DB92" i="19"/>
  <c r="DB9" i="19"/>
  <c r="DB11" i="19"/>
  <c r="DB13" i="19"/>
  <c r="DB15" i="19"/>
  <c r="DB17" i="19"/>
  <c r="DB19" i="19"/>
  <c r="CH120" i="19"/>
  <c r="CH122" i="19"/>
  <c r="CH124" i="19"/>
  <c r="CH126" i="19"/>
  <c r="CH81" i="19"/>
  <c r="CH83" i="19"/>
  <c r="CH85" i="19"/>
  <c r="CH87" i="19"/>
  <c r="CH89" i="19"/>
  <c r="CH91" i="19"/>
  <c r="CH93" i="19"/>
  <c r="CH95" i="19"/>
  <c r="CH97" i="19"/>
  <c r="CH99" i="19"/>
  <c r="CH101" i="19"/>
  <c r="CH103" i="19"/>
  <c r="CH105" i="19"/>
  <c r="CH107" i="19"/>
  <c r="CH109" i="19"/>
  <c r="CH111" i="19"/>
  <c r="CH113" i="19"/>
  <c r="CH115" i="19"/>
  <c r="CH117" i="19"/>
  <c r="CH55" i="19"/>
  <c r="CH57" i="19"/>
  <c r="CH59" i="19"/>
  <c r="CH61" i="19"/>
  <c r="CH63" i="19"/>
  <c r="CH65" i="19"/>
  <c r="CH67" i="19"/>
  <c r="CH69" i="19"/>
  <c r="CH71" i="19"/>
  <c r="CH73" i="19"/>
  <c r="CH75" i="19"/>
  <c r="CH77" i="19"/>
  <c r="CH79" i="19"/>
  <c r="CH9" i="19"/>
  <c r="CH11" i="19"/>
  <c r="CH13" i="19"/>
  <c r="CH15" i="19"/>
  <c r="CH17" i="19"/>
  <c r="CH19" i="19"/>
  <c r="CH21" i="19"/>
  <c r="CH23" i="19"/>
  <c r="CH25" i="19"/>
  <c r="CH27" i="19"/>
  <c r="CH29" i="19"/>
  <c r="CH31" i="19"/>
  <c r="CH33" i="19"/>
  <c r="CH35" i="19"/>
  <c r="CH37" i="19"/>
  <c r="CH39" i="19"/>
  <c r="CH41" i="19"/>
  <c r="CH43" i="19"/>
  <c r="CH45" i="19"/>
  <c r="CH47" i="19"/>
  <c r="CH49" i="19"/>
  <c r="CH51" i="19"/>
  <c r="CH53" i="19"/>
  <c r="BN121" i="19"/>
  <c r="BN123" i="19"/>
  <c r="BN125" i="19"/>
  <c r="BN127" i="19"/>
  <c r="BN106" i="19"/>
  <c r="BN108" i="19"/>
  <c r="BN110" i="19"/>
  <c r="BN112" i="19"/>
  <c r="BN114" i="19"/>
  <c r="BN116" i="19"/>
  <c r="BN118" i="19"/>
  <c r="BN96" i="19"/>
  <c r="BN98" i="19"/>
  <c r="BN100" i="19"/>
  <c r="BN102" i="19"/>
  <c r="BN104" i="19"/>
  <c r="BN86" i="19"/>
  <c r="BN88" i="19"/>
  <c r="BN90" i="19"/>
  <c r="BN92" i="19"/>
  <c r="BN94" i="19"/>
  <c r="BN9" i="19"/>
  <c r="BN11" i="19"/>
  <c r="BN13" i="19"/>
  <c r="BN15" i="19"/>
  <c r="BN17" i="19"/>
  <c r="BN19" i="19"/>
  <c r="BN21" i="19"/>
  <c r="BN23" i="19"/>
  <c r="BN25" i="19"/>
  <c r="BN27" i="19"/>
  <c r="BN29" i="19"/>
  <c r="BN31" i="19"/>
  <c r="BN33" i="19"/>
  <c r="BN35" i="19"/>
  <c r="BN37" i="19"/>
  <c r="BN39" i="19"/>
  <c r="BN41" i="19"/>
  <c r="BN43" i="19"/>
  <c r="BN45" i="19"/>
  <c r="BN47" i="19"/>
  <c r="BN49" i="19"/>
  <c r="BN51" i="19"/>
  <c r="BN53" i="19"/>
  <c r="BN55" i="19"/>
  <c r="BN57" i="19"/>
  <c r="BN59" i="19"/>
  <c r="BN61" i="19"/>
  <c r="BN63" i="19"/>
  <c r="BN65" i="19"/>
  <c r="BN67" i="19"/>
  <c r="BN69" i="19"/>
  <c r="BN71" i="19"/>
  <c r="BN73" i="19"/>
  <c r="BN75" i="19"/>
  <c r="BN77" i="19"/>
  <c r="BN79" i="19"/>
  <c r="BN81" i="19"/>
  <c r="BN83" i="19"/>
  <c r="CH125" i="19"/>
  <c r="CH86" i="19"/>
  <c r="CH94" i="19"/>
  <c r="CH102" i="19"/>
  <c r="CH110" i="19"/>
  <c r="CH118" i="19"/>
  <c r="CH62" i="19"/>
  <c r="CH70" i="19"/>
  <c r="CH78" i="19"/>
  <c r="CH14" i="19"/>
  <c r="CH22" i="19"/>
  <c r="CH30" i="19"/>
  <c r="CH38" i="19"/>
  <c r="CH46" i="19"/>
  <c r="CH54" i="19"/>
  <c r="BN120" i="19"/>
  <c r="BN105" i="19"/>
  <c r="BN113" i="19"/>
  <c r="BN97" i="19"/>
  <c r="BN85" i="19"/>
  <c r="BN93" i="19"/>
  <c r="BN14" i="19"/>
  <c r="BN22" i="19"/>
  <c r="BN30" i="19"/>
  <c r="BN38" i="19"/>
  <c r="BN46" i="19"/>
  <c r="BN54" i="19"/>
  <c r="BN62" i="19"/>
  <c r="BN70" i="19"/>
  <c r="AT24" i="19"/>
  <c r="AT26" i="19"/>
  <c r="AT28" i="19"/>
  <c r="AT30" i="19"/>
  <c r="AT32" i="19"/>
  <c r="AT34" i="19"/>
  <c r="AT36" i="19"/>
  <c r="AT38" i="19"/>
  <c r="AT40" i="19"/>
  <c r="AT42" i="19"/>
  <c r="AT44" i="19"/>
  <c r="AT46" i="19"/>
  <c r="AT48" i="19"/>
  <c r="AT50" i="19"/>
  <c r="AT52" i="19"/>
  <c r="AT54" i="19"/>
  <c r="AT56" i="19"/>
  <c r="AT58" i="19"/>
  <c r="AT60" i="19"/>
  <c r="AT62" i="19"/>
  <c r="AT64" i="19"/>
  <c r="AT66" i="19"/>
  <c r="AT68" i="19"/>
  <c r="AT70" i="19"/>
  <c r="AT72" i="19"/>
  <c r="AT74" i="19"/>
  <c r="AT76" i="19"/>
  <c r="AT78" i="19"/>
  <c r="AT80" i="19"/>
  <c r="AT82" i="19"/>
  <c r="AT84" i="19"/>
  <c r="AT86" i="19"/>
  <c r="AT89" i="19"/>
  <c r="AT91" i="19"/>
  <c r="AT93" i="19"/>
  <c r="AT95" i="19"/>
  <c r="AT97" i="19"/>
  <c r="AT99" i="19"/>
  <c r="AT101" i="19"/>
  <c r="AT103" i="19"/>
  <c r="AT105" i="19"/>
  <c r="AT107" i="19"/>
  <c r="AT109" i="19"/>
  <c r="AT111" i="19"/>
  <c r="AT113" i="19"/>
  <c r="AT115" i="19"/>
  <c r="AT117" i="19"/>
  <c r="AT119" i="19"/>
  <c r="AT121" i="19"/>
  <c r="AT123" i="19"/>
  <c r="AT125" i="19"/>
  <c r="AT127" i="19"/>
  <c r="AT10" i="19"/>
  <c r="AT12" i="19"/>
  <c r="AT14" i="19"/>
  <c r="AT16" i="19"/>
  <c r="AT18" i="19"/>
  <c r="AT20" i="19"/>
  <c r="AT22" i="19"/>
  <c r="CH12" i="19"/>
  <c r="CH20" i="19"/>
  <c r="CH28" i="19"/>
  <c r="CH36" i="19"/>
  <c r="CH44" i="19"/>
  <c r="CH52" i="19"/>
  <c r="AT88" i="19"/>
  <c r="CH119" i="19"/>
  <c r="CH127" i="19"/>
  <c r="CH88" i="19"/>
  <c r="CH96" i="19"/>
  <c r="CH104" i="19"/>
  <c r="CH112" i="19"/>
  <c r="CH56" i="19"/>
  <c r="CH64" i="19"/>
  <c r="CH72" i="19"/>
  <c r="CH80" i="19"/>
  <c r="CH16" i="19"/>
  <c r="CH24" i="19"/>
  <c r="CH32" i="19"/>
  <c r="CH40" i="19"/>
  <c r="CH48" i="19"/>
  <c r="BN122" i="19"/>
  <c r="BN107" i="19"/>
  <c r="BN115" i="19"/>
  <c r="BN99" i="19"/>
  <c r="BN87" i="19"/>
  <c r="BN95" i="19"/>
  <c r="BN16" i="19"/>
  <c r="BN24" i="19"/>
  <c r="BN32" i="19"/>
  <c r="BN40" i="19"/>
  <c r="BN48" i="19"/>
  <c r="BN56" i="19"/>
  <c r="BN64" i="19"/>
  <c r="BN72" i="19"/>
  <c r="BN76" i="19"/>
  <c r="BN80" i="19"/>
  <c r="BN84" i="19"/>
  <c r="CH100" i="19"/>
  <c r="CH116" i="19"/>
  <c r="CH60" i="19"/>
  <c r="CH68" i="19"/>
  <c r="CH76" i="19"/>
  <c r="BN126" i="19"/>
  <c r="BN111" i="19"/>
  <c r="BN119" i="19"/>
  <c r="BN103" i="19"/>
  <c r="BN36" i="19"/>
  <c r="BN44" i="19"/>
  <c r="BN52" i="19"/>
  <c r="BN60" i="19"/>
  <c r="BN68" i="19"/>
  <c r="BN74" i="19"/>
  <c r="BN78" i="19"/>
  <c r="BN82" i="19"/>
  <c r="CH121" i="19"/>
  <c r="CH82" i="19"/>
  <c r="CH90" i="19"/>
  <c r="CH98" i="19"/>
  <c r="CH106" i="19"/>
  <c r="CH114" i="19"/>
  <c r="CH58" i="19"/>
  <c r="CH66" i="19"/>
  <c r="CH74" i="19"/>
  <c r="CH10" i="19"/>
  <c r="CH18" i="19"/>
  <c r="CH26" i="19"/>
  <c r="CH34" i="19"/>
  <c r="CH42" i="19"/>
  <c r="CH50" i="19"/>
  <c r="BN124" i="19"/>
  <c r="BN109" i="19"/>
  <c r="BN117" i="19"/>
  <c r="BN101" i="19"/>
  <c r="BN89" i="19"/>
  <c r="BN10" i="19"/>
  <c r="BN18" i="19"/>
  <c r="BN26" i="19"/>
  <c r="BN34" i="19"/>
  <c r="BN42" i="19"/>
  <c r="BN50" i="19"/>
  <c r="BN58" i="19"/>
  <c r="BN66" i="19"/>
  <c r="AT23" i="19"/>
  <c r="AT25" i="19"/>
  <c r="AT27" i="19"/>
  <c r="AT29" i="19"/>
  <c r="AT31" i="19"/>
  <c r="AT33" i="19"/>
  <c r="AT35" i="19"/>
  <c r="AT37" i="19"/>
  <c r="AT39" i="19"/>
  <c r="AT41" i="19"/>
  <c r="AT43" i="19"/>
  <c r="AT45" i="19"/>
  <c r="AT47" i="19"/>
  <c r="AT49" i="19"/>
  <c r="AT51" i="19"/>
  <c r="AT53" i="19"/>
  <c r="AT55" i="19"/>
  <c r="AT57" i="19"/>
  <c r="AT59" i="19"/>
  <c r="AT61" i="19"/>
  <c r="AT63" i="19"/>
  <c r="AT65" i="19"/>
  <c r="AT67" i="19"/>
  <c r="AT69" i="19"/>
  <c r="AT71" i="19"/>
  <c r="AT73" i="19"/>
  <c r="AT75" i="19"/>
  <c r="AT77" i="19"/>
  <c r="AT79" i="19"/>
  <c r="AT81" i="19"/>
  <c r="AT83" i="19"/>
  <c r="AT85" i="19"/>
  <c r="AT87" i="19"/>
  <c r="AT90" i="19"/>
  <c r="AT92" i="19"/>
  <c r="AT94" i="19"/>
  <c r="AT96" i="19"/>
  <c r="AT98" i="19"/>
  <c r="AT100" i="19"/>
  <c r="AT102" i="19"/>
  <c r="AT104" i="19"/>
  <c r="AT106" i="19"/>
  <c r="AT108" i="19"/>
  <c r="AT110" i="19"/>
  <c r="AT112" i="19"/>
  <c r="AT114" i="19"/>
  <c r="AT116" i="19"/>
  <c r="AT118" i="19"/>
  <c r="AT120" i="19"/>
  <c r="AT122" i="19"/>
  <c r="AT124" i="19"/>
  <c r="AT126" i="19"/>
  <c r="AT9" i="19"/>
  <c r="AT11" i="19"/>
  <c r="AT13" i="19"/>
  <c r="AT15" i="19"/>
  <c r="AT17" i="19"/>
  <c r="AT19" i="19"/>
  <c r="AT21" i="19"/>
  <c r="CH123" i="19"/>
  <c r="CH84" i="19"/>
  <c r="CH92" i="19"/>
  <c r="CH108" i="19"/>
  <c r="BN91" i="19"/>
  <c r="BN12" i="19"/>
  <c r="BN20" i="19"/>
  <c r="BN28" i="19"/>
  <c r="AW166" i="20"/>
  <c r="BA166" i="20"/>
  <c r="AW167" i="20"/>
  <c r="BA167" i="20"/>
  <c r="AW21" i="20"/>
  <c r="BA21" i="20"/>
  <c r="AW22" i="20"/>
  <c r="BA22" i="20"/>
  <c r="AW23" i="20"/>
  <c r="BA23" i="20"/>
  <c r="AW24" i="20"/>
  <c r="BA24" i="20"/>
  <c r="AW25" i="20"/>
  <c r="BA25" i="20"/>
  <c r="AW26" i="20"/>
  <c r="BA26" i="20"/>
  <c r="AW27" i="20"/>
  <c r="BA27" i="20"/>
  <c r="AW28" i="20"/>
  <c r="BA28" i="20"/>
  <c r="AW29" i="20"/>
  <c r="BA29" i="20"/>
  <c r="AW30" i="20"/>
  <c r="BA30" i="20"/>
  <c r="AW31" i="20"/>
  <c r="BA31" i="20"/>
  <c r="AW32" i="20"/>
  <c r="BA32" i="20"/>
  <c r="AW33" i="20"/>
  <c r="BA33" i="20"/>
  <c r="AW34" i="20"/>
  <c r="BA34" i="20"/>
  <c r="AW35" i="20"/>
  <c r="BA35" i="20"/>
  <c r="AW36" i="20"/>
  <c r="BA36" i="20"/>
  <c r="AW37" i="20"/>
  <c r="BA37" i="20"/>
  <c r="AW38" i="20"/>
  <c r="BA38" i="20"/>
  <c r="AW39" i="20"/>
  <c r="BA39" i="20"/>
  <c r="AW40" i="20"/>
  <c r="BA40" i="20"/>
  <c r="AW41" i="20"/>
  <c r="BA41" i="20"/>
  <c r="AW42" i="20"/>
  <c r="BA42" i="20"/>
  <c r="AW43" i="20"/>
  <c r="BA43" i="20"/>
  <c r="AW44" i="20"/>
  <c r="BA44" i="20"/>
  <c r="AW45" i="20"/>
  <c r="BA45" i="20"/>
  <c r="AW46" i="20"/>
  <c r="BA46" i="20"/>
  <c r="AW47" i="20"/>
  <c r="BA47" i="20"/>
  <c r="AW48" i="20"/>
  <c r="BA48" i="20"/>
  <c r="AW49" i="20"/>
  <c r="BA49" i="20"/>
  <c r="AW50" i="20"/>
  <c r="BA50" i="20"/>
  <c r="AW51" i="20"/>
  <c r="BA51" i="20"/>
  <c r="AW52" i="20"/>
  <c r="BA52" i="20"/>
  <c r="AW53" i="20"/>
  <c r="BA53" i="20"/>
  <c r="AW54" i="20"/>
  <c r="BA54" i="20"/>
  <c r="AW55" i="20"/>
  <c r="BA55" i="20"/>
  <c r="AW56" i="20"/>
  <c r="BA56" i="20"/>
  <c r="AW57" i="20"/>
  <c r="BA57" i="20"/>
  <c r="AW58" i="20"/>
  <c r="BA58" i="20"/>
  <c r="AW59" i="20"/>
  <c r="BA59" i="20"/>
  <c r="AW60" i="20"/>
  <c r="AX166" i="20"/>
  <c r="BB166" i="20"/>
  <c r="AX167" i="20"/>
  <c r="BB167" i="20"/>
  <c r="AX21" i="20"/>
  <c r="BB21" i="20"/>
  <c r="AX22" i="20"/>
  <c r="BB22" i="20"/>
  <c r="AX23" i="20"/>
  <c r="BB23" i="20"/>
  <c r="AX24" i="20"/>
  <c r="BB24" i="20"/>
  <c r="AX25" i="20"/>
  <c r="BB25" i="20"/>
  <c r="AX26" i="20"/>
  <c r="BB26" i="20"/>
  <c r="AX27" i="20"/>
  <c r="BB27" i="20"/>
  <c r="AX28" i="20"/>
  <c r="BB28" i="20"/>
  <c r="AX29" i="20"/>
  <c r="BB29" i="20"/>
  <c r="AX30" i="20"/>
  <c r="BB30" i="20"/>
  <c r="AX31" i="20"/>
  <c r="BB31" i="20"/>
  <c r="AX32" i="20"/>
  <c r="BB32" i="20"/>
  <c r="AX33" i="20"/>
  <c r="BB33" i="20"/>
  <c r="AX34" i="20"/>
  <c r="BB34" i="20"/>
  <c r="AX35" i="20"/>
  <c r="BB35" i="20"/>
  <c r="AX36" i="20"/>
  <c r="BB36" i="20"/>
  <c r="AX37" i="20"/>
  <c r="BB37" i="20"/>
  <c r="AX38" i="20"/>
  <c r="BB38" i="20"/>
  <c r="AX39" i="20"/>
  <c r="BB39" i="20"/>
  <c r="AX40" i="20"/>
  <c r="BB40" i="20"/>
  <c r="AX41" i="20"/>
  <c r="BB41" i="20"/>
  <c r="AX42" i="20"/>
  <c r="BB42" i="20"/>
  <c r="AX43" i="20"/>
  <c r="BB43" i="20"/>
  <c r="AX44" i="20"/>
  <c r="BB44" i="20"/>
  <c r="AX45" i="20"/>
  <c r="BB45" i="20"/>
  <c r="AX46" i="20"/>
  <c r="BB46" i="20"/>
  <c r="AX47" i="20"/>
  <c r="BB47" i="20"/>
  <c r="AX48" i="20"/>
  <c r="BB48" i="20"/>
  <c r="AX49" i="20"/>
  <c r="BB49" i="20"/>
  <c r="AX50" i="20"/>
  <c r="BB50" i="20"/>
  <c r="AX51" i="20"/>
  <c r="BB51" i="20"/>
  <c r="AX52" i="20"/>
  <c r="BB52" i="20"/>
  <c r="AX53" i="20"/>
  <c r="BB53" i="20"/>
  <c r="AX54" i="20"/>
  <c r="BB54" i="20"/>
  <c r="AX55" i="20"/>
  <c r="BB55" i="20"/>
  <c r="AX56" i="20"/>
  <c r="BB56" i="20"/>
  <c r="AX57" i="20"/>
  <c r="BB57" i="20"/>
  <c r="AX58" i="20"/>
  <c r="BB58" i="20"/>
  <c r="AX59" i="20"/>
  <c r="BB59" i="20"/>
  <c r="AX60" i="20"/>
  <c r="BB60" i="20"/>
  <c r="AX61" i="20"/>
  <c r="BB61" i="20"/>
  <c r="AX62" i="20"/>
  <c r="BB62" i="20"/>
  <c r="AX63" i="20"/>
  <c r="BB63" i="20"/>
  <c r="AX64" i="20"/>
  <c r="BB64" i="20"/>
  <c r="AX65" i="20"/>
  <c r="BB65" i="20"/>
  <c r="AX66" i="20"/>
  <c r="BB66" i="20"/>
  <c r="AX67" i="20"/>
  <c r="BB67" i="20"/>
  <c r="AX68" i="20"/>
  <c r="BB68" i="20"/>
  <c r="AX69" i="20"/>
  <c r="BB69" i="20"/>
  <c r="AX70" i="20"/>
  <c r="BB70" i="20"/>
  <c r="AX71" i="20"/>
  <c r="BB71" i="20"/>
  <c r="AU166" i="20"/>
  <c r="AY166" i="20"/>
  <c r="AU167" i="20"/>
  <c r="AY167" i="20"/>
  <c r="AU21" i="20"/>
  <c r="AY21" i="20"/>
  <c r="AV22" i="20"/>
  <c r="AV23" i="20"/>
  <c r="AV24" i="20"/>
  <c r="AV25" i="20"/>
  <c r="AV26" i="20"/>
  <c r="AV27" i="20"/>
  <c r="AV28" i="20"/>
  <c r="AV29" i="20"/>
  <c r="AV30" i="20"/>
  <c r="AV31" i="20"/>
  <c r="AV32" i="20"/>
  <c r="AV33" i="20"/>
  <c r="AV34" i="20"/>
  <c r="AV35" i="20"/>
  <c r="AV36" i="20"/>
  <c r="AV37" i="20"/>
  <c r="AV38" i="20"/>
  <c r="AV39" i="20"/>
  <c r="AV40" i="20"/>
  <c r="AV41" i="20"/>
  <c r="AV42" i="20"/>
  <c r="AV43" i="20"/>
  <c r="AV44" i="20"/>
  <c r="AV45" i="20"/>
  <c r="AV46" i="20"/>
  <c r="AV47" i="20"/>
  <c r="AV48" i="20"/>
  <c r="AV49" i="20"/>
  <c r="AV50" i="20"/>
  <c r="AV51" i="20"/>
  <c r="AV52" i="20"/>
  <c r="AV53" i="20"/>
  <c r="AV54" i="20"/>
  <c r="AV55" i="20"/>
  <c r="AV56" i="20"/>
  <c r="AV57" i="20"/>
  <c r="AV58" i="20"/>
  <c r="AV59" i="20"/>
  <c r="AV60" i="20"/>
  <c r="AW61" i="20"/>
  <c r="AW62" i="20"/>
  <c r="AW63" i="20"/>
  <c r="AW64" i="20"/>
  <c r="AW65" i="20"/>
  <c r="AW66" i="20"/>
  <c r="AW67" i="20"/>
  <c r="AW68" i="20"/>
  <c r="AW69" i="20"/>
  <c r="AW70" i="20"/>
  <c r="AW71" i="20"/>
  <c r="AW72" i="20"/>
  <c r="BA72" i="20"/>
  <c r="AW73" i="20"/>
  <c r="BA73" i="20"/>
  <c r="AW74" i="20"/>
  <c r="BA74" i="20"/>
  <c r="AW75" i="20"/>
  <c r="BA75" i="20"/>
  <c r="AW76" i="20"/>
  <c r="BA76" i="20"/>
  <c r="AW77" i="20"/>
  <c r="BA77" i="20"/>
  <c r="AW78" i="20"/>
  <c r="BA78" i="20"/>
  <c r="AW79" i="20"/>
  <c r="BA79" i="20"/>
  <c r="AW80" i="20"/>
  <c r="BA80" i="20"/>
  <c r="AW81" i="20"/>
  <c r="BA81" i="20"/>
  <c r="AW82" i="20"/>
  <c r="BA82" i="20"/>
  <c r="AW83" i="20"/>
  <c r="BA83" i="20"/>
  <c r="AW84" i="20"/>
  <c r="BA84" i="20"/>
  <c r="AW85" i="20"/>
  <c r="BA85" i="20"/>
  <c r="AW86" i="20"/>
  <c r="BA86" i="20"/>
  <c r="AW87" i="20"/>
  <c r="BA87" i="20"/>
  <c r="AW88" i="20"/>
  <c r="BA88" i="20"/>
  <c r="AW89" i="20"/>
  <c r="BA89" i="20"/>
  <c r="AW90" i="20"/>
  <c r="BA90" i="20"/>
  <c r="AW91" i="20"/>
  <c r="BA91" i="20"/>
  <c r="AW92" i="20"/>
  <c r="BA92" i="20"/>
  <c r="AW93" i="20"/>
  <c r="BA93" i="20"/>
  <c r="AW94" i="20"/>
  <c r="BA94" i="20"/>
  <c r="AW95" i="20"/>
  <c r="BA95" i="20"/>
  <c r="AW96" i="20"/>
  <c r="BA96" i="20"/>
  <c r="AW97" i="20"/>
  <c r="BA97" i="20"/>
  <c r="AW98" i="20"/>
  <c r="BA98" i="20"/>
  <c r="AW99" i="20"/>
  <c r="BA99" i="20"/>
  <c r="AW100" i="20"/>
  <c r="BA100" i="20"/>
  <c r="AW101" i="20"/>
  <c r="BA101" i="20"/>
  <c r="AW102" i="20"/>
  <c r="BA102" i="20"/>
  <c r="AW103" i="20"/>
  <c r="BA103" i="20"/>
  <c r="AW104" i="20"/>
  <c r="BA104" i="20"/>
  <c r="AW105" i="20"/>
  <c r="BA105" i="20"/>
  <c r="AW106" i="20"/>
  <c r="BA106" i="20"/>
  <c r="AW107" i="20"/>
  <c r="BA107" i="20"/>
  <c r="AW108" i="20"/>
  <c r="BA108" i="20"/>
  <c r="AW109" i="20"/>
  <c r="BA109" i="20"/>
  <c r="AW110" i="20"/>
  <c r="BA110" i="20"/>
  <c r="AW111" i="20"/>
  <c r="BA111" i="20"/>
  <c r="AW112" i="20"/>
  <c r="BA112" i="20"/>
  <c r="AW113" i="20"/>
  <c r="BA113" i="20"/>
  <c r="AW114" i="20"/>
  <c r="BA114" i="20"/>
  <c r="AW115" i="20"/>
  <c r="BA115" i="20"/>
  <c r="AW116" i="20"/>
  <c r="BA116" i="20"/>
  <c r="AW117" i="20"/>
  <c r="BA117" i="20"/>
  <c r="AW118" i="20"/>
  <c r="BA118" i="20"/>
  <c r="AW119" i="20"/>
  <c r="BA119" i="20"/>
  <c r="AW120" i="20"/>
  <c r="BA120" i="20"/>
  <c r="AW121" i="20"/>
  <c r="BA121" i="20"/>
  <c r="AW122" i="20"/>
  <c r="BA122" i="20"/>
  <c r="AW123" i="20"/>
  <c r="BA123" i="20"/>
  <c r="AW124" i="20"/>
  <c r="BA124" i="20"/>
  <c r="AW125" i="20"/>
  <c r="BA125" i="20"/>
  <c r="AW126" i="20"/>
  <c r="BA126" i="20"/>
  <c r="AW127" i="20"/>
  <c r="BA127" i="20"/>
  <c r="AW128" i="20"/>
  <c r="BA128" i="20"/>
  <c r="AW129" i="20"/>
  <c r="BA129" i="20"/>
  <c r="AW130" i="20"/>
  <c r="BA130" i="20"/>
  <c r="AW131" i="20"/>
  <c r="BA131" i="20"/>
  <c r="AW132" i="20"/>
  <c r="BA132" i="20"/>
  <c r="AW133" i="20"/>
  <c r="BA133" i="20"/>
  <c r="AW134" i="20"/>
  <c r="BA134" i="20"/>
  <c r="AW135" i="20"/>
  <c r="BA135" i="20"/>
  <c r="AW136" i="20"/>
  <c r="BA136" i="20"/>
  <c r="AW137" i="20"/>
  <c r="BA137" i="20"/>
  <c r="AW138" i="20"/>
  <c r="BA138" i="20"/>
  <c r="AW139" i="20"/>
  <c r="BA139" i="20"/>
  <c r="AW140" i="20"/>
  <c r="BA140" i="20"/>
  <c r="AW141" i="20"/>
  <c r="BA141" i="20"/>
  <c r="AW142" i="20"/>
  <c r="BA142" i="20"/>
  <c r="AW143" i="20"/>
  <c r="BA143" i="20"/>
  <c r="AW144" i="20"/>
  <c r="BA144" i="20"/>
  <c r="AW145" i="20"/>
  <c r="BA145" i="20"/>
  <c r="AW146" i="20"/>
  <c r="BA146" i="20"/>
  <c r="AW147" i="20"/>
  <c r="BA147" i="20"/>
  <c r="AW148" i="20"/>
  <c r="BA148" i="20"/>
  <c r="AW149" i="20"/>
  <c r="BA149" i="20"/>
  <c r="AW150" i="20"/>
  <c r="BA150" i="20"/>
  <c r="AW151" i="20"/>
  <c r="BA151" i="20"/>
  <c r="AW152" i="20"/>
  <c r="BA152" i="20"/>
  <c r="AW153" i="20"/>
  <c r="BA153" i="20"/>
  <c r="AW154" i="20"/>
  <c r="BA154" i="20"/>
  <c r="AW155" i="20"/>
  <c r="BA155" i="20"/>
  <c r="AW156" i="20"/>
  <c r="BA156" i="20"/>
  <c r="AW157" i="20"/>
  <c r="BA157" i="20"/>
  <c r="AW158" i="20"/>
  <c r="BA158" i="20"/>
  <c r="AW159" i="20"/>
  <c r="BA159" i="20"/>
  <c r="AW160" i="20"/>
  <c r="BA160" i="20"/>
  <c r="AW161" i="20"/>
  <c r="BA161" i="20"/>
  <c r="AW162" i="20"/>
  <c r="BA162" i="20"/>
  <c r="AW163" i="20"/>
  <c r="BA163" i="20"/>
  <c r="AW164" i="20"/>
  <c r="BA164" i="20"/>
  <c r="AW165" i="20"/>
  <c r="BA165" i="20"/>
  <c r="AW9" i="20"/>
  <c r="BA9" i="20"/>
  <c r="AW10" i="20"/>
  <c r="BA10" i="20"/>
  <c r="AW11" i="20"/>
  <c r="BA11" i="20"/>
  <c r="AW12" i="20"/>
  <c r="BA12" i="20"/>
  <c r="AW13" i="20"/>
  <c r="BA13" i="20"/>
  <c r="AW14" i="20"/>
  <c r="BA14" i="20"/>
  <c r="AW15" i="20"/>
  <c r="BA15" i="20"/>
  <c r="AW16" i="20"/>
  <c r="BA16" i="20"/>
  <c r="AW17" i="20"/>
  <c r="BA17" i="20"/>
  <c r="AW18" i="20"/>
  <c r="BA18" i="20"/>
  <c r="AW19" i="20"/>
  <c r="BA19" i="20"/>
  <c r="AW20" i="20"/>
  <c r="BA20" i="20"/>
  <c r="AY22" i="20"/>
  <c r="AY23" i="20"/>
  <c r="AY24" i="20"/>
  <c r="AY25" i="20"/>
  <c r="AY26" i="20"/>
  <c r="AY27" i="20"/>
  <c r="AY28" i="20"/>
  <c r="AY29" i="20"/>
  <c r="AY30" i="20"/>
  <c r="AY31" i="20"/>
  <c r="AY32" i="20"/>
  <c r="AY33" i="20"/>
  <c r="AY34" i="20"/>
  <c r="AY35" i="20"/>
  <c r="AY36" i="20"/>
  <c r="AY37" i="20"/>
  <c r="AY38" i="20"/>
  <c r="AY39" i="20"/>
  <c r="AY40" i="20"/>
  <c r="AY41" i="20"/>
  <c r="AY42" i="20"/>
  <c r="AY43" i="20"/>
  <c r="AY44" i="20"/>
  <c r="AY45" i="20"/>
  <c r="AY46" i="20"/>
  <c r="AY47" i="20"/>
  <c r="AY48" i="20"/>
  <c r="AY49" i="20"/>
  <c r="AY50" i="20"/>
  <c r="AY51" i="20"/>
  <c r="AY52" i="20"/>
  <c r="AY53" i="20"/>
  <c r="AY54" i="20"/>
  <c r="AY55" i="20"/>
  <c r="AY56" i="20"/>
  <c r="AY57" i="20"/>
  <c r="AY58" i="20"/>
  <c r="AY59" i="20"/>
  <c r="AY60" i="20"/>
  <c r="AY61" i="20"/>
  <c r="AY62" i="20"/>
  <c r="AY63" i="20"/>
  <c r="AY64" i="20"/>
  <c r="AY65" i="20"/>
  <c r="AY66" i="20"/>
  <c r="AY67" i="20"/>
  <c r="AY68" i="20"/>
  <c r="AY69" i="20"/>
  <c r="AY70" i="20"/>
  <c r="AY71" i="20"/>
  <c r="AX72" i="20"/>
  <c r="BB72" i="20"/>
  <c r="AX73" i="20"/>
  <c r="BB73" i="20"/>
  <c r="AX74" i="20"/>
  <c r="BB74" i="20"/>
  <c r="AX75" i="20"/>
  <c r="BB75" i="20"/>
  <c r="AX76" i="20"/>
  <c r="BB76" i="20"/>
  <c r="AX77" i="20"/>
  <c r="BB77" i="20"/>
  <c r="AX78" i="20"/>
  <c r="BB78" i="20"/>
  <c r="AX79" i="20"/>
  <c r="BB79" i="20"/>
  <c r="AX80" i="20"/>
  <c r="BB80" i="20"/>
  <c r="AX81" i="20"/>
  <c r="BB81" i="20"/>
  <c r="AX82" i="20"/>
  <c r="BB82" i="20"/>
  <c r="AX83" i="20"/>
  <c r="BB83" i="20"/>
  <c r="AX84" i="20"/>
  <c r="BB84" i="20"/>
  <c r="AX85" i="20"/>
  <c r="BB85" i="20"/>
  <c r="AX86" i="20"/>
  <c r="BB86" i="20"/>
  <c r="AX87" i="20"/>
  <c r="BB87" i="20"/>
  <c r="AX88" i="20"/>
  <c r="BB88" i="20"/>
  <c r="AX89" i="20"/>
  <c r="BB89" i="20"/>
  <c r="AX90" i="20"/>
  <c r="BB90" i="20"/>
  <c r="AX91" i="20"/>
  <c r="BB91" i="20"/>
  <c r="AX92" i="20"/>
  <c r="BB92" i="20"/>
  <c r="AX93" i="20"/>
  <c r="BB93" i="20"/>
  <c r="AX94" i="20"/>
  <c r="BB94" i="20"/>
  <c r="AX95" i="20"/>
  <c r="BB95" i="20"/>
  <c r="AX96" i="20"/>
  <c r="BB96" i="20"/>
  <c r="AX97" i="20"/>
  <c r="BB97" i="20"/>
  <c r="AX98" i="20"/>
  <c r="BB98" i="20"/>
  <c r="AX99" i="20"/>
  <c r="BB99" i="20"/>
  <c r="AX100" i="20"/>
  <c r="BB100" i="20"/>
  <c r="AX101" i="20"/>
  <c r="BB101" i="20"/>
  <c r="AX102" i="20"/>
  <c r="BB102" i="20"/>
  <c r="AX103" i="20"/>
  <c r="BB103" i="20"/>
  <c r="AX104" i="20"/>
  <c r="BB104" i="20"/>
  <c r="AX105" i="20"/>
  <c r="BB105" i="20"/>
  <c r="AX106" i="20"/>
  <c r="BB106" i="20"/>
  <c r="AX107" i="20"/>
  <c r="BB107" i="20"/>
  <c r="AX108" i="20"/>
  <c r="BB108" i="20"/>
  <c r="AX109" i="20"/>
  <c r="BB109" i="20"/>
  <c r="AX110" i="20"/>
  <c r="BB110" i="20"/>
  <c r="AX111" i="20"/>
  <c r="BB111" i="20"/>
  <c r="AX112" i="20"/>
  <c r="BB112" i="20"/>
  <c r="AX113" i="20"/>
  <c r="BB113" i="20"/>
  <c r="AX114" i="20"/>
  <c r="BB114" i="20"/>
  <c r="AX115" i="20"/>
  <c r="BB115" i="20"/>
  <c r="AX116" i="20"/>
  <c r="BB116" i="20"/>
  <c r="AX117" i="20"/>
  <c r="BB117" i="20"/>
  <c r="AX118" i="20"/>
  <c r="BB118" i="20"/>
  <c r="AX119" i="20"/>
  <c r="BB119" i="20"/>
  <c r="AX120" i="20"/>
  <c r="BB120" i="20"/>
  <c r="AX121" i="20"/>
  <c r="BB121" i="20"/>
  <c r="AX122" i="20"/>
  <c r="BB122" i="20"/>
  <c r="AX123" i="20"/>
  <c r="BB123" i="20"/>
  <c r="AX124" i="20"/>
  <c r="BB124" i="20"/>
  <c r="AX125" i="20"/>
  <c r="BB125" i="20"/>
  <c r="AX126" i="20"/>
  <c r="BB126" i="20"/>
  <c r="AX127" i="20"/>
  <c r="BB127" i="20"/>
  <c r="AX128" i="20"/>
  <c r="BB128" i="20"/>
  <c r="AX129" i="20"/>
  <c r="BB129" i="20"/>
  <c r="AX130" i="20"/>
  <c r="BB130" i="20"/>
  <c r="AX131" i="20"/>
  <c r="BB131" i="20"/>
  <c r="AX132" i="20"/>
  <c r="BB132" i="20"/>
  <c r="AX133" i="20"/>
  <c r="BB133" i="20"/>
  <c r="AX134" i="20"/>
  <c r="BB134" i="20"/>
  <c r="AX135" i="20"/>
  <c r="BB135" i="20"/>
  <c r="AX136" i="20"/>
  <c r="BB136" i="20"/>
  <c r="AX137" i="20"/>
  <c r="BB137" i="20"/>
  <c r="AX138" i="20"/>
  <c r="BB138" i="20"/>
  <c r="AX139" i="20"/>
  <c r="BB139" i="20"/>
  <c r="AX140" i="20"/>
  <c r="BB140" i="20"/>
  <c r="AX141" i="20"/>
  <c r="BB141" i="20"/>
  <c r="AX142" i="20"/>
  <c r="BB142" i="20"/>
  <c r="AX143" i="20"/>
  <c r="BB143" i="20"/>
  <c r="AX144" i="20"/>
  <c r="BB144" i="20"/>
  <c r="AX145" i="20"/>
  <c r="BB145" i="20"/>
  <c r="AX146" i="20"/>
  <c r="BB146" i="20"/>
  <c r="AX147" i="20"/>
  <c r="BB147" i="20"/>
  <c r="AX148" i="20"/>
  <c r="BB148" i="20"/>
  <c r="AX149" i="20"/>
  <c r="BB149" i="20"/>
  <c r="AX150" i="20"/>
  <c r="BB150" i="20"/>
  <c r="AX151" i="20"/>
  <c r="BB151" i="20"/>
  <c r="AX152" i="20"/>
  <c r="BB152" i="20"/>
  <c r="AX153" i="20"/>
  <c r="BB153" i="20"/>
  <c r="AX154" i="20"/>
  <c r="BB154" i="20"/>
  <c r="AX155" i="20"/>
  <c r="BB155" i="20"/>
  <c r="AX156" i="20"/>
  <c r="BB156" i="20"/>
  <c r="AX157" i="20"/>
  <c r="BB157" i="20"/>
  <c r="AX158" i="20"/>
  <c r="BB158" i="20"/>
  <c r="AX159" i="20"/>
  <c r="BB159" i="20"/>
  <c r="AX160" i="20"/>
  <c r="BB160" i="20"/>
  <c r="AX161" i="20"/>
  <c r="BB161" i="20"/>
  <c r="AX162" i="20"/>
  <c r="BB162" i="20"/>
  <c r="AX163" i="20"/>
  <c r="BB163" i="20"/>
  <c r="AX164" i="20"/>
  <c r="BB164" i="20"/>
  <c r="AX165" i="20"/>
  <c r="BB165" i="20"/>
  <c r="AX9" i="20"/>
  <c r="BB9" i="20"/>
  <c r="AX10" i="20"/>
  <c r="BB10" i="20"/>
  <c r="AX11" i="20"/>
  <c r="BB11" i="20"/>
  <c r="AX12" i="20"/>
  <c r="BB12" i="20"/>
  <c r="AX13" i="20"/>
  <c r="BB13" i="20"/>
  <c r="AX14" i="20"/>
  <c r="BB14" i="20"/>
  <c r="AX15" i="20"/>
  <c r="BB15" i="20"/>
  <c r="AX16" i="20"/>
  <c r="BB16" i="20"/>
  <c r="AX17" i="20"/>
  <c r="BB17" i="20"/>
  <c r="AX18" i="20"/>
  <c r="BB18" i="20"/>
  <c r="AX19" i="20"/>
  <c r="BB19" i="20"/>
  <c r="AX20" i="20"/>
  <c r="BB20" i="20"/>
  <c r="AV166" i="20"/>
  <c r="AV167" i="20"/>
  <c r="AV21" i="20"/>
  <c r="AZ22" i="20"/>
  <c r="AZ23" i="20"/>
  <c r="AZ24" i="20"/>
  <c r="AZ25" i="20"/>
  <c r="AZ26" i="20"/>
  <c r="AZ27" i="20"/>
  <c r="AZ28" i="20"/>
  <c r="AZ29" i="20"/>
  <c r="AZ30" i="20"/>
  <c r="AZ31" i="20"/>
  <c r="AZ32" i="20"/>
  <c r="AZ33" i="20"/>
  <c r="AZ34" i="20"/>
  <c r="AZ35" i="20"/>
  <c r="AZ36" i="20"/>
  <c r="AZ37" i="20"/>
  <c r="AZ38" i="20"/>
  <c r="AZ39" i="20"/>
  <c r="AZ40" i="20"/>
  <c r="AZ41" i="20"/>
  <c r="AZ42" i="20"/>
  <c r="AZ43" i="20"/>
  <c r="AZ44" i="20"/>
  <c r="AZ45" i="20"/>
  <c r="AZ46" i="20"/>
  <c r="AZ47" i="20"/>
  <c r="AZ48" i="20"/>
  <c r="AZ49" i="20"/>
  <c r="AZ50" i="20"/>
  <c r="AZ51" i="20"/>
  <c r="AZ52" i="20"/>
  <c r="AZ53" i="20"/>
  <c r="AZ54" i="20"/>
  <c r="AZ55" i="20"/>
  <c r="AZ56" i="20"/>
  <c r="AZ57" i="20"/>
  <c r="AZ58" i="20"/>
  <c r="AZ59" i="20"/>
  <c r="AZ60" i="20"/>
  <c r="AU61" i="20"/>
  <c r="AZ61" i="20"/>
  <c r="AU62" i="20"/>
  <c r="AZ62" i="20"/>
  <c r="AU63" i="20"/>
  <c r="AZ63" i="20"/>
  <c r="AU64" i="20"/>
  <c r="AZ64" i="20"/>
  <c r="AU65" i="20"/>
  <c r="AZ65" i="20"/>
  <c r="AU66" i="20"/>
  <c r="AZ66" i="20"/>
  <c r="AU67" i="20"/>
  <c r="AZ67" i="20"/>
  <c r="AU68" i="20"/>
  <c r="AZ68" i="20"/>
  <c r="AU69" i="20"/>
  <c r="AZ69" i="20"/>
  <c r="AU70" i="20"/>
  <c r="AZ70" i="20"/>
  <c r="AU71" i="20"/>
  <c r="AZ71" i="20"/>
  <c r="AU72" i="20"/>
  <c r="AY72" i="20"/>
  <c r="AU73" i="20"/>
  <c r="AY73" i="20"/>
  <c r="AU74" i="20"/>
  <c r="AY74" i="20"/>
  <c r="AU75" i="20"/>
  <c r="AY75" i="20"/>
  <c r="AU76" i="20"/>
  <c r="AY76" i="20"/>
  <c r="AU77" i="20"/>
  <c r="AY77" i="20"/>
  <c r="AU78" i="20"/>
  <c r="AY78" i="20"/>
  <c r="AU79" i="20"/>
  <c r="AY79" i="20"/>
  <c r="AU80" i="20"/>
  <c r="AY80" i="20"/>
  <c r="AU81" i="20"/>
  <c r="AY81" i="20"/>
  <c r="AU82" i="20"/>
  <c r="AY82" i="20"/>
  <c r="AU83" i="20"/>
  <c r="AY83" i="20"/>
  <c r="AU84" i="20"/>
  <c r="AY84" i="20"/>
  <c r="AU85" i="20"/>
  <c r="AY85" i="20"/>
  <c r="AU86" i="20"/>
  <c r="AY86" i="20"/>
  <c r="AU87" i="20"/>
  <c r="AY87" i="20"/>
  <c r="AU88" i="20"/>
  <c r="AY88" i="20"/>
  <c r="AU89" i="20"/>
  <c r="AY89" i="20"/>
  <c r="AU90" i="20"/>
  <c r="AY90" i="20"/>
  <c r="AU91" i="20"/>
  <c r="AY91" i="20"/>
  <c r="AU92" i="20"/>
  <c r="AY92" i="20"/>
  <c r="AU93" i="20"/>
  <c r="AY93" i="20"/>
  <c r="AU94" i="20"/>
  <c r="AY94" i="20"/>
  <c r="AU95" i="20"/>
  <c r="AY95" i="20"/>
  <c r="AU96" i="20"/>
  <c r="AY96" i="20"/>
  <c r="AU97" i="20"/>
  <c r="AY97" i="20"/>
  <c r="AU98" i="20"/>
  <c r="AY98" i="20"/>
  <c r="AU99" i="20"/>
  <c r="AY99" i="20"/>
  <c r="AU100" i="20"/>
  <c r="AY100" i="20"/>
  <c r="AU101" i="20"/>
  <c r="AY101" i="20"/>
  <c r="AU102" i="20"/>
  <c r="AY102" i="20"/>
  <c r="AU103" i="20"/>
  <c r="AY103" i="20"/>
  <c r="AU104" i="20"/>
  <c r="AY104" i="20"/>
  <c r="AU105" i="20"/>
  <c r="AY105" i="20"/>
  <c r="AU106" i="20"/>
  <c r="AY106" i="20"/>
  <c r="AU107" i="20"/>
  <c r="AY107" i="20"/>
  <c r="AU108" i="20"/>
  <c r="AY108" i="20"/>
  <c r="AU109" i="20"/>
  <c r="AY109" i="20"/>
  <c r="AU110" i="20"/>
  <c r="AY110" i="20"/>
  <c r="AU111" i="20"/>
  <c r="AY111" i="20"/>
  <c r="AU112" i="20"/>
  <c r="AY112" i="20"/>
  <c r="AU113" i="20"/>
  <c r="AY113" i="20"/>
  <c r="AU114" i="20"/>
  <c r="AY114" i="20"/>
  <c r="AU115" i="20"/>
  <c r="AY115" i="20"/>
  <c r="AU116" i="20"/>
  <c r="AY116" i="20"/>
  <c r="AU117" i="20"/>
  <c r="AY117" i="20"/>
  <c r="AU118" i="20"/>
  <c r="AY118" i="20"/>
  <c r="AU119" i="20"/>
  <c r="AY119" i="20"/>
  <c r="AU120" i="20"/>
  <c r="AY120" i="20"/>
  <c r="AU121" i="20"/>
  <c r="AY121" i="20"/>
  <c r="AU122" i="20"/>
  <c r="AY122" i="20"/>
  <c r="AU123" i="20"/>
  <c r="AY123" i="20"/>
  <c r="AU124" i="20"/>
  <c r="AY124" i="20"/>
  <c r="AU125" i="20"/>
  <c r="AY125" i="20"/>
  <c r="AU126" i="20"/>
  <c r="AY126" i="20"/>
  <c r="AU127" i="20"/>
  <c r="AY127" i="20"/>
  <c r="AU128" i="20"/>
  <c r="AY128" i="20"/>
  <c r="AU129" i="20"/>
  <c r="AY129" i="20"/>
  <c r="AU130" i="20"/>
  <c r="AY130" i="20"/>
  <c r="AU131" i="20"/>
  <c r="AY131" i="20"/>
  <c r="AU132" i="20"/>
  <c r="AY132" i="20"/>
  <c r="AU133" i="20"/>
  <c r="AY133" i="20"/>
  <c r="AU134" i="20"/>
  <c r="AY134" i="20"/>
  <c r="AU135" i="20"/>
  <c r="AY135" i="20"/>
  <c r="AU136" i="20"/>
  <c r="AY136" i="20"/>
  <c r="AU137" i="20"/>
  <c r="AY137" i="20"/>
  <c r="AU138" i="20"/>
  <c r="AY138" i="20"/>
  <c r="AU139" i="20"/>
  <c r="AY139" i="20"/>
  <c r="AU140" i="20"/>
  <c r="AY140" i="20"/>
  <c r="AU141" i="20"/>
  <c r="AY141" i="20"/>
  <c r="AU142" i="20"/>
  <c r="AY142" i="20"/>
  <c r="AU143" i="20"/>
  <c r="AY143" i="20"/>
  <c r="AU144" i="20"/>
  <c r="AY144" i="20"/>
  <c r="AU145" i="20"/>
  <c r="AY145" i="20"/>
  <c r="AU146" i="20"/>
  <c r="AY146" i="20"/>
  <c r="AU147" i="20"/>
  <c r="AY147" i="20"/>
  <c r="AU148" i="20"/>
  <c r="AY148" i="20"/>
  <c r="AU149" i="20"/>
  <c r="AY149" i="20"/>
  <c r="AU150" i="20"/>
  <c r="AY150" i="20"/>
  <c r="AU151" i="20"/>
  <c r="AY151" i="20"/>
  <c r="AU152" i="20"/>
  <c r="AY152" i="20"/>
  <c r="AU153" i="20"/>
  <c r="AY153" i="20"/>
  <c r="AU154" i="20"/>
  <c r="AY154" i="20"/>
  <c r="AU155" i="20"/>
  <c r="AY155" i="20"/>
  <c r="AU156" i="20"/>
  <c r="AY156" i="20"/>
  <c r="AU157" i="20"/>
  <c r="AY157" i="20"/>
  <c r="AU158" i="20"/>
  <c r="AY158" i="20"/>
  <c r="AU159" i="20"/>
  <c r="AY159" i="20"/>
  <c r="AU160" i="20"/>
  <c r="AY160" i="20"/>
  <c r="AU161" i="20"/>
  <c r="AY161" i="20"/>
  <c r="AU162" i="20"/>
  <c r="AY162" i="20"/>
  <c r="AU163" i="20"/>
  <c r="AY163" i="20"/>
  <c r="AU164" i="20"/>
  <c r="AY164" i="20"/>
  <c r="AU165" i="20"/>
  <c r="AY165" i="20"/>
  <c r="AU9" i="20"/>
  <c r="AY9" i="20"/>
  <c r="AU10" i="20"/>
  <c r="AY10" i="20"/>
  <c r="AU11" i="20"/>
  <c r="AY11" i="20"/>
  <c r="AU12" i="20"/>
  <c r="AY12" i="20"/>
  <c r="AU13" i="20"/>
  <c r="AY13" i="20"/>
  <c r="AU14" i="20"/>
  <c r="AY14" i="20"/>
  <c r="AU15" i="20"/>
  <c r="AY15" i="20"/>
  <c r="AU16" i="20"/>
  <c r="AY16" i="20"/>
  <c r="AU17" i="20"/>
  <c r="AY17" i="20"/>
  <c r="AU18" i="20"/>
  <c r="AY18" i="20"/>
  <c r="AU19" i="20"/>
  <c r="AY19" i="20"/>
  <c r="AU20" i="20"/>
  <c r="AY20" i="20"/>
  <c r="AZ166" i="20"/>
  <c r="AZ167" i="20"/>
  <c r="AZ21" i="20"/>
  <c r="AU22" i="20"/>
  <c r="AU23" i="20"/>
  <c r="AU24" i="20"/>
  <c r="AU25" i="20"/>
  <c r="AU26" i="20"/>
  <c r="AU27" i="20"/>
  <c r="AU28" i="20"/>
  <c r="AU29" i="20"/>
  <c r="AU30" i="20"/>
  <c r="AU31" i="20"/>
  <c r="AU32" i="20"/>
  <c r="AU33" i="20"/>
  <c r="AU34" i="20"/>
  <c r="AU35" i="20"/>
  <c r="AU36" i="20"/>
  <c r="AU37" i="20"/>
  <c r="AU38" i="20"/>
  <c r="AU39" i="20"/>
  <c r="AU40" i="20"/>
  <c r="AU41" i="20"/>
  <c r="AU42" i="20"/>
  <c r="AU43" i="20"/>
  <c r="AU44" i="20"/>
  <c r="AU45" i="20"/>
  <c r="AU46" i="20"/>
  <c r="AU47" i="20"/>
  <c r="AU48" i="20"/>
  <c r="AU49" i="20"/>
  <c r="AU50" i="20"/>
  <c r="AU51" i="20"/>
  <c r="AU52" i="20"/>
  <c r="AU53" i="20"/>
  <c r="AU54" i="20"/>
  <c r="AU55" i="20"/>
  <c r="AU56" i="20"/>
  <c r="AU57" i="20"/>
  <c r="AU58" i="20"/>
  <c r="AU59" i="20"/>
  <c r="AU60" i="20"/>
  <c r="BA60" i="20"/>
  <c r="AV61" i="20"/>
  <c r="BA61" i="20"/>
  <c r="AV62" i="20"/>
  <c r="BA62" i="20"/>
  <c r="AV63" i="20"/>
  <c r="BA63" i="20"/>
  <c r="AV64" i="20"/>
  <c r="BA64" i="20"/>
  <c r="AV65" i="20"/>
  <c r="BA65" i="20"/>
  <c r="AV66" i="20"/>
  <c r="BA66" i="20"/>
  <c r="AV67" i="20"/>
  <c r="BA67" i="20"/>
  <c r="AV68" i="20"/>
  <c r="BA68" i="20"/>
  <c r="AV69" i="20"/>
  <c r="BA69" i="20"/>
  <c r="AV70" i="20"/>
  <c r="BA70" i="20"/>
  <c r="AV71" i="20"/>
  <c r="BA71" i="20"/>
  <c r="AV72" i="20"/>
  <c r="AZ72" i="20"/>
  <c r="AV73" i="20"/>
  <c r="AZ73" i="20"/>
  <c r="AV74" i="20"/>
  <c r="AZ74" i="20"/>
  <c r="AV75" i="20"/>
  <c r="AZ75" i="20"/>
  <c r="AV76" i="20"/>
  <c r="AZ76" i="20"/>
  <c r="AV77" i="20"/>
  <c r="AZ77" i="20"/>
  <c r="AV78" i="20"/>
  <c r="AZ78" i="20"/>
  <c r="AV79" i="20"/>
  <c r="AZ79" i="20"/>
  <c r="AV80" i="20"/>
  <c r="AZ80" i="20"/>
  <c r="AV81" i="20"/>
  <c r="AZ81" i="20"/>
  <c r="AV82" i="20"/>
  <c r="AZ82" i="20"/>
  <c r="AV83" i="20"/>
  <c r="AZ83" i="20"/>
  <c r="AV84" i="20"/>
  <c r="AZ84" i="20"/>
  <c r="AV85" i="20"/>
  <c r="AZ85" i="20"/>
  <c r="AV86" i="20"/>
  <c r="AZ86" i="20"/>
  <c r="AV87" i="20"/>
  <c r="AZ87" i="20"/>
  <c r="AV88" i="20"/>
  <c r="AZ88" i="20"/>
  <c r="AV89" i="20"/>
  <c r="AZ89" i="20"/>
  <c r="AV90" i="20"/>
  <c r="AZ90" i="20"/>
  <c r="AV91" i="20"/>
  <c r="AZ91" i="20"/>
  <c r="AV92" i="20"/>
  <c r="AZ92" i="20"/>
  <c r="AV93" i="20"/>
  <c r="AZ93" i="20"/>
  <c r="AV94" i="20"/>
  <c r="AZ94" i="20"/>
  <c r="AV95" i="20"/>
  <c r="AZ95" i="20"/>
  <c r="AV96" i="20"/>
  <c r="AZ96" i="20"/>
  <c r="AV97" i="20"/>
  <c r="AZ97" i="20"/>
  <c r="AV98" i="20"/>
  <c r="AZ98" i="20"/>
  <c r="AV99" i="20"/>
  <c r="AZ99" i="20"/>
  <c r="AV100" i="20"/>
  <c r="AZ100" i="20"/>
  <c r="AV101" i="20"/>
  <c r="AZ101" i="20"/>
  <c r="AV102" i="20"/>
  <c r="AZ102" i="20"/>
  <c r="AV103" i="20"/>
  <c r="AZ103" i="20"/>
  <c r="AV104" i="20"/>
  <c r="AZ104" i="20"/>
  <c r="AV105" i="20"/>
  <c r="AZ105" i="20"/>
  <c r="AV106" i="20"/>
  <c r="AZ106" i="20"/>
  <c r="AV107" i="20"/>
  <c r="AZ107" i="20"/>
  <c r="AV108" i="20"/>
  <c r="AZ108" i="20"/>
  <c r="AV109" i="20"/>
  <c r="AZ109" i="20"/>
  <c r="AV110" i="20"/>
  <c r="AZ110" i="20"/>
  <c r="AV111" i="20"/>
  <c r="AZ111" i="20"/>
  <c r="AV112" i="20"/>
  <c r="AZ112" i="20"/>
  <c r="AV113" i="20"/>
  <c r="AZ113" i="20"/>
  <c r="AV114" i="20"/>
  <c r="AZ114" i="20"/>
  <c r="AV115" i="20"/>
  <c r="AZ115" i="20"/>
  <c r="AV116" i="20"/>
  <c r="AZ116" i="20"/>
  <c r="AV117" i="20"/>
  <c r="AZ117" i="20"/>
  <c r="AV118" i="20"/>
  <c r="AZ118" i="20"/>
  <c r="AV119" i="20"/>
  <c r="AZ119" i="20"/>
  <c r="AV120" i="20"/>
  <c r="AZ120" i="20"/>
  <c r="AV121" i="20"/>
  <c r="AZ121" i="20"/>
  <c r="AV122" i="20"/>
  <c r="AZ122" i="20"/>
  <c r="AV123" i="20"/>
  <c r="AZ123" i="20"/>
  <c r="AV124" i="20"/>
  <c r="AZ124" i="20"/>
  <c r="AV125" i="20"/>
  <c r="AZ125" i="20"/>
  <c r="AV126" i="20"/>
  <c r="AZ126" i="20"/>
  <c r="AV127" i="20"/>
  <c r="AZ127" i="20"/>
  <c r="AV128" i="20"/>
  <c r="AZ128" i="20"/>
  <c r="AV129" i="20"/>
  <c r="AZ129" i="20"/>
  <c r="AV130" i="20"/>
  <c r="AZ130" i="20"/>
  <c r="AV131" i="20"/>
  <c r="AZ131" i="20"/>
  <c r="AV132" i="20"/>
  <c r="AZ132" i="20"/>
  <c r="AV133" i="20"/>
  <c r="AZ133" i="20"/>
  <c r="AV134" i="20"/>
  <c r="AZ134" i="20"/>
  <c r="AV135" i="20"/>
  <c r="AZ135" i="20"/>
  <c r="AV136" i="20"/>
  <c r="AZ136" i="20"/>
  <c r="AV137" i="20"/>
  <c r="AZ137" i="20"/>
  <c r="AV138" i="20"/>
  <c r="AZ138" i="20"/>
  <c r="AV139" i="20"/>
  <c r="AZ139" i="20"/>
  <c r="AV140" i="20"/>
  <c r="AZ140" i="20"/>
  <c r="AV141" i="20"/>
  <c r="AZ141" i="20"/>
  <c r="AV142" i="20"/>
  <c r="AZ142" i="20"/>
  <c r="AV143" i="20"/>
  <c r="AZ143" i="20"/>
  <c r="AV144" i="20"/>
  <c r="AZ144" i="20"/>
  <c r="AV145" i="20"/>
  <c r="AZ145" i="20"/>
  <c r="AV146" i="20"/>
  <c r="AZ146" i="20"/>
  <c r="AV147" i="20"/>
  <c r="AZ147" i="20"/>
  <c r="AV148" i="20"/>
  <c r="AZ148" i="20"/>
  <c r="AV149" i="20"/>
  <c r="AZ149" i="20"/>
  <c r="AV150" i="20"/>
  <c r="AZ150" i="20"/>
  <c r="AV151" i="20"/>
  <c r="AZ151" i="20"/>
  <c r="AV152" i="20"/>
  <c r="AZ152" i="20"/>
  <c r="AV153" i="20"/>
  <c r="AZ153" i="20"/>
  <c r="AV154" i="20"/>
  <c r="AZ154" i="20"/>
  <c r="AV155" i="20"/>
  <c r="AZ155" i="20"/>
  <c r="AV156" i="20"/>
  <c r="AZ156" i="20"/>
  <c r="AV157" i="20"/>
  <c r="AZ157" i="20"/>
  <c r="AV158" i="20"/>
  <c r="AZ158" i="20"/>
  <c r="AV159" i="20"/>
  <c r="AZ159" i="20"/>
  <c r="AV160" i="20"/>
  <c r="AZ160" i="20"/>
  <c r="AV161" i="20"/>
  <c r="AZ161" i="20"/>
  <c r="AV162" i="20"/>
  <c r="AZ162" i="20"/>
  <c r="AV163" i="20"/>
  <c r="AZ163" i="20"/>
  <c r="AV164" i="20"/>
  <c r="AZ164" i="20"/>
  <c r="AV165" i="20"/>
  <c r="AZ165" i="20"/>
  <c r="AV9" i="20"/>
  <c r="AZ9" i="20"/>
  <c r="AV10" i="20"/>
  <c r="AZ10" i="20"/>
  <c r="AV11" i="20"/>
  <c r="AZ11" i="20"/>
  <c r="AV12" i="20"/>
  <c r="AZ12" i="20"/>
  <c r="AV13" i="20"/>
  <c r="AZ13" i="20"/>
  <c r="AV14" i="20"/>
  <c r="AZ14" i="20"/>
  <c r="AV15" i="20"/>
  <c r="AZ15" i="20"/>
  <c r="AV16" i="20"/>
  <c r="AZ16" i="20"/>
  <c r="AV17" i="20"/>
  <c r="AZ17" i="20"/>
  <c r="AV18" i="20"/>
  <c r="AZ18" i="20"/>
  <c r="AV19" i="20"/>
  <c r="AZ19" i="20"/>
  <c r="AV20" i="20"/>
  <c r="AZ20" i="20"/>
  <c r="DY108" i="19"/>
  <c r="DY110" i="19"/>
  <c r="DY112" i="19"/>
  <c r="DY114" i="19"/>
  <c r="DY116" i="19"/>
  <c r="DY118" i="19"/>
  <c r="DY120" i="19"/>
  <c r="DY122" i="19"/>
  <c r="DY124" i="19"/>
  <c r="DY10" i="19"/>
  <c r="DY12" i="19"/>
  <c r="DY14" i="19"/>
  <c r="DY16" i="19"/>
  <c r="DY18" i="19"/>
  <c r="DY20" i="19"/>
  <c r="DE98" i="19"/>
  <c r="DE100" i="19"/>
  <c r="DE102" i="19"/>
  <c r="DE104" i="19"/>
  <c r="DE106" i="19"/>
  <c r="DE89" i="19"/>
  <c r="DE91" i="19"/>
  <c r="DE93" i="19"/>
  <c r="DE10" i="19"/>
  <c r="DE12" i="19"/>
  <c r="DE14" i="19"/>
  <c r="DE16" i="19"/>
  <c r="DY125" i="19"/>
  <c r="DY127" i="19"/>
  <c r="DY22" i="19"/>
  <c r="DY24" i="19"/>
  <c r="DY26" i="19"/>
  <c r="DY28" i="19"/>
  <c r="DY30" i="19"/>
  <c r="DY32" i="19"/>
  <c r="DY34" i="19"/>
  <c r="DY36" i="19"/>
  <c r="DY38" i="19"/>
  <c r="DY40" i="19"/>
  <c r="DY42" i="19"/>
  <c r="DY44" i="19"/>
  <c r="DY46" i="19"/>
  <c r="DY48" i="19"/>
  <c r="DY50" i="19"/>
  <c r="DY52" i="19"/>
  <c r="DY54" i="19"/>
  <c r="DY56" i="19"/>
  <c r="DY58" i="19"/>
  <c r="DY60" i="19"/>
  <c r="DY62" i="19"/>
  <c r="DY64" i="19"/>
  <c r="DY66" i="19"/>
  <c r="DY68" i="19"/>
  <c r="DY70" i="19"/>
  <c r="DY72" i="19"/>
  <c r="DY74" i="19"/>
  <c r="DY76" i="19"/>
  <c r="DY78" i="19"/>
  <c r="DY80" i="19"/>
  <c r="DY82" i="19"/>
  <c r="DY84" i="19"/>
  <c r="DY86" i="19"/>
  <c r="DY88" i="19"/>
  <c r="DY90" i="19"/>
  <c r="DY92" i="19"/>
  <c r="DY94" i="19"/>
  <c r="DY96" i="19"/>
  <c r="DY98" i="19"/>
  <c r="DY100" i="19"/>
  <c r="DY102" i="19"/>
  <c r="DY104" i="19"/>
  <c r="DY106" i="19"/>
  <c r="DE109" i="19"/>
  <c r="DE111" i="19"/>
  <c r="DE113" i="19"/>
  <c r="DE115" i="19"/>
  <c r="DE117" i="19"/>
  <c r="DE119" i="19"/>
  <c r="DE121" i="19"/>
  <c r="DE123" i="19"/>
  <c r="DE125" i="19"/>
  <c r="DE127" i="19"/>
  <c r="DE95" i="19"/>
  <c r="DE97" i="19"/>
  <c r="DE21" i="19"/>
  <c r="DE23" i="19"/>
  <c r="DE25" i="19"/>
  <c r="DE27" i="19"/>
  <c r="DE29" i="19"/>
  <c r="DE31" i="19"/>
  <c r="DE33" i="19"/>
  <c r="DE35" i="19"/>
  <c r="DE37" i="19"/>
  <c r="DE39" i="19"/>
  <c r="DE41" i="19"/>
  <c r="DE43" i="19"/>
  <c r="DE45" i="19"/>
  <c r="DE47" i="19"/>
  <c r="DE49" i="19"/>
  <c r="DE51" i="19"/>
  <c r="DE53" i="19"/>
  <c r="DE55" i="19"/>
  <c r="DE57" i="19"/>
  <c r="DE59" i="19"/>
  <c r="DE61" i="19"/>
  <c r="DE63" i="19"/>
  <c r="DE65" i="19"/>
  <c r="DE67" i="19"/>
  <c r="DE69" i="19"/>
  <c r="DE71" i="19"/>
  <c r="DE73" i="19"/>
  <c r="DE75" i="19"/>
  <c r="DE77" i="19"/>
  <c r="DE79" i="19"/>
  <c r="DE81" i="19"/>
  <c r="DE83" i="19"/>
  <c r="DE85" i="19"/>
  <c r="DE87" i="19"/>
  <c r="DY109" i="19"/>
  <c r="DY111" i="19"/>
  <c r="DY113" i="19"/>
  <c r="DY115" i="19"/>
  <c r="DY117" i="19"/>
  <c r="DY119" i="19"/>
  <c r="DY121" i="19"/>
  <c r="DY123" i="19"/>
  <c r="DY9" i="19"/>
  <c r="DY11" i="19"/>
  <c r="DY13" i="19"/>
  <c r="DY15" i="19"/>
  <c r="DY17" i="19"/>
  <c r="DY19" i="19"/>
  <c r="DE99" i="19"/>
  <c r="DE101" i="19"/>
  <c r="DE103" i="19"/>
  <c r="DE105" i="19"/>
  <c r="DE107" i="19"/>
  <c r="DE88" i="19"/>
  <c r="DE90" i="19"/>
  <c r="DE92" i="19"/>
  <c r="DE9" i="19"/>
  <c r="DE11" i="19"/>
  <c r="DE13" i="19"/>
  <c r="DE15" i="19"/>
  <c r="DE17" i="19"/>
  <c r="DE19" i="19"/>
  <c r="DE18" i="19"/>
  <c r="DY126" i="19"/>
  <c r="DY21" i="19"/>
  <c r="DY23" i="19"/>
  <c r="DY25" i="19"/>
  <c r="DY27" i="19"/>
  <c r="DY29" i="19"/>
  <c r="DY31" i="19"/>
  <c r="DY33" i="19"/>
  <c r="DY35" i="19"/>
  <c r="DY37" i="19"/>
  <c r="DY39" i="19"/>
  <c r="DY41" i="19"/>
  <c r="DY43" i="19"/>
  <c r="DY45" i="19"/>
  <c r="DY47" i="19"/>
  <c r="DY49" i="19"/>
  <c r="DY51" i="19"/>
  <c r="DY53" i="19"/>
  <c r="DY55" i="19"/>
  <c r="DY57" i="19"/>
  <c r="DY59" i="19"/>
  <c r="DY61" i="19"/>
  <c r="DY63" i="19"/>
  <c r="DY65" i="19"/>
  <c r="DY67" i="19"/>
  <c r="DY69" i="19"/>
  <c r="DY71" i="19"/>
  <c r="DY73" i="19"/>
  <c r="DY75" i="19"/>
  <c r="DY77" i="19"/>
  <c r="DY79" i="19"/>
  <c r="DY81" i="19"/>
  <c r="DY83" i="19"/>
  <c r="DY85" i="19"/>
  <c r="DY87" i="19"/>
  <c r="DY89" i="19"/>
  <c r="DY91" i="19"/>
  <c r="DY93" i="19"/>
  <c r="DY95" i="19"/>
  <c r="DY97" i="19"/>
  <c r="DY99" i="19"/>
  <c r="DY101" i="19"/>
  <c r="DY103" i="19"/>
  <c r="DY105" i="19"/>
  <c r="DY107" i="19"/>
  <c r="DE108" i="19"/>
  <c r="DE110" i="19"/>
  <c r="DE112" i="19"/>
  <c r="DE114" i="19"/>
  <c r="DE116" i="19"/>
  <c r="DE118" i="19"/>
  <c r="DE120" i="19"/>
  <c r="DE122" i="19"/>
  <c r="DE124" i="19"/>
  <c r="DE126" i="19"/>
  <c r="DE94" i="19"/>
  <c r="DE96" i="19"/>
  <c r="DE20" i="19"/>
  <c r="DE22" i="19"/>
  <c r="DE24" i="19"/>
  <c r="DE26" i="19"/>
  <c r="DE28" i="19"/>
  <c r="DE30" i="19"/>
  <c r="DE32" i="19"/>
  <c r="DE34" i="19"/>
  <c r="DE36" i="19"/>
  <c r="DE38" i="19"/>
  <c r="DE40" i="19"/>
  <c r="DE42" i="19"/>
  <c r="DE44" i="19"/>
  <c r="DE46" i="19"/>
  <c r="DE48" i="19"/>
  <c r="DE50" i="19"/>
  <c r="DE52" i="19"/>
  <c r="DE54" i="19"/>
  <c r="DE56" i="19"/>
  <c r="DE58" i="19"/>
  <c r="DE60" i="19"/>
  <c r="DE62" i="19"/>
  <c r="DE64" i="19"/>
  <c r="DE66" i="19"/>
  <c r="DE68" i="19"/>
  <c r="DE70" i="19"/>
  <c r="DE72" i="19"/>
  <c r="DE74" i="19"/>
  <c r="DE76" i="19"/>
  <c r="DE78" i="19"/>
  <c r="DE80" i="19"/>
  <c r="DE82" i="19"/>
  <c r="DE84" i="19"/>
  <c r="DE86" i="19"/>
  <c r="CK119" i="19"/>
  <c r="CK121" i="19"/>
  <c r="CK123" i="19"/>
  <c r="CK125" i="19"/>
  <c r="CK127" i="19"/>
  <c r="CK82" i="19"/>
  <c r="CK84" i="19"/>
  <c r="CK86" i="19"/>
  <c r="CK88" i="19"/>
  <c r="CK90" i="19"/>
  <c r="CK92" i="19"/>
  <c r="CK94" i="19"/>
  <c r="CK96" i="19"/>
  <c r="CK98" i="19"/>
  <c r="CK100" i="19"/>
  <c r="CK102" i="19"/>
  <c r="CK104" i="19"/>
  <c r="CK106" i="19"/>
  <c r="CK108" i="19"/>
  <c r="CK110" i="19"/>
  <c r="CK112" i="19"/>
  <c r="CK114" i="19"/>
  <c r="CK116" i="19"/>
  <c r="CK118" i="19"/>
  <c r="CK56" i="19"/>
  <c r="CK58" i="19"/>
  <c r="CK60" i="19"/>
  <c r="CK62" i="19"/>
  <c r="CK64" i="19"/>
  <c r="CK66" i="19"/>
  <c r="CK68" i="19"/>
  <c r="CK70" i="19"/>
  <c r="CK72" i="19"/>
  <c r="CK74" i="19"/>
  <c r="CK76" i="19"/>
  <c r="CK78" i="19"/>
  <c r="CK80" i="19"/>
  <c r="CK10" i="19"/>
  <c r="CK12" i="19"/>
  <c r="CK14" i="19"/>
  <c r="CK16" i="19"/>
  <c r="CK18" i="19"/>
  <c r="CK20" i="19"/>
  <c r="CK22" i="19"/>
  <c r="CK24" i="19"/>
  <c r="CK26" i="19"/>
  <c r="CK28" i="19"/>
  <c r="CK30" i="19"/>
  <c r="CK32" i="19"/>
  <c r="CK34" i="19"/>
  <c r="CK36" i="19"/>
  <c r="CK38" i="19"/>
  <c r="CK40" i="19"/>
  <c r="CK42" i="19"/>
  <c r="CK44" i="19"/>
  <c r="CK46" i="19"/>
  <c r="CK48" i="19"/>
  <c r="CK50" i="19"/>
  <c r="CK52" i="19"/>
  <c r="CK54" i="19"/>
  <c r="BQ120" i="19"/>
  <c r="BQ122" i="19"/>
  <c r="BQ124" i="19"/>
  <c r="BQ126" i="19"/>
  <c r="BQ105" i="19"/>
  <c r="BQ107" i="19"/>
  <c r="BQ109" i="19"/>
  <c r="BQ111" i="19"/>
  <c r="BQ113" i="19"/>
  <c r="BQ115" i="19"/>
  <c r="BQ117" i="19"/>
  <c r="BQ119" i="19"/>
  <c r="BQ97" i="19"/>
  <c r="BQ99" i="19"/>
  <c r="BQ101" i="19"/>
  <c r="BQ103" i="19"/>
  <c r="BQ85" i="19"/>
  <c r="BQ87" i="19"/>
  <c r="BQ89" i="19"/>
  <c r="BQ91" i="19"/>
  <c r="BQ93" i="19"/>
  <c r="BQ95" i="19"/>
  <c r="BQ10" i="19"/>
  <c r="BQ12" i="19"/>
  <c r="BQ14" i="19"/>
  <c r="BQ16" i="19"/>
  <c r="BQ18" i="19"/>
  <c r="BQ20" i="19"/>
  <c r="BQ22" i="19"/>
  <c r="BQ24" i="19"/>
  <c r="BQ26" i="19"/>
  <c r="BQ28" i="19"/>
  <c r="BQ30" i="19"/>
  <c r="BQ32" i="19"/>
  <c r="BQ34" i="19"/>
  <c r="BQ36" i="19"/>
  <c r="BQ38" i="19"/>
  <c r="BQ40" i="19"/>
  <c r="BQ42" i="19"/>
  <c r="BQ44" i="19"/>
  <c r="BQ46" i="19"/>
  <c r="BQ48" i="19"/>
  <c r="BQ50" i="19"/>
  <c r="BQ52" i="19"/>
  <c r="BQ54" i="19"/>
  <c r="BQ56" i="19"/>
  <c r="BQ58" i="19"/>
  <c r="BQ60" i="19"/>
  <c r="BQ62" i="19"/>
  <c r="BQ64" i="19"/>
  <c r="BQ66" i="19"/>
  <c r="BQ68" i="19"/>
  <c r="BQ70" i="19"/>
  <c r="BQ72" i="19"/>
  <c r="BQ74" i="19"/>
  <c r="BQ76" i="19"/>
  <c r="BQ78" i="19"/>
  <c r="BQ80" i="19"/>
  <c r="BQ82" i="19"/>
  <c r="BQ84" i="19"/>
  <c r="CK120" i="19"/>
  <c r="CK122" i="19"/>
  <c r="CK124" i="19"/>
  <c r="CK126" i="19"/>
  <c r="CK81" i="19"/>
  <c r="CK83" i="19"/>
  <c r="CK85" i="19"/>
  <c r="CK87" i="19"/>
  <c r="CK89" i="19"/>
  <c r="CK91" i="19"/>
  <c r="CK93" i="19"/>
  <c r="CK95" i="19"/>
  <c r="CK97" i="19"/>
  <c r="CK99" i="19"/>
  <c r="CK101" i="19"/>
  <c r="CK103" i="19"/>
  <c r="CK105" i="19"/>
  <c r="CK107" i="19"/>
  <c r="CK109" i="19"/>
  <c r="CK111" i="19"/>
  <c r="CK113" i="19"/>
  <c r="CK115" i="19"/>
  <c r="CK117" i="19"/>
  <c r="CK55" i="19"/>
  <c r="CK57" i="19"/>
  <c r="CK59" i="19"/>
  <c r="CK61" i="19"/>
  <c r="CK63" i="19"/>
  <c r="CK65" i="19"/>
  <c r="CK67" i="19"/>
  <c r="CK69" i="19"/>
  <c r="CK71" i="19"/>
  <c r="CK73" i="19"/>
  <c r="CK75" i="19"/>
  <c r="CK77" i="19"/>
  <c r="CK79" i="19"/>
  <c r="CK9" i="19"/>
  <c r="CK11" i="19"/>
  <c r="CK13" i="19"/>
  <c r="CK15" i="19"/>
  <c r="CK17" i="19"/>
  <c r="CK19" i="19"/>
  <c r="CK21" i="19"/>
  <c r="CK23" i="19"/>
  <c r="CK25" i="19"/>
  <c r="CK27" i="19"/>
  <c r="CK29" i="19"/>
  <c r="CK31" i="19"/>
  <c r="CK33" i="19"/>
  <c r="CK35" i="19"/>
  <c r="CK37" i="19"/>
  <c r="CK39" i="19"/>
  <c r="CK41" i="19"/>
  <c r="CK43" i="19"/>
  <c r="CK45" i="19"/>
  <c r="CK47" i="19"/>
  <c r="CK49" i="19"/>
  <c r="CK51" i="19"/>
  <c r="CK53" i="19"/>
  <c r="BQ121" i="19"/>
  <c r="BQ123" i="19"/>
  <c r="BQ125" i="19"/>
  <c r="BQ127" i="19"/>
  <c r="BQ106" i="19"/>
  <c r="BQ108" i="19"/>
  <c r="BQ110" i="19"/>
  <c r="BQ112" i="19"/>
  <c r="BQ114" i="19"/>
  <c r="BQ116" i="19"/>
  <c r="BQ118" i="19"/>
  <c r="BQ96" i="19"/>
  <c r="BQ98" i="19"/>
  <c r="BQ100" i="19"/>
  <c r="BQ102" i="19"/>
  <c r="BQ104" i="19"/>
  <c r="BQ86" i="19"/>
  <c r="BQ88" i="19"/>
  <c r="BQ90" i="19"/>
  <c r="BQ92" i="19"/>
  <c r="BQ94" i="19"/>
  <c r="BQ9" i="19"/>
  <c r="BQ11" i="19"/>
  <c r="BQ13" i="19"/>
  <c r="BQ15" i="19"/>
  <c r="BQ17" i="19"/>
  <c r="BQ19" i="19"/>
  <c r="BQ21" i="19"/>
  <c r="BQ23" i="19"/>
  <c r="BQ25" i="19"/>
  <c r="BQ27" i="19"/>
  <c r="BQ29" i="19"/>
  <c r="BQ31" i="19"/>
  <c r="BQ33" i="19"/>
  <c r="BQ35" i="19"/>
  <c r="BQ37" i="19"/>
  <c r="BQ39" i="19"/>
  <c r="BQ41" i="19"/>
  <c r="BQ43" i="19"/>
  <c r="BQ45" i="19"/>
  <c r="BQ47" i="19"/>
  <c r="BQ49" i="19"/>
  <c r="BQ51" i="19"/>
  <c r="BQ53" i="19"/>
  <c r="BQ55" i="19"/>
  <c r="BQ57" i="19"/>
  <c r="BQ59" i="19"/>
  <c r="BQ61" i="19"/>
  <c r="BQ63" i="19"/>
  <c r="BQ65" i="19"/>
  <c r="BQ67" i="19"/>
  <c r="BQ69" i="19"/>
  <c r="BQ71" i="19"/>
  <c r="BQ73" i="19"/>
  <c r="BQ77" i="19"/>
  <c r="BQ81" i="19"/>
  <c r="AW30" i="19"/>
  <c r="AW32" i="19"/>
  <c r="AW34" i="19"/>
  <c r="AW44" i="19"/>
  <c r="AW46" i="19"/>
  <c r="AW48" i="19"/>
  <c r="AW54" i="19"/>
  <c r="AW66" i="19"/>
  <c r="AW68" i="19"/>
  <c r="AW89" i="19"/>
  <c r="AW91" i="19"/>
  <c r="AW109" i="19"/>
  <c r="AW111" i="19"/>
  <c r="AW123" i="19"/>
  <c r="AW125" i="19"/>
  <c r="AW23" i="19"/>
  <c r="AW25" i="19"/>
  <c r="AW27" i="19"/>
  <c r="AW29" i="19"/>
  <c r="AW31" i="19"/>
  <c r="AW33" i="19"/>
  <c r="AW35" i="19"/>
  <c r="AW37" i="19"/>
  <c r="AW39" i="19"/>
  <c r="AW41" i="19"/>
  <c r="AW43" i="19"/>
  <c r="AW45" i="19"/>
  <c r="AW47" i="19"/>
  <c r="AW49" i="19"/>
  <c r="AW51" i="19"/>
  <c r="AW53" i="19"/>
  <c r="AW55" i="19"/>
  <c r="AW57" i="19"/>
  <c r="AW59" i="19"/>
  <c r="AW61" i="19"/>
  <c r="AW63" i="19"/>
  <c r="AW65" i="19"/>
  <c r="AW67" i="19"/>
  <c r="AW69" i="19"/>
  <c r="AW71" i="19"/>
  <c r="AW73" i="19"/>
  <c r="AW75" i="19"/>
  <c r="AW77" i="19"/>
  <c r="AW79" i="19"/>
  <c r="AW81" i="19"/>
  <c r="AW83" i="19"/>
  <c r="AW85" i="19"/>
  <c r="AW87" i="19"/>
  <c r="AW90" i="19"/>
  <c r="AW92" i="19"/>
  <c r="AW94" i="19"/>
  <c r="AW96" i="19"/>
  <c r="AW98" i="19"/>
  <c r="AW100" i="19"/>
  <c r="AW102" i="19"/>
  <c r="AW104" i="19"/>
  <c r="AW106" i="19"/>
  <c r="AW108" i="19"/>
  <c r="AW110" i="19"/>
  <c r="AW112" i="19"/>
  <c r="AW114" i="19"/>
  <c r="AW116" i="19"/>
  <c r="AW118" i="19"/>
  <c r="AW120" i="19"/>
  <c r="AW122" i="19"/>
  <c r="AW124" i="19"/>
  <c r="AW126" i="19"/>
  <c r="AW9" i="19"/>
  <c r="AW11" i="19"/>
  <c r="AW13" i="19"/>
  <c r="AW15" i="19"/>
  <c r="AW17" i="19"/>
  <c r="AW19" i="19"/>
  <c r="AW21" i="19"/>
  <c r="AW24" i="19"/>
  <c r="AW36" i="19"/>
  <c r="AW38" i="19"/>
  <c r="AW40" i="19"/>
  <c r="AW52" i="19"/>
  <c r="AW56" i="19"/>
  <c r="AW58" i="19"/>
  <c r="AW60" i="19"/>
  <c r="AW70" i="19"/>
  <c r="AW72" i="19"/>
  <c r="AW74" i="19"/>
  <c r="AW76" i="19"/>
  <c r="AW78" i="19"/>
  <c r="AW80" i="19"/>
  <c r="AW82" i="19"/>
  <c r="AW84" i="19"/>
  <c r="AW86" i="19"/>
  <c r="AW95" i="19"/>
  <c r="AW97" i="19"/>
  <c r="AW101" i="19"/>
  <c r="AW103" i="19"/>
  <c r="AW105" i="19"/>
  <c r="AW115" i="19"/>
  <c r="AW117" i="19"/>
  <c r="AW119" i="19"/>
  <c r="AW121" i="19"/>
  <c r="AW10" i="19"/>
  <c r="AW12" i="19"/>
  <c r="AW14" i="19"/>
  <c r="AW16" i="19"/>
  <c r="AW18" i="19"/>
  <c r="AW20" i="19"/>
  <c r="BQ75" i="19"/>
  <c r="BQ79" i="19"/>
  <c r="BQ83" i="19"/>
  <c r="AW88" i="19"/>
  <c r="AW26" i="19"/>
  <c r="AW28" i="19"/>
  <c r="AW42" i="19"/>
  <c r="AW50" i="19"/>
  <c r="AW62" i="19"/>
  <c r="AW64" i="19"/>
  <c r="AW93" i="19"/>
  <c r="AW99" i="19"/>
  <c r="AW107" i="19"/>
  <c r="AW113" i="19"/>
  <c r="AW127" i="19"/>
  <c r="AW22" i="19"/>
  <c r="DT125" i="19"/>
  <c r="DT127" i="19"/>
  <c r="DT22" i="19"/>
  <c r="DT24" i="19"/>
  <c r="DT26" i="19"/>
  <c r="DT28" i="19"/>
  <c r="DT30" i="19"/>
  <c r="DT32" i="19"/>
  <c r="DT34" i="19"/>
  <c r="DT36" i="19"/>
  <c r="DT38" i="19"/>
  <c r="DT40" i="19"/>
  <c r="DT42" i="19"/>
  <c r="DT44" i="19"/>
  <c r="DT46" i="19"/>
  <c r="DT48" i="19"/>
  <c r="DT50" i="19"/>
  <c r="DT52" i="19"/>
  <c r="DT54" i="19"/>
  <c r="DT56" i="19"/>
  <c r="DT58" i="19"/>
  <c r="DT60" i="19"/>
  <c r="DT62" i="19"/>
  <c r="DT64" i="19"/>
  <c r="DT66" i="19"/>
  <c r="DT68" i="19"/>
  <c r="DT70" i="19"/>
  <c r="DT72" i="19"/>
  <c r="DT74" i="19"/>
  <c r="DT76" i="19"/>
  <c r="DT78" i="19"/>
  <c r="DT80" i="19"/>
  <c r="DT82" i="19"/>
  <c r="DT84" i="19"/>
  <c r="DT86" i="19"/>
  <c r="DT88" i="19"/>
  <c r="DT90" i="19"/>
  <c r="DT92" i="19"/>
  <c r="DT94" i="19"/>
  <c r="DT96" i="19"/>
  <c r="DT98" i="19"/>
  <c r="DT100" i="19"/>
  <c r="DT102" i="19"/>
  <c r="DT104" i="19"/>
  <c r="DT106" i="19"/>
  <c r="CZ109" i="19"/>
  <c r="CZ111" i="19"/>
  <c r="CZ113" i="19"/>
  <c r="CZ115" i="19"/>
  <c r="CZ117" i="19"/>
  <c r="CZ119" i="19"/>
  <c r="CZ121" i="19"/>
  <c r="CZ123" i="19"/>
  <c r="CZ125" i="19"/>
  <c r="CZ127" i="19"/>
  <c r="CZ95" i="19"/>
  <c r="CZ97" i="19"/>
  <c r="CZ21" i="19"/>
  <c r="CZ23" i="19"/>
  <c r="CZ25" i="19"/>
  <c r="CZ27" i="19"/>
  <c r="CZ29" i="19"/>
  <c r="CZ31" i="19"/>
  <c r="CZ33" i="19"/>
  <c r="CZ35" i="19"/>
  <c r="CZ37" i="19"/>
  <c r="CZ39" i="19"/>
  <c r="CZ41" i="19"/>
  <c r="CZ43" i="19"/>
  <c r="CZ45" i="19"/>
  <c r="CZ47" i="19"/>
  <c r="CZ49" i="19"/>
  <c r="CZ51" i="19"/>
  <c r="CZ53" i="19"/>
  <c r="CZ55" i="19"/>
  <c r="CZ57" i="19"/>
  <c r="CZ59" i="19"/>
  <c r="CZ61" i="19"/>
  <c r="CZ63" i="19"/>
  <c r="CZ65" i="19"/>
  <c r="CZ67" i="19"/>
  <c r="CZ69" i="19"/>
  <c r="CZ71" i="19"/>
  <c r="CZ73" i="19"/>
  <c r="CZ75" i="19"/>
  <c r="CZ77" i="19"/>
  <c r="CZ79" i="19"/>
  <c r="CZ81" i="19"/>
  <c r="CZ83" i="19"/>
  <c r="CZ85" i="19"/>
  <c r="CZ87" i="19"/>
  <c r="DT109" i="19"/>
  <c r="DT111" i="19"/>
  <c r="DT113" i="19"/>
  <c r="DT115" i="19"/>
  <c r="DT117" i="19"/>
  <c r="DT119" i="19"/>
  <c r="DT121" i="19"/>
  <c r="DT123" i="19"/>
  <c r="DT9" i="19"/>
  <c r="DT11" i="19"/>
  <c r="DT13" i="19"/>
  <c r="DT15" i="19"/>
  <c r="DT17" i="19"/>
  <c r="DT19" i="19"/>
  <c r="CZ99" i="19"/>
  <c r="CZ101" i="19"/>
  <c r="CZ103" i="19"/>
  <c r="CZ105" i="19"/>
  <c r="CZ107" i="19"/>
  <c r="CZ88" i="19"/>
  <c r="CZ90" i="19"/>
  <c r="CZ92" i="19"/>
  <c r="CZ9" i="19"/>
  <c r="CZ11" i="19"/>
  <c r="CZ13" i="19"/>
  <c r="CZ15" i="19"/>
  <c r="CZ17" i="19"/>
  <c r="DT126" i="19"/>
  <c r="DT21" i="19"/>
  <c r="DT23" i="19"/>
  <c r="DT25" i="19"/>
  <c r="DT27" i="19"/>
  <c r="DT29" i="19"/>
  <c r="DT31" i="19"/>
  <c r="DT33" i="19"/>
  <c r="DT35" i="19"/>
  <c r="DT37" i="19"/>
  <c r="DT39" i="19"/>
  <c r="DT41" i="19"/>
  <c r="DT43" i="19"/>
  <c r="DT45" i="19"/>
  <c r="DT47" i="19"/>
  <c r="DT49" i="19"/>
  <c r="DT51" i="19"/>
  <c r="DT53" i="19"/>
  <c r="DT55" i="19"/>
  <c r="DT57" i="19"/>
  <c r="DT59" i="19"/>
  <c r="DT61" i="19"/>
  <c r="DT63" i="19"/>
  <c r="DT65" i="19"/>
  <c r="DT67" i="19"/>
  <c r="DT69" i="19"/>
  <c r="DT71" i="19"/>
  <c r="DT73" i="19"/>
  <c r="DT75" i="19"/>
  <c r="DT77" i="19"/>
  <c r="DT79" i="19"/>
  <c r="DT81" i="19"/>
  <c r="DT83" i="19"/>
  <c r="DT85" i="19"/>
  <c r="DT87" i="19"/>
  <c r="DT89" i="19"/>
  <c r="DT91" i="19"/>
  <c r="DT93" i="19"/>
  <c r="DT95" i="19"/>
  <c r="DT97" i="19"/>
  <c r="DT99" i="19"/>
  <c r="DT101" i="19"/>
  <c r="DT103" i="19"/>
  <c r="DT105" i="19"/>
  <c r="DT107" i="19"/>
  <c r="CZ108" i="19"/>
  <c r="CZ110" i="19"/>
  <c r="CZ112" i="19"/>
  <c r="CZ114" i="19"/>
  <c r="CZ116" i="19"/>
  <c r="CZ118" i="19"/>
  <c r="CZ120" i="19"/>
  <c r="CZ122" i="19"/>
  <c r="CZ124" i="19"/>
  <c r="CZ126" i="19"/>
  <c r="CZ94" i="19"/>
  <c r="CZ96" i="19"/>
  <c r="CZ20" i="19"/>
  <c r="CZ22" i="19"/>
  <c r="CZ24" i="19"/>
  <c r="CZ26" i="19"/>
  <c r="CZ28" i="19"/>
  <c r="CZ30" i="19"/>
  <c r="CZ32" i="19"/>
  <c r="CZ34" i="19"/>
  <c r="CZ36" i="19"/>
  <c r="CZ38" i="19"/>
  <c r="CZ40" i="19"/>
  <c r="CZ42" i="19"/>
  <c r="CZ44" i="19"/>
  <c r="CZ46" i="19"/>
  <c r="CZ48" i="19"/>
  <c r="CZ50" i="19"/>
  <c r="CZ52" i="19"/>
  <c r="CZ54" i="19"/>
  <c r="CZ56" i="19"/>
  <c r="CZ58" i="19"/>
  <c r="CZ60" i="19"/>
  <c r="CZ62" i="19"/>
  <c r="CZ64" i="19"/>
  <c r="CZ66" i="19"/>
  <c r="CZ68" i="19"/>
  <c r="CZ70" i="19"/>
  <c r="CZ72" i="19"/>
  <c r="CZ74" i="19"/>
  <c r="CZ76" i="19"/>
  <c r="CZ78" i="19"/>
  <c r="CZ80" i="19"/>
  <c r="CZ82" i="19"/>
  <c r="CZ84" i="19"/>
  <c r="CZ86" i="19"/>
  <c r="CZ19" i="19"/>
  <c r="DT108" i="19"/>
  <c r="DT110" i="19"/>
  <c r="DT112" i="19"/>
  <c r="DT114" i="19"/>
  <c r="DT116" i="19"/>
  <c r="DT118" i="19"/>
  <c r="DT120" i="19"/>
  <c r="DT122" i="19"/>
  <c r="DT124" i="19"/>
  <c r="DT10" i="19"/>
  <c r="DT12" i="19"/>
  <c r="DT14" i="19"/>
  <c r="DT16" i="19"/>
  <c r="DT18" i="19"/>
  <c r="DT20" i="19"/>
  <c r="CZ98" i="19"/>
  <c r="CZ100" i="19"/>
  <c r="CZ102" i="19"/>
  <c r="CZ104" i="19"/>
  <c r="CZ106" i="19"/>
  <c r="CZ89" i="19"/>
  <c r="CZ91" i="19"/>
  <c r="CZ93" i="19"/>
  <c r="CZ10" i="19"/>
  <c r="CZ12" i="19"/>
  <c r="CZ14" i="19"/>
  <c r="CZ16" i="19"/>
  <c r="CZ18" i="19"/>
  <c r="CF119" i="19"/>
  <c r="CF121" i="19"/>
  <c r="CF123" i="19"/>
  <c r="CF125" i="19"/>
  <c r="CF127" i="19"/>
  <c r="CF82" i="19"/>
  <c r="CF84" i="19"/>
  <c r="CF86" i="19"/>
  <c r="CF88" i="19"/>
  <c r="CF90" i="19"/>
  <c r="CF92" i="19"/>
  <c r="CF94" i="19"/>
  <c r="CF96" i="19"/>
  <c r="CF98" i="19"/>
  <c r="CF100" i="19"/>
  <c r="CF102" i="19"/>
  <c r="CF104" i="19"/>
  <c r="CF106" i="19"/>
  <c r="CF108" i="19"/>
  <c r="CF110" i="19"/>
  <c r="CF112" i="19"/>
  <c r="CF114" i="19"/>
  <c r="CF116" i="19"/>
  <c r="CF118" i="19"/>
  <c r="CF56" i="19"/>
  <c r="CF58" i="19"/>
  <c r="CF60" i="19"/>
  <c r="CF62" i="19"/>
  <c r="CF64" i="19"/>
  <c r="CF66" i="19"/>
  <c r="CF68" i="19"/>
  <c r="CF70" i="19"/>
  <c r="CF72" i="19"/>
  <c r="CF74" i="19"/>
  <c r="CF76" i="19"/>
  <c r="CF78" i="19"/>
  <c r="CF80" i="19"/>
  <c r="CF10" i="19"/>
  <c r="CF12" i="19"/>
  <c r="CF14" i="19"/>
  <c r="CF16" i="19"/>
  <c r="CF18" i="19"/>
  <c r="CF20" i="19"/>
  <c r="CF22" i="19"/>
  <c r="CF24" i="19"/>
  <c r="CF26" i="19"/>
  <c r="CF28" i="19"/>
  <c r="CF30" i="19"/>
  <c r="CF32" i="19"/>
  <c r="CF34" i="19"/>
  <c r="CF36" i="19"/>
  <c r="CF38" i="19"/>
  <c r="CF40" i="19"/>
  <c r="CF42" i="19"/>
  <c r="CF44" i="19"/>
  <c r="CF46" i="19"/>
  <c r="CF48" i="19"/>
  <c r="CF50" i="19"/>
  <c r="CF52" i="19"/>
  <c r="CF54" i="19"/>
  <c r="BL120" i="19"/>
  <c r="BL122" i="19"/>
  <c r="BL124" i="19"/>
  <c r="BL126" i="19"/>
  <c r="BL105" i="19"/>
  <c r="BL107" i="19"/>
  <c r="BL109" i="19"/>
  <c r="BL111" i="19"/>
  <c r="BL113" i="19"/>
  <c r="BL115" i="19"/>
  <c r="BL117" i="19"/>
  <c r="BL119" i="19"/>
  <c r="BL97" i="19"/>
  <c r="BL99" i="19"/>
  <c r="BL101" i="19"/>
  <c r="BL103" i="19"/>
  <c r="BL85" i="19"/>
  <c r="BL87" i="19"/>
  <c r="BL89" i="19"/>
  <c r="BL91" i="19"/>
  <c r="BL93" i="19"/>
  <c r="BL95" i="19"/>
  <c r="BL10" i="19"/>
  <c r="BL12" i="19"/>
  <c r="BL14" i="19"/>
  <c r="BL16" i="19"/>
  <c r="BL18" i="19"/>
  <c r="BL20" i="19"/>
  <c r="BL22" i="19"/>
  <c r="BL24" i="19"/>
  <c r="BL26" i="19"/>
  <c r="BL28" i="19"/>
  <c r="BL30" i="19"/>
  <c r="BL32" i="19"/>
  <c r="BL34" i="19"/>
  <c r="BL36" i="19"/>
  <c r="BL38" i="19"/>
  <c r="BL40" i="19"/>
  <c r="BL42" i="19"/>
  <c r="BL44" i="19"/>
  <c r="BL46" i="19"/>
  <c r="BL48" i="19"/>
  <c r="BL50" i="19"/>
  <c r="BL52" i="19"/>
  <c r="BL54" i="19"/>
  <c r="BL56" i="19"/>
  <c r="BL58" i="19"/>
  <c r="BL60" i="19"/>
  <c r="BL62" i="19"/>
  <c r="BL64" i="19"/>
  <c r="BL66" i="19"/>
  <c r="BL68" i="19"/>
  <c r="BL70" i="19"/>
  <c r="BL72" i="19"/>
  <c r="BL74" i="19"/>
  <c r="BL76" i="19"/>
  <c r="BL78" i="19"/>
  <c r="BL80" i="19"/>
  <c r="BL82" i="19"/>
  <c r="BL84" i="19"/>
  <c r="CF122" i="19"/>
  <c r="CF83" i="19"/>
  <c r="CF91" i="19"/>
  <c r="CF99" i="19"/>
  <c r="CF107" i="19"/>
  <c r="CF115" i="19"/>
  <c r="CF59" i="19"/>
  <c r="CF67" i="19"/>
  <c r="CF75" i="19"/>
  <c r="CF11" i="19"/>
  <c r="CF19" i="19"/>
  <c r="CF27" i="19"/>
  <c r="CF35" i="19"/>
  <c r="CF43" i="19"/>
  <c r="CF51" i="19"/>
  <c r="BL125" i="19"/>
  <c r="BL110" i="19"/>
  <c r="BL118" i="19"/>
  <c r="BL102" i="19"/>
  <c r="BL90" i="19"/>
  <c r="BL11" i="19"/>
  <c r="BL19" i="19"/>
  <c r="BL27" i="19"/>
  <c r="BL35" i="19"/>
  <c r="BL43" i="19"/>
  <c r="BL51" i="19"/>
  <c r="BL59" i="19"/>
  <c r="BL67" i="19"/>
  <c r="AR23" i="19"/>
  <c r="AR25" i="19"/>
  <c r="AR27" i="19"/>
  <c r="AR29" i="19"/>
  <c r="AR31" i="19"/>
  <c r="AR33" i="19"/>
  <c r="AR35" i="19"/>
  <c r="AR37" i="19"/>
  <c r="AR39" i="19"/>
  <c r="AR41" i="19"/>
  <c r="AR43" i="19"/>
  <c r="AR45" i="19"/>
  <c r="AR47" i="19"/>
  <c r="AR49" i="19"/>
  <c r="AR51" i="19"/>
  <c r="AR53" i="19"/>
  <c r="AR55" i="19"/>
  <c r="AR57" i="19"/>
  <c r="AR59" i="19"/>
  <c r="AR61" i="19"/>
  <c r="AR63" i="19"/>
  <c r="AR65" i="19"/>
  <c r="AR67" i="19"/>
  <c r="AR69" i="19"/>
  <c r="AR71" i="19"/>
  <c r="AR73" i="19"/>
  <c r="AR75" i="19"/>
  <c r="AR77" i="19"/>
  <c r="AR79" i="19"/>
  <c r="AR81" i="19"/>
  <c r="AR83" i="19"/>
  <c r="AR85" i="19"/>
  <c r="AR87" i="19"/>
  <c r="AR90" i="19"/>
  <c r="AR92" i="19"/>
  <c r="AR94" i="19"/>
  <c r="AR96" i="19"/>
  <c r="AR98" i="19"/>
  <c r="AR100" i="19"/>
  <c r="AR102" i="19"/>
  <c r="AR104" i="19"/>
  <c r="AR106" i="19"/>
  <c r="AR108" i="19"/>
  <c r="AR110" i="19"/>
  <c r="AR112" i="19"/>
  <c r="AR114" i="19"/>
  <c r="AR116" i="19"/>
  <c r="AR118" i="19"/>
  <c r="AR120" i="19"/>
  <c r="AR122" i="19"/>
  <c r="AR124" i="19"/>
  <c r="AR126" i="19"/>
  <c r="AR9" i="19"/>
  <c r="AR11" i="19"/>
  <c r="AR13" i="19"/>
  <c r="AR15" i="19"/>
  <c r="AR17" i="19"/>
  <c r="AR19" i="19"/>
  <c r="AR21" i="19"/>
  <c r="CF120" i="19"/>
  <c r="CF81" i="19"/>
  <c r="CF97" i="19"/>
  <c r="CF105" i="19"/>
  <c r="BL116" i="19"/>
  <c r="BL100" i="19"/>
  <c r="BL88" i="19"/>
  <c r="BL9" i="19"/>
  <c r="BL65" i="19"/>
  <c r="BL73" i="19"/>
  <c r="BL75" i="19"/>
  <c r="BL79" i="19"/>
  <c r="BL83" i="19"/>
  <c r="CF124" i="19"/>
  <c r="CF85" i="19"/>
  <c r="CF93" i="19"/>
  <c r="CF101" i="19"/>
  <c r="CF109" i="19"/>
  <c r="CF117" i="19"/>
  <c r="CF61" i="19"/>
  <c r="CF69" i="19"/>
  <c r="CF77" i="19"/>
  <c r="CF13" i="19"/>
  <c r="CF21" i="19"/>
  <c r="CF29" i="19"/>
  <c r="CF37" i="19"/>
  <c r="CF45" i="19"/>
  <c r="CF53" i="19"/>
  <c r="BL127" i="19"/>
  <c r="BL112" i="19"/>
  <c r="BL96" i="19"/>
  <c r="BL104" i="19"/>
  <c r="BL92" i="19"/>
  <c r="BL13" i="19"/>
  <c r="BL21" i="19"/>
  <c r="BL29" i="19"/>
  <c r="BL37" i="19"/>
  <c r="BL45" i="19"/>
  <c r="BL53" i="19"/>
  <c r="BL61" i="19"/>
  <c r="BL69" i="19"/>
  <c r="BL77" i="19"/>
  <c r="BL81" i="19"/>
  <c r="AR88" i="19"/>
  <c r="CF89" i="19"/>
  <c r="CF113" i="19"/>
  <c r="CF57" i="19"/>
  <c r="CF65" i="19"/>
  <c r="BL123" i="19"/>
  <c r="BL17" i="19"/>
  <c r="BL25" i="19"/>
  <c r="BL33" i="19"/>
  <c r="BL41" i="19"/>
  <c r="BL49" i="19"/>
  <c r="CF126" i="19"/>
  <c r="CF87" i="19"/>
  <c r="CF95" i="19"/>
  <c r="CF103" i="19"/>
  <c r="CF111" i="19"/>
  <c r="CF55" i="19"/>
  <c r="CF63" i="19"/>
  <c r="CF71" i="19"/>
  <c r="CF79" i="19"/>
  <c r="CF15" i="19"/>
  <c r="CF23" i="19"/>
  <c r="CF31" i="19"/>
  <c r="CF39" i="19"/>
  <c r="CF47" i="19"/>
  <c r="BL121" i="19"/>
  <c r="BL106" i="19"/>
  <c r="BL114" i="19"/>
  <c r="BL98" i="19"/>
  <c r="BL86" i="19"/>
  <c r="BL94" i="19"/>
  <c r="BL15" i="19"/>
  <c r="BL23" i="19"/>
  <c r="BL31" i="19"/>
  <c r="BL39" i="19"/>
  <c r="BL47" i="19"/>
  <c r="BL55" i="19"/>
  <c r="BL63" i="19"/>
  <c r="BL71" i="19"/>
  <c r="AR24" i="19"/>
  <c r="AR26" i="19"/>
  <c r="AR28" i="19"/>
  <c r="AR30" i="19"/>
  <c r="AR32" i="19"/>
  <c r="AR34" i="19"/>
  <c r="AR36" i="19"/>
  <c r="AR38" i="19"/>
  <c r="AR40" i="19"/>
  <c r="AR42" i="19"/>
  <c r="AR44" i="19"/>
  <c r="AR46" i="19"/>
  <c r="AR48" i="19"/>
  <c r="AR50" i="19"/>
  <c r="AR52" i="19"/>
  <c r="AR54" i="19"/>
  <c r="AR56" i="19"/>
  <c r="AR58" i="19"/>
  <c r="AR60" i="19"/>
  <c r="AR62" i="19"/>
  <c r="AR64" i="19"/>
  <c r="AR66" i="19"/>
  <c r="AR68" i="19"/>
  <c r="AR70" i="19"/>
  <c r="AR72" i="19"/>
  <c r="AR74" i="19"/>
  <c r="AR76" i="19"/>
  <c r="AR78" i="19"/>
  <c r="AR80" i="19"/>
  <c r="AR82" i="19"/>
  <c r="AR84" i="19"/>
  <c r="AR86" i="19"/>
  <c r="AR89" i="19"/>
  <c r="AR91" i="19"/>
  <c r="AR93" i="19"/>
  <c r="AR95" i="19"/>
  <c r="AR97" i="19"/>
  <c r="AR99" i="19"/>
  <c r="AR101" i="19"/>
  <c r="AR103" i="19"/>
  <c r="AR105" i="19"/>
  <c r="AR107" i="19"/>
  <c r="AR109" i="19"/>
  <c r="AR111" i="19"/>
  <c r="AR113" i="19"/>
  <c r="AR115" i="19"/>
  <c r="AR117" i="19"/>
  <c r="AR119" i="19"/>
  <c r="AR121" i="19"/>
  <c r="AR123" i="19"/>
  <c r="AR125" i="19"/>
  <c r="AR127" i="19"/>
  <c r="AR10" i="19"/>
  <c r="AR12" i="19"/>
  <c r="AR14" i="19"/>
  <c r="AR16" i="19"/>
  <c r="AR18" i="19"/>
  <c r="AR20" i="19"/>
  <c r="AR22" i="19"/>
  <c r="CF73" i="19"/>
  <c r="CF9" i="19"/>
  <c r="CF17" i="19"/>
  <c r="CF25" i="19"/>
  <c r="CF33" i="19"/>
  <c r="CF41" i="19"/>
  <c r="CF49" i="19"/>
  <c r="BL108" i="19"/>
  <c r="BL57" i="19"/>
  <c r="EA109" i="19"/>
  <c r="EA111" i="19"/>
  <c r="EA113" i="19"/>
  <c r="EA115" i="19"/>
  <c r="EA117" i="19"/>
  <c r="EA119" i="19"/>
  <c r="EA121" i="19"/>
  <c r="EA123" i="19"/>
  <c r="EA9" i="19"/>
  <c r="EA11" i="19"/>
  <c r="EA13" i="19"/>
  <c r="EA15" i="19"/>
  <c r="EA17" i="19"/>
  <c r="EA19" i="19"/>
  <c r="DG99" i="19"/>
  <c r="DG101" i="19"/>
  <c r="DG103" i="19"/>
  <c r="DG105" i="19"/>
  <c r="DG107" i="19"/>
  <c r="DG88" i="19"/>
  <c r="DG90" i="19"/>
  <c r="DG92" i="19"/>
  <c r="DG9" i="19"/>
  <c r="DG11" i="19"/>
  <c r="DG13" i="19"/>
  <c r="DG15" i="19"/>
  <c r="DG17" i="19"/>
  <c r="EA126" i="19"/>
  <c r="EA21" i="19"/>
  <c r="EA23" i="19"/>
  <c r="EA25" i="19"/>
  <c r="EA27" i="19"/>
  <c r="EA29" i="19"/>
  <c r="EA31" i="19"/>
  <c r="EA33" i="19"/>
  <c r="EA35" i="19"/>
  <c r="EA37" i="19"/>
  <c r="EA39" i="19"/>
  <c r="EA41" i="19"/>
  <c r="EA43" i="19"/>
  <c r="EA45" i="19"/>
  <c r="EA47" i="19"/>
  <c r="EA49" i="19"/>
  <c r="EA51" i="19"/>
  <c r="EA53" i="19"/>
  <c r="EA55" i="19"/>
  <c r="EA57" i="19"/>
  <c r="EA59" i="19"/>
  <c r="EA61" i="19"/>
  <c r="EA63" i="19"/>
  <c r="EA65" i="19"/>
  <c r="EA67" i="19"/>
  <c r="EA69" i="19"/>
  <c r="EA71" i="19"/>
  <c r="EA73" i="19"/>
  <c r="EA75" i="19"/>
  <c r="EA77" i="19"/>
  <c r="EA79" i="19"/>
  <c r="EA81" i="19"/>
  <c r="EA83" i="19"/>
  <c r="EA85" i="19"/>
  <c r="EA87" i="19"/>
  <c r="EA89" i="19"/>
  <c r="EA91" i="19"/>
  <c r="EA93" i="19"/>
  <c r="EA95" i="19"/>
  <c r="EA97" i="19"/>
  <c r="EA99" i="19"/>
  <c r="EA101" i="19"/>
  <c r="EA103" i="19"/>
  <c r="EA105" i="19"/>
  <c r="EA107" i="19"/>
  <c r="DG108" i="19"/>
  <c r="DG110" i="19"/>
  <c r="DG112" i="19"/>
  <c r="DG114" i="19"/>
  <c r="DG116" i="19"/>
  <c r="DG118" i="19"/>
  <c r="DG120" i="19"/>
  <c r="DG122" i="19"/>
  <c r="DG124" i="19"/>
  <c r="DG126" i="19"/>
  <c r="DG94" i="19"/>
  <c r="DG96" i="19"/>
  <c r="DG20" i="19"/>
  <c r="DG22" i="19"/>
  <c r="DG24" i="19"/>
  <c r="DG26" i="19"/>
  <c r="DG28" i="19"/>
  <c r="DG30" i="19"/>
  <c r="DG32" i="19"/>
  <c r="DG34" i="19"/>
  <c r="DG36" i="19"/>
  <c r="DG38" i="19"/>
  <c r="DG40" i="19"/>
  <c r="DG42" i="19"/>
  <c r="DG44" i="19"/>
  <c r="DG46" i="19"/>
  <c r="DG48" i="19"/>
  <c r="DG50" i="19"/>
  <c r="DG52" i="19"/>
  <c r="DG54" i="19"/>
  <c r="DG56" i="19"/>
  <c r="DG58" i="19"/>
  <c r="DG60" i="19"/>
  <c r="DG62" i="19"/>
  <c r="DG64" i="19"/>
  <c r="DG66" i="19"/>
  <c r="DG68" i="19"/>
  <c r="DG70" i="19"/>
  <c r="DG72" i="19"/>
  <c r="DG74" i="19"/>
  <c r="DG76" i="19"/>
  <c r="DG78" i="19"/>
  <c r="DG80" i="19"/>
  <c r="DG82" i="19"/>
  <c r="DG84" i="19"/>
  <c r="DG86" i="19"/>
  <c r="EA108" i="19"/>
  <c r="EA110" i="19"/>
  <c r="EA112" i="19"/>
  <c r="EA114" i="19"/>
  <c r="EA116" i="19"/>
  <c r="EA118" i="19"/>
  <c r="EA120" i="19"/>
  <c r="EA122" i="19"/>
  <c r="EA124" i="19"/>
  <c r="EA10" i="19"/>
  <c r="EA12" i="19"/>
  <c r="EA14" i="19"/>
  <c r="EA16" i="19"/>
  <c r="EA18" i="19"/>
  <c r="EA20" i="19"/>
  <c r="DG98" i="19"/>
  <c r="DG100" i="19"/>
  <c r="DG102" i="19"/>
  <c r="DG104" i="19"/>
  <c r="DG106" i="19"/>
  <c r="DG89" i="19"/>
  <c r="DG91" i="19"/>
  <c r="DG93" i="19"/>
  <c r="DG10" i="19"/>
  <c r="DG12" i="19"/>
  <c r="DG14" i="19"/>
  <c r="DG16" i="19"/>
  <c r="DG18" i="19"/>
  <c r="EA125" i="19"/>
  <c r="EA127" i="19"/>
  <c r="EA22" i="19"/>
  <c r="EA24" i="19"/>
  <c r="EA26" i="19"/>
  <c r="EA28" i="19"/>
  <c r="EA30" i="19"/>
  <c r="EA32" i="19"/>
  <c r="EA34" i="19"/>
  <c r="EA36" i="19"/>
  <c r="EA38" i="19"/>
  <c r="EA40" i="19"/>
  <c r="EA42" i="19"/>
  <c r="EA44" i="19"/>
  <c r="EA46" i="19"/>
  <c r="EA48" i="19"/>
  <c r="EA50" i="19"/>
  <c r="EA52" i="19"/>
  <c r="EA54" i="19"/>
  <c r="EA56" i="19"/>
  <c r="EA58" i="19"/>
  <c r="EA60" i="19"/>
  <c r="EA62" i="19"/>
  <c r="EA64" i="19"/>
  <c r="EA66" i="19"/>
  <c r="EA68" i="19"/>
  <c r="EA70" i="19"/>
  <c r="EA72" i="19"/>
  <c r="EA74" i="19"/>
  <c r="EA76" i="19"/>
  <c r="EA78" i="19"/>
  <c r="EA80" i="19"/>
  <c r="EA82" i="19"/>
  <c r="EA84" i="19"/>
  <c r="EA86" i="19"/>
  <c r="EA88" i="19"/>
  <c r="EA90" i="19"/>
  <c r="EA92" i="19"/>
  <c r="EA94" i="19"/>
  <c r="EA96" i="19"/>
  <c r="EA98" i="19"/>
  <c r="EA100" i="19"/>
  <c r="EA102" i="19"/>
  <c r="EA104" i="19"/>
  <c r="EA106" i="19"/>
  <c r="DG109" i="19"/>
  <c r="DG111" i="19"/>
  <c r="DG113" i="19"/>
  <c r="DG115" i="19"/>
  <c r="DG117" i="19"/>
  <c r="DG119" i="19"/>
  <c r="DG121" i="19"/>
  <c r="DG123" i="19"/>
  <c r="DG125" i="19"/>
  <c r="DG127" i="19"/>
  <c r="DG95" i="19"/>
  <c r="DG97" i="19"/>
  <c r="DG21" i="19"/>
  <c r="DG23" i="19"/>
  <c r="DG25" i="19"/>
  <c r="DG27" i="19"/>
  <c r="DG29" i="19"/>
  <c r="DG31" i="19"/>
  <c r="DG33" i="19"/>
  <c r="DG35" i="19"/>
  <c r="DG37" i="19"/>
  <c r="DG39" i="19"/>
  <c r="DG41" i="19"/>
  <c r="DG43" i="19"/>
  <c r="DG45" i="19"/>
  <c r="DG47" i="19"/>
  <c r="DG49" i="19"/>
  <c r="DG51" i="19"/>
  <c r="DG53" i="19"/>
  <c r="DG55" i="19"/>
  <c r="DG57" i="19"/>
  <c r="DG59" i="19"/>
  <c r="DG61" i="19"/>
  <c r="DG63" i="19"/>
  <c r="DG65" i="19"/>
  <c r="DG67" i="19"/>
  <c r="DG69" i="19"/>
  <c r="DG71" i="19"/>
  <c r="DG73" i="19"/>
  <c r="DG75" i="19"/>
  <c r="DG77" i="19"/>
  <c r="DG79" i="19"/>
  <c r="DG81" i="19"/>
  <c r="DG83" i="19"/>
  <c r="DG85" i="19"/>
  <c r="DG87" i="19"/>
  <c r="DG19" i="19"/>
  <c r="CM120" i="19"/>
  <c r="CM122" i="19"/>
  <c r="CM124" i="19"/>
  <c r="CM126" i="19"/>
  <c r="CM81" i="19"/>
  <c r="CM83" i="19"/>
  <c r="CM85" i="19"/>
  <c r="CM87" i="19"/>
  <c r="CM89" i="19"/>
  <c r="CM91" i="19"/>
  <c r="CM93" i="19"/>
  <c r="CM95" i="19"/>
  <c r="CM97" i="19"/>
  <c r="CM99" i="19"/>
  <c r="CM101" i="19"/>
  <c r="CM103" i="19"/>
  <c r="CM105" i="19"/>
  <c r="CM107" i="19"/>
  <c r="CM109" i="19"/>
  <c r="CM111" i="19"/>
  <c r="CM113" i="19"/>
  <c r="CM115" i="19"/>
  <c r="CM117" i="19"/>
  <c r="CM55" i="19"/>
  <c r="CM57" i="19"/>
  <c r="CM59" i="19"/>
  <c r="CM61" i="19"/>
  <c r="CM63" i="19"/>
  <c r="CM65" i="19"/>
  <c r="CM67" i="19"/>
  <c r="CM69" i="19"/>
  <c r="CM71" i="19"/>
  <c r="CM73" i="19"/>
  <c r="CM75" i="19"/>
  <c r="CM77" i="19"/>
  <c r="CM79" i="19"/>
  <c r="CM9" i="19"/>
  <c r="CM11" i="19"/>
  <c r="CM13" i="19"/>
  <c r="CM15" i="19"/>
  <c r="CM17" i="19"/>
  <c r="CM19" i="19"/>
  <c r="CM21" i="19"/>
  <c r="CM23" i="19"/>
  <c r="CM25" i="19"/>
  <c r="CM27" i="19"/>
  <c r="CM29" i="19"/>
  <c r="CM31" i="19"/>
  <c r="CM33" i="19"/>
  <c r="CM35" i="19"/>
  <c r="CM37" i="19"/>
  <c r="CM39" i="19"/>
  <c r="CM41" i="19"/>
  <c r="CM43" i="19"/>
  <c r="CM45" i="19"/>
  <c r="CM47" i="19"/>
  <c r="CM49" i="19"/>
  <c r="CM51" i="19"/>
  <c r="CM53" i="19"/>
  <c r="BS121" i="19"/>
  <c r="BS123" i="19"/>
  <c r="BS125" i="19"/>
  <c r="BS127" i="19"/>
  <c r="BS106" i="19"/>
  <c r="BS108" i="19"/>
  <c r="BS110" i="19"/>
  <c r="BS112" i="19"/>
  <c r="BS114" i="19"/>
  <c r="BS116" i="19"/>
  <c r="BS118" i="19"/>
  <c r="BS96" i="19"/>
  <c r="BS98" i="19"/>
  <c r="BS100" i="19"/>
  <c r="BS102" i="19"/>
  <c r="BS104" i="19"/>
  <c r="BS86" i="19"/>
  <c r="BS88" i="19"/>
  <c r="BS90" i="19"/>
  <c r="BS92" i="19"/>
  <c r="BS94" i="19"/>
  <c r="BS9" i="19"/>
  <c r="BS11" i="19"/>
  <c r="BS13" i="19"/>
  <c r="BS15" i="19"/>
  <c r="BS17" i="19"/>
  <c r="BS19" i="19"/>
  <c r="BS21" i="19"/>
  <c r="BS23" i="19"/>
  <c r="BS25" i="19"/>
  <c r="BS27" i="19"/>
  <c r="BS29" i="19"/>
  <c r="BS31" i="19"/>
  <c r="BS33" i="19"/>
  <c r="BS35" i="19"/>
  <c r="BS37" i="19"/>
  <c r="BS39" i="19"/>
  <c r="BS41" i="19"/>
  <c r="BS43" i="19"/>
  <c r="BS45" i="19"/>
  <c r="BS47" i="19"/>
  <c r="BS49" i="19"/>
  <c r="BS51" i="19"/>
  <c r="BS53" i="19"/>
  <c r="BS55" i="19"/>
  <c r="BS57" i="19"/>
  <c r="BS59" i="19"/>
  <c r="BS61" i="19"/>
  <c r="BS63" i="19"/>
  <c r="BS65" i="19"/>
  <c r="BS67" i="19"/>
  <c r="BS69" i="19"/>
  <c r="BS71" i="19"/>
  <c r="BS73" i="19"/>
  <c r="BS75" i="19"/>
  <c r="BS77" i="19"/>
  <c r="BS79" i="19"/>
  <c r="BS81" i="19"/>
  <c r="BS83" i="19"/>
  <c r="CM119" i="19"/>
  <c r="CM121" i="19"/>
  <c r="CM123" i="19"/>
  <c r="CM125" i="19"/>
  <c r="CM127" i="19"/>
  <c r="CM82" i="19"/>
  <c r="CM84" i="19"/>
  <c r="CM86" i="19"/>
  <c r="CM88" i="19"/>
  <c r="CM90" i="19"/>
  <c r="CM92" i="19"/>
  <c r="CM94" i="19"/>
  <c r="CM96" i="19"/>
  <c r="CM98" i="19"/>
  <c r="CM100" i="19"/>
  <c r="CM102" i="19"/>
  <c r="CM104" i="19"/>
  <c r="CM106" i="19"/>
  <c r="CM108" i="19"/>
  <c r="CM110" i="19"/>
  <c r="CM112" i="19"/>
  <c r="CM114" i="19"/>
  <c r="CM116" i="19"/>
  <c r="CM118" i="19"/>
  <c r="CM56" i="19"/>
  <c r="CM58" i="19"/>
  <c r="CM60" i="19"/>
  <c r="CM62" i="19"/>
  <c r="CM64" i="19"/>
  <c r="CM66" i="19"/>
  <c r="CM68" i="19"/>
  <c r="CM70" i="19"/>
  <c r="CM72" i="19"/>
  <c r="CM74" i="19"/>
  <c r="CM76" i="19"/>
  <c r="CM78" i="19"/>
  <c r="CM80" i="19"/>
  <c r="CM10" i="19"/>
  <c r="CM12" i="19"/>
  <c r="CM14" i="19"/>
  <c r="CM16" i="19"/>
  <c r="CM18" i="19"/>
  <c r="CM20" i="19"/>
  <c r="CM22" i="19"/>
  <c r="CM24" i="19"/>
  <c r="CM26" i="19"/>
  <c r="CM28" i="19"/>
  <c r="CM30" i="19"/>
  <c r="CM32" i="19"/>
  <c r="CM34" i="19"/>
  <c r="CM36" i="19"/>
  <c r="CM38" i="19"/>
  <c r="CM40" i="19"/>
  <c r="CM42" i="19"/>
  <c r="CM44" i="19"/>
  <c r="CM46" i="19"/>
  <c r="CM48" i="19"/>
  <c r="CM50" i="19"/>
  <c r="CM52" i="19"/>
  <c r="CM54" i="19"/>
  <c r="BS120" i="19"/>
  <c r="BS122" i="19"/>
  <c r="BS124" i="19"/>
  <c r="BS126" i="19"/>
  <c r="BS105" i="19"/>
  <c r="BS107" i="19"/>
  <c r="BS109" i="19"/>
  <c r="BS111" i="19"/>
  <c r="BS113" i="19"/>
  <c r="BS115" i="19"/>
  <c r="BS117" i="19"/>
  <c r="BS119" i="19"/>
  <c r="BS97" i="19"/>
  <c r="BS99" i="19"/>
  <c r="BS101" i="19"/>
  <c r="BS103" i="19"/>
  <c r="BS85" i="19"/>
  <c r="BS87" i="19"/>
  <c r="BS89" i="19"/>
  <c r="BS91" i="19"/>
  <c r="BS93" i="19"/>
  <c r="BS95" i="19"/>
  <c r="BS10" i="19"/>
  <c r="BS12" i="19"/>
  <c r="BS14" i="19"/>
  <c r="BS16" i="19"/>
  <c r="BS18" i="19"/>
  <c r="BS20" i="19"/>
  <c r="BS22" i="19"/>
  <c r="BS24" i="19"/>
  <c r="BS26" i="19"/>
  <c r="BS28" i="19"/>
  <c r="BS30" i="19"/>
  <c r="BS32" i="19"/>
  <c r="BS34" i="19"/>
  <c r="BS36" i="19"/>
  <c r="BS38" i="19"/>
  <c r="BS40" i="19"/>
  <c r="BS42" i="19"/>
  <c r="BS44" i="19"/>
  <c r="BS46" i="19"/>
  <c r="BS48" i="19"/>
  <c r="BS50" i="19"/>
  <c r="BS52" i="19"/>
  <c r="BS54" i="19"/>
  <c r="BS56" i="19"/>
  <c r="BS58" i="19"/>
  <c r="BS60" i="19"/>
  <c r="BS62" i="19"/>
  <c r="BS64" i="19"/>
  <c r="BS66" i="19"/>
  <c r="BS68" i="19"/>
  <c r="BS70" i="19"/>
  <c r="BS72" i="19"/>
  <c r="BS76" i="19"/>
  <c r="BS80" i="19"/>
  <c r="BS84" i="19"/>
  <c r="AY88" i="19"/>
  <c r="AY33" i="19"/>
  <c r="AY35" i="19"/>
  <c r="AY47" i="19"/>
  <c r="AY49" i="19"/>
  <c r="AY55" i="19"/>
  <c r="AY57" i="19"/>
  <c r="AY67" i="19"/>
  <c r="AY69" i="19"/>
  <c r="AY71" i="19"/>
  <c r="AY81" i="19"/>
  <c r="AY83" i="19"/>
  <c r="AY92" i="19"/>
  <c r="AY98" i="19"/>
  <c r="AY100" i="19"/>
  <c r="AY102" i="19"/>
  <c r="AY112" i="19"/>
  <c r="AY114" i="19"/>
  <c r="AY120" i="19"/>
  <c r="AY122" i="19"/>
  <c r="AY124" i="19"/>
  <c r="AY126" i="19"/>
  <c r="AY9" i="19"/>
  <c r="AY17" i="19"/>
  <c r="AY24" i="19"/>
  <c r="AY26" i="19"/>
  <c r="AY28" i="19"/>
  <c r="AY30" i="19"/>
  <c r="AY32" i="19"/>
  <c r="AY34" i="19"/>
  <c r="AY36" i="19"/>
  <c r="AY38" i="19"/>
  <c r="AY40" i="19"/>
  <c r="AY42" i="19"/>
  <c r="AY44" i="19"/>
  <c r="AY46" i="19"/>
  <c r="AY48" i="19"/>
  <c r="AY50" i="19"/>
  <c r="AY52" i="19"/>
  <c r="AY54" i="19"/>
  <c r="AY56" i="19"/>
  <c r="AY58" i="19"/>
  <c r="AY60" i="19"/>
  <c r="AY62" i="19"/>
  <c r="AY64" i="19"/>
  <c r="AY66" i="19"/>
  <c r="AY68" i="19"/>
  <c r="AY70" i="19"/>
  <c r="AY72" i="19"/>
  <c r="AY74" i="19"/>
  <c r="AY76" i="19"/>
  <c r="AY78" i="19"/>
  <c r="AY80" i="19"/>
  <c r="AY82" i="19"/>
  <c r="AY84" i="19"/>
  <c r="AY86" i="19"/>
  <c r="AY89" i="19"/>
  <c r="AY91" i="19"/>
  <c r="AY93" i="19"/>
  <c r="AY95" i="19"/>
  <c r="AY97" i="19"/>
  <c r="AY99" i="19"/>
  <c r="AY101" i="19"/>
  <c r="AY103" i="19"/>
  <c r="AY105" i="19"/>
  <c r="AY107" i="19"/>
  <c r="AY109" i="19"/>
  <c r="AY111" i="19"/>
  <c r="AY113" i="19"/>
  <c r="AY115" i="19"/>
  <c r="AY117" i="19"/>
  <c r="AY119" i="19"/>
  <c r="AY121" i="19"/>
  <c r="AY123" i="19"/>
  <c r="AY125" i="19"/>
  <c r="AY127" i="19"/>
  <c r="AY10" i="19"/>
  <c r="AY12" i="19"/>
  <c r="AY14" i="19"/>
  <c r="AY16" i="19"/>
  <c r="AY18" i="19"/>
  <c r="AY20" i="19"/>
  <c r="AY22" i="19"/>
  <c r="AY23" i="19"/>
  <c r="AY25" i="19"/>
  <c r="AY27" i="19"/>
  <c r="AY37" i="19"/>
  <c r="AY39" i="19"/>
  <c r="AY41" i="19"/>
  <c r="AY43" i="19"/>
  <c r="AY59" i="19"/>
  <c r="AY61" i="19"/>
  <c r="AY63" i="19"/>
  <c r="AY77" i="19"/>
  <c r="AY79" i="19"/>
  <c r="AY85" i="19"/>
  <c r="AY87" i="19"/>
  <c r="AY104" i="19"/>
  <c r="AY106" i="19"/>
  <c r="AY108" i="19"/>
  <c r="AY13" i="19"/>
  <c r="AY15" i="19"/>
  <c r="AY19" i="19"/>
  <c r="AY21" i="19"/>
  <c r="BS74" i="19"/>
  <c r="BS78" i="19"/>
  <c r="BS82" i="19"/>
  <c r="AY29" i="19"/>
  <c r="AY31" i="19"/>
  <c r="AY45" i="19"/>
  <c r="AY51" i="19"/>
  <c r="AY53" i="19"/>
  <c r="AY65" i="19"/>
  <c r="AY73" i="19"/>
  <c r="AY75" i="19"/>
  <c r="AY90" i="19"/>
  <c r="AY94" i="19"/>
  <c r="AY96" i="19"/>
  <c r="AY110" i="19"/>
  <c r="AY116" i="19"/>
  <c r="AY118" i="19"/>
  <c r="AY11" i="19"/>
  <c r="BE166" i="20"/>
  <c r="BI166" i="20"/>
  <c r="BE167" i="20"/>
  <c r="BI167" i="20"/>
  <c r="BE151" i="20"/>
  <c r="BI151" i="20"/>
  <c r="BE152" i="20"/>
  <c r="BI152" i="20"/>
  <c r="BE153" i="20"/>
  <c r="BI153" i="20"/>
  <c r="BE154" i="20"/>
  <c r="BI154" i="20"/>
  <c r="BE155" i="20"/>
  <c r="BI155" i="20"/>
  <c r="BE156" i="20"/>
  <c r="BI156" i="20"/>
  <c r="BE157" i="20"/>
  <c r="BI157" i="20"/>
  <c r="BE158" i="20"/>
  <c r="BI158" i="20"/>
  <c r="BE159" i="20"/>
  <c r="BI159" i="20"/>
  <c r="BE160" i="20"/>
  <c r="BI160" i="20"/>
  <c r="BE161" i="20"/>
  <c r="BI161" i="20"/>
  <c r="BE162" i="20"/>
  <c r="BI162" i="20"/>
  <c r="BE163" i="20"/>
  <c r="BI163" i="20"/>
  <c r="BE164" i="20"/>
  <c r="BI164" i="20"/>
  <c r="BE165" i="20"/>
  <c r="BI165" i="20"/>
  <c r="BE135" i="20"/>
  <c r="BI135" i="20"/>
  <c r="BE136" i="20"/>
  <c r="BI136" i="20"/>
  <c r="BE137" i="20"/>
  <c r="BI137" i="20"/>
  <c r="BE138" i="20"/>
  <c r="BI138" i="20"/>
  <c r="BE139" i="20"/>
  <c r="BI139" i="20"/>
  <c r="BE140" i="20"/>
  <c r="BI140" i="20"/>
  <c r="BE141" i="20"/>
  <c r="BI141" i="20"/>
  <c r="BE142" i="20"/>
  <c r="BI142" i="20"/>
  <c r="BE143" i="20"/>
  <c r="BI143" i="20"/>
  <c r="BE144" i="20"/>
  <c r="BI144" i="20"/>
  <c r="BE145" i="20"/>
  <c r="BI145" i="20"/>
  <c r="BE146" i="20"/>
  <c r="BI146" i="20"/>
  <c r="BE147" i="20"/>
  <c r="BI147" i="20"/>
  <c r="BE148" i="20"/>
  <c r="BI148" i="20"/>
  <c r="BE149" i="20"/>
  <c r="BI149" i="20"/>
  <c r="BE150" i="20"/>
  <c r="BI150" i="20"/>
  <c r="BE121" i="20"/>
  <c r="BI121" i="20"/>
  <c r="BE122" i="20"/>
  <c r="BI122" i="20"/>
  <c r="BE123" i="20"/>
  <c r="BI123" i="20"/>
  <c r="BE124" i="20"/>
  <c r="BI124" i="20"/>
  <c r="BE125" i="20"/>
  <c r="BI125" i="20"/>
  <c r="BE126" i="20"/>
  <c r="BI126" i="20"/>
  <c r="BE127" i="20"/>
  <c r="BI127" i="20"/>
  <c r="BE128" i="20"/>
  <c r="BI128" i="20"/>
  <c r="BE129" i="20"/>
  <c r="BI129" i="20"/>
  <c r="BE130" i="20"/>
  <c r="BI130" i="20"/>
  <c r="BE131" i="20"/>
  <c r="BI131" i="20"/>
  <c r="BE132" i="20"/>
  <c r="BI132" i="20"/>
  <c r="BE133" i="20"/>
  <c r="BI133" i="20"/>
  <c r="BE134" i="20"/>
  <c r="BI134" i="20"/>
  <c r="BE104" i="20"/>
  <c r="BI104" i="20"/>
  <c r="BE105" i="20"/>
  <c r="BI105" i="20"/>
  <c r="BE106" i="20"/>
  <c r="BI106" i="20"/>
  <c r="BE107" i="20"/>
  <c r="BI107" i="20"/>
  <c r="BE108" i="20"/>
  <c r="BI108" i="20"/>
  <c r="BE109" i="20"/>
  <c r="BI109" i="20"/>
  <c r="BE110" i="20"/>
  <c r="BI110" i="20"/>
  <c r="BE111" i="20"/>
  <c r="BI111" i="20"/>
  <c r="BE112" i="20"/>
  <c r="BI112" i="20"/>
  <c r="BE113" i="20"/>
  <c r="BI113" i="20"/>
  <c r="BE114" i="20"/>
  <c r="BI114" i="20"/>
  <c r="BE115" i="20"/>
  <c r="BI115" i="20"/>
  <c r="BE116" i="20"/>
  <c r="BI116" i="20"/>
  <c r="BE117" i="20"/>
  <c r="BI117" i="20"/>
  <c r="BE118" i="20"/>
  <c r="BI118" i="20"/>
  <c r="BE119" i="20"/>
  <c r="BI119" i="20"/>
  <c r="BE120" i="20"/>
  <c r="BI120" i="20"/>
  <c r="BE90" i="20"/>
  <c r="BI90" i="20"/>
  <c r="BE91" i="20"/>
  <c r="BI91" i="20"/>
  <c r="BE92" i="20"/>
  <c r="BI92" i="20"/>
  <c r="BE93" i="20"/>
  <c r="BI93" i="20"/>
  <c r="BE94" i="20"/>
  <c r="BI94" i="20"/>
  <c r="BE95" i="20"/>
  <c r="BI95" i="20"/>
  <c r="BE96" i="20"/>
  <c r="BI96" i="20"/>
  <c r="BE97" i="20"/>
  <c r="BI97" i="20"/>
  <c r="BE98" i="20"/>
  <c r="BI98" i="20"/>
  <c r="BE99" i="20"/>
  <c r="BI99" i="20"/>
  <c r="BE100" i="20"/>
  <c r="BI100" i="20"/>
  <c r="BE101" i="20"/>
  <c r="BI101" i="20"/>
  <c r="BE102" i="20"/>
  <c r="BI102" i="20"/>
  <c r="BE103" i="20"/>
  <c r="BI103" i="20"/>
  <c r="BE9" i="20"/>
  <c r="BI9" i="20"/>
  <c r="BE10" i="20"/>
  <c r="BI10" i="20"/>
  <c r="BE11" i="20"/>
  <c r="BI11" i="20"/>
  <c r="BE12" i="20"/>
  <c r="BI12" i="20"/>
  <c r="BE13" i="20"/>
  <c r="BI13" i="20"/>
  <c r="BE14" i="20"/>
  <c r="BI14" i="20"/>
  <c r="BE15" i="20"/>
  <c r="BI15" i="20"/>
  <c r="BE16" i="20"/>
  <c r="BI16" i="20"/>
  <c r="BE17" i="20"/>
  <c r="BI17" i="20"/>
  <c r="BE18" i="20"/>
  <c r="BI18" i="20"/>
  <c r="BE19" i="20"/>
  <c r="BI19" i="20"/>
  <c r="BE20" i="20"/>
  <c r="BI20" i="20"/>
  <c r="BE21" i="20"/>
  <c r="BI21" i="20"/>
  <c r="BE22" i="20"/>
  <c r="BI22" i="20"/>
  <c r="BE23" i="20"/>
  <c r="BI23" i="20"/>
  <c r="BE24" i="20"/>
  <c r="BI24" i="20"/>
  <c r="BE25" i="20"/>
  <c r="BI25" i="20"/>
  <c r="BE26" i="20"/>
  <c r="BI26" i="20"/>
  <c r="BE27" i="20"/>
  <c r="BI27" i="20"/>
  <c r="BE28" i="20"/>
  <c r="BI28" i="20"/>
  <c r="BE29" i="20"/>
  <c r="BI29" i="20"/>
  <c r="BE30" i="20"/>
  <c r="BI30" i="20"/>
  <c r="BE31" i="20"/>
  <c r="BI31" i="20"/>
  <c r="BE32" i="20"/>
  <c r="BI32" i="20"/>
  <c r="BE33" i="20"/>
  <c r="BI33" i="20"/>
  <c r="BE34" i="20"/>
  <c r="BI34" i="20"/>
  <c r="BE35" i="20"/>
  <c r="BI35" i="20"/>
  <c r="BE36" i="20"/>
  <c r="BI36" i="20"/>
  <c r="BE37" i="20"/>
  <c r="BI37" i="20"/>
  <c r="BE38" i="20"/>
  <c r="BI38" i="20"/>
  <c r="BE39" i="20"/>
  <c r="BI39" i="20"/>
  <c r="BE40" i="20"/>
  <c r="BI40" i="20"/>
  <c r="BE41" i="20"/>
  <c r="BI41" i="20"/>
  <c r="BE42" i="20"/>
  <c r="BI42" i="20"/>
  <c r="BE43" i="20"/>
  <c r="BI43" i="20"/>
  <c r="BE44" i="20"/>
  <c r="BI44" i="20"/>
  <c r="BE45" i="20"/>
  <c r="BI45" i="20"/>
  <c r="BE46" i="20"/>
  <c r="BI46" i="20"/>
  <c r="BE47" i="20"/>
  <c r="BI47" i="20"/>
  <c r="BE48" i="20"/>
  <c r="BI48" i="20"/>
  <c r="BE49" i="20"/>
  <c r="BI49" i="20"/>
  <c r="BE50" i="20"/>
  <c r="BI50" i="20"/>
  <c r="BE51" i="20"/>
  <c r="BI51" i="20"/>
  <c r="BE52" i="20"/>
  <c r="BI52" i="20"/>
  <c r="BE53" i="20"/>
  <c r="BI53" i="20"/>
  <c r="BE54" i="20"/>
  <c r="BI54" i="20"/>
  <c r="BE55" i="20"/>
  <c r="BI55" i="20"/>
  <c r="BE56" i="20"/>
  <c r="BI56" i="20"/>
  <c r="BE57" i="20"/>
  <c r="BI57" i="20"/>
  <c r="BE58" i="20"/>
  <c r="BI58" i="20"/>
  <c r="BE59" i="20"/>
  <c r="BI59" i="20"/>
  <c r="BE60" i="20"/>
  <c r="BI60" i="20"/>
  <c r="BE61" i="20"/>
  <c r="BI61" i="20"/>
  <c r="BE62" i="20"/>
  <c r="BI62" i="20"/>
  <c r="BE63" i="20"/>
  <c r="BI63" i="20"/>
  <c r="BE64" i="20"/>
  <c r="BI64" i="20"/>
  <c r="BE65" i="20"/>
  <c r="BI65" i="20"/>
  <c r="BE66" i="20"/>
  <c r="BI66" i="20"/>
  <c r="BE67" i="20"/>
  <c r="BI67" i="20"/>
  <c r="BE68" i="20"/>
  <c r="BI68" i="20"/>
  <c r="BE69" i="20"/>
  <c r="BI69" i="20"/>
  <c r="BE70" i="20"/>
  <c r="BI70" i="20"/>
  <c r="BE71" i="20"/>
  <c r="BI71" i="20"/>
  <c r="BE72" i="20"/>
  <c r="BI72" i="20"/>
  <c r="BE73" i="20"/>
  <c r="BI73" i="20"/>
  <c r="BE74" i="20"/>
  <c r="BI74" i="20"/>
  <c r="BE75" i="20"/>
  <c r="BI75" i="20"/>
  <c r="BE76" i="20"/>
  <c r="BI76" i="20"/>
  <c r="BE77" i="20"/>
  <c r="BI77" i="20"/>
  <c r="BE78" i="20"/>
  <c r="BI78" i="20"/>
  <c r="BE79" i="20"/>
  <c r="BI79" i="20"/>
  <c r="BE80" i="20"/>
  <c r="BI80" i="20"/>
  <c r="BE81" i="20"/>
  <c r="BI81" i="20"/>
  <c r="BE82" i="20"/>
  <c r="BI82" i="20"/>
  <c r="BE83" i="20"/>
  <c r="BI83" i="20"/>
  <c r="BE84" i="20"/>
  <c r="BI84" i="20"/>
  <c r="BE85" i="20"/>
  <c r="BI85" i="20"/>
  <c r="BE86" i="20"/>
  <c r="BI86" i="20"/>
  <c r="BE87" i="20"/>
  <c r="BI87" i="20"/>
  <c r="BE88" i="20"/>
  <c r="BI88" i="20"/>
  <c r="BE89" i="20"/>
  <c r="BI89" i="20"/>
  <c r="BF166" i="20"/>
  <c r="BJ166" i="20"/>
  <c r="BF167" i="20"/>
  <c r="BJ167" i="20"/>
  <c r="BF151" i="20"/>
  <c r="BJ151" i="20"/>
  <c r="BF152" i="20"/>
  <c r="BJ152" i="20"/>
  <c r="BF153" i="20"/>
  <c r="BJ153" i="20"/>
  <c r="BF154" i="20"/>
  <c r="BJ154" i="20"/>
  <c r="BF155" i="20"/>
  <c r="BJ155" i="20"/>
  <c r="BF156" i="20"/>
  <c r="BJ156" i="20"/>
  <c r="BF157" i="20"/>
  <c r="BJ157" i="20"/>
  <c r="BF158" i="20"/>
  <c r="BJ158" i="20"/>
  <c r="BF159" i="20"/>
  <c r="BJ159" i="20"/>
  <c r="BF160" i="20"/>
  <c r="BJ160" i="20"/>
  <c r="BF161" i="20"/>
  <c r="BJ161" i="20"/>
  <c r="BF162" i="20"/>
  <c r="BJ162" i="20"/>
  <c r="BF163" i="20"/>
  <c r="BJ163" i="20"/>
  <c r="BF164" i="20"/>
  <c r="BJ164" i="20"/>
  <c r="BF165" i="20"/>
  <c r="BJ165" i="20"/>
  <c r="BF135" i="20"/>
  <c r="BJ135" i="20"/>
  <c r="BF136" i="20"/>
  <c r="BJ136" i="20"/>
  <c r="BF137" i="20"/>
  <c r="BJ137" i="20"/>
  <c r="BF138" i="20"/>
  <c r="BJ138" i="20"/>
  <c r="BF139" i="20"/>
  <c r="BJ139" i="20"/>
  <c r="BF140" i="20"/>
  <c r="BJ140" i="20"/>
  <c r="BF141" i="20"/>
  <c r="BJ141" i="20"/>
  <c r="BF142" i="20"/>
  <c r="BJ142" i="20"/>
  <c r="BF143" i="20"/>
  <c r="BJ143" i="20"/>
  <c r="BF144" i="20"/>
  <c r="BJ144" i="20"/>
  <c r="BF145" i="20"/>
  <c r="BJ145" i="20"/>
  <c r="BF146" i="20"/>
  <c r="BJ146" i="20"/>
  <c r="BF147" i="20"/>
  <c r="BJ147" i="20"/>
  <c r="BF148" i="20"/>
  <c r="BJ148" i="20"/>
  <c r="BF149" i="20"/>
  <c r="BJ149" i="20"/>
  <c r="BF150" i="20"/>
  <c r="BJ150" i="20"/>
  <c r="BF121" i="20"/>
  <c r="BJ121" i="20"/>
  <c r="BF122" i="20"/>
  <c r="BJ122" i="20"/>
  <c r="BF123" i="20"/>
  <c r="BJ123" i="20"/>
  <c r="BF124" i="20"/>
  <c r="BJ124" i="20"/>
  <c r="BF125" i="20"/>
  <c r="BJ125" i="20"/>
  <c r="BF126" i="20"/>
  <c r="BJ126" i="20"/>
  <c r="BF127" i="20"/>
  <c r="BJ127" i="20"/>
  <c r="BF128" i="20"/>
  <c r="BJ128" i="20"/>
  <c r="BF129" i="20"/>
  <c r="BJ129" i="20"/>
  <c r="BF130" i="20"/>
  <c r="BJ130" i="20"/>
  <c r="BF131" i="20"/>
  <c r="BJ131" i="20"/>
  <c r="BF132" i="20"/>
  <c r="BJ132" i="20"/>
  <c r="BF133" i="20"/>
  <c r="BJ133" i="20"/>
  <c r="BF134" i="20"/>
  <c r="BJ134" i="20"/>
  <c r="BF104" i="20"/>
  <c r="BJ104" i="20"/>
  <c r="BF105" i="20"/>
  <c r="BJ105" i="20"/>
  <c r="BF106" i="20"/>
  <c r="BJ106" i="20"/>
  <c r="BF107" i="20"/>
  <c r="BJ107" i="20"/>
  <c r="BF108" i="20"/>
  <c r="BJ108" i="20"/>
  <c r="BF109" i="20"/>
  <c r="BJ109" i="20"/>
  <c r="BF110" i="20"/>
  <c r="BJ110" i="20"/>
  <c r="BF111" i="20"/>
  <c r="BJ111" i="20"/>
  <c r="BF112" i="20"/>
  <c r="BJ112" i="20"/>
  <c r="BF113" i="20"/>
  <c r="BJ113" i="20"/>
  <c r="BF114" i="20"/>
  <c r="BJ114" i="20"/>
  <c r="BF115" i="20"/>
  <c r="BJ115" i="20"/>
  <c r="BF116" i="20"/>
  <c r="BJ116" i="20"/>
  <c r="BF117" i="20"/>
  <c r="BJ117" i="20"/>
  <c r="BF118" i="20"/>
  <c r="BJ118" i="20"/>
  <c r="BF119" i="20"/>
  <c r="BJ119" i="20"/>
  <c r="BF120" i="20"/>
  <c r="BJ120" i="20"/>
  <c r="BF90" i="20"/>
  <c r="BJ90" i="20"/>
  <c r="BF91" i="20"/>
  <c r="BJ91" i="20"/>
  <c r="BF92" i="20"/>
  <c r="BJ92" i="20"/>
  <c r="BF93" i="20"/>
  <c r="BJ93" i="20"/>
  <c r="BF94" i="20"/>
  <c r="BJ94" i="20"/>
  <c r="BF95" i="20"/>
  <c r="BJ95" i="20"/>
  <c r="BF96" i="20"/>
  <c r="BJ96" i="20"/>
  <c r="BF97" i="20"/>
  <c r="BJ97" i="20"/>
  <c r="BF98" i="20"/>
  <c r="BJ98" i="20"/>
  <c r="BF99" i="20"/>
  <c r="BJ99" i="20"/>
  <c r="BF100" i="20"/>
  <c r="BJ100" i="20"/>
  <c r="BF101" i="20"/>
  <c r="BJ101" i="20"/>
  <c r="BF102" i="20"/>
  <c r="BJ102" i="20"/>
  <c r="BF103" i="20"/>
  <c r="BJ103" i="20"/>
  <c r="BF9" i="20"/>
  <c r="BJ9" i="20"/>
  <c r="BF10" i="20"/>
  <c r="BJ10" i="20"/>
  <c r="BF11" i="20"/>
  <c r="BJ11" i="20"/>
  <c r="BF12" i="20"/>
  <c r="BJ12" i="20"/>
  <c r="BF13" i="20"/>
  <c r="BJ13" i="20"/>
  <c r="BF14" i="20"/>
  <c r="BJ14" i="20"/>
  <c r="BF15" i="20"/>
  <c r="BJ15" i="20"/>
  <c r="BF16" i="20"/>
  <c r="BJ16" i="20"/>
  <c r="BF17" i="20"/>
  <c r="BJ17" i="20"/>
  <c r="BF18" i="20"/>
  <c r="BJ18" i="20"/>
  <c r="BF19" i="20"/>
  <c r="BJ19" i="20"/>
  <c r="BF20" i="20"/>
  <c r="BJ20" i="20"/>
  <c r="BF21" i="20"/>
  <c r="BJ21" i="20"/>
  <c r="BF22" i="20"/>
  <c r="BJ22" i="20"/>
  <c r="BF23" i="20"/>
  <c r="BJ23" i="20"/>
  <c r="BF24" i="20"/>
  <c r="BJ24" i="20"/>
  <c r="BF25" i="20"/>
  <c r="BJ25" i="20"/>
  <c r="BF26" i="20"/>
  <c r="BJ26" i="20"/>
  <c r="BF27" i="20"/>
  <c r="BJ27" i="20"/>
  <c r="BF28" i="20"/>
  <c r="BJ28" i="20"/>
  <c r="BF29" i="20"/>
  <c r="BJ29" i="20"/>
  <c r="BF30" i="20"/>
  <c r="BJ30" i="20"/>
  <c r="BF31" i="20"/>
  <c r="BJ31" i="20"/>
  <c r="BF32" i="20"/>
  <c r="BJ32" i="20"/>
  <c r="BF33" i="20"/>
  <c r="BJ33" i="20"/>
  <c r="BF34" i="20"/>
  <c r="BJ34" i="20"/>
  <c r="BF35" i="20"/>
  <c r="BJ35" i="20"/>
  <c r="BF36" i="20"/>
  <c r="BJ36" i="20"/>
  <c r="BF37" i="20"/>
  <c r="BJ37" i="20"/>
  <c r="BF38" i="20"/>
  <c r="BJ38" i="20"/>
  <c r="BF39" i="20"/>
  <c r="BJ39" i="20"/>
  <c r="BF40" i="20"/>
  <c r="BJ40" i="20"/>
  <c r="BF41" i="20"/>
  <c r="BJ41" i="20"/>
  <c r="BF42" i="20"/>
  <c r="BJ42" i="20"/>
  <c r="BF43" i="20"/>
  <c r="BJ43" i="20"/>
  <c r="BF44" i="20"/>
  <c r="BJ44" i="20"/>
  <c r="BF45" i="20"/>
  <c r="BJ45" i="20"/>
  <c r="BF46" i="20"/>
  <c r="BJ46" i="20"/>
  <c r="BF47" i="20"/>
  <c r="BJ47" i="20"/>
  <c r="BF48" i="20"/>
  <c r="BJ48" i="20"/>
  <c r="BF49" i="20"/>
  <c r="BJ49" i="20"/>
  <c r="BF50" i="20"/>
  <c r="BJ50" i="20"/>
  <c r="BF51" i="20"/>
  <c r="BJ51" i="20"/>
  <c r="BF52" i="20"/>
  <c r="BJ52" i="20"/>
  <c r="BF53" i="20"/>
  <c r="BJ53" i="20"/>
  <c r="BF54" i="20"/>
  <c r="BJ54" i="20"/>
  <c r="BF55" i="20"/>
  <c r="BJ55" i="20"/>
  <c r="BF56" i="20"/>
  <c r="BJ56" i="20"/>
  <c r="BF57" i="20"/>
  <c r="BJ57" i="20"/>
  <c r="BF58" i="20"/>
  <c r="BJ58" i="20"/>
  <c r="BF59" i="20"/>
  <c r="BJ59" i="20"/>
  <c r="BF60" i="20"/>
  <c r="BJ60" i="20"/>
  <c r="BF61" i="20"/>
  <c r="BJ61" i="20"/>
  <c r="BF62" i="20"/>
  <c r="BJ62" i="20"/>
  <c r="BF63" i="20"/>
  <c r="BJ63" i="20"/>
  <c r="BF64" i="20"/>
  <c r="BJ64" i="20"/>
  <c r="BF65" i="20"/>
  <c r="BJ65" i="20"/>
  <c r="BF66" i="20"/>
  <c r="BJ66" i="20"/>
  <c r="BF67" i="20"/>
  <c r="BJ67" i="20"/>
  <c r="BF68" i="20"/>
  <c r="BJ68" i="20"/>
  <c r="BF69" i="20"/>
  <c r="BJ69" i="20"/>
  <c r="BF70" i="20"/>
  <c r="BJ70" i="20"/>
  <c r="BF71" i="20"/>
  <c r="BJ71" i="20"/>
  <c r="BF72" i="20"/>
  <c r="BJ72" i="20"/>
  <c r="BF73" i="20"/>
  <c r="BJ73" i="20"/>
  <c r="BF74" i="20"/>
  <c r="BJ74" i="20"/>
  <c r="BF75" i="20"/>
  <c r="BJ75" i="20"/>
  <c r="BF76" i="20"/>
  <c r="BJ76" i="20"/>
  <c r="BF77" i="20"/>
  <c r="BJ77" i="20"/>
  <c r="BF78" i="20"/>
  <c r="BJ78" i="20"/>
  <c r="BF79" i="20"/>
  <c r="BJ79" i="20"/>
  <c r="BF80" i="20"/>
  <c r="BJ80" i="20"/>
  <c r="BF81" i="20"/>
  <c r="BJ81" i="20"/>
  <c r="BF82" i="20"/>
  <c r="BJ82" i="20"/>
  <c r="BF83" i="20"/>
  <c r="BJ83" i="20"/>
  <c r="BF84" i="20"/>
  <c r="BJ84" i="20"/>
  <c r="BF85" i="20"/>
  <c r="BJ85" i="20"/>
  <c r="BF86" i="20"/>
  <c r="BJ86" i="20"/>
  <c r="BF87" i="20"/>
  <c r="BJ87" i="20"/>
  <c r="BF88" i="20"/>
  <c r="BJ88" i="20"/>
  <c r="BF89" i="20"/>
  <c r="BJ89" i="20"/>
  <c r="BC166" i="20"/>
  <c r="BG166" i="20"/>
  <c r="BC167" i="20"/>
  <c r="BG167" i="20"/>
  <c r="BC151" i="20"/>
  <c r="BG151" i="20"/>
  <c r="BC152" i="20"/>
  <c r="BG152" i="20"/>
  <c r="BC153" i="20"/>
  <c r="BG153" i="20"/>
  <c r="BC154" i="20"/>
  <c r="BG154" i="20"/>
  <c r="BC155" i="20"/>
  <c r="BG155" i="20"/>
  <c r="BC156" i="20"/>
  <c r="BG156" i="20"/>
  <c r="BC157" i="20"/>
  <c r="BG157" i="20"/>
  <c r="BC158" i="20"/>
  <c r="BG158" i="20"/>
  <c r="BC159" i="20"/>
  <c r="BG159" i="20"/>
  <c r="BC160" i="20"/>
  <c r="BG160" i="20"/>
  <c r="BC161" i="20"/>
  <c r="BG161" i="20"/>
  <c r="BC162" i="20"/>
  <c r="BG162" i="20"/>
  <c r="BC163" i="20"/>
  <c r="BG163" i="20"/>
  <c r="BC164" i="20"/>
  <c r="BG164" i="20"/>
  <c r="BC165" i="20"/>
  <c r="BG165" i="20"/>
  <c r="BC135" i="20"/>
  <c r="BG135" i="20"/>
  <c r="BC136" i="20"/>
  <c r="BG136" i="20"/>
  <c r="BC137" i="20"/>
  <c r="BG137" i="20"/>
  <c r="BC138" i="20"/>
  <c r="BG138" i="20"/>
  <c r="BC139" i="20"/>
  <c r="BG139" i="20"/>
  <c r="BC140" i="20"/>
  <c r="BG140" i="20"/>
  <c r="BC141" i="20"/>
  <c r="BG141" i="20"/>
  <c r="BC142" i="20"/>
  <c r="BG142" i="20"/>
  <c r="BC143" i="20"/>
  <c r="BG143" i="20"/>
  <c r="BC144" i="20"/>
  <c r="BG144" i="20"/>
  <c r="BC145" i="20"/>
  <c r="BG145" i="20"/>
  <c r="BC146" i="20"/>
  <c r="BG146" i="20"/>
  <c r="BC147" i="20"/>
  <c r="BG147" i="20"/>
  <c r="BC148" i="20"/>
  <c r="BG148" i="20"/>
  <c r="BC149" i="20"/>
  <c r="BG149" i="20"/>
  <c r="BC150" i="20"/>
  <c r="BG150" i="20"/>
  <c r="BC121" i="20"/>
  <c r="BG121" i="20"/>
  <c r="BC122" i="20"/>
  <c r="BG122" i="20"/>
  <c r="BC123" i="20"/>
  <c r="BG123" i="20"/>
  <c r="BC124" i="20"/>
  <c r="BG124" i="20"/>
  <c r="BC125" i="20"/>
  <c r="BG125" i="20"/>
  <c r="BC126" i="20"/>
  <c r="BG126" i="20"/>
  <c r="BC127" i="20"/>
  <c r="BG127" i="20"/>
  <c r="BC128" i="20"/>
  <c r="BG128" i="20"/>
  <c r="BC129" i="20"/>
  <c r="BG129" i="20"/>
  <c r="BC130" i="20"/>
  <c r="BG130" i="20"/>
  <c r="BC131" i="20"/>
  <c r="BG131" i="20"/>
  <c r="BC132" i="20"/>
  <c r="BG132" i="20"/>
  <c r="BC133" i="20"/>
  <c r="BG133" i="20"/>
  <c r="BC134" i="20"/>
  <c r="BG134" i="20"/>
  <c r="BC104" i="20"/>
  <c r="BG104" i="20"/>
  <c r="BC105" i="20"/>
  <c r="BG105" i="20"/>
  <c r="BC106" i="20"/>
  <c r="BG106" i="20"/>
  <c r="BC107" i="20"/>
  <c r="BG107" i="20"/>
  <c r="BC108" i="20"/>
  <c r="BG108" i="20"/>
  <c r="BC109" i="20"/>
  <c r="BG109" i="20"/>
  <c r="BC110" i="20"/>
  <c r="BG110" i="20"/>
  <c r="BC111" i="20"/>
  <c r="BG111" i="20"/>
  <c r="BC112" i="20"/>
  <c r="BG112" i="20"/>
  <c r="BC113" i="20"/>
  <c r="BG113" i="20"/>
  <c r="BC114" i="20"/>
  <c r="BG114" i="20"/>
  <c r="BC115" i="20"/>
  <c r="BG115" i="20"/>
  <c r="BC116" i="20"/>
  <c r="BG116" i="20"/>
  <c r="BC117" i="20"/>
  <c r="BG117" i="20"/>
  <c r="BC118" i="20"/>
  <c r="BG118" i="20"/>
  <c r="BC119" i="20"/>
  <c r="BG119" i="20"/>
  <c r="BC120" i="20"/>
  <c r="BG120" i="20"/>
  <c r="BC90" i="20"/>
  <c r="BG90" i="20"/>
  <c r="BC91" i="20"/>
  <c r="BG91" i="20"/>
  <c r="BC92" i="20"/>
  <c r="BG92" i="20"/>
  <c r="BC93" i="20"/>
  <c r="BG93" i="20"/>
  <c r="BC94" i="20"/>
  <c r="BG94" i="20"/>
  <c r="BC95" i="20"/>
  <c r="BG95" i="20"/>
  <c r="BC96" i="20"/>
  <c r="BG96" i="20"/>
  <c r="BC97" i="20"/>
  <c r="BG97" i="20"/>
  <c r="BC98" i="20"/>
  <c r="BG98" i="20"/>
  <c r="BC99" i="20"/>
  <c r="BG99" i="20"/>
  <c r="BC100" i="20"/>
  <c r="BG100" i="20"/>
  <c r="BC101" i="20"/>
  <c r="BG101" i="20"/>
  <c r="BC102" i="20"/>
  <c r="BG102" i="20"/>
  <c r="BC103" i="20"/>
  <c r="BG103" i="20"/>
  <c r="BC9" i="20"/>
  <c r="BG9" i="20"/>
  <c r="BC10" i="20"/>
  <c r="BG10" i="20"/>
  <c r="BC11" i="20"/>
  <c r="BG11" i="20"/>
  <c r="BC12" i="20"/>
  <c r="BG12" i="20"/>
  <c r="BC13" i="20"/>
  <c r="BG13" i="20"/>
  <c r="BC14" i="20"/>
  <c r="BG14" i="20"/>
  <c r="BC15" i="20"/>
  <c r="BG15" i="20"/>
  <c r="BC16" i="20"/>
  <c r="BG16" i="20"/>
  <c r="BC17" i="20"/>
  <c r="BG17" i="20"/>
  <c r="BC18" i="20"/>
  <c r="BG18" i="20"/>
  <c r="BC19" i="20"/>
  <c r="BG19" i="20"/>
  <c r="BC20" i="20"/>
  <c r="BG20" i="20"/>
  <c r="BC21" i="20"/>
  <c r="BG21" i="20"/>
  <c r="BC22" i="20"/>
  <c r="BG22" i="20"/>
  <c r="BC23" i="20"/>
  <c r="BG23" i="20"/>
  <c r="BC24" i="20"/>
  <c r="BG24" i="20"/>
  <c r="BC25" i="20"/>
  <c r="BG25" i="20"/>
  <c r="BC26" i="20"/>
  <c r="BG26" i="20"/>
  <c r="BC27" i="20"/>
  <c r="BG27" i="20"/>
  <c r="BC28" i="20"/>
  <c r="BG28" i="20"/>
  <c r="BC29" i="20"/>
  <c r="BG29" i="20"/>
  <c r="BC30" i="20"/>
  <c r="BG30" i="20"/>
  <c r="BC31" i="20"/>
  <c r="BG31" i="20"/>
  <c r="BC32" i="20"/>
  <c r="BG32" i="20"/>
  <c r="BC33" i="20"/>
  <c r="BG33" i="20"/>
  <c r="BC34" i="20"/>
  <c r="BG34" i="20"/>
  <c r="BC35" i="20"/>
  <c r="BG35" i="20"/>
  <c r="BC36" i="20"/>
  <c r="BG36" i="20"/>
  <c r="BC37" i="20"/>
  <c r="BG37" i="20"/>
  <c r="BC38" i="20"/>
  <c r="BG38" i="20"/>
  <c r="BC39" i="20"/>
  <c r="BG39" i="20"/>
  <c r="BC40" i="20"/>
  <c r="BG40" i="20"/>
  <c r="BC41" i="20"/>
  <c r="BG41" i="20"/>
  <c r="BC42" i="20"/>
  <c r="BG42" i="20"/>
  <c r="BC43" i="20"/>
  <c r="BG43" i="20"/>
  <c r="BC44" i="20"/>
  <c r="BG44" i="20"/>
  <c r="BC45" i="20"/>
  <c r="BG45" i="20"/>
  <c r="BC46" i="20"/>
  <c r="BG46" i="20"/>
  <c r="BC47" i="20"/>
  <c r="BG47" i="20"/>
  <c r="BC48" i="20"/>
  <c r="BG48" i="20"/>
  <c r="BC49" i="20"/>
  <c r="BG49" i="20"/>
  <c r="BC50" i="20"/>
  <c r="BG50" i="20"/>
  <c r="BC51" i="20"/>
  <c r="BG51" i="20"/>
  <c r="BC52" i="20"/>
  <c r="BG52" i="20"/>
  <c r="BC53" i="20"/>
  <c r="BG53" i="20"/>
  <c r="BC54" i="20"/>
  <c r="BG54" i="20"/>
  <c r="BC55" i="20"/>
  <c r="BG55" i="20"/>
  <c r="BC56" i="20"/>
  <c r="BG56" i="20"/>
  <c r="BC57" i="20"/>
  <c r="BG57" i="20"/>
  <c r="BC58" i="20"/>
  <c r="BG58" i="20"/>
  <c r="BC59" i="20"/>
  <c r="BG59" i="20"/>
  <c r="BC60" i="20"/>
  <c r="BG60" i="20"/>
  <c r="BC61" i="20"/>
  <c r="BG61" i="20"/>
  <c r="BC62" i="20"/>
  <c r="BG62" i="20"/>
  <c r="BC63" i="20"/>
  <c r="BG63" i="20"/>
  <c r="BC64" i="20"/>
  <c r="BG64" i="20"/>
  <c r="BC65" i="20"/>
  <c r="BG65" i="20"/>
  <c r="BC66" i="20"/>
  <c r="BG66" i="20"/>
  <c r="BC67" i="20"/>
  <c r="BG67" i="20"/>
  <c r="BC68" i="20"/>
  <c r="BG68" i="20"/>
  <c r="BC69" i="20"/>
  <c r="BG69" i="20"/>
  <c r="BC70" i="20"/>
  <c r="BG70" i="20"/>
  <c r="BC71" i="20"/>
  <c r="BG71" i="20"/>
  <c r="BC72" i="20"/>
  <c r="BG72" i="20"/>
  <c r="BC73" i="20"/>
  <c r="BG73" i="20"/>
  <c r="BC74" i="20"/>
  <c r="BG74" i="20"/>
  <c r="BC75" i="20"/>
  <c r="BG75" i="20"/>
  <c r="BC76" i="20"/>
  <c r="BG76" i="20"/>
  <c r="BC77" i="20"/>
  <c r="BG77" i="20"/>
  <c r="BC78" i="20"/>
  <c r="BG78" i="20"/>
  <c r="BC79" i="20"/>
  <c r="BG79" i="20"/>
  <c r="BC80" i="20"/>
  <c r="BG80" i="20"/>
  <c r="BC81" i="20"/>
  <c r="BG81" i="20"/>
  <c r="BC82" i="20"/>
  <c r="BG82" i="20"/>
  <c r="BC83" i="20"/>
  <c r="BG83" i="20"/>
  <c r="BC84" i="20"/>
  <c r="BG84" i="20"/>
  <c r="BC85" i="20"/>
  <c r="BG85" i="20"/>
  <c r="BC86" i="20"/>
  <c r="BG86" i="20"/>
  <c r="BC87" i="20"/>
  <c r="BG87" i="20"/>
  <c r="BC88" i="20"/>
  <c r="BG88" i="20"/>
  <c r="BC89" i="20"/>
  <c r="BG89" i="20"/>
  <c r="BD167" i="20"/>
  <c r="BD152" i="20"/>
  <c r="BD154" i="20"/>
  <c r="BD156" i="20"/>
  <c r="BD158" i="20"/>
  <c r="BD160" i="20"/>
  <c r="BD162" i="20"/>
  <c r="BD164" i="20"/>
  <c r="BD135" i="20"/>
  <c r="BD137" i="20"/>
  <c r="BD139" i="20"/>
  <c r="BD141" i="20"/>
  <c r="BD143" i="20"/>
  <c r="BD145" i="20"/>
  <c r="BD147" i="20"/>
  <c r="BD149" i="20"/>
  <c r="BD121" i="20"/>
  <c r="BD123" i="20"/>
  <c r="BD125" i="20"/>
  <c r="BD127" i="20"/>
  <c r="BD129" i="20"/>
  <c r="BD131" i="20"/>
  <c r="BD133" i="20"/>
  <c r="BD104" i="20"/>
  <c r="BD106" i="20"/>
  <c r="BD108" i="20"/>
  <c r="BD110" i="20"/>
  <c r="BD112" i="20"/>
  <c r="BD114" i="20"/>
  <c r="BD116" i="20"/>
  <c r="BD118" i="20"/>
  <c r="BD120" i="20"/>
  <c r="BD91" i="20"/>
  <c r="BD93" i="20"/>
  <c r="BD95" i="20"/>
  <c r="BD97" i="20"/>
  <c r="BD99" i="20"/>
  <c r="BD101" i="20"/>
  <c r="BD103" i="20"/>
  <c r="BD10" i="20"/>
  <c r="BD12" i="20"/>
  <c r="BD14" i="20"/>
  <c r="BD16" i="20"/>
  <c r="BD18" i="20"/>
  <c r="BD20" i="20"/>
  <c r="BD22" i="20"/>
  <c r="BD24" i="20"/>
  <c r="BD26" i="20"/>
  <c r="BD28" i="20"/>
  <c r="BD30" i="20"/>
  <c r="BD32" i="20"/>
  <c r="BD34" i="20"/>
  <c r="BD36" i="20"/>
  <c r="BD38" i="20"/>
  <c r="BD40" i="20"/>
  <c r="BD42" i="20"/>
  <c r="BD44" i="20"/>
  <c r="BD46" i="20"/>
  <c r="BD48" i="20"/>
  <c r="BD50" i="20"/>
  <c r="BD52" i="20"/>
  <c r="BD54" i="20"/>
  <c r="BD56" i="20"/>
  <c r="BD58" i="20"/>
  <c r="BD60" i="20"/>
  <c r="BD62" i="20"/>
  <c r="BD64" i="20"/>
  <c r="BD66" i="20"/>
  <c r="BD68" i="20"/>
  <c r="BD70" i="20"/>
  <c r="BD72" i="20"/>
  <c r="BD74" i="20"/>
  <c r="BD76" i="20"/>
  <c r="BD78" i="20"/>
  <c r="BD80" i="20"/>
  <c r="BD82" i="20"/>
  <c r="BD84" i="20"/>
  <c r="BD86" i="20"/>
  <c r="BD88" i="20"/>
  <c r="BH167" i="20"/>
  <c r="BH152" i="20"/>
  <c r="BH154" i="20"/>
  <c r="BH156" i="20"/>
  <c r="BH158" i="20"/>
  <c r="BH160" i="20"/>
  <c r="BH162" i="20"/>
  <c r="BH164" i="20"/>
  <c r="BH135" i="20"/>
  <c r="BH137" i="20"/>
  <c r="BH139" i="20"/>
  <c r="BH141" i="20"/>
  <c r="BH143" i="20"/>
  <c r="BH145" i="20"/>
  <c r="BH147" i="20"/>
  <c r="BH149" i="20"/>
  <c r="BH121" i="20"/>
  <c r="BH123" i="20"/>
  <c r="BH125" i="20"/>
  <c r="BH127" i="20"/>
  <c r="BH129" i="20"/>
  <c r="BH131" i="20"/>
  <c r="BH133" i="20"/>
  <c r="BH104" i="20"/>
  <c r="BH106" i="20"/>
  <c r="BH108" i="20"/>
  <c r="BH110" i="20"/>
  <c r="BH112" i="20"/>
  <c r="BH114" i="20"/>
  <c r="BH116" i="20"/>
  <c r="BH118" i="20"/>
  <c r="BH120" i="20"/>
  <c r="BH91" i="20"/>
  <c r="BH93" i="20"/>
  <c r="BH95" i="20"/>
  <c r="BH97" i="20"/>
  <c r="BH99" i="20"/>
  <c r="BH101" i="20"/>
  <c r="BH103" i="20"/>
  <c r="BH10" i="20"/>
  <c r="BH12" i="20"/>
  <c r="BH14" i="20"/>
  <c r="BH16" i="20"/>
  <c r="BH18" i="20"/>
  <c r="BH20" i="20"/>
  <c r="BH22" i="20"/>
  <c r="BH24" i="20"/>
  <c r="BH26" i="20"/>
  <c r="BH28" i="20"/>
  <c r="BH30" i="20"/>
  <c r="BH32" i="20"/>
  <c r="BH34" i="20"/>
  <c r="BH36" i="20"/>
  <c r="BH38" i="20"/>
  <c r="BH40" i="20"/>
  <c r="BH42" i="20"/>
  <c r="BH44" i="20"/>
  <c r="BH46" i="20"/>
  <c r="BH48" i="20"/>
  <c r="BH50" i="20"/>
  <c r="BH52" i="20"/>
  <c r="BH54" i="20"/>
  <c r="BH56" i="20"/>
  <c r="BH58" i="20"/>
  <c r="BH60" i="20"/>
  <c r="BH62" i="20"/>
  <c r="BH64" i="20"/>
  <c r="BH66" i="20"/>
  <c r="BH68" i="20"/>
  <c r="BH70" i="20"/>
  <c r="BH72" i="20"/>
  <c r="BH74" i="20"/>
  <c r="BH76" i="20"/>
  <c r="BH78" i="20"/>
  <c r="BH80" i="20"/>
  <c r="BH82" i="20"/>
  <c r="BH84" i="20"/>
  <c r="BH86" i="20"/>
  <c r="BH88" i="20"/>
  <c r="BD166" i="20"/>
  <c r="BD151" i="20"/>
  <c r="BD153" i="20"/>
  <c r="BD155" i="20"/>
  <c r="BD157" i="20"/>
  <c r="BD159" i="20"/>
  <c r="BD161" i="20"/>
  <c r="BD163" i="20"/>
  <c r="BD165" i="20"/>
  <c r="BD136" i="20"/>
  <c r="BD138" i="20"/>
  <c r="BD140" i="20"/>
  <c r="BD142" i="20"/>
  <c r="BD144" i="20"/>
  <c r="BD146" i="20"/>
  <c r="BD148" i="20"/>
  <c r="BD150" i="20"/>
  <c r="BD122" i="20"/>
  <c r="BD124" i="20"/>
  <c r="BD126" i="20"/>
  <c r="BD128" i="20"/>
  <c r="BD130" i="20"/>
  <c r="BD132" i="20"/>
  <c r="BD134" i="20"/>
  <c r="BD105" i="20"/>
  <c r="BD107" i="20"/>
  <c r="BD109" i="20"/>
  <c r="BD111" i="20"/>
  <c r="BD113" i="20"/>
  <c r="BD115" i="20"/>
  <c r="BD117" i="20"/>
  <c r="BD119" i="20"/>
  <c r="BD90" i="20"/>
  <c r="BD92" i="20"/>
  <c r="BD94" i="20"/>
  <c r="BD96" i="20"/>
  <c r="BD98" i="20"/>
  <c r="BD100" i="20"/>
  <c r="BD102" i="20"/>
  <c r="BD9" i="20"/>
  <c r="BD11" i="20"/>
  <c r="BD13" i="20"/>
  <c r="BD15" i="20"/>
  <c r="BD17" i="20"/>
  <c r="BD19" i="20"/>
  <c r="BD21" i="20"/>
  <c r="BD23" i="20"/>
  <c r="BD25" i="20"/>
  <c r="BD27" i="20"/>
  <c r="BD29" i="20"/>
  <c r="BD31" i="20"/>
  <c r="BD33" i="20"/>
  <c r="BD35" i="20"/>
  <c r="BD37" i="20"/>
  <c r="BD39" i="20"/>
  <c r="BD41" i="20"/>
  <c r="BD43" i="20"/>
  <c r="BD45" i="20"/>
  <c r="BD47" i="20"/>
  <c r="BD49" i="20"/>
  <c r="BD51" i="20"/>
  <c r="BD53" i="20"/>
  <c r="BD55" i="20"/>
  <c r="BD57" i="20"/>
  <c r="BD59" i="20"/>
  <c r="BD61" i="20"/>
  <c r="BD63" i="20"/>
  <c r="BD65" i="20"/>
  <c r="BD67" i="20"/>
  <c r="BD69" i="20"/>
  <c r="BD71" i="20"/>
  <c r="BD73" i="20"/>
  <c r="BD75" i="20"/>
  <c r="BD77" i="20"/>
  <c r="BD79" i="20"/>
  <c r="BD81" i="20"/>
  <c r="BD83" i="20"/>
  <c r="BD85" i="20"/>
  <c r="BD87" i="20"/>
  <c r="BD89" i="20"/>
  <c r="BH166" i="20"/>
  <c r="BH151" i="20"/>
  <c r="BH153" i="20"/>
  <c r="BH155" i="20"/>
  <c r="BH157" i="20"/>
  <c r="BH159" i="20"/>
  <c r="BH161" i="20"/>
  <c r="BH163" i="20"/>
  <c r="BH165" i="20"/>
  <c r="BH136" i="20"/>
  <c r="BH138" i="20"/>
  <c r="BH140" i="20"/>
  <c r="BH142" i="20"/>
  <c r="BH144" i="20"/>
  <c r="BH146" i="20"/>
  <c r="BH148" i="20"/>
  <c r="BH150" i="20"/>
  <c r="BH122" i="20"/>
  <c r="BH124" i="20"/>
  <c r="BH126" i="20"/>
  <c r="BH128" i="20"/>
  <c r="BH130" i="20"/>
  <c r="BH132" i="20"/>
  <c r="BH134" i="20"/>
  <c r="BH105" i="20"/>
  <c r="BH107" i="20"/>
  <c r="BH109" i="20"/>
  <c r="BH111" i="20"/>
  <c r="BH113" i="20"/>
  <c r="BH115" i="20"/>
  <c r="BH117" i="20"/>
  <c r="BH119" i="20"/>
  <c r="BH90" i="20"/>
  <c r="BH92" i="20"/>
  <c r="BH94" i="20"/>
  <c r="BH96" i="20"/>
  <c r="BH98" i="20"/>
  <c r="BH100" i="20"/>
  <c r="BH102" i="20"/>
  <c r="BH9" i="20"/>
  <c r="BH11" i="20"/>
  <c r="BH13" i="20"/>
  <c r="BH15" i="20"/>
  <c r="BH17" i="20"/>
  <c r="BH19" i="20"/>
  <c r="BH21" i="20"/>
  <c r="BH23" i="20"/>
  <c r="BH25" i="20"/>
  <c r="BH27" i="20"/>
  <c r="BH29" i="20"/>
  <c r="BH31" i="20"/>
  <c r="BH33" i="20"/>
  <c r="BH35" i="20"/>
  <c r="BH37" i="20"/>
  <c r="BH39" i="20"/>
  <c r="BH41" i="20"/>
  <c r="BH43" i="20"/>
  <c r="BH45" i="20"/>
  <c r="BH47" i="20"/>
  <c r="BH49" i="20"/>
  <c r="BH51" i="20"/>
  <c r="BH53" i="20"/>
  <c r="BH55" i="20"/>
  <c r="BH57" i="20"/>
  <c r="BH59" i="20"/>
  <c r="BH61" i="20"/>
  <c r="BH63" i="20"/>
  <c r="BH65" i="20"/>
  <c r="BH67" i="20"/>
  <c r="BH69" i="20"/>
  <c r="BH71" i="20"/>
  <c r="BH73" i="20"/>
  <c r="BH75" i="20"/>
  <c r="BH77" i="20"/>
  <c r="BH79" i="20"/>
  <c r="BH81" i="20"/>
  <c r="BH83" i="20"/>
  <c r="BH85" i="20"/>
  <c r="BH87" i="20"/>
  <c r="BH89" i="20"/>
  <c r="CI153" i="20"/>
  <c r="CM153" i="20"/>
  <c r="CI154" i="20"/>
  <c r="CM154" i="20"/>
  <c r="CI155" i="20"/>
  <c r="CM155" i="20"/>
  <c r="CI156" i="20"/>
  <c r="CM156" i="20"/>
  <c r="CI157" i="20"/>
  <c r="CM157" i="20"/>
  <c r="CI158" i="20"/>
  <c r="CM158" i="20"/>
  <c r="CI159" i="20"/>
  <c r="CM159" i="20"/>
  <c r="CI160" i="20"/>
  <c r="CM160" i="20"/>
  <c r="CI161" i="20"/>
  <c r="CM161" i="20"/>
  <c r="CI162" i="20"/>
  <c r="CM162" i="20"/>
  <c r="CI163" i="20"/>
  <c r="CM163" i="20"/>
  <c r="CI164" i="20"/>
  <c r="CM164" i="20"/>
  <c r="CI165" i="20"/>
  <c r="CM165" i="20"/>
  <c r="CI166" i="20"/>
  <c r="CM166" i="20"/>
  <c r="CI167" i="20"/>
  <c r="CM167" i="20"/>
  <c r="CJ81" i="20"/>
  <c r="CN81" i="20"/>
  <c r="CJ82" i="20"/>
  <c r="CN82" i="20"/>
  <c r="CJ83" i="20"/>
  <c r="CN83" i="20"/>
  <c r="CJ84" i="20"/>
  <c r="CN84" i="20"/>
  <c r="CJ85" i="20"/>
  <c r="CN85" i="20"/>
  <c r="CJ86" i="20"/>
  <c r="CN86" i="20"/>
  <c r="CJ87" i="20"/>
  <c r="CN87" i="20"/>
  <c r="CJ88" i="20"/>
  <c r="CN88" i="20"/>
  <c r="CJ89" i="20"/>
  <c r="CN89" i="20"/>
  <c r="CJ90" i="20"/>
  <c r="CN90" i="20"/>
  <c r="CJ91" i="20"/>
  <c r="CN91" i="20"/>
  <c r="CJ92" i="20"/>
  <c r="CN92" i="20"/>
  <c r="CJ93" i="20"/>
  <c r="CN93" i="20"/>
  <c r="CJ94" i="20"/>
  <c r="CN94" i="20"/>
  <c r="CJ95" i="20"/>
  <c r="CN95" i="20"/>
  <c r="CJ96" i="20"/>
  <c r="CN96" i="20"/>
  <c r="CJ97" i="20"/>
  <c r="CN97" i="20"/>
  <c r="CJ98" i="20"/>
  <c r="CN98" i="20"/>
  <c r="CJ99" i="20"/>
  <c r="CN99" i="20"/>
  <c r="CJ100" i="20"/>
  <c r="CN100" i="20"/>
  <c r="CJ101" i="20"/>
  <c r="CN101" i="20"/>
  <c r="CJ102" i="20"/>
  <c r="CN102" i="20"/>
  <c r="CJ103" i="20"/>
  <c r="CN103" i="20"/>
  <c r="CJ104" i="20"/>
  <c r="CN104" i="20"/>
  <c r="CJ105" i="20"/>
  <c r="CN105" i="20"/>
  <c r="CJ106" i="20"/>
  <c r="CN106" i="20"/>
  <c r="CJ107" i="20"/>
  <c r="CN107" i="20"/>
  <c r="CJ108" i="20"/>
  <c r="CN108" i="20"/>
  <c r="CJ109" i="20"/>
  <c r="CN109" i="20"/>
  <c r="CJ110" i="20"/>
  <c r="CN110" i="20"/>
  <c r="CJ111" i="20"/>
  <c r="CN111" i="20"/>
  <c r="CJ112" i="20"/>
  <c r="CN112" i="20"/>
  <c r="CJ113" i="20"/>
  <c r="CN113" i="20"/>
  <c r="CJ114" i="20"/>
  <c r="CN114" i="20"/>
  <c r="CJ115" i="20"/>
  <c r="CN115" i="20"/>
  <c r="CJ116" i="20"/>
  <c r="CN116" i="20"/>
  <c r="CJ117" i="20"/>
  <c r="CN117" i="20"/>
  <c r="CJ118" i="20"/>
  <c r="CN118" i="20"/>
  <c r="CJ119" i="20"/>
  <c r="CN119" i="20"/>
  <c r="CJ120" i="20"/>
  <c r="CN120" i="20"/>
  <c r="CJ121" i="20"/>
  <c r="CN121" i="20"/>
  <c r="CJ122" i="20"/>
  <c r="CN122" i="20"/>
  <c r="CJ123" i="20"/>
  <c r="CN123" i="20"/>
  <c r="CJ124" i="20"/>
  <c r="CN124" i="20"/>
  <c r="CJ125" i="20"/>
  <c r="CN125" i="20"/>
  <c r="CJ126" i="20"/>
  <c r="CN126" i="20"/>
  <c r="CJ127" i="20"/>
  <c r="CN127" i="20"/>
  <c r="CJ128" i="20"/>
  <c r="CN128" i="20"/>
  <c r="CJ129" i="20"/>
  <c r="CN129" i="20"/>
  <c r="CJ130" i="20"/>
  <c r="CN130" i="20"/>
  <c r="CJ131" i="20"/>
  <c r="CN131" i="20"/>
  <c r="CJ132" i="20"/>
  <c r="CN132" i="20"/>
  <c r="CJ133" i="20"/>
  <c r="CN133" i="20"/>
  <c r="CJ134" i="20"/>
  <c r="CN134" i="20"/>
  <c r="CJ135" i="20"/>
  <c r="CN135" i="20"/>
  <c r="CJ136" i="20"/>
  <c r="CN136" i="20"/>
  <c r="CJ137" i="20"/>
  <c r="CN137" i="20"/>
  <c r="CJ138" i="20"/>
  <c r="CN138" i="20"/>
  <c r="CL153" i="20"/>
  <c r="CP153" i="20"/>
  <c r="CL154" i="20"/>
  <c r="CP154" i="20"/>
  <c r="CL155" i="20"/>
  <c r="CP155" i="20"/>
  <c r="CL156" i="20"/>
  <c r="CP156" i="20"/>
  <c r="CL157" i="20"/>
  <c r="CP157" i="20"/>
  <c r="CL158" i="20"/>
  <c r="CP158" i="20"/>
  <c r="CL159" i="20"/>
  <c r="CP159" i="20"/>
  <c r="CL160" i="20"/>
  <c r="CP160" i="20"/>
  <c r="CL161" i="20"/>
  <c r="CP161" i="20"/>
  <c r="CL162" i="20"/>
  <c r="CP162" i="20"/>
  <c r="CL163" i="20"/>
  <c r="CP163" i="20"/>
  <c r="CL164" i="20"/>
  <c r="CP164" i="20"/>
  <c r="CL165" i="20"/>
  <c r="CP165" i="20"/>
  <c r="CL166" i="20"/>
  <c r="CP166" i="20"/>
  <c r="CL167" i="20"/>
  <c r="CI81" i="20"/>
  <c r="CM81" i="20"/>
  <c r="CI82" i="20"/>
  <c r="CM82" i="20"/>
  <c r="CI83" i="20"/>
  <c r="CM83" i="20"/>
  <c r="CI84" i="20"/>
  <c r="CM84" i="20"/>
  <c r="CI85" i="20"/>
  <c r="CM85" i="20"/>
  <c r="CI86" i="20"/>
  <c r="CM86" i="20"/>
  <c r="CI87" i="20"/>
  <c r="CM87" i="20"/>
  <c r="CI88" i="20"/>
  <c r="CM88" i="20"/>
  <c r="CI89" i="20"/>
  <c r="CM89" i="20"/>
  <c r="CI90" i="20"/>
  <c r="CM90" i="20"/>
  <c r="CI91" i="20"/>
  <c r="CM91" i="20"/>
  <c r="CI92" i="20"/>
  <c r="CM92" i="20"/>
  <c r="CI93" i="20"/>
  <c r="CM93" i="20"/>
  <c r="CI94" i="20"/>
  <c r="CM94" i="20"/>
  <c r="CI95" i="20"/>
  <c r="CM95" i="20"/>
  <c r="CI96" i="20"/>
  <c r="CM96" i="20"/>
  <c r="CI97" i="20"/>
  <c r="CM97" i="20"/>
  <c r="CI98" i="20"/>
  <c r="CM98" i="20"/>
  <c r="CI99" i="20"/>
  <c r="CM99" i="20"/>
  <c r="CI100" i="20"/>
  <c r="CM100" i="20"/>
  <c r="CI101" i="20"/>
  <c r="CM101" i="20"/>
  <c r="CI102" i="20"/>
  <c r="CM102" i="20"/>
  <c r="CI103" i="20"/>
  <c r="CM103" i="20"/>
  <c r="CI104" i="20"/>
  <c r="CM104" i="20"/>
  <c r="CI105" i="20"/>
  <c r="CM105" i="20"/>
  <c r="CI106" i="20"/>
  <c r="CM106" i="20"/>
  <c r="CI107" i="20"/>
  <c r="CM107" i="20"/>
  <c r="CI108" i="20"/>
  <c r="CM108" i="20"/>
  <c r="CI109" i="20"/>
  <c r="CM109" i="20"/>
  <c r="CI110" i="20"/>
  <c r="CM110" i="20"/>
  <c r="CI111" i="20"/>
  <c r="CM111" i="20"/>
  <c r="CI112" i="20"/>
  <c r="CM112" i="20"/>
  <c r="CI113" i="20"/>
  <c r="CM113" i="20"/>
  <c r="CI114" i="20"/>
  <c r="CM114" i="20"/>
  <c r="CI115" i="20"/>
  <c r="CM115" i="20"/>
  <c r="CI116" i="20"/>
  <c r="CM116" i="20"/>
  <c r="CI117" i="20"/>
  <c r="CM117" i="20"/>
  <c r="CI118" i="20"/>
  <c r="CM118" i="20"/>
  <c r="CI119" i="20"/>
  <c r="CM119" i="20"/>
  <c r="CI120" i="20"/>
  <c r="CM120" i="20"/>
  <c r="CI121" i="20"/>
  <c r="CM121" i="20"/>
  <c r="CI122" i="20"/>
  <c r="CM122" i="20"/>
  <c r="CI123" i="20"/>
  <c r="CM123" i="20"/>
  <c r="CI124" i="20"/>
  <c r="CM124" i="20"/>
  <c r="CI125" i="20"/>
  <c r="CM125" i="20"/>
  <c r="CI126" i="20"/>
  <c r="CM126" i="20"/>
  <c r="CI127" i="20"/>
  <c r="CM127" i="20"/>
  <c r="CI128" i="20"/>
  <c r="CM128" i="20"/>
  <c r="CI129" i="20"/>
  <c r="CM129" i="20"/>
  <c r="CI130" i="20"/>
  <c r="CM130" i="20"/>
  <c r="CI131" i="20"/>
  <c r="CM131" i="20"/>
  <c r="CI132" i="20"/>
  <c r="CM132" i="20"/>
  <c r="CI133" i="20"/>
  <c r="CM133" i="20"/>
  <c r="CI134" i="20"/>
  <c r="CM134" i="20"/>
  <c r="CI135" i="20"/>
  <c r="CM135" i="20"/>
  <c r="CI136" i="20"/>
  <c r="CM136" i="20"/>
  <c r="CI137" i="20"/>
  <c r="CM137" i="20"/>
  <c r="CI138" i="20"/>
  <c r="CM138" i="20"/>
  <c r="CI139" i="20"/>
  <c r="CM139" i="20"/>
  <c r="CI140" i="20"/>
  <c r="CM140" i="20"/>
  <c r="CI141" i="20"/>
  <c r="CM141" i="20"/>
  <c r="CI142" i="20"/>
  <c r="CM142" i="20"/>
  <c r="CI143" i="20"/>
  <c r="CM143" i="20"/>
  <c r="CI144" i="20"/>
  <c r="CM144" i="20"/>
  <c r="CI145" i="20"/>
  <c r="CM145" i="20"/>
  <c r="CI146" i="20"/>
  <c r="CM146" i="20"/>
  <c r="CO153" i="20"/>
  <c r="CO154" i="20"/>
  <c r="CO155" i="20"/>
  <c r="CO156" i="20"/>
  <c r="CO157" i="20"/>
  <c r="CO158" i="20"/>
  <c r="CO159" i="20"/>
  <c r="CO160" i="20"/>
  <c r="CO161" i="20"/>
  <c r="CO162" i="20"/>
  <c r="CO163" i="20"/>
  <c r="CO164" i="20"/>
  <c r="CO165" i="20"/>
  <c r="CP167" i="20"/>
  <c r="CP81" i="20"/>
  <c r="CP82" i="20"/>
  <c r="CP83" i="20"/>
  <c r="CP84" i="20"/>
  <c r="CP85" i="20"/>
  <c r="CP86" i="20"/>
  <c r="CP87" i="20"/>
  <c r="CP88" i="20"/>
  <c r="CP89" i="20"/>
  <c r="CP90" i="20"/>
  <c r="CP91" i="20"/>
  <c r="CP92" i="20"/>
  <c r="CP93" i="20"/>
  <c r="CP94" i="20"/>
  <c r="CP95" i="20"/>
  <c r="CP96" i="20"/>
  <c r="CP97" i="20"/>
  <c r="CP98" i="20"/>
  <c r="CP99" i="20"/>
  <c r="CP100" i="20"/>
  <c r="CP101" i="20"/>
  <c r="CP102" i="20"/>
  <c r="CP103" i="20"/>
  <c r="CP104" i="20"/>
  <c r="CP105" i="20"/>
  <c r="CP106" i="20"/>
  <c r="CP107" i="20"/>
  <c r="CP108" i="20"/>
  <c r="CP109" i="20"/>
  <c r="CP110" i="20"/>
  <c r="CP111" i="20"/>
  <c r="CP112" i="20"/>
  <c r="CP113" i="20"/>
  <c r="CP114" i="20"/>
  <c r="CP115" i="20"/>
  <c r="CP116" i="20"/>
  <c r="CP117" i="20"/>
  <c r="CP118" i="20"/>
  <c r="CP119" i="20"/>
  <c r="CP120" i="20"/>
  <c r="CP121" i="20"/>
  <c r="CP122" i="20"/>
  <c r="CP123" i="20"/>
  <c r="CP124" i="20"/>
  <c r="CP125" i="20"/>
  <c r="CP126" i="20"/>
  <c r="CP127" i="20"/>
  <c r="CP128" i="20"/>
  <c r="CP129" i="20"/>
  <c r="CP130" i="20"/>
  <c r="CP131" i="20"/>
  <c r="CP132" i="20"/>
  <c r="CP133" i="20"/>
  <c r="CP134" i="20"/>
  <c r="CP135" i="20"/>
  <c r="CP136" i="20"/>
  <c r="CP137" i="20"/>
  <c r="CP138" i="20"/>
  <c r="CN139" i="20"/>
  <c r="CK140" i="20"/>
  <c r="CP140" i="20"/>
  <c r="CN141" i="20"/>
  <c r="CK142" i="20"/>
  <c r="CP142" i="20"/>
  <c r="CN143" i="20"/>
  <c r="CK144" i="20"/>
  <c r="CP144" i="20"/>
  <c r="CN145" i="20"/>
  <c r="CK146" i="20"/>
  <c r="CP146" i="20"/>
  <c r="CL147" i="20"/>
  <c r="CP147" i="20"/>
  <c r="CL148" i="20"/>
  <c r="CP148" i="20"/>
  <c r="CL149" i="20"/>
  <c r="CP149" i="20"/>
  <c r="CL150" i="20"/>
  <c r="CP150" i="20"/>
  <c r="CL151" i="20"/>
  <c r="CP151" i="20"/>
  <c r="CL152" i="20"/>
  <c r="CP152" i="20"/>
  <c r="CL70" i="20"/>
  <c r="CP70" i="20"/>
  <c r="CL71" i="20"/>
  <c r="CP71" i="20"/>
  <c r="CL72" i="20"/>
  <c r="CP72" i="20"/>
  <c r="CL73" i="20"/>
  <c r="CP73" i="20"/>
  <c r="CL74" i="20"/>
  <c r="CP74" i="20"/>
  <c r="CL75" i="20"/>
  <c r="CP75" i="20"/>
  <c r="CL76" i="20"/>
  <c r="CP76" i="20"/>
  <c r="CL77" i="20"/>
  <c r="CP77" i="20"/>
  <c r="CL78" i="20"/>
  <c r="CP78" i="20"/>
  <c r="CL79" i="20"/>
  <c r="CP79" i="20"/>
  <c r="CL80" i="20"/>
  <c r="CP80" i="20"/>
  <c r="CL23" i="20"/>
  <c r="CP23" i="20"/>
  <c r="CL24" i="20"/>
  <c r="CP24" i="20"/>
  <c r="CL25" i="20"/>
  <c r="CP25" i="20"/>
  <c r="CL26" i="20"/>
  <c r="CP26" i="20"/>
  <c r="CL27" i="20"/>
  <c r="CP27" i="20"/>
  <c r="CL28" i="20"/>
  <c r="CP28" i="20"/>
  <c r="CL29" i="20"/>
  <c r="CP29" i="20"/>
  <c r="CL30" i="20"/>
  <c r="CP30" i="20"/>
  <c r="CL31" i="20"/>
  <c r="CP31" i="20"/>
  <c r="CL32" i="20"/>
  <c r="CP32" i="20"/>
  <c r="CL33" i="20"/>
  <c r="CP33" i="20"/>
  <c r="CL34" i="20"/>
  <c r="CP34" i="20"/>
  <c r="CL35" i="20"/>
  <c r="CP35" i="20"/>
  <c r="CL36" i="20"/>
  <c r="CP36" i="20"/>
  <c r="CL37" i="20"/>
  <c r="CP37" i="20"/>
  <c r="CL38" i="20"/>
  <c r="CP38" i="20"/>
  <c r="CL39" i="20"/>
  <c r="CP39" i="20"/>
  <c r="CL40" i="20"/>
  <c r="CP40" i="20"/>
  <c r="CL41" i="20"/>
  <c r="CP41" i="20"/>
  <c r="CL42" i="20"/>
  <c r="CP42" i="20"/>
  <c r="CL43" i="20"/>
  <c r="CP43" i="20"/>
  <c r="CL44" i="20"/>
  <c r="CP44" i="20"/>
  <c r="CL45" i="20"/>
  <c r="CP45" i="20"/>
  <c r="CL46" i="20"/>
  <c r="CP46" i="20"/>
  <c r="CL47" i="20"/>
  <c r="CP47" i="20"/>
  <c r="CL48" i="20"/>
  <c r="CP48" i="20"/>
  <c r="CL49" i="20"/>
  <c r="CP49" i="20"/>
  <c r="CL50" i="20"/>
  <c r="CP50" i="20"/>
  <c r="CL51" i="20"/>
  <c r="CP51" i="20"/>
  <c r="CL52" i="20"/>
  <c r="CP52" i="20"/>
  <c r="CL53" i="20"/>
  <c r="CP53" i="20"/>
  <c r="CL54" i="20"/>
  <c r="CP54" i="20"/>
  <c r="CL55" i="20"/>
  <c r="CP55" i="20"/>
  <c r="CL56" i="20"/>
  <c r="CP56" i="20"/>
  <c r="CL57" i="20"/>
  <c r="CP57" i="20"/>
  <c r="CL58" i="20"/>
  <c r="CP58" i="20"/>
  <c r="CL59" i="20"/>
  <c r="CP59" i="20"/>
  <c r="CL60" i="20"/>
  <c r="CP60" i="20"/>
  <c r="CL61" i="20"/>
  <c r="CP61" i="20"/>
  <c r="CL62" i="20"/>
  <c r="CP62" i="20"/>
  <c r="CL63" i="20"/>
  <c r="CP63" i="20"/>
  <c r="CL64" i="20"/>
  <c r="CP64" i="20"/>
  <c r="CL65" i="20"/>
  <c r="CP65" i="20"/>
  <c r="CL66" i="20"/>
  <c r="CP66" i="20"/>
  <c r="CL67" i="20"/>
  <c r="CP67" i="20"/>
  <c r="CL68" i="20"/>
  <c r="CP68" i="20"/>
  <c r="CL69" i="20"/>
  <c r="CP69" i="20"/>
  <c r="CL9" i="20"/>
  <c r="CP9" i="20"/>
  <c r="CL10" i="20"/>
  <c r="CP10" i="20"/>
  <c r="CL11" i="20"/>
  <c r="CP11" i="20"/>
  <c r="CL12" i="20"/>
  <c r="CP12" i="20"/>
  <c r="CL13" i="20"/>
  <c r="CP13" i="20"/>
  <c r="CL14" i="20"/>
  <c r="CP14" i="20"/>
  <c r="CL15" i="20"/>
  <c r="CP15" i="20"/>
  <c r="CL16" i="20"/>
  <c r="CP16" i="20"/>
  <c r="CL17" i="20"/>
  <c r="CP17" i="20"/>
  <c r="CL18" i="20"/>
  <c r="CP18" i="20"/>
  <c r="CL19" i="20"/>
  <c r="CP19" i="20"/>
  <c r="CL20" i="20"/>
  <c r="CP20" i="20"/>
  <c r="CL21" i="20"/>
  <c r="CP21" i="20"/>
  <c r="CL22" i="20"/>
  <c r="CP22" i="20"/>
  <c r="CJ153" i="20"/>
  <c r="CJ154" i="20"/>
  <c r="CJ155" i="20"/>
  <c r="CJ156" i="20"/>
  <c r="CJ157" i="20"/>
  <c r="CJ158" i="20"/>
  <c r="CJ159" i="20"/>
  <c r="CJ160" i="20"/>
  <c r="CJ161" i="20"/>
  <c r="CJ162" i="20"/>
  <c r="CJ163" i="20"/>
  <c r="CJ164" i="20"/>
  <c r="CJ165" i="20"/>
  <c r="CJ166" i="20"/>
  <c r="CJ167" i="20"/>
  <c r="CK81" i="20"/>
  <c r="CK82" i="20"/>
  <c r="CK83" i="20"/>
  <c r="CK84" i="20"/>
  <c r="CK85" i="20"/>
  <c r="CK86" i="20"/>
  <c r="CK87" i="20"/>
  <c r="CK88" i="20"/>
  <c r="CK89" i="20"/>
  <c r="CK90" i="20"/>
  <c r="CK91" i="20"/>
  <c r="CK92" i="20"/>
  <c r="CK93" i="20"/>
  <c r="CK94" i="20"/>
  <c r="CK95" i="20"/>
  <c r="CK96" i="20"/>
  <c r="CK97" i="20"/>
  <c r="CK98" i="20"/>
  <c r="CK99" i="20"/>
  <c r="CK100" i="20"/>
  <c r="CK101" i="20"/>
  <c r="CK102" i="20"/>
  <c r="CK103" i="20"/>
  <c r="CK104" i="20"/>
  <c r="CK105" i="20"/>
  <c r="CK106" i="20"/>
  <c r="CK107" i="20"/>
  <c r="CK108" i="20"/>
  <c r="CK109" i="20"/>
  <c r="CK110" i="20"/>
  <c r="CK111" i="20"/>
  <c r="CK112" i="20"/>
  <c r="CK113" i="20"/>
  <c r="CK114" i="20"/>
  <c r="CK115" i="20"/>
  <c r="CK116" i="20"/>
  <c r="CK117" i="20"/>
  <c r="CK118" i="20"/>
  <c r="CK119" i="20"/>
  <c r="CK120" i="20"/>
  <c r="CK121" i="20"/>
  <c r="CK122" i="20"/>
  <c r="CK123" i="20"/>
  <c r="CK124" i="20"/>
  <c r="CK125" i="20"/>
  <c r="CK126" i="20"/>
  <c r="CK127" i="20"/>
  <c r="CK128" i="20"/>
  <c r="CK129" i="20"/>
  <c r="CK130" i="20"/>
  <c r="CK131" i="20"/>
  <c r="CK132" i="20"/>
  <c r="CK133" i="20"/>
  <c r="CK134" i="20"/>
  <c r="CK135" i="20"/>
  <c r="CK136" i="20"/>
  <c r="CK137" i="20"/>
  <c r="CK138" i="20"/>
  <c r="CJ139" i="20"/>
  <c r="CO139" i="20"/>
  <c r="CL140" i="20"/>
  <c r="CJ141" i="20"/>
  <c r="CO141" i="20"/>
  <c r="CL142" i="20"/>
  <c r="CJ143" i="20"/>
  <c r="CO143" i="20"/>
  <c r="CL144" i="20"/>
  <c r="CJ145" i="20"/>
  <c r="CO145" i="20"/>
  <c r="CL146" i="20"/>
  <c r="CI147" i="20"/>
  <c r="CM147" i="20"/>
  <c r="CI148" i="20"/>
  <c r="CM148" i="20"/>
  <c r="CI149" i="20"/>
  <c r="CM149" i="20"/>
  <c r="CI150" i="20"/>
  <c r="CM150" i="20"/>
  <c r="CI151" i="20"/>
  <c r="CM151" i="20"/>
  <c r="CI152" i="20"/>
  <c r="CM152" i="20"/>
  <c r="CI70" i="20"/>
  <c r="CM70" i="20"/>
  <c r="CI71" i="20"/>
  <c r="CM71" i="20"/>
  <c r="CI72" i="20"/>
  <c r="CM72" i="20"/>
  <c r="CI73" i="20"/>
  <c r="CM73" i="20"/>
  <c r="CI74" i="20"/>
  <c r="CM74" i="20"/>
  <c r="CI75" i="20"/>
  <c r="CM75" i="20"/>
  <c r="CI76" i="20"/>
  <c r="CM76" i="20"/>
  <c r="CI77" i="20"/>
  <c r="CM77" i="20"/>
  <c r="CI78" i="20"/>
  <c r="CM78" i="20"/>
  <c r="CI79" i="20"/>
  <c r="CM79" i="20"/>
  <c r="CI80" i="20"/>
  <c r="CM80" i="20"/>
  <c r="CI23" i="20"/>
  <c r="CM23" i="20"/>
  <c r="CI24" i="20"/>
  <c r="CM24" i="20"/>
  <c r="CI25" i="20"/>
  <c r="CM25" i="20"/>
  <c r="CI26" i="20"/>
  <c r="CM26" i="20"/>
  <c r="CI27" i="20"/>
  <c r="CM27" i="20"/>
  <c r="CI28" i="20"/>
  <c r="CM28" i="20"/>
  <c r="CI29" i="20"/>
  <c r="CM29" i="20"/>
  <c r="CI30" i="20"/>
  <c r="CM30" i="20"/>
  <c r="CI31" i="20"/>
  <c r="CM31" i="20"/>
  <c r="CI32" i="20"/>
  <c r="CM32" i="20"/>
  <c r="CI33" i="20"/>
  <c r="CM33" i="20"/>
  <c r="CI34" i="20"/>
  <c r="CM34" i="20"/>
  <c r="CI35" i="20"/>
  <c r="CM35" i="20"/>
  <c r="CI36" i="20"/>
  <c r="CM36" i="20"/>
  <c r="CI37" i="20"/>
  <c r="CM37" i="20"/>
  <c r="CI38" i="20"/>
  <c r="CM38" i="20"/>
  <c r="CI39" i="20"/>
  <c r="CM39" i="20"/>
  <c r="CI40" i="20"/>
  <c r="CM40" i="20"/>
  <c r="CI41" i="20"/>
  <c r="CM41" i="20"/>
  <c r="CI42" i="20"/>
  <c r="CM42" i="20"/>
  <c r="CI43" i="20"/>
  <c r="CM43" i="20"/>
  <c r="CI44" i="20"/>
  <c r="CM44" i="20"/>
  <c r="CI45" i="20"/>
  <c r="CM45" i="20"/>
  <c r="CI46" i="20"/>
  <c r="CM46" i="20"/>
  <c r="CI47" i="20"/>
  <c r="CM47" i="20"/>
  <c r="CI48" i="20"/>
  <c r="CM48" i="20"/>
  <c r="CI49" i="20"/>
  <c r="CM49" i="20"/>
  <c r="CI50" i="20"/>
  <c r="CM50" i="20"/>
  <c r="CI51" i="20"/>
  <c r="CM51" i="20"/>
  <c r="CI52" i="20"/>
  <c r="CM52" i="20"/>
  <c r="CI53" i="20"/>
  <c r="CM53" i="20"/>
  <c r="CI54" i="20"/>
  <c r="CM54" i="20"/>
  <c r="CI55" i="20"/>
  <c r="CM55" i="20"/>
  <c r="CI56" i="20"/>
  <c r="CM56" i="20"/>
  <c r="CI57" i="20"/>
  <c r="CM57" i="20"/>
  <c r="CI58" i="20"/>
  <c r="CM58" i="20"/>
  <c r="CI59" i="20"/>
  <c r="CM59" i="20"/>
  <c r="CI60" i="20"/>
  <c r="CM60" i="20"/>
  <c r="CI61" i="20"/>
  <c r="CM61" i="20"/>
  <c r="CI62" i="20"/>
  <c r="CM62" i="20"/>
  <c r="CI63" i="20"/>
  <c r="CM63" i="20"/>
  <c r="CI64" i="20"/>
  <c r="CM64" i="20"/>
  <c r="CI65" i="20"/>
  <c r="CM65" i="20"/>
  <c r="CI66" i="20"/>
  <c r="CM66" i="20"/>
  <c r="CI67" i="20"/>
  <c r="CM67" i="20"/>
  <c r="CI68" i="20"/>
  <c r="CM68" i="20"/>
  <c r="CI69" i="20"/>
  <c r="CM69" i="20"/>
  <c r="CI9" i="20"/>
  <c r="CM9" i="20"/>
  <c r="CI10" i="20"/>
  <c r="CM10" i="20"/>
  <c r="CI11" i="20"/>
  <c r="CM11" i="20"/>
  <c r="CI12" i="20"/>
  <c r="CM12" i="20"/>
  <c r="CI13" i="20"/>
  <c r="CM13" i="20"/>
  <c r="CI14" i="20"/>
  <c r="CM14" i="20"/>
  <c r="CI15" i="20"/>
  <c r="CM15" i="20"/>
  <c r="CI16" i="20"/>
  <c r="CM16" i="20"/>
  <c r="CI17" i="20"/>
  <c r="CM17" i="20"/>
  <c r="CI18" i="20"/>
  <c r="CM18" i="20"/>
  <c r="CI19" i="20"/>
  <c r="CM19" i="20"/>
  <c r="CI20" i="20"/>
  <c r="CM20" i="20"/>
  <c r="CI21" i="20"/>
  <c r="CM21" i="20"/>
  <c r="CI22" i="20"/>
  <c r="CM22" i="20"/>
  <c r="CK153" i="20"/>
  <c r="CK154" i="20"/>
  <c r="CK155" i="20"/>
  <c r="CK156" i="20"/>
  <c r="CK157" i="20"/>
  <c r="CK158" i="20"/>
  <c r="CK159" i="20"/>
  <c r="CK160" i="20"/>
  <c r="CK161" i="20"/>
  <c r="CK162" i="20"/>
  <c r="CK163" i="20"/>
  <c r="CK164" i="20"/>
  <c r="CK165" i="20"/>
  <c r="CK166" i="20"/>
  <c r="CK167" i="20"/>
  <c r="CL81" i="20"/>
  <c r="CL82" i="20"/>
  <c r="CL83" i="20"/>
  <c r="CL84" i="20"/>
  <c r="CL85" i="20"/>
  <c r="CL86" i="20"/>
  <c r="CL87" i="20"/>
  <c r="CL88" i="20"/>
  <c r="CL89" i="20"/>
  <c r="CL90" i="20"/>
  <c r="CL91" i="20"/>
  <c r="CL92" i="20"/>
  <c r="CL93" i="20"/>
  <c r="CL94" i="20"/>
  <c r="CL95" i="20"/>
  <c r="CL96" i="20"/>
  <c r="CL97" i="20"/>
  <c r="CL98" i="20"/>
  <c r="CL99" i="20"/>
  <c r="CL100" i="20"/>
  <c r="CL101" i="20"/>
  <c r="CL102" i="20"/>
  <c r="CL103" i="20"/>
  <c r="CL104" i="20"/>
  <c r="CL105" i="20"/>
  <c r="CL106" i="20"/>
  <c r="CL107" i="20"/>
  <c r="CL108" i="20"/>
  <c r="CL109" i="20"/>
  <c r="CL110" i="20"/>
  <c r="CL111" i="20"/>
  <c r="CL112" i="20"/>
  <c r="CL113" i="20"/>
  <c r="CL114" i="20"/>
  <c r="CL115" i="20"/>
  <c r="CL116" i="20"/>
  <c r="CL117" i="20"/>
  <c r="CL118" i="20"/>
  <c r="CL119" i="20"/>
  <c r="CL120" i="20"/>
  <c r="CL121" i="20"/>
  <c r="CL122" i="20"/>
  <c r="CL123" i="20"/>
  <c r="CL124" i="20"/>
  <c r="CL125" i="20"/>
  <c r="CL126" i="20"/>
  <c r="CL127" i="20"/>
  <c r="CL128" i="20"/>
  <c r="CL129" i="20"/>
  <c r="CL130" i="20"/>
  <c r="CL131" i="20"/>
  <c r="CL132" i="20"/>
  <c r="CL133" i="20"/>
  <c r="CL134" i="20"/>
  <c r="CL135" i="20"/>
  <c r="CL136" i="20"/>
  <c r="CL137" i="20"/>
  <c r="CL138" i="20"/>
  <c r="CK139" i="20"/>
  <c r="CP139" i="20"/>
  <c r="CN140" i="20"/>
  <c r="CK141" i="20"/>
  <c r="CP141" i="20"/>
  <c r="CN142" i="20"/>
  <c r="CK143" i="20"/>
  <c r="CP143" i="20"/>
  <c r="CN144" i="20"/>
  <c r="CK145" i="20"/>
  <c r="CP145" i="20"/>
  <c r="CN146" i="20"/>
  <c r="CJ147" i="20"/>
  <c r="CN147" i="20"/>
  <c r="CJ148" i="20"/>
  <c r="CN148" i="20"/>
  <c r="CJ149" i="20"/>
  <c r="CN149" i="20"/>
  <c r="CJ150" i="20"/>
  <c r="CN150" i="20"/>
  <c r="CJ151" i="20"/>
  <c r="CN151" i="20"/>
  <c r="CJ152" i="20"/>
  <c r="CN152" i="20"/>
  <c r="CJ70" i="20"/>
  <c r="CN70" i="20"/>
  <c r="CJ71" i="20"/>
  <c r="CN71" i="20"/>
  <c r="CJ72" i="20"/>
  <c r="CN72" i="20"/>
  <c r="CJ73" i="20"/>
  <c r="CN73" i="20"/>
  <c r="CJ74" i="20"/>
  <c r="CN74" i="20"/>
  <c r="CJ75" i="20"/>
  <c r="CN75" i="20"/>
  <c r="CJ76" i="20"/>
  <c r="CN76" i="20"/>
  <c r="CJ77" i="20"/>
  <c r="CN77" i="20"/>
  <c r="CJ78" i="20"/>
  <c r="CN78" i="20"/>
  <c r="CJ79" i="20"/>
  <c r="CN79" i="20"/>
  <c r="CJ80" i="20"/>
  <c r="CN80" i="20"/>
  <c r="CJ23" i="20"/>
  <c r="CN23" i="20"/>
  <c r="CJ24" i="20"/>
  <c r="CN24" i="20"/>
  <c r="CJ25" i="20"/>
  <c r="CN25" i="20"/>
  <c r="CJ26" i="20"/>
  <c r="CN26" i="20"/>
  <c r="CJ27" i="20"/>
  <c r="CN27" i="20"/>
  <c r="CJ28" i="20"/>
  <c r="CN28" i="20"/>
  <c r="CJ29" i="20"/>
  <c r="CN29" i="20"/>
  <c r="CJ30" i="20"/>
  <c r="CN30" i="20"/>
  <c r="CJ31" i="20"/>
  <c r="CN31" i="20"/>
  <c r="CJ32" i="20"/>
  <c r="CN32" i="20"/>
  <c r="CJ33" i="20"/>
  <c r="CN33" i="20"/>
  <c r="CJ34" i="20"/>
  <c r="CN34" i="20"/>
  <c r="CJ35" i="20"/>
  <c r="CN35" i="20"/>
  <c r="CJ36" i="20"/>
  <c r="CN36" i="20"/>
  <c r="CJ37" i="20"/>
  <c r="CN37" i="20"/>
  <c r="CJ38" i="20"/>
  <c r="CN38" i="20"/>
  <c r="CJ39" i="20"/>
  <c r="CN39" i="20"/>
  <c r="CJ40" i="20"/>
  <c r="CN40" i="20"/>
  <c r="CJ41" i="20"/>
  <c r="CN41" i="20"/>
  <c r="CJ42" i="20"/>
  <c r="CN42" i="20"/>
  <c r="CJ43" i="20"/>
  <c r="CN43" i="20"/>
  <c r="CJ44" i="20"/>
  <c r="CN44" i="20"/>
  <c r="CJ45" i="20"/>
  <c r="CN45" i="20"/>
  <c r="CJ46" i="20"/>
  <c r="CN46" i="20"/>
  <c r="CJ47" i="20"/>
  <c r="CN47" i="20"/>
  <c r="CJ48" i="20"/>
  <c r="CN48" i="20"/>
  <c r="CJ49" i="20"/>
  <c r="CN49" i="20"/>
  <c r="CJ50" i="20"/>
  <c r="CN50" i="20"/>
  <c r="CJ51" i="20"/>
  <c r="CN51" i="20"/>
  <c r="CJ52" i="20"/>
  <c r="CN52" i="20"/>
  <c r="CJ53" i="20"/>
  <c r="CN53" i="20"/>
  <c r="CJ54" i="20"/>
  <c r="CN54" i="20"/>
  <c r="CJ55" i="20"/>
  <c r="CN55" i="20"/>
  <c r="CJ56" i="20"/>
  <c r="CN56" i="20"/>
  <c r="CJ57" i="20"/>
  <c r="CN57" i="20"/>
  <c r="CJ58" i="20"/>
  <c r="CN58" i="20"/>
  <c r="CJ59" i="20"/>
  <c r="CN59" i="20"/>
  <c r="CJ60" i="20"/>
  <c r="CN60" i="20"/>
  <c r="CJ61" i="20"/>
  <c r="CN61" i="20"/>
  <c r="CJ62" i="20"/>
  <c r="CN62" i="20"/>
  <c r="CJ63" i="20"/>
  <c r="CN63" i="20"/>
  <c r="CJ64" i="20"/>
  <c r="CN64" i="20"/>
  <c r="CJ65" i="20"/>
  <c r="CN65" i="20"/>
  <c r="CJ66" i="20"/>
  <c r="CN66" i="20"/>
  <c r="CJ67" i="20"/>
  <c r="CN67" i="20"/>
  <c r="CJ68" i="20"/>
  <c r="CN68" i="20"/>
  <c r="CJ69" i="20"/>
  <c r="CN69" i="20"/>
  <c r="CJ9" i="20"/>
  <c r="CN9" i="20"/>
  <c r="CJ10" i="20"/>
  <c r="CN10" i="20"/>
  <c r="CJ11" i="20"/>
  <c r="CN11" i="20"/>
  <c r="CJ12" i="20"/>
  <c r="CN12" i="20"/>
  <c r="CJ13" i="20"/>
  <c r="CN13" i="20"/>
  <c r="CJ14" i="20"/>
  <c r="CN14" i="20"/>
  <c r="CJ15" i="20"/>
  <c r="CN15" i="20"/>
  <c r="CJ16" i="20"/>
  <c r="CN16" i="20"/>
  <c r="CJ17" i="20"/>
  <c r="CN17" i="20"/>
  <c r="CJ18" i="20"/>
  <c r="CN18" i="20"/>
  <c r="CJ19" i="20"/>
  <c r="CN19" i="20"/>
  <c r="CJ20" i="20"/>
  <c r="CN20" i="20"/>
  <c r="CJ21" i="20"/>
  <c r="CN21" i="20"/>
  <c r="CJ22" i="20"/>
  <c r="CN22" i="20"/>
  <c r="CN153" i="20"/>
  <c r="CN154" i="20"/>
  <c r="CN155" i="20"/>
  <c r="CN156" i="20"/>
  <c r="CN157" i="20"/>
  <c r="CN158" i="20"/>
  <c r="CN159" i="20"/>
  <c r="CN160" i="20"/>
  <c r="CN161" i="20"/>
  <c r="CN162" i="20"/>
  <c r="CN163" i="20"/>
  <c r="CN164" i="20"/>
  <c r="CN165" i="20"/>
  <c r="CN166" i="20"/>
  <c r="CN167" i="20"/>
  <c r="CO81" i="20"/>
  <c r="CO82" i="20"/>
  <c r="CO83" i="20"/>
  <c r="CO84" i="20"/>
  <c r="CO85" i="20"/>
  <c r="CO86" i="20"/>
  <c r="CO87" i="20"/>
  <c r="CO88" i="20"/>
  <c r="CO89" i="20"/>
  <c r="CO90" i="20"/>
  <c r="CO91" i="20"/>
  <c r="CO92" i="20"/>
  <c r="CO93" i="20"/>
  <c r="CO94" i="20"/>
  <c r="CO95" i="20"/>
  <c r="CO96" i="20"/>
  <c r="CO97" i="20"/>
  <c r="CO98" i="20"/>
  <c r="CO99" i="20"/>
  <c r="CO100" i="20"/>
  <c r="CO101" i="20"/>
  <c r="CO102" i="20"/>
  <c r="CO103" i="20"/>
  <c r="CO104" i="20"/>
  <c r="CO105" i="20"/>
  <c r="CO106" i="20"/>
  <c r="CO107" i="20"/>
  <c r="CO108" i="20"/>
  <c r="CO109" i="20"/>
  <c r="CO110" i="20"/>
  <c r="CO111" i="20"/>
  <c r="CO112" i="20"/>
  <c r="CO113" i="20"/>
  <c r="CO114" i="20"/>
  <c r="CO115" i="20"/>
  <c r="CO116" i="20"/>
  <c r="CO117" i="20"/>
  <c r="CO118" i="20"/>
  <c r="CO119" i="20"/>
  <c r="CO120" i="20"/>
  <c r="CO121" i="20"/>
  <c r="CO122" i="20"/>
  <c r="CO123" i="20"/>
  <c r="CO124" i="20"/>
  <c r="CO125" i="20"/>
  <c r="CO126" i="20"/>
  <c r="CO127" i="20"/>
  <c r="CO128" i="20"/>
  <c r="CO129" i="20"/>
  <c r="CO130" i="20"/>
  <c r="CO131" i="20"/>
  <c r="CO132" i="20"/>
  <c r="CO133" i="20"/>
  <c r="CO134" i="20"/>
  <c r="CO135" i="20"/>
  <c r="CO136" i="20"/>
  <c r="CO137" i="20"/>
  <c r="CO138" i="20"/>
  <c r="CL139" i="20"/>
  <c r="CJ140" i="20"/>
  <c r="CO140" i="20"/>
  <c r="CL141" i="20"/>
  <c r="CJ142" i="20"/>
  <c r="CO142" i="20"/>
  <c r="CL143" i="20"/>
  <c r="CJ144" i="20"/>
  <c r="CO144" i="20"/>
  <c r="CL145" i="20"/>
  <c r="CJ146" i="20"/>
  <c r="CO146" i="20"/>
  <c r="CK147" i="20"/>
  <c r="CO147" i="20"/>
  <c r="CK148" i="20"/>
  <c r="CO148" i="20"/>
  <c r="CK149" i="20"/>
  <c r="CO149" i="20"/>
  <c r="CK150" i="20"/>
  <c r="CO150" i="20"/>
  <c r="CK151" i="20"/>
  <c r="CO151" i="20"/>
  <c r="CK152" i="20"/>
  <c r="CO152" i="20"/>
  <c r="CK70" i="20"/>
  <c r="CO70" i="20"/>
  <c r="CK71" i="20"/>
  <c r="CO71" i="20"/>
  <c r="CK72" i="20"/>
  <c r="CO72" i="20"/>
  <c r="CK73" i="20"/>
  <c r="CO73" i="20"/>
  <c r="CK74" i="20"/>
  <c r="CO74" i="20"/>
  <c r="CK75" i="20"/>
  <c r="CO75" i="20"/>
  <c r="CK76" i="20"/>
  <c r="CO76" i="20"/>
  <c r="CK77" i="20"/>
  <c r="CO77" i="20"/>
  <c r="CK78" i="20"/>
  <c r="CO78" i="20"/>
  <c r="CK79" i="20"/>
  <c r="CO79" i="20"/>
  <c r="CK80" i="20"/>
  <c r="CO80" i="20"/>
  <c r="CK23" i="20"/>
  <c r="CO23" i="20"/>
  <c r="CK24" i="20"/>
  <c r="CO24" i="20"/>
  <c r="CK25" i="20"/>
  <c r="CO25" i="20"/>
  <c r="CK26" i="20"/>
  <c r="CO26" i="20"/>
  <c r="CK27" i="20"/>
  <c r="CO27" i="20"/>
  <c r="CK28" i="20"/>
  <c r="CO28" i="20"/>
  <c r="CK29" i="20"/>
  <c r="CO29" i="20"/>
  <c r="CK30" i="20"/>
  <c r="CO30" i="20"/>
  <c r="CK31" i="20"/>
  <c r="CO31" i="20"/>
  <c r="CK32" i="20"/>
  <c r="CO32" i="20"/>
  <c r="CK33" i="20"/>
  <c r="CO33" i="20"/>
  <c r="CK34" i="20"/>
  <c r="CO34" i="20"/>
  <c r="CK35" i="20"/>
  <c r="CO35" i="20"/>
  <c r="CK36" i="20"/>
  <c r="CO36" i="20"/>
  <c r="CK37" i="20"/>
  <c r="CO37" i="20"/>
  <c r="CK38" i="20"/>
  <c r="CO38" i="20"/>
  <c r="CK39" i="20"/>
  <c r="CO39" i="20"/>
  <c r="CK40" i="20"/>
  <c r="CO40" i="20"/>
  <c r="CK41" i="20"/>
  <c r="CO41" i="20"/>
  <c r="CK42" i="20"/>
  <c r="CO42" i="20"/>
  <c r="CK43" i="20"/>
  <c r="CO43" i="20"/>
  <c r="CK44" i="20"/>
  <c r="CO44" i="20"/>
  <c r="CK45" i="20"/>
  <c r="CO45" i="20"/>
  <c r="CK46" i="20"/>
  <c r="CO46" i="20"/>
  <c r="CK47" i="20"/>
  <c r="CO47" i="20"/>
  <c r="CK48" i="20"/>
  <c r="CO48" i="20"/>
  <c r="CK49" i="20"/>
  <c r="CO49" i="20"/>
  <c r="CK50" i="20"/>
  <c r="CO50" i="20"/>
  <c r="CK51" i="20"/>
  <c r="CO51" i="20"/>
  <c r="CK52" i="20"/>
  <c r="CO52" i="20"/>
  <c r="CK53" i="20"/>
  <c r="CO53" i="20"/>
  <c r="CK54" i="20"/>
  <c r="CO54" i="20"/>
  <c r="CK55" i="20"/>
  <c r="CO55" i="20"/>
  <c r="CK56" i="20"/>
  <c r="CO56" i="20"/>
  <c r="CK57" i="20"/>
  <c r="CO57" i="20"/>
  <c r="CK58" i="20"/>
  <c r="CO58" i="20"/>
  <c r="CK59" i="20"/>
  <c r="CO59" i="20"/>
  <c r="CK60" i="20"/>
  <c r="CO60" i="20"/>
  <c r="CK61" i="20"/>
  <c r="CO61" i="20"/>
  <c r="CK62" i="20"/>
  <c r="CO62" i="20"/>
  <c r="CK63" i="20"/>
  <c r="CO63" i="20"/>
  <c r="CK64" i="20"/>
  <c r="CO64" i="20"/>
  <c r="CK65" i="20"/>
  <c r="CO65" i="20"/>
  <c r="CK66" i="20"/>
  <c r="CO66" i="20"/>
  <c r="CK67" i="20"/>
  <c r="CO67" i="20"/>
  <c r="CK68" i="20"/>
  <c r="CO68" i="20"/>
  <c r="CK69" i="20"/>
  <c r="CO69" i="20"/>
  <c r="CK9" i="20"/>
  <c r="CO9" i="20"/>
  <c r="CK10" i="20"/>
  <c r="CO10" i="20"/>
  <c r="CK11" i="20"/>
  <c r="CO11" i="20"/>
  <c r="CK12" i="20"/>
  <c r="CO12" i="20"/>
  <c r="CK13" i="20"/>
  <c r="CO13" i="20"/>
  <c r="CK14" i="20"/>
  <c r="CO14" i="20"/>
  <c r="CK15" i="20"/>
  <c r="CO15" i="20"/>
  <c r="CK16" i="20"/>
  <c r="CO16" i="20"/>
  <c r="CK17" i="20"/>
  <c r="CO17" i="20"/>
  <c r="CK18" i="20"/>
  <c r="CO18" i="20"/>
  <c r="CK19" i="20"/>
  <c r="CO19" i="20"/>
  <c r="CK20" i="20"/>
  <c r="CO20" i="20"/>
  <c r="CK21" i="20"/>
  <c r="CO21" i="20"/>
  <c r="CK22" i="20"/>
  <c r="CO22" i="20"/>
  <c r="Y167" i="20"/>
  <c r="AC167" i="20"/>
  <c r="Y27" i="20"/>
  <c r="AC27" i="20"/>
  <c r="Y28" i="20"/>
  <c r="AC28" i="20"/>
  <c r="Y29" i="20"/>
  <c r="AC29" i="20"/>
  <c r="Y30" i="20"/>
  <c r="AC30" i="20"/>
  <c r="Y31" i="20"/>
  <c r="AC31" i="20"/>
  <c r="Y32" i="20"/>
  <c r="AC32" i="20"/>
  <c r="Y33" i="20"/>
  <c r="AC33" i="20"/>
  <c r="Y34" i="20"/>
  <c r="AC34" i="20"/>
  <c r="Y35" i="20"/>
  <c r="AC35" i="20"/>
  <c r="Y36" i="20"/>
  <c r="AC36" i="20"/>
  <c r="Y37" i="20"/>
  <c r="AC37" i="20"/>
  <c r="Y38" i="20"/>
  <c r="AC38" i="20"/>
  <c r="Y39" i="20"/>
  <c r="AC39" i="20"/>
  <c r="Y40" i="20"/>
  <c r="AC40" i="20"/>
  <c r="Y41" i="20"/>
  <c r="AC41" i="20"/>
  <c r="Y42" i="20"/>
  <c r="AC42" i="20"/>
  <c r="Y43" i="20"/>
  <c r="AC43" i="20"/>
  <c r="Y44" i="20"/>
  <c r="AC44" i="20"/>
  <c r="Y45" i="20"/>
  <c r="AC45" i="20"/>
  <c r="Y46" i="20"/>
  <c r="AC46" i="20"/>
  <c r="Y47" i="20"/>
  <c r="AC47" i="20"/>
  <c r="Y48" i="20"/>
  <c r="AC48" i="20"/>
  <c r="Y49" i="20"/>
  <c r="AC49" i="20"/>
  <c r="Y50" i="20"/>
  <c r="AC50" i="20"/>
  <c r="Y51" i="20"/>
  <c r="AC51" i="20"/>
  <c r="Y52" i="20"/>
  <c r="AC52" i="20"/>
  <c r="Y53" i="20"/>
  <c r="AC53" i="20"/>
  <c r="Y54" i="20"/>
  <c r="AC54" i="20"/>
  <c r="Y55" i="20"/>
  <c r="AC55" i="20"/>
  <c r="Y56" i="20"/>
  <c r="AC56" i="20"/>
  <c r="Y57" i="20"/>
  <c r="AC57" i="20"/>
  <c r="Y58" i="20"/>
  <c r="AC58" i="20"/>
  <c r="Y59" i="20"/>
  <c r="AC59" i="20"/>
  <c r="Y60" i="20"/>
  <c r="AC60" i="20"/>
  <c r="Y61" i="20"/>
  <c r="AC61" i="20"/>
  <c r="Y62" i="20"/>
  <c r="AC62" i="20"/>
  <c r="Y63" i="20"/>
  <c r="AC63" i="20"/>
  <c r="Y64" i="20"/>
  <c r="AC64" i="20"/>
  <c r="Y65" i="20"/>
  <c r="AC65" i="20"/>
  <c r="Y66" i="20"/>
  <c r="AC66" i="20"/>
  <c r="Y67" i="20"/>
  <c r="AC67" i="20"/>
  <c r="Y68" i="20"/>
  <c r="AC68" i="20"/>
  <c r="Y69" i="20"/>
  <c r="AC69" i="20"/>
  <c r="Y70" i="20"/>
  <c r="AC70" i="20"/>
  <c r="Y71" i="20"/>
  <c r="AC71" i="20"/>
  <c r="Y72" i="20"/>
  <c r="AC72" i="20"/>
  <c r="Y73" i="20"/>
  <c r="AC73" i="20"/>
  <c r="Y74" i="20"/>
  <c r="AC74" i="20"/>
  <c r="Y75" i="20"/>
  <c r="AC75" i="20"/>
  <c r="Y76" i="20"/>
  <c r="AC76" i="20"/>
  <c r="Y77" i="20"/>
  <c r="AC77" i="20"/>
  <c r="Y78" i="20"/>
  <c r="AC78" i="20"/>
  <c r="Y79" i="20"/>
  <c r="AC79" i="20"/>
  <c r="Y80" i="20"/>
  <c r="AC80" i="20"/>
  <c r="Y81" i="20"/>
  <c r="AC81" i="20"/>
  <c r="Y82" i="20"/>
  <c r="AC82" i="20"/>
  <c r="Y83" i="20"/>
  <c r="AC83" i="20"/>
  <c r="Y84" i="20"/>
  <c r="AC84" i="20"/>
  <c r="Y85" i="20"/>
  <c r="AC85" i="20"/>
  <c r="Y86" i="20"/>
  <c r="AC86" i="20"/>
  <c r="Y87" i="20"/>
  <c r="AC87" i="20"/>
  <c r="Y88" i="20"/>
  <c r="AC88" i="20"/>
  <c r="Y89" i="20"/>
  <c r="AC89" i="20"/>
  <c r="Y90" i="20"/>
  <c r="AC90" i="20"/>
  <c r="Y91" i="20"/>
  <c r="AC91" i="20"/>
  <c r="Y92" i="20"/>
  <c r="AC92" i="20"/>
  <c r="Y93" i="20"/>
  <c r="AC93" i="20"/>
  <c r="Y94" i="20"/>
  <c r="AC94" i="20"/>
  <c r="Y95" i="20"/>
  <c r="AC95" i="20"/>
  <c r="Y96" i="20"/>
  <c r="AC96" i="20"/>
  <c r="Y97" i="20"/>
  <c r="AC97" i="20"/>
  <c r="Y98" i="20"/>
  <c r="AC98" i="20"/>
  <c r="Y99" i="20"/>
  <c r="AC99" i="20"/>
  <c r="Y100" i="20"/>
  <c r="AC100" i="20"/>
  <c r="Y101" i="20"/>
  <c r="AC101" i="20"/>
  <c r="Y102" i="20"/>
  <c r="AC102" i="20"/>
  <c r="Y103" i="20"/>
  <c r="AC103" i="20"/>
  <c r="Y104" i="20"/>
  <c r="AC104" i="20"/>
  <c r="Y105" i="20"/>
  <c r="AC105" i="20"/>
  <c r="Y106" i="20"/>
  <c r="AC106" i="20"/>
  <c r="Y107" i="20"/>
  <c r="AC107" i="20"/>
  <c r="Y108" i="20"/>
  <c r="AC108" i="20"/>
  <c r="Y109" i="20"/>
  <c r="AC109" i="20"/>
  <c r="Y110" i="20"/>
  <c r="AC110" i="20"/>
  <c r="Y111" i="20"/>
  <c r="AC111" i="20"/>
  <c r="Y112" i="20"/>
  <c r="AC112" i="20"/>
  <c r="Y113" i="20"/>
  <c r="AC113" i="20"/>
  <c r="Y114" i="20"/>
  <c r="AC114" i="20"/>
  <c r="Y115" i="20"/>
  <c r="AC115" i="20"/>
  <c r="Y116" i="20"/>
  <c r="AC116" i="20"/>
  <c r="Y117" i="20"/>
  <c r="AC117" i="20"/>
  <c r="Y118" i="20"/>
  <c r="AC118" i="20"/>
  <c r="Y119" i="20"/>
  <c r="AC119" i="20"/>
  <c r="Y120" i="20"/>
  <c r="AC120" i="20"/>
  <c r="Y121" i="20"/>
  <c r="AC121" i="20"/>
  <c r="Y122" i="20"/>
  <c r="AC122" i="20"/>
  <c r="Y123" i="20"/>
  <c r="AC123" i="20"/>
  <c r="Y124" i="20"/>
  <c r="AC124" i="20"/>
  <c r="Y125" i="20"/>
  <c r="AC125" i="20"/>
  <c r="Y126" i="20"/>
  <c r="AC126" i="20"/>
  <c r="Y127" i="20"/>
  <c r="AC127" i="20"/>
  <c r="Y128" i="20"/>
  <c r="AC128" i="20"/>
  <c r="Y129" i="20"/>
  <c r="AC129" i="20"/>
  <c r="Y130" i="20"/>
  <c r="AC130" i="20"/>
  <c r="Y131" i="20"/>
  <c r="AC131" i="20"/>
  <c r="Y132" i="20"/>
  <c r="AC132" i="20"/>
  <c r="Y133" i="20"/>
  <c r="AC133" i="20"/>
  <c r="Y134" i="20"/>
  <c r="AC134" i="20"/>
  <c r="Y135" i="20"/>
  <c r="AC135" i="20"/>
  <c r="Y136" i="20"/>
  <c r="AC136" i="20"/>
  <c r="Y137" i="20"/>
  <c r="AC137" i="20"/>
  <c r="Y138" i="20"/>
  <c r="AC138" i="20"/>
  <c r="Y139" i="20"/>
  <c r="AC139" i="20"/>
  <c r="Y140" i="20"/>
  <c r="AC140" i="20"/>
  <c r="Y141" i="20"/>
  <c r="AC141" i="20"/>
  <c r="Y142" i="20"/>
  <c r="AC142" i="20"/>
  <c r="Y143" i="20"/>
  <c r="AC143" i="20"/>
  <c r="Y144" i="20"/>
  <c r="AC144" i="20"/>
  <c r="Y145" i="20"/>
  <c r="AC145" i="20"/>
  <c r="Y146" i="20"/>
  <c r="AC146" i="20"/>
  <c r="Y147" i="20"/>
  <c r="AC147" i="20"/>
  <c r="Y148" i="20"/>
  <c r="AC148" i="20"/>
  <c r="Y149" i="20"/>
  <c r="AC149" i="20"/>
  <c r="Y150" i="20"/>
  <c r="AC150" i="20"/>
  <c r="Y151" i="20"/>
  <c r="AC151" i="20"/>
  <c r="Y152" i="20"/>
  <c r="AC152" i="20"/>
  <c r="Y153" i="20"/>
  <c r="AC153" i="20"/>
  <c r="Y154" i="20"/>
  <c r="AC154" i="20"/>
  <c r="Y155" i="20"/>
  <c r="AC155" i="20"/>
  <c r="Y156" i="20"/>
  <c r="AC156" i="20"/>
  <c r="Y157" i="20"/>
  <c r="AC157" i="20"/>
  <c r="Y158" i="20"/>
  <c r="AC158" i="20"/>
  <c r="Y159" i="20"/>
  <c r="AC159" i="20"/>
  <c r="Y160" i="20"/>
  <c r="AC160" i="20"/>
  <c r="Y161" i="20"/>
  <c r="AC161" i="20"/>
  <c r="Y162" i="20"/>
  <c r="AC162" i="20"/>
  <c r="Y163" i="20"/>
  <c r="AC163" i="20"/>
  <c r="Y164" i="20"/>
  <c r="AC164" i="20"/>
  <c r="Y165" i="20"/>
  <c r="AC165" i="20"/>
  <c r="Y166" i="20"/>
  <c r="AC166" i="20"/>
  <c r="Y9" i="20"/>
  <c r="AC9" i="20"/>
  <c r="Y10" i="20"/>
  <c r="AC10" i="20"/>
  <c r="Y11" i="20"/>
  <c r="AC11" i="20"/>
  <c r="Y12" i="20"/>
  <c r="AC12" i="20"/>
  <c r="Y13" i="20"/>
  <c r="AC13" i="20"/>
  <c r="Y14" i="20"/>
  <c r="AC14" i="20"/>
  <c r="Y15" i="20"/>
  <c r="AC15" i="20"/>
  <c r="Y16" i="20"/>
  <c r="AC16" i="20"/>
  <c r="Y17" i="20"/>
  <c r="AC17" i="20"/>
  <c r="Y18" i="20"/>
  <c r="AC18" i="20"/>
  <c r="Y19" i="20"/>
  <c r="AC19" i="20"/>
  <c r="Y20" i="20"/>
  <c r="AC20" i="20"/>
  <c r="Y21" i="20"/>
  <c r="AC21" i="20"/>
  <c r="Y22" i="20"/>
  <c r="AC22" i="20"/>
  <c r="Y23" i="20"/>
  <c r="AC23" i="20"/>
  <c r="Y24" i="20"/>
  <c r="AC24" i="20"/>
  <c r="Y25" i="20"/>
  <c r="AC25" i="20"/>
  <c r="Y26" i="20"/>
  <c r="AC26" i="20"/>
  <c r="Z167" i="20"/>
  <c r="AD167" i="20"/>
  <c r="Z27" i="20"/>
  <c r="AD27" i="20"/>
  <c r="Z28" i="20"/>
  <c r="AD28" i="20"/>
  <c r="Z29" i="20"/>
  <c r="AD29" i="20"/>
  <c r="Z30" i="20"/>
  <c r="AD30" i="20"/>
  <c r="Z31" i="20"/>
  <c r="AD31" i="20"/>
  <c r="Z32" i="20"/>
  <c r="AD32" i="20"/>
  <c r="Z33" i="20"/>
  <c r="AD33" i="20"/>
  <c r="Z34" i="20"/>
  <c r="AD34" i="20"/>
  <c r="Z35" i="20"/>
  <c r="AD35" i="20"/>
  <c r="Z36" i="20"/>
  <c r="AD36" i="20"/>
  <c r="Z37" i="20"/>
  <c r="AD37" i="20"/>
  <c r="Z38" i="20"/>
  <c r="AD38" i="20"/>
  <c r="Z39" i="20"/>
  <c r="AD39" i="20"/>
  <c r="Z40" i="20"/>
  <c r="AD40" i="20"/>
  <c r="Z41" i="20"/>
  <c r="AD41" i="20"/>
  <c r="Z42" i="20"/>
  <c r="AD42" i="20"/>
  <c r="Z43" i="20"/>
  <c r="AD43" i="20"/>
  <c r="Z44" i="20"/>
  <c r="AD44" i="20"/>
  <c r="Z45" i="20"/>
  <c r="AD45" i="20"/>
  <c r="Z46" i="20"/>
  <c r="AD46" i="20"/>
  <c r="Z47" i="20"/>
  <c r="AD47" i="20"/>
  <c r="Z48" i="20"/>
  <c r="AD48" i="20"/>
  <c r="Z49" i="20"/>
  <c r="AD49" i="20"/>
  <c r="Z50" i="20"/>
  <c r="AD50" i="20"/>
  <c r="Z51" i="20"/>
  <c r="AD51" i="20"/>
  <c r="Z52" i="20"/>
  <c r="AD52" i="20"/>
  <c r="Z53" i="20"/>
  <c r="AD53" i="20"/>
  <c r="Z54" i="20"/>
  <c r="AD54" i="20"/>
  <c r="Z55" i="20"/>
  <c r="AD55" i="20"/>
  <c r="Z56" i="20"/>
  <c r="AD56" i="20"/>
  <c r="Z57" i="20"/>
  <c r="AD57" i="20"/>
  <c r="Z58" i="20"/>
  <c r="AD58" i="20"/>
  <c r="Z59" i="20"/>
  <c r="AD59" i="20"/>
  <c r="Z60" i="20"/>
  <c r="AD60" i="20"/>
  <c r="Z61" i="20"/>
  <c r="AD61" i="20"/>
  <c r="Z62" i="20"/>
  <c r="AD62" i="20"/>
  <c r="Z63" i="20"/>
  <c r="AD63" i="20"/>
  <c r="Z64" i="20"/>
  <c r="AD64" i="20"/>
  <c r="Z65" i="20"/>
  <c r="AD65" i="20"/>
  <c r="Z66" i="20"/>
  <c r="AD66" i="20"/>
  <c r="Z67" i="20"/>
  <c r="AD67" i="20"/>
  <c r="Z68" i="20"/>
  <c r="AD68" i="20"/>
  <c r="Z69" i="20"/>
  <c r="AD69" i="20"/>
  <c r="Z70" i="20"/>
  <c r="AD70" i="20"/>
  <c r="Z71" i="20"/>
  <c r="AD71" i="20"/>
  <c r="Z72" i="20"/>
  <c r="AD72" i="20"/>
  <c r="Z73" i="20"/>
  <c r="AD73" i="20"/>
  <c r="Z74" i="20"/>
  <c r="AD74" i="20"/>
  <c r="Z75" i="20"/>
  <c r="AD75" i="20"/>
  <c r="Z76" i="20"/>
  <c r="AD76" i="20"/>
  <c r="Z77" i="20"/>
  <c r="AD77" i="20"/>
  <c r="Z78" i="20"/>
  <c r="AD78" i="20"/>
  <c r="Z79" i="20"/>
  <c r="AD79" i="20"/>
  <c r="Z80" i="20"/>
  <c r="AD80" i="20"/>
  <c r="Z81" i="20"/>
  <c r="AD81" i="20"/>
  <c r="Z82" i="20"/>
  <c r="AD82" i="20"/>
  <c r="Z83" i="20"/>
  <c r="AD83" i="20"/>
  <c r="Z84" i="20"/>
  <c r="AD84" i="20"/>
  <c r="Z85" i="20"/>
  <c r="AD85" i="20"/>
  <c r="Z86" i="20"/>
  <c r="AD86" i="20"/>
  <c r="Z87" i="20"/>
  <c r="AD87" i="20"/>
  <c r="Z88" i="20"/>
  <c r="AD88" i="20"/>
  <c r="Z89" i="20"/>
  <c r="AD89" i="20"/>
  <c r="Z90" i="20"/>
  <c r="AD90" i="20"/>
  <c r="Z91" i="20"/>
  <c r="AD91" i="20"/>
  <c r="Z92" i="20"/>
  <c r="AD92" i="20"/>
  <c r="Z93" i="20"/>
  <c r="AD93" i="20"/>
  <c r="Z94" i="20"/>
  <c r="AD94" i="20"/>
  <c r="Z95" i="20"/>
  <c r="AD95" i="20"/>
  <c r="Z96" i="20"/>
  <c r="AD96" i="20"/>
  <c r="Z97" i="20"/>
  <c r="AD97" i="20"/>
  <c r="Z98" i="20"/>
  <c r="AD98" i="20"/>
  <c r="Z99" i="20"/>
  <c r="AD99" i="20"/>
  <c r="Z100" i="20"/>
  <c r="AD100" i="20"/>
  <c r="Z101" i="20"/>
  <c r="AD101" i="20"/>
  <c r="Z102" i="20"/>
  <c r="AD102" i="20"/>
  <c r="Z103" i="20"/>
  <c r="AD103" i="20"/>
  <c r="Z104" i="20"/>
  <c r="AD104" i="20"/>
  <c r="Z105" i="20"/>
  <c r="AD105" i="20"/>
  <c r="Z106" i="20"/>
  <c r="AD106" i="20"/>
  <c r="Z107" i="20"/>
  <c r="AD107" i="20"/>
  <c r="Z108" i="20"/>
  <c r="AD108" i="20"/>
  <c r="Z109" i="20"/>
  <c r="AD109" i="20"/>
  <c r="Z110" i="20"/>
  <c r="AD110" i="20"/>
  <c r="Z111" i="20"/>
  <c r="AD111" i="20"/>
  <c r="Z112" i="20"/>
  <c r="AD112" i="20"/>
  <c r="Z113" i="20"/>
  <c r="AD113" i="20"/>
  <c r="Z114" i="20"/>
  <c r="AD114" i="20"/>
  <c r="Z115" i="20"/>
  <c r="AD115" i="20"/>
  <c r="Z116" i="20"/>
  <c r="AD116" i="20"/>
  <c r="Z117" i="20"/>
  <c r="AD117" i="20"/>
  <c r="Z118" i="20"/>
  <c r="AD118" i="20"/>
  <c r="Z119" i="20"/>
  <c r="AD119" i="20"/>
  <c r="Z120" i="20"/>
  <c r="AD120" i="20"/>
  <c r="Z121" i="20"/>
  <c r="AD121" i="20"/>
  <c r="Z122" i="20"/>
  <c r="AD122" i="20"/>
  <c r="Z123" i="20"/>
  <c r="AD123" i="20"/>
  <c r="Z124" i="20"/>
  <c r="AD124" i="20"/>
  <c r="Z125" i="20"/>
  <c r="AD125" i="20"/>
  <c r="Z126" i="20"/>
  <c r="AD126" i="20"/>
  <c r="Z127" i="20"/>
  <c r="AD127" i="20"/>
  <c r="Z128" i="20"/>
  <c r="AD128" i="20"/>
  <c r="Z129" i="20"/>
  <c r="AD129" i="20"/>
  <c r="Z130" i="20"/>
  <c r="AD130" i="20"/>
  <c r="Z131" i="20"/>
  <c r="AD131" i="20"/>
  <c r="Z132" i="20"/>
  <c r="AD132" i="20"/>
  <c r="Z133" i="20"/>
  <c r="AD133" i="20"/>
  <c r="Z134" i="20"/>
  <c r="AD134" i="20"/>
  <c r="Z135" i="20"/>
  <c r="AD135" i="20"/>
  <c r="Z136" i="20"/>
  <c r="AD136" i="20"/>
  <c r="Z137" i="20"/>
  <c r="AD137" i="20"/>
  <c r="Z138" i="20"/>
  <c r="AD138" i="20"/>
  <c r="Z139" i="20"/>
  <c r="AD139" i="20"/>
  <c r="Z140" i="20"/>
  <c r="AD140" i="20"/>
  <c r="Z141" i="20"/>
  <c r="AD141" i="20"/>
  <c r="Z142" i="20"/>
  <c r="AD142" i="20"/>
  <c r="Z143" i="20"/>
  <c r="AD143" i="20"/>
  <c r="Z144" i="20"/>
  <c r="AD144" i="20"/>
  <c r="Z145" i="20"/>
  <c r="AD145" i="20"/>
  <c r="Z146" i="20"/>
  <c r="AD146" i="20"/>
  <c r="Z147" i="20"/>
  <c r="AD147" i="20"/>
  <c r="Z148" i="20"/>
  <c r="AD148" i="20"/>
  <c r="Z149" i="20"/>
  <c r="AD149" i="20"/>
  <c r="Z150" i="20"/>
  <c r="AD150" i="20"/>
  <c r="Z151" i="20"/>
  <c r="AD151" i="20"/>
  <c r="Z152" i="20"/>
  <c r="AD152" i="20"/>
  <c r="W167" i="20"/>
  <c r="AA167" i="20"/>
  <c r="W27" i="20"/>
  <c r="AA27" i="20"/>
  <c r="W28" i="20"/>
  <c r="AA28" i="20"/>
  <c r="W29" i="20"/>
  <c r="AA29" i="20"/>
  <c r="W30" i="20"/>
  <c r="AA30" i="20"/>
  <c r="W31" i="20"/>
  <c r="AA31" i="20"/>
  <c r="W32" i="20"/>
  <c r="AA32" i="20"/>
  <c r="W33" i="20"/>
  <c r="AA33" i="20"/>
  <c r="W34" i="20"/>
  <c r="AA34" i="20"/>
  <c r="W35" i="20"/>
  <c r="AA35" i="20"/>
  <c r="W36" i="20"/>
  <c r="AA36" i="20"/>
  <c r="W37" i="20"/>
  <c r="AA37" i="20"/>
  <c r="W38" i="20"/>
  <c r="AA38" i="20"/>
  <c r="W39" i="20"/>
  <c r="AA39" i="20"/>
  <c r="W40" i="20"/>
  <c r="AA40" i="20"/>
  <c r="W41" i="20"/>
  <c r="AA41" i="20"/>
  <c r="W42" i="20"/>
  <c r="AA42" i="20"/>
  <c r="W43" i="20"/>
  <c r="AA43" i="20"/>
  <c r="W44" i="20"/>
  <c r="AA44" i="20"/>
  <c r="W45" i="20"/>
  <c r="AA45" i="20"/>
  <c r="W46" i="20"/>
  <c r="AA46" i="20"/>
  <c r="W47" i="20"/>
  <c r="AA47" i="20"/>
  <c r="W48" i="20"/>
  <c r="AA48" i="20"/>
  <c r="W49" i="20"/>
  <c r="AA49" i="20"/>
  <c r="W50" i="20"/>
  <c r="AA50" i="20"/>
  <c r="W51" i="20"/>
  <c r="AA51" i="20"/>
  <c r="W52" i="20"/>
  <c r="AA52" i="20"/>
  <c r="W53" i="20"/>
  <c r="AA53" i="20"/>
  <c r="W54" i="20"/>
  <c r="AA54" i="20"/>
  <c r="W55" i="20"/>
  <c r="AA55" i="20"/>
  <c r="W56" i="20"/>
  <c r="AA56" i="20"/>
  <c r="W57" i="20"/>
  <c r="AA57" i="20"/>
  <c r="W58" i="20"/>
  <c r="AA58" i="20"/>
  <c r="W59" i="20"/>
  <c r="AA59" i="20"/>
  <c r="W60" i="20"/>
  <c r="AA60" i="20"/>
  <c r="W61" i="20"/>
  <c r="AA61" i="20"/>
  <c r="W62" i="20"/>
  <c r="AA62" i="20"/>
  <c r="W63" i="20"/>
  <c r="AA63" i="20"/>
  <c r="W64" i="20"/>
  <c r="AA64" i="20"/>
  <c r="W65" i="20"/>
  <c r="AA65" i="20"/>
  <c r="W66" i="20"/>
  <c r="AA66" i="20"/>
  <c r="W67" i="20"/>
  <c r="AA67" i="20"/>
  <c r="W68" i="20"/>
  <c r="AA68" i="20"/>
  <c r="W69" i="20"/>
  <c r="AA69" i="20"/>
  <c r="W70" i="20"/>
  <c r="AA70" i="20"/>
  <c r="W71" i="20"/>
  <c r="AA71" i="20"/>
  <c r="W72" i="20"/>
  <c r="AA72" i="20"/>
  <c r="W73" i="20"/>
  <c r="AA73" i="20"/>
  <c r="W74" i="20"/>
  <c r="AA74" i="20"/>
  <c r="W75" i="20"/>
  <c r="AA75" i="20"/>
  <c r="W76" i="20"/>
  <c r="AA76" i="20"/>
  <c r="W77" i="20"/>
  <c r="AA77" i="20"/>
  <c r="W78" i="20"/>
  <c r="AA78" i="20"/>
  <c r="W79" i="20"/>
  <c r="AA79" i="20"/>
  <c r="W80" i="20"/>
  <c r="AA80" i="20"/>
  <c r="W81" i="20"/>
  <c r="AA81" i="20"/>
  <c r="W82" i="20"/>
  <c r="AA82" i="20"/>
  <c r="W83" i="20"/>
  <c r="AA83" i="20"/>
  <c r="W84" i="20"/>
  <c r="AA84" i="20"/>
  <c r="W85" i="20"/>
  <c r="AA85" i="20"/>
  <c r="W86" i="20"/>
  <c r="AA86" i="20"/>
  <c r="W87" i="20"/>
  <c r="AA87" i="20"/>
  <c r="W88" i="20"/>
  <c r="AA88" i="20"/>
  <c r="W89" i="20"/>
  <c r="AA89" i="20"/>
  <c r="W90" i="20"/>
  <c r="AA90" i="20"/>
  <c r="W91" i="20"/>
  <c r="AA91" i="20"/>
  <c r="W92" i="20"/>
  <c r="AA92" i="20"/>
  <c r="W93" i="20"/>
  <c r="AA93" i="20"/>
  <c r="W94" i="20"/>
  <c r="AA94" i="20"/>
  <c r="W95" i="20"/>
  <c r="AA95" i="20"/>
  <c r="W96" i="20"/>
  <c r="AA96" i="20"/>
  <c r="W97" i="20"/>
  <c r="AA97" i="20"/>
  <c r="W98" i="20"/>
  <c r="AA98" i="20"/>
  <c r="W99" i="20"/>
  <c r="AA99" i="20"/>
  <c r="W100" i="20"/>
  <c r="AA100" i="20"/>
  <c r="W101" i="20"/>
  <c r="AA101" i="20"/>
  <c r="W102" i="20"/>
  <c r="AA102" i="20"/>
  <c r="W103" i="20"/>
  <c r="AA103" i="20"/>
  <c r="W104" i="20"/>
  <c r="AA104" i="20"/>
  <c r="W105" i="20"/>
  <c r="AA105" i="20"/>
  <c r="W106" i="20"/>
  <c r="AA106" i="20"/>
  <c r="W107" i="20"/>
  <c r="AA107" i="20"/>
  <c r="W108" i="20"/>
  <c r="AA108" i="20"/>
  <c r="W109" i="20"/>
  <c r="AA109" i="20"/>
  <c r="W110" i="20"/>
  <c r="AA110" i="20"/>
  <c r="W111" i="20"/>
  <c r="AA111" i="20"/>
  <c r="W112" i="20"/>
  <c r="AA112" i="20"/>
  <c r="W113" i="20"/>
  <c r="AA113" i="20"/>
  <c r="W114" i="20"/>
  <c r="AA114" i="20"/>
  <c r="W115" i="20"/>
  <c r="AA115" i="20"/>
  <c r="W116" i="20"/>
  <c r="AA116" i="20"/>
  <c r="W117" i="20"/>
  <c r="AA117" i="20"/>
  <c r="W118" i="20"/>
  <c r="AA118" i="20"/>
  <c r="W119" i="20"/>
  <c r="AA119" i="20"/>
  <c r="W120" i="20"/>
  <c r="AA120" i="20"/>
  <c r="W121" i="20"/>
  <c r="AA121" i="20"/>
  <c r="W122" i="20"/>
  <c r="AA122" i="20"/>
  <c r="W123" i="20"/>
  <c r="AA123" i="20"/>
  <c r="W124" i="20"/>
  <c r="AA124" i="20"/>
  <c r="W125" i="20"/>
  <c r="AA125" i="20"/>
  <c r="W126" i="20"/>
  <c r="AA126" i="20"/>
  <c r="W127" i="20"/>
  <c r="AA127" i="20"/>
  <c r="W128" i="20"/>
  <c r="AA128" i="20"/>
  <c r="W129" i="20"/>
  <c r="AA129" i="20"/>
  <c r="W130" i="20"/>
  <c r="AA130" i="20"/>
  <c r="W131" i="20"/>
  <c r="AA131" i="20"/>
  <c r="W132" i="20"/>
  <c r="AA132" i="20"/>
  <c r="W133" i="20"/>
  <c r="AA133" i="20"/>
  <c r="W134" i="20"/>
  <c r="AA134" i="20"/>
  <c r="W135" i="20"/>
  <c r="AA135" i="20"/>
  <c r="W136" i="20"/>
  <c r="AA136" i="20"/>
  <c r="W137" i="20"/>
  <c r="AA137" i="20"/>
  <c r="W138" i="20"/>
  <c r="AA138" i="20"/>
  <c r="W139" i="20"/>
  <c r="AA139" i="20"/>
  <c r="W140" i="20"/>
  <c r="AA140" i="20"/>
  <c r="W141" i="20"/>
  <c r="AA141" i="20"/>
  <c r="W142" i="20"/>
  <c r="AA142" i="20"/>
  <c r="W143" i="20"/>
  <c r="AA143" i="20"/>
  <c r="W144" i="20"/>
  <c r="AA144" i="20"/>
  <c r="W145" i="20"/>
  <c r="AA145" i="20"/>
  <c r="W146" i="20"/>
  <c r="AA146" i="20"/>
  <c r="W147" i="20"/>
  <c r="AA147" i="20"/>
  <c r="W148" i="20"/>
  <c r="AA148" i="20"/>
  <c r="W149" i="20"/>
  <c r="AA149" i="20"/>
  <c r="W150" i="20"/>
  <c r="AA150" i="20"/>
  <c r="W151" i="20"/>
  <c r="AA151" i="20"/>
  <c r="W152" i="20"/>
  <c r="AA152" i="20"/>
  <c r="W153" i="20"/>
  <c r="AA153" i="20"/>
  <c r="W154" i="20"/>
  <c r="AA154" i="20"/>
  <c r="W155" i="20"/>
  <c r="AA155" i="20"/>
  <c r="W156" i="20"/>
  <c r="AA156" i="20"/>
  <c r="W157" i="20"/>
  <c r="AA157" i="20"/>
  <c r="W158" i="20"/>
  <c r="AA158" i="20"/>
  <c r="W159" i="20"/>
  <c r="AA159" i="20"/>
  <c r="W160" i="20"/>
  <c r="AA160" i="20"/>
  <c r="W161" i="20"/>
  <c r="AA161" i="20"/>
  <c r="W162" i="20"/>
  <c r="AA162" i="20"/>
  <c r="AA163" i="20"/>
  <c r="W164" i="20"/>
  <c r="AA164" i="20"/>
  <c r="W165" i="20"/>
  <c r="AA165" i="20"/>
  <c r="W166" i="20"/>
  <c r="AA166" i="20"/>
  <c r="W9" i="20"/>
  <c r="AA9" i="20"/>
  <c r="W10" i="20"/>
  <c r="AA10" i="20"/>
  <c r="W11" i="20"/>
  <c r="AA11" i="20"/>
  <c r="W12" i="20"/>
  <c r="AA12" i="20"/>
  <c r="W13" i="20"/>
  <c r="AA13" i="20"/>
  <c r="W14" i="20"/>
  <c r="AA14" i="20"/>
  <c r="W15" i="20"/>
  <c r="AA15" i="20"/>
  <c r="W16" i="20"/>
  <c r="AA16" i="20"/>
  <c r="W17" i="20"/>
  <c r="AA17" i="20"/>
  <c r="W18" i="20"/>
  <c r="AA18" i="20"/>
  <c r="W19" i="20"/>
  <c r="AA19" i="20"/>
  <c r="W20" i="20"/>
  <c r="AA20" i="20"/>
  <c r="W21" i="20"/>
  <c r="AA21" i="20"/>
  <c r="W22" i="20"/>
  <c r="AA22" i="20"/>
  <c r="W23" i="20"/>
  <c r="AA23" i="20"/>
  <c r="W24" i="20"/>
  <c r="AA24" i="20"/>
  <c r="W25" i="20"/>
  <c r="AA25" i="20"/>
  <c r="W26" i="20"/>
  <c r="AA26" i="20"/>
  <c r="X107" i="20"/>
  <c r="X137" i="20"/>
  <c r="AB139" i="20"/>
  <c r="AB140" i="20"/>
  <c r="AB141" i="20"/>
  <c r="X142" i="20"/>
  <c r="X143" i="20"/>
  <c r="X144" i="20"/>
  <c r="AB145" i="20"/>
  <c r="AB146" i="20"/>
  <c r="AB147" i="20"/>
  <c r="AB148" i="20"/>
  <c r="X149" i="20"/>
  <c r="X150" i="20"/>
  <c r="X151" i="20"/>
  <c r="X152" i="20"/>
  <c r="AB153" i="20"/>
  <c r="AB154" i="20"/>
  <c r="AB155" i="20"/>
  <c r="X156" i="20"/>
  <c r="X157" i="20"/>
  <c r="X158" i="20"/>
  <c r="X159" i="20"/>
  <c r="X160" i="20"/>
  <c r="X161" i="20"/>
  <c r="AB162" i="20"/>
  <c r="AB163" i="20"/>
  <c r="AB164" i="20"/>
  <c r="X166" i="20"/>
  <c r="X9" i="20"/>
  <c r="AB10" i="20"/>
  <c r="AB11" i="20"/>
  <c r="X13" i="20"/>
  <c r="X14" i="20"/>
  <c r="AB15" i="20"/>
  <c r="AB16" i="20"/>
  <c r="AB17" i="20"/>
  <c r="AB18" i="20"/>
  <c r="X19" i="20"/>
  <c r="X167" i="20"/>
  <c r="AB167" i="20"/>
  <c r="X27" i="20"/>
  <c r="AB27" i="20"/>
  <c r="X28" i="20"/>
  <c r="AB28" i="20"/>
  <c r="X29" i="20"/>
  <c r="AB29" i="20"/>
  <c r="X30" i="20"/>
  <c r="AB30" i="20"/>
  <c r="X31" i="20"/>
  <c r="AB31" i="20"/>
  <c r="X32" i="20"/>
  <c r="AB32" i="20"/>
  <c r="X33" i="20"/>
  <c r="AB33" i="20"/>
  <c r="X34" i="20"/>
  <c r="AB34" i="20"/>
  <c r="X35" i="20"/>
  <c r="AB35" i="20"/>
  <c r="X36" i="20"/>
  <c r="AB36" i="20"/>
  <c r="X37" i="20"/>
  <c r="AB37" i="20"/>
  <c r="X38" i="20"/>
  <c r="AB38" i="20"/>
  <c r="X39" i="20"/>
  <c r="AB39" i="20"/>
  <c r="X40" i="20"/>
  <c r="AB40" i="20"/>
  <c r="X41" i="20"/>
  <c r="AB41" i="20"/>
  <c r="X42" i="20"/>
  <c r="AB42" i="20"/>
  <c r="X43" i="20"/>
  <c r="AB43" i="20"/>
  <c r="X44" i="20"/>
  <c r="AB44" i="20"/>
  <c r="X45" i="20"/>
  <c r="AB45" i="20"/>
  <c r="X46" i="20"/>
  <c r="AB46" i="20"/>
  <c r="X47" i="20"/>
  <c r="AB47" i="20"/>
  <c r="X48" i="20"/>
  <c r="AB48" i="20"/>
  <c r="X49" i="20"/>
  <c r="AB49" i="20"/>
  <c r="X50" i="20"/>
  <c r="AB50" i="20"/>
  <c r="X51" i="20"/>
  <c r="AB51" i="20"/>
  <c r="X52" i="20"/>
  <c r="AB52" i="20"/>
  <c r="X53" i="20"/>
  <c r="AB53" i="20"/>
  <c r="X54" i="20"/>
  <c r="AB54" i="20"/>
  <c r="X55" i="20"/>
  <c r="AB55" i="20"/>
  <c r="X56" i="20"/>
  <c r="AB56" i="20"/>
  <c r="X57" i="20"/>
  <c r="AB57" i="20"/>
  <c r="X58" i="20"/>
  <c r="AB58" i="20"/>
  <c r="X59" i="20"/>
  <c r="AB59" i="20"/>
  <c r="X60" i="20"/>
  <c r="AB60" i="20"/>
  <c r="X61" i="20"/>
  <c r="AB61" i="20"/>
  <c r="X62" i="20"/>
  <c r="AB62" i="20"/>
  <c r="X63" i="20"/>
  <c r="AB63" i="20"/>
  <c r="X64" i="20"/>
  <c r="AB64" i="20"/>
  <c r="X65" i="20"/>
  <c r="AB65" i="20"/>
  <c r="X66" i="20"/>
  <c r="AB66" i="20"/>
  <c r="X67" i="20"/>
  <c r="AB67" i="20"/>
  <c r="X68" i="20"/>
  <c r="AB68" i="20"/>
  <c r="X69" i="20"/>
  <c r="AB69" i="20"/>
  <c r="X70" i="20"/>
  <c r="AB70" i="20"/>
  <c r="X71" i="20"/>
  <c r="AB71" i="20"/>
  <c r="X72" i="20"/>
  <c r="AB72" i="20"/>
  <c r="X73" i="20"/>
  <c r="AB73" i="20"/>
  <c r="X74" i="20"/>
  <c r="AB74" i="20"/>
  <c r="X75" i="20"/>
  <c r="AB75" i="20"/>
  <c r="X76" i="20"/>
  <c r="AB76" i="20"/>
  <c r="X77" i="20"/>
  <c r="AB77" i="20"/>
  <c r="X78" i="20"/>
  <c r="AB78" i="20"/>
  <c r="X79" i="20"/>
  <c r="AB79" i="20"/>
  <c r="X80" i="20"/>
  <c r="AB80" i="20"/>
  <c r="X81" i="20"/>
  <c r="AB81" i="20"/>
  <c r="X82" i="20"/>
  <c r="AB82" i="20"/>
  <c r="X83" i="20"/>
  <c r="AB83" i="20"/>
  <c r="X84" i="20"/>
  <c r="AB84" i="20"/>
  <c r="X85" i="20"/>
  <c r="AB85" i="20"/>
  <c r="X86" i="20"/>
  <c r="AB86" i="20"/>
  <c r="X87" i="20"/>
  <c r="AB87" i="20"/>
  <c r="X88" i="20"/>
  <c r="AB88" i="20"/>
  <c r="X89" i="20"/>
  <c r="AB89" i="20"/>
  <c r="X90" i="20"/>
  <c r="AB90" i="20"/>
  <c r="X91" i="20"/>
  <c r="AB91" i="20"/>
  <c r="X92" i="20"/>
  <c r="AB92" i="20"/>
  <c r="X93" i="20"/>
  <c r="AB93" i="20"/>
  <c r="X94" i="20"/>
  <c r="AB94" i="20"/>
  <c r="X95" i="20"/>
  <c r="AB95" i="20"/>
  <c r="X96" i="20"/>
  <c r="AB96" i="20"/>
  <c r="X97" i="20"/>
  <c r="AB97" i="20"/>
  <c r="X98" i="20"/>
  <c r="AB98" i="20"/>
  <c r="X99" i="20"/>
  <c r="AB99" i="20"/>
  <c r="X100" i="20"/>
  <c r="AB100" i="20"/>
  <c r="X101" i="20"/>
  <c r="AB101" i="20"/>
  <c r="X102" i="20"/>
  <c r="AB102" i="20"/>
  <c r="X103" i="20"/>
  <c r="AB103" i="20"/>
  <c r="X104" i="20"/>
  <c r="AB104" i="20"/>
  <c r="X105" i="20"/>
  <c r="AB105" i="20"/>
  <c r="X106" i="20"/>
  <c r="AB106" i="20"/>
  <c r="AB107" i="20"/>
  <c r="X108" i="20"/>
  <c r="AB108" i="20"/>
  <c r="X109" i="20"/>
  <c r="AB109" i="20"/>
  <c r="X110" i="20"/>
  <c r="AB110" i="20"/>
  <c r="X111" i="20"/>
  <c r="AB111" i="20"/>
  <c r="X112" i="20"/>
  <c r="AB112" i="20"/>
  <c r="X113" i="20"/>
  <c r="AB113" i="20"/>
  <c r="X114" i="20"/>
  <c r="AB114" i="20"/>
  <c r="X115" i="20"/>
  <c r="AB115" i="20"/>
  <c r="X116" i="20"/>
  <c r="AB116" i="20"/>
  <c r="X117" i="20"/>
  <c r="AB117" i="20"/>
  <c r="X118" i="20"/>
  <c r="AB118" i="20"/>
  <c r="X119" i="20"/>
  <c r="AB119" i="20"/>
  <c r="X120" i="20"/>
  <c r="AB120" i="20"/>
  <c r="X121" i="20"/>
  <c r="AB121" i="20"/>
  <c r="X122" i="20"/>
  <c r="AB122" i="20"/>
  <c r="X123" i="20"/>
  <c r="AB123" i="20"/>
  <c r="X124" i="20"/>
  <c r="AB124" i="20"/>
  <c r="X125" i="20"/>
  <c r="AB125" i="20"/>
  <c r="X126" i="20"/>
  <c r="AB126" i="20"/>
  <c r="X127" i="20"/>
  <c r="AB127" i="20"/>
  <c r="X128" i="20"/>
  <c r="AB128" i="20"/>
  <c r="X129" i="20"/>
  <c r="AB129" i="20"/>
  <c r="X130" i="20"/>
  <c r="AB130" i="20"/>
  <c r="X131" i="20"/>
  <c r="AB131" i="20"/>
  <c r="X132" i="20"/>
  <c r="AB132" i="20"/>
  <c r="X133" i="20"/>
  <c r="AB133" i="20"/>
  <c r="X134" i="20"/>
  <c r="AB134" i="20"/>
  <c r="X135" i="20"/>
  <c r="AB135" i="20"/>
  <c r="X136" i="20"/>
  <c r="AB136" i="20"/>
  <c r="AB137" i="20"/>
  <c r="X138" i="20"/>
  <c r="AB138" i="20"/>
  <c r="X139" i="20"/>
  <c r="X140" i="20"/>
  <c r="X141" i="20"/>
  <c r="AB142" i="20"/>
  <c r="AB143" i="20"/>
  <c r="AB144" i="20"/>
  <c r="X145" i="20"/>
  <c r="X146" i="20"/>
  <c r="X147" i="20"/>
  <c r="X148" i="20"/>
  <c r="AB149" i="20"/>
  <c r="AB150" i="20"/>
  <c r="AB151" i="20"/>
  <c r="AB152" i="20"/>
  <c r="X153" i="20"/>
  <c r="X154" i="20"/>
  <c r="X155" i="20"/>
  <c r="AB156" i="20"/>
  <c r="AB157" i="20"/>
  <c r="AB158" i="20"/>
  <c r="AB159" i="20"/>
  <c r="AB160" i="20"/>
  <c r="AB161" i="20"/>
  <c r="X162" i="20"/>
  <c r="X163" i="20"/>
  <c r="X164" i="20"/>
  <c r="X165" i="20"/>
  <c r="AB165" i="20"/>
  <c r="AB166" i="20"/>
  <c r="AB9" i="20"/>
  <c r="X10" i="20"/>
  <c r="X11" i="20"/>
  <c r="X12" i="20"/>
  <c r="AB12" i="20"/>
  <c r="AB13" i="20"/>
  <c r="AB14" i="20"/>
  <c r="X15" i="20"/>
  <c r="X16" i="20"/>
  <c r="X17" i="20"/>
  <c r="X18" i="20"/>
  <c r="AB19" i="20"/>
  <c r="AD20" i="20"/>
  <c r="AD21" i="20"/>
  <c r="AD22" i="20"/>
  <c r="AD23" i="20"/>
  <c r="AD24" i="20"/>
  <c r="AD25" i="20"/>
  <c r="AD26" i="20"/>
  <c r="Z153" i="20"/>
  <c r="Z154" i="20"/>
  <c r="Z155" i="20"/>
  <c r="Z156" i="20"/>
  <c r="Z157" i="20"/>
  <c r="Z158" i="20"/>
  <c r="Z159" i="20"/>
  <c r="Z160" i="20"/>
  <c r="Z161" i="20"/>
  <c r="Z162" i="20"/>
  <c r="Z163" i="20"/>
  <c r="Z164" i="20"/>
  <c r="Z165" i="20"/>
  <c r="Z166" i="20"/>
  <c r="Z9" i="20"/>
  <c r="Z10" i="20"/>
  <c r="Z11" i="20"/>
  <c r="Z12" i="20"/>
  <c r="Z13" i="20"/>
  <c r="Z14" i="20"/>
  <c r="Z15" i="20"/>
  <c r="Z16" i="20"/>
  <c r="Z17" i="20"/>
  <c r="Z18" i="20"/>
  <c r="Z19" i="20"/>
  <c r="X20" i="20"/>
  <c r="X21" i="20"/>
  <c r="X22" i="20"/>
  <c r="X23" i="20"/>
  <c r="X24" i="20"/>
  <c r="X25" i="20"/>
  <c r="X26" i="20"/>
  <c r="AD153" i="20"/>
  <c r="AD154" i="20"/>
  <c r="AD155" i="20"/>
  <c r="AD156" i="20"/>
  <c r="AD157" i="20"/>
  <c r="AD158" i="20"/>
  <c r="AD159" i="20"/>
  <c r="AD160" i="20"/>
  <c r="AD161" i="20"/>
  <c r="AD162" i="20"/>
  <c r="AD163" i="20"/>
  <c r="AD164" i="20"/>
  <c r="AD165" i="20"/>
  <c r="AD166" i="20"/>
  <c r="AD9" i="20"/>
  <c r="AD10" i="20"/>
  <c r="AD11" i="20"/>
  <c r="AD12" i="20"/>
  <c r="AD13" i="20"/>
  <c r="AD14" i="20"/>
  <c r="AD15" i="20"/>
  <c r="AD16" i="20"/>
  <c r="AD17" i="20"/>
  <c r="AD18" i="20"/>
  <c r="AD19" i="20"/>
  <c r="Z20" i="20"/>
  <c r="Z21" i="20"/>
  <c r="Z22" i="20"/>
  <c r="Z23" i="20"/>
  <c r="Z24" i="20"/>
  <c r="Z25" i="20"/>
  <c r="Z26" i="20"/>
  <c r="AB20" i="20"/>
  <c r="AB21" i="20"/>
  <c r="AB22" i="20"/>
  <c r="AB23" i="20"/>
  <c r="AB24" i="20"/>
  <c r="AB25" i="20"/>
  <c r="AB26" i="20"/>
  <c r="DX125" i="19"/>
  <c r="DX127" i="19"/>
  <c r="DX22" i="19"/>
  <c r="DX24" i="19"/>
  <c r="DX26" i="19"/>
  <c r="DX28" i="19"/>
  <c r="DX30" i="19"/>
  <c r="DX32" i="19"/>
  <c r="DX34" i="19"/>
  <c r="DX36" i="19"/>
  <c r="DX38" i="19"/>
  <c r="DX40" i="19"/>
  <c r="DX42" i="19"/>
  <c r="DX44" i="19"/>
  <c r="DX46" i="19"/>
  <c r="DX48" i="19"/>
  <c r="DX50" i="19"/>
  <c r="DX52" i="19"/>
  <c r="DX54" i="19"/>
  <c r="DX56" i="19"/>
  <c r="DX58" i="19"/>
  <c r="DX60" i="19"/>
  <c r="DX62" i="19"/>
  <c r="DX64" i="19"/>
  <c r="DX66" i="19"/>
  <c r="DX68" i="19"/>
  <c r="DX70" i="19"/>
  <c r="DX72" i="19"/>
  <c r="DX74" i="19"/>
  <c r="DX76" i="19"/>
  <c r="DX78" i="19"/>
  <c r="DX80" i="19"/>
  <c r="DX82" i="19"/>
  <c r="DX84" i="19"/>
  <c r="DX86" i="19"/>
  <c r="DX88" i="19"/>
  <c r="DX90" i="19"/>
  <c r="DX92" i="19"/>
  <c r="DX94" i="19"/>
  <c r="DX96" i="19"/>
  <c r="DX98" i="19"/>
  <c r="DX100" i="19"/>
  <c r="DX102" i="19"/>
  <c r="DX104" i="19"/>
  <c r="DX106" i="19"/>
  <c r="DD109" i="19"/>
  <c r="DD111" i="19"/>
  <c r="DD113" i="19"/>
  <c r="DD115" i="19"/>
  <c r="DD117" i="19"/>
  <c r="DD119" i="19"/>
  <c r="DD121" i="19"/>
  <c r="DD123" i="19"/>
  <c r="DD125" i="19"/>
  <c r="DD127" i="19"/>
  <c r="DD95" i="19"/>
  <c r="DD97" i="19"/>
  <c r="DD21" i="19"/>
  <c r="DD23" i="19"/>
  <c r="DD25" i="19"/>
  <c r="DD27" i="19"/>
  <c r="DD29" i="19"/>
  <c r="DD31" i="19"/>
  <c r="DD33" i="19"/>
  <c r="DD35" i="19"/>
  <c r="DD37" i="19"/>
  <c r="DD39" i="19"/>
  <c r="DD41" i="19"/>
  <c r="DD43" i="19"/>
  <c r="DD45" i="19"/>
  <c r="DD47" i="19"/>
  <c r="DD49" i="19"/>
  <c r="DD51" i="19"/>
  <c r="DD53" i="19"/>
  <c r="DD55" i="19"/>
  <c r="DD57" i="19"/>
  <c r="DD59" i="19"/>
  <c r="DD61" i="19"/>
  <c r="DD63" i="19"/>
  <c r="DD65" i="19"/>
  <c r="DD67" i="19"/>
  <c r="DD69" i="19"/>
  <c r="DD71" i="19"/>
  <c r="DD73" i="19"/>
  <c r="DD75" i="19"/>
  <c r="DD77" i="19"/>
  <c r="DD79" i="19"/>
  <c r="DD81" i="19"/>
  <c r="DD83" i="19"/>
  <c r="DD85" i="19"/>
  <c r="DD87" i="19"/>
  <c r="DX109" i="19"/>
  <c r="DX111" i="19"/>
  <c r="DX113" i="19"/>
  <c r="DX115" i="19"/>
  <c r="DX117" i="19"/>
  <c r="DX119" i="19"/>
  <c r="DX121" i="19"/>
  <c r="DX123" i="19"/>
  <c r="DX9" i="19"/>
  <c r="DX11" i="19"/>
  <c r="DX13" i="19"/>
  <c r="DX15" i="19"/>
  <c r="DX17" i="19"/>
  <c r="DX19" i="19"/>
  <c r="DD99" i="19"/>
  <c r="DD101" i="19"/>
  <c r="DD103" i="19"/>
  <c r="DD105" i="19"/>
  <c r="DD107" i="19"/>
  <c r="DD88" i="19"/>
  <c r="DD90" i="19"/>
  <c r="DD92" i="19"/>
  <c r="DD9" i="19"/>
  <c r="DD11" i="19"/>
  <c r="DD13" i="19"/>
  <c r="DD15" i="19"/>
  <c r="DD17" i="19"/>
  <c r="DD19" i="19"/>
  <c r="DX126" i="19"/>
  <c r="DX21" i="19"/>
  <c r="DX23" i="19"/>
  <c r="DX25" i="19"/>
  <c r="DX27" i="19"/>
  <c r="DX29" i="19"/>
  <c r="DX31" i="19"/>
  <c r="DX33" i="19"/>
  <c r="DX35" i="19"/>
  <c r="DX37" i="19"/>
  <c r="DX39" i="19"/>
  <c r="DX41" i="19"/>
  <c r="DX43" i="19"/>
  <c r="DX45" i="19"/>
  <c r="DX47" i="19"/>
  <c r="DX49" i="19"/>
  <c r="DX51" i="19"/>
  <c r="DX53" i="19"/>
  <c r="DX55" i="19"/>
  <c r="DX57" i="19"/>
  <c r="DX59" i="19"/>
  <c r="DX61" i="19"/>
  <c r="DX63" i="19"/>
  <c r="DX65" i="19"/>
  <c r="DX67" i="19"/>
  <c r="DX69" i="19"/>
  <c r="DX71" i="19"/>
  <c r="DX73" i="19"/>
  <c r="DX75" i="19"/>
  <c r="DX77" i="19"/>
  <c r="DX79" i="19"/>
  <c r="DX81" i="19"/>
  <c r="DX83" i="19"/>
  <c r="DX85" i="19"/>
  <c r="DX87" i="19"/>
  <c r="DX89" i="19"/>
  <c r="DX91" i="19"/>
  <c r="DX93" i="19"/>
  <c r="DX95" i="19"/>
  <c r="DX97" i="19"/>
  <c r="DX99" i="19"/>
  <c r="DX101" i="19"/>
  <c r="DX103" i="19"/>
  <c r="DX105" i="19"/>
  <c r="DX107" i="19"/>
  <c r="DD108" i="19"/>
  <c r="DD110" i="19"/>
  <c r="DD112" i="19"/>
  <c r="DD114" i="19"/>
  <c r="DD116" i="19"/>
  <c r="DD118" i="19"/>
  <c r="DD120" i="19"/>
  <c r="DD122" i="19"/>
  <c r="DD124" i="19"/>
  <c r="DD126" i="19"/>
  <c r="DD94" i="19"/>
  <c r="DD96" i="19"/>
  <c r="DD20" i="19"/>
  <c r="DD22" i="19"/>
  <c r="DD24" i="19"/>
  <c r="DD26" i="19"/>
  <c r="DD28" i="19"/>
  <c r="DD30" i="19"/>
  <c r="DD32" i="19"/>
  <c r="DD34" i="19"/>
  <c r="DD36" i="19"/>
  <c r="DD38" i="19"/>
  <c r="DD40" i="19"/>
  <c r="DD42" i="19"/>
  <c r="DD44" i="19"/>
  <c r="DD46" i="19"/>
  <c r="DD48" i="19"/>
  <c r="DD50" i="19"/>
  <c r="DD52" i="19"/>
  <c r="DD54" i="19"/>
  <c r="DD56" i="19"/>
  <c r="DD58" i="19"/>
  <c r="DD60" i="19"/>
  <c r="DD62" i="19"/>
  <c r="DD64" i="19"/>
  <c r="DD66" i="19"/>
  <c r="DD68" i="19"/>
  <c r="DD70" i="19"/>
  <c r="DD72" i="19"/>
  <c r="DD74" i="19"/>
  <c r="DD76" i="19"/>
  <c r="DD78" i="19"/>
  <c r="DD80" i="19"/>
  <c r="DD82" i="19"/>
  <c r="DD84" i="19"/>
  <c r="DD86" i="19"/>
  <c r="DX108" i="19"/>
  <c r="DX110" i="19"/>
  <c r="DX112" i="19"/>
  <c r="DX114" i="19"/>
  <c r="DX116" i="19"/>
  <c r="DX118" i="19"/>
  <c r="DX120" i="19"/>
  <c r="DX122" i="19"/>
  <c r="DX124" i="19"/>
  <c r="DX10" i="19"/>
  <c r="DX12" i="19"/>
  <c r="DX14" i="19"/>
  <c r="DX16" i="19"/>
  <c r="DX18" i="19"/>
  <c r="DX20" i="19"/>
  <c r="DD98" i="19"/>
  <c r="DD100" i="19"/>
  <c r="DD102" i="19"/>
  <c r="DD104" i="19"/>
  <c r="DD106" i="19"/>
  <c r="DD89" i="19"/>
  <c r="DD91" i="19"/>
  <c r="DD93" i="19"/>
  <c r="DD10" i="19"/>
  <c r="DD12" i="19"/>
  <c r="DD14" i="19"/>
  <c r="DD16" i="19"/>
  <c r="DD18" i="19"/>
  <c r="CJ119" i="19"/>
  <c r="CJ121" i="19"/>
  <c r="CJ123" i="19"/>
  <c r="CJ125" i="19"/>
  <c r="CJ127" i="19"/>
  <c r="CJ82" i="19"/>
  <c r="CJ84" i="19"/>
  <c r="CJ86" i="19"/>
  <c r="CJ88" i="19"/>
  <c r="CJ90" i="19"/>
  <c r="CJ92" i="19"/>
  <c r="CJ94" i="19"/>
  <c r="CJ96" i="19"/>
  <c r="CJ98" i="19"/>
  <c r="CJ100" i="19"/>
  <c r="CJ102" i="19"/>
  <c r="CJ104" i="19"/>
  <c r="CJ106" i="19"/>
  <c r="CJ108" i="19"/>
  <c r="CJ110" i="19"/>
  <c r="CJ112" i="19"/>
  <c r="CJ114" i="19"/>
  <c r="CJ116" i="19"/>
  <c r="CJ118" i="19"/>
  <c r="CJ56" i="19"/>
  <c r="CJ58" i="19"/>
  <c r="CJ60" i="19"/>
  <c r="CJ62" i="19"/>
  <c r="CJ64" i="19"/>
  <c r="CJ66" i="19"/>
  <c r="CJ68" i="19"/>
  <c r="CJ70" i="19"/>
  <c r="CJ72" i="19"/>
  <c r="CJ74" i="19"/>
  <c r="CJ76" i="19"/>
  <c r="CJ78" i="19"/>
  <c r="CJ80" i="19"/>
  <c r="CJ10" i="19"/>
  <c r="CJ12" i="19"/>
  <c r="CJ14" i="19"/>
  <c r="CJ16" i="19"/>
  <c r="CJ18" i="19"/>
  <c r="CJ20" i="19"/>
  <c r="CJ22" i="19"/>
  <c r="CJ24" i="19"/>
  <c r="CJ26" i="19"/>
  <c r="CJ28" i="19"/>
  <c r="CJ30" i="19"/>
  <c r="CJ32" i="19"/>
  <c r="CJ34" i="19"/>
  <c r="CJ36" i="19"/>
  <c r="CJ38" i="19"/>
  <c r="CJ40" i="19"/>
  <c r="CJ42" i="19"/>
  <c r="CJ44" i="19"/>
  <c r="CJ46" i="19"/>
  <c r="CJ48" i="19"/>
  <c r="CJ50" i="19"/>
  <c r="CJ52" i="19"/>
  <c r="CJ54" i="19"/>
  <c r="BP120" i="19"/>
  <c r="BP122" i="19"/>
  <c r="BP124" i="19"/>
  <c r="BP126" i="19"/>
  <c r="BP105" i="19"/>
  <c r="BP107" i="19"/>
  <c r="BP109" i="19"/>
  <c r="BP111" i="19"/>
  <c r="BP113" i="19"/>
  <c r="BP115" i="19"/>
  <c r="BP117" i="19"/>
  <c r="BP119" i="19"/>
  <c r="BP97" i="19"/>
  <c r="BP99" i="19"/>
  <c r="BP101" i="19"/>
  <c r="BP103" i="19"/>
  <c r="BP85" i="19"/>
  <c r="BP87" i="19"/>
  <c r="BP89" i="19"/>
  <c r="BP91" i="19"/>
  <c r="BP93" i="19"/>
  <c r="BP95" i="19"/>
  <c r="BP10" i="19"/>
  <c r="BP12" i="19"/>
  <c r="BP14" i="19"/>
  <c r="BP16" i="19"/>
  <c r="BP18" i="19"/>
  <c r="BP20" i="19"/>
  <c r="BP22" i="19"/>
  <c r="BP24" i="19"/>
  <c r="BP26" i="19"/>
  <c r="BP28" i="19"/>
  <c r="BP30" i="19"/>
  <c r="BP32" i="19"/>
  <c r="BP34" i="19"/>
  <c r="BP36" i="19"/>
  <c r="BP38" i="19"/>
  <c r="BP40" i="19"/>
  <c r="BP42" i="19"/>
  <c r="BP44" i="19"/>
  <c r="BP46" i="19"/>
  <c r="BP48" i="19"/>
  <c r="BP50" i="19"/>
  <c r="BP52" i="19"/>
  <c r="BP54" i="19"/>
  <c r="BP56" i="19"/>
  <c r="BP58" i="19"/>
  <c r="BP60" i="19"/>
  <c r="BP62" i="19"/>
  <c r="BP64" i="19"/>
  <c r="BP66" i="19"/>
  <c r="BP68" i="19"/>
  <c r="BP70" i="19"/>
  <c r="BP72" i="19"/>
  <c r="BP74" i="19"/>
  <c r="BP76" i="19"/>
  <c r="BP78" i="19"/>
  <c r="BP80" i="19"/>
  <c r="BP82" i="19"/>
  <c r="BP84" i="19"/>
  <c r="CJ120" i="19"/>
  <c r="CJ81" i="19"/>
  <c r="CJ89" i="19"/>
  <c r="CJ97" i="19"/>
  <c r="CJ105" i="19"/>
  <c r="CJ113" i="19"/>
  <c r="CJ57" i="19"/>
  <c r="CJ65" i="19"/>
  <c r="CJ73" i="19"/>
  <c r="CJ9" i="19"/>
  <c r="CJ17" i="19"/>
  <c r="CJ25" i="19"/>
  <c r="CJ33" i="19"/>
  <c r="CJ41" i="19"/>
  <c r="CJ49" i="19"/>
  <c r="BP123" i="19"/>
  <c r="BP108" i="19"/>
  <c r="BP116" i="19"/>
  <c r="BP100" i="19"/>
  <c r="BP88" i="19"/>
  <c r="BP9" i="19"/>
  <c r="BP17" i="19"/>
  <c r="BP25" i="19"/>
  <c r="BP33" i="19"/>
  <c r="BP41" i="19"/>
  <c r="BP49" i="19"/>
  <c r="BP57" i="19"/>
  <c r="BP65" i="19"/>
  <c r="BP73" i="19"/>
  <c r="AV23" i="19"/>
  <c r="AV25" i="19"/>
  <c r="AV27" i="19"/>
  <c r="AV29" i="19"/>
  <c r="AV31" i="19"/>
  <c r="AV33" i="19"/>
  <c r="AV35" i="19"/>
  <c r="AV37" i="19"/>
  <c r="AV39" i="19"/>
  <c r="AV41" i="19"/>
  <c r="AV43" i="19"/>
  <c r="AV45" i="19"/>
  <c r="AV47" i="19"/>
  <c r="AV49" i="19"/>
  <c r="AV51" i="19"/>
  <c r="AV53" i="19"/>
  <c r="AV55" i="19"/>
  <c r="AV57" i="19"/>
  <c r="AV59" i="19"/>
  <c r="AV61" i="19"/>
  <c r="AV63" i="19"/>
  <c r="AV65" i="19"/>
  <c r="AV67" i="19"/>
  <c r="AV69" i="19"/>
  <c r="AV71" i="19"/>
  <c r="AV73" i="19"/>
  <c r="AV75" i="19"/>
  <c r="AV77" i="19"/>
  <c r="AV79" i="19"/>
  <c r="AV81" i="19"/>
  <c r="AV83" i="19"/>
  <c r="AV85" i="19"/>
  <c r="AV87" i="19"/>
  <c r="AV90" i="19"/>
  <c r="AV92" i="19"/>
  <c r="AV94" i="19"/>
  <c r="AV96" i="19"/>
  <c r="AV98" i="19"/>
  <c r="AV100" i="19"/>
  <c r="AV102" i="19"/>
  <c r="AV104" i="19"/>
  <c r="AV106" i="19"/>
  <c r="AV108" i="19"/>
  <c r="AV110" i="19"/>
  <c r="AV112" i="19"/>
  <c r="AV114" i="19"/>
  <c r="AV116" i="19"/>
  <c r="AV118" i="19"/>
  <c r="AV120" i="19"/>
  <c r="AV122" i="19"/>
  <c r="AV124" i="19"/>
  <c r="AV126" i="19"/>
  <c r="AV9" i="19"/>
  <c r="AV11" i="19"/>
  <c r="AV13" i="19"/>
  <c r="AV15" i="19"/>
  <c r="AV17" i="19"/>
  <c r="AV19" i="19"/>
  <c r="AV21" i="19"/>
  <c r="CJ87" i="19"/>
  <c r="CJ111" i="19"/>
  <c r="CJ55" i="19"/>
  <c r="CJ15" i="19"/>
  <c r="CJ23" i="19"/>
  <c r="CJ31" i="19"/>
  <c r="CJ39" i="19"/>
  <c r="CJ47" i="19"/>
  <c r="BP15" i="19"/>
  <c r="BP23" i="19"/>
  <c r="BP31" i="19"/>
  <c r="BP39" i="19"/>
  <c r="BP77" i="19"/>
  <c r="BP81" i="19"/>
  <c r="CJ122" i="19"/>
  <c r="CJ83" i="19"/>
  <c r="CJ91" i="19"/>
  <c r="CJ99" i="19"/>
  <c r="CJ107" i="19"/>
  <c r="CJ115" i="19"/>
  <c r="CJ59" i="19"/>
  <c r="CJ67" i="19"/>
  <c r="CJ75" i="19"/>
  <c r="CJ11" i="19"/>
  <c r="CJ19" i="19"/>
  <c r="CJ27" i="19"/>
  <c r="CJ35" i="19"/>
  <c r="CJ43" i="19"/>
  <c r="CJ51" i="19"/>
  <c r="BP125" i="19"/>
  <c r="BP110" i="19"/>
  <c r="BP118" i="19"/>
  <c r="BP102" i="19"/>
  <c r="BP90" i="19"/>
  <c r="BP11" i="19"/>
  <c r="BP19" i="19"/>
  <c r="BP27" i="19"/>
  <c r="BP35" i="19"/>
  <c r="BP43" i="19"/>
  <c r="BP51" i="19"/>
  <c r="BP59" i="19"/>
  <c r="BP67" i="19"/>
  <c r="BP75" i="19"/>
  <c r="BP79" i="19"/>
  <c r="BP83" i="19"/>
  <c r="AV88" i="19"/>
  <c r="CJ126" i="19"/>
  <c r="CJ95" i="19"/>
  <c r="CJ103" i="19"/>
  <c r="CJ71" i="19"/>
  <c r="CJ79" i="19"/>
  <c r="BP106" i="19"/>
  <c r="BP114" i="19"/>
  <c r="BP98" i="19"/>
  <c r="BP86" i="19"/>
  <c r="BP94" i="19"/>
  <c r="BP55" i="19"/>
  <c r="BP63" i="19"/>
  <c r="BP71" i="19"/>
  <c r="CJ124" i="19"/>
  <c r="CJ85" i="19"/>
  <c r="CJ93" i="19"/>
  <c r="CJ101" i="19"/>
  <c r="CJ109" i="19"/>
  <c r="CJ117" i="19"/>
  <c r="CJ61" i="19"/>
  <c r="CJ69" i="19"/>
  <c r="CJ77" i="19"/>
  <c r="CJ13" i="19"/>
  <c r="CJ21" i="19"/>
  <c r="CJ29" i="19"/>
  <c r="CJ37" i="19"/>
  <c r="CJ45" i="19"/>
  <c r="CJ53" i="19"/>
  <c r="BP127" i="19"/>
  <c r="BP112" i="19"/>
  <c r="BP96" i="19"/>
  <c r="BP104" i="19"/>
  <c r="BP92" i="19"/>
  <c r="BP13" i="19"/>
  <c r="BP21" i="19"/>
  <c r="BP29" i="19"/>
  <c r="BP37" i="19"/>
  <c r="BP45" i="19"/>
  <c r="BP53" i="19"/>
  <c r="BP61" i="19"/>
  <c r="BP69" i="19"/>
  <c r="AV24" i="19"/>
  <c r="AV26" i="19"/>
  <c r="AV28" i="19"/>
  <c r="AV30" i="19"/>
  <c r="AV32" i="19"/>
  <c r="AV34" i="19"/>
  <c r="AV36" i="19"/>
  <c r="AV38" i="19"/>
  <c r="AV40" i="19"/>
  <c r="AV42" i="19"/>
  <c r="AV44" i="19"/>
  <c r="AV46" i="19"/>
  <c r="AV48" i="19"/>
  <c r="AV50" i="19"/>
  <c r="AV52" i="19"/>
  <c r="AV54" i="19"/>
  <c r="AV56" i="19"/>
  <c r="AV58" i="19"/>
  <c r="AV60" i="19"/>
  <c r="AV62" i="19"/>
  <c r="AV64" i="19"/>
  <c r="AV66" i="19"/>
  <c r="AV68" i="19"/>
  <c r="AV70" i="19"/>
  <c r="AV72" i="19"/>
  <c r="AV74" i="19"/>
  <c r="AV76" i="19"/>
  <c r="AV78" i="19"/>
  <c r="AV80" i="19"/>
  <c r="AV82" i="19"/>
  <c r="AV84" i="19"/>
  <c r="AV86" i="19"/>
  <c r="AV89" i="19"/>
  <c r="AV91" i="19"/>
  <c r="AV93" i="19"/>
  <c r="AV95" i="19"/>
  <c r="AV97" i="19"/>
  <c r="AV99" i="19"/>
  <c r="AV101" i="19"/>
  <c r="AV103" i="19"/>
  <c r="AV105" i="19"/>
  <c r="AV107" i="19"/>
  <c r="AV109" i="19"/>
  <c r="AV111" i="19"/>
  <c r="AV113" i="19"/>
  <c r="AV115" i="19"/>
  <c r="AV117" i="19"/>
  <c r="AV119" i="19"/>
  <c r="AV121" i="19"/>
  <c r="AV123" i="19"/>
  <c r="AV125" i="19"/>
  <c r="AV127" i="19"/>
  <c r="AV10" i="19"/>
  <c r="AV12" i="19"/>
  <c r="AV14" i="19"/>
  <c r="AV16" i="19"/>
  <c r="AV18" i="19"/>
  <c r="AV20" i="19"/>
  <c r="AV22" i="19"/>
  <c r="CJ63" i="19"/>
  <c r="BP121" i="19"/>
  <c r="BP47" i="19"/>
  <c r="DR126" i="19"/>
  <c r="DR21" i="19"/>
  <c r="DR23" i="19"/>
  <c r="DR25" i="19"/>
  <c r="DR27" i="19"/>
  <c r="DR29" i="19"/>
  <c r="DR31" i="19"/>
  <c r="DR33" i="19"/>
  <c r="DR35" i="19"/>
  <c r="DR37" i="19"/>
  <c r="DR39" i="19"/>
  <c r="DR41" i="19"/>
  <c r="DR43" i="19"/>
  <c r="DR45" i="19"/>
  <c r="DR47" i="19"/>
  <c r="DR49" i="19"/>
  <c r="DR51" i="19"/>
  <c r="DR53" i="19"/>
  <c r="DR55" i="19"/>
  <c r="DR57" i="19"/>
  <c r="DR59" i="19"/>
  <c r="DR61" i="19"/>
  <c r="DR63" i="19"/>
  <c r="DR65" i="19"/>
  <c r="DR67" i="19"/>
  <c r="DR69" i="19"/>
  <c r="DR71" i="19"/>
  <c r="DR73" i="19"/>
  <c r="DR75" i="19"/>
  <c r="DR77" i="19"/>
  <c r="DR79" i="19"/>
  <c r="DR81" i="19"/>
  <c r="DR83" i="19"/>
  <c r="DR85" i="19"/>
  <c r="DR87" i="19"/>
  <c r="DR89" i="19"/>
  <c r="DR91" i="19"/>
  <c r="DR93" i="19"/>
  <c r="DR95" i="19"/>
  <c r="DR97" i="19"/>
  <c r="DR99" i="19"/>
  <c r="DR101" i="19"/>
  <c r="DR103" i="19"/>
  <c r="DR105" i="19"/>
  <c r="DR107" i="19"/>
  <c r="CX110" i="19"/>
  <c r="CX112" i="19"/>
  <c r="CX114" i="19"/>
  <c r="CX116" i="19"/>
  <c r="CX118" i="19"/>
  <c r="CX120" i="19"/>
  <c r="CX122" i="19"/>
  <c r="CX124" i="19"/>
  <c r="CX126" i="19"/>
  <c r="CX94" i="19"/>
  <c r="CX96" i="19"/>
  <c r="CX20" i="19"/>
  <c r="CX22" i="19"/>
  <c r="CX24" i="19"/>
  <c r="CX26" i="19"/>
  <c r="CX28" i="19"/>
  <c r="CX30" i="19"/>
  <c r="CX32" i="19"/>
  <c r="CX34" i="19"/>
  <c r="CX36" i="19"/>
  <c r="CX38" i="19"/>
  <c r="CX40" i="19"/>
  <c r="CX42" i="19"/>
  <c r="CX44" i="19"/>
  <c r="CX46" i="19"/>
  <c r="CX48" i="19"/>
  <c r="CX50" i="19"/>
  <c r="CX52" i="19"/>
  <c r="CX54" i="19"/>
  <c r="CX56" i="19"/>
  <c r="CX58" i="19"/>
  <c r="CX60" i="19"/>
  <c r="CX62" i="19"/>
  <c r="CX64" i="19"/>
  <c r="CX66" i="19"/>
  <c r="CX68" i="19"/>
  <c r="CX70" i="19"/>
  <c r="CX72" i="19"/>
  <c r="CX74" i="19"/>
  <c r="CX76" i="19"/>
  <c r="CX78" i="19"/>
  <c r="CX80" i="19"/>
  <c r="CX82" i="19"/>
  <c r="CX84" i="19"/>
  <c r="CX86" i="19"/>
  <c r="DR110" i="19"/>
  <c r="DR112" i="19"/>
  <c r="DR114" i="19"/>
  <c r="DR116" i="19"/>
  <c r="DR118" i="19"/>
  <c r="DR120" i="19"/>
  <c r="DR122" i="19"/>
  <c r="DR124" i="19"/>
  <c r="DR10" i="19"/>
  <c r="DR12" i="19"/>
  <c r="DR14" i="19"/>
  <c r="DR16" i="19"/>
  <c r="DR18" i="19"/>
  <c r="DR20" i="19"/>
  <c r="CX98" i="19"/>
  <c r="CX100" i="19"/>
  <c r="CX102" i="19"/>
  <c r="CX104" i="19"/>
  <c r="CX106" i="19"/>
  <c r="CX89" i="19"/>
  <c r="CX91" i="19"/>
  <c r="CX93" i="19"/>
  <c r="CX10" i="19"/>
  <c r="CX12" i="19"/>
  <c r="CX14" i="19"/>
  <c r="CX16" i="19"/>
  <c r="CX18" i="19"/>
  <c r="DR125" i="19"/>
  <c r="DR127" i="19"/>
  <c r="DR22" i="19"/>
  <c r="DR24" i="19"/>
  <c r="DR26" i="19"/>
  <c r="DR28" i="19"/>
  <c r="DR30" i="19"/>
  <c r="DR32" i="19"/>
  <c r="DR34" i="19"/>
  <c r="DR36" i="19"/>
  <c r="DR38" i="19"/>
  <c r="DR40" i="19"/>
  <c r="DR42" i="19"/>
  <c r="DR44" i="19"/>
  <c r="DR46" i="19"/>
  <c r="DR48" i="19"/>
  <c r="DR50" i="19"/>
  <c r="DR52" i="19"/>
  <c r="DR54" i="19"/>
  <c r="DR56" i="19"/>
  <c r="DR58" i="19"/>
  <c r="DR60" i="19"/>
  <c r="DR62" i="19"/>
  <c r="DR64" i="19"/>
  <c r="DR66" i="19"/>
  <c r="DR68" i="19"/>
  <c r="DR70" i="19"/>
  <c r="DR72" i="19"/>
  <c r="DR74" i="19"/>
  <c r="DR76" i="19"/>
  <c r="DR78" i="19"/>
  <c r="DR80" i="19"/>
  <c r="DR82" i="19"/>
  <c r="DR84" i="19"/>
  <c r="DR86" i="19"/>
  <c r="DR88" i="19"/>
  <c r="DR90" i="19"/>
  <c r="DR92" i="19"/>
  <c r="DR94" i="19"/>
  <c r="DR96" i="19"/>
  <c r="DR98" i="19"/>
  <c r="DR100" i="19"/>
  <c r="DR102" i="19"/>
  <c r="DR104" i="19"/>
  <c r="DR106" i="19"/>
  <c r="CX109" i="19"/>
  <c r="CX111" i="19"/>
  <c r="CX113" i="19"/>
  <c r="CX115" i="19"/>
  <c r="CX117" i="19"/>
  <c r="CX119" i="19"/>
  <c r="CX121" i="19"/>
  <c r="CX123" i="19"/>
  <c r="CX125" i="19"/>
  <c r="CX127" i="19"/>
  <c r="CX95" i="19"/>
  <c r="CX97" i="19"/>
  <c r="CX21" i="19"/>
  <c r="CX23" i="19"/>
  <c r="CX25" i="19"/>
  <c r="CX27" i="19"/>
  <c r="CX29" i="19"/>
  <c r="CX31" i="19"/>
  <c r="CX33" i="19"/>
  <c r="CX35" i="19"/>
  <c r="CX37" i="19"/>
  <c r="CX39" i="19"/>
  <c r="CX41" i="19"/>
  <c r="CX43" i="19"/>
  <c r="CX45" i="19"/>
  <c r="CX47" i="19"/>
  <c r="CX49" i="19"/>
  <c r="CX51" i="19"/>
  <c r="CX53" i="19"/>
  <c r="CX55" i="19"/>
  <c r="CX57" i="19"/>
  <c r="CX59" i="19"/>
  <c r="CX61" i="19"/>
  <c r="CX63" i="19"/>
  <c r="CX65" i="19"/>
  <c r="CX67" i="19"/>
  <c r="CX69" i="19"/>
  <c r="CX71" i="19"/>
  <c r="CX73" i="19"/>
  <c r="CX75" i="19"/>
  <c r="CX77" i="19"/>
  <c r="CX79" i="19"/>
  <c r="CX81" i="19"/>
  <c r="CX83" i="19"/>
  <c r="CX85" i="19"/>
  <c r="CX87" i="19"/>
  <c r="DR109" i="19"/>
  <c r="DR111" i="19"/>
  <c r="DR113" i="19"/>
  <c r="DR115" i="19"/>
  <c r="DR117" i="19"/>
  <c r="DR119" i="19"/>
  <c r="DR121" i="19"/>
  <c r="DR123" i="19"/>
  <c r="DR9" i="19"/>
  <c r="DR11" i="19"/>
  <c r="DR13" i="19"/>
  <c r="DR15" i="19"/>
  <c r="DR17" i="19"/>
  <c r="DR19" i="19"/>
  <c r="CX99" i="19"/>
  <c r="CX101" i="19"/>
  <c r="CX103" i="19"/>
  <c r="CX105" i="19"/>
  <c r="CX107" i="19"/>
  <c r="CX90" i="19"/>
  <c r="CX92" i="19"/>
  <c r="CX9" i="19"/>
  <c r="CX11" i="19"/>
  <c r="CX13" i="19"/>
  <c r="CX15" i="19"/>
  <c r="CX17" i="19"/>
  <c r="CX19" i="19"/>
  <c r="CD120" i="19"/>
  <c r="CD122" i="19"/>
  <c r="CD124" i="19"/>
  <c r="CD126" i="19"/>
  <c r="CD81" i="19"/>
  <c r="CD83" i="19"/>
  <c r="CD85" i="19"/>
  <c r="CD87" i="19"/>
  <c r="CD89" i="19"/>
  <c r="CD91" i="19"/>
  <c r="CD93" i="19"/>
  <c r="CD95" i="19"/>
  <c r="CD97" i="19"/>
  <c r="CD99" i="19"/>
  <c r="CD101" i="19"/>
  <c r="CD103" i="19"/>
  <c r="CD105" i="19"/>
  <c r="CD107" i="19"/>
  <c r="CD109" i="19"/>
  <c r="CD111" i="19"/>
  <c r="CD113" i="19"/>
  <c r="CD115" i="19"/>
  <c r="CD117" i="19"/>
  <c r="CD55" i="19"/>
  <c r="CD57" i="19"/>
  <c r="CD59" i="19"/>
  <c r="CD61" i="19"/>
  <c r="CD63" i="19"/>
  <c r="CD65" i="19"/>
  <c r="CD67" i="19"/>
  <c r="CD69" i="19"/>
  <c r="CD71" i="19"/>
  <c r="CD73" i="19"/>
  <c r="CD75" i="19"/>
  <c r="CD77" i="19"/>
  <c r="CD79" i="19"/>
  <c r="CD9" i="19"/>
  <c r="CD11" i="19"/>
  <c r="CD13" i="19"/>
  <c r="CD15" i="19"/>
  <c r="CD17" i="19"/>
  <c r="CD19" i="19"/>
  <c r="CD21" i="19"/>
  <c r="CD23" i="19"/>
  <c r="CD25" i="19"/>
  <c r="CD27" i="19"/>
  <c r="CD29" i="19"/>
  <c r="CD31" i="19"/>
  <c r="CD33" i="19"/>
  <c r="CD35" i="19"/>
  <c r="CD37" i="19"/>
  <c r="CD39" i="19"/>
  <c r="CD41" i="19"/>
  <c r="CD43" i="19"/>
  <c r="CD45" i="19"/>
  <c r="CD47" i="19"/>
  <c r="CD49" i="19"/>
  <c r="CD51" i="19"/>
  <c r="CD53" i="19"/>
  <c r="BJ121" i="19"/>
  <c r="BJ123" i="19"/>
  <c r="BJ125" i="19"/>
  <c r="BJ127" i="19"/>
  <c r="BJ106" i="19"/>
  <c r="BJ108" i="19"/>
  <c r="BJ110" i="19"/>
  <c r="BJ112" i="19"/>
  <c r="BJ114" i="19"/>
  <c r="BJ116" i="19"/>
  <c r="BJ118" i="19"/>
  <c r="BJ96" i="19"/>
  <c r="BJ98" i="19"/>
  <c r="BJ100" i="19"/>
  <c r="BJ102" i="19"/>
  <c r="BJ104" i="19"/>
  <c r="BJ86" i="19"/>
  <c r="BJ88" i="19"/>
  <c r="BJ90" i="19"/>
  <c r="BJ92" i="19"/>
  <c r="BJ94" i="19"/>
  <c r="BJ9" i="19"/>
  <c r="BJ11" i="19"/>
  <c r="BJ13" i="19"/>
  <c r="BJ15" i="19"/>
  <c r="BJ17" i="19"/>
  <c r="BJ19" i="19"/>
  <c r="BJ21" i="19"/>
  <c r="BJ23" i="19"/>
  <c r="BJ25" i="19"/>
  <c r="BJ27" i="19"/>
  <c r="BJ29" i="19"/>
  <c r="BJ31" i="19"/>
  <c r="BJ33" i="19"/>
  <c r="BJ35" i="19"/>
  <c r="BJ37" i="19"/>
  <c r="BJ39" i="19"/>
  <c r="BJ41" i="19"/>
  <c r="BJ43" i="19"/>
  <c r="BJ45" i="19"/>
  <c r="BJ47" i="19"/>
  <c r="BJ49" i="19"/>
  <c r="BJ51" i="19"/>
  <c r="BJ53" i="19"/>
  <c r="BJ55" i="19"/>
  <c r="BJ57" i="19"/>
  <c r="BJ59" i="19"/>
  <c r="BJ61" i="19"/>
  <c r="BJ63" i="19"/>
  <c r="BJ65" i="19"/>
  <c r="BJ67" i="19"/>
  <c r="BJ69" i="19"/>
  <c r="BJ71" i="19"/>
  <c r="BJ73" i="19"/>
  <c r="BJ75" i="19"/>
  <c r="BJ77" i="19"/>
  <c r="BJ79" i="19"/>
  <c r="BJ81" i="19"/>
  <c r="BJ83" i="19"/>
  <c r="CD119" i="19"/>
  <c r="CD127" i="19"/>
  <c r="CD88" i="19"/>
  <c r="CD96" i="19"/>
  <c r="CD104" i="19"/>
  <c r="CD112" i="19"/>
  <c r="CD56" i="19"/>
  <c r="CD64" i="19"/>
  <c r="CD72" i="19"/>
  <c r="CD80" i="19"/>
  <c r="CD16" i="19"/>
  <c r="CD24" i="19"/>
  <c r="CD32" i="19"/>
  <c r="CD40" i="19"/>
  <c r="CD48" i="19"/>
  <c r="BJ122" i="19"/>
  <c r="BJ107" i="19"/>
  <c r="BJ115" i="19"/>
  <c r="BJ99" i="19"/>
  <c r="BJ87" i="19"/>
  <c r="BJ95" i="19"/>
  <c r="BJ16" i="19"/>
  <c r="BJ24" i="19"/>
  <c r="BJ32" i="19"/>
  <c r="BJ40" i="19"/>
  <c r="BJ48" i="19"/>
  <c r="BJ56" i="19"/>
  <c r="BJ64" i="19"/>
  <c r="BJ72" i="19"/>
  <c r="AP24" i="19"/>
  <c r="AP26" i="19"/>
  <c r="AP28" i="19"/>
  <c r="AP30" i="19"/>
  <c r="AP32" i="19"/>
  <c r="AP34" i="19"/>
  <c r="AP36" i="19"/>
  <c r="AP38" i="19"/>
  <c r="AP40" i="19"/>
  <c r="AP42" i="19"/>
  <c r="AP44" i="19"/>
  <c r="AP46" i="19"/>
  <c r="AP48" i="19"/>
  <c r="AP50" i="19"/>
  <c r="AP52" i="19"/>
  <c r="AP54" i="19"/>
  <c r="AP56" i="19"/>
  <c r="AP58" i="19"/>
  <c r="AP60" i="19"/>
  <c r="AP62" i="19"/>
  <c r="AP64" i="19"/>
  <c r="AP66" i="19"/>
  <c r="AP68" i="19"/>
  <c r="AP70" i="19"/>
  <c r="AP72" i="19"/>
  <c r="AP74" i="19"/>
  <c r="AP76" i="19"/>
  <c r="AP78" i="19"/>
  <c r="AP80" i="19"/>
  <c r="AP82" i="19"/>
  <c r="AP84" i="19"/>
  <c r="AP86" i="19"/>
  <c r="AP91" i="19"/>
  <c r="AP93" i="19"/>
  <c r="AP95" i="19"/>
  <c r="AP97" i="19"/>
  <c r="AP99" i="19"/>
  <c r="AP101" i="19"/>
  <c r="AP103" i="19"/>
  <c r="AP105" i="19"/>
  <c r="AP107" i="19"/>
  <c r="AP109" i="19"/>
  <c r="AP111" i="19"/>
  <c r="AP113" i="19"/>
  <c r="AP115" i="19"/>
  <c r="AP117" i="19"/>
  <c r="AP119" i="19"/>
  <c r="AP121" i="19"/>
  <c r="AP123" i="19"/>
  <c r="AP125" i="19"/>
  <c r="AP127" i="19"/>
  <c r="AP10" i="19"/>
  <c r="AP12" i="19"/>
  <c r="AP14" i="19"/>
  <c r="AP16" i="19"/>
  <c r="AP18" i="19"/>
  <c r="AP20" i="19"/>
  <c r="AP22" i="19"/>
  <c r="CD125" i="19"/>
  <c r="CD94" i="19"/>
  <c r="CD102" i="19"/>
  <c r="CD62" i="19"/>
  <c r="CD70" i="19"/>
  <c r="CD78" i="19"/>
  <c r="BJ120" i="19"/>
  <c r="BJ105" i="19"/>
  <c r="BJ113" i="19"/>
  <c r="BJ97" i="19"/>
  <c r="BJ85" i="19"/>
  <c r="BJ93" i="19"/>
  <c r="BJ46" i="19"/>
  <c r="BJ54" i="19"/>
  <c r="BJ62" i="19"/>
  <c r="BJ70" i="19"/>
  <c r="CD121" i="19"/>
  <c r="CD82" i="19"/>
  <c r="CD90" i="19"/>
  <c r="CD98" i="19"/>
  <c r="CD106" i="19"/>
  <c r="CD114" i="19"/>
  <c r="CD58" i="19"/>
  <c r="CD66" i="19"/>
  <c r="CD74" i="19"/>
  <c r="CD10" i="19"/>
  <c r="CD18" i="19"/>
  <c r="CD26" i="19"/>
  <c r="CD34" i="19"/>
  <c r="CD42" i="19"/>
  <c r="CD50" i="19"/>
  <c r="BJ124" i="19"/>
  <c r="BJ109" i="19"/>
  <c r="BJ117" i="19"/>
  <c r="BJ101" i="19"/>
  <c r="BJ89" i="19"/>
  <c r="BJ10" i="19"/>
  <c r="BJ18" i="19"/>
  <c r="BJ26" i="19"/>
  <c r="BJ34" i="19"/>
  <c r="BJ42" i="19"/>
  <c r="BJ50" i="19"/>
  <c r="BJ58" i="19"/>
  <c r="BJ66" i="19"/>
  <c r="BJ74" i="19"/>
  <c r="BJ78" i="19"/>
  <c r="BJ82" i="19"/>
  <c r="CD86" i="19"/>
  <c r="CD110" i="19"/>
  <c r="CD14" i="19"/>
  <c r="CD22" i="19"/>
  <c r="CD30" i="19"/>
  <c r="CD38" i="19"/>
  <c r="CD46" i="19"/>
  <c r="CD54" i="19"/>
  <c r="BJ14" i="19"/>
  <c r="BJ22" i="19"/>
  <c r="BJ30" i="19"/>
  <c r="BJ80" i="19"/>
  <c r="BJ84" i="19"/>
  <c r="CD123" i="19"/>
  <c r="CD84" i="19"/>
  <c r="CD92" i="19"/>
  <c r="CD100" i="19"/>
  <c r="CD108" i="19"/>
  <c r="CD116" i="19"/>
  <c r="CD60" i="19"/>
  <c r="CD68" i="19"/>
  <c r="CD76" i="19"/>
  <c r="CD12" i="19"/>
  <c r="CD20" i="19"/>
  <c r="CD28" i="19"/>
  <c r="CD36" i="19"/>
  <c r="CD44" i="19"/>
  <c r="CD52" i="19"/>
  <c r="BJ126" i="19"/>
  <c r="BJ111" i="19"/>
  <c r="BJ119" i="19"/>
  <c r="BJ103" i="19"/>
  <c r="BJ91" i="19"/>
  <c r="BJ12" i="19"/>
  <c r="BJ20" i="19"/>
  <c r="BJ28" i="19"/>
  <c r="BJ36" i="19"/>
  <c r="BJ44" i="19"/>
  <c r="BJ52" i="19"/>
  <c r="BJ60" i="19"/>
  <c r="BJ68" i="19"/>
  <c r="AP23" i="19"/>
  <c r="AP25" i="19"/>
  <c r="AP27" i="19"/>
  <c r="AP29" i="19"/>
  <c r="AP31" i="19"/>
  <c r="AP33" i="19"/>
  <c r="AP35" i="19"/>
  <c r="AP37" i="19"/>
  <c r="AP39" i="19"/>
  <c r="AP41" i="19"/>
  <c r="AP43" i="19"/>
  <c r="AP45" i="19"/>
  <c r="AP47" i="19"/>
  <c r="AP49" i="19"/>
  <c r="AP51" i="19"/>
  <c r="AP53" i="19"/>
  <c r="AP55" i="19"/>
  <c r="AP57" i="19"/>
  <c r="AP59" i="19"/>
  <c r="AP61" i="19"/>
  <c r="AP63" i="19"/>
  <c r="AP65" i="19"/>
  <c r="AP67" i="19"/>
  <c r="AP69" i="19"/>
  <c r="AP71" i="19"/>
  <c r="AP73" i="19"/>
  <c r="AP75" i="19"/>
  <c r="AP77" i="19"/>
  <c r="AP79" i="19"/>
  <c r="AP81" i="19"/>
  <c r="AP83" i="19"/>
  <c r="AP85" i="19"/>
  <c r="AP87" i="19"/>
  <c r="AP90" i="19"/>
  <c r="AP92" i="19"/>
  <c r="AP94" i="19"/>
  <c r="AP96" i="19"/>
  <c r="AP98" i="19"/>
  <c r="AP100" i="19"/>
  <c r="AP102" i="19"/>
  <c r="AP104" i="19"/>
  <c r="AP106" i="19"/>
  <c r="AP108" i="19"/>
  <c r="AP110" i="19"/>
  <c r="AP112" i="19"/>
  <c r="AP114" i="19"/>
  <c r="AP116" i="19"/>
  <c r="AP118" i="19"/>
  <c r="AP120" i="19"/>
  <c r="AP122" i="19"/>
  <c r="AP124" i="19"/>
  <c r="AP126" i="19"/>
  <c r="AP9" i="19"/>
  <c r="AP11" i="19"/>
  <c r="AP13" i="19"/>
  <c r="AP15" i="19"/>
  <c r="AP17" i="19"/>
  <c r="AP19" i="19"/>
  <c r="AP21" i="19"/>
  <c r="CD118" i="19"/>
  <c r="BJ38" i="19"/>
  <c r="BJ76" i="19"/>
  <c r="AP89" i="19"/>
  <c r="CX108" i="19"/>
  <c r="CX88" i="19"/>
  <c r="DR108" i="19"/>
  <c r="AP88" i="19"/>
  <c r="S47" i="2"/>
  <c r="Y47" i="2"/>
  <c r="W47" i="2"/>
  <c r="U47" i="2"/>
  <c r="X50" i="2"/>
  <c r="G47" i="2"/>
  <c r="K31" i="35" a="1"/>
  <c r="K31" i="35" s="1"/>
  <c r="I48" i="2"/>
  <c r="M48" i="2"/>
  <c r="K45" i="2"/>
  <c r="K48" i="2"/>
  <c r="K47" i="2"/>
  <c r="G46" i="2"/>
  <c r="G45" i="2"/>
  <c r="I46" i="2"/>
  <c r="M46" i="2"/>
  <c r="I45" i="2"/>
  <c r="G58" i="2"/>
  <c r="M45" i="2"/>
  <c r="K46" i="2"/>
  <c r="L46" i="35" a="1"/>
  <c r="L46" i="35" s="1"/>
  <c r="AG17" i="35" s="1"/>
  <c r="O48" i="2"/>
  <c r="S44" i="2"/>
  <c r="S45" i="2"/>
  <c r="W44" i="2"/>
  <c r="O47" i="2"/>
  <c r="U45" i="2"/>
  <c r="U44" i="2"/>
  <c r="Q44" i="2"/>
  <c r="O45" i="2"/>
  <c r="O44" i="2"/>
  <c r="Q45" i="2"/>
  <c r="O46" i="2"/>
  <c r="M47" i="2"/>
  <c r="M44" i="2"/>
  <c r="M71" i="2"/>
  <c r="M73" i="2" s="1"/>
  <c r="K44" i="2"/>
  <c r="I47" i="2"/>
  <c r="G48" i="2"/>
  <c r="L31" i="35"/>
  <c r="CH14" i="2"/>
  <c r="BM14" i="2" s="1"/>
  <c r="Z14" i="2" s="1"/>
  <c r="CH10" i="2"/>
  <c r="BM10" i="2" s="1"/>
  <c r="Z10" i="2" s="1"/>
  <c r="CH9" i="2"/>
  <c r="BM9" i="2" s="1"/>
  <c r="Z9" i="2" s="1"/>
  <c r="K17" i="45"/>
  <c r="P7" i="1153" s="1"/>
  <c r="P28" i="1153" s="1"/>
  <c r="K29" i="45"/>
  <c r="AB7" i="1153" s="1"/>
  <c r="AB28" i="1153" s="1"/>
  <c r="K18" i="45"/>
  <c r="Q7" i="1153" s="1"/>
  <c r="Q28" i="1153" s="1"/>
  <c r="K10" i="45"/>
  <c r="I7" i="1153" s="1"/>
  <c r="I28" i="1153" s="1"/>
  <c r="K21" i="45"/>
  <c r="T7" i="1153" s="1"/>
  <c r="T28" i="1153" s="1"/>
  <c r="K13" i="45"/>
  <c r="L7" i="1153" s="1"/>
  <c r="L28" i="1153" s="1"/>
  <c r="K31" i="45"/>
  <c r="AD7" i="1153" s="1"/>
  <c r="AD28" i="1153" s="1"/>
  <c r="K5" i="45"/>
  <c r="D7" i="1153" s="1"/>
  <c r="K9" i="45"/>
  <c r="H7" i="1153" s="1"/>
  <c r="H28" i="1153" s="1"/>
  <c r="K25" i="45"/>
  <c r="X7" i="1153" s="1"/>
  <c r="X28" i="1153" s="1"/>
  <c r="K27" i="45"/>
  <c r="Z7" i="1153" s="1"/>
  <c r="Z28" i="1153" s="1"/>
  <c r="K6" i="45"/>
  <c r="E7" i="1153" s="1"/>
  <c r="E28" i="1153" s="1"/>
  <c r="K26" i="45"/>
  <c r="Y7" i="1153" s="1"/>
  <c r="Y28" i="1153" s="1"/>
  <c r="K8" i="45"/>
  <c r="G7" i="1153" s="1"/>
  <c r="G28" i="1153" s="1"/>
  <c r="K22" i="45"/>
  <c r="U7" i="1153" s="1"/>
  <c r="U28" i="1153" s="1"/>
  <c r="K15" i="45"/>
  <c r="N7" i="1153" s="1"/>
  <c r="N28" i="1153" s="1"/>
  <c r="K30" i="45"/>
  <c r="AC7" i="1153" s="1"/>
  <c r="AC28" i="1153" s="1"/>
  <c r="K20" i="45"/>
  <c r="S7" i="1153" s="1"/>
  <c r="S28" i="1153" s="1"/>
  <c r="K14" i="45"/>
  <c r="M7" i="1153" s="1"/>
  <c r="M28" i="1153" s="1"/>
  <c r="K12" i="45"/>
  <c r="K7" i="1153" s="1"/>
  <c r="K28" i="1153" s="1"/>
  <c r="K24" i="45"/>
  <c r="W7" i="1153" s="1"/>
  <c r="W28" i="1153" s="1"/>
  <c r="K11" i="45"/>
  <c r="J7" i="1153" s="1"/>
  <c r="J28" i="1153" s="1"/>
  <c r="K28" i="45"/>
  <c r="AA7" i="1153" s="1"/>
  <c r="AA28" i="1153" s="1"/>
  <c r="K7" i="45"/>
  <c r="F7" i="1153" s="1"/>
  <c r="F28" i="1153" s="1"/>
  <c r="K32" i="45"/>
  <c r="AE7" i="1153" s="1"/>
  <c r="AE28" i="1153" s="1"/>
  <c r="K23" i="45"/>
  <c r="V7" i="1153" s="1"/>
  <c r="V28" i="1153" s="1"/>
  <c r="K19" i="45"/>
  <c r="R7" i="1153" s="1"/>
  <c r="R28" i="1153" s="1"/>
  <c r="K16" i="45"/>
  <c r="O7" i="1153" s="1"/>
  <c r="O28" i="1153" s="1"/>
  <c r="E62" i="35"/>
  <c r="AH17" i="35" s="1"/>
  <c r="H46" i="35"/>
  <c r="AD17" i="35" s="1"/>
  <c r="K46" i="35"/>
  <c r="AF17" i="35" s="1"/>
  <c r="J46" i="35"/>
  <c r="AE17" i="35" s="1"/>
  <c r="L73" i="2"/>
  <c r="F50" i="2"/>
  <c r="AL68" i="17"/>
  <c r="AN60" i="17"/>
  <c r="AM61" i="17"/>
  <c r="AL62" i="17"/>
  <c r="AN64" i="17"/>
  <c r="AM65" i="17"/>
  <c r="AL66" i="17"/>
  <c r="AM68" i="17"/>
  <c r="AL59" i="17"/>
  <c r="AN61" i="17"/>
  <c r="AM62" i="17"/>
  <c r="AL63" i="17"/>
  <c r="AN65" i="17"/>
  <c r="AM66" i="17"/>
  <c r="AL67" i="17"/>
  <c r="AN59" i="17"/>
  <c r="AL61" i="17"/>
  <c r="AM64" i="17"/>
  <c r="AN67" i="17"/>
  <c r="AM40" i="17"/>
  <c r="AL41" i="17"/>
  <c r="AN43" i="17"/>
  <c r="AM44" i="17"/>
  <c r="AL45" i="17"/>
  <c r="AN47" i="17"/>
  <c r="AM48" i="17"/>
  <c r="AL49" i="17"/>
  <c r="AN51" i="17"/>
  <c r="AM52" i="17"/>
  <c r="AL53" i="17"/>
  <c r="AN55" i="17"/>
  <c r="AM56" i="17"/>
  <c r="AL57" i="17"/>
  <c r="AM59" i="17"/>
  <c r="AN50" i="17"/>
  <c r="AL56" i="17"/>
  <c r="AN68" i="17"/>
  <c r="AL60" i="17"/>
  <c r="AM63" i="17"/>
  <c r="AN66" i="17"/>
  <c r="AN40" i="17"/>
  <c r="AM41" i="17"/>
  <c r="AL42" i="17"/>
  <c r="AN44" i="17"/>
  <c r="AM45" i="17"/>
  <c r="AL46" i="17"/>
  <c r="AN48" i="17"/>
  <c r="AM49" i="17"/>
  <c r="AL50" i="17"/>
  <c r="AN52" i="17"/>
  <c r="AM53" i="17"/>
  <c r="AL54" i="17"/>
  <c r="AN56" i="17"/>
  <c r="AM57" i="17"/>
  <c r="AL58" i="17"/>
  <c r="AN62" i="17"/>
  <c r="AL64" i="17"/>
  <c r="AM67" i="17"/>
  <c r="AL40" i="17"/>
  <c r="AL48" i="17"/>
  <c r="AM60" i="17"/>
  <c r="AN63" i="17"/>
  <c r="AL65" i="17"/>
  <c r="AN41" i="17"/>
  <c r="AM42" i="17"/>
  <c r="AL43" i="17"/>
  <c r="AN45" i="17"/>
  <c r="AM46" i="17"/>
  <c r="AL47" i="17"/>
  <c r="AN49" i="17"/>
  <c r="AM50" i="17"/>
  <c r="AL51" i="17"/>
  <c r="AN53" i="17"/>
  <c r="AM54" i="17"/>
  <c r="AL55" i="17"/>
  <c r="AN57" i="17"/>
  <c r="AM58" i="17"/>
  <c r="AN42" i="17"/>
  <c r="AM43" i="17"/>
  <c r="AL44" i="17"/>
  <c r="AN46" i="17"/>
  <c r="AM47" i="17"/>
  <c r="AM51" i="17"/>
  <c r="AL52" i="17"/>
  <c r="AN54" i="17"/>
  <c r="AM55" i="17"/>
  <c r="AN58" i="17"/>
  <c r="AC25" i="17"/>
  <c r="AD68" i="17"/>
  <c r="AC59" i="17"/>
  <c r="AE61" i="17"/>
  <c r="AD62" i="17"/>
  <c r="AC63" i="17"/>
  <c r="AE65" i="17"/>
  <c r="AD66" i="17"/>
  <c r="AC67" i="17"/>
  <c r="AE68" i="17"/>
  <c r="AD59" i="17"/>
  <c r="AC60" i="17"/>
  <c r="AE62" i="17"/>
  <c r="AD63" i="17"/>
  <c r="AC64" i="17"/>
  <c r="AE66" i="17"/>
  <c r="AD67" i="17"/>
  <c r="AC40" i="17"/>
  <c r="AC68" i="17"/>
  <c r="AD61" i="17"/>
  <c r="AE64" i="17"/>
  <c r="AC66" i="17"/>
  <c r="AD41" i="17"/>
  <c r="AC42" i="17"/>
  <c r="AE44" i="17"/>
  <c r="AD45" i="17"/>
  <c r="AC46" i="17"/>
  <c r="AE48" i="17"/>
  <c r="AD49" i="17"/>
  <c r="AC50" i="17"/>
  <c r="AE52" i="17"/>
  <c r="AD53" i="17"/>
  <c r="AC54" i="17"/>
  <c r="AE56" i="17"/>
  <c r="AD57" i="17"/>
  <c r="AC58" i="17"/>
  <c r="AC61" i="17"/>
  <c r="AD64" i="17"/>
  <c r="AE67" i="17"/>
  <c r="AE43" i="17"/>
  <c r="AD44" i="17"/>
  <c r="AE51" i="17"/>
  <c r="AD52" i="17"/>
  <c r="AD60" i="17"/>
  <c r="AE63" i="17"/>
  <c r="AC65" i="17"/>
  <c r="AD40" i="17"/>
  <c r="AE41" i="17"/>
  <c r="AD42" i="17"/>
  <c r="AC43" i="17"/>
  <c r="AE45" i="17"/>
  <c r="AD46" i="17"/>
  <c r="AC47" i="17"/>
  <c r="AE49" i="17"/>
  <c r="AD50" i="17"/>
  <c r="AC51" i="17"/>
  <c r="AE53" i="17"/>
  <c r="AD54" i="17"/>
  <c r="AC55" i="17"/>
  <c r="AE57" i="17"/>
  <c r="AD58" i="17"/>
  <c r="AE59" i="17"/>
  <c r="AE47" i="17"/>
  <c r="AE55" i="17"/>
  <c r="AE60" i="17"/>
  <c r="AC62" i="17"/>
  <c r="AD65" i="17"/>
  <c r="AE40" i="17"/>
  <c r="AE42" i="17"/>
  <c r="AD43" i="17"/>
  <c r="AC44" i="17"/>
  <c r="AE46" i="17"/>
  <c r="AD47" i="17"/>
  <c r="AC48" i="17"/>
  <c r="AE50" i="17"/>
  <c r="AD51" i="17"/>
  <c r="AC52" i="17"/>
  <c r="AE54" i="17"/>
  <c r="AD55" i="17"/>
  <c r="AC56" i="17"/>
  <c r="AE58" i="17"/>
  <c r="AC41" i="17"/>
  <c r="AC45" i="17"/>
  <c r="AD48" i="17"/>
  <c r="AC49" i="17"/>
  <c r="AC53" i="17"/>
  <c r="AD56" i="17"/>
  <c r="AC57" i="17"/>
  <c r="AY61" i="17"/>
  <c r="AX62" i="17"/>
  <c r="AZ64" i="17"/>
  <c r="AY65" i="17"/>
  <c r="AX66" i="17"/>
  <c r="AZ68" i="17"/>
  <c r="AY52" i="17"/>
  <c r="AX53" i="17"/>
  <c r="AZ55" i="17"/>
  <c r="AY56" i="17"/>
  <c r="AX57" i="17"/>
  <c r="AZ59" i="17"/>
  <c r="AY60" i="17"/>
  <c r="AX40" i="17"/>
  <c r="AZ42" i="17"/>
  <c r="AZ61" i="17"/>
  <c r="AY62" i="17"/>
  <c r="AX63" i="17"/>
  <c r="AZ65" i="17"/>
  <c r="AY66" i="17"/>
  <c r="AX67" i="17"/>
  <c r="AZ52" i="17"/>
  <c r="AY53" i="17"/>
  <c r="AX54" i="17"/>
  <c r="AZ56" i="17"/>
  <c r="AY57" i="17"/>
  <c r="AX58" i="17"/>
  <c r="AZ60" i="17"/>
  <c r="AY40" i="17"/>
  <c r="AX41" i="17"/>
  <c r="AZ43" i="17"/>
  <c r="AY44" i="17"/>
  <c r="AX45" i="17"/>
  <c r="AZ47" i="17"/>
  <c r="AY48" i="17"/>
  <c r="AX49" i="17"/>
  <c r="AZ51" i="17"/>
  <c r="AZ62" i="17"/>
  <c r="AY63" i="17"/>
  <c r="AX64" i="17"/>
  <c r="AZ66" i="17"/>
  <c r="AY67" i="17"/>
  <c r="AX68" i="17"/>
  <c r="AZ53" i="17"/>
  <c r="AY54" i="17"/>
  <c r="AX55" i="17"/>
  <c r="AZ57" i="17"/>
  <c r="AY58" i="17"/>
  <c r="AX59" i="17"/>
  <c r="AZ40" i="17"/>
  <c r="AY41" i="17"/>
  <c r="AX42" i="17"/>
  <c r="AZ44" i="17"/>
  <c r="AY45" i="17"/>
  <c r="AX46" i="17"/>
  <c r="AZ48" i="17"/>
  <c r="AY49" i="17"/>
  <c r="AX50" i="17"/>
  <c r="AY64" i="17"/>
  <c r="AZ54" i="17"/>
  <c r="AX56" i="17"/>
  <c r="AY42" i="17"/>
  <c r="AY43" i="17"/>
  <c r="AX44" i="17"/>
  <c r="AZ50" i="17"/>
  <c r="AY51" i="17"/>
  <c r="AY50" i="17"/>
  <c r="AX61" i="17"/>
  <c r="AY68" i="17"/>
  <c r="AZ58" i="17"/>
  <c r="AX60" i="17"/>
  <c r="AZ45" i="17"/>
  <c r="AY46" i="17"/>
  <c r="AX47" i="17"/>
  <c r="AZ67" i="17"/>
  <c r="AY59" i="17"/>
  <c r="AX43" i="17"/>
  <c r="AZ49" i="17"/>
  <c r="AX51" i="17"/>
  <c r="AZ63" i="17"/>
  <c r="AX65" i="17"/>
  <c r="AY55" i="17"/>
  <c r="AZ41" i="17"/>
  <c r="AZ46" i="17"/>
  <c r="AY47" i="17"/>
  <c r="AX48" i="17"/>
  <c r="AX52" i="17"/>
  <c r="AK59" i="17"/>
  <c r="AJ60" i="17"/>
  <c r="AI61" i="17"/>
  <c r="AK63" i="17"/>
  <c r="AJ64" i="17"/>
  <c r="AI65" i="17"/>
  <c r="AK67" i="17"/>
  <c r="AI68" i="17"/>
  <c r="AK60" i="17"/>
  <c r="AJ61" i="17"/>
  <c r="AI62" i="17"/>
  <c r="AK64" i="17"/>
  <c r="AJ65" i="17"/>
  <c r="AI66" i="17"/>
  <c r="AK68" i="17"/>
  <c r="AI60" i="17"/>
  <c r="AJ63" i="17"/>
  <c r="AK66" i="17"/>
  <c r="AI40" i="17"/>
  <c r="AK42" i="17"/>
  <c r="AJ43" i="17"/>
  <c r="AI44" i="17"/>
  <c r="AK46" i="17"/>
  <c r="AJ47" i="17"/>
  <c r="AI48" i="17"/>
  <c r="AK50" i="17"/>
  <c r="AJ51" i="17"/>
  <c r="AI52" i="17"/>
  <c r="AK54" i="17"/>
  <c r="AJ55" i="17"/>
  <c r="AI56" i="17"/>
  <c r="AK58" i="17"/>
  <c r="AJ46" i="17"/>
  <c r="AI47" i="17"/>
  <c r="AK53" i="17"/>
  <c r="AI55" i="17"/>
  <c r="AI59" i="17"/>
  <c r="AJ62" i="17"/>
  <c r="AK65" i="17"/>
  <c r="AI67" i="17"/>
  <c r="AJ40" i="17"/>
  <c r="AI41" i="17"/>
  <c r="AK43" i="17"/>
  <c r="AJ44" i="17"/>
  <c r="AI45" i="17"/>
  <c r="AK47" i="17"/>
  <c r="AJ48" i="17"/>
  <c r="AI49" i="17"/>
  <c r="AK51" i="17"/>
  <c r="AJ52" i="17"/>
  <c r="AI53" i="17"/>
  <c r="AK55" i="17"/>
  <c r="AJ56" i="17"/>
  <c r="AI57" i="17"/>
  <c r="AJ68" i="17"/>
  <c r="AK41" i="17"/>
  <c r="AJ42" i="17"/>
  <c r="AI43" i="17"/>
  <c r="AK45" i="17"/>
  <c r="AK49" i="17"/>
  <c r="AJ50" i="17"/>
  <c r="AI51" i="17"/>
  <c r="AJ54" i="17"/>
  <c r="AK57" i="17"/>
  <c r="AJ58" i="17"/>
  <c r="AJ59" i="17"/>
  <c r="AK62" i="17"/>
  <c r="AI64" i="17"/>
  <c r="AJ67" i="17"/>
  <c r="AK40" i="17"/>
  <c r="AJ41" i="17"/>
  <c r="AI42" i="17"/>
  <c r="AK44" i="17"/>
  <c r="AJ45" i="17"/>
  <c r="AI46" i="17"/>
  <c r="AK48" i="17"/>
  <c r="AJ49" i="17"/>
  <c r="AI50" i="17"/>
  <c r="AK52" i="17"/>
  <c r="AJ53" i="17"/>
  <c r="AI54" i="17"/>
  <c r="AK56" i="17"/>
  <c r="AJ57" i="17"/>
  <c r="AI58" i="17"/>
  <c r="AK61" i="17"/>
  <c r="AI63" i="17"/>
  <c r="AJ66" i="17"/>
  <c r="AP68" i="17"/>
  <c r="AO59" i="17"/>
  <c r="AQ61" i="17"/>
  <c r="AP62" i="17"/>
  <c r="AO63" i="17"/>
  <c r="AQ65" i="17"/>
  <c r="AP66" i="17"/>
  <c r="AO67" i="17"/>
  <c r="AQ68" i="17"/>
  <c r="AP59" i="17"/>
  <c r="AO60" i="17"/>
  <c r="AQ62" i="17"/>
  <c r="AP63" i="17"/>
  <c r="AO64" i="17"/>
  <c r="AQ66" i="17"/>
  <c r="AP67" i="17"/>
  <c r="AQ60" i="17"/>
  <c r="AO62" i="17"/>
  <c r="AP65" i="17"/>
  <c r="AQ40" i="17"/>
  <c r="AP41" i="17"/>
  <c r="AO42" i="17"/>
  <c r="AQ44" i="17"/>
  <c r="AP45" i="17"/>
  <c r="AO46" i="17"/>
  <c r="AQ48" i="17"/>
  <c r="AP49" i="17"/>
  <c r="AO50" i="17"/>
  <c r="AQ52" i="17"/>
  <c r="AP53" i="17"/>
  <c r="AO54" i="17"/>
  <c r="AQ56" i="17"/>
  <c r="AP57" i="17"/>
  <c r="AO58" i="17"/>
  <c r="AP60" i="17"/>
  <c r="AP40" i="17"/>
  <c r="AO41" i="17"/>
  <c r="AQ43" i="17"/>
  <c r="AO45" i="17"/>
  <c r="AP48" i="17"/>
  <c r="AO49" i="17"/>
  <c r="AQ51" i="17"/>
  <c r="AP52" i="17"/>
  <c r="AQ59" i="17"/>
  <c r="AO61" i="17"/>
  <c r="AP64" i="17"/>
  <c r="AQ67" i="17"/>
  <c r="AQ41" i="17"/>
  <c r="AP42" i="17"/>
  <c r="AO43" i="17"/>
  <c r="AQ45" i="17"/>
  <c r="AP46" i="17"/>
  <c r="AO47" i="17"/>
  <c r="AQ49" i="17"/>
  <c r="AP50" i="17"/>
  <c r="AO51" i="17"/>
  <c r="AQ53" i="17"/>
  <c r="AP54" i="17"/>
  <c r="AO55" i="17"/>
  <c r="AQ57" i="17"/>
  <c r="AP58" i="17"/>
  <c r="AQ63" i="17"/>
  <c r="AO65" i="17"/>
  <c r="AP44" i="17"/>
  <c r="AQ47" i="17"/>
  <c r="AO53" i="17"/>
  <c r="AQ55" i="17"/>
  <c r="AP56" i="17"/>
  <c r="AO68" i="17"/>
  <c r="AP61" i="17"/>
  <c r="AQ64" i="17"/>
  <c r="AO66" i="17"/>
  <c r="AO40" i="17"/>
  <c r="AQ42" i="17"/>
  <c r="AP43" i="17"/>
  <c r="AO44" i="17"/>
  <c r="AQ46" i="17"/>
  <c r="AP47" i="17"/>
  <c r="AO48" i="17"/>
  <c r="AQ50" i="17"/>
  <c r="AP51" i="17"/>
  <c r="AO52" i="17"/>
  <c r="AQ54" i="17"/>
  <c r="AP55" i="17"/>
  <c r="AO56" i="17"/>
  <c r="AQ58" i="17"/>
  <c r="AO57" i="17"/>
  <c r="Z68" i="17"/>
  <c r="AB60" i="17"/>
  <c r="AA61" i="17"/>
  <c r="Z62" i="17"/>
  <c r="AB64" i="17"/>
  <c r="AA65" i="17"/>
  <c r="Z66" i="17"/>
  <c r="AB40" i="17"/>
  <c r="AA68" i="17"/>
  <c r="Z59" i="17"/>
  <c r="AB61" i="17"/>
  <c r="AA62" i="17"/>
  <c r="Z63" i="17"/>
  <c r="AB65" i="17"/>
  <c r="AA66" i="17"/>
  <c r="Z67" i="17"/>
  <c r="AA60" i="17"/>
  <c r="AB63" i="17"/>
  <c r="Z65" i="17"/>
  <c r="AA40" i="17"/>
  <c r="Z41" i="17"/>
  <c r="AB43" i="17"/>
  <c r="AA44" i="17"/>
  <c r="Z45" i="17"/>
  <c r="AB47" i="17"/>
  <c r="AA48" i="17"/>
  <c r="Z49" i="17"/>
  <c r="AB51" i="17"/>
  <c r="AA52" i="17"/>
  <c r="Z53" i="17"/>
  <c r="AB55" i="17"/>
  <c r="AA56" i="17"/>
  <c r="Z57" i="17"/>
  <c r="AA63" i="17"/>
  <c r="AB66" i="17"/>
  <c r="Z40" i="17"/>
  <c r="AA47" i="17"/>
  <c r="Z48" i="17"/>
  <c r="AA55" i="17"/>
  <c r="Z56" i="17"/>
  <c r="AA59" i="17"/>
  <c r="AB62" i="17"/>
  <c r="Z64" i="17"/>
  <c r="AA67" i="17"/>
  <c r="AA41" i="17"/>
  <c r="Z42" i="17"/>
  <c r="AB44" i="17"/>
  <c r="AA45" i="17"/>
  <c r="Z46" i="17"/>
  <c r="AB48" i="17"/>
  <c r="AA49" i="17"/>
  <c r="Z50" i="17"/>
  <c r="AB52" i="17"/>
  <c r="AA53" i="17"/>
  <c r="Z54" i="17"/>
  <c r="AB56" i="17"/>
  <c r="AA57" i="17"/>
  <c r="Z58" i="17"/>
  <c r="AB42" i="17"/>
  <c r="AA43" i="17"/>
  <c r="Z44" i="17"/>
  <c r="AA51" i="17"/>
  <c r="Z52" i="17"/>
  <c r="AB58" i="17"/>
  <c r="AB59" i="17"/>
  <c r="Z61" i="17"/>
  <c r="AA64" i="17"/>
  <c r="AB67" i="17"/>
  <c r="AB41" i="17"/>
  <c r="AA42" i="17"/>
  <c r="Z43" i="17"/>
  <c r="AB45" i="17"/>
  <c r="AA46" i="17"/>
  <c r="Z47" i="17"/>
  <c r="AB49" i="17"/>
  <c r="AA50" i="17"/>
  <c r="Z51" i="17"/>
  <c r="AB53" i="17"/>
  <c r="AA54" i="17"/>
  <c r="Z55" i="17"/>
  <c r="AB57" i="17"/>
  <c r="AA58" i="17"/>
  <c r="AB68" i="17"/>
  <c r="Z60" i="17"/>
  <c r="AB46" i="17"/>
  <c r="AB50" i="17"/>
  <c r="AB54" i="17"/>
  <c r="AH34" i="17"/>
  <c r="AH68" i="17"/>
  <c r="AG59" i="17"/>
  <c r="AF60" i="17"/>
  <c r="AH62" i="17"/>
  <c r="AG63" i="17"/>
  <c r="AF64" i="17"/>
  <c r="AH66" i="17"/>
  <c r="AG67" i="17"/>
  <c r="AF40" i="17"/>
  <c r="AH59" i="17"/>
  <c r="AG60" i="17"/>
  <c r="AF61" i="17"/>
  <c r="AH63" i="17"/>
  <c r="AG64" i="17"/>
  <c r="AF65" i="17"/>
  <c r="AH67" i="17"/>
  <c r="AG40" i="17"/>
  <c r="AF59" i="17"/>
  <c r="AG62" i="17"/>
  <c r="AH65" i="17"/>
  <c r="AF67" i="17"/>
  <c r="AH41" i="17"/>
  <c r="AG42" i="17"/>
  <c r="AF43" i="17"/>
  <c r="AH45" i="17"/>
  <c r="AG46" i="17"/>
  <c r="AF47" i="17"/>
  <c r="AH49" i="17"/>
  <c r="AG50" i="17"/>
  <c r="AF51" i="17"/>
  <c r="AH53" i="17"/>
  <c r="AG54" i="17"/>
  <c r="AF55" i="17"/>
  <c r="AH57" i="17"/>
  <c r="AG58" i="17"/>
  <c r="AF62" i="17"/>
  <c r="AG65" i="17"/>
  <c r="AG41" i="17"/>
  <c r="AF42" i="17"/>
  <c r="AG45" i="17"/>
  <c r="AH48" i="17"/>
  <c r="AG49" i="17"/>
  <c r="AF50" i="17"/>
  <c r="AF54" i="17"/>
  <c r="AG57" i="17"/>
  <c r="AF58" i="17"/>
  <c r="AF68" i="17"/>
  <c r="AG61" i="17"/>
  <c r="AH64" i="17"/>
  <c r="AF66" i="17"/>
  <c r="AH42" i="17"/>
  <c r="AG43" i="17"/>
  <c r="AF44" i="17"/>
  <c r="AH46" i="17"/>
  <c r="AG47" i="17"/>
  <c r="AF48" i="17"/>
  <c r="AH50" i="17"/>
  <c r="AG51" i="17"/>
  <c r="AF52" i="17"/>
  <c r="AH54" i="17"/>
  <c r="AG55" i="17"/>
  <c r="AF56" i="17"/>
  <c r="AH58" i="17"/>
  <c r="AH60" i="17"/>
  <c r="AH44" i="17"/>
  <c r="AF46" i="17"/>
  <c r="AH52" i="17"/>
  <c r="AG53" i="17"/>
  <c r="AH56" i="17"/>
  <c r="AG68" i="17"/>
  <c r="AH61" i="17"/>
  <c r="AF63" i="17"/>
  <c r="AG66" i="17"/>
  <c r="AF41" i="17"/>
  <c r="AH43" i="17"/>
  <c r="AG44" i="17"/>
  <c r="AF45" i="17"/>
  <c r="AH47" i="17"/>
  <c r="AG48" i="17"/>
  <c r="AF49" i="17"/>
  <c r="AH51" i="17"/>
  <c r="AG52" i="17"/>
  <c r="AF53" i="17"/>
  <c r="AH55" i="17"/>
  <c r="AG56" i="17"/>
  <c r="AF57" i="17"/>
  <c r="AH40" i="17"/>
  <c r="AU61" i="17"/>
  <c r="AW63" i="17"/>
  <c r="AV64" i="17"/>
  <c r="AU65" i="17"/>
  <c r="AW67" i="17"/>
  <c r="AV68" i="17"/>
  <c r="AU52" i="17"/>
  <c r="AW54" i="17"/>
  <c r="AV55" i="17"/>
  <c r="AU56" i="17"/>
  <c r="AW58" i="17"/>
  <c r="AV59" i="17"/>
  <c r="AU60" i="17"/>
  <c r="AW41" i="17"/>
  <c r="AV42" i="17"/>
  <c r="AV61" i="17"/>
  <c r="AU62" i="17"/>
  <c r="AW64" i="17"/>
  <c r="AV65" i="17"/>
  <c r="AU66" i="17"/>
  <c r="AW68" i="17"/>
  <c r="AV52" i="17"/>
  <c r="AU53" i="17"/>
  <c r="AW55" i="17"/>
  <c r="AV56" i="17"/>
  <c r="AU57" i="17"/>
  <c r="AW59" i="17"/>
  <c r="AV60" i="17"/>
  <c r="AU40" i="17"/>
  <c r="AW42" i="17"/>
  <c r="AV43" i="17"/>
  <c r="AU44" i="17"/>
  <c r="AW46" i="17"/>
  <c r="AV47" i="17"/>
  <c r="AU48" i="17"/>
  <c r="AW50" i="17"/>
  <c r="AV51" i="17"/>
  <c r="AW61" i="17"/>
  <c r="AV62" i="17"/>
  <c r="AU63" i="17"/>
  <c r="AW65" i="17"/>
  <c r="AV66" i="17"/>
  <c r="AU67" i="17"/>
  <c r="AW52" i="17"/>
  <c r="AV53" i="17"/>
  <c r="AU54" i="17"/>
  <c r="AW56" i="17"/>
  <c r="AV57" i="17"/>
  <c r="AU58" i="17"/>
  <c r="AW60" i="17"/>
  <c r="AV40" i="17"/>
  <c r="AU41" i="17"/>
  <c r="AW43" i="17"/>
  <c r="AV44" i="17"/>
  <c r="AU45" i="17"/>
  <c r="AW47" i="17"/>
  <c r="AV48" i="17"/>
  <c r="AU49" i="17"/>
  <c r="AW51" i="17"/>
  <c r="AW66" i="17"/>
  <c r="AU68" i="17"/>
  <c r="AV58" i="17"/>
  <c r="AW45" i="17"/>
  <c r="AV46" i="17"/>
  <c r="AU47" i="17"/>
  <c r="AV54" i="17"/>
  <c r="AU42" i="17"/>
  <c r="AW44" i="17"/>
  <c r="AU46" i="17"/>
  <c r="AV63" i="17"/>
  <c r="AW53" i="17"/>
  <c r="AU55" i="17"/>
  <c r="AV41" i="17"/>
  <c r="AW48" i="17"/>
  <c r="AV49" i="17"/>
  <c r="AU50" i="17"/>
  <c r="AW62" i="17"/>
  <c r="AU64" i="17"/>
  <c r="AV45" i="17"/>
  <c r="AV67" i="17"/>
  <c r="AW57" i="17"/>
  <c r="AU59" i="17"/>
  <c r="AU43" i="17"/>
  <c r="AW49" i="17"/>
  <c r="AV50" i="17"/>
  <c r="AU51" i="17"/>
  <c r="AW40" i="17"/>
  <c r="CD162" i="20"/>
  <c r="CH162" i="20"/>
  <c r="CD163" i="20"/>
  <c r="CH163" i="20"/>
  <c r="CD164" i="20"/>
  <c r="CH164" i="20"/>
  <c r="CD165" i="20"/>
  <c r="CH165" i="20"/>
  <c r="CD166" i="20"/>
  <c r="CH166" i="20"/>
  <c r="CD167" i="20"/>
  <c r="CH167" i="20"/>
  <c r="CA162" i="20"/>
  <c r="CE162" i="20"/>
  <c r="CA163" i="20"/>
  <c r="CE163" i="20"/>
  <c r="CA164" i="20"/>
  <c r="CE164" i="20"/>
  <c r="CA165" i="20"/>
  <c r="CE165" i="20"/>
  <c r="CA166" i="20"/>
  <c r="CB162" i="20"/>
  <c r="CF162" i="20"/>
  <c r="CB163" i="20"/>
  <c r="CF163" i="20"/>
  <c r="CB164" i="20"/>
  <c r="CF164" i="20"/>
  <c r="CB165" i="20"/>
  <c r="CF165" i="20"/>
  <c r="CB166" i="20"/>
  <c r="CF166" i="20"/>
  <c r="CB167" i="20"/>
  <c r="CF167" i="20"/>
  <c r="CC162" i="20"/>
  <c r="CC164" i="20"/>
  <c r="CC166" i="20"/>
  <c r="CC167" i="20"/>
  <c r="CC147" i="20"/>
  <c r="CG147" i="20"/>
  <c r="CC148" i="20"/>
  <c r="CG148" i="20"/>
  <c r="CC149" i="20"/>
  <c r="CG149" i="20"/>
  <c r="CC150" i="20"/>
  <c r="CG150" i="20"/>
  <c r="CC151" i="20"/>
  <c r="CG151" i="20"/>
  <c r="CC152" i="20"/>
  <c r="CG152" i="20"/>
  <c r="CC153" i="20"/>
  <c r="CG153" i="20"/>
  <c r="CC154" i="20"/>
  <c r="CG154" i="20"/>
  <c r="CC155" i="20"/>
  <c r="CG155" i="20"/>
  <c r="CC156" i="20"/>
  <c r="CG156" i="20"/>
  <c r="CG162" i="20"/>
  <c r="CG164" i="20"/>
  <c r="CE166" i="20"/>
  <c r="CE167" i="20"/>
  <c r="CD147" i="20"/>
  <c r="CH147" i="20"/>
  <c r="CD148" i="20"/>
  <c r="CH148" i="20"/>
  <c r="CD149" i="20"/>
  <c r="CH149" i="20"/>
  <c r="CD150" i="20"/>
  <c r="CH150" i="20"/>
  <c r="CD151" i="20"/>
  <c r="CH151" i="20"/>
  <c r="CD152" i="20"/>
  <c r="CH152" i="20"/>
  <c r="CD153" i="20"/>
  <c r="CH153" i="20"/>
  <c r="CD154" i="20"/>
  <c r="CH154" i="20"/>
  <c r="CD155" i="20"/>
  <c r="CH155" i="20"/>
  <c r="CD156" i="20"/>
  <c r="CH156" i="20"/>
  <c r="CC163" i="20"/>
  <c r="CC165" i="20"/>
  <c r="CG166" i="20"/>
  <c r="CG167" i="20"/>
  <c r="CA147" i="20"/>
  <c r="CE147" i="20"/>
  <c r="CA148" i="20"/>
  <c r="CE148" i="20"/>
  <c r="CA149" i="20"/>
  <c r="CE149" i="20"/>
  <c r="CA150" i="20"/>
  <c r="CE150" i="20"/>
  <c r="CA151" i="20"/>
  <c r="CE151" i="20"/>
  <c r="CA152" i="20"/>
  <c r="CE152" i="20"/>
  <c r="CA153" i="20"/>
  <c r="CE153" i="20"/>
  <c r="CA154" i="20"/>
  <c r="CE154" i="20"/>
  <c r="CG163" i="20"/>
  <c r="CB148" i="20"/>
  <c r="CB150" i="20"/>
  <c r="CB152" i="20"/>
  <c r="CB154" i="20"/>
  <c r="CA155" i="20"/>
  <c r="CA156" i="20"/>
  <c r="CA157" i="20"/>
  <c r="CE157" i="20"/>
  <c r="CA158" i="20"/>
  <c r="CE158" i="20"/>
  <c r="CA159" i="20"/>
  <c r="CE159" i="20"/>
  <c r="CA160" i="20"/>
  <c r="CE160" i="20"/>
  <c r="CA161" i="20"/>
  <c r="CE161" i="20"/>
  <c r="CA132" i="20"/>
  <c r="CE132" i="20"/>
  <c r="CA133" i="20"/>
  <c r="CE133" i="20"/>
  <c r="CA134" i="20"/>
  <c r="CE134" i="20"/>
  <c r="CA135" i="20"/>
  <c r="CE135" i="20"/>
  <c r="CA136" i="20"/>
  <c r="CE136" i="20"/>
  <c r="CA137" i="20"/>
  <c r="CE137" i="20"/>
  <c r="CA138" i="20"/>
  <c r="CE138" i="20"/>
  <c r="CA139" i="20"/>
  <c r="CE139" i="20"/>
  <c r="CA140" i="20"/>
  <c r="CE140" i="20"/>
  <c r="CA141" i="20"/>
  <c r="CE141" i="20"/>
  <c r="CA142" i="20"/>
  <c r="CE142" i="20"/>
  <c r="CA143" i="20"/>
  <c r="CE143" i="20"/>
  <c r="CA144" i="20"/>
  <c r="CF148" i="20"/>
  <c r="CF150" i="20"/>
  <c r="CF152" i="20"/>
  <c r="CF154" i="20"/>
  <c r="CB155" i="20"/>
  <c r="CB156" i="20"/>
  <c r="CB157" i="20"/>
  <c r="CF157" i="20"/>
  <c r="CB158" i="20"/>
  <c r="CF158" i="20"/>
  <c r="CB159" i="20"/>
  <c r="CF159" i="20"/>
  <c r="CB160" i="20"/>
  <c r="CF160" i="20"/>
  <c r="CB161" i="20"/>
  <c r="CF161" i="20"/>
  <c r="CB132" i="20"/>
  <c r="CF132" i="20"/>
  <c r="CB133" i="20"/>
  <c r="CF133" i="20"/>
  <c r="CB134" i="20"/>
  <c r="CF134" i="20"/>
  <c r="CB135" i="20"/>
  <c r="CF135" i="20"/>
  <c r="CB136" i="20"/>
  <c r="CF136" i="20"/>
  <c r="CB137" i="20"/>
  <c r="CF137" i="20"/>
  <c r="CB138" i="20"/>
  <c r="CF138" i="20"/>
  <c r="CB139" i="20"/>
  <c r="CF139" i="20"/>
  <c r="CB140" i="20"/>
  <c r="CF140" i="20"/>
  <c r="CB141" i="20"/>
  <c r="CF141" i="20"/>
  <c r="CB142" i="20"/>
  <c r="CF142" i="20"/>
  <c r="CB143" i="20"/>
  <c r="CF143" i="20"/>
  <c r="CB144" i="20"/>
  <c r="CF144" i="20"/>
  <c r="CB145" i="20"/>
  <c r="CF145" i="20"/>
  <c r="CB146" i="20"/>
  <c r="CF146" i="20"/>
  <c r="CB119" i="20"/>
  <c r="CF119" i="20"/>
  <c r="CB120" i="20"/>
  <c r="CF120" i="20"/>
  <c r="CB121" i="20"/>
  <c r="CF121" i="20"/>
  <c r="CB122" i="20"/>
  <c r="CF122" i="20"/>
  <c r="CB147" i="20"/>
  <c r="CB149" i="20"/>
  <c r="CB151" i="20"/>
  <c r="CB153" i="20"/>
  <c r="CE155" i="20"/>
  <c r="CE156" i="20"/>
  <c r="CC157" i="20"/>
  <c r="CG157" i="20"/>
  <c r="CC158" i="20"/>
  <c r="CG158" i="20"/>
  <c r="CC159" i="20"/>
  <c r="CG159" i="20"/>
  <c r="CC160" i="20"/>
  <c r="CG160" i="20"/>
  <c r="CC161" i="20"/>
  <c r="CG161" i="20"/>
  <c r="CC132" i="20"/>
  <c r="CG132" i="20"/>
  <c r="CC133" i="20"/>
  <c r="CG133" i="20"/>
  <c r="CC134" i="20"/>
  <c r="CG134" i="20"/>
  <c r="CC135" i="20"/>
  <c r="CG135" i="20"/>
  <c r="CC136" i="20"/>
  <c r="CG136" i="20"/>
  <c r="CC137" i="20"/>
  <c r="CG137" i="20"/>
  <c r="CC138" i="20"/>
  <c r="CG138" i="20"/>
  <c r="CC139" i="20"/>
  <c r="CG139" i="20"/>
  <c r="CC140" i="20"/>
  <c r="CG140" i="20"/>
  <c r="CC141" i="20"/>
  <c r="CG141" i="20"/>
  <c r="CC142" i="20"/>
  <c r="CG142" i="20"/>
  <c r="CC143" i="20"/>
  <c r="CG143" i="20"/>
  <c r="CC144" i="20"/>
  <c r="CG144" i="20"/>
  <c r="CC145" i="20"/>
  <c r="CG145" i="20"/>
  <c r="CC146" i="20"/>
  <c r="CG146" i="20"/>
  <c r="CC119" i="20"/>
  <c r="CG119" i="20"/>
  <c r="CA167" i="20"/>
  <c r="CF151" i="20"/>
  <c r="CD158" i="20"/>
  <c r="CD160" i="20"/>
  <c r="CD132" i="20"/>
  <c r="CD134" i="20"/>
  <c r="CD136" i="20"/>
  <c r="CD138" i="20"/>
  <c r="CD140" i="20"/>
  <c r="CD142" i="20"/>
  <c r="CD144" i="20"/>
  <c r="CD145" i="20"/>
  <c r="CD146" i="20"/>
  <c r="CD119" i="20"/>
  <c r="CA120" i="20"/>
  <c r="CG120" i="20"/>
  <c r="CD121" i="20"/>
  <c r="CA122" i="20"/>
  <c r="CG122" i="20"/>
  <c r="CC123" i="20"/>
  <c r="CG123" i="20"/>
  <c r="CC124" i="20"/>
  <c r="CG124" i="20"/>
  <c r="CC125" i="20"/>
  <c r="CG125" i="20"/>
  <c r="CC126" i="20"/>
  <c r="CG126" i="20"/>
  <c r="CC127" i="20"/>
  <c r="CG127" i="20"/>
  <c r="CC128" i="20"/>
  <c r="CG128" i="20"/>
  <c r="CC129" i="20"/>
  <c r="CG129" i="20"/>
  <c r="CC130" i="20"/>
  <c r="CG130" i="20"/>
  <c r="CC131" i="20"/>
  <c r="CG131" i="20"/>
  <c r="CC110" i="20"/>
  <c r="CG110" i="20"/>
  <c r="CC111" i="20"/>
  <c r="CG111" i="20"/>
  <c r="CC112" i="20"/>
  <c r="CG112" i="20"/>
  <c r="CC113" i="20"/>
  <c r="CG113" i="20"/>
  <c r="CC114" i="20"/>
  <c r="CG114" i="20"/>
  <c r="CC115" i="20"/>
  <c r="CG115" i="20"/>
  <c r="CC116" i="20"/>
  <c r="CG116" i="20"/>
  <c r="CC117" i="20"/>
  <c r="CG117" i="20"/>
  <c r="CC118" i="20"/>
  <c r="CG118" i="20"/>
  <c r="CC92" i="20"/>
  <c r="CG92" i="20"/>
  <c r="CF149" i="20"/>
  <c r="CH158" i="20"/>
  <c r="CH160" i="20"/>
  <c r="CH132" i="20"/>
  <c r="CH134" i="20"/>
  <c r="CH136" i="20"/>
  <c r="CH138" i="20"/>
  <c r="CH140" i="20"/>
  <c r="CH142" i="20"/>
  <c r="CE144" i="20"/>
  <c r="CE145" i="20"/>
  <c r="CE146" i="20"/>
  <c r="CE119" i="20"/>
  <c r="CC120" i="20"/>
  <c r="CH120" i="20"/>
  <c r="CE121" i="20"/>
  <c r="CC122" i="20"/>
  <c r="CH122" i="20"/>
  <c r="CD123" i="20"/>
  <c r="CH123" i="20"/>
  <c r="CD124" i="20"/>
  <c r="CH124" i="20"/>
  <c r="CD125" i="20"/>
  <c r="CH125" i="20"/>
  <c r="CD126" i="20"/>
  <c r="CH126" i="20"/>
  <c r="CD127" i="20"/>
  <c r="CH127" i="20"/>
  <c r="CD128" i="20"/>
  <c r="CH128" i="20"/>
  <c r="CD129" i="20"/>
  <c r="CH129" i="20"/>
  <c r="CD130" i="20"/>
  <c r="CH130" i="20"/>
  <c r="CD131" i="20"/>
  <c r="CH131" i="20"/>
  <c r="CD110" i="20"/>
  <c r="CH110" i="20"/>
  <c r="CD111" i="20"/>
  <c r="CH111" i="20"/>
  <c r="CD112" i="20"/>
  <c r="CH112" i="20"/>
  <c r="CD113" i="20"/>
  <c r="CH113" i="20"/>
  <c r="CD114" i="20"/>
  <c r="CH114" i="20"/>
  <c r="CD115" i="20"/>
  <c r="CH115" i="20"/>
  <c r="CD116" i="20"/>
  <c r="CH116" i="20"/>
  <c r="CD117" i="20"/>
  <c r="CH117" i="20"/>
  <c r="CD118" i="20"/>
  <c r="CH118" i="20"/>
  <c r="CD92" i="20"/>
  <c r="CH92" i="20"/>
  <c r="CF147" i="20"/>
  <c r="CF156" i="20"/>
  <c r="CD157" i="20"/>
  <c r="CD159" i="20"/>
  <c r="CD161" i="20"/>
  <c r="CD133" i="20"/>
  <c r="CD135" i="20"/>
  <c r="CD137" i="20"/>
  <c r="CD139" i="20"/>
  <c r="CD141" i="20"/>
  <c r="CD143" i="20"/>
  <c r="CH144" i="20"/>
  <c r="CH145" i="20"/>
  <c r="CH146" i="20"/>
  <c r="CH119" i="20"/>
  <c r="CD120" i="20"/>
  <c r="CA121" i="20"/>
  <c r="CG121" i="20"/>
  <c r="CD122" i="20"/>
  <c r="CA123" i="20"/>
  <c r="CE123" i="20"/>
  <c r="CA124" i="20"/>
  <c r="CE124" i="20"/>
  <c r="CA125" i="20"/>
  <c r="CE125" i="20"/>
  <c r="CA126" i="20"/>
  <c r="CE126" i="20"/>
  <c r="CA127" i="20"/>
  <c r="CE127" i="20"/>
  <c r="CA128" i="20"/>
  <c r="CE128" i="20"/>
  <c r="CA129" i="20"/>
  <c r="CE129" i="20"/>
  <c r="CA130" i="20"/>
  <c r="CE130" i="20"/>
  <c r="CA131" i="20"/>
  <c r="CE131" i="20"/>
  <c r="CA110" i="20"/>
  <c r="CE110" i="20"/>
  <c r="CA111" i="20"/>
  <c r="CE111" i="20"/>
  <c r="CA112" i="20"/>
  <c r="CE112" i="20"/>
  <c r="CA113" i="20"/>
  <c r="CE113" i="20"/>
  <c r="CA114" i="20"/>
  <c r="CE114" i="20"/>
  <c r="CA115" i="20"/>
  <c r="CE115" i="20"/>
  <c r="CA116" i="20"/>
  <c r="CE116" i="20"/>
  <c r="CG165" i="20"/>
  <c r="CF155" i="20"/>
  <c r="CH161" i="20"/>
  <c r="CH139" i="20"/>
  <c r="CA119" i="20"/>
  <c r="CE120" i="20"/>
  <c r="CC121" i="20"/>
  <c r="CF124" i="20"/>
  <c r="CF126" i="20"/>
  <c r="CF128" i="20"/>
  <c r="CF130" i="20"/>
  <c r="CF110" i="20"/>
  <c r="CF112" i="20"/>
  <c r="CF114" i="20"/>
  <c r="CF116" i="20"/>
  <c r="CF117" i="20"/>
  <c r="CF118" i="20"/>
  <c r="CF92" i="20"/>
  <c r="CB93" i="20"/>
  <c r="CF93" i="20"/>
  <c r="CB94" i="20"/>
  <c r="CF94" i="20"/>
  <c r="CB95" i="20"/>
  <c r="CF95" i="20"/>
  <c r="CB96" i="20"/>
  <c r="CF96" i="20"/>
  <c r="CB97" i="20"/>
  <c r="CF97" i="20"/>
  <c r="CB98" i="20"/>
  <c r="CF98" i="20"/>
  <c r="CB99" i="20"/>
  <c r="CF99" i="20"/>
  <c r="CB100" i="20"/>
  <c r="CF100" i="20"/>
  <c r="CB101" i="20"/>
  <c r="CF101" i="20"/>
  <c r="CB102" i="20"/>
  <c r="CF102" i="20"/>
  <c r="CB103" i="20"/>
  <c r="CF103" i="20"/>
  <c r="CB104" i="20"/>
  <c r="CF104" i="20"/>
  <c r="CB105" i="20"/>
  <c r="CF105" i="20"/>
  <c r="CB106" i="20"/>
  <c r="CF106" i="20"/>
  <c r="CB107" i="20"/>
  <c r="CF107" i="20"/>
  <c r="CB108" i="20"/>
  <c r="CF108" i="20"/>
  <c r="CB109" i="20"/>
  <c r="CF109" i="20"/>
  <c r="CH159" i="20"/>
  <c r="CH137" i="20"/>
  <c r="CA146" i="20"/>
  <c r="CH121" i="20"/>
  <c r="CE122" i="20"/>
  <c r="CB123" i="20"/>
  <c r="CB125" i="20"/>
  <c r="CB127" i="20"/>
  <c r="CB129" i="20"/>
  <c r="CB131" i="20"/>
  <c r="CB111" i="20"/>
  <c r="CB113" i="20"/>
  <c r="CB115" i="20"/>
  <c r="CA117" i="20"/>
  <c r="CA118" i="20"/>
  <c r="CA92" i="20"/>
  <c r="CC93" i="20"/>
  <c r="CG93" i="20"/>
  <c r="CC94" i="20"/>
  <c r="CG94" i="20"/>
  <c r="CC95" i="20"/>
  <c r="CG95" i="20"/>
  <c r="CC96" i="20"/>
  <c r="CG96" i="20"/>
  <c r="CC97" i="20"/>
  <c r="CG97" i="20"/>
  <c r="CC98" i="20"/>
  <c r="CG98" i="20"/>
  <c r="CC99" i="20"/>
  <c r="CG99" i="20"/>
  <c r="CC100" i="20"/>
  <c r="CG100" i="20"/>
  <c r="CC101" i="20"/>
  <c r="CG101" i="20"/>
  <c r="CC102" i="20"/>
  <c r="CG102" i="20"/>
  <c r="CC103" i="20"/>
  <c r="CG103" i="20"/>
  <c r="CC104" i="20"/>
  <c r="CG104" i="20"/>
  <c r="CC105" i="20"/>
  <c r="CG105" i="20"/>
  <c r="CC106" i="20"/>
  <c r="CG106" i="20"/>
  <c r="CC107" i="20"/>
  <c r="CG107" i="20"/>
  <c r="CC108" i="20"/>
  <c r="CG108" i="20"/>
  <c r="CC109" i="20"/>
  <c r="CG109" i="20"/>
  <c r="CC9" i="20"/>
  <c r="CG9" i="20"/>
  <c r="CC10" i="20"/>
  <c r="CG10" i="20"/>
  <c r="CC11" i="20"/>
  <c r="CG11" i="20"/>
  <c r="CC12" i="20"/>
  <c r="CG12" i="20"/>
  <c r="CH157" i="20"/>
  <c r="CH135" i="20"/>
  <c r="CH143" i="20"/>
  <c r="CA145" i="20"/>
  <c r="CF123" i="20"/>
  <c r="CF125" i="20"/>
  <c r="CF127" i="20"/>
  <c r="CF129" i="20"/>
  <c r="CF131" i="20"/>
  <c r="CF111" i="20"/>
  <c r="CF113" i="20"/>
  <c r="CF115" i="20"/>
  <c r="CB117" i="20"/>
  <c r="CB118" i="20"/>
  <c r="CB92" i="20"/>
  <c r="CD93" i="20"/>
  <c r="CH93" i="20"/>
  <c r="CD94" i="20"/>
  <c r="CH94" i="20"/>
  <c r="CD95" i="20"/>
  <c r="CH95" i="20"/>
  <c r="CD96" i="20"/>
  <c r="CH96" i="20"/>
  <c r="CD97" i="20"/>
  <c r="CH97" i="20"/>
  <c r="CD98" i="20"/>
  <c r="CH98" i="20"/>
  <c r="CD99" i="20"/>
  <c r="CH99" i="20"/>
  <c r="CD100" i="20"/>
  <c r="CH100" i="20"/>
  <c r="CD101" i="20"/>
  <c r="CH101" i="20"/>
  <c r="CD102" i="20"/>
  <c r="CH102" i="20"/>
  <c r="CD103" i="20"/>
  <c r="CH103" i="20"/>
  <c r="CD104" i="20"/>
  <c r="CH104" i="20"/>
  <c r="CD105" i="20"/>
  <c r="CH105" i="20"/>
  <c r="CD106" i="20"/>
  <c r="CH106" i="20"/>
  <c r="CD107" i="20"/>
  <c r="CH107" i="20"/>
  <c r="CD108" i="20"/>
  <c r="CH108" i="20"/>
  <c r="CD109" i="20"/>
  <c r="CH109" i="20"/>
  <c r="CD9" i="20"/>
  <c r="CH9" i="20"/>
  <c r="CD10" i="20"/>
  <c r="CH10" i="20"/>
  <c r="CD11" i="20"/>
  <c r="CH11" i="20"/>
  <c r="CD12" i="20"/>
  <c r="CH12" i="20"/>
  <c r="CF153" i="20"/>
  <c r="CB130" i="20"/>
  <c r="CB116" i="20"/>
  <c r="CE92" i="20"/>
  <c r="CE93" i="20"/>
  <c r="CE95" i="20"/>
  <c r="CE97" i="20"/>
  <c r="CE99" i="20"/>
  <c r="CE101" i="20"/>
  <c r="CE103" i="20"/>
  <c r="CE105" i="20"/>
  <c r="CE107" i="20"/>
  <c r="CE109" i="20"/>
  <c r="CB9" i="20"/>
  <c r="CB10" i="20"/>
  <c r="CB11" i="20"/>
  <c r="CB12" i="20"/>
  <c r="CC13" i="20"/>
  <c r="CG13" i="20"/>
  <c r="CC14" i="20"/>
  <c r="CG14" i="20"/>
  <c r="CC15" i="20"/>
  <c r="CG15" i="20"/>
  <c r="CC16" i="20"/>
  <c r="CG16" i="20"/>
  <c r="CC17" i="20"/>
  <c r="CG17" i="20"/>
  <c r="CC18" i="20"/>
  <c r="CG18" i="20"/>
  <c r="CC19" i="20"/>
  <c r="CG19" i="20"/>
  <c r="CC20" i="20"/>
  <c r="CG20" i="20"/>
  <c r="CC21" i="20"/>
  <c r="CG21" i="20"/>
  <c r="CC22" i="20"/>
  <c r="CG22" i="20"/>
  <c r="CC23" i="20"/>
  <c r="CG23" i="20"/>
  <c r="CC24" i="20"/>
  <c r="CG24" i="20"/>
  <c r="CC25" i="20"/>
  <c r="CG25" i="20"/>
  <c r="CC26" i="20"/>
  <c r="CG26" i="20"/>
  <c r="CC27" i="20"/>
  <c r="CG27" i="20"/>
  <c r="CC28" i="20"/>
  <c r="CG28" i="20"/>
  <c r="CC29" i="20"/>
  <c r="CG29" i="20"/>
  <c r="CC30" i="20"/>
  <c r="CG30" i="20"/>
  <c r="CC31" i="20"/>
  <c r="CG31" i="20"/>
  <c r="CC32" i="20"/>
  <c r="CG32" i="20"/>
  <c r="CC33" i="20"/>
  <c r="CG33" i="20"/>
  <c r="CC34" i="20"/>
  <c r="CG34" i="20"/>
  <c r="CC35" i="20"/>
  <c r="CG35" i="20"/>
  <c r="CC36" i="20"/>
  <c r="CG36" i="20"/>
  <c r="CC37" i="20"/>
  <c r="CG37" i="20"/>
  <c r="CC38" i="20"/>
  <c r="CG38" i="20"/>
  <c r="CC39" i="20"/>
  <c r="CG39" i="20"/>
  <c r="CC40" i="20"/>
  <c r="CG40" i="20"/>
  <c r="CC41" i="20"/>
  <c r="CG41" i="20"/>
  <c r="CC42" i="20"/>
  <c r="CG42" i="20"/>
  <c r="CC43" i="20"/>
  <c r="CG43" i="20"/>
  <c r="CC44" i="20"/>
  <c r="CG44" i="20"/>
  <c r="CC45" i="20"/>
  <c r="CG45" i="20"/>
  <c r="CC46" i="20"/>
  <c r="CG46" i="20"/>
  <c r="CC47" i="20"/>
  <c r="CG47" i="20"/>
  <c r="CD48" i="20"/>
  <c r="CH48" i="20"/>
  <c r="CA49" i="20"/>
  <c r="CE49" i="20"/>
  <c r="CB50" i="20"/>
  <c r="CF50" i="20"/>
  <c r="CC51" i="20"/>
  <c r="CG51" i="20"/>
  <c r="CD52" i="20"/>
  <c r="CH52" i="20"/>
  <c r="CA53" i="20"/>
  <c r="CE53" i="20"/>
  <c r="CB54" i="20"/>
  <c r="CF54" i="20"/>
  <c r="CC55" i="20"/>
  <c r="CG55" i="20"/>
  <c r="CD56" i="20"/>
  <c r="CH56" i="20"/>
  <c r="CA57" i="20"/>
  <c r="CE57" i="20"/>
  <c r="CB58" i="20"/>
  <c r="CF58" i="20"/>
  <c r="CC59" i="20"/>
  <c r="CG59" i="20"/>
  <c r="CD60" i="20"/>
  <c r="CH60" i="20"/>
  <c r="CA61" i="20"/>
  <c r="CE61" i="20"/>
  <c r="CB128" i="20"/>
  <c r="CB114" i="20"/>
  <c r="CE118" i="20"/>
  <c r="CA94" i="20"/>
  <c r="CA96" i="20"/>
  <c r="CA98" i="20"/>
  <c r="CA100" i="20"/>
  <c r="CA102" i="20"/>
  <c r="CA104" i="20"/>
  <c r="CA106" i="20"/>
  <c r="CA108" i="20"/>
  <c r="CE9" i="20"/>
  <c r="CE10" i="20"/>
  <c r="CE11" i="20"/>
  <c r="CE12" i="20"/>
  <c r="CD13" i="20"/>
  <c r="CH13" i="20"/>
  <c r="CD14" i="20"/>
  <c r="CH14" i="20"/>
  <c r="CD15" i="20"/>
  <c r="CH15" i="20"/>
  <c r="CD16" i="20"/>
  <c r="CH16" i="20"/>
  <c r="CD17" i="20"/>
  <c r="CH17" i="20"/>
  <c r="CD18" i="20"/>
  <c r="CH18" i="20"/>
  <c r="CD19" i="20"/>
  <c r="CH19" i="20"/>
  <c r="CD20" i="20"/>
  <c r="CH20" i="20"/>
  <c r="CD21" i="20"/>
  <c r="CH21" i="20"/>
  <c r="CD22" i="20"/>
  <c r="CH22" i="20"/>
  <c r="CD23" i="20"/>
  <c r="CH23" i="20"/>
  <c r="CD24" i="20"/>
  <c r="CH24" i="20"/>
  <c r="CD25" i="20"/>
  <c r="CH25" i="20"/>
  <c r="CD26" i="20"/>
  <c r="CH26" i="20"/>
  <c r="CD27" i="20"/>
  <c r="CH27" i="20"/>
  <c r="CD28" i="20"/>
  <c r="CH28" i="20"/>
  <c r="CD29" i="20"/>
  <c r="CH29" i="20"/>
  <c r="CD30" i="20"/>
  <c r="CH30" i="20"/>
  <c r="CD31" i="20"/>
  <c r="CH31" i="20"/>
  <c r="CD32" i="20"/>
  <c r="CH32" i="20"/>
  <c r="CD33" i="20"/>
  <c r="CH33" i="20"/>
  <c r="CD34" i="20"/>
  <c r="CH34" i="20"/>
  <c r="CD35" i="20"/>
  <c r="CH35" i="20"/>
  <c r="CD36" i="20"/>
  <c r="CH36" i="20"/>
  <c r="CD37" i="20"/>
  <c r="CH37" i="20"/>
  <c r="CD38" i="20"/>
  <c r="CH38" i="20"/>
  <c r="CD39" i="20"/>
  <c r="CH39" i="20"/>
  <c r="CD40" i="20"/>
  <c r="CH40" i="20"/>
  <c r="CD41" i="20"/>
  <c r="CH41" i="20"/>
  <c r="CD42" i="20"/>
  <c r="CH42" i="20"/>
  <c r="CD43" i="20"/>
  <c r="CH43" i="20"/>
  <c r="CD44" i="20"/>
  <c r="CH44" i="20"/>
  <c r="CD45" i="20"/>
  <c r="CH45" i="20"/>
  <c r="CD46" i="20"/>
  <c r="CH46" i="20"/>
  <c r="CD47" i="20"/>
  <c r="CH47" i="20"/>
  <c r="CA48" i="20"/>
  <c r="CE48" i="20"/>
  <c r="CB49" i="20"/>
  <c r="CF49" i="20"/>
  <c r="CC50" i="20"/>
  <c r="CG50" i="20"/>
  <c r="CD51" i="20"/>
  <c r="CH51" i="20"/>
  <c r="CA52" i="20"/>
  <c r="CE52" i="20"/>
  <c r="CH141" i="20"/>
  <c r="CB126" i="20"/>
  <c r="CB112" i="20"/>
  <c r="CE117" i="20"/>
  <c r="CE94" i="20"/>
  <c r="CE96" i="20"/>
  <c r="CE98" i="20"/>
  <c r="CE100" i="20"/>
  <c r="CE102" i="20"/>
  <c r="CE104" i="20"/>
  <c r="CE106" i="20"/>
  <c r="CE108" i="20"/>
  <c r="CF9" i="20"/>
  <c r="CF10" i="20"/>
  <c r="CF11" i="20"/>
  <c r="CF12" i="20"/>
  <c r="CA13" i="20"/>
  <c r="CE13" i="20"/>
  <c r="CA14" i="20"/>
  <c r="CE14" i="20"/>
  <c r="CA15" i="20"/>
  <c r="CE15" i="20"/>
  <c r="CA16" i="20"/>
  <c r="CE16" i="20"/>
  <c r="CA17" i="20"/>
  <c r="CE17" i="20"/>
  <c r="CA18" i="20"/>
  <c r="CE18" i="20"/>
  <c r="CA19" i="20"/>
  <c r="CE19" i="20"/>
  <c r="CA20" i="20"/>
  <c r="CE20" i="20"/>
  <c r="CA21" i="20"/>
  <c r="CE21" i="20"/>
  <c r="CA22" i="20"/>
  <c r="CE22" i="20"/>
  <c r="CA23" i="20"/>
  <c r="CE23" i="20"/>
  <c r="CA24" i="20"/>
  <c r="CE24" i="20"/>
  <c r="CA25" i="20"/>
  <c r="CE25" i="20"/>
  <c r="CA26" i="20"/>
  <c r="CE26" i="20"/>
  <c r="CA27" i="20"/>
  <c r="CE27" i="20"/>
  <c r="CA28" i="20"/>
  <c r="CE28" i="20"/>
  <c r="CA29" i="20"/>
  <c r="CE29" i="20"/>
  <c r="CA30" i="20"/>
  <c r="CE30" i="20"/>
  <c r="CA31" i="20"/>
  <c r="CE31" i="20"/>
  <c r="CA32" i="20"/>
  <c r="CE32" i="20"/>
  <c r="CA33" i="20"/>
  <c r="CE33" i="20"/>
  <c r="CA34" i="20"/>
  <c r="CE34" i="20"/>
  <c r="CA35" i="20"/>
  <c r="CE35" i="20"/>
  <c r="CA36" i="20"/>
  <c r="CE36" i="20"/>
  <c r="CA37" i="20"/>
  <c r="CE37" i="20"/>
  <c r="CA38" i="20"/>
  <c r="CE38" i="20"/>
  <c r="CA39" i="20"/>
  <c r="CE39" i="20"/>
  <c r="CA40" i="20"/>
  <c r="CE40" i="20"/>
  <c r="CA41" i="20"/>
  <c r="CE41" i="20"/>
  <c r="CA42" i="20"/>
  <c r="CE42" i="20"/>
  <c r="CA43" i="20"/>
  <c r="CE43" i="20"/>
  <c r="CA44" i="20"/>
  <c r="CE44" i="20"/>
  <c r="CA45" i="20"/>
  <c r="CE45" i="20"/>
  <c r="CA46" i="20"/>
  <c r="CE46" i="20"/>
  <c r="CA47" i="20"/>
  <c r="CE47" i="20"/>
  <c r="CB48" i="20"/>
  <c r="CF48" i="20"/>
  <c r="CC49" i="20"/>
  <c r="CG49" i="20"/>
  <c r="CD50" i="20"/>
  <c r="CH50" i="20"/>
  <c r="CA51" i="20"/>
  <c r="CE51" i="20"/>
  <c r="CB52" i="20"/>
  <c r="CF52" i="20"/>
  <c r="CC53" i="20"/>
  <c r="CG53" i="20"/>
  <c r="CD54" i="20"/>
  <c r="CH54" i="20"/>
  <c r="CA55" i="20"/>
  <c r="CE55" i="20"/>
  <c r="CB56" i="20"/>
  <c r="CF56" i="20"/>
  <c r="CC57" i="20"/>
  <c r="CG57" i="20"/>
  <c r="CD58" i="20"/>
  <c r="CH58" i="20"/>
  <c r="CA59" i="20"/>
  <c r="CE59" i="20"/>
  <c r="CB60" i="20"/>
  <c r="CF60" i="20"/>
  <c r="CC61" i="20"/>
  <c r="CG61" i="20"/>
  <c r="CH133" i="20"/>
  <c r="CA99" i="20"/>
  <c r="CA107" i="20"/>
  <c r="CA10" i="20"/>
  <c r="CF13" i="20"/>
  <c r="CF15" i="20"/>
  <c r="CF17" i="20"/>
  <c r="CF19" i="20"/>
  <c r="CF21" i="20"/>
  <c r="CF23" i="20"/>
  <c r="CF25" i="20"/>
  <c r="CF27" i="20"/>
  <c r="CF29" i="20"/>
  <c r="CF31" i="20"/>
  <c r="CF33" i="20"/>
  <c r="CF35" i="20"/>
  <c r="CF37" i="20"/>
  <c r="CF39" i="20"/>
  <c r="CF41" i="20"/>
  <c r="CF43" i="20"/>
  <c r="CF45" i="20"/>
  <c r="CF47" i="20"/>
  <c r="CH49" i="20"/>
  <c r="CA50" i="20"/>
  <c r="CC52" i="20"/>
  <c r="CB53" i="20"/>
  <c r="CC54" i="20"/>
  <c r="CD55" i="20"/>
  <c r="CE56" i="20"/>
  <c r="CF57" i="20"/>
  <c r="CG58" i="20"/>
  <c r="CH59" i="20"/>
  <c r="CA60" i="20"/>
  <c r="CB61" i="20"/>
  <c r="CD62" i="20"/>
  <c r="CH62" i="20"/>
  <c r="CA63" i="20"/>
  <c r="CE63" i="20"/>
  <c r="CB64" i="20"/>
  <c r="CF64" i="20"/>
  <c r="CC65" i="20"/>
  <c r="CG65" i="20"/>
  <c r="CD66" i="20"/>
  <c r="CH66" i="20"/>
  <c r="CE67" i="20"/>
  <c r="CA68" i="20"/>
  <c r="CF68" i="20"/>
  <c r="CB69" i="20"/>
  <c r="CG69" i="20"/>
  <c r="CC70" i="20"/>
  <c r="CH70" i="20"/>
  <c r="CD71" i="20"/>
  <c r="CA72" i="20"/>
  <c r="CE72" i="20"/>
  <c r="CA73" i="20"/>
  <c r="CE73" i="20"/>
  <c r="CA74" i="20"/>
  <c r="CE74" i="20"/>
  <c r="CA75" i="20"/>
  <c r="CE75" i="20"/>
  <c r="CA76" i="20"/>
  <c r="CE76" i="20"/>
  <c r="CA77" i="20"/>
  <c r="CE77" i="20"/>
  <c r="CA78" i="20"/>
  <c r="CE78" i="20"/>
  <c r="CA79" i="20"/>
  <c r="CE79" i="20"/>
  <c r="CA80" i="20"/>
  <c r="CE80" i="20"/>
  <c r="CA81" i="20"/>
  <c r="CE81" i="20"/>
  <c r="CA82" i="20"/>
  <c r="CE82" i="20"/>
  <c r="CA83" i="20"/>
  <c r="CE83" i="20"/>
  <c r="CA84" i="20"/>
  <c r="CE84" i="20"/>
  <c r="CA85" i="20"/>
  <c r="CE85" i="20"/>
  <c r="CA86" i="20"/>
  <c r="CE86" i="20"/>
  <c r="CA87" i="20"/>
  <c r="CE87" i="20"/>
  <c r="CA88" i="20"/>
  <c r="CE88" i="20"/>
  <c r="CA89" i="20"/>
  <c r="CE89" i="20"/>
  <c r="CA90" i="20"/>
  <c r="CE90" i="20"/>
  <c r="CA91" i="20"/>
  <c r="CE91" i="20"/>
  <c r="CA97" i="20"/>
  <c r="CA105" i="20"/>
  <c r="CA9" i="20"/>
  <c r="CB14" i="20"/>
  <c r="CB16" i="20"/>
  <c r="CB18" i="20"/>
  <c r="CB20" i="20"/>
  <c r="CB22" i="20"/>
  <c r="CB24" i="20"/>
  <c r="CB26" i="20"/>
  <c r="CB28" i="20"/>
  <c r="CB30" i="20"/>
  <c r="CB32" i="20"/>
  <c r="CB34" i="20"/>
  <c r="CB36" i="20"/>
  <c r="CB38" i="20"/>
  <c r="CB40" i="20"/>
  <c r="CB42" i="20"/>
  <c r="CB44" i="20"/>
  <c r="CB46" i="20"/>
  <c r="CC48" i="20"/>
  <c r="CE50" i="20"/>
  <c r="CG52" i="20"/>
  <c r="CD53" i="20"/>
  <c r="CE54" i="20"/>
  <c r="CF55" i="20"/>
  <c r="CG56" i="20"/>
  <c r="CH57" i="20"/>
  <c r="CA58" i="20"/>
  <c r="CB59" i="20"/>
  <c r="CC60" i="20"/>
  <c r="CD61" i="20"/>
  <c r="CA62" i="20"/>
  <c r="CE62" i="20"/>
  <c r="CB63" i="20"/>
  <c r="CF63" i="20"/>
  <c r="CC64" i="20"/>
  <c r="CG64" i="20"/>
  <c r="CD65" i="20"/>
  <c r="CH65" i="20"/>
  <c r="CE66" i="20"/>
  <c r="CA67" i="20"/>
  <c r="CF67" i="20"/>
  <c r="CB68" i="20"/>
  <c r="CG68" i="20"/>
  <c r="CC69" i="20"/>
  <c r="CH69" i="20"/>
  <c r="CD70" i="20"/>
  <c r="CA71" i="20"/>
  <c r="CE71" i="20"/>
  <c r="CB72" i="20"/>
  <c r="CF72" i="20"/>
  <c r="CB73" i="20"/>
  <c r="CF73" i="20"/>
  <c r="CB74" i="20"/>
  <c r="CF74" i="20"/>
  <c r="CB75" i="20"/>
  <c r="CF75" i="20"/>
  <c r="CB76" i="20"/>
  <c r="CF76" i="20"/>
  <c r="CB77" i="20"/>
  <c r="CF77" i="20"/>
  <c r="CB78" i="20"/>
  <c r="CF78" i="20"/>
  <c r="CB79" i="20"/>
  <c r="CF79" i="20"/>
  <c r="CB80" i="20"/>
  <c r="CF80" i="20"/>
  <c r="CB81" i="20"/>
  <c r="CF81" i="20"/>
  <c r="CB82" i="20"/>
  <c r="CF82" i="20"/>
  <c r="CB83" i="20"/>
  <c r="CF83" i="20"/>
  <c r="CB84" i="20"/>
  <c r="CF84" i="20"/>
  <c r="CB85" i="20"/>
  <c r="CF85" i="20"/>
  <c r="CB86" i="20"/>
  <c r="CF86" i="20"/>
  <c r="CB87" i="20"/>
  <c r="CF87" i="20"/>
  <c r="CB88" i="20"/>
  <c r="CF88" i="20"/>
  <c r="CB89" i="20"/>
  <c r="CF89" i="20"/>
  <c r="CB90" i="20"/>
  <c r="CF90" i="20"/>
  <c r="CB91" i="20"/>
  <c r="CF91" i="20"/>
  <c r="CB110" i="20"/>
  <c r="CA95" i="20"/>
  <c r="CA103" i="20"/>
  <c r="CA12" i="20"/>
  <c r="CF14" i="20"/>
  <c r="CF16" i="20"/>
  <c r="CF18" i="20"/>
  <c r="CF20" i="20"/>
  <c r="CF22" i="20"/>
  <c r="CF24" i="20"/>
  <c r="CF26" i="20"/>
  <c r="CF28" i="20"/>
  <c r="CF30" i="20"/>
  <c r="CF32" i="20"/>
  <c r="CF34" i="20"/>
  <c r="CF36" i="20"/>
  <c r="CF38" i="20"/>
  <c r="CF40" i="20"/>
  <c r="CF42" i="20"/>
  <c r="CF44" i="20"/>
  <c r="CF46" i="20"/>
  <c r="CG48" i="20"/>
  <c r="CB51" i="20"/>
  <c r="CF53" i="20"/>
  <c r="CG54" i="20"/>
  <c r="CH55" i="20"/>
  <c r="CA56" i="20"/>
  <c r="CB57" i="20"/>
  <c r="CC58" i="20"/>
  <c r="CD59" i="20"/>
  <c r="CE60" i="20"/>
  <c r="CF61" i="20"/>
  <c r="CB62" i="20"/>
  <c r="CF62" i="20"/>
  <c r="CC63" i="20"/>
  <c r="CG63" i="20"/>
  <c r="CD64" i="20"/>
  <c r="CH64" i="20"/>
  <c r="CE65" i="20"/>
  <c r="CA66" i="20"/>
  <c r="CF66" i="20"/>
  <c r="CB67" i="20"/>
  <c r="CG67" i="20"/>
  <c r="CC68" i="20"/>
  <c r="CH68" i="20"/>
  <c r="CD69" i="20"/>
  <c r="CA70" i="20"/>
  <c r="CE70" i="20"/>
  <c r="CB71" i="20"/>
  <c r="CF71" i="20"/>
  <c r="CC72" i="20"/>
  <c r="CG72" i="20"/>
  <c r="CC73" i="20"/>
  <c r="CG73" i="20"/>
  <c r="CC74" i="20"/>
  <c r="CG74" i="20"/>
  <c r="CC75" i="20"/>
  <c r="CG75" i="20"/>
  <c r="CC76" i="20"/>
  <c r="CG76" i="20"/>
  <c r="CC77" i="20"/>
  <c r="CG77" i="20"/>
  <c r="CC78" i="20"/>
  <c r="CG78" i="20"/>
  <c r="CC79" i="20"/>
  <c r="CG79" i="20"/>
  <c r="CC80" i="20"/>
  <c r="CG80" i="20"/>
  <c r="CC81" i="20"/>
  <c r="CG81" i="20"/>
  <c r="CC82" i="20"/>
  <c r="CG82" i="20"/>
  <c r="CC83" i="20"/>
  <c r="CG83" i="20"/>
  <c r="CC84" i="20"/>
  <c r="CG84" i="20"/>
  <c r="CC85" i="20"/>
  <c r="CG85" i="20"/>
  <c r="CC86" i="20"/>
  <c r="CG86" i="20"/>
  <c r="CC87" i="20"/>
  <c r="CG87" i="20"/>
  <c r="CC88" i="20"/>
  <c r="CG88" i="20"/>
  <c r="CC89" i="20"/>
  <c r="CG89" i="20"/>
  <c r="CC90" i="20"/>
  <c r="CG90" i="20"/>
  <c r="CC91" i="20"/>
  <c r="CG91" i="20"/>
  <c r="CB124" i="20"/>
  <c r="CA109" i="20"/>
  <c r="CB13" i="20"/>
  <c r="CB21" i="20"/>
  <c r="CB29" i="20"/>
  <c r="CB37" i="20"/>
  <c r="CB45" i="20"/>
  <c r="CD57" i="20"/>
  <c r="CH61" i="20"/>
  <c r="CG62" i="20"/>
  <c r="CA65" i="20"/>
  <c r="CC67" i="20"/>
  <c r="CE69" i="20"/>
  <c r="CG71" i="20"/>
  <c r="CH73" i="20"/>
  <c r="CH75" i="20"/>
  <c r="CH77" i="20"/>
  <c r="CH79" i="20"/>
  <c r="CH81" i="20"/>
  <c r="CH83" i="20"/>
  <c r="CH85" i="20"/>
  <c r="CH87" i="20"/>
  <c r="CH89" i="20"/>
  <c r="CH91" i="20"/>
  <c r="CA101" i="20"/>
  <c r="CB19" i="20"/>
  <c r="CB27" i="20"/>
  <c r="CB35" i="20"/>
  <c r="CB43" i="20"/>
  <c r="CF51" i="20"/>
  <c r="CH53" i="20"/>
  <c r="CC56" i="20"/>
  <c r="CG60" i="20"/>
  <c r="CD63" i="20"/>
  <c r="CF65" i="20"/>
  <c r="CH67" i="20"/>
  <c r="CB70" i="20"/>
  <c r="CD72" i="20"/>
  <c r="CD74" i="20"/>
  <c r="CD76" i="20"/>
  <c r="CD78" i="20"/>
  <c r="CD80" i="20"/>
  <c r="CD82" i="20"/>
  <c r="CD84" i="20"/>
  <c r="CD86" i="20"/>
  <c r="CD88" i="20"/>
  <c r="CD90" i="20"/>
  <c r="CA93" i="20"/>
  <c r="CA11" i="20"/>
  <c r="CB17" i="20"/>
  <c r="CB25" i="20"/>
  <c r="CB33" i="20"/>
  <c r="CB41" i="20"/>
  <c r="CD49" i="20"/>
  <c r="CB55" i="20"/>
  <c r="CF59" i="20"/>
  <c r="CH63" i="20"/>
  <c r="CB66" i="20"/>
  <c r="CD68" i="20"/>
  <c r="CF70" i="20"/>
  <c r="CH72" i="20"/>
  <c r="CH74" i="20"/>
  <c r="CH76" i="20"/>
  <c r="CH78" i="20"/>
  <c r="CH80" i="20"/>
  <c r="CH82" i="20"/>
  <c r="CH84" i="20"/>
  <c r="CH86" i="20"/>
  <c r="CH88" i="20"/>
  <c r="CH90" i="20"/>
  <c r="CB39" i="20"/>
  <c r="CC62" i="20"/>
  <c r="CD73" i="20"/>
  <c r="CD81" i="20"/>
  <c r="CD89" i="20"/>
  <c r="CB15" i="20"/>
  <c r="CB47" i="20"/>
  <c r="CE64" i="20"/>
  <c r="CD75" i="20"/>
  <c r="CD91" i="20"/>
  <c r="CB31" i="20"/>
  <c r="CE58" i="20"/>
  <c r="CC71" i="20"/>
  <c r="CD79" i="20"/>
  <c r="CD87" i="20"/>
  <c r="CD83" i="20"/>
  <c r="CB23" i="20"/>
  <c r="CA54" i="20"/>
  <c r="CG66" i="20"/>
  <c r="CA69" i="20"/>
  <c r="CD77" i="20"/>
  <c r="CD85" i="20"/>
  <c r="CG70" i="20"/>
  <c r="CD67" i="20"/>
  <c r="CB65" i="20"/>
  <c r="CC66" i="20"/>
  <c r="CF69" i="20"/>
  <c r="CA64" i="20"/>
  <c r="CE68" i="20"/>
  <c r="CH71" i="20"/>
  <c r="CR8" i="20"/>
  <c r="CX8" i="20"/>
  <c r="AE45" i="19"/>
  <c r="AE46" i="19"/>
  <c r="AE47" i="19"/>
  <c r="AE48" i="19"/>
  <c r="AE49" i="19"/>
  <c r="AE50" i="19"/>
  <c r="AE51" i="19"/>
  <c r="AE52" i="19"/>
  <c r="AE53" i="19"/>
  <c r="AE54" i="19"/>
  <c r="AE55" i="19"/>
  <c r="AE56" i="19"/>
  <c r="AE57" i="19"/>
  <c r="AE58" i="19"/>
  <c r="AE59" i="19"/>
  <c r="AE60" i="19"/>
  <c r="AE61" i="19"/>
  <c r="AE62" i="19"/>
  <c r="AE63" i="19"/>
  <c r="AE64" i="19"/>
  <c r="AE65" i="19"/>
  <c r="AE66" i="19"/>
  <c r="AE67" i="19"/>
  <c r="AE68" i="19"/>
  <c r="AE69" i="19"/>
  <c r="AE70" i="19"/>
  <c r="AE71" i="19"/>
  <c r="AE72" i="19"/>
  <c r="AE73" i="19"/>
  <c r="AE74" i="19"/>
  <c r="AE75" i="19"/>
  <c r="AE76" i="19"/>
  <c r="AE77" i="19"/>
  <c r="AE81" i="19"/>
  <c r="AE82" i="19"/>
  <c r="AE83" i="19"/>
  <c r="AE84" i="19"/>
  <c r="AE85" i="19"/>
  <c r="AE86" i="19"/>
  <c r="AE87" i="19"/>
  <c r="AE88" i="19"/>
  <c r="AE89" i="19"/>
  <c r="AE90" i="19"/>
  <c r="AE91" i="19"/>
  <c r="AE92" i="19"/>
  <c r="AE93" i="19"/>
  <c r="AE94" i="19"/>
  <c r="AE95" i="19"/>
  <c r="AE96" i="19"/>
  <c r="AE97" i="19"/>
  <c r="AE98" i="19"/>
  <c r="AE99" i="19"/>
  <c r="AE100" i="19"/>
  <c r="AE78" i="19"/>
  <c r="AE80" i="19"/>
  <c r="AE108" i="19"/>
  <c r="AE101" i="19"/>
  <c r="AE103" i="19"/>
  <c r="AE107" i="19"/>
  <c r="AE106" i="19"/>
  <c r="AE104" i="19"/>
  <c r="AE111" i="19"/>
  <c r="AE115" i="19"/>
  <c r="AE119" i="19"/>
  <c r="AE123" i="19"/>
  <c r="AE127" i="19"/>
  <c r="AE79" i="19"/>
  <c r="AE112" i="19"/>
  <c r="AE116" i="19"/>
  <c r="AE120" i="19"/>
  <c r="AE124" i="19"/>
  <c r="AE109" i="19"/>
  <c r="AE113" i="19"/>
  <c r="AE117" i="19"/>
  <c r="AE121" i="19"/>
  <c r="AE125" i="19"/>
  <c r="AE102" i="19"/>
  <c r="AE114" i="19"/>
  <c r="AE110" i="19"/>
  <c r="AE118" i="19"/>
  <c r="AE126" i="19"/>
  <c r="AE105" i="19"/>
  <c r="AE122" i="19"/>
  <c r="AE9" i="19"/>
  <c r="AE10" i="19"/>
  <c r="AE11" i="19"/>
  <c r="AE12" i="19"/>
  <c r="AE13" i="19"/>
  <c r="AE14" i="19"/>
  <c r="AE15" i="19"/>
  <c r="AE16" i="19"/>
  <c r="AE17" i="19"/>
  <c r="AE18" i="19"/>
  <c r="AE19" i="19"/>
  <c r="AE20" i="19"/>
  <c r="AE21" i="19"/>
  <c r="AE22" i="19"/>
  <c r="AE23" i="19"/>
  <c r="AE24" i="19"/>
  <c r="AE25" i="19"/>
  <c r="AE26" i="19"/>
  <c r="AE27" i="19"/>
  <c r="AE28" i="19"/>
  <c r="AE29" i="19"/>
  <c r="AE30" i="19"/>
  <c r="AE31" i="19"/>
  <c r="AE32" i="19"/>
  <c r="AE33" i="19"/>
  <c r="AE34" i="19"/>
  <c r="AE35" i="19"/>
  <c r="AE36" i="19"/>
  <c r="AE37" i="19"/>
  <c r="AE38" i="19"/>
  <c r="AE39" i="19"/>
  <c r="AE40" i="19"/>
  <c r="AE41" i="19"/>
  <c r="AE42" i="19"/>
  <c r="AE43" i="19"/>
  <c r="AE44" i="19"/>
  <c r="Y45" i="19"/>
  <c r="Y47" i="19"/>
  <c r="Y49" i="19"/>
  <c r="Y51" i="19"/>
  <c r="Y53" i="19"/>
  <c r="Y55" i="19"/>
  <c r="Y57" i="19"/>
  <c r="Y59" i="19"/>
  <c r="Y70" i="19"/>
  <c r="Y71" i="19"/>
  <c r="Y72" i="19"/>
  <c r="Y73" i="19"/>
  <c r="Y74" i="19"/>
  <c r="Y75" i="19"/>
  <c r="Y76" i="19"/>
  <c r="Y77" i="19"/>
  <c r="Y78" i="19"/>
  <c r="Y79" i="19"/>
  <c r="Y80" i="19"/>
  <c r="Y48" i="19"/>
  <c r="Y52" i="19"/>
  <c r="Y56" i="19"/>
  <c r="Y60" i="19"/>
  <c r="Y63" i="19"/>
  <c r="Y65" i="19"/>
  <c r="Y67" i="19"/>
  <c r="Y69" i="19"/>
  <c r="Y46" i="19"/>
  <c r="Y68" i="19"/>
  <c r="Y50" i="19"/>
  <c r="Y62" i="19"/>
  <c r="Y54" i="19"/>
  <c r="Y64" i="19"/>
  <c r="Y81" i="19"/>
  <c r="Y82" i="19"/>
  <c r="Y83" i="19"/>
  <c r="Y84" i="19"/>
  <c r="Y85" i="19"/>
  <c r="Y86" i="19"/>
  <c r="Y87" i="19"/>
  <c r="Y88" i="19"/>
  <c r="Y89" i="19"/>
  <c r="Y90" i="19"/>
  <c r="Y91" i="19"/>
  <c r="Y92" i="19"/>
  <c r="Y93" i="19"/>
  <c r="Y94" i="19"/>
  <c r="Y95" i="19"/>
  <c r="Y96" i="19"/>
  <c r="Y97" i="19"/>
  <c r="Y98" i="19"/>
  <c r="Y99" i="19"/>
  <c r="Y100" i="19"/>
  <c r="Y101" i="19"/>
  <c r="Y102" i="19"/>
  <c r="Y103" i="19"/>
  <c r="Y104" i="19"/>
  <c r="Y61" i="19"/>
  <c r="Y107" i="19"/>
  <c r="Y106" i="19"/>
  <c r="Y110" i="19"/>
  <c r="Y111" i="19"/>
  <c r="Y112" i="19"/>
  <c r="Y113" i="19"/>
  <c r="Y114" i="19"/>
  <c r="Y115" i="19"/>
  <c r="Y116" i="19"/>
  <c r="Y117" i="19"/>
  <c r="Y118" i="19"/>
  <c r="Y119" i="19"/>
  <c r="Y120" i="19"/>
  <c r="Y121" i="19"/>
  <c r="Y122" i="19"/>
  <c r="Y123" i="19"/>
  <c r="Y124" i="19"/>
  <c r="Y125" i="19"/>
  <c r="Y126" i="19"/>
  <c r="Y127" i="19"/>
  <c r="Y105" i="19"/>
  <c r="Y109" i="19"/>
  <c r="Y58" i="19"/>
  <c r="Y66" i="19"/>
  <c r="Y10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36" i="19"/>
  <c r="Y37" i="19"/>
  <c r="Y38" i="19"/>
  <c r="Y39" i="19"/>
  <c r="Y40" i="19"/>
  <c r="Y41" i="19"/>
  <c r="Y42" i="19"/>
  <c r="Y43" i="19"/>
  <c r="Y44" i="19"/>
  <c r="AB61" i="19"/>
  <c r="AB45" i="19"/>
  <c r="AB47" i="19"/>
  <c r="AB49" i="19"/>
  <c r="AB51" i="19"/>
  <c r="AB53" i="19"/>
  <c r="AB55" i="19"/>
  <c r="AB57" i="19"/>
  <c r="AB59" i="19"/>
  <c r="AB62" i="19"/>
  <c r="AB63" i="19"/>
  <c r="AB64" i="19"/>
  <c r="AB65" i="19"/>
  <c r="AB66" i="19"/>
  <c r="AB67" i="19"/>
  <c r="AB68" i="19"/>
  <c r="AB46" i="19"/>
  <c r="AB50" i="19"/>
  <c r="AB54" i="19"/>
  <c r="AB58" i="19"/>
  <c r="AB48" i="19"/>
  <c r="AB52" i="19"/>
  <c r="AB56" i="19"/>
  <c r="AB60" i="19"/>
  <c r="AB69" i="19"/>
  <c r="AB70" i="19"/>
  <c r="AB74" i="19"/>
  <c r="AB78" i="19"/>
  <c r="AB80" i="19"/>
  <c r="AB71" i="19"/>
  <c r="AB75" i="19"/>
  <c r="AB81" i="19"/>
  <c r="AB82" i="19"/>
  <c r="AB83" i="19"/>
  <c r="AB84" i="19"/>
  <c r="AB85" i="19"/>
  <c r="AB86" i="19"/>
  <c r="AB87" i="19"/>
  <c r="AB88" i="19"/>
  <c r="AB89" i="19"/>
  <c r="AB90" i="19"/>
  <c r="AB91" i="19"/>
  <c r="AB92" i="19"/>
  <c r="AB93" i="19"/>
  <c r="AB94" i="19"/>
  <c r="AB95" i="19"/>
  <c r="AB96" i="19"/>
  <c r="AB97" i="19"/>
  <c r="AB98" i="19"/>
  <c r="AB99" i="19"/>
  <c r="AB100" i="19"/>
  <c r="AB101" i="19"/>
  <c r="AB102" i="19"/>
  <c r="AB103" i="19"/>
  <c r="AB104" i="19"/>
  <c r="AB105" i="19"/>
  <c r="AB106" i="19"/>
  <c r="AB107" i="19"/>
  <c r="AB108" i="19"/>
  <c r="AB109" i="19"/>
  <c r="AB72" i="19"/>
  <c r="AB76" i="19"/>
  <c r="AB79" i="19"/>
  <c r="AB110" i="19"/>
  <c r="AB111" i="19"/>
  <c r="AB112" i="19"/>
  <c r="AB113" i="19"/>
  <c r="AB114" i="19"/>
  <c r="AB115" i="19"/>
  <c r="AB116" i="19"/>
  <c r="AB117" i="19"/>
  <c r="AB118" i="19"/>
  <c r="AB119" i="19"/>
  <c r="AB120" i="19"/>
  <c r="AB121" i="19"/>
  <c r="AB122" i="19"/>
  <c r="AB123" i="19"/>
  <c r="AB124" i="19"/>
  <c r="AB125" i="19"/>
  <c r="AB126" i="19"/>
  <c r="AB127" i="19"/>
  <c r="AB73" i="19"/>
  <c r="AB77" i="19"/>
  <c r="AB11" i="19"/>
  <c r="AB14" i="19"/>
  <c r="AB17" i="19"/>
  <c r="AB20" i="19"/>
  <c r="AB23" i="19"/>
  <c r="AB26" i="19"/>
  <c r="AB30" i="19"/>
  <c r="AB33" i="19"/>
  <c r="AB34" i="19"/>
  <c r="AB9" i="19"/>
  <c r="AB13" i="19"/>
  <c r="AB15" i="19"/>
  <c r="AB18" i="19"/>
  <c r="AB19" i="19"/>
  <c r="AB22" i="19"/>
  <c r="AB24" i="19"/>
  <c r="AB28" i="19"/>
  <c r="AB29" i="19"/>
  <c r="AB31" i="19"/>
  <c r="AB32" i="19"/>
  <c r="AB10" i="19"/>
  <c r="AB12" i="19"/>
  <c r="AB16" i="19"/>
  <c r="AB21" i="19"/>
  <c r="AB25" i="19"/>
  <c r="AB27" i="19"/>
  <c r="AB35" i="19"/>
  <c r="AB36" i="19"/>
  <c r="AB40" i="19"/>
  <c r="AB44" i="19"/>
  <c r="AB37" i="19"/>
  <c r="AB41" i="19"/>
  <c r="AB39" i="19"/>
  <c r="AB43" i="19"/>
  <c r="AB38" i="19"/>
  <c r="AB42" i="19"/>
  <c r="X45" i="19"/>
  <c r="X46" i="19"/>
  <c r="X48" i="19"/>
  <c r="X50" i="19"/>
  <c r="X52" i="19"/>
  <c r="X54" i="19"/>
  <c r="X56" i="19"/>
  <c r="X58" i="19"/>
  <c r="X60" i="19"/>
  <c r="X61" i="19"/>
  <c r="X62" i="19"/>
  <c r="X63" i="19"/>
  <c r="X64" i="19"/>
  <c r="X65" i="19"/>
  <c r="X66" i="19"/>
  <c r="X67" i="19"/>
  <c r="X68" i="19"/>
  <c r="X47" i="19"/>
  <c r="X51" i="19"/>
  <c r="X55" i="19"/>
  <c r="X59" i="19"/>
  <c r="X69" i="19"/>
  <c r="X49" i="19"/>
  <c r="X53" i="19"/>
  <c r="X57" i="19"/>
  <c r="X71" i="19"/>
  <c r="X75" i="19"/>
  <c r="X79" i="19"/>
  <c r="X72" i="19"/>
  <c r="X76"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73" i="19"/>
  <c r="X77" i="19"/>
  <c r="X80" i="19"/>
  <c r="X78" i="19"/>
  <c r="X110" i="19"/>
  <c r="X111" i="19"/>
  <c r="X112" i="19"/>
  <c r="X113" i="19"/>
  <c r="X114" i="19"/>
  <c r="X115" i="19"/>
  <c r="X116" i="19"/>
  <c r="X117" i="19"/>
  <c r="X118" i="19"/>
  <c r="X119" i="19"/>
  <c r="X120" i="19"/>
  <c r="X121" i="19"/>
  <c r="X122" i="19"/>
  <c r="X123" i="19"/>
  <c r="X124" i="19"/>
  <c r="X125" i="19"/>
  <c r="X126" i="19"/>
  <c r="X127" i="19"/>
  <c r="X70" i="19"/>
  <c r="X74" i="19"/>
  <c r="X9" i="19"/>
  <c r="X10" i="19"/>
  <c r="X13" i="19"/>
  <c r="X15" i="19"/>
  <c r="X16" i="19"/>
  <c r="X19" i="19"/>
  <c r="X22" i="19"/>
  <c r="X25" i="19"/>
  <c r="X29" i="19"/>
  <c r="X32" i="19"/>
  <c r="X11" i="19"/>
  <c r="X12" i="19"/>
  <c r="X17" i="19"/>
  <c r="X21" i="19"/>
  <c r="X23" i="19"/>
  <c r="X26" i="19"/>
  <c r="X27" i="19"/>
  <c r="X34" i="19"/>
  <c r="X14" i="19"/>
  <c r="X18" i="19"/>
  <c r="X20" i="19"/>
  <c r="X24" i="19"/>
  <c r="X28" i="19"/>
  <c r="X30" i="19"/>
  <c r="X31" i="19"/>
  <c r="X33" i="19"/>
  <c r="X35" i="19"/>
  <c r="X37" i="19"/>
  <c r="X41" i="19"/>
  <c r="X38" i="19"/>
  <c r="X42" i="19"/>
  <c r="X40" i="19"/>
  <c r="X39" i="19"/>
  <c r="X43" i="19"/>
  <c r="X36" i="19"/>
  <c r="X44" i="19"/>
  <c r="AC46" i="19"/>
  <c r="AC48" i="19"/>
  <c r="AC50" i="19"/>
  <c r="AC52" i="19"/>
  <c r="AC54" i="19"/>
  <c r="AC56" i="19"/>
  <c r="AC58" i="19"/>
  <c r="AC60" i="19"/>
  <c r="AC61" i="19"/>
  <c r="AC45" i="19"/>
  <c r="AC69" i="19"/>
  <c r="AC70" i="19"/>
  <c r="AC71" i="19"/>
  <c r="AC72" i="19"/>
  <c r="AC73" i="19"/>
  <c r="AC74" i="19"/>
  <c r="AC75" i="19"/>
  <c r="AC76" i="19"/>
  <c r="AC77" i="19"/>
  <c r="AC78" i="19"/>
  <c r="AC79" i="19"/>
  <c r="AC80" i="19"/>
  <c r="AC47" i="19"/>
  <c r="AC51" i="19"/>
  <c r="AC55" i="19"/>
  <c r="AC59" i="19"/>
  <c r="AC62" i="19"/>
  <c r="AC64" i="19"/>
  <c r="AC66" i="19"/>
  <c r="AC68" i="19"/>
  <c r="AC49" i="19"/>
  <c r="AC63" i="19"/>
  <c r="AC53" i="19"/>
  <c r="AC65" i="19"/>
  <c r="AC57" i="19"/>
  <c r="AC67"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6" i="19"/>
  <c r="AC105" i="19"/>
  <c r="AC109" i="19"/>
  <c r="AC110" i="19"/>
  <c r="AC111" i="19"/>
  <c r="AC112" i="19"/>
  <c r="AC113" i="19"/>
  <c r="AC114" i="19"/>
  <c r="AC115" i="19"/>
  <c r="AC116" i="19"/>
  <c r="AC117" i="19"/>
  <c r="AC118" i="19"/>
  <c r="AC119" i="19"/>
  <c r="AC120" i="19"/>
  <c r="AC121" i="19"/>
  <c r="AC122" i="19"/>
  <c r="AC123" i="19"/>
  <c r="AC124" i="19"/>
  <c r="AC125" i="19"/>
  <c r="AC126" i="19"/>
  <c r="AC127" i="19"/>
  <c r="AC108" i="19"/>
  <c r="AC107" i="19"/>
  <c r="AC9" i="19"/>
  <c r="AC10" i="19"/>
  <c r="AC11" i="19"/>
  <c r="AC12" i="19"/>
  <c r="AC13"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V45" i="19"/>
  <c r="V46" i="19"/>
  <c r="V47" i="19"/>
  <c r="V48" i="19"/>
  <c r="V49" i="19"/>
  <c r="V50" i="19"/>
  <c r="V51" i="19"/>
  <c r="V52" i="19"/>
  <c r="V53" i="19"/>
  <c r="V54" i="19"/>
  <c r="V55" i="19"/>
  <c r="V56" i="19"/>
  <c r="V57" i="19"/>
  <c r="V58" i="19"/>
  <c r="V59" i="19"/>
  <c r="V60" i="19"/>
  <c r="V61" i="19"/>
  <c r="V63" i="19"/>
  <c r="V65" i="19"/>
  <c r="V67" i="19"/>
  <c r="V71" i="19"/>
  <c r="V72" i="19"/>
  <c r="V73" i="19"/>
  <c r="V74" i="19"/>
  <c r="V75" i="19"/>
  <c r="V76" i="19"/>
  <c r="V77" i="19"/>
  <c r="V78" i="19"/>
  <c r="V79" i="19"/>
  <c r="V80" i="19"/>
  <c r="V62" i="19"/>
  <c r="V64" i="19"/>
  <c r="V66" i="19"/>
  <c r="V68" i="19"/>
  <c r="V70" i="19"/>
  <c r="V82" i="19"/>
  <c r="V86" i="19"/>
  <c r="V90" i="19"/>
  <c r="V94" i="19"/>
  <c r="V98" i="19"/>
  <c r="V101" i="19"/>
  <c r="V103" i="19"/>
  <c r="V105" i="19"/>
  <c r="V109" i="19"/>
  <c r="V69" i="19"/>
  <c r="V83" i="19"/>
  <c r="V87" i="19"/>
  <c r="V91" i="19"/>
  <c r="V95" i="19"/>
  <c r="V99" i="19"/>
  <c r="V108" i="19"/>
  <c r="V84" i="19"/>
  <c r="V88" i="19"/>
  <c r="V92" i="19"/>
  <c r="V96" i="19"/>
  <c r="V100" i="19"/>
  <c r="V102" i="19"/>
  <c r="V104" i="19"/>
  <c r="V107" i="19"/>
  <c r="V110" i="19"/>
  <c r="V111" i="19"/>
  <c r="V112" i="19"/>
  <c r="V113" i="19"/>
  <c r="V114" i="19"/>
  <c r="V115" i="19"/>
  <c r="V116" i="19"/>
  <c r="V117" i="19"/>
  <c r="V118" i="19"/>
  <c r="V119" i="19"/>
  <c r="V120" i="19"/>
  <c r="V121" i="19"/>
  <c r="V122" i="19"/>
  <c r="V123" i="19"/>
  <c r="V124" i="19"/>
  <c r="V125" i="19"/>
  <c r="V126" i="19"/>
  <c r="V127" i="19"/>
  <c r="V89" i="19"/>
  <c r="V93" i="19"/>
  <c r="V106" i="19"/>
  <c r="V81" i="19"/>
  <c r="V97"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85" i="19"/>
  <c r="Z45" i="19"/>
  <c r="Z46" i="19"/>
  <c r="Z47" i="19"/>
  <c r="Z48" i="19"/>
  <c r="Z49" i="19"/>
  <c r="Z50" i="19"/>
  <c r="Z51" i="19"/>
  <c r="Z52" i="19"/>
  <c r="Z53" i="19"/>
  <c r="Z54" i="19"/>
  <c r="Z55" i="19"/>
  <c r="Z56" i="19"/>
  <c r="Z57" i="19"/>
  <c r="Z58" i="19"/>
  <c r="Z59" i="19"/>
  <c r="Z60" i="19"/>
  <c r="Z61" i="19"/>
  <c r="Z62" i="19"/>
  <c r="Z64" i="19"/>
  <c r="Z66" i="19"/>
  <c r="Z68" i="19"/>
  <c r="Z70" i="19"/>
  <c r="Z71" i="19"/>
  <c r="Z72" i="19"/>
  <c r="Z73" i="19"/>
  <c r="Z74" i="19"/>
  <c r="Z75" i="19"/>
  <c r="Z76" i="19"/>
  <c r="Z77" i="19"/>
  <c r="Z78" i="19"/>
  <c r="Z79" i="19"/>
  <c r="Z80" i="19"/>
  <c r="Z63" i="19"/>
  <c r="Z65" i="19"/>
  <c r="Z67" i="19"/>
  <c r="Z69" i="19"/>
  <c r="Z81" i="19"/>
  <c r="Z85" i="19"/>
  <c r="Z89" i="19"/>
  <c r="Z93" i="19"/>
  <c r="Z97" i="19"/>
  <c r="Z102" i="19"/>
  <c r="Z104" i="19"/>
  <c r="Z108" i="19"/>
  <c r="Z82" i="19"/>
  <c r="Z86" i="19"/>
  <c r="Z90" i="19"/>
  <c r="Z94" i="19"/>
  <c r="Z98" i="19"/>
  <c r="Z107" i="19"/>
  <c r="Z83" i="19"/>
  <c r="Z87" i="19"/>
  <c r="Z91" i="19"/>
  <c r="Z95" i="19"/>
  <c r="Z99" i="19"/>
  <c r="Z101" i="19"/>
  <c r="Z103" i="19"/>
  <c r="Z106" i="19"/>
  <c r="Z110" i="19"/>
  <c r="Z111" i="19"/>
  <c r="Z112" i="19"/>
  <c r="Z113" i="19"/>
  <c r="Z114" i="19"/>
  <c r="Z115" i="19"/>
  <c r="Z116" i="19"/>
  <c r="Z117" i="19"/>
  <c r="Z118" i="19"/>
  <c r="Z119" i="19"/>
  <c r="Z120" i="19"/>
  <c r="Z121" i="19"/>
  <c r="Z122" i="19"/>
  <c r="Z123" i="19"/>
  <c r="Z124" i="19"/>
  <c r="Z125" i="19"/>
  <c r="Z126" i="19"/>
  <c r="Z127" i="19"/>
  <c r="Z92" i="19"/>
  <c r="Z96" i="19"/>
  <c r="Z109" i="19"/>
  <c r="Z84" i="19"/>
  <c r="Z100" i="19"/>
  <c r="Z105" i="19"/>
  <c r="Z9" i="19"/>
  <c r="Z10" i="19"/>
  <c r="Z11" i="19"/>
  <c r="Z12" i="19"/>
  <c r="Z13" i="19"/>
  <c r="Z14" i="19"/>
  <c r="Z15" i="19"/>
  <c r="Z16" i="19"/>
  <c r="Z17" i="19"/>
  <c r="Z18" i="19"/>
  <c r="Z19" i="19"/>
  <c r="Z20" i="19"/>
  <c r="Z21" i="19"/>
  <c r="Z22" i="19"/>
  <c r="Z23" i="19"/>
  <c r="Z24" i="19"/>
  <c r="Z25" i="19"/>
  <c r="Z26" i="19"/>
  <c r="Z27" i="19"/>
  <c r="Z28" i="19"/>
  <c r="Z29" i="19"/>
  <c r="Z30" i="19"/>
  <c r="Z31" i="19"/>
  <c r="Z32" i="19"/>
  <c r="Z33" i="19"/>
  <c r="Z34" i="19"/>
  <c r="Z35" i="19"/>
  <c r="Z36" i="19"/>
  <c r="Z37" i="19"/>
  <c r="Z38" i="19"/>
  <c r="Z39" i="19"/>
  <c r="Z40" i="19"/>
  <c r="Z41" i="19"/>
  <c r="Z42" i="19"/>
  <c r="Z43" i="19"/>
  <c r="Z44" i="19"/>
  <c r="Z88" i="19"/>
  <c r="AD45" i="19"/>
  <c r="AD46" i="19"/>
  <c r="AD47" i="19"/>
  <c r="AD48" i="19"/>
  <c r="AD49" i="19"/>
  <c r="AD50" i="19"/>
  <c r="AD51" i="19"/>
  <c r="AD52" i="19"/>
  <c r="AD53" i="19"/>
  <c r="AD54" i="19"/>
  <c r="AD55" i="19"/>
  <c r="AD56" i="19"/>
  <c r="AD57" i="19"/>
  <c r="AD58" i="19"/>
  <c r="AD59" i="19"/>
  <c r="AD60" i="19"/>
  <c r="AD63" i="19"/>
  <c r="AD65" i="19"/>
  <c r="AD67" i="19"/>
  <c r="AD61" i="19"/>
  <c r="AD69" i="19"/>
  <c r="AD70" i="19"/>
  <c r="AD71" i="19"/>
  <c r="AD72" i="19"/>
  <c r="AD73" i="19"/>
  <c r="AD74" i="19"/>
  <c r="AD75" i="19"/>
  <c r="AD76" i="19"/>
  <c r="AD77" i="19"/>
  <c r="AD78" i="19"/>
  <c r="AD79" i="19"/>
  <c r="AD80" i="19"/>
  <c r="AD62" i="19"/>
  <c r="AD64" i="19"/>
  <c r="AD66" i="19"/>
  <c r="AD68" i="19"/>
  <c r="AD84" i="19"/>
  <c r="AD88" i="19"/>
  <c r="AD92" i="19"/>
  <c r="AD96" i="19"/>
  <c r="AD100" i="19"/>
  <c r="AD101" i="19"/>
  <c r="AD103" i="19"/>
  <c r="AD107" i="19"/>
  <c r="AD81" i="19"/>
  <c r="AD85" i="19"/>
  <c r="AD89" i="19"/>
  <c r="AD93" i="19"/>
  <c r="AD97" i="19"/>
  <c r="AD106" i="19"/>
  <c r="AD82" i="19"/>
  <c r="AD86" i="19"/>
  <c r="AD90" i="19"/>
  <c r="AD94" i="19"/>
  <c r="AD98" i="19"/>
  <c r="AD102" i="19"/>
  <c r="AD104" i="19"/>
  <c r="AD105" i="19"/>
  <c r="AD109" i="19"/>
  <c r="AD110" i="19"/>
  <c r="AD111" i="19"/>
  <c r="AD112" i="19"/>
  <c r="AD113" i="19"/>
  <c r="AD114" i="19"/>
  <c r="AD115" i="19"/>
  <c r="AD116" i="19"/>
  <c r="AD117" i="19"/>
  <c r="AD118" i="19"/>
  <c r="AD119" i="19"/>
  <c r="AD120" i="19"/>
  <c r="AD121" i="19"/>
  <c r="AD122" i="19"/>
  <c r="AD123" i="19"/>
  <c r="AD124" i="19"/>
  <c r="AD125" i="19"/>
  <c r="AD126" i="19"/>
  <c r="AD127" i="19"/>
  <c r="AD95" i="19"/>
  <c r="AD83" i="19"/>
  <c r="AD99" i="19"/>
  <c r="AD87" i="19"/>
  <c r="AD108" i="19"/>
  <c r="AD91" i="19"/>
  <c r="AD9" i="19"/>
  <c r="AD10" i="19"/>
  <c r="AD11" i="19"/>
  <c r="AD12" i="19"/>
  <c r="AD13" i="19"/>
  <c r="AD14" i="19"/>
  <c r="AD15" i="19"/>
  <c r="AD16" i="19"/>
  <c r="AD17" i="19"/>
  <c r="AD18" i="19"/>
  <c r="AD19" i="19"/>
  <c r="AD20" i="19"/>
  <c r="AD21" i="19"/>
  <c r="AD22" i="19"/>
  <c r="AD23" i="19"/>
  <c r="AD24" i="19"/>
  <c r="AD25" i="19"/>
  <c r="AD26" i="19"/>
  <c r="AD27" i="19"/>
  <c r="AD28" i="19"/>
  <c r="AD29" i="19"/>
  <c r="AD30" i="19"/>
  <c r="AD31" i="19"/>
  <c r="AD32" i="19"/>
  <c r="AD33" i="19"/>
  <c r="AD34" i="19"/>
  <c r="AD35" i="19"/>
  <c r="AD36" i="19"/>
  <c r="AD37" i="19"/>
  <c r="AD38" i="19"/>
  <c r="AD39" i="19"/>
  <c r="AD40" i="19"/>
  <c r="AD41" i="19"/>
  <c r="AD42" i="19"/>
  <c r="AD43" i="19"/>
  <c r="AD44" i="19"/>
  <c r="AA45" i="19"/>
  <c r="AA46" i="19"/>
  <c r="AA47" i="19"/>
  <c r="AA48" i="19"/>
  <c r="AA49" i="19"/>
  <c r="AA50" i="19"/>
  <c r="AA51" i="19"/>
  <c r="AA52" i="19"/>
  <c r="AA53" i="19"/>
  <c r="AA54" i="19"/>
  <c r="AA55" i="19"/>
  <c r="AA56" i="19"/>
  <c r="AA57" i="19"/>
  <c r="AA58" i="19"/>
  <c r="AA59" i="19"/>
  <c r="AA60" i="19"/>
  <c r="AA61" i="19"/>
  <c r="AA62" i="19"/>
  <c r="AA63" i="19"/>
  <c r="AA64" i="19"/>
  <c r="AA65" i="19"/>
  <c r="AA66" i="19"/>
  <c r="AA67" i="19"/>
  <c r="AA68" i="19"/>
  <c r="AA69" i="19"/>
  <c r="AA70" i="19"/>
  <c r="AA71" i="19"/>
  <c r="AA72" i="19"/>
  <c r="AA73" i="19"/>
  <c r="AA74" i="19"/>
  <c r="AA75" i="19"/>
  <c r="AA76" i="19"/>
  <c r="AA77" i="19"/>
  <c r="AA78" i="19"/>
  <c r="AA81" i="19"/>
  <c r="AA82" i="19"/>
  <c r="AA83" i="19"/>
  <c r="AA84" i="19"/>
  <c r="AA85" i="19"/>
  <c r="AA86" i="19"/>
  <c r="AA87" i="19"/>
  <c r="AA88" i="19"/>
  <c r="AA89" i="19"/>
  <c r="AA90" i="19"/>
  <c r="AA91" i="19"/>
  <c r="AA92" i="19"/>
  <c r="AA93" i="19"/>
  <c r="AA94" i="19"/>
  <c r="AA95" i="19"/>
  <c r="AA96" i="19"/>
  <c r="AA97" i="19"/>
  <c r="AA98" i="19"/>
  <c r="AA99" i="19"/>
  <c r="AA100" i="19"/>
  <c r="AA79" i="19"/>
  <c r="AA105" i="19"/>
  <c r="AA109" i="19"/>
  <c r="AA80" i="19"/>
  <c r="AA102" i="19"/>
  <c r="AA104" i="19"/>
  <c r="AA108" i="19"/>
  <c r="AA107" i="19"/>
  <c r="AA101" i="19"/>
  <c r="AA112" i="19"/>
  <c r="AA116" i="19"/>
  <c r="AA120" i="19"/>
  <c r="AA124" i="19"/>
  <c r="AA103" i="19"/>
  <c r="AA113" i="19"/>
  <c r="AA117" i="19"/>
  <c r="AA121" i="19"/>
  <c r="AA125" i="19"/>
  <c r="AA106" i="19"/>
  <c r="AA110" i="19"/>
  <c r="AA114" i="19"/>
  <c r="AA118" i="19"/>
  <c r="AA122" i="19"/>
  <c r="AA126" i="19"/>
  <c r="AA111" i="19"/>
  <c r="AA127" i="19"/>
  <c r="AA123" i="19"/>
  <c r="AA115" i="19"/>
  <c r="AA119" i="19"/>
  <c r="AA9" i="19"/>
  <c r="AA10" i="19"/>
  <c r="AA11" i="19"/>
  <c r="AA12" i="19"/>
  <c r="AA13" i="19"/>
  <c r="AA14" i="19"/>
  <c r="AA15" i="19"/>
  <c r="AA16" i="19"/>
  <c r="AA17" i="19"/>
  <c r="AA18" i="19"/>
  <c r="AA19" i="19"/>
  <c r="AA20" i="19"/>
  <c r="AA21" i="19"/>
  <c r="AA22" i="19"/>
  <c r="AA23" i="19"/>
  <c r="AA24" i="19"/>
  <c r="AA25" i="19"/>
  <c r="AA26" i="19"/>
  <c r="AA27" i="19"/>
  <c r="AA28" i="19"/>
  <c r="AA29" i="19"/>
  <c r="AA30" i="19"/>
  <c r="AA31" i="19"/>
  <c r="AA32" i="19"/>
  <c r="AA33" i="19"/>
  <c r="AA34" i="19"/>
  <c r="AA35" i="19"/>
  <c r="AA36" i="19"/>
  <c r="AA37" i="19"/>
  <c r="AA38" i="19"/>
  <c r="AA39" i="19"/>
  <c r="AA40" i="19"/>
  <c r="AA41" i="19"/>
  <c r="AA42" i="19"/>
  <c r="AA43" i="19"/>
  <c r="AA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81" i="19"/>
  <c r="W82" i="19"/>
  <c r="W83" i="19"/>
  <c r="W84" i="19"/>
  <c r="W85" i="19"/>
  <c r="W86" i="19"/>
  <c r="W87" i="19"/>
  <c r="W88" i="19"/>
  <c r="W89" i="19"/>
  <c r="W90" i="19"/>
  <c r="W91" i="19"/>
  <c r="W92" i="19"/>
  <c r="W93" i="19"/>
  <c r="W94" i="19"/>
  <c r="W95" i="19"/>
  <c r="W96" i="19"/>
  <c r="W97" i="19"/>
  <c r="W98" i="19"/>
  <c r="W99" i="19"/>
  <c r="W100" i="19"/>
  <c r="W80" i="19"/>
  <c r="W106" i="19"/>
  <c r="W101" i="19"/>
  <c r="W103" i="19"/>
  <c r="W105" i="19"/>
  <c r="W109" i="19"/>
  <c r="W79" i="19"/>
  <c r="W108" i="19"/>
  <c r="W113" i="19"/>
  <c r="W117" i="19"/>
  <c r="W121" i="19"/>
  <c r="W125" i="19"/>
  <c r="W107" i="19"/>
  <c r="W110" i="19"/>
  <c r="W114" i="19"/>
  <c r="W118" i="19"/>
  <c r="W122" i="19"/>
  <c r="W126" i="19"/>
  <c r="W102" i="19"/>
  <c r="W111" i="19"/>
  <c r="W115" i="19"/>
  <c r="W119" i="19"/>
  <c r="W123" i="19"/>
  <c r="W127" i="19"/>
  <c r="W124" i="19"/>
  <c r="W104" i="19"/>
  <c r="W112" i="19"/>
  <c r="W120" i="19"/>
  <c r="W116" i="19"/>
  <c r="W9" i="19"/>
  <c r="W10" i="19"/>
  <c r="W11" i="19"/>
  <c r="W12" i="19"/>
  <c r="W13"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M121" i="19"/>
  <c r="AF56" i="2" s="1"/>
  <c r="M107" i="19"/>
  <c r="M123" i="19"/>
  <c r="AJ56" i="2" s="1"/>
  <c r="M124" i="19"/>
  <c r="AL56" i="2" s="1"/>
  <c r="M122" i="19"/>
  <c r="AH56" i="2" s="1"/>
  <c r="M102" i="19"/>
  <c r="AH55" i="2" s="1"/>
  <c r="M39" i="19"/>
  <c r="AB51" i="2" s="1"/>
  <c r="M105" i="19"/>
  <c r="AN55" i="2" s="1"/>
  <c r="M104" i="19"/>
  <c r="AL55" i="2" s="1"/>
  <c r="M99" i="19"/>
  <c r="AB55" i="2" s="1"/>
  <c r="M21" i="19"/>
  <c r="M23" i="19"/>
  <c r="M118" i="19"/>
  <c r="Z56" i="2" s="1"/>
  <c r="M64" i="19"/>
  <c r="AL53" i="2" s="1"/>
  <c r="M127" i="19"/>
  <c r="M41" i="19"/>
  <c r="AF51" i="2" s="1"/>
  <c r="M101" i="19"/>
  <c r="AF55" i="2" s="1"/>
  <c r="M100" i="19"/>
  <c r="AD55" i="2" s="1"/>
  <c r="M24" i="19"/>
  <c r="M19" i="19"/>
  <c r="M85" i="19"/>
  <c r="AN52" i="2" s="1"/>
  <c r="M83" i="19"/>
  <c r="AJ52" i="2" s="1"/>
  <c r="M65" i="19"/>
  <c r="AN53" i="2" s="1"/>
  <c r="M84" i="19"/>
  <c r="AL52" i="2" s="1"/>
  <c r="M60" i="19"/>
  <c r="AD53" i="2" s="1"/>
  <c r="M82" i="19"/>
  <c r="AH52" i="2" s="1"/>
  <c r="M120" i="19"/>
  <c r="AD56" i="2" s="1"/>
  <c r="M119" i="19"/>
  <c r="AB56" i="2" s="1"/>
  <c r="M42" i="19"/>
  <c r="AH51" i="2" s="1"/>
  <c r="M106" i="19"/>
  <c r="AP55" i="2" s="1"/>
  <c r="M20" i="19"/>
  <c r="M26" i="19"/>
  <c r="M79" i="19"/>
  <c r="AB52" i="2" s="1"/>
  <c r="M78" i="19"/>
  <c r="Z52" i="2" s="1"/>
  <c r="M61" i="19"/>
  <c r="AF53" i="2" s="1"/>
  <c r="M80" i="19"/>
  <c r="AD52" i="2" s="1"/>
  <c r="M87" i="19"/>
  <c r="M81" i="19"/>
  <c r="AF52" i="2" s="1"/>
  <c r="M38" i="19"/>
  <c r="Z51" i="2" s="1"/>
  <c r="M40" i="19"/>
  <c r="AD51" i="2" s="1"/>
  <c r="M126" i="19"/>
  <c r="M98" i="19"/>
  <c r="Z55" i="2" s="1"/>
  <c r="M103" i="19"/>
  <c r="AJ55" i="2" s="1"/>
  <c r="M25" i="19"/>
  <c r="M27" i="19"/>
  <c r="M22" i="19"/>
  <c r="M62" i="19"/>
  <c r="AH53" i="2" s="1"/>
  <c r="M66" i="19"/>
  <c r="AP53" i="2" s="1"/>
  <c r="M59" i="19"/>
  <c r="AB53" i="2" s="1"/>
  <c r="M63" i="19"/>
  <c r="AJ53" i="2" s="1"/>
  <c r="M86" i="19"/>
  <c r="AP52" i="2" s="1"/>
  <c r="M18" i="19"/>
  <c r="AY8" i="19"/>
  <c r="J50" i="2"/>
  <c r="T50" i="2"/>
  <c r="H50" i="2"/>
  <c r="V50" i="2"/>
  <c r="X73" i="2"/>
  <c r="F38" i="2"/>
  <c r="G19" i="28"/>
  <c r="G20" i="28"/>
  <c r="G16" i="28"/>
  <c r="G17" i="28"/>
  <c r="G18" i="28"/>
  <c r="CX8" i="19"/>
  <c r="DR8" i="19"/>
  <c r="G160" i="37"/>
  <c r="V8" i="19"/>
  <c r="AP8" i="19"/>
  <c r="CD8" i="19"/>
  <c r="BJ8" i="19"/>
  <c r="W8" i="20"/>
  <c r="Z8" i="20"/>
  <c r="AC8" i="20"/>
  <c r="Y8" i="20"/>
  <c r="AA8" i="20"/>
  <c r="AD8" i="20"/>
  <c r="X8" i="20"/>
  <c r="AB8" i="20"/>
  <c r="Y6" i="17"/>
  <c r="N10" i="17" s="1"/>
  <c r="X6" i="17"/>
  <c r="N9" i="17" s="1"/>
  <c r="W6" i="17"/>
  <c r="N8" i="17" s="1"/>
  <c r="G181" i="37"/>
  <c r="G179" i="37"/>
  <c r="G178" i="37"/>
  <c r="AO11" i="17"/>
  <c r="AQ24" i="17"/>
  <c r="AQ15" i="17"/>
  <c r="AO35" i="17"/>
  <c r="AP17" i="17"/>
  <c r="AQ34" i="17"/>
  <c r="AP39" i="17"/>
  <c r="AO14" i="17"/>
  <c r="AO20" i="17"/>
  <c r="AP20" i="17"/>
  <c r="AQ26" i="17"/>
  <c r="AO29" i="17"/>
  <c r="AQ16" i="17"/>
  <c r="AQ20" i="17"/>
  <c r="AP30" i="17"/>
  <c r="AP35" i="17"/>
  <c r="AP23" i="17"/>
  <c r="AQ8" i="17"/>
  <c r="AP15" i="17"/>
  <c r="AO23" i="17"/>
  <c r="AO24" i="17"/>
  <c r="AO37" i="17"/>
  <c r="AQ13" i="17"/>
  <c r="AP18" i="17"/>
  <c r="AO9" i="17"/>
  <c r="AP10" i="17"/>
  <c r="AP34" i="17"/>
  <c r="AP26" i="17"/>
  <c r="AO32" i="17"/>
  <c r="AP22" i="17"/>
  <c r="AO13" i="17"/>
  <c r="AP33" i="17"/>
  <c r="AQ29" i="17"/>
  <c r="AO36" i="17"/>
  <c r="AQ14" i="17"/>
  <c r="AO8" i="17"/>
  <c r="AP36" i="17"/>
  <c r="AQ25" i="17"/>
  <c r="AO31" i="17"/>
  <c r="AP31" i="17"/>
  <c r="AO34" i="17"/>
  <c r="AO22" i="17"/>
  <c r="AP19" i="17"/>
  <c r="AP13" i="17"/>
  <c r="AQ33" i="17"/>
  <c r="AQ39" i="17"/>
  <c r="AO30" i="17"/>
  <c r="AP9" i="17"/>
  <c r="AP29" i="17"/>
  <c r="AO18" i="17"/>
  <c r="AP16" i="17"/>
  <c r="AP32" i="17"/>
  <c r="AQ27" i="17"/>
  <c r="AO33" i="17"/>
  <c r="AO38" i="17"/>
  <c r="AQ17" i="17"/>
  <c r="AO16" i="17"/>
  <c r="AQ38" i="17"/>
  <c r="AQ30" i="17"/>
  <c r="AO39" i="17"/>
  <c r="AO21" i="17"/>
  <c r="AQ19" i="17"/>
  <c r="AP27" i="17"/>
  <c r="AO10" i="17"/>
  <c r="AP38" i="17"/>
  <c r="AP14" i="17"/>
  <c r="AQ37" i="17"/>
  <c r="AP12" i="17"/>
  <c r="AQ31" i="17"/>
  <c r="AQ18" i="17"/>
  <c r="AQ10" i="17"/>
  <c r="AP37" i="17"/>
  <c r="AO15" i="17"/>
  <c r="AP24" i="17"/>
  <c r="AO26" i="17"/>
  <c r="AO17" i="17"/>
  <c r="AQ11" i="17"/>
  <c r="AO19" i="17"/>
  <c r="AP8" i="17"/>
  <c r="AQ36" i="17"/>
  <c r="AQ23" i="17"/>
  <c r="AQ9" i="17"/>
  <c r="AQ32" i="17"/>
  <c r="AO12" i="17"/>
  <c r="AP25" i="17"/>
  <c r="AO27" i="17"/>
  <c r="AO25" i="17"/>
  <c r="AQ12" i="17"/>
  <c r="AQ28" i="17"/>
  <c r="AQ22" i="17"/>
  <c r="AO28" i="17"/>
  <c r="AP28" i="17"/>
  <c r="AP11" i="17"/>
  <c r="AQ35" i="17"/>
  <c r="AQ21" i="17"/>
  <c r="AP21" i="17"/>
  <c r="CJ8" i="19"/>
  <c r="AB8" i="19"/>
  <c r="AV8" i="19"/>
  <c r="BP8" i="19"/>
  <c r="DX8" i="19"/>
  <c r="DD8" i="19"/>
  <c r="BT8" i="20"/>
  <c r="BU8" i="20"/>
  <c r="BY8" i="20"/>
  <c r="BZ8" i="20"/>
  <c r="BS8" i="20"/>
  <c r="BV8" i="20"/>
  <c r="BW8" i="20"/>
  <c r="BX8" i="20"/>
  <c r="AW8" i="19"/>
  <c r="AC8" i="19"/>
  <c r="DE8" i="19"/>
  <c r="CK8" i="19"/>
  <c r="BQ8" i="19"/>
  <c r="DY8" i="19"/>
  <c r="CB8" i="20"/>
  <c r="CC8" i="20"/>
  <c r="CG8" i="20"/>
  <c r="CD8" i="20"/>
  <c r="CH8" i="20"/>
  <c r="CE8" i="20"/>
  <c r="CF8" i="20"/>
  <c r="CA8" i="20"/>
  <c r="G176" i="37"/>
  <c r="G175" i="37"/>
  <c r="G163" i="37"/>
  <c r="G166" i="37"/>
  <c r="G167" i="37"/>
  <c r="G185" i="37"/>
  <c r="G188" i="37"/>
  <c r="G187" i="37"/>
  <c r="G170" i="37"/>
  <c r="G169" i="37"/>
  <c r="G173" i="37"/>
  <c r="G172" i="37"/>
  <c r="DG8" i="19"/>
  <c r="EA8" i="19"/>
  <c r="BS8" i="19"/>
  <c r="AE8" i="19"/>
  <c r="CM8" i="19"/>
  <c r="AT8" i="19"/>
  <c r="Z8" i="19"/>
  <c r="BN8" i="19"/>
  <c r="CH8" i="19"/>
  <c r="DV8" i="19"/>
  <c r="DB8" i="19"/>
  <c r="AJ16" i="17"/>
  <c r="AK28" i="17"/>
  <c r="AK30" i="17"/>
  <c r="AJ32" i="17"/>
  <c r="AK29" i="17"/>
  <c r="AJ19" i="17"/>
  <c r="AJ15" i="17"/>
  <c r="AJ13" i="17"/>
  <c r="AJ28" i="17"/>
  <c r="AJ36" i="17"/>
  <c r="AJ10" i="17"/>
  <c r="AJ14" i="17"/>
  <c r="AJ23" i="17"/>
  <c r="AK8" i="17"/>
  <c r="AI23" i="17"/>
  <c r="AK11" i="17"/>
  <c r="AI35" i="17"/>
  <c r="AK16" i="17"/>
  <c r="AK13" i="17"/>
  <c r="AJ37" i="17"/>
  <c r="AI28" i="17"/>
  <c r="AJ17" i="17"/>
  <c r="AJ29" i="17"/>
  <c r="AJ26" i="17"/>
  <c r="AI30" i="17"/>
  <c r="AJ34" i="17"/>
  <c r="AK19" i="17"/>
  <c r="AI27" i="17"/>
  <c r="AJ31" i="17"/>
  <c r="AI25" i="17"/>
  <c r="AJ8" i="17"/>
  <c r="AK17" i="17"/>
  <c r="AK21" i="17"/>
  <c r="AJ11" i="17"/>
  <c r="AI14" i="17"/>
  <c r="AI38" i="17"/>
  <c r="AJ33" i="17"/>
  <c r="AK10" i="17"/>
  <c r="AK22" i="17"/>
  <c r="AI12" i="17"/>
  <c r="AI33" i="17"/>
  <c r="AJ25" i="17"/>
  <c r="AJ27" i="17"/>
  <c r="AI16" i="17"/>
  <c r="AI8" i="17"/>
  <c r="AI9" i="17"/>
  <c r="AK20" i="17"/>
  <c r="AJ35" i="17"/>
  <c r="AJ39" i="17"/>
  <c r="AI10" i="17"/>
  <c r="AI29" i="17"/>
  <c r="AJ12" i="17"/>
  <c r="AK24" i="17"/>
  <c r="AJ20" i="17"/>
  <c r="AK26" i="17"/>
  <c r="AI32" i="17"/>
  <c r="AJ24" i="17"/>
  <c r="AI15" i="17"/>
  <c r="AI21" i="17"/>
  <c r="AK37" i="17"/>
  <c r="AJ18" i="17"/>
  <c r="AK23" i="17"/>
  <c r="AI24" i="17"/>
  <c r="AJ22" i="17"/>
  <c r="AI18" i="17"/>
  <c r="AI31" i="17"/>
  <c r="AK18" i="17"/>
  <c r="AK33" i="17"/>
  <c r="AK12" i="17"/>
  <c r="AI19" i="17"/>
  <c r="AK38" i="17"/>
  <c r="AK14" i="17"/>
  <c r="AK27" i="17"/>
  <c r="AK34" i="17"/>
  <c r="AI36" i="17"/>
  <c r="AI13" i="17"/>
  <c r="AK31" i="17"/>
  <c r="AK36" i="17"/>
  <c r="AI26" i="17"/>
  <c r="AI20" i="17"/>
  <c r="AK32" i="17"/>
  <c r="AI34" i="17"/>
  <c r="AK15" i="17"/>
  <c r="AI11" i="17"/>
  <c r="AK35" i="17"/>
  <c r="AJ38" i="17"/>
  <c r="AK9" i="17"/>
  <c r="AK25" i="17"/>
  <c r="AJ21" i="17"/>
  <c r="AI39" i="17"/>
  <c r="AJ9" i="17"/>
  <c r="AJ30" i="17"/>
  <c r="AK39" i="17"/>
  <c r="AI22" i="17"/>
  <c r="AI17" i="17"/>
  <c r="AI37" i="17"/>
  <c r="AB38" i="17"/>
  <c r="AA35" i="17"/>
  <c r="Z12" i="17"/>
  <c r="Z23" i="17"/>
  <c r="AB37" i="17"/>
  <c r="AB27" i="17"/>
  <c r="AB16" i="17"/>
  <c r="AB18" i="17"/>
  <c r="AB22" i="17"/>
  <c r="Z10" i="17"/>
  <c r="Z11" i="17"/>
  <c r="Z18" i="17"/>
  <c r="AB26" i="17"/>
  <c r="Z28" i="17"/>
  <c r="Z15" i="17"/>
  <c r="AA11" i="17"/>
  <c r="AB19" i="17"/>
  <c r="Z34" i="17"/>
  <c r="Z19" i="17"/>
  <c r="AA28" i="17"/>
  <c r="AA18" i="17"/>
  <c r="AB35" i="17"/>
  <c r="AA39" i="17"/>
  <c r="AB32" i="17"/>
  <c r="AB11" i="17"/>
  <c r="AA24" i="17"/>
  <c r="AB28" i="17"/>
  <c r="AB25" i="17"/>
  <c r="AB29" i="17"/>
  <c r="Z29" i="17"/>
  <c r="AB8" i="17"/>
  <c r="Z9" i="17"/>
  <c r="AA33" i="17"/>
  <c r="AA30" i="17"/>
  <c r="AA37" i="17"/>
  <c r="AB13" i="17"/>
  <c r="AA25" i="17"/>
  <c r="Z39" i="17"/>
  <c r="Z38" i="17"/>
  <c r="Z31" i="17"/>
  <c r="Z8" i="17"/>
  <c r="AB30" i="17"/>
  <c r="AB23" i="17"/>
  <c r="AB12" i="17"/>
  <c r="Z20" i="17"/>
  <c r="AA16" i="17"/>
  <c r="Z14" i="17"/>
  <c r="AA31" i="17"/>
  <c r="AA19" i="17"/>
  <c r="AB31" i="17"/>
  <c r="AA22" i="17"/>
  <c r="AA27" i="17"/>
  <c r="AA36" i="17"/>
  <c r="Z32" i="17"/>
  <c r="AB34" i="17"/>
  <c r="AA17" i="17"/>
  <c r="Z13" i="17"/>
  <c r="AA8" i="17"/>
  <c r="AA32" i="17"/>
  <c r="Z35" i="17"/>
  <c r="AA21" i="17"/>
  <c r="AA14" i="17"/>
  <c r="AA20" i="17"/>
  <c r="AA13" i="17"/>
  <c r="AA34" i="17"/>
  <c r="AB10" i="17"/>
  <c r="AB9" i="17"/>
  <c r="AA29" i="17"/>
  <c r="AB21" i="17"/>
  <c r="Z27" i="17"/>
  <c r="AA26" i="17"/>
  <c r="AA38" i="17"/>
  <c r="AB14" i="17"/>
  <c r="Z17" i="17"/>
  <c r="Z16" i="17"/>
  <c r="AA12" i="17"/>
  <c r="Z25" i="17"/>
  <c r="Z21" i="17"/>
  <c r="AA15" i="17"/>
  <c r="AA10" i="17"/>
  <c r="AB39" i="17"/>
  <c r="Z36" i="17"/>
  <c r="AB36" i="17"/>
  <c r="AB17" i="17"/>
  <c r="AA23" i="17"/>
  <c r="Z22" i="17"/>
  <c r="Z33" i="17"/>
  <c r="AB33" i="17"/>
  <c r="Z24" i="17"/>
  <c r="AA9" i="17"/>
  <c r="AB15" i="17"/>
  <c r="Z26" i="17"/>
  <c r="AB20" i="17"/>
  <c r="Z30" i="17"/>
  <c r="AB24" i="17"/>
  <c r="Z37" i="17"/>
  <c r="AV8" i="20"/>
  <c r="BB8" i="20"/>
  <c r="AY8" i="20"/>
  <c r="AW8" i="20"/>
  <c r="AZ8" i="20"/>
  <c r="AU8" i="20"/>
  <c r="BA8" i="20"/>
  <c r="AX8" i="20"/>
  <c r="CQ8" i="20"/>
  <c r="CT8" i="20"/>
  <c r="CW8" i="20"/>
  <c r="CU8" i="20"/>
  <c r="CS8" i="20"/>
  <c r="CV8" i="20"/>
  <c r="AU10" i="17"/>
  <c r="AU11" i="17"/>
  <c r="AV25" i="17"/>
  <c r="AV16" i="17"/>
  <c r="AU21" i="17"/>
  <c r="AU33" i="17"/>
  <c r="AV37" i="17"/>
  <c r="AU8" i="17"/>
  <c r="AU14" i="17"/>
  <c r="AU13" i="17"/>
  <c r="AV9" i="17"/>
  <c r="AW33" i="17"/>
  <c r="AU19" i="17"/>
  <c r="AW15" i="17"/>
  <c r="AU29" i="17"/>
  <c r="AV28" i="17"/>
  <c r="AV24" i="17"/>
  <c r="AU16" i="17"/>
  <c r="AU36" i="17"/>
  <c r="AU24" i="17"/>
  <c r="AU27" i="17"/>
  <c r="AU9" i="17"/>
  <c r="AW23" i="17"/>
  <c r="AW12" i="17"/>
  <c r="AW25" i="17"/>
  <c r="AV29" i="17"/>
  <c r="AV11" i="17"/>
  <c r="AU12" i="17"/>
  <c r="AU32" i="17"/>
  <c r="AW14" i="17"/>
  <c r="AV15" i="17"/>
  <c r="AU28" i="17"/>
  <c r="AW37" i="17"/>
  <c r="AV31" i="17"/>
  <c r="AV34" i="17"/>
  <c r="AW16" i="17"/>
  <c r="AV27" i="17"/>
  <c r="AV13" i="17"/>
  <c r="AW22" i="17"/>
  <c r="AV12" i="17"/>
  <c r="AV38" i="17"/>
  <c r="AU31" i="17"/>
  <c r="AW21" i="17"/>
  <c r="AV30" i="17"/>
  <c r="AV21" i="17"/>
  <c r="AV17" i="17"/>
  <c r="AU22" i="17"/>
  <c r="AW19" i="17"/>
  <c r="AV18" i="17"/>
  <c r="AW13" i="17"/>
  <c r="AW38" i="17"/>
  <c r="AV26" i="17"/>
  <c r="AV32" i="17"/>
  <c r="AU23" i="17"/>
  <c r="AW24" i="17"/>
  <c r="AV36" i="17"/>
  <c r="AW11" i="17"/>
  <c r="AV8" i="17"/>
  <c r="AW30" i="17"/>
  <c r="AV33" i="17"/>
  <c r="AU39" i="17"/>
  <c r="AU30" i="17"/>
  <c r="AV20" i="17"/>
  <c r="AW26" i="17"/>
  <c r="AU18" i="17"/>
  <c r="AV39" i="17"/>
  <c r="AV10" i="17"/>
  <c r="AW8" i="17"/>
  <c r="AV22" i="17"/>
  <c r="AU38" i="17"/>
  <c r="AU25" i="17"/>
  <c r="AV14" i="17"/>
  <c r="AW18" i="17"/>
  <c r="AW36" i="17"/>
  <c r="AU35" i="17"/>
  <c r="AW32" i="17"/>
  <c r="AW31" i="17"/>
  <c r="AU34" i="17"/>
  <c r="AU15" i="17"/>
  <c r="AU37" i="17"/>
  <c r="AW20" i="17"/>
  <c r="AW27" i="17"/>
  <c r="AV23" i="17"/>
  <c r="AU17" i="17"/>
  <c r="AV19" i="17"/>
  <c r="AW9" i="17"/>
  <c r="AW29" i="17"/>
  <c r="AW35" i="17"/>
  <c r="AW17" i="17"/>
  <c r="AW10" i="17"/>
  <c r="AW28" i="17"/>
  <c r="AU26" i="17"/>
  <c r="AU20" i="17"/>
  <c r="AW39" i="17"/>
  <c r="AV35" i="17"/>
  <c r="AW34" i="17"/>
  <c r="AG8" i="20"/>
  <c r="AF8" i="20"/>
  <c r="AI8" i="20"/>
  <c r="AJ8" i="20"/>
  <c r="AL8" i="20"/>
  <c r="AE8" i="20"/>
  <c r="AK8" i="20"/>
  <c r="AH8" i="20"/>
  <c r="CK8" i="20"/>
  <c r="CM8" i="20"/>
  <c r="CL8" i="20"/>
  <c r="CI8" i="20"/>
  <c r="CO8" i="20"/>
  <c r="CP8" i="20"/>
  <c r="CN8" i="20"/>
  <c r="CJ8" i="20"/>
  <c r="BD8" i="20"/>
  <c r="BE8" i="20"/>
  <c r="BC8" i="20"/>
  <c r="BF8" i="20"/>
  <c r="BJ8" i="20"/>
  <c r="BG8" i="20"/>
  <c r="BH8" i="20"/>
  <c r="BI8" i="20"/>
  <c r="AF9" i="17"/>
  <c r="AH30" i="17"/>
  <c r="AH19" i="17"/>
  <c r="AH22" i="17"/>
  <c r="AF8" i="17"/>
  <c r="AH36" i="17"/>
  <c r="AF38" i="17"/>
  <c r="AH27" i="17"/>
  <c r="AF30" i="17"/>
  <c r="AH18" i="17"/>
  <c r="AF12" i="17"/>
  <c r="AF35" i="17"/>
  <c r="AF21" i="17"/>
  <c r="AH12" i="17"/>
  <c r="AF16" i="17"/>
  <c r="AF10" i="17"/>
  <c r="AG33" i="17"/>
  <c r="AG27" i="17"/>
  <c r="AG16" i="17"/>
  <c r="AG22" i="17"/>
  <c r="AF23" i="17"/>
  <c r="AF24" i="17"/>
  <c r="AF32" i="17"/>
  <c r="AG20" i="17"/>
  <c r="AH21" i="17"/>
  <c r="AF14" i="17"/>
  <c r="AH24" i="17"/>
  <c r="AF19" i="17"/>
  <c r="AH8" i="17"/>
  <c r="AG29" i="17"/>
  <c r="AH13" i="17"/>
  <c r="AG8" i="17"/>
  <c r="AH28" i="17"/>
  <c r="AH32" i="17"/>
  <c r="AG23" i="17"/>
  <c r="AF26" i="17"/>
  <c r="AF20" i="17"/>
  <c r="AF25" i="17"/>
  <c r="AH26" i="17"/>
  <c r="AH11" i="17"/>
  <c r="AH29" i="17"/>
  <c r="AG34" i="17"/>
  <c r="AG38" i="17"/>
  <c r="AG37" i="17"/>
  <c r="AH33" i="17"/>
  <c r="AF31" i="17"/>
  <c r="AG13" i="17"/>
  <c r="AG18" i="17"/>
  <c r="AF15" i="17"/>
  <c r="AF13" i="17"/>
  <c r="AF17" i="17"/>
  <c r="AH10" i="17"/>
  <c r="AH16" i="17"/>
  <c r="AH31" i="17"/>
  <c r="AG35" i="17"/>
  <c r="AG26" i="17"/>
  <c r="AG30" i="17"/>
  <c r="AG28" i="17"/>
  <c r="AG21" i="17"/>
  <c r="AH38" i="17"/>
  <c r="AG14" i="17"/>
  <c r="AF29" i="17"/>
  <c r="AF39" i="17"/>
  <c r="AG19" i="17"/>
  <c r="AH39" i="17"/>
  <c r="AG12" i="17"/>
  <c r="AH14" i="17"/>
  <c r="AH25" i="17"/>
  <c r="AF36" i="17"/>
  <c r="AH20" i="17"/>
  <c r="AG11" i="17"/>
  <c r="AG17" i="17"/>
  <c r="AG10" i="17"/>
  <c r="AH17" i="17"/>
  <c r="AF34" i="17"/>
  <c r="AH35" i="17"/>
  <c r="AF28" i="17"/>
  <c r="AG25" i="17"/>
  <c r="AG15" i="17"/>
  <c r="AH37" i="17"/>
  <c r="AH15" i="17"/>
  <c r="AF18" i="17"/>
  <c r="AF33" i="17"/>
  <c r="AG9" i="17"/>
  <c r="AG31" i="17"/>
  <c r="AG36" i="17"/>
  <c r="AG39" i="17"/>
  <c r="AH23" i="17"/>
  <c r="AG24" i="17"/>
  <c r="AF11" i="17"/>
  <c r="AF27" i="17"/>
  <c r="AH9" i="17"/>
  <c r="AG32" i="17"/>
  <c r="AF22" i="17"/>
  <c r="AF37" i="17"/>
  <c r="BR8" i="19"/>
  <c r="AD8" i="19"/>
  <c r="CL8" i="19"/>
  <c r="DF8" i="19"/>
  <c r="DZ8" i="19"/>
  <c r="AX8" i="19"/>
  <c r="AY15" i="17"/>
  <c r="AY28" i="17"/>
  <c r="AY33" i="17"/>
  <c r="AZ15" i="17"/>
  <c r="AX11" i="17"/>
  <c r="AZ27" i="17"/>
  <c r="AZ30" i="17"/>
  <c r="AX19" i="17"/>
  <c r="AX18" i="17"/>
  <c r="AX30" i="17"/>
  <c r="AY13" i="17"/>
  <c r="AZ9" i="17"/>
  <c r="AX36" i="17"/>
  <c r="AZ16" i="17"/>
  <c r="AZ25" i="17"/>
  <c r="AZ12" i="17"/>
  <c r="AY29" i="17"/>
  <c r="AZ8" i="17"/>
  <c r="AZ32" i="17"/>
  <c r="AX22" i="17"/>
  <c r="AX14" i="17"/>
  <c r="AY35" i="17"/>
  <c r="AZ17" i="17"/>
  <c r="AZ10" i="17"/>
  <c r="AZ33" i="17"/>
  <c r="AX31" i="17"/>
  <c r="AZ20" i="17"/>
  <c r="AX38" i="17"/>
  <c r="AY23" i="17"/>
  <c r="AZ29" i="17"/>
  <c r="AX28" i="17"/>
  <c r="AY34" i="17"/>
  <c r="AX26" i="17"/>
  <c r="AY22" i="17"/>
  <c r="AX35" i="17"/>
  <c r="AX16" i="17"/>
  <c r="AY20" i="17"/>
  <c r="AX25" i="17"/>
  <c r="AY18" i="17"/>
  <c r="AX10" i="17"/>
  <c r="AZ19" i="17"/>
  <c r="AX34" i="17"/>
  <c r="AX12" i="17"/>
  <c r="AY31" i="17"/>
  <c r="AX32" i="17"/>
  <c r="AY12" i="17"/>
  <c r="AX13" i="17"/>
  <c r="AY16" i="17"/>
  <c r="AZ39" i="17"/>
  <c r="AY14" i="17"/>
  <c r="AY17" i="17"/>
  <c r="AX8" i="17"/>
  <c r="AX20" i="17"/>
  <c r="AZ37" i="17"/>
  <c r="AZ18" i="17"/>
  <c r="AZ14" i="17"/>
  <c r="AX37" i="17"/>
  <c r="AX24" i="17"/>
  <c r="AY37" i="17"/>
  <c r="AY39" i="17"/>
  <c r="AX33" i="17"/>
  <c r="AY27" i="17"/>
  <c r="AX17" i="17"/>
  <c r="AY30" i="17"/>
  <c r="AX9" i="17"/>
  <c r="AZ13" i="17"/>
  <c r="AX15" i="17"/>
  <c r="AZ38" i="17"/>
  <c r="AZ11" i="17"/>
  <c r="AY38" i="17"/>
  <c r="AY9" i="17"/>
  <c r="AY11" i="17"/>
  <c r="AY21" i="17"/>
  <c r="AX23" i="17"/>
  <c r="AX27" i="17"/>
  <c r="AZ31" i="17"/>
  <c r="AY19" i="17"/>
  <c r="AZ23" i="17"/>
  <c r="AZ35" i="17"/>
  <c r="AY25" i="17"/>
  <c r="AZ28" i="17"/>
  <c r="AZ22" i="17"/>
  <c r="AY26" i="17"/>
  <c r="AZ26" i="17"/>
  <c r="AY24" i="17"/>
  <c r="AX39" i="17"/>
  <c r="AZ34" i="17"/>
  <c r="AZ36" i="17"/>
  <c r="AY10" i="17"/>
  <c r="AY32" i="17"/>
  <c r="AZ21" i="17"/>
  <c r="AX29" i="17"/>
  <c r="AX21" i="17"/>
  <c r="AY8" i="17"/>
  <c r="AZ24" i="17"/>
  <c r="AY36" i="17"/>
  <c r="AQ8" i="19"/>
  <c r="W8" i="19"/>
  <c r="BK8" i="19"/>
  <c r="DS8" i="19"/>
  <c r="CE8" i="19"/>
  <c r="CY8" i="19"/>
  <c r="Y8" i="19"/>
  <c r="DU8" i="19"/>
  <c r="AS8" i="19"/>
  <c r="BM8" i="19"/>
  <c r="CG8" i="19"/>
  <c r="DA8" i="19"/>
  <c r="DC8" i="19"/>
  <c r="CI8" i="19"/>
  <c r="BO8" i="19"/>
  <c r="DW8" i="19"/>
  <c r="AU8" i="19"/>
  <c r="AA8" i="19"/>
  <c r="BK8" i="20"/>
  <c r="BN8" i="20"/>
  <c r="BQ8" i="20"/>
  <c r="BM8" i="20"/>
  <c r="BR8" i="20"/>
  <c r="BL8" i="20"/>
  <c r="BO8" i="20"/>
  <c r="BP8" i="20"/>
  <c r="O31" i="26"/>
  <c r="O32" i="26"/>
  <c r="AP8" i="20"/>
  <c r="AM8" i="20"/>
  <c r="AS8" i="20"/>
  <c r="AO8" i="20"/>
  <c r="AR8" i="20"/>
  <c r="AN8" i="20"/>
  <c r="AT8" i="20"/>
  <c r="AQ8" i="20"/>
  <c r="AR6" i="17"/>
  <c r="N29" i="17" s="1"/>
  <c r="X8" i="19"/>
  <c r="BL8" i="19"/>
  <c r="DT8" i="19"/>
  <c r="CF8" i="19"/>
  <c r="AR8" i="19"/>
  <c r="CZ8" i="19"/>
  <c r="AS6" i="17"/>
  <c r="N30" i="17" s="1"/>
  <c r="AL23" i="17"/>
  <c r="AN39" i="17"/>
  <c r="AN33" i="17"/>
  <c r="AL20" i="17"/>
  <c r="AL30" i="17"/>
  <c r="AL32" i="17"/>
  <c r="AL21" i="17"/>
  <c r="AL34" i="17"/>
  <c r="AM10" i="17"/>
  <c r="AM9" i="17"/>
  <c r="AM38" i="17"/>
  <c r="AM16" i="17"/>
  <c r="AM26" i="17"/>
  <c r="AL9" i="17"/>
  <c r="AN31" i="17"/>
  <c r="AN21" i="17"/>
  <c r="AL28" i="17"/>
  <c r="AN27" i="17"/>
  <c r="AL14" i="17"/>
  <c r="AN12" i="17"/>
  <c r="AM36" i="17"/>
  <c r="AM30" i="17"/>
  <c r="AM35" i="17"/>
  <c r="AN8" i="17"/>
  <c r="AN23" i="17"/>
  <c r="AN11" i="17"/>
  <c r="AL36" i="17"/>
  <c r="AN13" i="17"/>
  <c r="AN18" i="17"/>
  <c r="AN9" i="17"/>
  <c r="AN29" i="17"/>
  <c r="AM20" i="17"/>
  <c r="AL27" i="17"/>
  <c r="AL31" i="17"/>
  <c r="AL37" i="17"/>
  <c r="AN19" i="17"/>
  <c r="AL10" i="17"/>
  <c r="AN17" i="17"/>
  <c r="AN25" i="17"/>
  <c r="AM12" i="17"/>
  <c r="AM24" i="17"/>
  <c r="AN22" i="17"/>
  <c r="AM23" i="17"/>
  <c r="AM13" i="17"/>
  <c r="AL15" i="17"/>
  <c r="AL29" i="17"/>
  <c r="AN32" i="17"/>
  <c r="AL17" i="17"/>
  <c r="AL38" i="17"/>
  <c r="AL35" i="17"/>
  <c r="AL26" i="17"/>
  <c r="AM33" i="17"/>
  <c r="AM8" i="17"/>
  <c r="AM34" i="17"/>
  <c r="AM15" i="17"/>
  <c r="AN30" i="17"/>
  <c r="AL19" i="17"/>
  <c r="AL18" i="17"/>
  <c r="AL33" i="17"/>
  <c r="AN14" i="17"/>
  <c r="AM19" i="17"/>
  <c r="AM37" i="17"/>
  <c r="AL13" i="17"/>
  <c r="AN37" i="17"/>
  <c r="AL22" i="17"/>
  <c r="AM28" i="17"/>
  <c r="AM11" i="17"/>
  <c r="AM21" i="17"/>
  <c r="AN24" i="17"/>
  <c r="AL12" i="17"/>
  <c r="AL24" i="17"/>
  <c r="AN34" i="17"/>
  <c r="AM22" i="17"/>
  <c r="AN28" i="17"/>
  <c r="AL16" i="17"/>
  <c r="AM14" i="17"/>
  <c r="AM29" i="17"/>
  <c r="AM32" i="17"/>
  <c r="AM27" i="17"/>
  <c r="AN36" i="17"/>
  <c r="AL25" i="17"/>
  <c r="AM18" i="17"/>
  <c r="AM39" i="17"/>
  <c r="AN15" i="17"/>
  <c r="AN16" i="17"/>
  <c r="AN10" i="17"/>
  <c r="AM31" i="17"/>
  <c r="AN20" i="17"/>
  <c r="AL11" i="17"/>
  <c r="AM25" i="17"/>
  <c r="AN26" i="17"/>
  <c r="AN38" i="17"/>
  <c r="AL8" i="17"/>
  <c r="AN35" i="17"/>
  <c r="AM17" i="17"/>
  <c r="AL39" i="17"/>
  <c r="AD37" i="17"/>
  <c r="AE9" i="17"/>
  <c r="AC18" i="17"/>
  <c r="AD19" i="17"/>
  <c r="AE10" i="17"/>
  <c r="AE12" i="17"/>
  <c r="AC14" i="17"/>
  <c r="AE23" i="17"/>
  <c r="AD29" i="17"/>
  <c r="AC23" i="17"/>
  <c r="AC34" i="17"/>
  <c r="AE29" i="17"/>
  <c r="AE16" i="17"/>
  <c r="AC20" i="17"/>
  <c r="AD26" i="17"/>
  <c r="AE13" i="17"/>
  <c r="AE36" i="17"/>
  <c r="AC9" i="17"/>
  <c r="AD30" i="17"/>
  <c r="AD36" i="17"/>
  <c r="AE39" i="17"/>
  <c r="AD13" i="17"/>
  <c r="AD39" i="17"/>
  <c r="AE11" i="17"/>
  <c r="AD28" i="17"/>
  <c r="AC29" i="17"/>
  <c r="AD32" i="17"/>
  <c r="AE15" i="17"/>
  <c r="AE26" i="17"/>
  <c r="AC30" i="17"/>
  <c r="AD21" i="17"/>
  <c r="AE33" i="17"/>
  <c r="AD31" i="17"/>
  <c r="AE24" i="17"/>
  <c r="AD10" i="17"/>
  <c r="AE38" i="17"/>
  <c r="AC16" i="17"/>
  <c r="AD9" i="17"/>
  <c r="AD34" i="17"/>
  <c r="AC24" i="17"/>
  <c r="AC13" i="17"/>
  <c r="AC10" i="17"/>
  <c r="AC26" i="17"/>
  <c r="AD15" i="17"/>
  <c r="AC33" i="17"/>
  <c r="AC35" i="17"/>
  <c r="AC22" i="17"/>
  <c r="AC31" i="17"/>
  <c r="AE18" i="17"/>
  <c r="AD20" i="17"/>
  <c r="AD16" i="17"/>
  <c r="AE37" i="17"/>
  <c r="AC17" i="17"/>
  <c r="AE21" i="17"/>
  <c r="AE28" i="17"/>
  <c r="AD14" i="17"/>
  <c r="AE27" i="17"/>
  <c r="AE20" i="17"/>
  <c r="AC21" i="17"/>
  <c r="AC27" i="17"/>
  <c r="AE19" i="17"/>
  <c r="AD33" i="17"/>
  <c r="AC39" i="17"/>
  <c r="AC36" i="17"/>
  <c r="AD12" i="17"/>
  <c r="AC12" i="17"/>
  <c r="AC37" i="17"/>
  <c r="AE14" i="17"/>
  <c r="AD22" i="17"/>
  <c r="AD11" i="17"/>
  <c r="AC19" i="17"/>
  <c r="AE34" i="17"/>
  <c r="AD27" i="17"/>
  <c r="AE17" i="17"/>
  <c r="AE8" i="17"/>
  <c r="AE25" i="17"/>
  <c r="AD35" i="17"/>
  <c r="AE32" i="17"/>
  <c r="AD18" i="17"/>
  <c r="AD23" i="17"/>
  <c r="AE22" i="17"/>
  <c r="AE30" i="17"/>
  <c r="AD8" i="17"/>
  <c r="AE35" i="17"/>
  <c r="AD17" i="17"/>
  <c r="AE31" i="17"/>
  <c r="AC11" i="17"/>
  <c r="AD24" i="17"/>
  <c r="AD25" i="17"/>
  <c r="AC28" i="17"/>
  <c r="AC32" i="17"/>
  <c r="AC15" i="17"/>
  <c r="AC8" i="17"/>
  <c r="AC38" i="17"/>
  <c r="AD38" i="17"/>
  <c r="AT6" i="17"/>
  <c r="N31" i="17" s="1"/>
  <c r="AQ53" i="2"/>
  <c r="AM56" i="2"/>
  <c r="AK52" i="2"/>
  <c r="AI55" i="2"/>
  <c r="AI51" i="2"/>
  <c r="AG55" i="2"/>
  <c r="AE55" i="2"/>
  <c r="AC56" i="2"/>
  <c r="AA52" i="2"/>
  <c r="O71" i="2" a="1"/>
  <c r="AU47" i="2" a="1"/>
  <c r="L75" i="2"/>
  <c r="F78" i="2"/>
  <c r="L74" i="2"/>
  <c r="AU54" i="2" a="1"/>
  <c r="G75" i="2" a="1"/>
  <c r="AU48" i="2" a="1"/>
  <c r="G71" i="2" a="1"/>
  <c r="Y45" i="2" a="1"/>
  <c r="T74" i="2"/>
  <c r="H74" i="2"/>
  <c r="R75" i="2"/>
  <c r="AO53" i="2"/>
  <c r="AM52" i="2"/>
  <c r="AI52" i="2"/>
  <c r="AG51" i="2"/>
  <c r="AE56" i="2"/>
  <c r="AA55" i="2"/>
  <c r="W74" i="2" a="1"/>
  <c r="Y44" i="2" a="1"/>
  <c r="W71" i="2" a="1"/>
  <c r="AU58" i="2" a="1"/>
  <c r="AT10" i="2" a="1"/>
  <c r="I44" i="2" a="1"/>
  <c r="F76" i="2"/>
  <c r="T77" i="2"/>
  <c r="J74" i="2"/>
  <c r="AO55" i="2"/>
  <c r="AM55" i="2"/>
  <c r="AI53" i="2"/>
  <c r="AE53" i="2"/>
  <c r="AE52" i="2"/>
  <c r="AA56" i="2"/>
  <c r="S71" i="2" a="1"/>
  <c r="AT14" i="2" a="1"/>
  <c r="AU57" i="2" a="1"/>
  <c r="T76" i="2"/>
  <c r="W45" i="2" a="1"/>
  <c r="F74" i="2"/>
  <c r="AQ52" i="2"/>
  <c r="AM53" i="2"/>
  <c r="AI56" i="2"/>
  <c r="AG56" i="2"/>
  <c r="AC51" i="2"/>
  <c r="AA51" i="2"/>
  <c r="AT9" i="2" a="1"/>
  <c r="F77" i="2"/>
  <c r="K71" i="2" a="1"/>
  <c r="N75" i="2"/>
  <c r="N74" i="2"/>
  <c r="AK53" i="2"/>
  <c r="AG52" i="2"/>
  <c r="AC53" i="2"/>
  <c r="U71" i="2" a="1"/>
  <c r="I71" i="2" a="1"/>
  <c r="J20" i="35" a="1"/>
  <c r="AQ55" i="2"/>
  <c r="AK56" i="2"/>
  <c r="AG53" i="2"/>
  <c r="AC55" i="2"/>
  <c r="Q71" i="2" a="1"/>
  <c r="J75" i="2"/>
  <c r="AU46" i="2" a="1"/>
  <c r="V75" i="2"/>
  <c r="R74" i="2"/>
  <c r="P74" i="2"/>
  <c r="AO52" i="2"/>
  <c r="AK55" i="2"/>
  <c r="AE51" i="2"/>
  <c r="AC52" i="2"/>
  <c r="T78" i="2"/>
  <c r="P75" i="2"/>
  <c r="X75" i="2"/>
  <c r="G44" i="2" a="1"/>
  <c r="Y71" i="2" a="1"/>
  <c r="U75" i="2" a="1"/>
  <c r="X74" i="2"/>
  <c r="AT74" i="2" l="1"/>
  <c r="AT50" i="2"/>
  <c r="AA44" i="1153"/>
  <c r="AA13" i="1153"/>
  <c r="AA12" i="1153"/>
  <c r="AA35" i="1153" s="1"/>
  <c r="U44" i="1153"/>
  <c r="U13" i="1153"/>
  <c r="U12" i="1153"/>
  <c r="U35" i="1153" s="1"/>
  <c r="Z44" i="1153"/>
  <c r="Z13" i="1153"/>
  <c r="Z12" i="1153"/>
  <c r="Z35" i="1153" s="1"/>
  <c r="Q44" i="1153"/>
  <c r="Q13" i="1153"/>
  <c r="Q12" i="1153"/>
  <c r="Q35" i="1153" s="1"/>
  <c r="V44" i="1153"/>
  <c r="V13" i="1153"/>
  <c r="V12" i="1153"/>
  <c r="V35" i="1153" s="1"/>
  <c r="J44" i="1153"/>
  <c r="AS15" i="2" s="1"/>
  <c r="J12" i="1153"/>
  <c r="J35" i="1153" s="1"/>
  <c r="S44" i="1153"/>
  <c r="S13" i="1153"/>
  <c r="S12" i="1153"/>
  <c r="S35" i="1153" s="1"/>
  <c r="G44" i="1153"/>
  <c r="AS12" i="2" s="1"/>
  <c r="G12" i="1153"/>
  <c r="G35" i="1153" s="1"/>
  <c r="X44" i="1153"/>
  <c r="X13" i="1153"/>
  <c r="X12" i="1153"/>
  <c r="X35" i="1153" s="1"/>
  <c r="L44" i="1153"/>
  <c r="L13" i="1153"/>
  <c r="L12" i="1153"/>
  <c r="L35" i="1153" s="1"/>
  <c r="AB44" i="1153"/>
  <c r="AB13" i="1153"/>
  <c r="AB12" i="1153"/>
  <c r="AB35" i="1153" s="1"/>
  <c r="AC44" i="1153"/>
  <c r="AC13" i="1153"/>
  <c r="AC12" i="1153"/>
  <c r="AC35" i="1153" s="1"/>
  <c r="T44" i="1153"/>
  <c r="T13" i="1153"/>
  <c r="T12" i="1153"/>
  <c r="T35" i="1153" s="1"/>
  <c r="AE44" i="1153"/>
  <c r="AE13" i="1153"/>
  <c r="AE12" i="1153"/>
  <c r="AE35" i="1153" s="1"/>
  <c r="W44" i="1153"/>
  <c r="W13" i="1153"/>
  <c r="W12" i="1153"/>
  <c r="W35" i="1153" s="1"/>
  <c r="Y44" i="1153"/>
  <c r="Y13" i="1153"/>
  <c r="Y12" i="1153"/>
  <c r="Y35" i="1153" s="1"/>
  <c r="H44" i="1153"/>
  <c r="AS13" i="2" s="1"/>
  <c r="H13" i="1153"/>
  <c r="H12" i="1153"/>
  <c r="H35" i="1153" s="1"/>
  <c r="P44" i="1153"/>
  <c r="P13" i="1153"/>
  <c r="P12" i="1153"/>
  <c r="P35" i="1153" s="1"/>
  <c r="O44" i="1153"/>
  <c r="O13" i="1153"/>
  <c r="O12" i="1153"/>
  <c r="O35" i="1153" s="1"/>
  <c r="F44" i="1153"/>
  <c r="AS11" i="2" s="1"/>
  <c r="F12" i="1153"/>
  <c r="F35" i="1153" s="1"/>
  <c r="K44" i="1153"/>
  <c r="AS16" i="2" s="1"/>
  <c r="K13" i="1153"/>
  <c r="K12" i="1153"/>
  <c r="K35" i="1153" s="1"/>
  <c r="N44" i="1153"/>
  <c r="N13" i="1153"/>
  <c r="N12" i="1153"/>
  <c r="N35" i="1153" s="1"/>
  <c r="E44" i="1153"/>
  <c r="AS10" i="2" s="1"/>
  <c r="E13" i="1153"/>
  <c r="E12" i="1153"/>
  <c r="E35" i="1153" s="1"/>
  <c r="AF25" i="1153"/>
  <c r="AF23" i="1153"/>
  <c r="AF21" i="1153"/>
  <c r="AF19" i="1153"/>
  <c r="AF17" i="1153"/>
  <c r="AG17" i="1153" s="1"/>
  <c r="AF26" i="1153"/>
  <c r="AF24" i="1153"/>
  <c r="AF22" i="1153"/>
  <c r="AF20" i="1153"/>
  <c r="AF18" i="1153"/>
  <c r="D28" i="1153"/>
  <c r="I44" i="1153"/>
  <c r="AS14" i="2" s="1"/>
  <c r="I13" i="1153"/>
  <c r="I12" i="1153"/>
  <c r="I35" i="1153" s="1"/>
  <c r="R44" i="1153"/>
  <c r="R13" i="1153"/>
  <c r="R12" i="1153"/>
  <c r="R35" i="1153" s="1"/>
  <c r="M44" i="1153"/>
  <c r="M13" i="1153"/>
  <c r="M12" i="1153"/>
  <c r="M35" i="1153" s="1"/>
  <c r="AD44" i="1153"/>
  <c r="AD13" i="1153"/>
  <c r="AD12" i="1153"/>
  <c r="AD35" i="1153" s="1"/>
  <c r="AP56" i="2"/>
  <c r="AP60" i="2" s="1"/>
  <c r="AE7" i="1148"/>
  <c r="AE28" i="1148" s="1"/>
  <c r="AE12" i="1148" s="1"/>
  <c r="W7" i="1148"/>
  <c r="W28" i="1148" s="1"/>
  <c r="W44" i="1148" s="1"/>
  <c r="AQ28" i="2" s="1"/>
  <c r="AC7" i="1148"/>
  <c r="AC28" i="1148" s="1"/>
  <c r="AC12" i="1148" s="1"/>
  <c r="AC35" i="1148" s="1"/>
  <c r="Y7" i="1148"/>
  <c r="Y28" i="1148" s="1"/>
  <c r="Y44" i="1148" s="1"/>
  <c r="AQ30" i="2" s="1"/>
  <c r="H7" i="1148"/>
  <c r="H28" i="1148" s="1"/>
  <c r="H44" i="1148" s="1"/>
  <c r="AQ13" i="2" s="1"/>
  <c r="T7" i="1148"/>
  <c r="T28" i="1148" s="1"/>
  <c r="T44" i="1148" s="1"/>
  <c r="AQ25" i="2" s="1"/>
  <c r="P7" i="1148"/>
  <c r="P28" i="1148" s="1"/>
  <c r="P44" i="1148" s="1"/>
  <c r="AQ21" i="2" s="1"/>
  <c r="O7" i="1148"/>
  <c r="O28" i="1148" s="1"/>
  <c r="O12" i="1148" s="1"/>
  <c r="O35" i="1148" s="1"/>
  <c r="F7" i="1148"/>
  <c r="F28" i="1148" s="1"/>
  <c r="K7" i="1148"/>
  <c r="K28" i="1148" s="1"/>
  <c r="K44" i="1148" s="1"/>
  <c r="AQ16" i="2" s="1"/>
  <c r="N7" i="1148"/>
  <c r="N28" i="1148" s="1"/>
  <c r="N12" i="1148" s="1"/>
  <c r="N35" i="1148" s="1"/>
  <c r="E7" i="1148"/>
  <c r="E28" i="1148" s="1"/>
  <c r="E44" i="1148" s="1"/>
  <c r="AQ10" i="2" s="1"/>
  <c r="D7" i="1148"/>
  <c r="D28" i="1148" s="1"/>
  <c r="I7" i="1148"/>
  <c r="I28" i="1148" s="1"/>
  <c r="I44" i="1148" s="1"/>
  <c r="AQ14" i="2" s="1"/>
  <c r="R7" i="1148"/>
  <c r="R28" i="1148" s="1"/>
  <c r="R44" i="1148" s="1"/>
  <c r="AQ23" i="2" s="1"/>
  <c r="AA7" i="1148"/>
  <c r="AA28" i="1148" s="1"/>
  <c r="AA44" i="1148" s="1"/>
  <c r="AQ32" i="2" s="1"/>
  <c r="M7" i="1148"/>
  <c r="M28" i="1148" s="1"/>
  <c r="M44" i="1148" s="1"/>
  <c r="AQ18" i="2" s="1"/>
  <c r="U7" i="1148"/>
  <c r="U28" i="1148" s="1"/>
  <c r="U12" i="1148" s="1"/>
  <c r="U35" i="1148" s="1"/>
  <c r="Z7" i="1148"/>
  <c r="Z28" i="1148" s="1"/>
  <c r="Z44" i="1148" s="1"/>
  <c r="AQ31" i="2" s="1"/>
  <c r="AD7" i="1148"/>
  <c r="AD28" i="1148" s="1"/>
  <c r="AD12" i="1148" s="1"/>
  <c r="Q7" i="1148"/>
  <c r="Q28" i="1148" s="1"/>
  <c r="Q44" i="1148" s="1"/>
  <c r="AQ22" i="2" s="1"/>
  <c r="V7" i="1148"/>
  <c r="V28" i="1148" s="1"/>
  <c r="V12" i="1148" s="1"/>
  <c r="V35" i="1148" s="1"/>
  <c r="J7" i="1148"/>
  <c r="J28" i="1148" s="1"/>
  <c r="J44" i="1148" s="1"/>
  <c r="AQ15" i="2" s="1"/>
  <c r="S7" i="1148"/>
  <c r="S28" i="1148" s="1"/>
  <c r="S44" i="1148" s="1"/>
  <c r="AQ24" i="2" s="1"/>
  <c r="G7" i="1148"/>
  <c r="G28" i="1148" s="1"/>
  <c r="G44" i="1148" s="1"/>
  <c r="AQ12" i="2" s="1"/>
  <c r="X7" i="1148"/>
  <c r="X28" i="1148" s="1"/>
  <c r="X44" i="1148" s="1"/>
  <c r="AQ29" i="2" s="1"/>
  <c r="L7" i="1148"/>
  <c r="L28" i="1148" s="1"/>
  <c r="L12" i="1148" s="1"/>
  <c r="AB7" i="1148"/>
  <c r="AB28" i="1148" s="1"/>
  <c r="AB44" i="1148" s="1"/>
  <c r="AQ33" i="2" s="1"/>
  <c r="R12" i="1148"/>
  <c r="R35" i="1148" s="1"/>
  <c r="Y12" i="1148"/>
  <c r="Y35" i="1148" s="1"/>
  <c r="O44" i="1148"/>
  <c r="AQ20" i="2" s="1"/>
  <c r="AM60" i="2"/>
  <c r="AM81" i="2" s="1"/>
  <c r="R7" i="1143"/>
  <c r="R28" i="1143" s="1"/>
  <c r="R44" i="1143" s="1"/>
  <c r="AM23" i="2" s="1"/>
  <c r="R7" i="1144"/>
  <c r="R28" i="1144" s="1"/>
  <c r="AA7" i="1143"/>
  <c r="AA28" i="1143" s="1"/>
  <c r="AA12" i="1143" s="1"/>
  <c r="AA35" i="1143" s="1"/>
  <c r="AA7" i="1144"/>
  <c r="AA28" i="1144" s="1"/>
  <c r="M7" i="1143"/>
  <c r="M28" i="1143" s="1"/>
  <c r="M7" i="1144"/>
  <c r="M28" i="1144" s="1"/>
  <c r="U7" i="1143"/>
  <c r="U28" i="1143" s="1"/>
  <c r="U44" i="1143" s="1"/>
  <c r="AM26" i="2" s="1"/>
  <c r="U7" i="1144"/>
  <c r="U28" i="1144" s="1"/>
  <c r="Z7" i="1143"/>
  <c r="Z28" i="1143" s="1"/>
  <c r="Z44" i="1143" s="1"/>
  <c r="AM31" i="2" s="1"/>
  <c r="Z7" i="1144"/>
  <c r="Z28" i="1144" s="1"/>
  <c r="AD7" i="1143"/>
  <c r="AD28" i="1143" s="1"/>
  <c r="AD12" i="1143" s="1"/>
  <c r="AD35" i="1143" s="1"/>
  <c r="AD7" i="1144"/>
  <c r="AD28" i="1144" s="1"/>
  <c r="Q7" i="1143"/>
  <c r="Q28" i="1143" s="1"/>
  <c r="Q44" i="1143" s="1"/>
  <c r="AM22" i="2" s="1"/>
  <c r="Q7" i="1144"/>
  <c r="Q28" i="1144" s="1"/>
  <c r="V7" i="1143"/>
  <c r="V28" i="1143" s="1"/>
  <c r="V7" i="1144"/>
  <c r="V28" i="1144" s="1"/>
  <c r="J7" i="1143"/>
  <c r="J28" i="1143" s="1"/>
  <c r="J12" i="1143" s="1"/>
  <c r="J7" i="1144"/>
  <c r="J28" i="1144" s="1"/>
  <c r="S7" i="1143"/>
  <c r="S28" i="1143" s="1"/>
  <c r="S44" i="1143" s="1"/>
  <c r="AM24" i="2" s="1"/>
  <c r="S7" i="1144"/>
  <c r="S28" i="1144" s="1"/>
  <c r="G7" i="1143"/>
  <c r="G28" i="1143" s="1"/>
  <c r="G12" i="1143" s="1"/>
  <c r="G7" i="1144"/>
  <c r="G28" i="1144" s="1"/>
  <c r="X7" i="1143"/>
  <c r="X28" i="1143" s="1"/>
  <c r="X7" i="1144"/>
  <c r="X28" i="1144" s="1"/>
  <c r="L7" i="1143"/>
  <c r="L28" i="1143" s="1"/>
  <c r="L12" i="1143" s="1"/>
  <c r="L7" i="1144"/>
  <c r="L28" i="1144" s="1"/>
  <c r="AB7" i="1143"/>
  <c r="AB28" i="1143" s="1"/>
  <c r="AB44" i="1143" s="1"/>
  <c r="AM33" i="2" s="1"/>
  <c r="AB7" i="1144"/>
  <c r="AB28" i="1144" s="1"/>
  <c r="AE7" i="1143"/>
  <c r="AE28" i="1143" s="1"/>
  <c r="AE12" i="1143" s="1"/>
  <c r="AE35" i="1143" s="1"/>
  <c r="AE7" i="1144"/>
  <c r="AE28" i="1144" s="1"/>
  <c r="W7" i="1143"/>
  <c r="W28" i="1143" s="1"/>
  <c r="W12" i="1143" s="1"/>
  <c r="W35" i="1143" s="1"/>
  <c r="W7" i="1144"/>
  <c r="W28" i="1144" s="1"/>
  <c r="AC7" i="1143"/>
  <c r="AC28" i="1143" s="1"/>
  <c r="AC44" i="1143" s="1"/>
  <c r="AM34" i="2" s="1"/>
  <c r="AC7" i="1144"/>
  <c r="AC28" i="1144" s="1"/>
  <c r="Y7" i="1143"/>
  <c r="Y28" i="1143" s="1"/>
  <c r="Y7" i="1144"/>
  <c r="Y28" i="1144" s="1"/>
  <c r="H7" i="1143"/>
  <c r="H28" i="1143" s="1"/>
  <c r="H44" i="1143" s="1"/>
  <c r="AM13" i="2" s="1"/>
  <c r="H7" i="1144"/>
  <c r="H28" i="1144" s="1"/>
  <c r="T7" i="1143"/>
  <c r="T28" i="1143" s="1"/>
  <c r="T7" i="1144"/>
  <c r="T28" i="1144" s="1"/>
  <c r="P7" i="1143"/>
  <c r="P28" i="1143" s="1"/>
  <c r="P7" i="1144"/>
  <c r="P28" i="1144" s="1"/>
  <c r="AL60" i="2"/>
  <c r="O7" i="1143"/>
  <c r="O28" i="1143" s="1"/>
  <c r="O44" i="1143" s="1"/>
  <c r="AM20" i="2" s="1"/>
  <c r="O7" i="1144"/>
  <c r="O28" i="1144" s="1"/>
  <c r="F7" i="1143"/>
  <c r="F28" i="1143" s="1"/>
  <c r="F12" i="1143" s="1"/>
  <c r="F35" i="1143" s="1"/>
  <c r="F7" i="1144"/>
  <c r="F28" i="1144" s="1"/>
  <c r="K7" i="1143"/>
  <c r="K28" i="1143" s="1"/>
  <c r="K44" i="1143" s="1"/>
  <c r="AM16" i="2" s="1"/>
  <c r="K7" i="1144"/>
  <c r="K28" i="1144" s="1"/>
  <c r="N7" i="1143"/>
  <c r="N28" i="1143" s="1"/>
  <c r="N44" i="1143" s="1"/>
  <c r="AM19" i="2" s="1"/>
  <c r="N7" i="1144"/>
  <c r="N28" i="1144" s="1"/>
  <c r="E7" i="1143"/>
  <c r="E28" i="1143" s="1"/>
  <c r="E7" i="1144"/>
  <c r="E28" i="1144" s="1"/>
  <c r="D7" i="1143"/>
  <c r="D28" i="1143" s="1"/>
  <c r="D7" i="1144"/>
  <c r="I7" i="1143"/>
  <c r="I28" i="1143" s="1"/>
  <c r="I44" i="1143" s="1"/>
  <c r="AM14" i="2" s="1"/>
  <c r="I7" i="1144"/>
  <c r="I28" i="1144" s="1"/>
  <c r="F13" i="1143"/>
  <c r="AI60" i="2"/>
  <c r="AI81" i="2" s="1"/>
  <c r="AH60" i="2"/>
  <c r="AE7" i="1141"/>
  <c r="AE28" i="1141" s="1"/>
  <c r="AE12" i="1141" s="1"/>
  <c r="AE35" i="1141" s="1"/>
  <c r="AE7" i="1142"/>
  <c r="AE29" i="1142" s="1"/>
  <c r="W7" i="1141"/>
  <c r="W28" i="1141" s="1"/>
  <c r="W44" i="1141" s="1"/>
  <c r="AI28" i="2" s="1"/>
  <c r="W7" i="1142"/>
  <c r="W29" i="1142" s="1"/>
  <c r="AC7" i="1141"/>
  <c r="AC28" i="1141" s="1"/>
  <c r="AC12" i="1141" s="1"/>
  <c r="AC35" i="1141" s="1"/>
  <c r="AC7" i="1142"/>
  <c r="AC29" i="1142" s="1"/>
  <c r="Y7" i="1141"/>
  <c r="Y28" i="1141" s="1"/>
  <c r="Y44" i="1141" s="1"/>
  <c r="AI30" i="2" s="1"/>
  <c r="Y7" i="1142"/>
  <c r="Y29" i="1142" s="1"/>
  <c r="H7" i="1141"/>
  <c r="H28" i="1141" s="1"/>
  <c r="H12" i="1141" s="1"/>
  <c r="H35" i="1141" s="1"/>
  <c r="H7" i="1142"/>
  <c r="H29" i="1142" s="1"/>
  <c r="T7" i="1141"/>
  <c r="T28" i="1141" s="1"/>
  <c r="T44" i="1141" s="1"/>
  <c r="AI25" i="2" s="1"/>
  <c r="T7" i="1142"/>
  <c r="T29" i="1142" s="1"/>
  <c r="P7" i="1141"/>
  <c r="P28" i="1141" s="1"/>
  <c r="P44" i="1141" s="1"/>
  <c r="AI21" i="2" s="1"/>
  <c r="P7" i="1142"/>
  <c r="P29" i="1142" s="1"/>
  <c r="O7" i="1141"/>
  <c r="O28" i="1141" s="1"/>
  <c r="O44" i="1141" s="1"/>
  <c r="AI20" i="2" s="1"/>
  <c r="O7" i="1142"/>
  <c r="O29" i="1142" s="1"/>
  <c r="F7" i="1141"/>
  <c r="F28" i="1141" s="1"/>
  <c r="F12" i="1141" s="1"/>
  <c r="F35" i="1141" s="1"/>
  <c r="F7" i="1142"/>
  <c r="F29" i="1142" s="1"/>
  <c r="K7" i="1141"/>
  <c r="K28" i="1141" s="1"/>
  <c r="K44" i="1141" s="1"/>
  <c r="AI16" i="2" s="1"/>
  <c r="K7" i="1142"/>
  <c r="K29" i="1142" s="1"/>
  <c r="N7" i="1141"/>
  <c r="N28" i="1141" s="1"/>
  <c r="N44" i="1141" s="1"/>
  <c r="AI19" i="2" s="1"/>
  <c r="N7" i="1142"/>
  <c r="N29" i="1142" s="1"/>
  <c r="E7" i="1141"/>
  <c r="E28" i="1141" s="1"/>
  <c r="E12" i="1141" s="1"/>
  <c r="E35" i="1141" s="1"/>
  <c r="E7" i="1142"/>
  <c r="E29" i="1142" s="1"/>
  <c r="D7" i="1141"/>
  <c r="D28" i="1141" s="1"/>
  <c r="D7" i="1142"/>
  <c r="I7" i="1141"/>
  <c r="I28" i="1141" s="1"/>
  <c r="I12" i="1141" s="1"/>
  <c r="I35" i="1141" s="1"/>
  <c r="I7" i="1142"/>
  <c r="I29" i="1142" s="1"/>
  <c r="R7" i="1141"/>
  <c r="R28" i="1141" s="1"/>
  <c r="R12" i="1141" s="1"/>
  <c r="R35" i="1141" s="1"/>
  <c r="R7" i="1142"/>
  <c r="R29" i="1142" s="1"/>
  <c r="AA7" i="1141"/>
  <c r="AA28" i="1141" s="1"/>
  <c r="AA44" i="1141" s="1"/>
  <c r="AI32" i="2" s="1"/>
  <c r="AA7" i="1142"/>
  <c r="AA29" i="1142" s="1"/>
  <c r="M7" i="1141"/>
  <c r="M28" i="1141" s="1"/>
  <c r="M44" i="1141" s="1"/>
  <c r="AI18" i="2" s="1"/>
  <c r="M7" i="1142"/>
  <c r="M29" i="1142" s="1"/>
  <c r="U7" i="1141"/>
  <c r="U28" i="1141" s="1"/>
  <c r="U44" i="1141" s="1"/>
  <c r="AI26" i="2" s="1"/>
  <c r="U7" i="1142"/>
  <c r="U29" i="1142" s="1"/>
  <c r="Z7" i="1141"/>
  <c r="Z28" i="1141" s="1"/>
  <c r="Z12" i="1141" s="1"/>
  <c r="Z35" i="1141" s="1"/>
  <c r="Z7" i="1142"/>
  <c r="Z29" i="1142" s="1"/>
  <c r="AD7" i="1141"/>
  <c r="AD28" i="1141" s="1"/>
  <c r="AD44" i="1141" s="1"/>
  <c r="AI35" i="2" s="1"/>
  <c r="AD7" i="1142"/>
  <c r="AD29" i="1142" s="1"/>
  <c r="Q7" i="1141"/>
  <c r="Q28" i="1141" s="1"/>
  <c r="Q12" i="1141" s="1"/>
  <c r="Q35" i="1141" s="1"/>
  <c r="Q7" i="1142"/>
  <c r="Q29" i="1142" s="1"/>
  <c r="V7" i="1141"/>
  <c r="V28" i="1141" s="1"/>
  <c r="V44" i="1141" s="1"/>
  <c r="AI27" i="2" s="1"/>
  <c r="V7" i="1142"/>
  <c r="V29" i="1142" s="1"/>
  <c r="J7" i="1141"/>
  <c r="J28" i="1141" s="1"/>
  <c r="J44" i="1141" s="1"/>
  <c r="AI15" i="2" s="1"/>
  <c r="J7" i="1142"/>
  <c r="J29" i="1142" s="1"/>
  <c r="S7" i="1141"/>
  <c r="S28" i="1141" s="1"/>
  <c r="S44" i="1141" s="1"/>
  <c r="AI24" i="2" s="1"/>
  <c r="S7" i="1142"/>
  <c r="S29" i="1142" s="1"/>
  <c r="G7" i="1141"/>
  <c r="G28" i="1141" s="1"/>
  <c r="G12" i="1141" s="1"/>
  <c r="G35" i="1141" s="1"/>
  <c r="G7" i="1142"/>
  <c r="G29" i="1142" s="1"/>
  <c r="X7" i="1141"/>
  <c r="X28" i="1141" s="1"/>
  <c r="X44" i="1141" s="1"/>
  <c r="AI29" i="2" s="1"/>
  <c r="X7" i="1142"/>
  <c r="X29" i="1142" s="1"/>
  <c r="L7" i="1141"/>
  <c r="L28" i="1141" s="1"/>
  <c r="L12" i="1141" s="1"/>
  <c r="L35" i="1141" s="1"/>
  <c r="L7" i="1142"/>
  <c r="L29" i="1142" s="1"/>
  <c r="AB7" i="1141"/>
  <c r="AB28" i="1141" s="1"/>
  <c r="AB44" i="1141" s="1"/>
  <c r="AI33" i="2" s="1"/>
  <c r="AB7" i="1142"/>
  <c r="AB29" i="1142" s="1"/>
  <c r="AG60" i="2"/>
  <c r="AG81" i="2" s="1"/>
  <c r="AF60" i="2"/>
  <c r="AE60" i="2"/>
  <c r="AE81" i="2" s="1"/>
  <c r="O7" i="1139"/>
  <c r="O28" i="1139" s="1"/>
  <c r="O44" i="1139" s="1"/>
  <c r="AE20" i="2" s="1"/>
  <c r="O7" i="1140"/>
  <c r="O28" i="1140" s="1"/>
  <c r="V7" i="1139"/>
  <c r="V28" i="1139" s="1"/>
  <c r="V12" i="1139" s="1"/>
  <c r="V35" i="1139" s="1"/>
  <c r="V7" i="1140"/>
  <c r="V28" i="1140" s="1"/>
  <c r="J7" i="1139"/>
  <c r="J28" i="1139" s="1"/>
  <c r="J44" i="1139" s="1"/>
  <c r="AE15" i="2" s="1"/>
  <c r="J7" i="1140"/>
  <c r="J28" i="1140" s="1"/>
  <c r="S7" i="1139"/>
  <c r="S28" i="1139" s="1"/>
  <c r="S44" i="1139" s="1"/>
  <c r="AE24" i="2" s="1"/>
  <c r="S7" i="1140"/>
  <c r="S28" i="1140" s="1"/>
  <c r="G7" i="1139"/>
  <c r="G28" i="1139" s="1"/>
  <c r="G44" i="1139" s="1"/>
  <c r="AE12" i="2" s="1"/>
  <c r="G7" i="1140"/>
  <c r="G28" i="1140" s="1"/>
  <c r="X7" i="1139"/>
  <c r="X28" i="1139" s="1"/>
  <c r="X44" i="1139" s="1"/>
  <c r="AE29" i="2" s="1"/>
  <c r="X7" i="1140"/>
  <c r="X28" i="1140" s="1"/>
  <c r="L7" i="1139"/>
  <c r="L28" i="1139" s="1"/>
  <c r="L44" i="1139" s="1"/>
  <c r="AE17" i="2" s="1"/>
  <c r="L7" i="1140"/>
  <c r="L28" i="1140" s="1"/>
  <c r="AB7" i="1139"/>
  <c r="AB28" i="1139" s="1"/>
  <c r="AB44" i="1139" s="1"/>
  <c r="AE33" i="2" s="1"/>
  <c r="AB7" i="1140"/>
  <c r="AB28" i="1140" s="1"/>
  <c r="AD60" i="2"/>
  <c r="F7" i="1139"/>
  <c r="F28" i="1139" s="1"/>
  <c r="F12" i="1139" s="1"/>
  <c r="F35" i="1139" s="1"/>
  <c r="F7" i="1140"/>
  <c r="F28" i="1140" s="1"/>
  <c r="K7" i="1139"/>
  <c r="K28" i="1139" s="1"/>
  <c r="K44" i="1139" s="1"/>
  <c r="AE16" i="2" s="1"/>
  <c r="K7" i="1140"/>
  <c r="K28" i="1140" s="1"/>
  <c r="N7" i="1139"/>
  <c r="N28" i="1139" s="1"/>
  <c r="N44" i="1139" s="1"/>
  <c r="AE19" i="2" s="1"/>
  <c r="N7" i="1140"/>
  <c r="N28" i="1140" s="1"/>
  <c r="E7" i="1139"/>
  <c r="E28" i="1139" s="1"/>
  <c r="E12" i="1139" s="1"/>
  <c r="E35" i="1139" s="1"/>
  <c r="E7" i="1140"/>
  <c r="E28" i="1140" s="1"/>
  <c r="D7" i="1139"/>
  <c r="D28" i="1139" s="1"/>
  <c r="D7" i="1140"/>
  <c r="I7" i="1139"/>
  <c r="I28" i="1139" s="1"/>
  <c r="I12" i="1139" s="1"/>
  <c r="I35" i="1139" s="1"/>
  <c r="I7" i="1140"/>
  <c r="I28" i="1140" s="1"/>
  <c r="R7" i="1139"/>
  <c r="R28" i="1139" s="1"/>
  <c r="R12" i="1139" s="1"/>
  <c r="R35" i="1139" s="1"/>
  <c r="R7" i="1140"/>
  <c r="R28" i="1140" s="1"/>
  <c r="AA7" i="1139"/>
  <c r="AA28" i="1139" s="1"/>
  <c r="AA12" i="1139" s="1"/>
  <c r="AA35" i="1139" s="1"/>
  <c r="AA7" i="1140"/>
  <c r="AA28" i="1140" s="1"/>
  <c r="M7" i="1139"/>
  <c r="M28" i="1139" s="1"/>
  <c r="M44" i="1139" s="1"/>
  <c r="AE18" i="2" s="1"/>
  <c r="M7" i="1140"/>
  <c r="M28" i="1140" s="1"/>
  <c r="U7" i="1139"/>
  <c r="U28" i="1139" s="1"/>
  <c r="U44" i="1139" s="1"/>
  <c r="AE26" i="2" s="1"/>
  <c r="U7" i="1140"/>
  <c r="U28" i="1140" s="1"/>
  <c r="Z7" i="1139"/>
  <c r="Z28" i="1139" s="1"/>
  <c r="Z44" i="1139" s="1"/>
  <c r="AE31" i="2" s="1"/>
  <c r="Z7" i="1140"/>
  <c r="Z28" i="1140" s="1"/>
  <c r="AD7" i="1139"/>
  <c r="AD28" i="1139" s="1"/>
  <c r="AD12" i="1139" s="1"/>
  <c r="AD35" i="1139" s="1"/>
  <c r="AD7" i="1140"/>
  <c r="AD28" i="1140" s="1"/>
  <c r="Q7" i="1139"/>
  <c r="Q28" i="1139" s="1"/>
  <c r="Q12" i="1139" s="1"/>
  <c r="Q35" i="1139" s="1"/>
  <c r="Q7" i="1140"/>
  <c r="Q28" i="1140" s="1"/>
  <c r="AE7" i="1139"/>
  <c r="AE28" i="1139" s="1"/>
  <c r="AE7" i="1140"/>
  <c r="AE28" i="1140" s="1"/>
  <c r="W7" i="1139"/>
  <c r="W28" i="1139" s="1"/>
  <c r="W44" i="1139" s="1"/>
  <c r="AE28" i="2" s="1"/>
  <c r="W7" i="1140"/>
  <c r="W28" i="1140" s="1"/>
  <c r="AC7" i="1139"/>
  <c r="AC28" i="1139" s="1"/>
  <c r="AC44" i="1139" s="1"/>
  <c r="AE34" i="2" s="1"/>
  <c r="AC7" i="1140"/>
  <c r="AC28" i="1140" s="1"/>
  <c r="Y7" i="1139"/>
  <c r="Y28" i="1139" s="1"/>
  <c r="Y44" i="1139" s="1"/>
  <c r="AE30" i="2" s="1"/>
  <c r="Y7" i="1140"/>
  <c r="Y28" i="1140" s="1"/>
  <c r="H7" i="1139"/>
  <c r="H28" i="1139" s="1"/>
  <c r="H44" i="1139" s="1"/>
  <c r="AE13" i="2" s="1"/>
  <c r="H7" i="1140"/>
  <c r="H28" i="1140" s="1"/>
  <c r="T7" i="1139"/>
  <c r="T28" i="1139" s="1"/>
  <c r="T44" i="1139" s="1"/>
  <c r="AE25" i="2" s="1"/>
  <c r="T7" i="1140"/>
  <c r="T28" i="1140" s="1"/>
  <c r="P7" i="1139"/>
  <c r="P28" i="1139" s="1"/>
  <c r="P44" i="1139" s="1"/>
  <c r="AE21" i="2" s="1"/>
  <c r="P7" i="1140"/>
  <c r="P28" i="1140" s="1"/>
  <c r="AC60" i="2"/>
  <c r="AC81" i="2" s="1"/>
  <c r="X12" i="1139"/>
  <c r="X35" i="1139" s="1"/>
  <c r="AE44" i="1139"/>
  <c r="AE36" i="2" s="1"/>
  <c r="AB60" i="2"/>
  <c r="Z12" i="1139"/>
  <c r="Z35" i="1139" s="1"/>
  <c r="AA60" i="2"/>
  <c r="AA81" i="2" s="1"/>
  <c r="AC7" i="1137"/>
  <c r="AC28" i="1137" s="1"/>
  <c r="AC44" i="1137" s="1"/>
  <c r="AC7" i="1138"/>
  <c r="AC28" i="1138" s="1"/>
  <c r="T7" i="1137"/>
  <c r="T28" i="1137" s="1"/>
  <c r="T12" i="1137" s="1"/>
  <c r="T35" i="1137" s="1"/>
  <c r="T7" i="1138"/>
  <c r="T28" i="1138" s="1"/>
  <c r="O7" i="1137"/>
  <c r="O28" i="1137" s="1"/>
  <c r="O44" i="1137" s="1"/>
  <c r="O7" i="1138"/>
  <c r="O28" i="1138" s="1"/>
  <c r="F7" i="1137"/>
  <c r="F28" i="1137" s="1"/>
  <c r="F44" i="1137" s="1"/>
  <c r="F7" i="1138"/>
  <c r="F28" i="1138" s="1"/>
  <c r="K7" i="1137"/>
  <c r="K28" i="1137" s="1"/>
  <c r="K44" i="1137" s="1"/>
  <c r="K7" i="1138"/>
  <c r="K28" i="1138" s="1"/>
  <c r="N7" i="1137"/>
  <c r="N28" i="1137" s="1"/>
  <c r="N12" i="1137" s="1"/>
  <c r="N35" i="1137" s="1"/>
  <c r="N7" i="1138"/>
  <c r="N28" i="1138" s="1"/>
  <c r="E7" i="1137"/>
  <c r="E28" i="1137" s="1"/>
  <c r="E44" i="1137" s="1"/>
  <c r="AA10" i="2" s="1"/>
  <c r="E7" i="1138"/>
  <c r="E28" i="1138" s="1"/>
  <c r="D7" i="1137"/>
  <c r="D28" i="1137" s="1"/>
  <c r="D7" i="1138"/>
  <c r="I7" i="1137"/>
  <c r="I28" i="1137" s="1"/>
  <c r="I12" i="1137" s="1"/>
  <c r="I35" i="1137" s="1"/>
  <c r="I7" i="1138"/>
  <c r="I28" i="1138" s="1"/>
  <c r="W7" i="1137"/>
  <c r="W28" i="1137" s="1"/>
  <c r="W44" i="1137" s="1"/>
  <c r="W7" i="1138"/>
  <c r="W28" i="1138" s="1"/>
  <c r="H7" i="1137"/>
  <c r="H28" i="1137" s="1"/>
  <c r="H44" i="1137" s="1"/>
  <c r="H7" i="1138"/>
  <c r="H28" i="1138" s="1"/>
  <c r="Z60" i="2"/>
  <c r="R7" i="1137"/>
  <c r="R28" i="1137" s="1"/>
  <c r="R12" i="1137" s="1"/>
  <c r="R35" i="1137" s="1"/>
  <c r="R7" i="1138"/>
  <c r="R28" i="1138" s="1"/>
  <c r="AA7" i="1137"/>
  <c r="AA28" i="1137" s="1"/>
  <c r="AA12" i="1137" s="1"/>
  <c r="AA35" i="1137" s="1"/>
  <c r="AA7" i="1138"/>
  <c r="AA28" i="1138" s="1"/>
  <c r="M7" i="1137"/>
  <c r="M28" i="1137" s="1"/>
  <c r="M44" i="1137" s="1"/>
  <c r="M7" i="1138"/>
  <c r="M28" i="1138" s="1"/>
  <c r="U7" i="1137"/>
  <c r="U28" i="1137" s="1"/>
  <c r="U44" i="1137" s="1"/>
  <c r="U7" i="1138"/>
  <c r="U28" i="1138" s="1"/>
  <c r="Z7" i="1137"/>
  <c r="Z28" i="1137" s="1"/>
  <c r="Z12" i="1137" s="1"/>
  <c r="Z35" i="1137" s="1"/>
  <c r="Z7" i="1138"/>
  <c r="Z28" i="1138" s="1"/>
  <c r="AD7" i="1137"/>
  <c r="AD28" i="1137" s="1"/>
  <c r="AD12" i="1137" s="1"/>
  <c r="AD35" i="1137" s="1"/>
  <c r="AD7" i="1138"/>
  <c r="AD28" i="1138" s="1"/>
  <c r="Q7" i="1137"/>
  <c r="Q28" i="1137" s="1"/>
  <c r="Q44" i="1137" s="1"/>
  <c r="Q7" i="1138"/>
  <c r="Q28" i="1138" s="1"/>
  <c r="AE7" i="1137"/>
  <c r="AE28" i="1137" s="1"/>
  <c r="AE7" i="1138"/>
  <c r="AE28" i="1138" s="1"/>
  <c r="Y7" i="1137"/>
  <c r="Y28" i="1137" s="1"/>
  <c r="Y44" i="1137" s="1"/>
  <c r="Y7" i="1138"/>
  <c r="Y28" i="1138" s="1"/>
  <c r="P7" i="1137"/>
  <c r="P28" i="1137" s="1"/>
  <c r="P44" i="1137" s="1"/>
  <c r="P7" i="1138"/>
  <c r="P28" i="1138" s="1"/>
  <c r="V7" i="1137"/>
  <c r="V28" i="1137" s="1"/>
  <c r="V44" i="1137" s="1"/>
  <c r="V7" i="1138"/>
  <c r="V28" i="1138" s="1"/>
  <c r="J7" i="1137"/>
  <c r="J28" i="1137" s="1"/>
  <c r="J44" i="1137" s="1"/>
  <c r="J7" i="1138"/>
  <c r="J28" i="1138" s="1"/>
  <c r="S7" i="1137"/>
  <c r="S28" i="1137" s="1"/>
  <c r="S44" i="1137" s="1"/>
  <c r="S7" i="1138"/>
  <c r="S28" i="1138" s="1"/>
  <c r="G7" i="1137"/>
  <c r="G28" i="1137" s="1"/>
  <c r="G12" i="1137" s="1"/>
  <c r="G35" i="1137" s="1"/>
  <c r="G7" i="1138"/>
  <c r="G28" i="1138" s="1"/>
  <c r="X7" i="1137"/>
  <c r="X28" i="1137" s="1"/>
  <c r="X44" i="1137" s="1"/>
  <c r="X7" i="1138"/>
  <c r="X28" i="1138" s="1"/>
  <c r="L7" i="1137"/>
  <c r="L28" i="1137" s="1"/>
  <c r="L7" i="1138"/>
  <c r="L28" i="1138" s="1"/>
  <c r="AB7" i="1137"/>
  <c r="AB28" i="1137" s="1"/>
  <c r="AB12" i="1137" s="1"/>
  <c r="AB35" i="1137" s="1"/>
  <c r="AB7" i="1138"/>
  <c r="AB28" i="1138" s="1"/>
  <c r="R7" i="1135"/>
  <c r="R28" i="1135" s="1"/>
  <c r="R12" i="1135" s="1"/>
  <c r="R35" i="1135" s="1"/>
  <c r="R7" i="1136"/>
  <c r="R28" i="1136" s="1"/>
  <c r="AA7" i="1135"/>
  <c r="AA28" i="1135" s="1"/>
  <c r="AA12" i="1135" s="1"/>
  <c r="AA35" i="1135" s="1"/>
  <c r="AA7" i="1136"/>
  <c r="AA28" i="1136" s="1"/>
  <c r="M7" i="1135"/>
  <c r="M28" i="1135" s="1"/>
  <c r="M12" i="1135" s="1"/>
  <c r="M35" i="1135" s="1"/>
  <c r="M7" i="1136"/>
  <c r="M28" i="1136" s="1"/>
  <c r="U7" i="1135"/>
  <c r="U28" i="1135" s="1"/>
  <c r="U44" i="1135" s="1"/>
  <c r="U7" i="1136"/>
  <c r="U28" i="1136" s="1"/>
  <c r="Z7" i="1135"/>
  <c r="Z28" i="1135" s="1"/>
  <c r="Z12" i="1135" s="1"/>
  <c r="Z35" i="1135" s="1"/>
  <c r="Z7" i="1136"/>
  <c r="Z28" i="1136" s="1"/>
  <c r="AD7" i="1135"/>
  <c r="AD28" i="1135" s="1"/>
  <c r="AD12" i="1135" s="1"/>
  <c r="AD35" i="1135" s="1"/>
  <c r="AD7" i="1136"/>
  <c r="AD28" i="1136" s="1"/>
  <c r="Q7" i="1135"/>
  <c r="Q28" i="1135" s="1"/>
  <c r="Q12" i="1135" s="1"/>
  <c r="Q35" i="1135" s="1"/>
  <c r="Q7" i="1136"/>
  <c r="Q28" i="1136" s="1"/>
  <c r="V7" i="1135"/>
  <c r="V28" i="1135" s="1"/>
  <c r="V12" i="1135" s="1"/>
  <c r="V35" i="1135" s="1"/>
  <c r="V7" i="1136"/>
  <c r="V28" i="1136" s="1"/>
  <c r="J7" i="1135"/>
  <c r="J28" i="1135" s="1"/>
  <c r="J12" i="1135" s="1"/>
  <c r="J35" i="1135" s="1"/>
  <c r="J7" i="1136"/>
  <c r="J28" i="1136" s="1"/>
  <c r="S7" i="1135"/>
  <c r="S28" i="1135" s="1"/>
  <c r="S12" i="1135" s="1"/>
  <c r="S35" i="1135" s="1"/>
  <c r="S7" i="1136"/>
  <c r="S28" i="1136" s="1"/>
  <c r="G7" i="1135"/>
  <c r="G28" i="1135" s="1"/>
  <c r="G12" i="1135" s="1"/>
  <c r="G35" i="1135" s="1"/>
  <c r="G7" i="1136"/>
  <c r="G28" i="1136" s="1"/>
  <c r="X7" i="1135"/>
  <c r="X28" i="1135" s="1"/>
  <c r="X12" i="1135" s="1"/>
  <c r="X35" i="1135" s="1"/>
  <c r="X7" i="1136"/>
  <c r="X28" i="1136" s="1"/>
  <c r="L7" i="1135"/>
  <c r="L28" i="1135" s="1"/>
  <c r="L12" i="1135" s="1"/>
  <c r="L35" i="1135" s="1"/>
  <c r="L7" i="1136"/>
  <c r="L28" i="1136" s="1"/>
  <c r="AB7" i="1135"/>
  <c r="AB28" i="1135" s="1"/>
  <c r="AB12" i="1135" s="1"/>
  <c r="AB35" i="1135" s="1"/>
  <c r="AB7" i="1136"/>
  <c r="AB28" i="1136" s="1"/>
  <c r="AE7" i="1135"/>
  <c r="AE28" i="1135" s="1"/>
  <c r="AE12" i="1135" s="1"/>
  <c r="AE35" i="1135" s="1"/>
  <c r="AE7" i="1136"/>
  <c r="AE28" i="1136" s="1"/>
  <c r="W7" i="1135"/>
  <c r="W28" i="1135" s="1"/>
  <c r="W12" i="1135" s="1"/>
  <c r="W35" i="1135" s="1"/>
  <c r="W7" i="1136"/>
  <c r="W28" i="1136" s="1"/>
  <c r="AC7" i="1135"/>
  <c r="AC28" i="1135" s="1"/>
  <c r="AC12" i="1135" s="1"/>
  <c r="AC35" i="1135" s="1"/>
  <c r="AC7" i="1136"/>
  <c r="AC28" i="1136" s="1"/>
  <c r="Y7" i="1135"/>
  <c r="Y28" i="1135" s="1"/>
  <c r="Y44" i="1135" s="1"/>
  <c r="Y7" i="1136"/>
  <c r="Y28" i="1136" s="1"/>
  <c r="H7" i="1135"/>
  <c r="H28" i="1135" s="1"/>
  <c r="H12" i="1135" s="1"/>
  <c r="H35" i="1135" s="1"/>
  <c r="H7" i="1136"/>
  <c r="H28" i="1136" s="1"/>
  <c r="T7" i="1135"/>
  <c r="T28" i="1135" s="1"/>
  <c r="T12" i="1135" s="1"/>
  <c r="T35" i="1135" s="1"/>
  <c r="T7" i="1136"/>
  <c r="T28" i="1136" s="1"/>
  <c r="P7" i="1135"/>
  <c r="P28" i="1135" s="1"/>
  <c r="P12" i="1135" s="1"/>
  <c r="P35" i="1135" s="1"/>
  <c r="P7" i="1136"/>
  <c r="P28" i="1136" s="1"/>
  <c r="O7" i="1135"/>
  <c r="O28" i="1135" s="1"/>
  <c r="O12" i="1135" s="1"/>
  <c r="O35" i="1135" s="1"/>
  <c r="O7" i="1136"/>
  <c r="O28" i="1136" s="1"/>
  <c r="F7" i="1135"/>
  <c r="F28" i="1135" s="1"/>
  <c r="F12" i="1135" s="1"/>
  <c r="F35" i="1135" s="1"/>
  <c r="F7" i="1136"/>
  <c r="F28" i="1136" s="1"/>
  <c r="K7" i="1135"/>
  <c r="K28" i="1135" s="1"/>
  <c r="K12" i="1135" s="1"/>
  <c r="K35" i="1135" s="1"/>
  <c r="K7" i="1136"/>
  <c r="K28" i="1136" s="1"/>
  <c r="N7" i="1135"/>
  <c r="N28" i="1135" s="1"/>
  <c r="N12" i="1135" s="1"/>
  <c r="N35" i="1135" s="1"/>
  <c r="N7" i="1136"/>
  <c r="N28" i="1136" s="1"/>
  <c r="E7" i="1135"/>
  <c r="E28" i="1135" s="1"/>
  <c r="E12" i="1135" s="1"/>
  <c r="E7" i="1136"/>
  <c r="E28" i="1136" s="1"/>
  <c r="D7" i="1135"/>
  <c r="D7" i="1136"/>
  <c r="I7" i="1135"/>
  <c r="I28" i="1135" s="1"/>
  <c r="I44" i="1135" s="1"/>
  <c r="I7" i="1136"/>
  <c r="I28" i="1136" s="1"/>
  <c r="R44" i="1135"/>
  <c r="R7" i="1133"/>
  <c r="R28" i="1133" s="1"/>
  <c r="R12" i="1133" s="1"/>
  <c r="R35" i="1133" s="1"/>
  <c r="R7" i="1134"/>
  <c r="R28" i="1134" s="1"/>
  <c r="AA7" i="1133"/>
  <c r="AA28" i="1133" s="1"/>
  <c r="AA12" i="1133" s="1"/>
  <c r="AA35" i="1133" s="1"/>
  <c r="AA7" i="1134"/>
  <c r="AA28" i="1134" s="1"/>
  <c r="M7" i="1133"/>
  <c r="M28" i="1133" s="1"/>
  <c r="M12" i="1133" s="1"/>
  <c r="M35" i="1133" s="1"/>
  <c r="M7" i="1134"/>
  <c r="M28" i="1134" s="1"/>
  <c r="U7" i="1133"/>
  <c r="U28" i="1133" s="1"/>
  <c r="U12" i="1133" s="1"/>
  <c r="U35" i="1133" s="1"/>
  <c r="U7" i="1134"/>
  <c r="U28" i="1134" s="1"/>
  <c r="Z7" i="1133"/>
  <c r="Z28" i="1133" s="1"/>
  <c r="Z12" i="1133" s="1"/>
  <c r="Z35" i="1133" s="1"/>
  <c r="Z7" i="1134"/>
  <c r="Z28" i="1134" s="1"/>
  <c r="AD7" i="1133"/>
  <c r="AD28" i="1133" s="1"/>
  <c r="AD12" i="1133" s="1"/>
  <c r="AD35" i="1133" s="1"/>
  <c r="AD7" i="1134"/>
  <c r="AD28" i="1134" s="1"/>
  <c r="Q7" i="1133"/>
  <c r="Q28" i="1133" s="1"/>
  <c r="Q12" i="1133" s="1"/>
  <c r="Q35" i="1133" s="1"/>
  <c r="Q7" i="1134"/>
  <c r="Q28" i="1134" s="1"/>
  <c r="V7" i="1133"/>
  <c r="V28" i="1133" s="1"/>
  <c r="V12" i="1133" s="1"/>
  <c r="V35" i="1133" s="1"/>
  <c r="V7" i="1134"/>
  <c r="V28" i="1134" s="1"/>
  <c r="J7" i="1133"/>
  <c r="J28" i="1133" s="1"/>
  <c r="J12" i="1133" s="1"/>
  <c r="J35" i="1133" s="1"/>
  <c r="J7" i="1134"/>
  <c r="J28" i="1134" s="1"/>
  <c r="S7" i="1133"/>
  <c r="S28" i="1133" s="1"/>
  <c r="S12" i="1133" s="1"/>
  <c r="S35" i="1133" s="1"/>
  <c r="S7" i="1134"/>
  <c r="S28" i="1134" s="1"/>
  <c r="G7" i="1133"/>
  <c r="G28" i="1133" s="1"/>
  <c r="G12" i="1133" s="1"/>
  <c r="G35" i="1133" s="1"/>
  <c r="G7" i="1134"/>
  <c r="G28" i="1134" s="1"/>
  <c r="X7" i="1133"/>
  <c r="X28" i="1133" s="1"/>
  <c r="X12" i="1133" s="1"/>
  <c r="X35" i="1133" s="1"/>
  <c r="X7" i="1134"/>
  <c r="X28" i="1134" s="1"/>
  <c r="L7" i="1133"/>
  <c r="L28" i="1133" s="1"/>
  <c r="L12" i="1133" s="1"/>
  <c r="L35" i="1133" s="1"/>
  <c r="L7" i="1134"/>
  <c r="L28" i="1134" s="1"/>
  <c r="AB7" i="1133"/>
  <c r="AB28" i="1133" s="1"/>
  <c r="AB12" i="1133" s="1"/>
  <c r="AB35" i="1133" s="1"/>
  <c r="AB7" i="1134"/>
  <c r="AB28" i="1134" s="1"/>
  <c r="AE7" i="1133"/>
  <c r="AE28" i="1133" s="1"/>
  <c r="AE12" i="1133" s="1"/>
  <c r="AE35" i="1133" s="1"/>
  <c r="AE7" i="1134"/>
  <c r="AE28" i="1134" s="1"/>
  <c r="W7" i="1133"/>
  <c r="W28" i="1133" s="1"/>
  <c r="W12" i="1133" s="1"/>
  <c r="W35" i="1133" s="1"/>
  <c r="W7" i="1134"/>
  <c r="W28" i="1134" s="1"/>
  <c r="AC7" i="1133"/>
  <c r="AC28" i="1133" s="1"/>
  <c r="AC12" i="1133" s="1"/>
  <c r="AC35" i="1133" s="1"/>
  <c r="AC7" i="1134"/>
  <c r="AC28" i="1134" s="1"/>
  <c r="Y7" i="1133"/>
  <c r="Y28" i="1133" s="1"/>
  <c r="Y12" i="1133" s="1"/>
  <c r="Y35" i="1133" s="1"/>
  <c r="Y7" i="1134"/>
  <c r="Y28" i="1134" s="1"/>
  <c r="H7" i="1133"/>
  <c r="H28" i="1133" s="1"/>
  <c r="H12" i="1133" s="1"/>
  <c r="H35" i="1133" s="1"/>
  <c r="H7" i="1134"/>
  <c r="H28" i="1134" s="1"/>
  <c r="T7" i="1133"/>
  <c r="T28" i="1133" s="1"/>
  <c r="T44" i="1133" s="1"/>
  <c r="T7" i="1134"/>
  <c r="T28" i="1134" s="1"/>
  <c r="P7" i="1133"/>
  <c r="P28" i="1133" s="1"/>
  <c r="P44" i="1133" s="1"/>
  <c r="S21" i="2" s="1"/>
  <c r="P7" i="1134"/>
  <c r="P28" i="1134" s="1"/>
  <c r="O7" i="1133"/>
  <c r="O28" i="1133" s="1"/>
  <c r="O12" i="1133" s="1"/>
  <c r="O35" i="1133" s="1"/>
  <c r="O7" i="1134"/>
  <c r="O28" i="1134" s="1"/>
  <c r="F7" i="1133"/>
  <c r="F28" i="1133" s="1"/>
  <c r="F12" i="1133" s="1"/>
  <c r="F35" i="1133" s="1"/>
  <c r="F7" i="1134"/>
  <c r="F28" i="1134" s="1"/>
  <c r="K7" i="1133"/>
  <c r="K28" i="1133" s="1"/>
  <c r="K44" i="1133" s="1"/>
  <c r="S16" i="2" s="1"/>
  <c r="K7" i="1134"/>
  <c r="K28" i="1134" s="1"/>
  <c r="N7" i="1133"/>
  <c r="N28" i="1133" s="1"/>
  <c r="N12" i="1133" s="1"/>
  <c r="N35" i="1133" s="1"/>
  <c r="N7" i="1134"/>
  <c r="N28" i="1134" s="1"/>
  <c r="E7" i="1133"/>
  <c r="E28" i="1133" s="1"/>
  <c r="E12" i="1133" s="1"/>
  <c r="E35" i="1133" s="1"/>
  <c r="E7" i="1134"/>
  <c r="E28" i="1134" s="1"/>
  <c r="D7" i="1133"/>
  <c r="D28" i="1133" s="1"/>
  <c r="D7" i="1134"/>
  <c r="I7" i="1133"/>
  <c r="I28" i="1133" s="1"/>
  <c r="I12" i="1133" s="1"/>
  <c r="I35" i="1133" s="1"/>
  <c r="I7" i="1134"/>
  <c r="I28" i="1134" s="1"/>
  <c r="R44" i="1133"/>
  <c r="R7" i="1131"/>
  <c r="R29" i="1131" s="1"/>
  <c r="R12" i="1131" s="1"/>
  <c r="R36" i="1131" s="1"/>
  <c r="R7" i="1132"/>
  <c r="R28" i="1132" s="1"/>
  <c r="AA7" i="1131"/>
  <c r="AA29" i="1131" s="1"/>
  <c r="AA12" i="1131" s="1"/>
  <c r="AA36" i="1131" s="1"/>
  <c r="AA7" i="1132"/>
  <c r="AA28" i="1132" s="1"/>
  <c r="M7" i="1131"/>
  <c r="M29" i="1131" s="1"/>
  <c r="M12" i="1131" s="1"/>
  <c r="M36" i="1131" s="1"/>
  <c r="M7" i="1132"/>
  <c r="M28" i="1132" s="1"/>
  <c r="U7" i="1131"/>
  <c r="U29" i="1131" s="1"/>
  <c r="U45" i="1131" s="1"/>
  <c r="O26" i="2" s="1"/>
  <c r="U7" i="1132"/>
  <c r="U28" i="1132" s="1"/>
  <c r="Z7" i="1131"/>
  <c r="Z29" i="1131" s="1"/>
  <c r="Z45" i="1131" s="1"/>
  <c r="O31" i="2" s="1"/>
  <c r="Z7" i="1132"/>
  <c r="Z28" i="1132" s="1"/>
  <c r="AD7" i="1131"/>
  <c r="AD29" i="1131" s="1"/>
  <c r="AD45" i="1131" s="1"/>
  <c r="AD7" i="1132"/>
  <c r="AD28" i="1132" s="1"/>
  <c r="Q7" i="1131"/>
  <c r="Q29" i="1131" s="1"/>
  <c r="Q45" i="1131" s="1"/>
  <c r="Q7" i="1132"/>
  <c r="Q28" i="1132" s="1"/>
  <c r="V7" i="1131"/>
  <c r="V29" i="1131" s="1"/>
  <c r="V45" i="1131" s="1"/>
  <c r="V7" i="1132"/>
  <c r="V28" i="1132" s="1"/>
  <c r="J7" i="1131"/>
  <c r="J29" i="1131" s="1"/>
  <c r="J45" i="1131" s="1"/>
  <c r="J7" i="1132"/>
  <c r="J28" i="1132" s="1"/>
  <c r="S7" i="1131"/>
  <c r="S29" i="1131" s="1"/>
  <c r="S45" i="1131" s="1"/>
  <c r="S7" i="1132"/>
  <c r="S28" i="1132" s="1"/>
  <c r="G7" i="1131"/>
  <c r="G29" i="1131" s="1"/>
  <c r="G45" i="1131" s="1"/>
  <c r="G7" i="1132"/>
  <c r="G28" i="1132" s="1"/>
  <c r="X7" i="1131"/>
  <c r="X29" i="1131" s="1"/>
  <c r="X45" i="1131" s="1"/>
  <c r="X7" i="1132"/>
  <c r="X28" i="1132" s="1"/>
  <c r="L7" i="1131"/>
  <c r="L29" i="1131" s="1"/>
  <c r="L45" i="1131" s="1"/>
  <c r="L7" i="1132"/>
  <c r="L28" i="1132" s="1"/>
  <c r="AB7" i="1131"/>
  <c r="AB29" i="1131" s="1"/>
  <c r="AB45" i="1131" s="1"/>
  <c r="AB7" i="1132"/>
  <c r="AB28" i="1132" s="1"/>
  <c r="AE7" i="1131"/>
  <c r="AE29" i="1131" s="1"/>
  <c r="AE45" i="1131" s="1"/>
  <c r="AE7" i="1132"/>
  <c r="AE28" i="1132" s="1"/>
  <c r="W7" i="1131"/>
  <c r="W29" i="1131" s="1"/>
  <c r="W45" i="1131" s="1"/>
  <c r="W7" i="1132"/>
  <c r="W28" i="1132" s="1"/>
  <c r="AC7" i="1131"/>
  <c r="AC29" i="1131" s="1"/>
  <c r="AC45" i="1131" s="1"/>
  <c r="AC7" i="1132"/>
  <c r="AC28" i="1132" s="1"/>
  <c r="Y7" i="1131"/>
  <c r="Y29" i="1131" s="1"/>
  <c r="Y45" i="1131" s="1"/>
  <c r="Y7" i="1132"/>
  <c r="Y28" i="1132" s="1"/>
  <c r="H7" i="1131"/>
  <c r="H29" i="1131" s="1"/>
  <c r="H45" i="1131" s="1"/>
  <c r="H7" i="1132"/>
  <c r="H28" i="1132" s="1"/>
  <c r="T7" i="1131"/>
  <c r="T29" i="1131" s="1"/>
  <c r="T45" i="1131" s="1"/>
  <c r="T7" i="1132"/>
  <c r="T28" i="1132" s="1"/>
  <c r="P7" i="1131"/>
  <c r="P29" i="1131" s="1"/>
  <c r="P45" i="1131" s="1"/>
  <c r="P7" i="1132"/>
  <c r="P28" i="1132" s="1"/>
  <c r="O7" i="1131"/>
  <c r="O29" i="1131" s="1"/>
  <c r="O12" i="1131" s="1"/>
  <c r="O7" i="1132"/>
  <c r="O28" i="1132" s="1"/>
  <c r="F7" i="1131"/>
  <c r="F29" i="1131" s="1"/>
  <c r="F12" i="1131" s="1"/>
  <c r="F36" i="1131" s="1"/>
  <c r="F7" i="1132"/>
  <c r="F28" i="1132" s="1"/>
  <c r="K7" i="1131"/>
  <c r="K29" i="1131" s="1"/>
  <c r="K12" i="1131" s="1"/>
  <c r="K36" i="1131" s="1"/>
  <c r="K7" i="1132"/>
  <c r="K28" i="1132" s="1"/>
  <c r="N7" i="1131"/>
  <c r="N29" i="1131" s="1"/>
  <c r="N45" i="1131" s="1"/>
  <c r="N7" i="1132"/>
  <c r="N28" i="1132" s="1"/>
  <c r="E7" i="1131"/>
  <c r="E29" i="1131" s="1"/>
  <c r="E12" i="1131" s="1"/>
  <c r="E36" i="1131" s="1"/>
  <c r="E7" i="1132"/>
  <c r="E28" i="1132" s="1"/>
  <c r="D7" i="1131"/>
  <c r="D7" i="1132"/>
  <c r="I7" i="1131"/>
  <c r="I29" i="1131" s="1"/>
  <c r="I45" i="1131" s="1"/>
  <c r="I7" i="1132"/>
  <c r="I28" i="1132" s="1"/>
  <c r="R45" i="1131"/>
  <c r="AC7" i="1129"/>
  <c r="AC28" i="1129" s="1"/>
  <c r="AC44" i="1129" s="1"/>
  <c r="AC7" i="1130"/>
  <c r="AC28" i="1130" s="1"/>
  <c r="P7" i="1129"/>
  <c r="P28" i="1129" s="1"/>
  <c r="P44" i="1129" s="1"/>
  <c r="P7" i="1130"/>
  <c r="P28" i="1130" s="1"/>
  <c r="R7" i="1129"/>
  <c r="R28" i="1129" s="1"/>
  <c r="R12" i="1129" s="1"/>
  <c r="R7" i="1130"/>
  <c r="R28" i="1130" s="1"/>
  <c r="AA7" i="1129"/>
  <c r="AA28" i="1129" s="1"/>
  <c r="AA44" i="1129" s="1"/>
  <c r="AA7" i="1130"/>
  <c r="AA28" i="1130" s="1"/>
  <c r="M7" i="1129"/>
  <c r="M28" i="1129" s="1"/>
  <c r="M44" i="1129" s="1"/>
  <c r="M7" i="1130"/>
  <c r="M28" i="1130" s="1"/>
  <c r="U7" i="1129"/>
  <c r="U28" i="1129" s="1"/>
  <c r="U12" i="1129" s="1"/>
  <c r="U35" i="1129" s="1"/>
  <c r="U7" i="1130"/>
  <c r="U28" i="1130" s="1"/>
  <c r="Z7" i="1129"/>
  <c r="Z28" i="1129" s="1"/>
  <c r="Z44" i="1129" s="1"/>
  <c r="K31" i="2" s="1"/>
  <c r="Z7" i="1130"/>
  <c r="Z28" i="1130" s="1"/>
  <c r="AD7" i="1129"/>
  <c r="AD28" i="1129" s="1"/>
  <c r="AD44" i="1129" s="1"/>
  <c r="AD7" i="1130"/>
  <c r="AD28" i="1130" s="1"/>
  <c r="Q7" i="1129"/>
  <c r="Q28" i="1129" s="1"/>
  <c r="Q44" i="1129" s="1"/>
  <c r="Q7" i="1130"/>
  <c r="Q28" i="1130" s="1"/>
  <c r="V7" i="1129"/>
  <c r="V28" i="1129" s="1"/>
  <c r="V12" i="1129" s="1"/>
  <c r="V35" i="1129" s="1"/>
  <c r="V7" i="1130"/>
  <c r="V28" i="1130" s="1"/>
  <c r="J7" i="1129"/>
  <c r="J28" i="1129" s="1"/>
  <c r="J12" i="1129" s="1"/>
  <c r="J7" i="1130"/>
  <c r="J28" i="1130" s="1"/>
  <c r="S7" i="1129"/>
  <c r="S28" i="1129" s="1"/>
  <c r="S12" i="1129" s="1"/>
  <c r="S35" i="1129" s="1"/>
  <c r="S7" i="1130"/>
  <c r="S28" i="1130" s="1"/>
  <c r="G7" i="1129"/>
  <c r="G28" i="1129" s="1"/>
  <c r="G12" i="1129" s="1"/>
  <c r="G35" i="1129" s="1"/>
  <c r="G7" i="1130"/>
  <c r="G28" i="1130" s="1"/>
  <c r="X7" i="1129"/>
  <c r="X28" i="1129" s="1"/>
  <c r="X44" i="1129" s="1"/>
  <c r="X7" i="1130"/>
  <c r="X28" i="1130" s="1"/>
  <c r="L7" i="1129"/>
  <c r="L28" i="1129" s="1"/>
  <c r="L12" i="1129" s="1"/>
  <c r="L35" i="1129" s="1"/>
  <c r="L7" i="1130"/>
  <c r="L28" i="1130" s="1"/>
  <c r="AB7" i="1129"/>
  <c r="AB28" i="1129" s="1"/>
  <c r="AB12" i="1129" s="1"/>
  <c r="AB35" i="1129" s="1"/>
  <c r="AB7" i="1130"/>
  <c r="AB28" i="1130" s="1"/>
  <c r="AE7" i="1129"/>
  <c r="AE28" i="1129" s="1"/>
  <c r="AE12" i="1129" s="1"/>
  <c r="AE35" i="1129" s="1"/>
  <c r="AE7" i="1130"/>
  <c r="AE28" i="1130" s="1"/>
  <c r="W7" i="1129"/>
  <c r="W28" i="1129" s="1"/>
  <c r="W44" i="1129" s="1"/>
  <c r="W7" i="1130"/>
  <c r="W28" i="1130" s="1"/>
  <c r="Y7" i="1129"/>
  <c r="Y28" i="1129" s="1"/>
  <c r="Y44" i="1129" s="1"/>
  <c r="Y7" i="1130"/>
  <c r="Y28" i="1130" s="1"/>
  <c r="H7" i="1129"/>
  <c r="H28" i="1129" s="1"/>
  <c r="H44" i="1129" s="1"/>
  <c r="H7" i="1130"/>
  <c r="H28" i="1130" s="1"/>
  <c r="T7" i="1129"/>
  <c r="T28" i="1129" s="1"/>
  <c r="T44" i="1129" s="1"/>
  <c r="K25" i="2" s="1"/>
  <c r="T7" i="1130"/>
  <c r="T28" i="1130" s="1"/>
  <c r="O7" i="1129"/>
  <c r="O28" i="1129" s="1"/>
  <c r="O44" i="1129" s="1"/>
  <c r="O7" i="1130"/>
  <c r="O28" i="1130" s="1"/>
  <c r="F7" i="1129"/>
  <c r="F28" i="1129" s="1"/>
  <c r="F44" i="1129" s="1"/>
  <c r="F7" i="1130"/>
  <c r="F28" i="1130" s="1"/>
  <c r="K7" i="1129"/>
  <c r="K28" i="1129" s="1"/>
  <c r="K12" i="1129" s="1"/>
  <c r="K35" i="1129" s="1"/>
  <c r="K7" i="1130"/>
  <c r="K28" i="1130" s="1"/>
  <c r="N7" i="1129"/>
  <c r="N28" i="1129" s="1"/>
  <c r="N44" i="1129" s="1"/>
  <c r="N7" i="1130"/>
  <c r="N28" i="1130" s="1"/>
  <c r="E7" i="1129"/>
  <c r="E28" i="1129" s="1"/>
  <c r="E12" i="1129" s="1"/>
  <c r="E35" i="1129" s="1"/>
  <c r="E7" i="1130"/>
  <c r="E28" i="1130" s="1"/>
  <c r="D7" i="1129"/>
  <c r="D7" i="1130"/>
  <c r="I7" i="1129"/>
  <c r="I28" i="1129" s="1"/>
  <c r="I44" i="1129" s="1"/>
  <c r="I7" i="1130"/>
  <c r="I28" i="1130" s="1"/>
  <c r="AA7" i="1127"/>
  <c r="AA28" i="1127" s="1"/>
  <c r="AA44" i="1127" s="1"/>
  <c r="AA7" i="1128"/>
  <c r="AA28" i="1128" s="1"/>
  <c r="AD7" i="1127"/>
  <c r="AD28" i="1127" s="1"/>
  <c r="AD12" i="1127" s="1"/>
  <c r="AD35" i="1127" s="1"/>
  <c r="AD7" i="1128"/>
  <c r="AD28" i="1128" s="1"/>
  <c r="R7" i="1127"/>
  <c r="R28" i="1127" s="1"/>
  <c r="R12" i="1127" s="1"/>
  <c r="R35" i="1127" s="1"/>
  <c r="R7" i="1128"/>
  <c r="R28" i="1128" s="1"/>
  <c r="M7" i="1127"/>
  <c r="M28" i="1127" s="1"/>
  <c r="M12" i="1127" s="1"/>
  <c r="M35" i="1127" s="1"/>
  <c r="M7" i="1128"/>
  <c r="M28" i="1128" s="1"/>
  <c r="Z7" i="1127"/>
  <c r="Z28" i="1127" s="1"/>
  <c r="Z12" i="1127" s="1"/>
  <c r="Z35" i="1127" s="1"/>
  <c r="Z7" i="1128"/>
  <c r="Z28" i="1128" s="1"/>
  <c r="Q7" i="1127"/>
  <c r="Q28" i="1127" s="1"/>
  <c r="Q12" i="1127" s="1"/>
  <c r="Q35" i="1127" s="1"/>
  <c r="Q7" i="1128"/>
  <c r="Q28" i="1128" s="1"/>
  <c r="V7" i="1127"/>
  <c r="V28" i="1127" s="1"/>
  <c r="V12" i="1127" s="1"/>
  <c r="V35" i="1127" s="1"/>
  <c r="V7" i="1128"/>
  <c r="V28" i="1128" s="1"/>
  <c r="J7" i="1127"/>
  <c r="J28" i="1127" s="1"/>
  <c r="J12" i="1127" s="1"/>
  <c r="J35" i="1127" s="1"/>
  <c r="J7" i="1128"/>
  <c r="J28" i="1128" s="1"/>
  <c r="S7" i="1127"/>
  <c r="S28" i="1127" s="1"/>
  <c r="S12" i="1127" s="1"/>
  <c r="S35" i="1127" s="1"/>
  <c r="S7" i="1128"/>
  <c r="S28" i="1128" s="1"/>
  <c r="G7" i="1127"/>
  <c r="G28" i="1127" s="1"/>
  <c r="G12" i="1127" s="1"/>
  <c r="G35" i="1127" s="1"/>
  <c r="G7" i="1128"/>
  <c r="G28" i="1128" s="1"/>
  <c r="X7" i="1127"/>
  <c r="X28" i="1127" s="1"/>
  <c r="X12" i="1127" s="1"/>
  <c r="X35" i="1127" s="1"/>
  <c r="X7" i="1128"/>
  <c r="X28" i="1128" s="1"/>
  <c r="L7" i="1127"/>
  <c r="L28" i="1127" s="1"/>
  <c r="L12" i="1127" s="1"/>
  <c r="L35" i="1127" s="1"/>
  <c r="L7" i="1128"/>
  <c r="L28" i="1128" s="1"/>
  <c r="AB7" i="1127"/>
  <c r="AB28" i="1127" s="1"/>
  <c r="AB12" i="1127" s="1"/>
  <c r="AB35" i="1127" s="1"/>
  <c r="AB7" i="1128"/>
  <c r="AB28" i="1128" s="1"/>
  <c r="U7" i="1127"/>
  <c r="U28" i="1127" s="1"/>
  <c r="U44" i="1127" s="1"/>
  <c r="U7" i="1128"/>
  <c r="U28" i="1128" s="1"/>
  <c r="AE7" i="1127"/>
  <c r="AE28" i="1127" s="1"/>
  <c r="AE12" i="1127" s="1"/>
  <c r="AE35" i="1127" s="1"/>
  <c r="AE7" i="1128"/>
  <c r="AE28" i="1128" s="1"/>
  <c r="W7" i="1127"/>
  <c r="W28" i="1127" s="1"/>
  <c r="W44" i="1127" s="1"/>
  <c r="W7" i="1128"/>
  <c r="W28" i="1128" s="1"/>
  <c r="AC7" i="1127"/>
  <c r="AC28" i="1127" s="1"/>
  <c r="AC12" i="1127" s="1"/>
  <c r="AC35" i="1127" s="1"/>
  <c r="AC7" i="1128"/>
  <c r="AC28" i="1128" s="1"/>
  <c r="Y7" i="1127"/>
  <c r="Y28" i="1127" s="1"/>
  <c r="Y44" i="1127" s="1"/>
  <c r="Y7" i="1128"/>
  <c r="Y28" i="1128" s="1"/>
  <c r="H7" i="1127"/>
  <c r="H28" i="1127" s="1"/>
  <c r="H12" i="1127" s="1"/>
  <c r="H35" i="1127" s="1"/>
  <c r="H7" i="1128"/>
  <c r="H28" i="1128" s="1"/>
  <c r="T7" i="1127"/>
  <c r="T28" i="1127" s="1"/>
  <c r="T44" i="1127" s="1"/>
  <c r="T7" i="1128"/>
  <c r="T28" i="1128" s="1"/>
  <c r="P7" i="1127"/>
  <c r="P28" i="1127" s="1"/>
  <c r="P12" i="1127" s="1"/>
  <c r="P35" i="1127" s="1"/>
  <c r="P7" i="1128"/>
  <c r="P28" i="1128" s="1"/>
  <c r="O7" i="1127"/>
  <c r="O28" i="1127" s="1"/>
  <c r="O44" i="1127" s="1"/>
  <c r="G20" i="2" s="1"/>
  <c r="O7" i="1128"/>
  <c r="O28" i="1128" s="1"/>
  <c r="F7" i="1127"/>
  <c r="F28" i="1127" s="1"/>
  <c r="F12" i="1127" s="1"/>
  <c r="F35" i="1127" s="1"/>
  <c r="F7" i="1128"/>
  <c r="F28" i="1128" s="1"/>
  <c r="K7" i="1127"/>
  <c r="K28" i="1127" s="1"/>
  <c r="K12" i="1127" s="1"/>
  <c r="K35" i="1127" s="1"/>
  <c r="K7" i="1128"/>
  <c r="K28" i="1128" s="1"/>
  <c r="N7" i="1127"/>
  <c r="N28" i="1127" s="1"/>
  <c r="N44" i="1127" s="1"/>
  <c r="G19" i="2" s="1"/>
  <c r="N7" i="1128"/>
  <c r="N28" i="1128" s="1"/>
  <c r="E7" i="1127"/>
  <c r="E28" i="1127" s="1"/>
  <c r="E12" i="1127" s="1"/>
  <c r="E35" i="1127" s="1"/>
  <c r="E7" i="1128"/>
  <c r="E28" i="1128" s="1"/>
  <c r="D7" i="1127"/>
  <c r="D28" i="1127" s="1"/>
  <c r="D7" i="1128"/>
  <c r="I7" i="1127"/>
  <c r="I28" i="1127" s="1"/>
  <c r="I44" i="1127" s="1"/>
  <c r="G14" i="2" s="1"/>
  <c r="I7" i="1128"/>
  <c r="I28" i="1128" s="1"/>
  <c r="R44" i="1127"/>
  <c r="DW6" i="19"/>
  <c r="M113" i="19" s="1"/>
  <c r="DU6" i="19"/>
  <c r="M111" i="19" s="1"/>
  <c r="DS6" i="19"/>
  <c r="M109" i="19" s="1"/>
  <c r="CK6" i="19"/>
  <c r="M75" i="19" s="1"/>
  <c r="AB6" i="20"/>
  <c r="N13" i="20" s="1"/>
  <c r="Y6" i="20"/>
  <c r="N10" i="20" s="1"/>
  <c r="AT6" i="19"/>
  <c r="M32" i="19" s="1"/>
  <c r="CI6" i="19"/>
  <c r="M73" i="19" s="1"/>
  <c r="DV6" i="19"/>
  <c r="M112" i="19" s="1"/>
  <c r="EA6" i="19"/>
  <c r="M117" i="19" s="1"/>
  <c r="BJ6" i="19"/>
  <c r="M48" i="19" s="1"/>
  <c r="DD6" i="19"/>
  <c r="M94" i="19" s="1"/>
  <c r="CZ6" i="19"/>
  <c r="M90" i="19" s="1"/>
  <c r="BL6" i="19"/>
  <c r="M50" i="19" s="1"/>
  <c r="BO6" i="19"/>
  <c r="M53" i="19" s="1"/>
  <c r="CG6" i="19"/>
  <c r="M71" i="19" s="1"/>
  <c r="BK6" i="19"/>
  <c r="M49" i="19" s="1"/>
  <c r="BR6" i="19"/>
  <c r="M56" i="19" s="1"/>
  <c r="CH6" i="19"/>
  <c r="M72" i="19" s="1"/>
  <c r="CM6" i="19"/>
  <c r="M77" i="19" s="1"/>
  <c r="DG6" i="19"/>
  <c r="M97" i="19" s="1"/>
  <c r="DE6" i="19"/>
  <c r="M95" i="19" s="1"/>
  <c r="BM6" i="19"/>
  <c r="M51" i="19" s="1"/>
  <c r="BN6" i="19"/>
  <c r="M52" i="19" s="1"/>
  <c r="DY6" i="19"/>
  <c r="M115" i="19" s="1"/>
  <c r="AR6" i="19"/>
  <c r="M30" i="19" s="1"/>
  <c r="CY6" i="19"/>
  <c r="M89" i="19" s="1"/>
  <c r="CF6" i="19"/>
  <c r="M70" i="19" s="1"/>
  <c r="AU6" i="19"/>
  <c r="M33" i="19" s="1"/>
  <c r="DC6" i="19"/>
  <c r="M93" i="19" s="1"/>
  <c r="AS6" i="19"/>
  <c r="M31" i="19" s="1"/>
  <c r="CE6" i="19"/>
  <c r="M69" i="19" s="1"/>
  <c r="AQ6" i="19"/>
  <c r="M29" i="19" s="1"/>
  <c r="CL6" i="19"/>
  <c r="M76" i="19" s="1"/>
  <c r="BS6" i="19"/>
  <c r="M57" i="19" s="1"/>
  <c r="BQ6" i="19"/>
  <c r="M55" i="19" s="1"/>
  <c r="AW6" i="19"/>
  <c r="M35" i="19" s="1"/>
  <c r="W6" i="20"/>
  <c r="N8" i="20" s="1"/>
  <c r="AA6" i="20"/>
  <c r="N12" i="20" s="1"/>
  <c r="DX6" i="19"/>
  <c r="M114" i="19" s="1"/>
  <c r="X6" i="20"/>
  <c r="N9" i="20" s="1"/>
  <c r="CJ6" i="19"/>
  <c r="M74" i="19" s="1"/>
  <c r="AC6" i="20"/>
  <c r="N14" i="20" s="1"/>
  <c r="CD6" i="19"/>
  <c r="M68" i="19" s="1"/>
  <c r="BP6" i="19"/>
  <c r="M54" i="19" s="1"/>
  <c r="AD6" i="20"/>
  <c r="N15" i="20" s="1"/>
  <c r="Z6" i="20"/>
  <c r="N11" i="20" s="1"/>
  <c r="AY6" i="19"/>
  <c r="AV6" i="19"/>
  <c r="M34" i="19" s="1"/>
  <c r="DT6" i="19"/>
  <c r="M110" i="19" s="1"/>
  <c r="DA6" i="19"/>
  <c r="M91" i="19" s="1"/>
  <c r="AX6" i="19"/>
  <c r="M36" i="19" s="1"/>
  <c r="DZ6" i="19"/>
  <c r="M116" i="19" s="1"/>
  <c r="V6" i="19"/>
  <c r="M8" i="19" s="1"/>
  <c r="AC6" i="19"/>
  <c r="M15" i="19" s="1"/>
  <c r="DB6" i="19"/>
  <c r="M92" i="19" s="1"/>
  <c r="AP6" i="19"/>
  <c r="DR6" i="19"/>
  <c r="M108" i="19" s="1"/>
  <c r="CX6" i="19"/>
  <c r="M88" i="19" s="1"/>
  <c r="DF6" i="19"/>
  <c r="M96" i="19" s="1"/>
  <c r="CK6" i="20"/>
  <c r="N74" i="20" s="1"/>
  <c r="CI6" i="20"/>
  <c r="N72" i="20" s="1"/>
  <c r="CS6" i="20"/>
  <c r="N82" i="20" s="1"/>
  <c r="CR6" i="20"/>
  <c r="N81" i="20" s="1"/>
  <c r="CU6" i="20"/>
  <c r="N84" i="20" s="1"/>
  <c r="CX6" i="20"/>
  <c r="N87" i="20" s="1"/>
  <c r="AE6" i="20"/>
  <c r="N16" i="20" s="1"/>
  <c r="AI6" i="20"/>
  <c r="N20" i="20" s="1"/>
  <c r="AF6" i="20"/>
  <c r="N17" i="20" s="1"/>
  <c r="AH6" i="20"/>
  <c r="N19" i="20" s="1"/>
  <c r="BH6" i="20"/>
  <c r="N45" i="20" s="1"/>
  <c r="AR6" i="20"/>
  <c r="N29" i="20" s="1"/>
  <c r="AP6" i="20"/>
  <c r="N27" i="20" s="1"/>
  <c r="BY6" i="20"/>
  <c r="N62" i="20" s="1"/>
  <c r="BS6" i="20"/>
  <c r="N56" i="20" s="1"/>
  <c r="BV6" i="20"/>
  <c r="N59" i="20" s="1"/>
  <c r="BM6" i="20"/>
  <c r="N50" i="20" s="1"/>
  <c r="BL6" i="20"/>
  <c r="N49" i="20" s="1"/>
  <c r="BN6" i="20"/>
  <c r="N51" i="20" s="1"/>
  <c r="CA6" i="20"/>
  <c r="N64" i="20" s="1"/>
  <c r="CD6" i="20"/>
  <c r="N67" i="20" s="1"/>
  <c r="CQ6" i="20"/>
  <c r="N80" i="20" s="1"/>
  <c r="CT6" i="20"/>
  <c r="N83" i="20" s="1"/>
  <c r="AU6" i="20"/>
  <c r="N32" i="20" s="1"/>
  <c r="AK6" i="20"/>
  <c r="N22" i="20" s="1"/>
  <c r="BJ6" i="20"/>
  <c r="N47" i="20" s="1"/>
  <c r="BD6" i="20"/>
  <c r="N41" i="20" s="1"/>
  <c r="BG6" i="20"/>
  <c r="N44" i="20" s="1"/>
  <c r="AQ6" i="20"/>
  <c r="N28" i="20" s="1"/>
  <c r="AM6" i="20"/>
  <c r="N24" i="20" s="1"/>
  <c r="AN6" i="20"/>
  <c r="N25" i="20" s="1"/>
  <c r="AS6" i="20"/>
  <c r="N30" i="20" s="1"/>
  <c r="BU6" i="20"/>
  <c r="N58" i="20" s="1"/>
  <c r="BX6" i="20"/>
  <c r="N61" i="20" s="1"/>
  <c r="BO6" i="20"/>
  <c r="N52" i="20" s="1"/>
  <c r="CG6" i="20"/>
  <c r="N70" i="20" s="1"/>
  <c r="CE6" i="20"/>
  <c r="N68" i="20" s="1"/>
  <c r="CC6" i="20"/>
  <c r="N66" i="20" s="1"/>
  <c r="CN6" i="20"/>
  <c r="N77" i="20" s="1"/>
  <c r="CP6" i="20"/>
  <c r="N79" i="20" s="1"/>
  <c r="BB6" i="20"/>
  <c r="N39" i="20" s="1"/>
  <c r="BA6" i="20"/>
  <c r="N38" i="20" s="1"/>
  <c r="AZ6" i="20"/>
  <c r="N37" i="20" s="1"/>
  <c r="AY6" i="20"/>
  <c r="N36" i="20" s="1"/>
  <c r="AG6" i="20"/>
  <c r="N18" i="20" s="1"/>
  <c r="BF6" i="20"/>
  <c r="N43" i="20" s="1"/>
  <c r="BI6" i="20"/>
  <c r="N46" i="20" s="1"/>
  <c r="BC6" i="20"/>
  <c r="N40" i="20" s="1"/>
  <c r="AO6" i="20"/>
  <c r="N26" i="20" s="1"/>
  <c r="BT6" i="20"/>
  <c r="N57" i="20" s="1"/>
  <c r="BK6" i="20"/>
  <c r="N48" i="20" s="1"/>
  <c r="CF6" i="20"/>
  <c r="N69" i="20" s="1"/>
  <c r="CJ6" i="20"/>
  <c r="N73" i="20" s="1"/>
  <c r="CO6" i="20"/>
  <c r="N78" i="20" s="1"/>
  <c r="CM6" i="20"/>
  <c r="N76" i="20" s="1"/>
  <c r="CL6" i="20"/>
  <c r="N75" i="20" s="1"/>
  <c r="CW6" i="20"/>
  <c r="N86" i="20" s="1"/>
  <c r="CV6" i="20"/>
  <c r="N85" i="20" s="1"/>
  <c r="AX6" i="20"/>
  <c r="N35" i="20" s="1"/>
  <c r="AW6" i="20"/>
  <c r="N34" i="20" s="1"/>
  <c r="AV6" i="20"/>
  <c r="N33" i="20" s="1"/>
  <c r="AJ6" i="20"/>
  <c r="N21" i="20" s="1"/>
  <c r="AL6" i="20"/>
  <c r="N23" i="20" s="1"/>
  <c r="BE6" i="20"/>
  <c r="N42" i="20" s="1"/>
  <c r="AT6" i="20"/>
  <c r="N31" i="20" s="1"/>
  <c r="BW6" i="20"/>
  <c r="N60" i="20" s="1"/>
  <c r="BZ6" i="20"/>
  <c r="N63" i="20" s="1"/>
  <c r="BQ6" i="20"/>
  <c r="N54" i="20" s="1"/>
  <c r="BP6" i="20"/>
  <c r="N53" i="20" s="1"/>
  <c r="BR6" i="20"/>
  <c r="N55" i="20" s="1"/>
  <c r="CB6" i="20"/>
  <c r="N65" i="20" s="1"/>
  <c r="CH6" i="20"/>
  <c r="N71" i="20" s="1"/>
  <c r="Z6" i="19"/>
  <c r="M12" i="19" s="1"/>
  <c r="AE6" i="19"/>
  <c r="AA6" i="19"/>
  <c r="M13" i="19" s="1"/>
  <c r="Y6" i="19"/>
  <c r="M11" i="19" s="1"/>
  <c r="AD6" i="19"/>
  <c r="M16" i="19" s="1"/>
  <c r="X6" i="19"/>
  <c r="M10" i="19" s="1"/>
  <c r="W6" i="19"/>
  <c r="M9" i="19" s="1"/>
  <c r="AB6" i="19"/>
  <c r="M14" i="19" s="1"/>
  <c r="F51" i="35"/>
  <c r="AC22" i="35" s="1"/>
  <c r="Y7" i="154"/>
  <c r="E25" i="39"/>
  <c r="D25" i="39" s="1"/>
  <c r="K7" i="154"/>
  <c r="M7" i="154"/>
  <c r="Z7" i="154"/>
  <c r="AB7" i="154"/>
  <c r="AC7" i="154"/>
  <c r="E20" i="39"/>
  <c r="D20" i="39" s="1"/>
  <c r="F7" i="154"/>
  <c r="N7" i="154"/>
  <c r="U7" i="154"/>
  <c r="E12" i="39"/>
  <c r="D12" i="39" s="1"/>
  <c r="E7" i="154"/>
  <c r="E23" i="39"/>
  <c r="D23" i="39" s="1"/>
  <c r="X7" i="154"/>
  <c r="D7" i="154"/>
  <c r="E10" i="39"/>
  <c r="D10" i="39" s="1"/>
  <c r="AE7" i="154"/>
  <c r="E35" i="39"/>
  <c r="D35" i="39" s="1"/>
  <c r="E11" i="39"/>
  <c r="D11" i="39" s="1"/>
  <c r="E7" i="39"/>
  <c r="D7" i="39" s="1"/>
  <c r="E5" i="39"/>
  <c r="D5" i="39" s="1"/>
  <c r="AA7" i="154"/>
  <c r="R7" i="154"/>
  <c r="E15" i="39"/>
  <c r="D15" i="39" s="1"/>
  <c r="E33" i="39"/>
  <c r="D33" i="39" s="1"/>
  <c r="E26" i="39"/>
  <c r="D26" i="39" s="1"/>
  <c r="H1" i="43"/>
  <c r="E36" i="39"/>
  <c r="D36" i="39" s="1"/>
  <c r="E22" i="39"/>
  <c r="D22" i="39" s="1"/>
  <c r="E8" i="39"/>
  <c r="D8" i="39" s="1"/>
  <c r="L7" i="154"/>
  <c r="G7" i="154"/>
  <c r="Q7" i="154"/>
  <c r="H7" i="154"/>
  <c r="E17" i="39"/>
  <c r="D17" i="39" s="1"/>
  <c r="W7" i="154"/>
  <c r="E28" i="39"/>
  <c r="D28" i="39" s="1"/>
  <c r="E31" i="39"/>
  <c r="D31" i="39" s="1"/>
  <c r="AD7" i="154"/>
  <c r="E27" i="39"/>
  <c r="D27" i="39" s="1"/>
  <c r="E18" i="39"/>
  <c r="D18" i="39" s="1"/>
  <c r="E6" i="39"/>
  <c r="D6" i="39" s="1"/>
  <c r="I7" i="154"/>
  <c r="P7" i="154"/>
  <c r="V7" i="154"/>
  <c r="E13" i="39"/>
  <c r="D13" i="39" s="1"/>
  <c r="E16" i="39"/>
  <c r="D16" i="39" s="1"/>
  <c r="E32" i="39"/>
  <c r="D32" i="39" s="1"/>
  <c r="E21" i="39"/>
  <c r="D21" i="39" s="1"/>
  <c r="S7" i="154"/>
  <c r="E30" i="39"/>
  <c r="D30" i="39" s="1"/>
  <c r="T7" i="154"/>
  <c r="J7" i="154"/>
  <c r="O7" i="154"/>
  <c r="E34" i="39"/>
  <c r="D34" i="39" s="1"/>
  <c r="E37" i="39"/>
  <c r="D37" i="39" s="1"/>
  <c r="F80" i="2"/>
  <c r="S50" i="2"/>
  <c r="O50" i="2"/>
  <c r="Q50" i="2"/>
  <c r="M50" i="2"/>
  <c r="G44" i="2"/>
  <c r="G50" i="2" s="1"/>
  <c r="AU58" i="2"/>
  <c r="I44" i="2"/>
  <c r="I50" i="2" s="1"/>
  <c r="AU46" i="2"/>
  <c r="Y71" i="2"/>
  <c r="W71" i="2"/>
  <c r="W73" i="2" s="1"/>
  <c r="U71" i="2"/>
  <c r="U73" i="2" s="1"/>
  <c r="S71" i="2"/>
  <c r="S73" i="2" s="1"/>
  <c r="U75" i="2"/>
  <c r="W74" i="2"/>
  <c r="Q71" i="2"/>
  <c r="Q73" i="2" s="1"/>
  <c r="O71" i="2"/>
  <c r="O73" i="2" s="1"/>
  <c r="Y45" i="2"/>
  <c r="Y44" i="2"/>
  <c r="W45" i="2"/>
  <c r="W50" i="2" s="1"/>
  <c r="AT9" i="2"/>
  <c r="J20" i="35"/>
  <c r="S20" i="35" s="1"/>
  <c r="K71" i="2"/>
  <c r="K73" i="2" s="1"/>
  <c r="AU47" i="2"/>
  <c r="I71" i="2"/>
  <c r="I73" i="2" s="1"/>
  <c r="AU48" i="2"/>
  <c r="G71" i="2"/>
  <c r="G75" i="2"/>
  <c r="AT10" i="2"/>
  <c r="AT14" i="2"/>
  <c r="CH16" i="2"/>
  <c r="BM16" i="2" s="1"/>
  <c r="Z16" i="2" s="1"/>
  <c r="AA16" i="2" s="1"/>
  <c r="CH22" i="2"/>
  <c r="BM22" i="2" s="1"/>
  <c r="Z22" i="2" s="1"/>
  <c r="CH24" i="2"/>
  <c r="BM24" i="2" s="1"/>
  <c r="Z24" i="2" s="1"/>
  <c r="CH30" i="2"/>
  <c r="BM30" i="2" s="1"/>
  <c r="Z30" i="2" s="1"/>
  <c r="CH15" i="2"/>
  <c r="BM15" i="2" s="1"/>
  <c r="Z15" i="2" s="1"/>
  <c r="CH35" i="2"/>
  <c r="BM35" i="2" s="1"/>
  <c r="Z35" i="2" s="1"/>
  <c r="CH20" i="2"/>
  <c r="BM20" i="2" s="1"/>
  <c r="Z20" i="2" s="1"/>
  <c r="AA20" i="2" s="1"/>
  <c r="CH27" i="2"/>
  <c r="BM27" i="2" s="1"/>
  <c r="Z27" i="2" s="1"/>
  <c r="CH25" i="2"/>
  <c r="BM25" i="2" s="1"/>
  <c r="Z25" i="2" s="1"/>
  <c r="CH11" i="2"/>
  <c r="BM11" i="2" s="1"/>
  <c r="Z11" i="2" s="1"/>
  <c r="CH29" i="2"/>
  <c r="BM29" i="2" s="1"/>
  <c r="Z29" i="2" s="1"/>
  <c r="CH26" i="2"/>
  <c r="BM26" i="2" s="1"/>
  <c r="Z26" i="2" s="1"/>
  <c r="CH18" i="2"/>
  <c r="BM18" i="2" s="1"/>
  <c r="Z18" i="2" s="1"/>
  <c r="CH28" i="2"/>
  <c r="BM28" i="2" s="1"/>
  <c r="Z28" i="2" s="1"/>
  <c r="CH36" i="2"/>
  <c r="BM36" i="2" s="1"/>
  <c r="Z36" i="2" s="1"/>
  <c r="CH12" i="2"/>
  <c r="BM12" i="2" s="1"/>
  <c r="Z12" i="2" s="1"/>
  <c r="CH34" i="2"/>
  <c r="CH33" i="2"/>
  <c r="BM33" i="2" s="1"/>
  <c r="Z33" i="2" s="1"/>
  <c r="CH17" i="2"/>
  <c r="BM17" i="2" s="1"/>
  <c r="Z17" i="2" s="1"/>
  <c r="CH13" i="2"/>
  <c r="BM13" i="2" s="1"/>
  <c r="Z13" i="2" s="1"/>
  <c r="CH19" i="2"/>
  <c r="BM19" i="2" s="1"/>
  <c r="Z19" i="2" s="1"/>
  <c r="CH32" i="2"/>
  <c r="BM32" i="2" s="1"/>
  <c r="Z32" i="2" s="1"/>
  <c r="CH21" i="2"/>
  <c r="BM21" i="2" s="1"/>
  <c r="Z21" i="2" s="1"/>
  <c r="CH31" i="2"/>
  <c r="BM31" i="2" s="1"/>
  <c r="Z31" i="2" s="1"/>
  <c r="CH23" i="2"/>
  <c r="BM23" i="2" s="1"/>
  <c r="Z23" i="2" s="1"/>
  <c r="E46" i="35"/>
  <c r="AB17" i="35" s="1"/>
  <c r="F46" i="35"/>
  <c r="AC17" i="35" s="1"/>
  <c r="N73" i="2"/>
  <c r="J73" i="2"/>
  <c r="H73" i="2"/>
  <c r="F73" i="2"/>
  <c r="T73" i="2"/>
  <c r="R73" i="2"/>
  <c r="V73" i="2"/>
  <c r="K50" i="2"/>
  <c r="N165" i="20"/>
  <c r="N162" i="20"/>
  <c r="N160" i="20"/>
  <c r="N161" i="20"/>
  <c r="N163" i="20"/>
  <c r="N166" i="20"/>
  <c r="N164" i="20"/>
  <c r="N167" i="20"/>
  <c r="AU57" i="2"/>
  <c r="AU54" i="2"/>
  <c r="M43" i="19"/>
  <c r="AJ51" i="2" s="1"/>
  <c r="M125" i="19"/>
  <c r="AN56" i="2" s="1"/>
  <c r="U50" i="2"/>
  <c r="P73" i="2"/>
  <c r="AP6" i="17"/>
  <c r="N27" i="17" s="1"/>
  <c r="AQ6" i="17"/>
  <c r="N28" i="17" s="1"/>
  <c r="AO6" i="17"/>
  <c r="N26" i="17" s="1"/>
  <c r="AV6" i="17"/>
  <c r="N33" i="17" s="1"/>
  <c r="AY6" i="17"/>
  <c r="N36" i="17" s="1"/>
  <c r="AJ6" i="17"/>
  <c r="N21" i="17" s="1"/>
  <c r="AF6" i="17"/>
  <c r="N17" i="17" s="1"/>
  <c r="AB6" i="17"/>
  <c r="N13" i="17" s="1"/>
  <c r="AK6" i="17"/>
  <c r="N22" i="17" s="1"/>
  <c r="AX6" i="17"/>
  <c r="N35" i="17" s="1"/>
  <c r="AZ6" i="17"/>
  <c r="N37" i="17" s="1"/>
  <c r="AW6" i="17"/>
  <c r="N34" i="17" s="1"/>
  <c r="Z6" i="17"/>
  <c r="N11" i="17" s="1"/>
  <c r="AG6" i="17"/>
  <c r="N18" i="17" s="1"/>
  <c r="AU6" i="17"/>
  <c r="N32" i="17" s="1"/>
  <c r="AH6" i="17"/>
  <c r="N19" i="17" s="1"/>
  <c r="AA6" i="17"/>
  <c r="N12" i="17" s="1"/>
  <c r="AI6" i="17"/>
  <c r="N20" i="17" s="1"/>
  <c r="AC6" i="17"/>
  <c r="N14" i="17" s="1"/>
  <c r="AL6" i="17"/>
  <c r="N23" i="17" s="1"/>
  <c r="AM6" i="17"/>
  <c r="N24" i="17" s="1"/>
  <c r="AD6" i="17"/>
  <c r="N15" i="17" s="1"/>
  <c r="AE6" i="17"/>
  <c r="N16" i="17" s="1"/>
  <c r="AN6" i="17"/>
  <c r="N25" i="17" s="1"/>
  <c r="J13" i="1153" l="1"/>
  <c r="F13" i="1153"/>
  <c r="G13" i="1153"/>
  <c r="AF27" i="1142"/>
  <c r="AG27" i="1142" s="1"/>
  <c r="AG29" i="1142" s="1"/>
  <c r="AU71" i="2"/>
  <c r="AU73" i="2" s="1"/>
  <c r="AG18" i="1153"/>
  <c r="AG19" i="1153" s="1"/>
  <c r="E45" i="1153"/>
  <c r="E37" i="1153"/>
  <c r="E46" i="1153" s="1"/>
  <c r="N45" i="1153"/>
  <c r="N37" i="1153"/>
  <c r="N46" i="1153" s="1"/>
  <c r="K45" i="1153"/>
  <c r="K37" i="1153"/>
  <c r="K46" i="1153" s="1"/>
  <c r="F45" i="1153"/>
  <c r="F37" i="1153"/>
  <c r="F46" i="1153" s="1"/>
  <c r="O45" i="1153"/>
  <c r="O37" i="1153"/>
  <c r="O46" i="1153" s="1"/>
  <c r="P45" i="1153"/>
  <c r="P37" i="1153"/>
  <c r="P46" i="1153" s="1"/>
  <c r="H45" i="1153"/>
  <c r="H37" i="1153"/>
  <c r="H46" i="1153" s="1"/>
  <c r="Y45" i="1153"/>
  <c r="Y37" i="1153"/>
  <c r="Y46" i="1153" s="1"/>
  <c r="W45" i="1153"/>
  <c r="W37" i="1153"/>
  <c r="W46" i="1153" s="1"/>
  <c r="AE45" i="1153"/>
  <c r="AE37" i="1153"/>
  <c r="AE46" i="1153" s="1"/>
  <c r="T45" i="1153"/>
  <c r="T37" i="1153"/>
  <c r="T46" i="1153" s="1"/>
  <c r="AC45" i="1153"/>
  <c r="AC37" i="1153"/>
  <c r="AC46" i="1153" s="1"/>
  <c r="AB45" i="1153"/>
  <c r="AB37" i="1153"/>
  <c r="AB46" i="1153" s="1"/>
  <c r="L45" i="1153"/>
  <c r="L37" i="1153"/>
  <c r="L46" i="1153" s="1"/>
  <c r="X45" i="1153"/>
  <c r="X37" i="1153"/>
  <c r="X46" i="1153" s="1"/>
  <c r="G45" i="1153"/>
  <c r="G37" i="1153"/>
  <c r="G46" i="1153" s="1"/>
  <c r="S45" i="1153"/>
  <c r="S37" i="1153"/>
  <c r="S46" i="1153" s="1"/>
  <c r="J45" i="1153"/>
  <c r="J37" i="1153"/>
  <c r="J46" i="1153" s="1"/>
  <c r="V45" i="1153"/>
  <c r="V37" i="1153"/>
  <c r="V46" i="1153" s="1"/>
  <c r="Q45" i="1153"/>
  <c r="Q37" i="1153"/>
  <c r="Q46" i="1153" s="1"/>
  <c r="Z45" i="1153"/>
  <c r="Z37" i="1153"/>
  <c r="Z46" i="1153" s="1"/>
  <c r="U45" i="1153"/>
  <c r="U37" i="1153"/>
  <c r="U46" i="1153" s="1"/>
  <c r="AA45" i="1153"/>
  <c r="AA37" i="1153"/>
  <c r="AA46" i="1153" s="1"/>
  <c r="AD45" i="1153"/>
  <c r="AD37" i="1153"/>
  <c r="M45" i="1153"/>
  <c r="M37" i="1153"/>
  <c r="R45" i="1153"/>
  <c r="R37" i="1153"/>
  <c r="I45" i="1153"/>
  <c r="I37" i="1153"/>
  <c r="D44" i="1153"/>
  <c r="D12" i="1153"/>
  <c r="D35" i="1153" s="1"/>
  <c r="E34" i="1153"/>
  <c r="E14" i="1153" s="1"/>
  <c r="N34" i="1153"/>
  <c r="N14" i="1153" s="1"/>
  <c r="P34" i="1153"/>
  <c r="P14" i="1153" s="1"/>
  <c r="AE34" i="1153"/>
  <c r="AE14" i="1153" s="1"/>
  <c r="AB34" i="1153"/>
  <c r="AB14" i="1153" s="1"/>
  <c r="S34" i="1153"/>
  <c r="S14" i="1153" s="1"/>
  <c r="U34" i="1153"/>
  <c r="U14" i="1153" s="1"/>
  <c r="AG20" i="1153"/>
  <c r="AG21" i="1153" s="1"/>
  <c r="AG22" i="1153" s="1"/>
  <c r="AG23" i="1153" s="1"/>
  <c r="AG24" i="1153" s="1"/>
  <c r="AG25" i="1153" s="1"/>
  <c r="AG26" i="1153" s="1"/>
  <c r="AG28" i="1153" s="1"/>
  <c r="AA26" i="2"/>
  <c r="Z12" i="1143"/>
  <c r="Z35" i="1143" s="1"/>
  <c r="Z37" i="1143" s="1"/>
  <c r="J12" i="1148"/>
  <c r="J35" i="1148" s="1"/>
  <c r="J37" i="1148" s="1"/>
  <c r="P12" i="1148"/>
  <c r="P35" i="1148" s="1"/>
  <c r="P45" i="1148" s="1"/>
  <c r="G44" i="1143"/>
  <c r="AM12" i="2" s="1"/>
  <c r="G44" i="1135"/>
  <c r="Z12" i="1148"/>
  <c r="Z35" i="1148" s="1"/>
  <c r="Z37" i="1148" s="1"/>
  <c r="Z46" i="1148" s="1"/>
  <c r="AC44" i="1141"/>
  <c r="AI34" i="2" s="1"/>
  <c r="F44" i="1139"/>
  <c r="AE11" i="2" s="1"/>
  <c r="U12" i="1141"/>
  <c r="U35" i="1141" s="1"/>
  <c r="U45" i="1141" s="1"/>
  <c r="AA27" i="2"/>
  <c r="F44" i="1141"/>
  <c r="AI11" i="2" s="1"/>
  <c r="AE44" i="1141"/>
  <c r="AI36" i="2" s="1"/>
  <c r="AA30" i="2"/>
  <c r="H44" i="1141"/>
  <c r="AI13" i="2" s="1"/>
  <c r="L44" i="1141"/>
  <c r="AI17" i="2" s="1"/>
  <c r="Z44" i="1141"/>
  <c r="AI31" i="2" s="1"/>
  <c r="M12" i="1141"/>
  <c r="M35" i="1141" s="1"/>
  <c r="M45" i="1141" s="1"/>
  <c r="R12" i="1143"/>
  <c r="R35" i="1143" s="1"/>
  <c r="R45" i="1143" s="1"/>
  <c r="H12" i="1137"/>
  <c r="H35" i="1137" s="1"/>
  <c r="H45" i="1137" s="1"/>
  <c r="P12" i="1141"/>
  <c r="P35" i="1141" s="1"/>
  <c r="P37" i="1141" s="1"/>
  <c r="P46" i="1141" s="1"/>
  <c r="Q44" i="1141"/>
  <c r="AI22" i="2" s="1"/>
  <c r="L44" i="1148"/>
  <c r="AQ17" i="2" s="1"/>
  <c r="N13" i="1148"/>
  <c r="J44" i="1143"/>
  <c r="AM15" i="2" s="1"/>
  <c r="N44" i="1148"/>
  <c r="AQ19" i="2" s="1"/>
  <c r="R13" i="1148"/>
  <c r="L35" i="1148"/>
  <c r="L45" i="1148" s="1"/>
  <c r="L13" i="1148"/>
  <c r="AF17" i="1141"/>
  <c r="AG17" i="1141" s="1"/>
  <c r="AE13" i="1143"/>
  <c r="AF22" i="1148"/>
  <c r="AC44" i="1148"/>
  <c r="AQ34" i="2" s="1"/>
  <c r="Q44" i="1135"/>
  <c r="W12" i="1137"/>
  <c r="W35" i="1137" s="1"/>
  <c r="W37" i="1137" s="1"/>
  <c r="W46" i="1137" s="1"/>
  <c r="M12" i="1139"/>
  <c r="M35" i="1139" s="1"/>
  <c r="M45" i="1139" s="1"/>
  <c r="V44" i="1139"/>
  <c r="AE27" i="2" s="1"/>
  <c r="N12" i="1141"/>
  <c r="N35" i="1141" s="1"/>
  <c r="N45" i="1141" s="1"/>
  <c r="J12" i="1141"/>
  <c r="J35" i="1141" s="1"/>
  <c r="J37" i="1141" s="1"/>
  <c r="J46" i="1141" s="1"/>
  <c r="R44" i="1141"/>
  <c r="AI23" i="2" s="1"/>
  <c r="AE44" i="1143"/>
  <c r="AM36" i="2" s="1"/>
  <c r="Q12" i="1143"/>
  <c r="Q35" i="1143" s="1"/>
  <c r="Q45" i="1143" s="1"/>
  <c r="M44" i="1143"/>
  <c r="AM18" i="2" s="1"/>
  <c r="E12" i="1148"/>
  <c r="E35" i="1148" s="1"/>
  <c r="E37" i="1148" s="1"/>
  <c r="E46" i="1148" s="1"/>
  <c r="V13" i="1148"/>
  <c r="U44" i="1148"/>
  <c r="AQ26" i="2" s="1"/>
  <c r="J44" i="1135"/>
  <c r="W15" i="2" s="1"/>
  <c r="AB12" i="1139"/>
  <c r="AB35" i="1139" s="1"/>
  <c r="AB45" i="1139" s="1"/>
  <c r="G44" i="1141"/>
  <c r="AI12" i="2" s="1"/>
  <c r="AA18" i="2"/>
  <c r="M44" i="1135"/>
  <c r="W18" i="2" s="1"/>
  <c r="H12" i="1143"/>
  <c r="H35" i="1143" s="1"/>
  <c r="H45" i="1143" s="1"/>
  <c r="L44" i="1143"/>
  <c r="AM17" i="2" s="1"/>
  <c r="M12" i="1143"/>
  <c r="M35" i="1143" s="1"/>
  <c r="M45" i="1143" s="1"/>
  <c r="N12" i="1143"/>
  <c r="N35" i="1143" s="1"/>
  <c r="N45" i="1143" s="1"/>
  <c r="AC13" i="1148"/>
  <c r="AF23" i="1148"/>
  <c r="AD35" i="1148"/>
  <c r="AD37" i="1148" s="1"/>
  <c r="AD46" i="1148" s="1"/>
  <c r="AD13" i="1148"/>
  <c r="AE35" i="1148"/>
  <c r="AE45" i="1148" s="1"/>
  <c r="AE13" i="1148"/>
  <c r="F44" i="1148"/>
  <c r="AQ11" i="2" s="1"/>
  <c r="O13" i="1148"/>
  <c r="Y13" i="1148"/>
  <c r="AE44" i="1148"/>
  <c r="AQ36" i="2" s="1"/>
  <c r="G12" i="1148"/>
  <c r="G35" i="1148" s="1"/>
  <c r="G45" i="1148" s="1"/>
  <c r="Q12" i="1148"/>
  <c r="Q35" i="1148" s="1"/>
  <c r="Q45" i="1148" s="1"/>
  <c r="F12" i="1148"/>
  <c r="F35" i="1148" s="1"/>
  <c r="F45" i="1148" s="1"/>
  <c r="H12" i="1148"/>
  <c r="H35" i="1148" s="1"/>
  <c r="H45" i="1148" s="1"/>
  <c r="AB12" i="1148"/>
  <c r="AB35" i="1148" s="1"/>
  <c r="AB45" i="1148" s="1"/>
  <c r="S12" i="1148"/>
  <c r="S35" i="1148" s="1"/>
  <c r="S37" i="1148" s="1"/>
  <c r="S46" i="1148" s="1"/>
  <c r="AD44" i="1148"/>
  <c r="AQ35" i="2" s="1"/>
  <c r="AA12" i="1148"/>
  <c r="AA35" i="1148" s="1"/>
  <c r="AA37" i="1148" s="1"/>
  <c r="AD44" i="1143"/>
  <c r="AM35" i="2" s="1"/>
  <c r="L35" i="1143"/>
  <c r="L45" i="1143" s="1"/>
  <c r="L13" i="1143"/>
  <c r="J35" i="1143"/>
  <c r="J45" i="1143" s="1"/>
  <c r="J13" i="1143"/>
  <c r="G35" i="1143"/>
  <c r="G45" i="1143" s="1"/>
  <c r="G13" i="1143"/>
  <c r="Y12" i="1143"/>
  <c r="Y35" i="1143" s="1"/>
  <c r="Y37" i="1143" s="1"/>
  <c r="Y46" i="1143" s="1"/>
  <c r="P44" i="1143"/>
  <c r="AM21" i="2" s="1"/>
  <c r="L44" i="1135"/>
  <c r="W17" i="2" s="1"/>
  <c r="Z44" i="1135"/>
  <c r="W31" i="2" s="1"/>
  <c r="Q44" i="1139"/>
  <c r="AE22" i="2" s="1"/>
  <c r="R44" i="1139"/>
  <c r="AE23" i="2" s="1"/>
  <c r="N12" i="1139"/>
  <c r="N35" i="1139" s="1"/>
  <c r="N45" i="1139" s="1"/>
  <c r="AD12" i="1141"/>
  <c r="AD35" i="1141" s="1"/>
  <c r="AD45" i="1141" s="1"/>
  <c r="AA13" i="2"/>
  <c r="AA29" i="2"/>
  <c r="AA24" i="2"/>
  <c r="AA13" i="1139"/>
  <c r="I44" i="1141"/>
  <c r="AI14" i="2" s="1"/>
  <c r="E44" i="1141"/>
  <c r="AI10" i="2" s="1"/>
  <c r="K12" i="1141"/>
  <c r="K35" i="1141" s="1"/>
  <c r="K37" i="1141" s="1"/>
  <c r="O12" i="1141"/>
  <c r="O35" i="1141" s="1"/>
  <c r="O37" i="1141" s="1"/>
  <c r="P12" i="1143"/>
  <c r="P35" i="1143" s="1"/>
  <c r="P37" i="1143" s="1"/>
  <c r="AC12" i="1143"/>
  <c r="AC35" i="1143" s="1"/>
  <c r="AC45" i="1143" s="1"/>
  <c r="E44" i="1143"/>
  <c r="AM10" i="2" s="1"/>
  <c r="K12" i="1143"/>
  <c r="K35" i="1143" s="1"/>
  <c r="K45" i="1143" s="1"/>
  <c r="AF17" i="1148"/>
  <c r="AG17" i="1148" s="1"/>
  <c r="AF25" i="1148"/>
  <c r="AF24" i="1148"/>
  <c r="K12" i="1148"/>
  <c r="K35" i="1148" s="1"/>
  <c r="K37" i="1148" s="1"/>
  <c r="T12" i="1148"/>
  <c r="T35" i="1148" s="1"/>
  <c r="T45" i="1148" s="1"/>
  <c r="W12" i="1148"/>
  <c r="W35" i="1148" s="1"/>
  <c r="W37" i="1148" s="1"/>
  <c r="W46" i="1148" s="1"/>
  <c r="X12" i="1148"/>
  <c r="X35" i="1148" s="1"/>
  <c r="X37" i="1148" s="1"/>
  <c r="X46" i="1148" s="1"/>
  <c r="V44" i="1148"/>
  <c r="AQ27" i="2" s="1"/>
  <c r="U13" i="1148"/>
  <c r="M12" i="1148"/>
  <c r="M35" i="1148" s="1"/>
  <c r="M45" i="1148" s="1"/>
  <c r="AA22" i="2"/>
  <c r="O12" i="1137"/>
  <c r="O35" i="1137" s="1"/>
  <c r="O45" i="1137" s="1"/>
  <c r="AA12" i="1141"/>
  <c r="AA35" i="1141" s="1"/>
  <c r="AA45" i="1141" s="1"/>
  <c r="T12" i="1141"/>
  <c r="T35" i="1141" s="1"/>
  <c r="T37" i="1141" s="1"/>
  <c r="Y12" i="1141"/>
  <c r="Y35" i="1141" s="1"/>
  <c r="Y37" i="1141" s="1"/>
  <c r="W12" i="1141"/>
  <c r="W35" i="1141" s="1"/>
  <c r="W45" i="1141" s="1"/>
  <c r="E12" i="1143"/>
  <c r="E35" i="1143" s="1"/>
  <c r="E45" i="1143" s="1"/>
  <c r="O12" i="1143"/>
  <c r="O35" i="1143" s="1"/>
  <c r="O45" i="1143" s="1"/>
  <c r="I12" i="1148"/>
  <c r="I35" i="1148" s="1"/>
  <c r="I45" i="1148" s="1"/>
  <c r="AF19" i="1148"/>
  <c r="AF18" i="1148"/>
  <c r="AF26" i="1148"/>
  <c r="I12" i="1143"/>
  <c r="AF21" i="1148"/>
  <c r="AF20" i="1148"/>
  <c r="X44" i="1135"/>
  <c r="W29" i="2" s="1"/>
  <c r="V44" i="1135"/>
  <c r="W27" i="2" s="1"/>
  <c r="U12" i="1135"/>
  <c r="U35" i="1135" s="1"/>
  <c r="U45" i="1135" s="1"/>
  <c r="AB44" i="1135"/>
  <c r="W33" i="2" s="1"/>
  <c r="S44" i="1135"/>
  <c r="W24" i="2" s="1"/>
  <c r="AD44" i="1135"/>
  <c r="W35" i="2" s="1"/>
  <c r="AA44" i="1135"/>
  <c r="W32" i="2" s="1"/>
  <c r="S44" i="1129"/>
  <c r="F44" i="1143"/>
  <c r="AM11" i="2" s="1"/>
  <c r="H44" i="1135"/>
  <c r="Y12" i="1139"/>
  <c r="Y35" i="1139" s="1"/>
  <c r="Y45" i="1139" s="1"/>
  <c r="AF23" i="1143"/>
  <c r="O45" i="1148"/>
  <c r="O37" i="1148"/>
  <c r="O46" i="1148" s="1"/>
  <c r="D44" i="1148"/>
  <c r="D12" i="1148"/>
  <c r="D35" i="1148" s="1"/>
  <c r="Y45" i="1148"/>
  <c r="Y37" i="1148"/>
  <c r="Y46" i="1148" s="1"/>
  <c r="AC45" i="1148"/>
  <c r="AC37" i="1148"/>
  <c r="AC46" i="1148" s="1"/>
  <c r="U45" i="1148"/>
  <c r="U37" i="1148"/>
  <c r="U46" i="1148" s="1"/>
  <c r="N45" i="1148"/>
  <c r="N37" i="1148"/>
  <c r="J45" i="1148"/>
  <c r="V45" i="1148"/>
  <c r="V37" i="1148"/>
  <c r="Z45" i="1148"/>
  <c r="R45" i="1148"/>
  <c r="R37" i="1148"/>
  <c r="R46" i="1148" s="1"/>
  <c r="L44" i="1133"/>
  <c r="S17" i="2" s="1"/>
  <c r="AF20" i="1135"/>
  <c r="U12" i="1137"/>
  <c r="U35" i="1137" s="1"/>
  <c r="U37" i="1137" s="1"/>
  <c r="U46" i="1137" s="1"/>
  <c r="I44" i="1139"/>
  <c r="AE14" i="2" s="1"/>
  <c r="T12" i="1139"/>
  <c r="T35" i="1139" s="1"/>
  <c r="T45" i="1139" s="1"/>
  <c r="W12" i="1139"/>
  <c r="W35" i="1139" s="1"/>
  <c r="W45" i="1139" s="1"/>
  <c r="T44" i="1143"/>
  <c r="AM25" i="2" s="1"/>
  <c r="Y44" i="1143"/>
  <c r="AM30" i="2" s="1"/>
  <c r="W44" i="1143"/>
  <c r="AM28" i="2" s="1"/>
  <c r="AB12" i="1143"/>
  <c r="AB35" i="1143" s="1"/>
  <c r="AB45" i="1143" s="1"/>
  <c r="X44" i="1143"/>
  <c r="AM29" i="2" s="1"/>
  <c r="S12" i="1143"/>
  <c r="S35" i="1143" s="1"/>
  <c r="S37" i="1143" s="1"/>
  <c r="S46" i="1143" s="1"/>
  <c r="V44" i="1143"/>
  <c r="AM27" i="2" s="1"/>
  <c r="AD13" i="1143"/>
  <c r="E13" i="1139"/>
  <c r="T12" i="1143"/>
  <c r="T35" i="1143" s="1"/>
  <c r="T45" i="1143" s="1"/>
  <c r="W13" i="1143"/>
  <c r="X12" i="1143"/>
  <c r="X35" i="1143" s="1"/>
  <c r="X45" i="1143" s="1"/>
  <c r="V12" i="1143"/>
  <c r="V35" i="1143" s="1"/>
  <c r="V45" i="1143" s="1"/>
  <c r="U12" i="1143"/>
  <c r="U35" i="1143" s="1"/>
  <c r="U45" i="1143" s="1"/>
  <c r="AA13" i="1143"/>
  <c r="AF24" i="1143"/>
  <c r="AF25" i="1143"/>
  <c r="Z13" i="1141"/>
  <c r="AA44" i="1143"/>
  <c r="AM32" i="2" s="1"/>
  <c r="AF18" i="1143"/>
  <c r="AC44" i="1133"/>
  <c r="S34" i="2" s="1"/>
  <c r="Z44" i="1133"/>
  <c r="S31" i="2" s="1"/>
  <c r="AE44" i="1135"/>
  <c r="AF19" i="1141"/>
  <c r="AF23" i="1141"/>
  <c r="AF21" i="1143"/>
  <c r="AA28" i="2"/>
  <c r="AA11" i="2"/>
  <c r="T12" i="1131"/>
  <c r="T36" i="1131" s="1"/>
  <c r="T46" i="1131" s="1"/>
  <c r="J44" i="1133"/>
  <c r="S15" i="2" s="1"/>
  <c r="AF26" i="1141"/>
  <c r="AF22" i="1141"/>
  <c r="Q44" i="1133"/>
  <c r="S22" i="2" s="1"/>
  <c r="AC44" i="1135"/>
  <c r="W34" i="2" s="1"/>
  <c r="AF18" i="1141"/>
  <c r="AG18" i="1141" s="1"/>
  <c r="AF25" i="1141"/>
  <c r="AF17" i="1143"/>
  <c r="AG17" i="1143" s="1"/>
  <c r="N44" i="1135"/>
  <c r="W19" i="2" s="1"/>
  <c r="AF21" i="1141"/>
  <c r="AF24" i="1141"/>
  <c r="AF20" i="1141"/>
  <c r="AB12" i="1141"/>
  <c r="AB35" i="1141" s="1"/>
  <c r="AB45" i="1141" s="1"/>
  <c r="X12" i="1141"/>
  <c r="X35" i="1141" s="1"/>
  <c r="X37" i="1141" s="1"/>
  <c r="X46" i="1141" s="1"/>
  <c r="S12" i="1141"/>
  <c r="S35" i="1141" s="1"/>
  <c r="S45" i="1141" s="1"/>
  <c r="V12" i="1141"/>
  <c r="V35" i="1141" s="1"/>
  <c r="V45" i="1141" s="1"/>
  <c r="AF22" i="1143"/>
  <c r="AF19" i="1143"/>
  <c r="N13" i="1143"/>
  <c r="P12" i="1133"/>
  <c r="P35" i="1133" s="1"/>
  <c r="P45" i="1133" s="1"/>
  <c r="G44" i="1133"/>
  <c r="S12" i="2" s="1"/>
  <c r="M44" i="1133"/>
  <c r="S18" i="2" s="1"/>
  <c r="P44" i="1135"/>
  <c r="W21" i="2" s="1"/>
  <c r="AF20" i="1143"/>
  <c r="AF26" i="1143"/>
  <c r="AN60" i="2"/>
  <c r="X44" i="1127"/>
  <c r="G29" i="2" s="1"/>
  <c r="Q12" i="1131"/>
  <c r="Q36" i="1131" s="1"/>
  <c r="Q46" i="1131" s="1"/>
  <c r="AE44" i="1133"/>
  <c r="S36" i="2" s="1"/>
  <c r="AF17" i="1135"/>
  <c r="AG17" i="1135" s="1"/>
  <c r="F13" i="1141"/>
  <c r="AF26" i="1144"/>
  <c r="AF24" i="1144"/>
  <c r="AF22" i="1144"/>
  <c r="AF20" i="1144"/>
  <c r="AF18" i="1144"/>
  <c r="AF25" i="1144"/>
  <c r="AF23" i="1144"/>
  <c r="AF21" i="1144"/>
  <c r="AF19" i="1144"/>
  <c r="AF17" i="1144"/>
  <c r="AG17" i="1144" s="1"/>
  <c r="D28" i="1144"/>
  <c r="N44" i="1144"/>
  <c r="AO19" i="2" s="1"/>
  <c r="N12" i="1144"/>
  <c r="N35" i="1144" s="1"/>
  <c r="F44" i="1144"/>
  <c r="AO11" i="2" s="1"/>
  <c r="F12" i="1144"/>
  <c r="F35" i="1144" s="1"/>
  <c r="F44" i="1135"/>
  <c r="W11" i="2" s="1"/>
  <c r="W44" i="1135"/>
  <c r="W28" i="2" s="1"/>
  <c r="P44" i="1144"/>
  <c r="AO21" i="2" s="1"/>
  <c r="P12" i="1144"/>
  <c r="P35" i="1144" s="1"/>
  <c r="H44" i="1144"/>
  <c r="AO13" i="2" s="1"/>
  <c r="H12" i="1144"/>
  <c r="H35" i="1144" s="1"/>
  <c r="AC44" i="1144"/>
  <c r="AO34" i="2" s="1"/>
  <c r="AC12" i="1144"/>
  <c r="AC35" i="1144" s="1"/>
  <c r="AE44" i="1144"/>
  <c r="AO36" i="2" s="1"/>
  <c r="AE12" i="1144"/>
  <c r="AE35" i="1144" s="1"/>
  <c r="L44" i="1144"/>
  <c r="AO17" i="2" s="1"/>
  <c r="L12" i="1144"/>
  <c r="L35" i="1144" s="1"/>
  <c r="G44" i="1144"/>
  <c r="AO12" i="2" s="1"/>
  <c r="G12" i="1144"/>
  <c r="G35" i="1144" s="1"/>
  <c r="J44" i="1144"/>
  <c r="AO15" i="2" s="1"/>
  <c r="J12" i="1144"/>
  <c r="J35" i="1144" s="1"/>
  <c r="Q44" i="1144"/>
  <c r="AO22" i="2" s="1"/>
  <c r="Q12" i="1144"/>
  <c r="Q35" i="1144" s="1"/>
  <c r="Z44" i="1144"/>
  <c r="AO31" i="2" s="1"/>
  <c r="Z12" i="1144"/>
  <c r="Z35" i="1144" s="1"/>
  <c r="M44" i="1144"/>
  <c r="AO18" i="2" s="1"/>
  <c r="M12" i="1144"/>
  <c r="M35" i="1144" s="1"/>
  <c r="R44" i="1144"/>
  <c r="AO23" i="2" s="1"/>
  <c r="R12" i="1144"/>
  <c r="R35" i="1144" s="1"/>
  <c r="I44" i="1144"/>
  <c r="AO14" i="2" s="1"/>
  <c r="I12" i="1144"/>
  <c r="I35" i="1144" s="1"/>
  <c r="E44" i="1144"/>
  <c r="AO10" i="2" s="1"/>
  <c r="E12" i="1144"/>
  <c r="E35" i="1144" s="1"/>
  <c r="K44" i="1144"/>
  <c r="AO16" i="2" s="1"/>
  <c r="K12" i="1144"/>
  <c r="K35" i="1144" s="1"/>
  <c r="O44" i="1144"/>
  <c r="AO20" i="2" s="1"/>
  <c r="O12" i="1144"/>
  <c r="O35" i="1144" s="1"/>
  <c r="AF24" i="1135"/>
  <c r="T44" i="1144"/>
  <c r="AO25" i="2" s="1"/>
  <c r="T12" i="1144"/>
  <c r="T35" i="1144" s="1"/>
  <c r="Y44" i="1144"/>
  <c r="AO30" i="2" s="1"/>
  <c r="Y12" i="1144"/>
  <c r="Y35" i="1144" s="1"/>
  <c r="W44" i="1144"/>
  <c r="AO28" i="2" s="1"/>
  <c r="W12" i="1144"/>
  <c r="W35" i="1144" s="1"/>
  <c r="AB44" i="1144"/>
  <c r="AO33" i="2" s="1"/>
  <c r="AB12" i="1144"/>
  <c r="AB35" i="1144" s="1"/>
  <c r="X44" i="1144"/>
  <c r="AO29" i="2" s="1"/>
  <c r="X12" i="1144"/>
  <c r="X35" i="1144" s="1"/>
  <c r="S44" i="1144"/>
  <c r="AO24" i="2" s="1"/>
  <c r="S12" i="1144"/>
  <c r="S35" i="1144" s="1"/>
  <c r="V44" i="1144"/>
  <c r="AO27" i="2" s="1"/>
  <c r="V12" i="1144"/>
  <c r="V35" i="1144" s="1"/>
  <c r="AD44" i="1144"/>
  <c r="AO35" i="2" s="1"/>
  <c r="AD12" i="1144"/>
  <c r="AD35" i="1144" s="1"/>
  <c r="U44" i="1144"/>
  <c r="AO26" i="2" s="1"/>
  <c r="U12" i="1144"/>
  <c r="U35" i="1144" s="1"/>
  <c r="AA44" i="1144"/>
  <c r="AO32" i="2" s="1"/>
  <c r="AA12" i="1144"/>
  <c r="AA35" i="1144" s="1"/>
  <c r="AJ60" i="2"/>
  <c r="H44" i="1127"/>
  <c r="G13" i="2" s="1"/>
  <c r="P12" i="1129"/>
  <c r="P35" i="1129" s="1"/>
  <c r="P45" i="1129" s="1"/>
  <c r="H44" i="1133"/>
  <c r="AB44" i="1133"/>
  <c r="S33" i="2" s="1"/>
  <c r="S44" i="1133"/>
  <c r="S24" i="2" s="1"/>
  <c r="AD44" i="1133"/>
  <c r="S35" i="2" s="1"/>
  <c r="AA44" i="1133"/>
  <c r="S32" i="2" s="1"/>
  <c r="E44" i="1135"/>
  <c r="W10" i="2" s="1"/>
  <c r="O44" i="1135"/>
  <c r="W20" i="2" s="1"/>
  <c r="Y12" i="1135"/>
  <c r="Y35" i="1135" s="1"/>
  <c r="Y45" i="1135" s="1"/>
  <c r="I13" i="1141"/>
  <c r="F45" i="1143"/>
  <c r="F37" i="1143"/>
  <c r="F46" i="1143" s="1"/>
  <c r="I44" i="1133"/>
  <c r="S14" i="2" s="1"/>
  <c r="AF18" i="1135"/>
  <c r="AF26" i="1135"/>
  <c r="H13" i="1141"/>
  <c r="AD45" i="1143"/>
  <c r="AD37" i="1143"/>
  <c r="AA45" i="1143"/>
  <c r="AA37" i="1143"/>
  <c r="Z44" i="1127"/>
  <c r="N44" i="1133"/>
  <c r="S19" i="2" s="1"/>
  <c r="W44" i="1133"/>
  <c r="X44" i="1133"/>
  <c r="S29" i="2" s="1"/>
  <c r="V44" i="1133"/>
  <c r="S27" i="2" s="1"/>
  <c r="U44" i="1133"/>
  <c r="S26" i="2" s="1"/>
  <c r="I12" i="1135"/>
  <c r="I35" i="1135" s="1"/>
  <c r="I45" i="1135" s="1"/>
  <c r="AF19" i="1135"/>
  <c r="K44" i="1135"/>
  <c r="W16" i="2" s="1"/>
  <c r="T44" i="1135"/>
  <c r="W25" i="2" s="1"/>
  <c r="W45" i="1143"/>
  <c r="W37" i="1143"/>
  <c r="AE45" i="1143"/>
  <c r="AE37" i="1143"/>
  <c r="Z45" i="1143"/>
  <c r="D44" i="1143"/>
  <c r="AM9" i="2" s="1"/>
  <c r="D12" i="1143"/>
  <c r="D35" i="1143" s="1"/>
  <c r="Q13" i="1141"/>
  <c r="Y45" i="1143"/>
  <c r="AC12" i="1129"/>
  <c r="AC35" i="1129" s="1"/>
  <c r="AC37" i="1129" s="1"/>
  <c r="AC46" i="1129" s="1"/>
  <c r="F44" i="1133"/>
  <c r="D28" i="1135"/>
  <c r="D12" i="1135" s="1"/>
  <c r="D35" i="1135" s="1"/>
  <c r="AF21" i="1135"/>
  <c r="AF23" i="1135"/>
  <c r="R13" i="1137"/>
  <c r="AF24" i="1137"/>
  <c r="Q13" i="1139"/>
  <c r="AC12" i="1139"/>
  <c r="AC35" i="1139" s="1"/>
  <c r="AC37" i="1139" s="1"/>
  <c r="AC46" i="1139" s="1"/>
  <c r="E13" i="1141"/>
  <c r="L13" i="1141"/>
  <c r="L45" i="1142"/>
  <c r="AK17" i="2" s="1"/>
  <c r="L12" i="1142"/>
  <c r="L36" i="1142" s="1"/>
  <c r="G45" i="1142"/>
  <c r="AK12" i="2" s="1"/>
  <c r="G12" i="1142"/>
  <c r="G36" i="1142" s="1"/>
  <c r="J45" i="1142"/>
  <c r="AK15" i="2" s="1"/>
  <c r="J12" i="1142"/>
  <c r="J36" i="1142" s="1"/>
  <c r="Q45" i="1142"/>
  <c r="AK22" i="2" s="1"/>
  <c r="Q12" i="1142"/>
  <c r="Q36" i="1142" s="1"/>
  <c r="Z45" i="1142"/>
  <c r="AK31" i="2" s="1"/>
  <c r="Z12" i="1142"/>
  <c r="Z36" i="1142" s="1"/>
  <c r="M45" i="1142"/>
  <c r="AK18" i="2" s="1"/>
  <c r="M12" i="1142"/>
  <c r="M36" i="1142" s="1"/>
  <c r="R45" i="1142"/>
  <c r="AK23" i="2" s="1"/>
  <c r="R12" i="1142"/>
  <c r="R36" i="1142" s="1"/>
  <c r="AF26" i="1142"/>
  <c r="AF24" i="1142"/>
  <c r="AF22" i="1142"/>
  <c r="AF20" i="1142"/>
  <c r="AF18" i="1142"/>
  <c r="AF25" i="1142"/>
  <c r="AF23" i="1142"/>
  <c r="AF21" i="1142"/>
  <c r="AF19" i="1142"/>
  <c r="AF17" i="1142"/>
  <c r="AG17" i="1142" s="1"/>
  <c r="D29" i="1142"/>
  <c r="N45" i="1142"/>
  <c r="AK19" i="2" s="1"/>
  <c r="N12" i="1142"/>
  <c r="N36" i="1142" s="1"/>
  <c r="F45" i="1142"/>
  <c r="AK11" i="2" s="1"/>
  <c r="F12" i="1142"/>
  <c r="F36" i="1142" s="1"/>
  <c r="P45" i="1142"/>
  <c r="AK21" i="2" s="1"/>
  <c r="P12" i="1142"/>
  <c r="P36" i="1142" s="1"/>
  <c r="H45" i="1142"/>
  <c r="AK13" i="2" s="1"/>
  <c r="H12" i="1142"/>
  <c r="H36" i="1142" s="1"/>
  <c r="AC45" i="1142"/>
  <c r="AK34" i="2" s="1"/>
  <c r="AC12" i="1142"/>
  <c r="AC36" i="1142" s="1"/>
  <c r="AE45" i="1142"/>
  <c r="AK36" i="2" s="1"/>
  <c r="AE12" i="1142"/>
  <c r="AE36" i="1142" s="1"/>
  <c r="AF18" i="1139"/>
  <c r="AF18" i="1133"/>
  <c r="AF25" i="1135"/>
  <c r="AF22" i="1135"/>
  <c r="V12" i="1137"/>
  <c r="V35" i="1137" s="1"/>
  <c r="V45" i="1137" s="1"/>
  <c r="R13" i="1139"/>
  <c r="M13" i="1141"/>
  <c r="R13" i="1141"/>
  <c r="AB45" i="1142"/>
  <c r="AK33" i="2" s="1"/>
  <c r="AB12" i="1142"/>
  <c r="AB36" i="1142" s="1"/>
  <c r="X45" i="1142"/>
  <c r="AK29" i="2" s="1"/>
  <c r="X12" i="1142"/>
  <c r="X36" i="1142" s="1"/>
  <c r="S45" i="1142"/>
  <c r="AK24" i="2" s="1"/>
  <c r="S12" i="1142"/>
  <c r="S36" i="1142" s="1"/>
  <c r="V45" i="1142"/>
  <c r="AK27" i="2" s="1"/>
  <c r="V12" i="1142"/>
  <c r="V36" i="1142" s="1"/>
  <c r="AD45" i="1142"/>
  <c r="AK35" i="2" s="1"/>
  <c r="AD12" i="1142"/>
  <c r="AD36" i="1142" s="1"/>
  <c r="U45" i="1142"/>
  <c r="AK26" i="2" s="1"/>
  <c r="U12" i="1142"/>
  <c r="U36" i="1142" s="1"/>
  <c r="AA45" i="1142"/>
  <c r="AK32" i="2" s="1"/>
  <c r="AA12" i="1142"/>
  <c r="AA36" i="1142" s="1"/>
  <c r="I45" i="1142"/>
  <c r="AK14" i="2" s="1"/>
  <c r="I12" i="1142"/>
  <c r="I36" i="1142" s="1"/>
  <c r="E45" i="1142"/>
  <c r="AK10" i="2" s="1"/>
  <c r="E12" i="1142"/>
  <c r="E36" i="1142" s="1"/>
  <c r="K45" i="1142"/>
  <c r="AK16" i="2" s="1"/>
  <c r="K12" i="1142"/>
  <c r="K36" i="1142" s="1"/>
  <c r="O45" i="1142"/>
  <c r="AK20" i="2" s="1"/>
  <c r="O12" i="1142"/>
  <c r="O36" i="1142" s="1"/>
  <c r="T45" i="1142"/>
  <c r="AK25" i="2" s="1"/>
  <c r="T12" i="1142"/>
  <c r="T36" i="1142" s="1"/>
  <c r="Y45" i="1142"/>
  <c r="AK30" i="2" s="1"/>
  <c r="Y12" i="1142"/>
  <c r="Y36" i="1142" s="1"/>
  <c r="W45" i="1142"/>
  <c r="AK28" i="2" s="1"/>
  <c r="W12" i="1142"/>
  <c r="W36" i="1142" s="1"/>
  <c r="AA21" i="2"/>
  <c r="P12" i="1137"/>
  <c r="P35" i="1137" s="1"/>
  <c r="P45" i="1137" s="1"/>
  <c r="G13" i="1137"/>
  <c r="AA13" i="1137"/>
  <c r="T13" i="1137"/>
  <c r="AD44" i="1137"/>
  <c r="AA35" i="2" s="1"/>
  <c r="AA15" i="2"/>
  <c r="N13" i="1137"/>
  <c r="J12" i="1137"/>
  <c r="J35" i="1137" s="1"/>
  <c r="J45" i="1137" s="1"/>
  <c r="Z13" i="1137"/>
  <c r="I13" i="1137"/>
  <c r="L12" i="1139"/>
  <c r="L35" i="1139" s="1"/>
  <c r="L37" i="1139" s="1"/>
  <c r="L46" i="1139" s="1"/>
  <c r="J12" i="1139"/>
  <c r="J35" i="1139" s="1"/>
  <c r="J45" i="1139" s="1"/>
  <c r="G12" i="1139"/>
  <c r="G35" i="1139" s="1"/>
  <c r="G37" i="1139" s="1"/>
  <c r="AD13" i="1139"/>
  <c r="Z13" i="1139"/>
  <c r="J13" i="1139"/>
  <c r="O12" i="1139"/>
  <c r="O35" i="1139" s="1"/>
  <c r="O45" i="1139" s="1"/>
  <c r="F13" i="1139"/>
  <c r="U13" i="1141"/>
  <c r="AC13" i="1141"/>
  <c r="G13" i="1141"/>
  <c r="AE13" i="1141"/>
  <c r="R45" i="1141"/>
  <c r="R37" i="1141"/>
  <c r="R46" i="1141" s="1"/>
  <c r="V44" i="1129"/>
  <c r="K27" i="2" s="1"/>
  <c r="AC12" i="1131"/>
  <c r="AC36" i="1131" s="1"/>
  <c r="AC46" i="1131" s="1"/>
  <c r="U12" i="1131"/>
  <c r="U36" i="1131" s="1"/>
  <c r="U38" i="1131" s="1"/>
  <c r="U47" i="1131" s="1"/>
  <c r="T44" i="1137"/>
  <c r="AA25" i="2" s="1"/>
  <c r="AE44" i="1137"/>
  <c r="AA36" i="2" s="1"/>
  <c r="AF18" i="1137"/>
  <c r="N44" i="1137"/>
  <c r="AA19" i="2" s="1"/>
  <c r="L12" i="1137"/>
  <c r="L35" i="1137" s="1"/>
  <c r="L37" i="1137" s="1"/>
  <c r="L46" i="1137" s="1"/>
  <c r="G44" i="1137"/>
  <c r="AA12" i="2" s="1"/>
  <c r="AD13" i="1137"/>
  <c r="AA44" i="1137"/>
  <c r="AA32" i="2" s="1"/>
  <c r="AD44" i="1139"/>
  <c r="AE35" i="2" s="1"/>
  <c r="U12" i="1139"/>
  <c r="U35" i="1139" s="1"/>
  <c r="U45" i="1139" s="1"/>
  <c r="AA44" i="1139"/>
  <c r="AE32" i="2" s="1"/>
  <c r="I13" i="1139"/>
  <c r="AF24" i="1139"/>
  <c r="E44" i="1139"/>
  <c r="AE10" i="2" s="1"/>
  <c r="K12" i="1139"/>
  <c r="K35" i="1139" s="1"/>
  <c r="K37" i="1139" s="1"/>
  <c r="AC45" i="1141"/>
  <c r="AC37" i="1141"/>
  <c r="Q45" i="1141"/>
  <c r="Q37" i="1141"/>
  <c r="AE45" i="1141"/>
  <c r="AE37" i="1141"/>
  <c r="AE46" i="1141" s="1"/>
  <c r="L45" i="1141"/>
  <c r="L37" i="1141"/>
  <c r="L46" i="1141" s="1"/>
  <c r="G45" i="1141"/>
  <c r="G37" i="1141"/>
  <c r="G46" i="1141" s="1"/>
  <c r="AD12" i="1129"/>
  <c r="AD35" i="1129" s="1"/>
  <c r="AD45" i="1129" s="1"/>
  <c r="AB44" i="1129"/>
  <c r="K33" i="2" s="1"/>
  <c r="U44" i="1129"/>
  <c r="K26" i="2" s="1"/>
  <c r="AF23" i="1129"/>
  <c r="X12" i="1131"/>
  <c r="X36" i="1131" s="1"/>
  <c r="X46" i="1131" s="1"/>
  <c r="AF18" i="1131"/>
  <c r="AE12" i="1137"/>
  <c r="AE35" i="1137" s="1"/>
  <c r="AE37" i="1137" s="1"/>
  <c r="AE46" i="1137" s="1"/>
  <c r="F12" i="1137"/>
  <c r="F35" i="1137" s="1"/>
  <c r="F45" i="1137" s="1"/>
  <c r="L44" i="1137"/>
  <c r="AA17" i="2" s="1"/>
  <c r="H12" i="1139"/>
  <c r="H35" i="1139" s="1"/>
  <c r="H45" i="1139" s="1"/>
  <c r="AF23" i="1139"/>
  <c r="P12" i="1139"/>
  <c r="P35" i="1139" s="1"/>
  <c r="P45" i="1139" s="1"/>
  <c r="AE12" i="1139"/>
  <c r="AE35" i="1139" s="1"/>
  <c r="AE45" i="1139" s="1"/>
  <c r="I45" i="1141"/>
  <c r="I37" i="1141"/>
  <c r="I46" i="1141" s="1"/>
  <c r="F45" i="1141"/>
  <c r="F37" i="1141"/>
  <c r="H45" i="1141"/>
  <c r="H37" i="1141"/>
  <c r="H46" i="1141" s="1"/>
  <c r="AA12" i="1129"/>
  <c r="AA35" i="1129" s="1"/>
  <c r="AA37" i="1129" s="1"/>
  <c r="AA46" i="1129" s="1"/>
  <c r="X12" i="1129"/>
  <c r="X35" i="1129" s="1"/>
  <c r="X37" i="1129" s="1"/>
  <c r="X46" i="1129" s="1"/>
  <c r="K45" i="1131"/>
  <c r="O16" i="2" s="1"/>
  <c r="V12" i="1131"/>
  <c r="V36" i="1131" s="1"/>
  <c r="V38" i="1131" s="1"/>
  <c r="V47" i="1131" s="1"/>
  <c r="D44" i="1141"/>
  <c r="D12" i="1141"/>
  <c r="D35" i="1141" s="1"/>
  <c r="E45" i="1141"/>
  <c r="E37" i="1141"/>
  <c r="E46" i="1141" s="1"/>
  <c r="Z45" i="1141"/>
  <c r="Z37" i="1141"/>
  <c r="P45" i="1141"/>
  <c r="U37" i="1141"/>
  <c r="U46" i="1141" s="1"/>
  <c r="Q44" i="1140"/>
  <c r="AG22" i="2" s="1"/>
  <c r="Q12" i="1140"/>
  <c r="Q35" i="1140" s="1"/>
  <c r="M44" i="1140"/>
  <c r="AG18" i="2" s="1"/>
  <c r="M12" i="1140"/>
  <c r="M35" i="1140" s="1"/>
  <c r="N44" i="1140"/>
  <c r="AG19" i="2" s="1"/>
  <c r="N12" i="1140"/>
  <c r="N35" i="1140" s="1"/>
  <c r="N12" i="1127"/>
  <c r="N35" i="1127" s="1"/>
  <c r="N45" i="1127" s="1"/>
  <c r="AC44" i="1127"/>
  <c r="G34" i="2" s="1"/>
  <c r="S44" i="1127"/>
  <c r="G24" i="2" s="1"/>
  <c r="AA12" i="1127"/>
  <c r="AA35" i="1127" s="1"/>
  <c r="AA45" i="1127" s="1"/>
  <c r="P12" i="1131"/>
  <c r="P36" i="1131" s="1"/>
  <c r="P46" i="1131" s="1"/>
  <c r="W12" i="1131"/>
  <c r="W36" i="1131" s="1"/>
  <c r="W38" i="1131" s="1"/>
  <c r="W47" i="1131" s="1"/>
  <c r="G12" i="1131"/>
  <c r="G36" i="1131" s="1"/>
  <c r="G46" i="1131" s="1"/>
  <c r="Z12" i="1131"/>
  <c r="Z36" i="1131" s="1"/>
  <c r="Z46" i="1131" s="1"/>
  <c r="H13" i="1135"/>
  <c r="W13" i="1135"/>
  <c r="AB13" i="1135"/>
  <c r="Y12" i="1137"/>
  <c r="Y35" i="1137" s="1"/>
  <c r="Y45" i="1137" s="1"/>
  <c r="AC12" i="1137"/>
  <c r="AF21" i="1137"/>
  <c r="AF17" i="1137"/>
  <c r="AG17" i="1137" s="1"/>
  <c r="Q12" i="1137"/>
  <c r="Q35" i="1137" s="1"/>
  <c r="Q37" i="1137" s="1"/>
  <c r="Z44" i="1137"/>
  <c r="AA31" i="2" s="1"/>
  <c r="M12" i="1137"/>
  <c r="M35" i="1137" s="1"/>
  <c r="M45" i="1137" s="1"/>
  <c r="R44" i="1137"/>
  <c r="AA23" i="2" s="1"/>
  <c r="K12" i="1137"/>
  <c r="K35" i="1137" s="1"/>
  <c r="K45" i="1137" s="1"/>
  <c r="AF22" i="1139"/>
  <c r="AF17" i="1139"/>
  <c r="AG17" i="1139" s="1"/>
  <c r="AF25" i="1139"/>
  <c r="X13" i="1139"/>
  <c r="L44" i="1140"/>
  <c r="AG17" i="2" s="1"/>
  <c r="L12" i="1140"/>
  <c r="L35" i="1140" s="1"/>
  <c r="G44" i="1140"/>
  <c r="AG12" i="2" s="1"/>
  <c r="G12" i="1140"/>
  <c r="G35" i="1140" s="1"/>
  <c r="J12" i="1140"/>
  <c r="J35" i="1140" s="1"/>
  <c r="J44" i="1140"/>
  <c r="AG15" i="2" s="1"/>
  <c r="O44" i="1140"/>
  <c r="AG20" i="2" s="1"/>
  <c r="O12" i="1140"/>
  <c r="O35" i="1140" s="1"/>
  <c r="Y44" i="1140"/>
  <c r="AG30" i="2" s="1"/>
  <c r="Y12" i="1140"/>
  <c r="Y35" i="1140" s="1"/>
  <c r="Z12" i="1140"/>
  <c r="Z35" i="1140" s="1"/>
  <c r="Z44" i="1140"/>
  <c r="AG31" i="2" s="1"/>
  <c r="AF26" i="1140"/>
  <c r="AF24" i="1140"/>
  <c r="AF22" i="1140"/>
  <c r="AF20" i="1140"/>
  <c r="AF18" i="1140"/>
  <c r="AF21" i="1140"/>
  <c r="AF23" i="1140"/>
  <c r="AF25" i="1140"/>
  <c r="AF17" i="1140"/>
  <c r="AG17" i="1140" s="1"/>
  <c r="AF19" i="1140"/>
  <c r="D28" i="1140"/>
  <c r="F44" i="1127"/>
  <c r="G11" i="2" s="1"/>
  <c r="AE44" i="1127"/>
  <c r="G36" i="2" s="1"/>
  <c r="V44" i="1127"/>
  <c r="G27" i="2" s="1"/>
  <c r="AE12" i="1131"/>
  <c r="AE36" i="1131" s="1"/>
  <c r="AE46" i="1131" s="1"/>
  <c r="J12" i="1131"/>
  <c r="J36" i="1131" s="1"/>
  <c r="J38" i="1131" s="1"/>
  <c r="J47" i="1131" s="1"/>
  <c r="AF20" i="1137"/>
  <c r="AF26" i="1137"/>
  <c r="AF22" i="1137"/>
  <c r="AB13" i="1137"/>
  <c r="X12" i="1137"/>
  <c r="X35" i="1137" s="1"/>
  <c r="X45" i="1137" s="1"/>
  <c r="E12" i="1137"/>
  <c r="E35" i="1137" s="1"/>
  <c r="E37" i="1137" s="1"/>
  <c r="E46" i="1137" s="1"/>
  <c r="I44" i="1137"/>
  <c r="AA14" i="2" s="1"/>
  <c r="S12" i="1139"/>
  <c r="S35" i="1139" s="1"/>
  <c r="S45" i="1139" s="1"/>
  <c r="AF26" i="1139"/>
  <c r="AF19" i="1139"/>
  <c r="V13" i="1139"/>
  <c r="P44" i="1140"/>
  <c r="AG21" i="2" s="1"/>
  <c r="P12" i="1140"/>
  <c r="P35" i="1140" s="1"/>
  <c r="H44" i="1140"/>
  <c r="AG13" i="2" s="1"/>
  <c r="H12" i="1140"/>
  <c r="H35" i="1140" s="1"/>
  <c r="AC44" i="1140"/>
  <c r="AG34" i="2" s="1"/>
  <c r="AC12" i="1140"/>
  <c r="AC35" i="1140" s="1"/>
  <c r="AE44" i="1140"/>
  <c r="AG36" i="2" s="1"/>
  <c r="AE12" i="1140"/>
  <c r="AE35" i="1140" s="1"/>
  <c r="AD44" i="1140"/>
  <c r="AG35" i="2" s="1"/>
  <c r="AD12" i="1140"/>
  <c r="AD35" i="1140" s="1"/>
  <c r="U12" i="1140"/>
  <c r="U35" i="1140" s="1"/>
  <c r="U44" i="1140"/>
  <c r="AG26" i="2" s="1"/>
  <c r="AA44" i="1140"/>
  <c r="AG32" i="2" s="1"/>
  <c r="AA12" i="1140"/>
  <c r="AA35" i="1140" s="1"/>
  <c r="I12" i="1140"/>
  <c r="I35" i="1140" s="1"/>
  <c r="I44" i="1140"/>
  <c r="AG14" i="2" s="1"/>
  <c r="E12" i="1140"/>
  <c r="E35" i="1140" s="1"/>
  <c r="E44" i="1140"/>
  <c r="AG10" i="2" s="1"/>
  <c r="K44" i="1140"/>
  <c r="AG16" i="2" s="1"/>
  <c r="K12" i="1140"/>
  <c r="K35" i="1140" s="1"/>
  <c r="T44" i="1140"/>
  <c r="AG25" i="2" s="1"/>
  <c r="T12" i="1140"/>
  <c r="T35" i="1140" s="1"/>
  <c r="W44" i="1140"/>
  <c r="AG28" i="2" s="1"/>
  <c r="W12" i="1140"/>
  <c r="W35" i="1140" s="1"/>
  <c r="R12" i="1140"/>
  <c r="R35" i="1140" s="1"/>
  <c r="R44" i="1140"/>
  <c r="AG23" i="2" s="1"/>
  <c r="F44" i="1140"/>
  <c r="AG11" i="2" s="1"/>
  <c r="F12" i="1140"/>
  <c r="F35" i="1140" s="1"/>
  <c r="P44" i="1127"/>
  <c r="G21" i="2" s="1"/>
  <c r="AB44" i="1127"/>
  <c r="G33" i="2" s="1"/>
  <c r="N12" i="1131"/>
  <c r="N36" i="1131" s="1"/>
  <c r="N46" i="1131" s="1"/>
  <c r="H12" i="1131"/>
  <c r="H36" i="1131" s="1"/>
  <c r="H38" i="1131" s="1"/>
  <c r="L12" i="1131"/>
  <c r="L36" i="1131" s="1"/>
  <c r="X13" i="1135"/>
  <c r="AF23" i="1137"/>
  <c r="AF19" i="1137"/>
  <c r="AF25" i="1137"/>
  <c r="AB44" i="1137"/>
  <c r="AA33" i="2" s="1"/>
  <c r="S12" i="1137"/>
  <c r="AF20" i="1139"/>
  <c r="AF21" i="1139"/>
  <c r="AB44" i="1140"/>
  <c r="AG33" i="2" s="1"/>
  <c r="AB12" i="1140"/>
  <c r="AB35" i="1140" s="1"/>
  <c r="X44" i="1140"/>
  <c r="AG29" i="2" s="1"/>
  <c r="X12" i="1140"/>
  <c r="X35" i="1140" s="1"/>
  <c r="S44" i="1140"/>
  <c r="AG24" i="2" s="1"/>
  <c r="S12" i="1140"/>
  <c r="S35" i="1140" s="1"/>
  <c r="V44" i="1140"/>
  <c r="AG27" i="2" s="1"/>
  <c r="V12" i="1140"/>
  <c r="V35" i="1140" s="1"/>
  <c r="O13" i="1133"/>
  <c r="Q45" i="1139"/>
  <c r="Q37" i="1139"/>
  <c r="AD45" i="1139"/>
  <c r="AD37" i="1139"/>
  <c r="AA45" i="1139"/>
  <c r="AA37" i="1139"/>
  <c r="D44" i="1139"/>
  <c r="AE9" i="2" s="1"/>
  <c r="D12" i="1139"/>
  <c r="D35" i="1139" s="1"/>
  <c r="F45" i="1139"/>
  <c r="F37" i="1139"/>
  <c r="V45" i="1139"/>
  <c r="V37" i="1139"/>
  <c r="X45" i="1139"/>
  <c r="X37" i="1139"/>
  <c r="I45" i="1139"/>
  <c r="I37" i="1139"/>
  <c r="I46" i="1139" s="1"/>
  <c r="K44" i="1127"/>
  <c r="G16" i="2" s="1"/>
  <c r="Z45" i="1139"/>
  <c r="Z37" i="1139"/>
  <c r="R45" i="1139"/>
  <c r="R37" i="1139"/>
  <c r="E45" i="1139"/>
  <c r="E37" i="1139"/>
  <c r="Y12" i="1127"/>
  <c r="Y35" i="1127" s="1"/>
  <c r="Y45" i="1127" s="1"/>
  <c r="I12" i="1129"/>
  <c r="I35" i="1129" s="1"/>
  <c r="I45" i="1129" s="1"/>
  <c r="O12" i="1129"/>
  <c r="O35" i="1129" s="1"/>
  <c r="O37" i="1129" s="1"/>
  <c r="O46" i="1129" s="1"/>
  <c r="H12" i="1129"/>
  <c r="H35" i="1129" s="1"/>
  <c r="H37" i="1129" s="1"/>
  <c r="H46" i="1129" s="1"/>
  <c r="AB44" i="1138"/>
  <c r="AC33" i="2" s="1"/>
  <c r="AB12" i="1138"/>
  <c r="AB35" i="1138" s="1"/>
  <c r="X44" i="1138"/>
  <c r="AC29" i="2" s="1"/>
  <c r="X12" i="1138"/>
  <c r="X35" i="1138" s="1"/>
  <c r="S44" i="1138"/>
  <c r="AC24" i="2" s="1"/>
  <c r="S12" i="1138"/>
  <c r="S35" i="1138" s="1"/>
  <c r="V44" i="1138"/>
  <c r="AC27" i="2" s="1"/>
  <c r="V12" i="1138"/>
  <c r="V35" i="1138" s="1"/>
  <c r="Y12" i="1138"/>
  <c r="Y35" i="1138" s="1"/>
  <c r="Y44" i="1138"/>
  <c r="AC30" i="2" s="1"/>
  <c r="Q44" i="1138"/>
  <c r="AC22" i="2" s="1"/>
  <c r="Q12" i="1138"/>
  <c r="Q35" i="1138" s="1"/>
  <c r="Z44" i="1138"/>
  <c r="AC31" i="2" s="1"/>
  <c r="Z12" i="1138"/>
  <c r="Z35" i="1138" s="1"/>
  <c r="M44" i="1138"/>
  <c r="AC18" i="2" s="1"/>
  <c r="M12" i="1138"/>
  <c r="M35" i="1138" s="1"/>
  <c r="R44" i="1138"/>
  <c r="AC23" i="2" s="1"/>
  <c r="R12" i="1138"/>
  <c r="R35" i="1138" s="1"/>
  <c r="W44" i="1138"/>
  <c r="AC28" i="2" s="1"/>
  <c r="W12" i="1138"/>
  <c r="W35" i="1138" s="1"/>
  <c r="I12" i="1138"/>
  <c r="I35" i="1138" s="1"/>
  <c r="I44" i="1138"/>
  <c r="AC14" i="2" s="1"/>
  <c r="E12" i="1138"/>
  <c r="E35" i="1138" s="1"/>
  <c r="E44" i="1138"/>
  <c r="AC10" i="2" s="1"/>
  <c r="K44" i="1138"/>
  <c r="AC16" i="2" s="1"/>
  <c r="K12" i="1138"/>
  <c r="K35" i="1138" s="1"/>
  <c r="O44" i="1138"/>
  <c r="AC20" i="2" s="1"/>
  <c r="O12" i="1138"/>
  <c r="O35" i="1138" s="1"/>
  <c r="AC44" i="1138"/>
  <c r="AC34" i="2" s="1"/>
  <c r="AC12" i="1138"/>
  <c r="AC35" i="1138" s="1"/>
  <c r="AF24" i="1127"/>
  <c r="E44" i="1129"/>
  <c r="K10" i="2" s="1"/>
  <c r="W12" i="1129"/>
  <c r="W35" i="1129" s="1"/>
  <c r="W45" i="1129" s="1"/>
  <c r="AF22" i="1133"/>
  <c r="G13" i="1133"/>
  <c r="L44" i="1138"/>
  <c r="AC17" i="2" s="1"/>
  <c r="L12" i="1138"/>
  <c r="L35" i="1138" s="1"/>
  <c r="G44" i="1138"/>
  <c r="AC12" i="2" s="1"/>
  <c r="G12" i="1138"/>
  <c r="G35" i="1138" s="1"/>
  <c r="J44" i="1138"/>
  <c r="AC15" i="2" s="1"/>
  <c r="J12" i="1138"/>
  <c r="J35" i="1138" s="1"/>
  <c r="P44" i="1138"/>
  <c r="AC21" i="2" s="1"/>
  <c r="P12" i="1138"/>
  <c r="P35" i="1138" s="1"/>
  <c r="AE44" i="1138"/>
  <c r="AC36" i="2" s="1"/>
  <c r="AE12" i="1138"/>
  <c r="AE35" i="1138" s="1"/>
  <c r="AD44" i="1138"/>
  <c r="AC35" i="2" s="1"/>
  <c r="AD12" i="1138"/>
  <c r="AD35" i="1138" s="1"/>
  <c r="U12" i="1138"/>
  <c r="U35" i="1138" s="1"/>
  <c r="U44" i="1138"/>
  <c r="AC26" i="2" s="1"/>
  <c r="AA44" i="1138"/>
  <c r="AC32" i="2" s="1"/>
  <c r="AA12" i="1138"/>
  <c r="AA35" i="1138" s="1"/>
  <c r="L44" i="1127"/>
  <c r="G17" i="2" s="1"/>
  <c r="K44" i="1129"/>
  <c r="K16" i="2" s="1"/>
  <c r="AF26" i="1129"/>
  <c r="H44" i="1138"/>
  <c r="AC13" i="2" s="1"/>
  <c r="H12" i="1138"/>
  <c r="H35" i="1138" s="1"/>
  <c r="AF24" i="1138"/>
  <c r="AF20" i="1138"/>
  <c r="AF23" i="1138"/>
  <c r="AF19" i="1138"/>
  <c r="AF26" i="1138"/>
  <c r="AF22" i="1138"/>
  <c r="AF18" i="1138"/>
  <c r="AF25" i="1138"/>
  <c r="AF21" i="1138"/>
  <c r="AF17" i="1138"/>
  <c r="AG17" i="1138" s="1"/>
  <c r="D28" i="1138"/>
  <c r="N44" i="1138"/>
  <c r="AC19" i="2" s="1"/>
  <c r="N12" i="1138"/>
  <c r="N35" i="1138" s="1"/>
  <c r="F44" i="1138"/>
  <c r="AC11" i="2" s="1"/>
  <c r="F12" i="1138"/>
  <c r="F35" i="1138" s="1"/>
  <c r="T44" i="1138"/>
  <c r="AC25" i="2" s="1"/>
  <c r="T12" i="1138"/>
  <c r="T35" i="1138" s="1"/>
  <c r="AF22" i="1127"/>
  <c r="W12" i="1127"/>
  <c r="W35" i="1127" s="1"/>
  <c r="W45" i="1127" s="1"/>
  <c r="G44" i="1127"/>
  <c r="G12" i="2" s="1"/>
  <c r="AF23" i="1131"/>
  <c r="AF21" i="1131"/>
  <c r="AF23" i="1133"/>
  <c r="AE13" i="1133"/>
  <c r="AF20" i="1133"/>
  <c r="F13" i="1135"/>
  <c r="AE13" i="1135"/>
  <c r="G13" i="1135"/>
  <c r="N45" i="1137"/>
  <c r="N37" i="1137"/>
  <c r="N46" i="1137" s="1"/>
  <c r="AB45" i="1137"/>
  <c r="AB37" i="1137"/>
  <c r="AB46" i="1137" s="1"/>
  <c r="L45" i="1137"/>
  <c r="Z45" i="1137"/>
  <c r="Z37" i="1137"/>
  <c r="Z46" i="1137" s="1"/>
  <c r="AA45" i="1137"/>
  <c r="AA37" i="1137"/>
  <c r="AA46" i="1137" s="1"/>
  <c r="R45" i="1137"/>
  <c r="R37" i="1137"/>
  <c r="R46" i="1137" s="1"/>
  <c r="L13" i="1135"/>
  <c r="T45" i="1137"/>
  <c r="T37" i="1137"/>
  <c r="D44" i="1137"/>
  <c r="AA9" i="2" s="1"/>
  <c r="D12" i="1137"/>
  <c r="D35" i="1137" s="1"/>
  <c r="G45" i="1137"/>
  <c r="G37" i="1137"/>
  <c r="I45" i="1137"/>
  <c r="I37" i="1137"/>
  <c r="I46" i="1137" s="1"/>
  <c r="AF17" i="1127"/>
  <c r="AG17" i="1127" s="1"/>
  <c r="E44" i="1127"/>
  <c r="G10" i="2" s="1"/>
  <c r="T12" i="1127"/>
  <c r="T35" i="1127" s="1"/>
  <c r="T45" i="1127" s="1"/>
  <c r="Q44" i="1127"/>
  <c r="G22" i="2" s="1"/>
  <c r="U12" i="1127"/>
  <c r="U35" i="1127" s="1"/>
  <c r="U45" i="1127" s="1"/>
  <c r="G44" i="1129"/>
  <c r="K12" i="2" s="1"/>
  <c r="O13" i="1135"/>
  <c r="W45" i="1137"/>
  <c r="AD45" i="1137"/>
  <c r="AD37" i="1137"/>
  <c r="AD46" i="1137" s="1"/>
  <c r="AF23" i="1127"/>
  <c r="J44" i="1127"/>
  <c r="G15" i="2" s="1"/>
  <c r="AD44" i="1127"/>
  <c r="G35" i="2" s="1"/>
  <c r="AF26" i="1131"/>
  <c r="F45" i="1131"/>
  <c r="O11" i="2" s="1"/>
  <c r="Y12" i="1131"/>
  <c r="Y36" i="1131" s="1"/>
  <c r="Y46" i="1131" s="1"/>
  <c r="AB12" i="1131"/>
  <c r="AB36" i="1131" s="1"/>
  <c r="AB46" i="1131" s="1"/>
  <c r="S12" i="1131"/>
  <c r="S36" i="1131" s="1"/>
  <c r="S46" i="1131" s="1"/>
  <c r="AD12" i="1131"/>
  <c r="AD36" i="1131" s="1"/>
  <c r="AD46" i="1131" s="1"/>
  <c r="AA45" i="1131"/>
  <c r="O32" i="2" s="1"/>
  <c r="AF19" i="1133"/>
  <c r="AF26" i="1133"/>
  <c r="U13" i="1133"/>
  <c r="M13" i="1133"/>
  <c r="V13" i="1135"/>
  <c r="M13" i="1135"/>
  <c r="W13" i="1133"/>
  <c r="X13" i="1133"/>
  <c r="V13" i="1133"/>
  <c r="E13" i="1133"/>
  <c r="Y13" i="1133"/>
  <c r="L13" i="1133"/>
  <c r="J13" i="1133"/>
  <c r="Z13" i="1133"/>
  <c r="R13" i="1133"/>
  <c r="H13" i="1133"/>
  <c r="AB13" i="1133"/>
  <c r="S13" i="1133"/>
  <c r="Q13" i="1133"/>
  <c r="AD13" i="1133"/>
  <c r="AA13" i="1133"/>
  <c r="N13" i="1133"/>
  <c r="F13" i="1133"/>
  <c r="AC13" i="1133"/>
  <c r="S13" i="1135"/>
  <c r="Q13" i="1135"/>
  <c r="T13" i="1135"/>
  <c r="Z13" i="1135"/>
  <c r="R13" i="1135"/>
  <c r="AC13" i="1135"/>
  <c r="AD13" i="1135"/>
  <c r="AA13" i="1135"/>
  <c r="E35" i="1135"/>
  <c r="E45" i="1135" s="1"/>
  <c r="E13" i="1135"/>
  <c r="K13" i="1135"/>
  <c r="J13" i="1135"/>
  <c r="N13" i="1135"/>
  <c r="P13" i="1135"/>
  <c r="AF25" i="1127"/>
  <c r="AF21" i="1129"/>
  <c r="F12" i="1129"/>
  <c r="F35" i="1129" s="1"/>
  <c r="F45" i="1129" s="1"/>
  <c r="AE44" i="1129"/>
  <c r="K36" i="2" s="1"/>
  <c r="L44" i="1129"/>
  <c r="K17" i="2" s="1"/>
  <c r="AF24" i="1131"/>
  <c r="E45" i="1131"/>
  <c r="O10" i="2" s="1"/>
  <c r="I13" i="1133"/>
  <c r="AF17" i="1133"/>
  <c r="AG17" i="1133" s="1"/>
  <c r="AF25" i="1133"/>
  <c r="AF24" i="1133"/>
  <c r="E44" i="1133"/>
  <c r="S10" i="2" s="1"/>
  <c r="K12" i="1133"/>
  <c r="O44" i="1133"/>
  <c r="S20" i="2" s="1"/>
  <c r="T12" i="1133"/>
  <c r="Y44" i="1133"/>
  <c r="S30" i="2" s="1"/>
  <c r="I44" i="1136"/>
  <c r="Y14" i="2" s="1"/>
  <c r="I12" i="1136"/>
  <c r="I35" i="1136" s="1"/>
  <c r="E12" i="1136"/>
  <c r="E35" i="1136" s="1"/>
  <c r="E44" i="1136"/>
  <c r="Y10" i="2" s="1"/>
  <c r="K44" i="1136"/>
  <c r="Y16" i="2" s="1"/>
  <c r="K12" i="1136"/>
  <c r="K35" i="1136" s="1"/>
  <c r="O44" i="1136"/>
  <c r="Y20" i="2" s="1"/>
  <c r="O12" i="1136"/>
  <c r="O35" i="1136" s="1"/>
  <c r="T44" i="1136"/>
  <c r="Y25" i="2" s="1"/>
  <c r="T12" i="1136"/>
  <c r="T35" i="1136" s="1"/>
  <c r="Y44" i="1136"/>
  <c r="Y30" i="2" s="1"/>
  <c r="Y12" i="1136"/>
  <c r="Y35" i="1136" s="1"/>
  <c r="W44" i="1136"/>
  <c r="Y28" i="2" s="1"/>
  <c r="W12" i="1136"/>
  <c r="W35" i="1136" s="1"/>
  <c r="AB44" i="1136"/>
  <c r="Y33" i="2" s="1"/>
  <c r="AB12" i="1136"/>
  <c r="AB35" i="1136" s="1"/>
  <c r="X44" i="1136"/>
  <c r="Y29" i="2" s="1"/>
  <c r="X12" i="1136"/>
  <c r="X35" i="1136" s="1"/>
  <c r="S44" i="1136"/>
  <c r="Y24" i="2" s="1"/>
  <c r="S12" i="1136"/>
  <c r="S35" i="1136" s="1"/>
  <c r="V44" i="1136"/>
  <c r="Y27" i="2" s="1"/>
  <c r="V12" i="1136"/>
  <c r="V35" i="1136" s="1"/>
  <c r="AD44" i="1136"/>
  <c r="Y35" i="2" s="1"/>
  <c r="AD12" i="1136"/>
  <c r="AD35" i="1136" s="1"/>
  <c r="U44" i="1136"/>
  <c r="Y26" i="2" s="1"/>
  <c r="U12" i="1136"/>
  <c r="U35" i="1136" s="1"/>
  <c r="AA44" i="1136"/>
  <c r="Y32" i="2" s="1"/>
  <c r="AA12" i="1136"/>
  <c r="AA35" i="1136" s="1"/>
  <c r="AF20" i="1129"/>
  <c r="D29" i="1131"/>
  <c r="M45" i="1131" s="1"/>
  <c r="O18" i="2" s="1"/>
  <c r="O45" i="1131"/>
  <c r="O20" i="2" s="1"/>
  <c r="AF21" i="1133"/>
  <c r="AF26" i="1136"/>
  <c r="AF24" i="1136"/>
  <c r="AF22" i="1136"/>
  <c r="AF20" i="1136"/>
  <c r="AF18" i="1136"/>
  <c r="AF19" i="1136"/>
  <c r="AF21" i="1136"/>
  <c r="AF23" i="1136"/>
  <c r="AF25" i="1136"/>
  <c r="AF17" i="1136"/>
  <c r="AG17" i="1136" s="1"/>
  <c r="D28" i="1136"/>
  <c r="N44" i="1136"/>
  <c r="Y19" i="2" s="1"/>
  <c r="N12" i="1136"/>
  <c r="N35" i="1136" s="1"/>
  <c r="F44" i="1136"/>
  <c r="Y11" i="2" s="1"/>
  <c r="F12" i="1136"/>
  <c r="F35" i="1136" s="1"/>
  <c r="P44" i="1136"/>
  <c r="Y21" i="2" s="1"/>
  <c r="P12" i="1136"/>
  <c r="P35" i="1136" s="1"/>
  <c r="H44" i="1136"/>
  <c r="Y13" i="2" s="1"/>
  <c r="H12" i="1136"/>
  <c r="H35" i="1136" s="1"/>
  <c r="AC44" i="1136"/>
  <c r="Y34" i="2" s="1"/>
  <c r="AC12" i="1136"/>
  <c r="AC35" i="1136" s="1"/>
  <c r="AE44" i="1136"/>
  <c r="Y36" i="2" s="1"/>
  <c r="AE12" i="1136"/>
  <c r="AE35" i="1136" s="1"/>
  <c r="L44" i="1136"/>
  <c r="Y17" i="2" s="1"/>
  <c r="L12" i="1136"/>
  <c r="L35" i="1136" s="1"/>
  <c r="G44" i="1136"/>
  <c r="Y12" i="2" s="1"/>
  <c r="G12" i="1136"/>
  <c r="G35" i="1136" s="1"/>
  <c r="J12" i="1136"/>
  <c r="J35" i="1136" s="1"/>
  <c r="J44" i="1136"/>
  <c r="Y15" i="2" s="1"/>
  <c r="Q12" i="1136"/>
  <c r="Q35" i="1136" s="1"/>
  <c r="Q44" i="1136"/>
  <c r="Y22" i="2" s="1"/>
  <c r="Z12" i="1136"/>
  <c r="Z35" i="1136" s="1"/>
  <c r="Z44" i="1136"/>
  <c r="Y31" i="2" s="1"/>
  <c r="M44" i="1136"/>
  <c r="Y18" i="2" s="1"/>
  <c r="M12" i="1136"/>
  <c r="M35" i="1136" s="1"/>
  <c r="R12" i="1136"/>
  <c r="R35" i="1136" s="1"/>
  <c r="R44" i="1136"/>
  <c r="Y23" i="2" s="1"/>
  <c r="D28" i="1129"/>
  <c r="D44" i="1129" s="1"/>
  <c r="AF22" i="1129"/>
  <c r="O36" i="1131"/>
  <c r="O46" i="1131" s="1"/>
  <c r="O13" i="1131"/>
  <c r="I12" i="1127"/>
  <c r="I35" i="1127" s="1"/>
  <c r="I37" i="1127" s="1"/>
  <c r="AF19" i="1127"/>
  <c r="AF18" i="1127"/>
  <c r="AF26" i="1127"/>
  <c r="M44" i="1127"/>
  <c r="G18" i="2" s="1"/>
  <c r="AF17" i="1129"/>
  <c r="AG17" i="1129" s="1"/>
  <c r="AF25" i="1129"/>
  <c r="AF24" i="1129"/>
  <c r="N12" i="1129"/>
  <c r="N35" i="1129" s="1"/>
  <c r="N45" i="1129" s="1"/>
  <c r="Y12" i="1129"/>
  <c r="Y35" i="1129" s="1"/>
  <c r="Y45" i="1129" s="1"/>
  <c r="Z12" i="1129"/>
  <c r="Z35" i="1129" s="1"/>
  <c r="Z45" i="1129" s="1"/>
  <c r="Q12" i="1129"/>
  <c r="Q35" i="1129" s="1"/>
  <c r="Q45" i="1129" s="1"/>
  <c r="I12" i="1131"/>
  <c r="I36" i="1131" s="1"/>
  <c r="I38" i="1131" s="1"/>
  <c r="AF20" i="1131"/>
  <c r="AF17" i="1131"/>
  <c r="AG17" i="1131" s="1"/>
  <c r="AF25" i="1131"/>
  <c r="N45" i="1135"/>
  <c r="N37" i="1135"/>
  <c r="N46" i="1135" s="1"/>
  <c r="K45" i="1135"/>
  <c r="K37" i="1135"/>
  <c r="K46" i="1135" s="1"/>
  <c r="F45" i="1135"/>
  <c r="F37" i="1135"/>
  <c r="F46" i="1135" s="1"/>
  <c r="O45" i="1135"/>
  <c r="O37" i="1135"/>
  <c r="O46" i="1135" s="1"/>
  <c r="P45" i="1135"/>
  <c r="P37" i="1135"/>
  <c r="P46" i="1135" s="1"/>
  <c r="H45" i="1135"/>
  <c r="H37" i="1135"/>
  <c r="AC45" i="1135"/>
  <c r="AC37" i="1135"/>
  <c r="W45" i="1135"/>
  <c r="W37" i="1135"/>
  <c r="W46" i="1135" s="1"/>
  <c r="AE45" i="1135"/>
  <c r="AE37" i="1135"/>
  <c r="AE46" i="1135" s="1"/>
  <c r="X45" i="1135"/>
  <c r="X37" i="1135"/>
  <c r="X46" i="1135" s="1"/>
  <c r="G45" i="1135"/>
  <c r="G37" i="1135"/>
  <c r="S45" i="1135"/>
  <c r="S37" i="1135"/>
  <c r="V45" i="1135"/>
  <c r="V37" i="1135"/>
  <c r="AD45" i="1135"/>
  <c r="AD37" i="1135"/>
  <c r="M45" i="1135"/>
  <c r="M37" i="1135"/>
  <c r="AA45" i="1135"/>
  <c r="AA37" i="1135"/>
  <c r="AF21" i="1127"/>
  <c r="AF20" i="1127"/>
  <c r="AF19" i="1129"/>
  <c r="AF18" i="1129"/>
  <c r="T12" i="1129"/>
  <c r="T35" i="1129" s="1"/>
  <c r="T45" i="1129" s="1"/>
  <c r="J44" i="1129"/>
  <c r="K15" i="2" s="1"/>
  <c r="R44" i="1129"/>
  <c r="K23" i="2" s="1"/>
  <c r="AF22" i="1131"/>
  <c r="AF19" i="1131"/>
  <c r="T45" i="1135"/>
  <c r="T37" i="1135"/>
  <c r="AB45" i="1135"/>
  <c r="AB37" i="1135"/>
  <c r="L45" i="1135"/>
  <c r="L37" i="1135"/>
  <c r="J45" i="1135"/>
  <c r="J37" i="1135"/>
  <c r="Q45" i="1135"/>
  <c r="Q37" i="1135"/>
  <c r="Z45" i="1135"/>
  <c r="Z37" i="1135"/>
  <c r="R45" i="1135"/>
  <c r="R37" i="1135"/>
  <c r="I37" i="1135"/>
  <c r="I46" i="1135" s="1"/>
  <c r="E13" i="1131"/>
  <c r="I12" i="1134"/>
  <c r="I35" i="1134" s="1"/>
  <c r="I44" i="1134"/>
  <c r="U14" i="2" s="1"/>
  <c r="E12" i="1134"/>
  <c r="E35" i="1134" s="1"/>
  <c r="E44" i="1134"/>
  <c r="U10" i="2" s="1"/>
  <c r="K44" i="1134"/>
  <c r="U16" i="2" s="1"/>
  <c r="K12" i="1134"/>
  <c r="K35" i="1134" s="1"/>
  <c r="O44" i="1134"/>
  <c r="U20" i="2" s="1"/>
  <c r="O12" i="1134"/>
  <c r="O35" i="1134" s="1"/>
  <c r="T44" i="1134"/>
  <c r="U25" i="2" s="1"/>
  <c r="T12" i="1134"/>
  <c r="T35" i="1134" s="1"/>
  <c r="Y12" i="1134"/>
  <c r="Y35" i="1134" s="1"/>
  <c r="Y44" i="1134"/>
  <c r="U30" i="2" s="1"/>
  <c r="W44" i="1134"/>
  <c r="U28" i="2" s="1"/>
  <c r="W12" i="1134"/>
  <c r="W35" i="1134" s="1"/>
  <c r="AB44" i="1134"/>
  <c r="U33" i="2" s="1"/>
  <c r="AB12" i="1134"/>
  <c r="AB35" i="1134" s="1"/>
  <c r="X44" i="1134"/>
  <c r="U29" i="2" s="1"/>
  <c r="X12" i="1134"/>
  <c r="X35" i="1134" s="1"/>
  <c r="S44" i="1134"/>
  <c r="U24" i="2" s="1"/>
  <c r="S12" i="1134"/>
  <c r="S35" i="1134" s="1"/>
  <c r="V44" i="1134"/>
  <c r="U27" i="2" s="1"/>
  <c r="V12" i="1134"/>
  <c r="V35" i="1134" s="1"/>
  <c r="AD44" i="1134"/>
  <c r="U35" i="2" s="1"/>
  <c r="AD12" i="1134"/>
  <c r="AD35" i="1134" s="1"/>
  <c r="U12" i="1134"/>
  <c r="U35" i="1134" s="1"/>
  <c r="U44" i="1134"/>
  <c r="U26" i="2" s="1"/>
  <c r="AA44" i="1134"/>
  <c r="U32" i="2" s="1"/>
  <c r="AA12" i="1134"/>
  <c r="AA35" i="1134" s="1"/>
  <c r="AF25" i="1134"/>
  <c r="AF23" i="1134"/>
  <c r="AF21" i="1134"/>
  <c r="AF19" i="1134"/>
  <c r="AF17" i="1134"/>
  <c r="AG17" i="1134" s="1"/>
  <c r="D28" i="1134"/>
  <c r="AF26" i="1134"/>
  <c r="AF22" i="1134"/>
  <c r="AF18" i="1134"/>
  <c r="AF24" i="1134"/>
  <c r="AF20" i="1134"/>
  <c r="N44" i="1134"/>
  <c r="U19" i="2" s="1"/>
  <c r="N12" i="1134"/>
  <c r="N35" i="1134" s="1"/>
  <c r="F44" i="1134"/>
  <c r="U11" i="2" s="1"/>
  <c r="F12" i="1134"/>
  <c r="F35" i="1134" s="1"/>
  <c r="P44" i="1134"/>
  <c r="U21" i="2" s="1"/>
  <c r="P12" i="1134"/>
  <c r="P35" i="1134" s="1"/>
  <c r="H44" i="1134"/>
  <c r="U13" i="2" s="1"/>
  <c r="H12" i="1134"/>
  <c r="H35" i="1134" s="1"/>
  <c r="AC12" i="1134"/>
  <c r="AC35" i="1134" s="1"/>
  <c r="AC44" i="1134"/>
  <c r="U34" i="2" s="1"/>
  <c r="AE44" i="1134"/>
  <c r="U36" i="2" s="1"/>
  <c r="AE12" i="1134"/>
  <c r="AE35" i="1134" s="1"/>
  <c r="L44" i="1134"/>
  <c r="U17" i="2" s="1"/>
  <c r="L12" i="1134"/>
  <c r="L35" i="1134" s="1"/>
  <c r="G44" i="1134"/>
  <c r="U12" i="2" s="1"/>
  <c r="G12" i="1134"/>
  <c r="G35" i="1134" s="1"/>
  <c r="J44" i="1134"/>
  <c r="U15" i="2" s="1"/>
  <c r="J12" i="1134"/>
  <c r="J35" i="1134" s="1"/>
  <c r="Q12" i="1134"/>
  <c r="Q35" i="1134" s="1"/>
  <c r="Q44" i="1134"/>
  <c r="U22" i="2" s="1"/>
  <c r="Z44" i="1134"/>
  <c r="U31" i="2" s="1"/>
  <c r="Z12" i="1134"/>
  <c r="Z35" i="1134" s="1"/>
  <c r="M12" i="1134"/>
  <c r="M35" i="1134" s="1"/>
  <c r="M44" i="1134"/>
  <c r="U18" i="2" s="1"/>
  <c r="R44" i="1134"/>
  <c r="U23" i="2" s="1"/>
  <c r="R12" i="1134"/>
  <c r="R35" i="1134" s="1"/>
  <c r="P13" i="1127"/>
  <c r="N45" i="1133"/>
  <c r="N37" i="1133"/>
  <c r="N46" i="1133" s="1"/>
  <c r="F45" i="1133"/>
  <c r="F37" i="1133"/>
  <c r="F46" i="1133" s="1"/>
  <c r="O45" i="1133"/>
  <c r="O37" i="1133"/>
  <c r="O46" i="1133" s="1"/>
  <c r="P37" i="1133"/>
  <c r="P46" i="1133" s="1"/>
  <c r="H45" i="1133"/>
  <c r="H37" i="1133"/>
  <c r="H46" i="1133" s="1"/>
  <c r="AC45" i="1133"/>
  <c r="AC37" i="1133"/>
  <c r="AC46" i="1133" s="1"/>
  <c r="W45" i="1133"/>
  <c r="W37" i="1133"/>
  <c r="W46" i="1133" s="1"/>
  <c r="AE45" i="1133"/>
  <c r="AE37" i="1133"/>
  <c r="AE46" i="1133" s="1"/>
  <c r="X45" i="1133"/>
  <c r="X37" i="1133"/>
  <c r="X46" i="1133" s="1"/>
  <c r="G45" i="1133"/>
  <c r="G37" i="1133"/>
  <c r="G46" i="1133" s="1"/>
  <c r="S45" i="1133"/>
  <c r="S37" i="1133"/>
  <c r="S46" i="1133" s="1"/>
  <c r="J45" i="1133"/>
  <c r="J37" i="1133"/>
  <c r="J46" i="1133" s="1"/>
  <c r="V45" i="1133"/>
  <c r="V37" i="1133"/>
  <c r="V46" i="1133" s="1"/>
  <c r="AD45" i="1133"/>
  <c r="AD37" i="1133"/>
  <c r="Z45" i="1133"/>
  <c r="Z37" i="1133"/>
  <c r="M45" i="1133"/>
  <c r="M37" i="1133"/>
  <c r="M46" i="1133" s="1"/>
  <c r="AA45" i="1133"/>
  <c r="AA37" i="1133"/>
  <c r="AA46" i="1133" s="1"/>
  <c r="R45" i="1133"/>
  <c r="R37" i="1133"/>
  <c r="R46" i="1133" s="1"/>
  <c r="Q13" i="1127"/>
  <c r="Z13" i="1127"/>
  <c r="D44" i="1133"/>
  <c r="D12" i="1133"/>
  <c r="D35" i="1133" s="1"/>
  <c r="E45" i="1133"/>
  <c r="E37" i="1133"/>
  <c r="Y45" i="1133"/>
  <c r="Y37" i="1133"/>
  <c r="Y46" i="1133" s="1"/>
  <c r="AB45" i="1133"/>
  <c r="AB37" i="1133"/>
  <c r="L45" i="1133"/>
  <c r="L37" i="1133"/>
  <c r="Q45" i="1133"/>
  <c r="Q37" i="1133"/>
  <c r="U45" i="1133"/>
  <c r="U37" i="1133"/>
  <c r="M13" i="1127"/>
  <c r="F13" i="1131"/>
  <c r="I45" i="1133"/>
  <c r="I37" i="1133"/>
  <c r="I46" i="1133" s="1"/>
  <c r="U13" i="1129"/>
  <c r="I44" i="1132"/>
  <c r="Q14" i="2" s="1"/>
  <c r="I12" i="1132"/>
  <c r="I35" i="1132" s="1"/>
  <c r="E44" i="1132"/>
  <c r="Q10" i="2" s="1"/>
  <c r="E12" i="1132"/>
  <c r="E35" i="1132" s="1"/>
  <c r="K44" i="1132"/>
  <c r="Q16" i="2" s="1"/>
  <c r="K12" i="1132"/>
  <c r="K35" i="1132" s="1"/>
  <c r="O44" i="1132"/>
  <c r="Q20" i="2" s="1"/>
  <c r="O12" i="1132"/>
  <c r="O35" i="1132" s="1"/>
  <c r="T44" i="1132"/>
  <c r="Q25" i="2" s="1"/>
  <c r="T12" i="1132"/>
  <c r="T35" i="1132" s="1"/>
  <c r="Y44" i="1132"/>
  <c r="Q30" i="2" s="1"/>
  <c r="Y12" i="1132"/>
  <c r="Y35" i="1132" s="1"/>
  <c r="W44" i="1132"/>
  <c r="Q28" i="2" s="1"/>
  <c r="W12" i="1132"/>
  <c r="W35" i="1132" s="1"/>
  <c r="AB44" i="1132"/>
  <c r="Q33" i="2" s="1"/>
  <c r="AB12" i="1132"/>
  <c r="AB35" i="1132" s="1"/>
  <c r="X44" i="1132"/>
  <c r="Q29" i="2" s="1"/>
  <c r="X12" i="1132"/>
  <c r="X35" i="1132" s="1"/>
  <c r="S44" i="1132"/>
  <c r="Q24" i="2" s="1"/>
  <c r="S12" i="1132"/>
  <c r="S35" i="1132" s="1"/>
  <c r="V44" i="1132"/>
  <c r="Q27" i="2" s="1"/>
  <c r="V12" i="1132"/>
  <c r="V35" i="1132" s="1"/>
  <c r="AD44" i="1132"/>
  <c r="Q35" i="2" s="1"/>
  <c r="AD12" i="1132"/>
  <c r="AD35" i="1132" s="1"/>
  <c r="U44" i="1132"/>
  <c r="Q26" i="2" s="1"/>
  <c r="U12" i="1132"/>
  <c r="U35" i="1132" s="1"/>
  <c r="AA44" i="1132"/>
  <c r="Q32" i="2" s="1"/>
  <c r="AA12" i="1132"/>
  <c r="AA35" i="1132" s="1"/>
  <c r="F13" i="1127"/>
  <c r="L13" i="1127"/>
  <c r="K13" i="1131"/>
  <c r="M13" i="1131"/>
  <c r="AF26" i="1132"/>
  <c r="AF24" i="1132"/>
  <c r="AF22" i="1132"/>
  <c r="AF20" i="1132"/>
  <c r="AF18" i="1132"/>
  <c r="AF25" i="1132"/>
  <c r="AF23" i="1132"/>
  <c r="AF21" i="1132"/>
  <c r="AF19" i="1132"/>
  <c r="AF17" i="1132"/>
  <c r="AG17" i="1132" s="1"/>
  <c r="D28" i="1132"/>
  <c r="N44" i="1132"/>
  <c r="Q19" i="2" s="1"/>
  <c r="N12" i="1132"/>
  <c r="N35" i="1132" s="1"/>
  <c r="F44" i="1132"/>
  <c r="Q11" i="2" s="1"/>
  <c r="F12" i="1132"/>
  <c r="F35" i="1132" s="1"/>
  <c r="P44" i="1132"/>
  <c r="Q21" i="2" s="1"/>
  <c r="P12" i="1132"/>
  <c r="P35" i="1132" s="1"/>
  <c r="H44" i="1132"/>
  <c r="Q13" i="2" s="1"/>
  <c r="H12" i="1132"/>
  <c r="H35" i="1132" s="1"/>
  <c r="AC44" i="1132"/>
  <c r="Q34" i="2" s="1"/>
  <c r="AC12" i="1132"/>
  <c r="AC35" i="1132" s="1"/>
  <c r="AE44" i="1132"/>
  <c r="Q36" i="2" s="1"/>
  <c r="AE12" i="1132"/>
  <c r="AE35" i="1132" s="1"/>
  <c r="L44" i="1132"/>
  <c r="Q17" i="2" s="1"/>
  <c r="L12" i="1132"/>
  <c r="L35" i="1132" s="1"/>
  <c r="G44" i="1132"/>
  <c r="Q12" i="2" s="1"/>
  <c r="G12" i="1132"/>
  <c r="G35" i="1132" s="1"/>
  <c r="J44" i="1132"/>
  <c r="Q15" i="2" s="1"/>
  <c r="J12" i="1132"/>
  <c r="J35" i="1132" s="1"/>
  <c r="Q44" i="1132"/>
  <c r="Q22" i="2" s="1"/>
  <c r="Q12" i="1132"/>
  <c r="Q35" i="1132" s="1"/>
  <c r="Z44" i="1132"/>
  <c r="Q31" i="2" s="1"/>
  <c r="Z12" i="1132"/>
  <c r="Z35" i="1132" s="1"/>
  <c r="M44" i="1132"/>
  <c r="Q18" i="2" s="1"/>
  <c r="M12" i="1132"/>
  <c r="M35" i="1132" s="1"/>
  <c r="R44" i="1132"/>
  <c r="Q23" i="2" s="1"/>
  <c r="R12" i="1132"/>
  <c r="R35" i="1132" s="1"/>
  <c r="G13" i="1127"/>
  <c r="V13" i="1129"/>
  <c r="AF27" i="1131"/>
  <c r="O12" i="1127"/>
  <c r="O35" i="1127" s="1"/>
  <c r="O37" i="1127" s="1"/>
  <c r="O46" i="1127" s="1"/>
  <c r="R35" i="1129"/>
  <c r="R45" i="1129" s="1"/>
  <c r="R13" i="1129"/>
  <c r="AE13" i="1129"/>
  <c r="L13" i="1129"/>
  <c r="AB13" i="1129"/>
  <c r="J35" i="1129"/>
  <c r="J45" i="1129" s="1"/>
  <c r="J13" i="1129"/>
  <c r="S13" i="1129"/>
  <c r="O13" i="1129"/>
  <c r="M12" i="1129"/>
  <c r="M35" i="1129" s="1"/>
  <c r="M37" i="1129" s="1"/>
  <c r="M46" i="1129" s="1"/>
  <c r="K13" i="1129"/>
  <c r="E13" i="1129"/>
  <c r="G13" i="1129"/>
  <c r="R13" i="1131"/>
  <c r="AA13" i="1131"/>
  <c r="H13" i="1127"/>
  <c r="AC13" i="1127"/>
  <c r="AB13" i="1127"/>
  <c r="AD13" i="1127"/>
  <c r="AE13" i="1127"/>
  <c r="K13" i="1127"/>
  <c r="X13" i="1127"/>
  <c r="V13" i="1127"/>
  <c r="U13" i="1127"/>
  <c r="J13" i="1127"/>
  <c r="R13" i="1127"/>
  <c r="E13" i="1127"/>
  <c r="S13" i="1127"/>
  <c r="E46" i="1131"/>
  <c r="E38" i="1131"/>
  <c r="E47" i="1131" s="1"/>
  <c r="K46" i="1131"/>
  <c r="K38" i="1131"/>
  <c r="K47" i="1131" s="1"/>
  <c r="F46" i="1131"/>
  <c r="F38" i="1131"/>
  <c r="F47" i="1131" s="1"/>
  <c r="H46" i="1131"/>
  <c r="S38" i="1131"/>
  <c r="S47" i="1131" s="1"/>
  <c r="M38" i="1131"/>
  <c r="M35" i="1131" s="1"/>
  <c r="M14" i="1131" s="1"/>
  <c r="AA46" i="1131"/>
  <c r="AA38" i="1131"/>
  <c r="AA47" i="1131" s="1"/>
  <c r="R46" i="1131"/>
  <c r="R38" i="1131"/>
  <c r="R47" i="1131" s="1"/>
  <c r="I12" i="1130"/>
  <c r="I35" i="1130" s="1"/>
  <c r="I44" i="1130"/>
  <c r="M14" i="2" s="1"/>
  <c r="E44" i="1130"/>
  <c r="M10" i="2" s="1"/>
  <c r="E12" i="1130"/>
  <c r="E35" i="1130" s="1"/>
  <c r="K44" i="1130"/>
  <c r="M16" i="2" s="1"/>
  <c r="K12" i="1130"/>
  <c r="K35" i="1130" s="1"/>
  <c r="O44" i="1130"/>
  <c r="M20" i="2" s="1"/>
  <c r="O12" i="1130"/>
  <c r="O35" i="1130" s="1"/>
  <c r="H44" i="1130"/>
  <c r="M13" i="2" s="1"/>
  <c r="H12" i="1130"/>
  <c r="H35" i="1130" s="1"/>
  <c r="W44" i="1130"/>
  <c r="M28" i="2" s="1"/>
  <c r="W12" i="1130"/>
  <c r="W35" i="1130" s="1"/>
  <c r="AB44" i="1130"/>
  <c r="M33" i="2" s="1"/>
  <c r="AB12" i="1130"/>
  <c r="AB35" i="1130" s="1"/>
  <c r="X44" i="1130"/>
  <c r="M29" i="2" s="1"/>
  <c r="X12" i="1130"/>
  <c r="X35" i="1130" s="1"/>
  <c r="S44" i="1130"/>
  <c r="M24" i="2" s="1"/>
  <c r="S12" i="1130"/>
  <c r="S35" i="1130" s="1"/>
  <c r="V44" i="1130"/>
  <c r="M27" i="2" s="1"/>
  <c r="V12" i="1130"/>
  <c r="V35" i="1130" s="1"/>
  <c r="AD44" i="1130"/>
  <c r="M35" i="2" s="1"/>
  <c r="AD12" i="1130"/>
  <c r="AD35" i="1130" s="1"/>
  <c r="U44" i="1130"/>
  <c r="M26" i="2" s="1"/>
  <c r="U12" i="1130"/>
  <c r="U35" i="1130" s="1"/>
  <c r="AA44" i="1130"/>
  <c r="M32" i="2" s="1"/>
  <c r="AA12" i="1130"/>
  <c r="AA35" i="1130" s="1"/>
  <c r="P44" i="1130"/>
  <c r="M21" i="2" s="1"/>
  <c r="P12" i="1130"/>
  <c r="P35" i="1130" s="1"/>
  <c r="AF23" i="1130"/>
  <c r="AF20" i="1130"/>
  <c r="AF25" i="1130"/>
  <c r="AF22" i="1130"/>
  <c r="AF17" i="1130"/>
  <c r="AG17" i="1130" s="1"/>
  <c r="AF24" i="1130"/>
  <c r="AF19" i="1130"/>
  <c r="AF18" i="1130"/>
  <c r="AF26" i="1130"/>
  <c r="AF21" i="1130"/>
  <c r="D28" i="1130"/>
  <c r="N44" i="1130"/>
  <c r="M19" i="2" s="1"/>
  <c r="N12" i="1130"/>
  <c r="N35" i="1130" s="1"/>
  <c r="F44" i="1130"/>
  <c r="M11" i="2" s="1"/>
  <c r="F12" i="1130"/>
  <c r="F35" i="1130" s="1"/>
  <c r="T44" i="1130"/>
  <c r="M25" i="2" s="1"/>
  <c r="T12" i="1130"/>
  <c r="T35" i="1130" s="1"/>
  <c r="Y44" i="1130"/>
  <c r="M30" i="2" s="1"/>
  <c r="Y12" i="1130"/>
  <c r="Y35" i="1130" s="1"/>
  <c r="AE44" i="1130"/>
  <c r="M36" i="2" s="1"/>
  <c r="AE12" i="1130"/>
  <c r="AE35" i="1130" s="1"/>
  <c r="L44" i="1130"/>
  <c r="M17" i="2" s="1"/>
  <c r="L12" i="1130"/>
  <c r="L35" i="1130" s="1"/>
  <c r="G44" i="1130"/>
  <c r="M12" i="2" s="1"/>
  <c r="G12" i="1130"/>
  <c r="G35" i="1130" s="1"/>
  <c r="J44" i="1130"/>
  <c r="M15" i="2" s="1"/>
  <c r="J12" i="1130"/>
  <c r="J35" i="1130" s="1"/>
  <c r="Q12" i="1130"/>
  <c r="Q35" i="1130" s="1"/>
  <c r="Q44" i="1130"/>
  <c r="M22" i="2" s="1"/>
  <c r="Z44" i="1130"/>
  <c r="M31" i="2" s="1"/>
  <c r="Z12" i="1130"/>
  <c r="Z35" i="1130" s="1"/>
  <c r="M44" i="1130"/>
  <c r="M18" i="2" s="1"/>
  <c r="M12" i="1130"/>
  <c r="M35" i="1130" s="1"/>
  <c r="R12" i="1130"/>
  <c r="R35" i="1130" s="1"/>
  <c r="R44" i="1130"/>
  <c r="M23" i="2" s="1"/>
  <c r="AC12" i="1130"/>
  <c r="AC35" i="1130" s="1"/>
  <c r="AC44" i="1130"/>
  <c r="M34" i="2" s="1"/>
  <c r="E45" i="1129"/>
  <c r="E37" i="1129"/>
  <c r="E46" i="1129" s="1"/>
  <c r="K45" i="1129"/>
  <c r="K37" i="1129"/>
  <c r="K46" i="1129" s="1"/>
  <c r="AC45" i="1129"/>
  <c r="AE45" i="1129"/>
  <c r="AE37" i="1129"/>
  <c r="AE46" i="1129" s="1"/>
  <c r="AB45" i="1129"/>
  <c r="AB37" i="1129"/>
  <c r="AB46" i="1129" s="1"/>
  <c r="L45" i="1129"/>
  <c r="L37" i="1129"/>
  <c r="L46" i="1129" s="1"/>
  <c r="G45" i="1129"/>
  <c r="G37" i="1129"/>
  <c r="G46" i="1129" s="1"/>
  <c r="S45" i="1129"/>
  <c r="S37" i="1129"/>
  <c r="S46" i="1129" s="1"/>
  <c r="V45" i="1129"/>
  <c r="V37" i="1129"/>
  <c r="V46" i="1129" s="1"/>
  <c r="U45" i="1129"/>
  <c r="U37" i="1129"/>
  <c r="U46" i="1129" s="1"/>
  <c r="E12" i="1128"/>
  <c r="E35" i="1128" s="1"/>
  <c r="E44" i="1128"/>
  <c r="I10" i="2" s="1"/>
  <c r="O12" i="1128"/>
  <c r="O35" i="1128" s="1"/>
  <c r="O44" i="1128"/>
  <c r="I20" i="2" s="1"/>
  <c r="T44" i="1128"/>
  <c r="I25" i="2" s="1"/>
  <c r="T12" i="1128"/>
  <c r="T35" i="1128" s="1"/>
  <c r="W44" i="1128"/>
  <c r="I28" i="2" s="1"/>
  <c r="W12" i="1128"/>
  <c r="W35" i="1128" s="1"/>
  <c r="L44" i="1128"/>
  <c r="I17" i="2" s="1"/>
  <c r="L12" i="1128"/>
  <c r="L35" i="1128" s="1"/>
  <c r="J44" i="1128"/>
  <c r="I15" i="2" s="1"/>
  <c r="J12" i="1128"/>
  <c r="J35" i="1128" s="1"/>
  <c r="AD44" i="1128"/>
  <c r="I35" i="2" s="1"/>
  <c r="AD12" i="1128"/>
  <c r="AD35" i="1128" s="1"/>
  <c r="I44" i="1128"/>
  <c r="I14" i="2" s="1"/>
  <c r="I12" i="1128"/>
  <c r="I35" i="1128" s="1"/>
  <c r="K12" i="1128"/>
  <c r="K35" i="1128" s="1"/>
  <c r="K44" i="1128"/>
  <c r="I16" i="2" s="1"/>
  <c r="Y44" i="1128"/>
  <c r="I30" i="2" s="1"/>
  <c r="Y12" i="1128"/>
  <c r="Y35" i="1128" s="1"/>
  <c r="U44" i="1128"/>
  <c r="I26" i="2" s="1"/>
  <c r="U12" i="1128"/>
  <c r="U35" i="1128" s="1"/>
  <c r="G44" i="1128"/>
  <c r="I12" i="2" s="1"/>
  <c r="G12" i="1128"/>
  <c r="G35" i="1128" s="1"/>
  <c r="Q44" i="1128"/>
  <c r="I22" i="2" s="1"/>
  <c r="Q12" i="1128"/>
  <c r="Q35" i="1128" s="1"/>
  <c r="M44" i="1128"/>
  <c r="I18" i="2" s="1"/>
  <c r="M12" i="1128"/>
  <c r="M35" i="1128" s="1"/>
  <c r="AF25" i="1128"/>
  <c r="AF23" i="1128"/>
  <c r="AF21" i="1128"/>
  <c r="AF19" i="1128"/>
  <c r="AF17" i="1128"/>
  <c r="AG17" i="1128" s="1"/>
  <c r="AF20" i="1128"/>
  <c r="AF26" i="1128"/>
  <c r="AF22" i="1128"/>
  <c r="AF18" i="1128"/>
  <c r="AF24" i="1128"/>
  <c r="D28" i="1128"/>
  <c r="N44" i="1128"/>
  <c r="I19" i="2" s="1"/>
  <c r="N12" i="1128"/>
  <c r="N35" i="1128" s="1"/>
  <c r="F44" i="1128"/>
  <c r="I11" i="2" s="1"/>
  <c r="F12" i="1128"/>
  <c r="F35" i="1128" s="1"/>
  <c r="P44" i="1128"/>
  <c r="I21" i="2" s="1"/>
  <c r="P12" i="1128"/>
  <c r="P35" i="1128" s="1"/>
  <c r="H44" i="1128"/>
  <c r="I13" i="2" s="1"/>
  <c r="H12" i="1128"/>
  <c r="H35" i="1128" s="1"/>
  <c r="AC44" i="1128"/>
  <c r="I34" i="2" s="1"/>
  <c r="AC12" i="1128"/>
  <c r="AC35" i="1128" s="1"/>
  <c r="AE44" i="1128"/>
  <c r="I36" i="2" s="1"/>
  <c r="AE12" i="1128"/>
  <c r="AE35" i="1128" s="1"/>
  <c r="AB44" i="1128"/>
  <c r="I33" i="2" s="1"/>
  <c r="AB12" i="1128"/>
  <c r="AB35" i="1128" s="1"/>
  <c r="X44" i="1128"/>
  <c r="I29" i="2" s="1"/>
  <c r="X12" i="1128"/>
  <c r="X35" i="1128" s="1"/>
  <c r="S44" i="1128"/>
  <c r="I24" i="2" s="1"/>
  <c r="S12" i="1128"/>
  <c r="S35" i="1128" s="1"/>
  <c r="V44" i="1128"/>
  <c r="I27" i="2" s="1"/>
  <c r="V12" i="1128"/>
  <c r="V35" i="1128" s="1"/>
  <c r="Z12" i="1128"/>
  <c r="Z35" i="1128" s="1"/>
  <c r="Z44" i="1128"/>
  <c r="I31" i="2" s="1"/>
  <c r="R44" i="1128"/>
  <c r="I23" i="2" s="1"/>
  <c r="R12" i="1128"/>
  <c r="R35" i="1128" s="1"/>
  <c r="AA12" i="1128"/>
  <c r="AA35" i="1128" s="1"/>
  <c r="AA44" i="1128"/>
  <c r="I32" i="2" s="1"/>
  <c r="E45" i="1127"/>
  <c r="E37" i="1127"/>
  <c r="E46" i="1127" s="1"/>
  <c r="K45" i="1127"/>
  <c r="K37" i="1127"/>
  <c r="K46" i="1127" s="1"/>
  <c r="P45" i="1127"/>
  <c r="P37" i="1127"/>
  <c r="P46" i="1127" s="1"/>
  <c r="H45" i="1127"/>
  <c r="H37" i="1127"/>
  <c r="H46" i="1127" s="1"/>
  <c r="AE45" i="1127"/>
  <c r="AE37" i="1127"/>
  <c r="AE46" i="1127" s="1"/>
  <c r="AB45" i="1127"/>
  <c r="AB37" i="1127"/>
  <c r="AB46" i="1127" s="1"/>
  <c r="L45" i="1127"/>
  <c r="L37" i="1127"/>
  <c r="L46" i="1127" s="1"/>
  <c r="X45" i="1127"/>
  <c r="X37" i="1127"/>
  <c r="X46" i="1127" s="1"/>
  <c r="G45" i="1127"/>
  <c r="G37" i="1127"/>
  <c r="G46" i="1127" s="1"/>
  <c r="S45" i="1127"/>
  <c r="S37" i="1127"/>
  <c r="S46" i="1127" s="1"/>
  <c r="J45" i="1127"/>
  <c r="J37" i="1127"/>
  <c r="J46" i="1127" s="1"/>
  <c r="V45" i="1127"/>
  <c r="V37" i="1127"/>
  <c r="V46" i="1127" s="1"/>
  <c r="Q45" i="1127"/>
  <c r="Q37" i="1127"/>
  <c r="Q46" i="1127" s="1"/>
  <c r="AD45" i="1127"/>
  <c r="AD37" i="1127"/>
  <c r="AD46" i="1127" s="1"/>
  <c r="Z45" i="1127"/>
  <c r="Z37" i="1127"/>
  <c r="Z46" i="1127" s="1"/>
  <c r="R45" i="1127"/>
  <c r="R37" i="1127"/>
  <c r="R46" i="1127" s="1"/>
  <c r="D44" i="1127"/>
  <c r="D12" i="1127"/>
  <c r="D35" i="1127" s="1"/>
  <c r="F45" i="1127"/>
  <c r="F37" i="1127"/>
  <c r="F46" i="1127" s="1"/>
  <c r="AC45" i="1127"/>
  <c r="AC37" i="1127"/>
  <c r="AC46" i="1127" s="1"/>
  <c r="M45" i="1127"/>
  <c r="M37" i="1127"/>
  <c r="M46" i="1127" s="1"/>
  <c r="W26" i="2"/>
  <c r="W30" i="2"/>
  <c r="O29" i="2"/>
  <c r="K35" i="2"/>
  <c r="O14" i="2"/>
  <c r="O27" i="2"/>
  <c r="W22" i="2"/>
  <c r="O19" i="2"/>
  <c r="O21" i="2"/>
  <c r="G31" i="2"/>
  <c r="K34" i="2"/>
  <c r="K22" i="2"/>
  <c r="K14" i="2"/>
  <c r="K13" i="2"/>
  <c r="K20" i="2"/>
  <c r="G30" i="2"/>
  <c r="K30" i="2"/>
  <c r="G28" i="2"/>
  <c r="G23" i="2"/>
  <c r="O22" i="2"/>
  <c r="K18" i="2"/>
  <c r="O34" i="2"/>
  <c r="G26" i="2"/>
  <c r="O36" i="2"/>
  <c r="O15" i="2"/>
  <c r="O30" i="2"/>
  <c r="O17" i="2"/>
  <c r="O33" i="2"/>
  <c r="O24" i="2"/>
  <c r="G25" i="2"/>
  <c r="K24" i="2"/>
  <c r="G32" i="2"/>
  <c r="K32" i="2"/>
  <c r="S25" i="2"/>
  <c r="O12" i="2"/>
  <c r="O25" i="2"/>
  <c r="S11" i="2"/>
  <c r="W36" i="2"/>
  <c r="W23" i="2"/>
  <c r="W13" i="2"/>
  <c r="W14" i="2"/>
  <c r="S23" i="2"/>
  <c r="S13" i="2"/>
  <c r="S28" i="2"/>
  <c r="O23" i="2"/>
  <c r="O13" i="2"/>
  <c r="K11" i="2"/>
  <c r="O35" i="2"/>
  <c r="O28" i="2"/>
  <c r="K21" i="2"/>
  <c r="K29" i="2"/>
  <c r="K28" i="2"/>
  <c r="W12" i="2"/>
  <c r="K19" i="2"/>
  <c r="Y50" i="2"/>
  <c r="AU50" i="2" s="1"/>
  <c r="K35" i="35" a="1"/>
  <c r="K35" i="35" s="1"/>
  <c r="I19" i="26"/>
  <c r="AF24" i="154"/>
  <c r="AF20" i="154"/>
  <c r="AF23" i="154"/>
  <c r="AF18" i="154"/>
  <c r="AF25" i="154"/>
  <c r="AF17" i="154"/>
  <c r="AG17" i="154" s="1"/>
  <c r="AF22" i="154"/>
  <c r="AF26" i="154"/>
  <c r="AF21" i="154"/>
  <c r="AF19" i="154"/>
  <c r="BM34" i="2"/>
  <c r="Z34" i="2" s="1"/>
  <c r="AA34" i="2" s="1"/>
  <c r="E50" i="35"/>
  <c r="AB21" i="35" s="1"/>
  <c r="F50" i="35"/>
  <c r="AC21" i="35" s="1"/>
  <c r="H50" i="35"/>
  <c r="AD21" i="35" s="1"/>
  <c r="G73" i="2"/>
  <c r="Y73" i="2"/>
  <c r="M28" i="19"/>
  <c r="M37" i="19"/>
  <c r="M17" i="19"/>
  <c r="T80" i="2"/>
  <c r="AO56" i="2"/>
  <c r="AT11" i="2" a="1"/>
  <c r="U74" i="2" a="1"/>
  <c r="H53" i="2"/>
  <c r="J78" i="2"/>
  <c r="L51" i="2"/>
  <c r="L66" i="2"/>
  <c r="S75" i="2" a="1"/>
  <c r="X62" i="2"/>
  <c r="V77" i="2"/>
  <c r="S74" i="2" a="1"/>
  <c r="V63" i="2"/>
  <c r="AT33" i="2" a="1"/>
  <c r="X76" i="2"/>
  <c r="T65" i="2"/>
  <c r="AT15" i="2" a="1"/>
  <c r="P78" i="2"/>
  <c r="V52" i="2"/>
  <c r="Y75" i="2" a="1"/>
  <c r="P64" i="2"/>
  <c r="J52" i="2"/>
  <c r="R67" i="2"/>
  <c r="X77" i="2"/>
  <c r="N51" i="2"/>
  <c r="V68" i="2"/>
  <c r="F55" i="2"/>
  <c r="AU45" i="2" a="1"/>
  <c r="P66" i="2"/>
  <c r="AT23" i="2" a="1"/>
  <c r="T51" i="2"/>
  <c r="AT13" i="2" a="1"/>
  <c r="W75" i="2" a="1"/>
  <c r="U77" i="2" a="1"/>
  <c r="R76" i="2"/>
  <c r="N78" i="2"/>
  <c r="R52" i="2"/>
  <c r="H56" i="2"/>
  <c r="H65" i="2"/>
  <c r="V51" i="2"/>
  <c r="H64" i="2"/>
  <c r="AT29" i="2" a="1"/>
  <c r="AT21" i="2" a="1"/>
  <c r="P76" i="2"/>
  <c r="L52" i="2"/>
  <c r="T66" i="2"/>
  <c r="R77" i="2"/>
  <c r="J55" i="2"/>
  <c r="H62" i="2"/>
  <c r="T67" i="2"/>
  <c r="N65" i="2"/>
  <c r="H61" i="2"/>
  <c r="V76" i="2"/>
  <c r="AT19" i="2" a="1"/>
  <c r="AT28" i="2" a="1"/>
  <c r="G78" i="2" a="1"/>
  <c r="L64" i="2"/>
  <c r="F65" i="2"/>
  <c r="H66" i="2"/>
  <c r="H51" i="2"/>
  <c r="R68" i="2"/>
  <c r="V66" i="2"/>
  <c r="P67" i="2"/>
  <c r="V61" i="2"/>
  <c r="AQ56" i="2"/>
  <c r="R61" i="2"/>
  <c r="F63" i="2"/>
  <c r="T53" i="2"/>
  <c r="X55" i="2"/>
  <c r="AT17" i="2" a="1"/>
  <c r="K75" i="2" a="1"/>
  <c r="F64" i="2"/>
  <c r="F62" i="2"/>
  <c r="P63" i="2"/>
  <c r="AT24" i="2" a="1"/>
  <c r="AT35" i="2" a="1"/>
  <c r="AT27" i="2" a="1"/>
  <c r="H34" i="35" a="1"/>
  <c r="L62" i="2"/>
  <c r="V67" i="2"/>
  <c r="R66" i="2"/>
  <c r="O75" i="2" a="1"/>
  <c r="G74" i="2" a="1"/>
  <c r="R64" i="2"/>
  <c r="P62" i="2"/>
  <c r="AT20" i="2" a="1"/>
  <c r="N61" i="2"/>
  <c r="L56" i="2"/>
  <c r="J66" i="2"/>
  <c r="V56" i="2"/>
  <c r="T62" i="2"/>
  <c r="AT22" i="2" a="1"/>
  <c r="X52" i="2"/>
  <c r="AT25" i="2" a="1"/>
  <c r="N55" i="2"/>
  <c r="H20" i="35" a="1"/>
  <c r="L65" i="2"/>
  <c r="J56" i="2"/>
  <c r="L67" i="2"/>
  <c r="M74" i="2" a="1"/>
  <c r="T64" i="2"/>
  <c r="AT32" i="2" a="1"/>
  <c r="N77" i="2"/>
  <c r="F66" i="2"/>
  <c r="X64" i="2"/>
  <c r="V65" i="2"/>
  <c r="T55" i="2"/>
  <c r="J67" i="2"/>
  <c r="P52" i="2"/>
  <c r="G77" i="2" a="1"/>
  <c r="F67" i="2"/>
  <c r="J63" i="2"/>
  <c r="J51" i="2"/>
  <c r="H67" i="2"/>
  <c r="J64" i="2"/>
  <c r="R65" i="2"/>
  <c r="X68" i="2"/>
  <c r="J53" i="2"/>
  <c r="V78" i="2"/>
  <c r="F56" i="2"/>
  <c r="P53" i="2"/>
  <c r="AK51" i="2"/>
  <c r="H68" i="2"/>
  <c r="J62" i="2"/>
  <c r="Q75" i="2" a="1"/>
  <c r="I74" i="2" a="1"/>
  <c r="H76" i="2"/>
  <c r="R53" i="2"/>
  <c r="X63" i="2"/>
  <c r="N53" i="2"/>
  <c r="F20" i="35" a="1"/>
  <c r="N76" i="2"/>
  <c r="H63" i="2"/>
  <c r="N64" i="2"/>
  <c r="K74" i="2" a="1"/>
  <c r="H78" i="2"/>
  <c r="L78" i="2"/>
  <c r="AU44" i="2" a="1"/>
  <c r="P51" i="2"/>
  <c r="AT16" i="2" a="1"/>
  <c r="U78" i="2" a="1"/>
  <c r="J65" i="2"/>
  <c r="R63" i="2"/>
  <c r="K20" i="35" a="1"/>
  <c r="T52" i="2"/>
  <c r="L76" i="2"/>
  <c r="V55" i="2"/>
  <c r="N62" i="2"/>
  <c r="F68" i="2"/>
  <c r="L20" i="35" a="1"/>
  <c r="G76" i="2" a="1"/>
  <c r="L68" i="2"/>
  <c r="X56" i="2"/>
  <c r="F53" i="2"/>
  <c r="P56" i="2"/>
  <c r="V64" i="2"/>
  <c r="X78" i="2"/>
  <c r="R78" i="2"/>
  <c r="X61" i="2"/>
  <c r="T68" i="2"/>
  <c r="L63" i="2"/>
  <c r="L55" i="2"/>
  <c r="L77" i="2"/>
  <c r="X67" i="2"/>
  <c r="F61" i="2"/>
  <c r="T56" i="2"/>
  <c r="L61" i="2"/>
  <c r="F34" i="35" a="1"/>
  <c r="T63" i="2"/>
  <c r="N68" i="2"/>
  <c r="AT26" i="2" a="1"/>
  <c r="H77" i="2"/>
  <c r="M75" i="2" a="1"/>
  <c r="P65" i="2"/>
  <c r="Y74" i="2" a="1"/>
  <c r="T61" i="2"/>
  <c r="AT18" i="2" a="1"/>
  <c r="X53" i="2"/>
  <c r="AT12" i="2" a="1"/>
  <c r="AT36" i="2" a="1"/>
  <c r="V53" i="2"/>
  <c r="N52" i="2"/>
  <c r="N63" i="2"/>
  <c r="N56" i="2"/>
  <c r="N67" i="2"/>
  <c r="Q74" i="2" a="1"/>
  <c r="P61" i="2"/>
  <c r="U76" i="2" a="1"/>
  <c r="P55" i="2"/>
  <c r="R51" i="2"/>
  <c r="L53" i="2"/>
  <c r="O74" i="2" a="1"/>
  <c r="J61" i="2"/>
  <c r="P68" i="2"/>
  <c r="R55" i="2"/>
  <c r="H52" i="2"/>
  <c r="H55" i="2"/>
  <c r="R56" i="2"/>
  <c r="X65" i="2"/>
  <c r="AT30" i="2" a="1"/>
  <c r="R62" i="2"/>
  <c r="V62" i="2"/>
  <c r="X66" i="2"/>
  <c r="F52" i="2"/>
  <c r="J77" i="2"/>
  <c r="J68" i="2"/>
  <c r="P77" i="2"/>
  <c r="J76" i="2"/>
  <c r="N66" i="2"/>
  <c r="E34" i="35" a="1"/>
  <c r="Q66" i="2" a="1"/>
  <c r="K62" i="2" a="1"/>
  <c r="U52" i="2" a="1"/>
  <c r="W55" i="2" a="1"/>
  <c r="G61" i="2" a="1"/>
  <c r="Q62" i="2" a="1"/>
  <c r="W76" i="2" a="1"/>
  <c r="W68" i="2" a="1"/>
  <c r="G53" i="2" a="1"/>
  <c r="AU27" i="2" a="1"/>
  <c r="U61" i="2" a="1"/>
  <c r="S55" i="2" a="1"/>
  <c r="U56" i="2" a="1"/>
  <c r="W52" i="2" a="1"/>
  <c r="I78" i="2" a="1"/>
  <c r="W66" i="2" a="1"/>
  <c r="O55" i="2" a="1"/>
  <c r="K52" i="2" a="1"/>
  <c r="I76" i="2" a="1"/>
  <c r="U55" i="2" a="1"/>
  <c r="I53" i="2" a="1"/>
  <c r="K61" i="2" a="1"/>
  <c r="I55" i="2" a="1"/>
  <c r="U51" i="2" a="1"/>
  <c r="G68" i="2" a="1"/>
  <c r="X51" i="2"/>
  <c r="K67" i="2" a="1"/>
  <c r="S78" i="2" a="1"/>
  <c r="S53" i="2" a="1"/>
  <c r="AU16" i="2" a="1"/>
  <c r="K55" i="2" a="1"/>
  <c r="Y63" i="2" a="1"/>
  <c r="I67" i="2" a="1"/>
  <c r="Q63" i="2" a="1"/>
  <c r="AU17" i="2" a="1"/>
  <c r="S64" i="2" a="1"/>
  <c r="Y61" i="2" a="1"/>
  <c r="O56" i="2" a="1"/>
  <c r="Y78" i="2" a="1"/>
  <c r="W62" i="2" a="1"/>
  <c r="S77" i="2" a="1"/>
  <c r="Q77" i="2" a="1"/>
  <c r="O77" i="2" a="1"/>
  <c r="AU28" i="2" a="1"/>
  <c r="I61" i="2" a="1"/>
  <c r="M77" i="2" a="1"/>
  <c r="O78" i="2" a="1"/>
  <c r="AU10" i="2" a="1"/>
  <c r="AU11" i="2" a="1"/>
  <c r="U53" i="2" a="1"/>
  <c r="K51" i="2" a="1"/>
  <c r="AU15" i="2" a="1"/>
  <c r="Q61" i="2" a="1"/>
  <c r="M78" i="2" a="1"/>
  <c r="K77" i="2" a="1"/>
  <c r="AU31" i="2" a="1"/>
  <c r="M68" i="2" a="1"/>
  <c r="O51" i="2" a="1"/>
  <c r="G52" i="2" a="1"/>
  <c r="O64" i="2" a="1"/>
  <c r="Y67" i="2" a="1"/>
  <c r="Y68" i="2" a="1"/>
  <c r="J34" i="35" a="1"/>
  <c r="S56" i="2" a="1"/>
  <c r="M67" i="2" a="1"/>
  <c r="Q56" i="2" a="1"/>
  <c r="K53" i="2" a="1"/>
  <c r="E20" i="35" a="1"/>
  <c r="G65" i="2" a="1"/>
  <c r="Q67" i="2" a="1"/>
  <c r="I56" i="2" a="1"/>
  <c r="AU13" i="2" a="1"/>
  <c r="M52" i="2" a="1"/>
  <c r="S76" i="2" a="1"/>
  <c r="W56" i="2" a="1"/>
  <c r="G64" i="2" a="1"/>
  <c r="AU30" i="2" a="1"/>
  <c r="W77" i="2" a="1"/>
  <c r="Y55" i="2" a="1"/>
  <c r="Q65" i="2" a="1"/>
  <c r="Y76" i="2" a="1"/>
  <c r="W53" i="2" a="1"/>
  <c r="I62" i="2" a="1"/>
  <c r="AU22" i="2" a="1"/>
  <c r="AU36" i="2" a="1"/>
  <c r="K64" i="2" a="1"/>
  <c r="U65" i="2" a="1"/>
  <c r="AU33" i="2" a="1"/>
  <c r="S65" i="2" a="1"/>
  <c r="M61" i="2" a="1"/>
  <c r="M65" i="2" a="1"/>
  <c r="M64" i="2" a="1"/>
  <c r="Y65" i="2" a="1"/>
  <c r="W78" i="2" a="1"/>
  <c r="W65" i="2" a="1"/>
  <c r="I64" i="2" a="1"/>
  <c r="AU25" i="2" a="1"/>
  <c r="G62" i="2" a="1"/>
  <c r="S62" i="2" a="1"/>
  <c r="W63" i="2" a="1"/>
  <c r="W64" i="2" a="1"/>
  <c r="AU29" i="2" a="1"/>
  <c r="S66" i="2" a="1"/>
  <c r="U64" i="2" a="1"/>
  <c r="K76" i="2" a="1"/>
  <c r="K68" i="2" a="1"/>
  <c r="Q53" i="2" a="1"/>
  <c r="AU18" i="2" a="1"/>
  <c r="O65" i="2" a="1"/>
  <c r="AU12" i="2" a="1"/>
  <c r="U67" i="2" a="1"/>
  <c r="K65" i="2" a="1"/>
  <c r="G66" i="2" a="1"/>
  <c r="M63" i="2" a="1"/>
  <c r="O76" i="2" a="1"/>
  <c r="AU19" i="2" a="1"/>
  <c r="AU20" i="2" a="1"/>
  <c r="O66" i="2" a="1"/>
  <c r="U68" i="2" a="1"/>
  <c r="AU24" i="2" a="1"/>
  <c r="G67" i="2" a="1"/>
  <c r="AU14" i="2" a="1"/>
  <c r="Y66" i="2" a="1"/>
  <c r="I63" i="2" a="1"/>
  <c r="O68" i="2" a="1"/>
  <c r="AU21" i="2" a="1"/>
  <c r="Y64" i="2" a="1"/>
  <c r="U62" i="2" a="1"/>
  <c r="Q55" i="2" a="1"/>
  <c r="Q52" i="2" a="1"/>
  <c r="O67" i="2" a="1"/>
  <c r="Q64" i="2" a="1"/>
  <c r="I66" i="2" a="1"/>
  <c r="I68" i="2" a="1"/>
  <c r="S51" i="2" a="1"/>
  <c r="Y52" i="2" a="1"/>
  <c r="G55" i="2" a="1"/>
  <c r="O53" i="2" a="1"/>
  <c r="G56" i="2" a="1"/>
  <c r="K78" i="2" a="1"/>
  <c r="M55" i="2" a="1"/>
  <c r="Y56" i="2" a="1"/>
  <c r="U63" i="2" a="1"/>
  <c r="Y77" i="2" a="1"/>
  <c r="K56" i="2" a="1"/>
  <c r="M56" i="2" a="1"/>
  <c r="M51" i="2" a="1"/>
  <c r="I77" i="2" a="1"/>
  <c r="AT34" i="2" a="1"/>
  <c r="W61" i="2" a="1"/>
  <c r="Y53" i="2" a="1"/>
  <c r="S61" i="2" a="1"/>
  <c r="K66" i="2" a="1"/>
  <c r="S68" i="2" a="1"/>
  <c r="Q78" i="2" a="1"/>
  <c r="I52" i="2" a="1"/>
  <c r="AU34" i="2" a="1"/>
  <c r="W51" i="2" a="1"/>
  <c r="F51" i="2"/>
  <c r="Q68" i="2" a="1"/>
  <c r="I65" i="2" a="1"/>
  <c r="K63" i="2" a="1"/>
  <c r="W67" i="2" a="1"/>
  <c r="AU26" i="2" a="1"/>
  <c r="Y62" i="2" a="1"/>
  <c r="I51" i="2" a="1"/>
  <c r="AU35" i="2" a="1"/>
  <c r="M53" i="2" a="1"/>
  <c r="G63" i="2" a="1"/>
  <c r="O61" i="2" a="1"/>
  <c r="O52" i="2" a="1"/>
  <c r="AU32" i="2" a="1"/>
  <c r="S67" i="2" a="1"/>
  <c r="O62" i="2" a="1"/>
  <c r="Q51" i="2" a="1"/>
  <c r="Q76" i="2" a="1"/>
  <c r="U66" i="2" a="1"/>
  <c r="M66" i="2" a="1"/>
  <c r="M76" i="2" a="1"/>
  <c r="M62" i="2" a="1"/>
  <c r="O63" i="2" a="1"/>
  <c r="S63" i="2" a="1"/>
  <c r="AU23" i="2" a="1"/>
  <c r="S52" i="2" a="1"/>
  <c r="D13" i="1153" l="1"/>
  <c r="AG44" i="1153"/>
  <c r="AS9" i="2"/>
  <c r="AS38" i="2" s="1"/>
  <c r="AT78" i="2"/>
  <c r="P19" i="26" s="1"/>
  <c r="AT77" i="2"/>
  <c r="AT76" i="2"/>
  <c r="K19" i="26" s="1"/>
  <c r="J34" i="1153"/>
  <c r="J14" i="1153" s="1"/>
  <c r="T34" i="1153"/>
  <c r="T14" i="1153" s="1"/>
  <c r="AA34" i="1153"/>
  <c r="AA14" i="1153" s="1"/>
  <c r="L34" i="1153"/>
  <c r="L14" i="1153" s="1"/>
  <c r="H34" i="1153"/>
  <c r="H14" i="1153" s="1"/>
  <c r="Z34" i="1153"/>
  <c r="Z14" i="1153" s="1"/>
  <c r="X34" i="1153"/>
  <c r="X14" i="1153" s="1"/>
  <c r="O34" i="1153"/>
  <c r="O14" i="1153" s="1"/>
  <c r="V34" i="1153"/>
  <c r="V14" i="1153" s="1"/>
  <c r="W34" i="1153"/>
  <c r="W14" i="1153" s="1"/>
  <c r="K34" i="1153"/>
  <c r="K14" i="1153" s="1"/>
  <c r="R46" i="1153"/>
  <c r="R34" i="1153"/>
  <c r="R14" i="1153" s="1"/>
  <c r="AD46" i="1153"/>
  <c r="AD34" i="1153"/>
  <c r="AD14" i="1153" s="1"/>
  <c r="H37" i="1137"/>
  <c r="P37" i="1148"/>
  <c r="P46" i="1148" s="1"/>
  <c r="AH27" i="1153"/>
  <c r="Q34" i="1153"/>
  <c r="Q14" i="1153" s="1"/>
  <c r="G34" i="1153"/>
  <c r="G14" i="1153" s="1"/>
  <c r="AC34" i="1153"/>
  <c r="AC14" i="1153" s="1"/>
  <c r="Y34" i="1153"/>
  <c r="Y14" i="1153" s="1"/>
  <c r="F34" i="1153"/>
  <c r="F14" i="1153" s="1"/>
  <c r="AG35" i="1153"/>
  <c r="D45" i="1153"/>
  <c r="D37" i="1153"/>
  <c r="I46" i="1153"/>
  <c r="I34" i="1153"/>
  <c r="I14" i="1153" s="1"/>
  <c r="M46" i="1153"/>
  <c r="M34" i="1153"/>
  <c r="M14" i="1153" s="1"/>
  <c r="P13" i="1148"/>
  <c r="AQ60" i="2"/>
  <c r="AQ81" i="2" s="1"/>
  <c r="AO60" i="2"/>
  <c r="AO81" i="2" s="1"/>
  <c r="E34" i="35"/>
  <c r="V20" i="35" s="1"/>
  <c r="J80" i="2"/>
  <c r="AT30" i="2"/>
  <c r="J70" i="2"/>
  <c r="O74" i="2"/>
  <c r="R60" i="2"/>
  <c r="U76" i="2"/>
  <c r="Q74" i="2"/>
  <c r="AT36" i="2"/>
  <c r="AT12" i="2"/>
  <c r="AT18" i="2"/>
  <c r="Y74" i="2"/>
  <c r="M75" i="2"/>
  <c r="AT26" i="2"/>
  <c r="F34" i="35"/>
  <c r="W20" i="35" s="1"/>
  <c r="L70" i="2"/>
  <c r="F70" i="2"/>
  <c r="X70" i="2"/>
  <c r="G76" i="2"/>
  <c r="L20" i="35"/>
  <c r="U20" i="35" s="1"/>
  <c r="L80" i="2"/>
  <c r="K20" i="35"/>
  <c r="T20" i="35" s="1"/>
  <c r="U78" i="2"/>
  <c r="AT16" i="2"/>
  <c r="P60" i="2"/>
  <c r="AU44" i="2"/>
  <c r="K74" i="2"/>
  <c r="N80" i="2"/>
  <c r="F20" i="35"/>
  <c r="Q20" i="35" s="1"/>
  <c r="I74" i="2"/>
  <c r="Q75" i="2"/>
  <c r="AK60" i="2"/>
  <c r="AK81" i="2" s="1"/>
  <c r="J60" i="2"/>
  <c r="G77" i="2"/>
  <c r="AT32" i="2"/>
  <c r="M74" i="2"/>
  <c r="H20" i="35"/>
  <c r="R20" i="35" s="1"/>
  <c r="AT25" i="2"/>
  <c r="AT22" i="2"/>
  <c r="AT20" i="2"/>
  <c r="G74" i="2"/>
  <c r="O75" i="2"/>
  <c r="H34" i="35"/>
  <c r="X20" i="35" s="1"/>
  <c r="AT27" i="2"/>
  <c r="AT35" i="2"/>
  <c r="AT24" i="2"/>
  <c r="K75" i="2"/>
  <c r="AT17" i="2"/>
  <c r="H60" i="2"/>
  <c r="G78" i="2"/>
  <c r="AT28" i="2"/>
  <c r="AT19" i="2"/>
  <c r="V80" i="2"/>
  <c r="H70" i="2"/>
  <c r="AT21" i="2"/>
  <c r="AT29" i="2"/>
  <c r="U77" i="2"/>
  <c r="W75" i="2"/>
  <c r="AT13" i="2"/>
  <c r="AT23" i="2"/>
  <c r="AU45" i="2"/>
  <c r="N60" i="2"/>
  <c r="Y75" i="2"/>
  <c r="AT15" i="2"/>
  <c r="X80" i="2"/>
  <c r="AT33" i="2"/>
  <c r="S74" i="2"/>
  <c r="S75" i="2"/>
  <c r="L60" i="2"/>
  <c r="U74" i="2"/>
  <c r="AT11" i="2"/>
  <c r="U46" i="1131"/>
  <c r="N13" i="1127"/>
  <c r="AE45" i="1137"/>
  <c r="V37" i="1141"/>
  <c r="V46" i="1141" s="1"/>
  <c r="P13" i="1141"/>
  <c r="J13" i="1148"/>
  <c r="X45" i="1129"/>
  <c r="H37" i="1139"/>
  <c r="H46" i="1139" s="1"/>
  <c r="O45" i="1141"/>
  <c r="J37" i="1143"/>
  <c r="H13" i="1137"/>
  <c r="Z13" i="1143"/>
  <c r="M37" i="1143"/>
  <c r="M46" i="1143" s="1"/>
  <c r="T13" i="1131"/>
  <c r="U45" i="1137"/>
  <c r="N37" i="1139"/>
  <c r="N46" i="1139" s="1"/>
  <c r="U13" i="1137"/>
  <c r="X13" i="1141"/>
  <c r="AC37" i="1143"/>
  <c r="AG18" i="1135"/>
  <c r="AG19" i="1135" s="1"/>
  <c r="AG20" i="1135" s="1"/>
  <c r="AG21" i="1135" s="1"/>
  <c r="AG22" i="1135" s="1"/>
  <c r="AG23" i="1135" s="1"/>
  <c r="AG24" i="1135" s="1"/>
  <c r="AG25" i="1135" s="1"/>
  <c r="AG26" i="1135" s="1"/>
  <c r="AG28" i="1135" s="1"/>
  <c r="J46" i="1131"/>
  <c r="X45" i="1141"/>
  <c r="F67" i="35" a="1"/>
  <c r="F67" i="35" s="1"/>
  <c r="AI22" i="35" s="1"/>
  <c r="Q38" i="1131"/>
  <c r="Q47" i="1131" s="1"/>
  <c r="N38" i="1131"/>
  <c r="N47" i="1131" s="1"/>
  <c r="T37" i="1139"/>
  <c r="L37" i="1143"/>
  <c r="L46" i="1143" s="1"/>
  <c r="F37" i="1148"/>
  <c r="Q37" i="1129"/>
  <c r="Q46" i="1129" s="1"/>
  <c r="AA37" i="1141"/>
  <c r="AA46" i="1141" s="1"/>
  <c r="V13" i="1141"/>
  <c r="V46" i="1131"/>
  <c r="W46" i="1131"/>
  <c r="F37" i="1129"/>
  <c r="F46" i="1129" s="1"/>
  <c r="I13" i="1129"/>
  <c r="P13" i="1133"/>
  <c r="Q13" i="1137"/>
  <c r="AA13" i="1141"/>
  <c r="T13" i="1139"/>
  <c r="AA45" i="1148"/>
  <c r="E45" i="1148"/>
  <c r="AE37" i="1148"/>
  <c r="AE46" i="1148" s="1"/>
  <c r="I37" i="1129"/>
  <c r="I46" i="1129" s="1"/>
  <c r="Z13" i="1148"/>
  <c r="K45" i="1139"/>
  <c r="K45" i="1141"/>
  <c r="Y45" i="1141"/>
  <c r="J13" i="1142"/>
  <c r="R37" i="1143"/>
  <c r="S45" i="1148"/>
  <c r="AG18" i="1148"/>
  <c r="AG19" i="1148" s="1"/>
  <c r="AG20" i="1148" s="1"/>
  <c r="AG21" i="1148" s="1"/>
  <c r="AG22" i="1148" s="1"/>
  <c r="AG23" i="1148" s="1"/>
  <c r="AG24" i="1148" s="1"/>
  <c r="AG25" i="1148" s="1"/>
  <c r="T38" i="1131"/>
  <c r="T47" i="1131" s="1"/>
  <c r="AE13" i="1131"/>
  <c r="W13" i="1131"/>
  <c r="J45" i="1141"/>
  <c r="X45" i="1148"/>
  <c r="H45" i="1129"/>
  <c r="U37" i="1135"/>
  <c r="U46" i="1135" s="1"/>
  <c r="Y37" i="1139"/>
  <c r="Y46" i="1139" s="1"/>
  <c r="J37" i="1139"/>
  <c r="J46" i="1139" s="1"/>
  <c r="Y13" i="1139"/>
  <c r="AD45" i="1148"/>
  <c r="L37" i="1148"/>
  <c r="L46" i="1148" s="1"/>
  <c r="G13" i="1148"/>
  <c r="W13" i="1137"/>
  <c r="P45" i="1143"/>
  <c r="W13" i="1141"/>
  <c r="T37" i="1148"/>
  <c r="T46" i="1148" s="1"/>
  <c r="U13" i="1135"/>
  <c r="W37" i="1141"/>
  <c r="W46" i="1141" s="1"/>
  <c r="J13" i="1141"/>
  <c r="G37" i="1148"/>
  <c r="G46" i="1148" s="1"/>
  <c r="AB37" i="1148"/>
  <c r="AB46" i="1148" s="1"/>
  <c r="R13" i="1143"/>
  <c r="V13" i="1131"/>
  <c r="Y37" i="1135"/>
  <c r="Y46" i="1135" s="1"/>
  <c r="AB37" i="1139"/>
  <c r="AB34" i="1139" s="1"/>
  <c r="AB14" i="1139" s="1"/>
  <c r="M37" i="1141"/>
  <c r="M46" i="1141" s="1"/>
  <c r="AB13" i="1142"/>
  <c r="T37" i="1143"/>
  <c r="T46" i="1143" s="1"/>
  <c r="N37" i="1143"/>
  <c r="N46" i="1143" s="1"/>
  <c r="S13" i="1144"/>
  <c r="Q13" i="1129"/>
  <c r="P37" i="1137"/>
  <c r="P46" i="1137" s="1"/>
  <c r="AB13" i="1139"/>
  <c r="N37" i="1141"/>
  <c r="N34" i="1141" s="1"/>
  <c r="N14" i="1141" s="1"/>
  <c r="S37" i="1141"/>
  <c r="S46" i="1141" s="1"/>
  <c r="O13" i="1141"/>
  <c r="R13" i="1142"/>
  <c r="U37" i="1143"/>
  <c r="U46" i="1143" s="1"/>
  <c r="Q37" i="1143"/>
  <c r="Q46" i="1143" s="1"/>
  <c r="H37" i="1143"/>
  <c r="H46" i="1143" s="1"/>
  <c r="E13" i="1144"/>
  <c r="S13" i="1141"/>
  <c r="AG18" i="1143"/>
  <c r="AG19" i="1143" s="1"/>
  <c r="AG20" i="1143" s="1"/>
  <c r="AG21" i="1143" s="1"/>
  <c r="AG22" i="1143" s="1"/>
  <c r="AG23" i="1143" s="1"/>
  <c r="AG24" i="1143" s="1"/>
  <c r="AG25" i="1143" s="1"/>
  <c r="AG26" i="1143" s="1"/>
  <c r="AG28" i="1143" s="1"/>
  <c r="H37" i="1148"/>
  <c r="H46" i="1148" s="1"/>
  <c r="H13" i="1143"/>
  <c r="Q13" i="1143"/>
  <c r="I13" i="1135"/>
  <c r="T45" i="1141"/>
  <c r="S45" i="1143"/>
  <c r="N13" i="1141"/>
  <c r="M37" i="1139"/>
  <c r="M46" i="1139" s="1"/>
  <c r="G45" i="1139"/>
  <c r="T13" i="1141"/>
  <c r="P13" i="1142"/>
  <c r="Y13" i="1141"/>
  <c r="X37" i="1143"/>
  <c r="X46" i="1143" s="1"/>
  <c r="U37" i="1127"/>
  <c r="U46" i="1127" s="1"/>
  <c r="AD37" i="1129"/>
  <c r="AD46" i="1129" s="1"/>
  <c r="X38" i="1131"/>
  <c r="X47" i="1131" s="1"/>
  <c r="AC13" i="1129"/>
  <c r="K37" i="1137"/>
  <c r="K46" i="1137" s="1"/>
  <c r="Y34" i="1139"/>
  <c r="Y14" i="1139" s="1"/>
  <c r="AE37" i="1139"/>
  <c r="AE34" i="1139" s="1"/>
  <c r="AE14" i="1139" s="1"/>
  <c r="AG18" i="1139"/>
  <c r="AG19" i="1139" s="1"/>
  <c r="AG20" i="1139" s="1"/>
  <c r="AG21" i="1139" s="1"/>
  <c r="AG22" i="1139" s="1"/>
  <c r="AG23" i="1139" s="1"/>
  <c r="AG24" i="1139" s="1"/>
  <c r="AG25" i="1139" s="1"/>
  <c r="AG26" i="1139" s="1"/>
  <c r="AG28" i="1139" s="1"/>
  <c r="AD37" i="1141"/>
  <c r="AD46" i="1141" s="1"/>
  <c r="K37" i="1143"/>
  <c r="K46" i="1143" s="1"/>
  <c r="P34" i="1148"/>
  <c r="P14" i="1148" s="1"/>
  <c r="D13" i="1148"/>
  <c r="Q37" i="1148"/>
  <c r="Q46" i="1148" s="1"/>
  <c r="Q13" i="1148"/>
  <c r="Y37" i="1137"/>
  <c r="Y46" i="1137" s="1"/>
  <c r="E45" i="1137"/>
  <c r="M13" i="1139"/>
  <c r="Y13" i="1142"/>
  <c r="AD13" i="1141"/>
  <c r="AG18" i="1133"/>
  <c r="AG19" i="1133" s="1"/>
  <c r="AG20" i="1133" s="1"/>
  <c r="AG21" i="1133" s="1"/>
  <c r="AG22" i="1133" s="1"/>
  <c r="AG23" i="1133" s="1"/>
  <c r="AG24" i="1133" s="1"/>
  <c r="AG25" i="1133" s="1"/>
  <c r="AG26" i="1133" s="1"/>
  <c r="AG28" i="1133" s="1"/>
  <c r="AC13" i="1142"/>
  <c r="O37" i="1143"/>
  <c r="O46" i="1143" s="1"/>
  <c r="AG26" i="1148"/>
  <c r="AG28" i="1148" s="1"/>
  <c r="T37" i="1129"/>
  <c r="T46" i="1129" s="1"/>
  <c r="O45" i="1129"/>
  <c r="W13" i="1127"/>
  <c r="N13" i="1131"/>
  <c r="X13" i="1129"/>
  <c r="D44" i="1135"/>
  <c r="AG44" i="1135" s="1"/>
  <c r="Q45" i="1137"/>
  <c r="AB37" i="1141"/>
  <c r="AB46" i="1141" s="1"/>
  <c r="W13" i="1148"/>
  <c r="E13" i="1148"/>
  <c r="X13" i="1131"/>
  <c r="AB13" i="1131"/>
  <c r="V37" i="1137"/>
  <c r="V46" i="1137" s="1"/>
  <c r="AB37" i="1143"/>
  <c r="AB46" i="1143" s="1"/>
  <c r="W45" i="1148"/>
  <c r="W37" i="1127"/>
  <c r="W34" i="1127" s="1"/>
  <c r="W14" i="1127" s="1"/>
  <c r="Y37" i="1129"/>
  <c r="Y46" i="1129" s="1"/>
  <c r="AE38" i="1131"/>
  <c r="AE47" i="1131" s="1"/>
  <c r="P13" i="1131"/>
  <c r="M13" i="1142"/>
  <c r="AE34" i="1148"/>
  <c r="AE14" i="1148" s="1"/>
  <c r="V37" i="1143"/>
  <c r="V46" i="1143" s="1"/>
  <c r="I13" i="1144"/>
  <c r="G13" i="1144"/>
  <c r="N13" i="1139"/>
  <c r="K45" i="1148"/>
  <c r="V13" i="1143"/>
  <c r="H13" i="1148"/>
  <c r="AD38" i="1131"/>
  <c r="AD47" i="1131" s="1"/>
  <c r="G38" i="1131"/>
  <c r="G47" i="1131" s="1"/>
  <c r="M34" i="1133"/>
  <c r="M14" i="1133" s="1"/>
  <c r="O37" i="1139"/>
  <c r="O46" i="1139" s="1"/>
  <c r="X34" i="1141"/>
  <c r="X14" i="1141" s="1"/>
  <c r="U13" i="1142"/>
  <c r="AD13" i="1142"/>
  <c r="Q13" i="1142"/>
  <c r="AA13" i="1144"/>
  <c r="X13" i="1144"/>
  <c r="Y13" i="1144"/>
  <c r="Q13" i="1144"/>
  <c r="J13" i="1144"/>
  <c r="H13" i="1144"/>
  <c r="F13" i="1144"/>
  <c r="O34" i="1148"/>
  <c r="O14" i="1148" s="1"/>
  <c r="K13" i="1148"/>
  <c r="X13" i="1143"/>
  <c r="S13" i="1148"/>
  <c r="G13" i="1131"/>
  <c r="I34" i="1137"/>
  <c r="I14" i="1137" s="1"/>
  <c r="I13" i="1142"/>
  <c r="O13" i="1143"/>
  <c r="AB13" i="1143"/>
  <c r="M13" i="1148"/>
  <c r="Z37" i="1129"/>
  <c r="Z46" i="1129" s="1"/>
  <c r="AA45" i="1129"/>
  <c r="T13" i="1144"/>
  <c r="O13" i="1144"/>
  <c r="R13" i="1144"/>
  <c r="H34" i="1148"/>
  <c r="H14" i="1148" s="1"/>
  <c r="X13" i="1148"/>
  <c r="M13" i="1143"/>
  <c r="I37" i="1148"/>
  <c r="I46" i="1148" s="1"/>
  <c r="I13" i="1148"/>
  <c r="AB13" i="1148"/>
  <c r="AA13" i="1148"/>
  <c r="S34" i="1148"/>
  <c r="S14" i="1148" s="1"/>
  <c r="T13" i="1148"/>
  <c r="F13" i="1148"/>
  <c r="AG44" i="1148"/>
  <c r="AQ9" i="2"/>
  <c r="AQ38" i="2" s="1"/>
  <c r="AQ39" i="2" s="1"/>
  <c r="AQ40" i="2" s="1"/>
  <c r="V13" i="1144"/>
  <c r="W13" i="1144"/>
  <c r="AE13" i="1144"/>
  <c r="U13" i="1144"/>
  <c r="AD13" i="1144"/>
  <c r="AB13" i="1144"/>
  <c r="K13" i="1144"/>
  <c r="M13" i="1144"/>
  <c r="Z13" i="1144"/>
  <c r="L13" i="1144"/>
  <c r="P13" i="1144"/>
  <c r="AC13" i="1144"/>
  <c r="N13" i="1144"/>
  <c r="E37" i="1143"/>
  <c r="E46" i="1143" s="1"/>
  <c r="AM38" i="2"/>
  <c r="AM39" i="2" s="1"/>
  <c r="AM40" i="2" s="1"/>
  <c r="AL85" i="2" s="1"/>
  <c r="AM82" i="2" s="1"/>
  <c r="S13" i="1143"/>
  <c r="D13" i="1143"/>
  <c r="E13" i="1143"/>
  <c r="G37" i="1143"/>
  <c r="G46" i="1143" s="1"/>
  <c r="P13" i="1143"/>
  <c r="Y13" i="1143"/>
  <c r="K13" i="1143"/>
  <c r="U13" i="1143"/>
  <c r="T13" i="1143"/>
  <c r="AC13" i="1143"/>
  <c r="I35" i="1143"/>
  <c r="AG35" i="1143" s="1"/>
  <c r="I13" i="1143"/>
  <c r="W13" i="1142"/>
  <c r="X13" i="1142"/>
  <c r="O13" i="1142"/>
  <c r="AA13" i="1142"/>
  <c r="S13" i="1142"/>
  <c r="N13" i="1142"/>
  <c r="Z13" i="1142"/>
  <c r="L13" i="1142"/>
  <c r="K13" i="1142"/>
  <c r="H13" i="1142"/>
  <c r="T13" i="1142"/>
  <c r="E13" i="1142"/>
  <c r="V13" i="1142"/>
  <c r="AE13" i="1142"/>
  <c r="F13" i="1142"/>
  <c r="G13" i="1142"/>
  <c r="N34" i="1133"/>
  <c r="N14" i="1133" s="1"/>
  <c r="K46" i="1148"/>
  <c r="K34" i="1148"/>
  <c r="K14" i="1148" s="1"/>
  <c r="AG44" i="1127"/>
  <c r="AA37" i="1127"/>
  <c r="AA46" i="1127" s="1"/>
  <c r="P37" i="1129"/>
  <c r="P46" i="1129" s="1"/>
  <c r="Z38" i="1131"/>
  <c r="Z47" i="1131" s="1"/>
  <c r="J13" i="1131"/>
  <c r="F13" i="1129"/>
  <c r="P13" i="1129"/>
  <c r="O13" i="1137"/>
  <c r="K13" i="1141"/>
  <c r="AB13" i="1141"/>
  <c r="AG44" i="1143"/>
  <c r="I45" i="1127"/>
  <c r="AC38" i="1131"/>
  <c r="AC47" i="1131" s="1"/>
  <c r="T13" i="1129"/>
  <c r="S13" i="1131"/>
  <c r="AG18" i="1131"/>
  <c r="O37" i="1137"/>
  <c r="O46" i="1137" s="1"/>
  <c r="W37" i="1139"/>
  <c r="W46" i="1139" s="1"/>
  <c r="Y13" i="1135"/>
  <c r="AG19" i="1141"/>
  <c r="AG20" i="1141" s="1"/>
  <c r="AG21" i="1141" s="1"/>
  <c r="AG22" i="1141" s="1"/>
  <c r="AG23" i="1141" s="1"/>
  <c r="AG24" i="1141" s="1"/>
  <c r="AG25" i="1141" s="1"/>
  <c r="AG26" i="1141" s="1"/>
  <c r="AG28" i="1141" s="1"/>
  <c r="W13" i="1139"/>
  <c r="AC34" i="1148"/>
  <c r="AC14" i="1148" s="1"/>
  <c r="M37" i="1148"/>
  <c r="D12" i="1129"/>
  <c r="D35" i="1129" s="1"/>
  <c r="D45" i="1129" s="1"/>
  <c r="AC13" i="1131"/>
  <c r="W13" i="1129"/>
  <c r="Q13" i="1131"/>
  <c r="W34" i="1148"/>
  <c r="W14" i="1148" s="1"/>
  <c r="AG18" i="1129"/>
  <c r="AG19" i="1129" s="1"/>
  <c r="AG20" i="1129" s="1"/>
  <c r="AG21" i="1129" s="1"/>
  <c r="AG22" i="1129" s="1"/>
  <c r="AG23" i="1129" s="1"/>
  <c r="AG24" i="1129" s="1"/>
  <c r="AG25" i="1129" s="1"/>
  <c r="AG26" i="1129" s="1"/>
  <c r="AG28" i="1129" s="1"/>
  <c r="K13" i="1137"/>
  <c r="X34" i="1148"/>
  <c r="X14" i="1148" s="1"/>
  <c r="U34" i="1148"/>
  <c r="U14" i="1148" s="1"/>
  <c r="E34" i="1148"/>
  <c r="E14" i="1148" s="1"/>
  <c r="AD34" i="1148"/>
  <c r="AD14" i="1148" s="1"/>
  <c r="Y34" i="1148"/>
  <c r="Y14" i="1148" s="1"/>
  <c r="V46" i="1148"/>
  <c r="V34" i="1148"/>
  <c r="V14" i="1148" s="1"/>
  <c r="N46" i="1148"/>
  <c r="N34" i="1148"/>
  <c r="N14" i="1148" s="1"/>
  <c r="F46" i="1148"/>
  <c r="F34" i="1148"/>
  <c r="F14" i="1148" s="1"/>
  <c r="R34" i="1148"/>
  <c r="R14" i="1148" s="1"/>
  <c r="J46" i="1148"/>
  <c r="J34" i="1148"/>
  <c r="J14" i="1148" s="1"/>
  <c r="AG35" i="1148"/>
  <c r="D45" i="1148"/>
  <c r="D37" i="1148"/>
  <c r="AA46" i="1148"/>
  <c r="AA34" i="1148"/>
  <c r="AA14" i="1148" s="1"/>
  <c r="Z34" i="1148"/>
  <c r="Z14" i="1148" s="1"/>
  <c r="AE34" i="1133"/>
  <c r="AE14" i="1133" s="1"/>
  <c r="AD13" i="1140"/>
  <c r="I13" i="1140"/>
  <c r="O13" i="1138"/>
  <c r="V13" i="1138"/>
  <c r="X13" i="1138"/>
  <c r="D13" i="1141"/>
  <c r="N35" i="1131"/>
  <c r="N14" i="1131" s="1"/>
  <c r="W37" i="1129"/>
  <c r="W46" i="1129" s="1"/>
  <c r="I46" i="1131"/>
  <c r="O38" i="1131"/>
  <c r="O47" i="1131" s="1"/>
  <c r="H13" i="1131"/>
  <c r="AA13" i="1127"/>
  <c r="W34" i="1135"/>
  <c r="W14" i="1135" s="1"/>
  <c r="D13" i="1137"/>
  <c r="P37" i="1139"/>
  <c r="P34" i="1139" s="1"/>
  <c r="P14" i="1139" s="1"/>
  <c r="F34" i="1143"/>
  <c r="F14" i="1143" s="1"/>
  <c r="O45" i="1144"/>
  <c r="O37" i="1144"/>
  <c r="K45" i="1144"/>
  <c r="K37" i="1144"/>
  <c r="E45" i="1144"/>
  <c r="E37" i="1144"/>
  <c r="E46" i="1144" s="1"/>
  <c r="R45" i="1144"/>
  <c r="R37" i="1144"/>
  <c r="Z45" i="1144"/>
  <c r="Z37" i="1144"/>
  <c r="J45" i="1144"/>
  <c r="J37" i="1144"/>
  <c r="AG18" i="1144"/>
  <c r="AG19" i="1144" s="1"/>
  <c r="AG20" i="1144" s="1"/>
  <c r="AG21" i="1144" s="1"/>
  <c r="AG22" i="1144" s="1"/>
  <c r="AG23" i="1144" s="1"/>
  <c r="AG24" i="1144" s="1"/>
  <c r="AG25" i="1144" s="1"/>
  <c r="AG26" i="1144" s="1"/>
  <c r="AG28" i="1144" s="1"/>
  <c r="M45" i="1144"/>
  <c r="M37" i="1144"/>
  <c r="M46" i="1144" s="1"/>
  <c r="Q45" i="1144"/>
  <c r="Q37" i="1144"/>
  <c r="Q46" i="1144" s="1"/>
  <c r="G45" i="1144"/>
  <c r="G37" i="1144"/>
  <c r="G46" i="1144" s="1"/>
  <c r="L45" i="1144"/>
  <c r="L37" i="1144"/>
  <c r="L46" i="1144" s="1"/>
  <c r="AE45" i="1144"/>
  <c r="AE37" i="1144"/>
  <c r="AE46" i="1144" s="1"/>
  <c r="AC45" i="1144"/>
  <c r="AC37" i="1144"/>
  <c r="AC46" i="1144" s="1"/>
  <c r="H45" i="1144"/>
  <c r="H37" i="1144"/>
  <c r="H46" i="1144" s="1"/>
  <c r="P45" i="1144"/>
  <c r="P37" i="1144"/>
  <c r="P46" i="1144" s="1"/>
  <c r="R37" i="1129"/>
  <c r="R46" i="1129" s="1"/>
  <c r="J37" i="1129"/>
  <c r="J46" i="1129" s="1"/>
  <c r="N37" i="1129"/>
  <c r="N46" i="1129" s="1"/>
  <c r="Q35" i="1131"/>
  <c r="Q14" i="1131" s="1"/>
  <c r="AD13" i="1131"/>
  <c r="AD13" i="1129"/>
  <c r="AD13" i="1132"/>
  <c r="K13" i="1139"/>
  <c r="AD45" i="1144"/>
  <c r="AD37" i="1144"/>
  <c r="AD46" i="1144" s="1"/>
  <c r="V45" i="1144"/>
  <c r="V37" i="1144"/>
  <c r="V46" i="1144" s="1"/>
  <c r="Y45" i="1144"/>
  <c r="Y37" i="1144"/>
  <c r="N34" i="1135"/>
  <c r="N14" i="1135" s="1"/>
  <c r="V13" i="1137"/>
  <c r="AA45" i="1144"/>
  <c r="AA37" i="1144"/>
  <c r="AA46" i="1144" s="1"/>
  <c r="U45" i="1144"/>
  <c r="U37" i="1144"/>
  <c r="S45" i="1144"/>
  <c r="S37" i="1144"/>
  <c r="S46" i="1144" s="1"/>
  <c r="X45" i="1144"/>
  <c r="X37" i="1144"/>
  <c r="X46" i="1144" s="1"/>
  <c r="AB45" i="1144"/>
  <c r="AB37" i="1144"/>
  <c r="AB46" i="1144" s="1"/>
  <c r="W45" i="1144"/>
  <c r="W37" i="1144"/>
  <c r="W46" i="1144" s="1"/>
  <c r="T45" i="1144"/>
  <c r="T37" i="1144"/>
  <c r="T46" i="1144" s="1"/>
  <c r="I45" i="1144"/>
  <c r="I37" i="1144"/>
  <c r="I46" i="1144" s="1"/>
  <c r="F45" i="1144"/>
  <c r="F37" i="1144"/>
  <c r="F46" i="1144" s="1"/>
  <c r="N45" i="1144"/>
  <c r="N37" i="1144"/>
  <c r="N46" i="1144" s="1"/>
  <c r="D44" i="1144"/>
  <c r="D12" i="1144"/>
  <c r="D35" i="1144" s="1"/>
  <c r="S34" i="1143"/>
  <c r="S14" i="1143" s="1"/>
  <c r="AB38" i="1131"/>
  <c r="AB47" i="1131" s="1"/>
  <c r="I13" i="1127"/>
  <c r="Z13" i="1131"/>
  <c r="Z13" i="1129"/>
  <c r="P34" i="1133"/>
  <c r="P14" i="1133" s="1"/>
  <c r="O34" i="1135"/>
  <c r="O14" i="1135" s="1"/>
  <c r="AA13" i="1138"/>
  <c r="U13" i="1138"/>
  <c r="AC45" i="1139"/>
  <c r="AG18" i="1137"/>
  <c r="AG19" i="1137" s="1"/>
  <c r="AG20" i="1137" s="1"/>
  <c r="AG21" i="1137" s="1"/>
  <c r="AG22" i="1137" s="1"/>
  <c r="AG23" i="1137" s="1"/>
  <c r="AG24" i="1137" s="1"/>
  <c r="AG25" i="1137" s="1"/>
  <c r="AG26" i="1137" s="1"/>
  <c r="AG28" i="1137" s="1"/>
  <c r="AG18" i="1142"/>
  <c r="AG19" i="1142" s="1"/>
  <c r="AG20" i="1142" s="1"/>
  <c r="AG21" i="1142" s="1"/>
  <c r="AG22" i="1142" s="1"/>
  <c r="AG23" i="1142" s="1"/>
  <c r="AG24" i="1142" s="1"/>
  <c r="AG25" i="1142" s="1"/>
  <c r="AG26" i="1142" s="1"/>
  <c r="AC46" i="1143"/>
  <c r="AC34" i="1143"/>
  <c r="AC14" i="1143" s="1"/>
  <c r="Z46" i="1143"/>
  <c r="Z34" i="1143"/>
  <c r="Z14" i="1143" s="1"/>
  <c r="J46" i="1143"/>
  <c r="J34" i="1143"/>
  <c r="J14" i="1143" s="1"/>
  <c r="W46" i="1143"/>
  <c r="W34" i="1143"/>
  <c r="W14" i="1143" s="1"/>
  <c r="P46" i="1143"/>
  <c r="P34" i="1143"/>
  <c r="P14" i="1143" s="1"/>
  <c r="AD46" i="1143"/>
  <c r="AD34" i="1143"/>
  <c r="AD14" i="1143" s="1"/>
  <c r="Y34" i="1143"/>
  <c r="Y14" i="1143" s="1"/>
  <c r="N13" i="1129"/>
  <c r="J34" i="1133"/>
  <c r="J14" i="1133" s="1"/>
  <c r="F13" i="1138"/>
  <c r="Y13" i="1137"/>
  <c r="Y13" i="1140"/>
  <c r="D45" i="1143"/>
  <c r="D37" i="1143"/>
  <c r="R46" i="1143"/>
  <c r="R34" i="1143"/>
  <c r="R14" i="1143" s="1"/>
  <c r="AE46" i="1143"/>
  <c r="AE34" i="1143"/>
  <c r="AE14" i="1143" s="1"/>
  <c r="AA46" i="1143"/>
  <c r="AA34" i="1143"/>
  <c r="AA14" i="1143" s="1"/>
  <c r="U34" i="1143"/>
  <c r="U14" i="1143" s="1"/>
  <c r="I13" i="1131"/>
  <c r="AA34" i="1137"/>
  <c r="AA14" i="1137" s="1"/>
  <c r="I34" i="1139"/>
  <c r="I14" i="1139" s="1"/>
  <c r="AC13" i="1139"/>
  <c r="M34" i="1143"/>
  <c r="M14" i="1143" s="1"/>
  <c r="G34" i="1133"/>
  <c r="G14" i="1133" s="1"/>
  <c r="F34" i="1133"/>
  <c r="F14" i="1133" s="1"/>
  <c r="T13" i="1134"/>
  <c r="K34" i="1135"/>
  <c r="K14" i="1135" s="1"/>
  <c r="T13" i="1138"/>
  <c r="P13" i="1138"/>
  <c r="F13" i="1140"/>
  <c r="R13" i="1140"/>
  <c r="AA13" i="1140"/>
  <c r="G13" i="1139"/>
  <c r="AE13" i="1137"/>
  <c r="R46" i="1142"/>
  <c r="R38" i="1142"/>
  <c r="Z46" i="1142"/>
  <c r="Z38" i="1142"/>
  <c r="J46" i="1142"/>
  <c r="J38" i="1142"/>
  <c r="V34" i="1133"/>
  <c r="V14" i="1133" s="1"/>
  <c r="AC34" i="1133"/>
  <c r="AC14" i="1133" s="1"/>
  <c r="AE34" i="1135"/>
  <c r="AE14" i="1135" s="1"/>
  <c r="P34" i="1135"/>
  <c r="P14" i="1135" s="1"/>
  <c r="AD13" i="1138"/>
  <c r="L13" i="1138"/>
  <c r="Q13" i="1138"/>
  <c r="Y13" i="1138"/>
  <c r="D13" i="1139"/>
  <c r="X13" i="1140"/>
  <c r="H13" i="1140"/>
  <c r="O13" i="1140"/>
  <c r="H13" i="1139"/>
  <c r="Y46" i="1142"/>
  <c r="Y38" i="1142"/>
  <c r="I46" i="1142"/>
  <c r="I38" i="1142"/>
  <c r="AD46" i="1142"/>
  <c r="AD38" i="1142"/>
  <c r="V46" i="1142"/>
  <c r="V38" i="1142"/>
  <c r="F46" i="1142"/>
  <c r="F38" i="1142"/>
  <c r="N46" i="1142"/>
  <c r="N38" i="1142"/>
  <c r="D45" i="1142"/>
  <c r="D12" i="1142"/>
  <c r="D36" i="1142" s="1"/>
  <c r="M46" i="1142"/>
  <c r="M38" i="1142"/>
  <c r="Q46" i="1142"/>
  <c r="Q38" i="1142"/>
  <c r="G46" i="1142"/>
  <c r="G38" i="1142"/>
  <c r="G47" i="1142" s="1"/>
  <c r="L46" i="1142"/>
  <c r="L38" i="1142"/>
  <c r="L47" i="1142" s="1"/>
  <c r="U13" i="1140"/>
  <c r="W46" i="1142"/>
  <c r="W38" i="1142"/>
  <c r="W47" i="1142" s="1"/>
  <c r="T46" i="1142"/>
  <c r="T38" i="1142"/>
  <c r="T47" i="1142" s="1"/>
  <c r="O46" i="1142"/>
  <c r="O38" i="1142"/>
  <c r="O47" i="1142" s="1"/>
  <c r="K46" i="1142"/>
  <c r="K38" i="1142"/>
  <c r="K47" i="1142" s="1"/>
  <c r="E46" i="1142"/>
  <c r="E38" i="1142"/>
  <c r="E47" i="1142" s="1"/>
  <c r="AA46" i="1142"/>
  <c r="AA38" i="1142"/>
  <c r="AA47" i="1142" s="1"/>
  <c r="U46" i="1142"/>
  <c r="U38" i="1142"/>
  <c r="U47" i="1142" s="1"/>
  <c r="S46" i="1142"/>
  <c r="S38" i="1142"/>
  <c r="S47" i="1142" s="1"/>
  <c r="X46" i="1142"/>
  <c r="X38" i="1142"/>
  <c r="X47" i="1142" s="1"/>
  <c r="AB38" i="1142"/>
  <c r="AB47" i="1142" s="1"/>
  <c r="AB46" i="1142"/>
  <c r="AE46" i="1142"/>
  <c r="AE38" i="1142"/>
  <c r="AE47" i="1142" s="1"/>
  <c r="AC46" i="1142"/>
  <c r="AC38" i="1142"/>
  <c r="AC47" i="1142" s="1"/>
  <c r="H46" i="1142"/>
  <c r="H38" i="1142"/>
  <c r="H47" i="1142" s="1"/>
  <c r="P46" i="1142"/>
  <c r="P38" i="1142"/>
  <c r="P47" i="1142" s="1"/>
  <c r="P13" i="1137"/>
  <c r="AA38" i="2"/>
  <c r="AA39" i="2" s="1"/>
  <c r="AA40" i="2" s="1"/>
  <c r="Z85" i="2" s="1"/>
  <c r="AA82" i="2" s="1"/>
  <c r="AA83" i="2" s="1"/>
  <c r="R34" i="1137"/>
  <c r="R14" i="1137" s="1"/>
  <c r="J37" i="1137"/>
  <c r="J46" i="1137" s="1"/>
  <c r="X37" i="1137"/>
  <c r="X46" i="1137" s="1"/>
  <c r="AC35" i="1137"/>
  <c r="AC13" i="1137"/>
  <c r="J13" i="1137"/>
  <c r="S35" i="1137"/>
  <c r="S13" i="1137"/>
  <c r="L34" i="1137"/>
  <c r="L14" i="1137" s="1"/>
  <c r="X13" i="1137"/>
  <c r="M13" i="1137"/>
  <c r="L13" i="1137"/>
  <c r="E13" i="1137"/>
  <c r="F13" i="1137"/>
  <c r="AE13" i="1138"/>
  <c r="W13" i="1138"/>
  <c r="AC13" i="1138"/>
  <c r="Z13" i="1138"/>
  <c r="S13" i="1138"/>
  <c r="H13" i="1138"/>
  <c r="G13" i="1138"/>
  <c r="I13" i="1138"/>
  <c r="M13" i="1138"/>
  <c r="AB13" i="1138"/>
  <c r="N13" i="1138"/>
  <c r="J13" i="1138"/>
  <c r="K13" i="1138"/>
  <c r="E13" i="1138"/>
  <c r="R13" i="1138"/>
  <c r="S37" i="1139"/>
  <c r="S46" i="1139" s="1"/>
  <c r="AE38" i="2"/>
  <c r="AE39" i="2" s="1"/>
  <c r="AE40" i="2" s="1"/>
  <c r="AD85" i="2" s="1"/>
  <c r="AE82" i="2" s="1"/>
  <c r="AE83" i="2" s="1"/>
  <c r="P13" i="1139"/>
  <c r="L45" i="1139"/>
  <c r="L13" i="1139"/>
  <c r="U37" i="1139"/>
  <c r="U46" i="1139" s="1"/>
  <c r="S13" i="1139"/>
  <c r="O13" i="1139"/>
  <c r="U13" i="1139"/>
  <c r="AE13" i="1139"/>
  <c r="AG18" i="1140"/>
  <c r="AG19" i="1140" s="1"/>
  <c r="AG20" i="1140" s="1"/>
  <c r="AG21" i="1140" s="1"/>
  <c r="AG22" i="1140" s="1"/>
  <c r="AG23" i="1140" s="1"/>
  <c r="AG24" i="1140" s="1"/>
  <c r="AG25" i="1140" s="1"/>
  <c r="AG26" i="1140" s="1"/>
  <c r="AG28" i="1140" s="1"/>
  <c r="AB13" i="1140"/>
  <c r="Z13" i="1140"/>
  <c r="L13" i="1140"/>
  <c r="N13" i="1140"/>
  <c r="S13" i="1140"/>
  <c r="T13" i="1140"/>
  <c r="G13" i="1140"/>
  <c r="V13" i="1140"/>
  <c r="W13" i="1140"/>
  <c r="E13" i="1140"/>
  <c r="AE13" i="1140"/>
  <c r="AC13" i="1140"/>
  <c r="P13" i="1140"/>
  <c r="K13" i="1140"/>
  <c r="J13" i="1140"/>
  <c r="M13" i="1140"/>
  <c r="Q13" i="1140"/>
  <c r="R34" i="1141"/>
  <c r="R14" i="1141" s="1"/>
  <c r="AG44" i="1141"/>
  <c r="AI9" i="2"/>
  <c r="AI38" i="2" s="1"/>
  <c r="G34" i="1141"/>
  <c r="G14" i="1141" s="1"/>
  <c r="P34" i="1141"/>
  <c r="P14" i="1141" s="1"/>
  <c r="N37" i="1127"/>
  <c r="N46" i="1127" s="1"/>
  <c r="L38" i="1131"/>
  <c r="L47" i="1131" s="1"/>
  <c r="AA13" i="1129"/>
  <c r="X34" i="1135"/>
  <c r="X14" i="1135" s="1"/>
  <c r="AG19" i="1131"/>
  <c r="AG20" i="1131" s="1"/>
  <c r="AG21" i="1131" s="1"/>
  <c r="AG22" i="1131" s="1"/>
  <c r="AG23" i="1131" s="1"/>
  <c r="AG24" i="1131" s="1"/>
  <c r="AG25" i="1131" s="1"/>
  <c r="AG26" i="1131" s="1"/>
  <c r="AG27" i="1131" s="1"/>
  <c r="AG29" i="1131" s="1"/>
  <c r="N13" i="1136"/>
  <c r="AB34" i="1137"/>
  <c r="AB14" i="1137" s="1"/>
  <c r="M37" i="1137"/>
  <c r="M46" i="1137" s="1"/>
  <c r="AG44" i="1139"/>
  <c r="L34" i="1141"/>
  <c r="L14" i="1141" s="1"/>
  <c r="AE34" i="1141"/>
  <c r="AE14" i="1141" s="1"/>
  <c r="O46" i="1141"/>
  <c r="O34" i="1141"/>
  <c r="O14" i="1141" s="1"/>
  <c r="F46" i="1141"/>
  <c r="F34" i="1141"/>
  <c r="F14" i="1141" s="1"/>
  <c r="I34" i="1141"/>
  <c r="I14" i="1141" s="1"/>
  <c r="Q46" i="1141"/>
  <c r="Q34" i="1141"/>
  <c r="Q14" i="1141" s="1"/>
  <c r="Y46" i="1141"/>
  <c r="Y34" i="1141"/>
  <c r="Y14" i="1141" s="1"/>
  <c r="Y37" i="1127"/>
  <c r="Y46" i="1127" s="1"/>
  <c r="T37" i="1127"/>
  <c r="T46" i="1127" s="1"/>
  <c r="O45" i="1127"/>
  <c r="T34" i="1129"/>
  <c r="T14" i="1129" s="1"/>
  <c r="D12" i="1131"/>
  <c r="D36" i="1131" s="1"/>
  <c r="M46" i="1131" s="1"/>
  <c r="L46" i="1131"/>
  <c r="Y38" i="1131"/>
  <c r="Y47" i="1131" s="1"/>
  <c r="P38" i="1131"/>
  <c r="P47" i="1131" s="1"/>
  <c r="Y13" i="1127"/>
  <c r="T13" i="1127"/>
  <c r="U13" i="1131"/>
  <c r="E37" i="1135"/>
  <c r="E34" i="1135" s="1"/>
  <c r="E14" i="1135" s="1"/>
  <c r="U34" i="1137"/>
  <c r="U14" i="1137" s="1"/>
  <c r="AG18" i="1127"/>
  <c r="AG19" i="1127" s="1"/>
  <c r="AG20" i="1127" s="1"/>
  <c r="AG21" i="1127" s="1"/>
  <c r="AG22" i="1127" s="1"/>
  <c r="AG23" i="1127" s="1"/>
  <c r="AG24" i="1127" s="1"/>
  <c r="AG25" i="1127" s="1"/>
  <c r="AG26" i="1127" s="1"/>
  <c r="AG28" i="1127" s="1"/>
  <c r="F37" i="1137"/>
  <c r="F46" i="1137" s="1"/>
  <c r="AC46" i="1141"/>
  <c r="AC34" i="1141"/>
  <c r="AC14" i="1141" s="1"/>
  <c r="V34" i="1141"/>
  <c r="V14" i="1141" s="1"/>
  <c r="E34" i="1141"/>
  <c r="E14" i="1141" s="1"/>
  <c r="P34" i="1127"/>
  <c r="P14" i="1127" s="1"/>
  <c r="D45" i="1131"/>
  <c r="AG45" i="1131" s="1"/>
  <c r="L13" i="1131"/>
  <c r="N34" i="1137"/>
  <c r="N14" i="1137" s="1"/>
  <c r="H34" i="1141"/>
  <c r="H14" i="1141" s="1"/>
  <c r="Z46" i="1141"/>
  <c r="Z34" i="1141"/>
  <c r="Z14" i="1141" s="1"/>
  <c r="K46" i="1141"/>
  <c r="K34" i="1141"/>
  <c r="K14" i="1141" s="1"/>
  <c r="AG35" i="1141"/>
  <c r="D45" i="1141"/>
  <c r="D37" i="1141"/>
  <c r="T46" i="1141"/>
  <c r="T34" i="1141"/>
  <c r="T14" i="1141" s="1"/>
  <c r="U34" i="1141"/>
  <c r="U14" i="1141" s="1"/>
  <c r="J34" i="1141"/>
  <c r="J14" i="1141" s="1"/>
  <c r="H47" i="1131"/>
  <c r="H35" i="1131"/>
  <c r="H14" i="1131" s="1"/>
  <c r="W45" i="1140"/>
  <c r="W37" i="1140"/>
  <c r="W46" i="1140" s="1"/>
  <c r="T37" i="1140"/>
  <c r="T46" i="1140" s="1"/>
  <c r="T45" i="1140"/>
  <c r="AE45" i="1140"/>
  <c r="AE37" i="1140"/>
  <c r="AE46" i="1140" s="1"/>
  <c r="AC37" i="1140"/>
  <c r="AC46" i="1140" s="1"/>
  <c r="AC45" i="1140"/>
  <c r="H37" i="1140"/>
  <c r="H46" i="1140" s="1"/>
  <c r="H45" i="1140"/>
  <c r="D44" i="1140"/>
  <c r="D12" i="1140"/>
  <c r="D35" i="1140" s="1"/>
  <c r="M45" i="1140"/>
  <c r="M37" i="1140"/>
  <c r="M46" i="1140" s="1"/>
  <c r="Q45" i="1140"/>
  <c r="Q37" i="1140"/>
  <c r="Q46" i="1140" s="1"/>
  <c r="O34" i="1129"/>
  <c r="O14" i="1129" s="1"/>
  <c r="AG44" i="1129"/>
  <c r="Y13" i="1129"/>
  <c r="Y13" i="1131"/>
  <c r="AG44" i="1133"/>
  <c r="F34" i="1135"/>
  <c r="F14" i="1135" s="1"/>
  <c r="Z34" i="1137"/>
  <c r="Z14" i="1137" s="1"/>
  <c r="F45" i="1140"/>
  <c r="F37" i="1140"/>
  <c r="K45" i="1140"/>
  <c r="K37" i="1140"/>
  <c r="K46" i="1140" s="1"/>
  <c r="I45" i="1140"/>
  <c r="I37" i="1140"/>
  <c r="AA45" i="1140"/>
  <c r="AA37" i="1140"/>
  <c r="AA46" i="1140" s="1"/>
  <c r="AD45" i="1140"/>
  <c r="AD37" i="1140"/>
  <c r="P45" i="1140"/>
  <c r="P37" i="1140"/>
  <c r="P46" i="1140" s="1"/>
  <c r="Z45" i="1140"/>
  <c r="Z37" i="1140"/>
  <c r="J45" i="1140"/>
  <c r="J37" i="1140"/>
  <c r="N45" i="1140"/>
  <c r="N37" i="1140"/>
  <c r="E34" i="1129"/>
  <c r="E14" i="1129" s="1"/>
  <c r="H13" i="1129"/>
  <c r="E34" i="1137"/>
  <c r="E14" i="1137" s="1"/>
  <c r="S45" i="1140"/>
  <c r="S37" i="1140"/>
  <c r="X37" i="1140"/>
  <c r="X45" i="1140"/>
  <c r="AB45" i="1140"/>
  <c r="AB37" i="1140"/>
  <c r="R45" i="1140"/>
  <c r="R37" i="1140"/>
  <c r="E45" i="1140"/>
  <c r="E37" i="1140"/>
  <c r="U45" i="1140"/>
  <c r="U37" i="1140"/>
  <c r="AG44" i="1137"/>
  <c r="V45" i="1140"/>
  <c r="V37" i="1140"/>
  <c r="V46" i="1140" s="1"/>
  <c r="Y45" i="1140"/>
  <c r="Y37" i="1140"/>
  <c r="Y46" i="1140" s="1"/>
  <c r="O45" i="1140"/>
  <c r="O37" i="1140"/>
  <c r="G45" i="1140"/>
  <c r="G37" i="1140"/>
  <c r="L45" i="1140"/>
  <c r="L37" i="1140"/>
  <c r="AE46" i="1139"/>
  <c r="G46" i="1139"/>
  <c r="G34" i="1139"/>
  <c r="G14" i="1139" s="1"/>
  <c r="T46" i="1139"/>
  <c r="T34" i="1139"/>
  <c r="T14" i="1139" s="1"/>
  <c r="F46" i="1139"/>
  <c r="F34" i="1139"/>
  <c r="F14" i="1139" s="1"/>
  <c r="AA46" i="1139"/>
  <c r="AA34" i="1139"/>
  <c r="AA14" i="1139" s="1"/>
  <c r="Q46" i="1139"/>
  <c r="Q34" i="1139"/>
  <c r="Q14" i="1139" s="1"/>
  <c r="AC34" i="1139"/>
  <c r="AC14" i="1139" s="1"/>
  <c r="L13" i="1136"/>
  <c r="R46" i="1139"/>
  <c r="R34" i="1139"/>
  <c r="R14" i="1139" s="1"/>
  <c r="E46" i="1139"/>
  <c r="E34" i="1139"/>
  <c r="E14" i="1139" s="1"/>
  <c r="X46" i="1139"/>
  <c r="X34" i="1139"/>
  <c r="X14" i="1139" s="1"/>
  <c r="V46" i="1139"/>
  <c r="V34" i="1139"/>
  <c r="V14" i="1139" s="1"/>
  <c r="K46" i="1139"/>
  <c r="K34" i="1139"/>
  <c r="K14" i="1139" s="1"/>
  <c r="AD46" i="1139"/>
  <c r="AD34" i="1139"/>
  <c r="AD14" i="1139" s="1"/>
  <c r="L34" i="1139"/>
  <c r="L14" i="1139" s="1"/>
  <c r="Z46" i="1139"/>
  <c r="Z34" i="1139"/>
  <c r="Z14" i="1139" s="1"/>
  <c r="AG35" i="1139"/>
  <c r="D45" i="1139"/>
  <c r="D37" i="1139"/>
  <c r="AE13" i="1132"/>
  <c r="Z13" i="1134"/>
  <c r="T45" i="1138"/>
  <c r="T37" i="1138"/>
  <c r="F45" i="1138"/>
  <c r="F37" i="1138"/>
  <c r="N45" i="1138"/>
  <c r="N37" i="1138"/>
  <c r="AG18" i="1138"/>
  <c r="AG19" i="1138" s="1"/>
  <c r="AG20" i="1138" s="1"/>
  <c r="AG21" i="1138" s="1"/>
  <c r="AG22" i="1138" s="1"/>
  <c r="AG23" i="1138" s="1"/>
  <c r="AG24" i="1138" s="1"/>
  <c r="AG25" i="1138" s="1"/>
  <c r="AG26" i="1138" s="1"/>
  <c r="AG28" i="1138" s="1"/>
  <c r="E45" i="1138"/>
  <c r="E37" i="1138"/>
  <c r="R45" i="1138"/>
  <c r="R37" i="1138"/>
  <c r="M45" i="1138"/>
  <c r="M37" i="1138"/>
  <c r="Z45" i="1138"/>
  <c r="Z37" i="1138"/>
  <c r="S45" i="1138"/>
  <c r="S37" i="1138"/>
  <c r="X45" i="1138"/>
  <c r="X37" i="1138"/>
  <c r="Z13" i="1132"/>
  <c r="I45" i="1138"/>
  <c r="I37" i="1138"/>
  <c r="Q45" i="1138"/>
  <c r="Q37" i="1138"/>
  <c r="V45" i="1138"/>
  <c r="V37" i="1138"/>
  <c r="AB37" i="1138"/>
  <c r="AB45" i="1138"/>
  <c r="N13" i="1134"/>
  <c r="M13" i="1136"/>
  <c r="Z13" i="1136"/>
  <c r="AD13" i="1136"/>
  <c r="Z38" i="2"/>
  <c r="AA45" i="1138"/>
  <c r="AA37" i="1138"/>
  <c r="AA46" i="1138" s="1"/>
  <c r="AE45" i="1138"/>
  <c r="AE37" i="1138"/>
  <c r="AE46" i="1138" s="1"/>
  <c r="P45" i="1138"/>
  <c r="P37" i="1138"/>
  <c r="P46" i="1138" s="1"/>
  <c r="J45" i="1138"/>
  <c r="J37" i="1138"/>
  <c r="J46" i="1138" s="1"/>
  <c r="G45" i="1138"/>
  <c r="G37" i="1138"/>
  <c r="G46" i="1138" s="1"/>
  <c r="Y45" i="1138"/>
  <c r="Y37" i="1138"/>
  <c r="Y46" i="1138" s="1"/>
  <c r="N13" i="1132"/>
  <c r="S13" i="1134"/>
  <c r="X13" i="1134"/>
  <c r="AC13" i="1136"/>
  <c r="D44" i="1138"/>
  <c r="D12" i="1138"/>
  <c r="D35" i="1138" s="1"/>
  <c r="H45" i="1138"/>
  <c r="H37" i="1138"/>
  <c r="H46" i="1138" s="1"/>
  <c r="U45" i="1138"/>
  <c r="U37" i="1138"/>
  <c r="U46" i="1138" s="1"/>
  <c r="AD45" i="1138"/>
  <c r="AD37" i="1138"/>
  <c r="AD46" i="1138" s="1"/>
  <c r="L37" i="1138"/>
  <c r="L46" i="1138" s="1"/>
  <c r="L45" i="1138"/>
  <c r="AC45" i="1138"/>
  <c r="AC37" i="1138"/>
  <c r="AC46" i="1138" s="1"/>
  <c r="O45" i="1138"/>
  <c r="O37" i="1138"/>
  <c r="O46" i="1138" s="1"/>
  <c r="K45" i="1138"/>
  <c r="K37" i="1138"/>
  <c r="K46" i="1138" s="1"/>
  <c r="W45" i="1138"/>
  <c r="W37" i="1138"/>
  <c r="W46" i="1138" s="1"/>
  <c r="AD34" i="1137"/>
  <c r="AD14" i="1137" s="1"/>
  <c r="K34" i="1129"/>
  <c r="K14" i="1129" s="1"/>
  <c r="Z13" i="1130"/>
  <c r="Q13" i="1130"/>
  <c r="G13" i="1130"/>
  <c r="AA13" i="1130"/>
  <c r="R13" i="1132"/>
  <c r="Q46" i="1137"/>
  <c r="Q34" i="1137"/>
  <c r="Q14" i="1137" s="1"/>
  <c r="W34" i="1137"/>
  <c r="W14" i="1137" s="1"/>
  <c r="AB13" i="1132"/>
  <c r="I13" i="1132"/>
  <c r="AB13" i="1134"/>
  <c r="O13" i="1136"/>
  <c r="H46" i="1137"/>
  <c r="H34" i="1137"/>
  <c r="H14" i="1137" s="1"/>
  <c r="AE34" i="1127"/>
  <c r="AE14" i="1127" s="1"/>
  <c r="AB34" i="1129"/>
  <c r="AB14" i="1129" s="1"/>
  <c r="AA34" i="1129"/>
  <c r="AA14" i="1129" s="1"/>
  <c r="F35" i="1131"/>
  <c r="F14" i="1131" s="1"/>
  <c r="J13" i="1132"/>
  <c r="H13" i="1132"/>
  <c r="AA13" i="1132"/>
  <c r="V13" i="1132"/>
  <c r="Y13" i="1132"/>
  <c r="F13" i="1134"/>
  <c r="AD13" i="1134"/>
  <c r="M13" i="1134"/>
  <c r="AC13" i="1134"/>
  <c r="Q13" i="1136"/>
  <c r="H13" i="1136"/>
  <c r="G46" i="1137"/>
  <c r="G34" i="1137"/>
  <c r="G14" i="1137" s="1"/>
  <c r="D45" i="1137"/>
  <c r="D37" i="1137"/>
  <c r="T46" i="1137"/>
  <c r="T34" i="1137"/>
  <c r="T14" i="1137" s="1"/>
  <c r="AE34" i="1137"/>
  <c r="AE14" i="1137" s="1"/>
  <c r="K13" i="1132"/>
  <c r="O13" i="1132"/>
  <c r="S13" i="1132"/>
  <c r="AC13" i="1132"/>
  <c r="W13" i="1132"/>
  <c r="U13" i="1132"/>
  <c r="X13" i="1132"/>
  <c r="T13" i="1132"/>
  <c r="Q13" i="1132"/>
  <c r="F13" i="1132"/>
  <c r="E13" i="1132"/>
  <c r="L13" i="1132"/>
  <c r="P13" i="1132"/>
  <c r="M13" i="1132"/>
  <c r="G13" i="1132"/>
  <c r="D13" i="1133"/>
  <c r="T35" i="1133"/>
  <c r="T13" i="1133"/>
  <c r="K35" i="1133"/>
  <c r="K13" i="1133"/>
  <c r="G13" i="1134"/>
  <c r="J13" i="1134"/>
  <c r="Q13" i="1134"/>
  <c r="L13" i="1134"/>
  <c r="P13" i="1134"/>
  <c r="AA13" i="1134"/>
  <c r="U13" i="1134"/>
  <c r="I13" i="1134"/>
  <c r="R13" i="1134"/>
  <c r="H13" i="1134"/>
  <c r="V13" i="1134"/>
  <c r="W13" i="1134"/>
  <c r="Y13" i="1134"/>
  <c r="O13" i="1134"/>
  <c r="K13" i="1134"/>
  <c r="E13" i="1134"/>
  <c r="AE13" i="1134"/>
  <c r="D13" i="1135"/>
  <c r="V13" i="1136"/>
  <c r="AB13" i="1136"/>
  <c r="K13" i="1136"/>
  <c r="E13" i="1136"/>
  <c r="R13" i="1136"/>
  <c r="J13" i="1136"/>
  <c r="AE13" i="1136"/>
  <c r="F13" i="1136"/>
  <c r="X13" i="1136"/>
  <c r="T13" i="1136"/>
  <c r="G13" i="1136"/>
  <c r="P13" i="1136"/>
  <c r="AA13" i="1136"/>
  <c r="U13" i="1136"/>
  <c r="S13" i="1136"/>
  <c r="W13" i="1136"/>
  <c r="Y13" i="1136"/>
  <c r="I13" i="1136"/>
  <c r="S34" i="1129"/>
  <c r="S14" i="1129" s="1"/>
  <c r="Q45" i="1136"/>
  <c r="Q37" i="1136"/>
  <c r="Q46" i="1136" s="1"/>
  <c r="AA45" i="1136"/>
  <c r="AA37" i="1136"/>
  <c r="AA46" i="1136" s="1"/>
  <c r="U37" i="1136"/>
  <c r="U45" i="1136"/>
  <c r="S45" i="1136"/>
  <c r="S37" i="1136"/>
  <c r="S46" i="1136" s="1"/>
  <c r="X45" i="1136"/>
  <c r="X37" i="1136"/>
  <c r="Y45" i="1136"/>
  <c r="Y37" i="1136"/>
  <c r="T37" i="1136"/>
  <c r="T46" i="1136" s="1"/>
  <c r="T45" i="1136"/>
  <c r="O45" i="1136"/>
  <c r="O37" i="1136"/>
  <c r="O46" i="1136" s="1"/>
  <c r="K45" i="1136"/>
  <c r="K37" i="1136"/>
  <c r="K46" i="1136" s="1"/>
  <c r="M45" i="1136"/>
  <c r="M37" i="1136"/>
  <c r="M46" i="1136" s="1"/>
  <c r="AE45" i="1136"/>
  <c r="AE37" i="1136"/>
  <c r="AE46" i="1136" s="1"/>
  <c r="AC45" i="1136"/>
  <c r="AC37" i="1136"/>
  <c r="H45" i="1136"/>
  <c r="H37" i="1136"/>
  <c r="H46" i="1136" s="1"/>
  <c r="P45" i="1136"/>
  <c r="P37" i="1136"/>
  <c r="P46" i="1136" s="1"/>
  <c r="D44" i="1136"/>
  <c r="AG44" i="1136" s="1"/>
  <c r="D12" i="1136"/>
  <c r="D35" i="1136" s="1"/>
  <c r="AD45" i="1136"/>
  <c r="AD37" i="1136"/>
  <c r="AD46" i="1136" s="1"/>
  <c r="V45" i="1136"/>
  <c r="V37" i="1136"/>
  <c r="V46" i="1136" s="1"/>
  <c r="W45" i="1136"/>
  <c r="W37" i="1136"/>
  <c r="W46" i="1136" s="1"/>
  <c r="E45" i="1136"/>
  <c r="E37" i="1136"/>
  <c r="E46" i="1136" s="1"/>
  <c r="I45" i="1136"/>
  <c r="I37" i="1136"/>
  <c r="I46" i="1136" s="1"/>
  <c r="R34" i="1133"/>
  <c r="R14" i="1133" s="1"/>
  <c r="H34" i="1133"/>
  <c r="H14" i="1133" s="1"/>
  <c r="Z45" i="1136"/>
  <c r="Z37" i="1136"/>
  <c r="J45" i="1136"/>
  <c r="J37" i="1136"/>
  <c r="G45" i="1136"/>
  <c r="G37" i="1136"/>
  <c r="F45" i="1136"/>
  <c r="F37" i="1136"/>
  <c r="N45" i="1136"/>
  <c r="N37" i="1136"/>
  <c r="AG18" i="1136"/>
  <c r="AG19" i="1136" s="1"/>
  <c r="AG20" i="1136" s="1"/>
  <c r="AG21" i="1136" s="1"/>
  <c r="AG22" i="1136" s="1"/>
  <c r="AG23" i="1136" s="1"/>
  <c r="AG24" i="1136" s="1"/>
  <c r="AG25" i="1136" s="1"/>
  <c r="AG26" i="1136" s="1"/>
  <c r="AG28" i="1136" s="1"/>
  <c r="AB45" i="1136"/>
  <c r="AB37" i="1136"/>
  <c r="S34" i="1127"/>
  <c r="S14" i="1127" s="1"/>
  <c r="X34" i="1133"/>
  <c r="X14" i="1133" s="1"/>
  <c r="R45" i="1136"/>
  <c r="R37" i="1136"/>
  <c r="L37" i="1136"/>
  <c r="L46" i="1136" s="1"/>
  <c r="L45" i="1136"/>
  <c r="Q34" i="1127"/>
  <c r="Q14" i="1127" s="1"/>
  <c r="M45" i="1129"/>
  <c r="R46" i="1135"/>
  <c r="R34" i="1135"/>
  <c r="R14" i="1135" s="1"/>
  <c r="Z46" i="1135"/>
  <c r="Z34" i="1135"/>
  <c r="Z14" i="1135" s="1"/>
  <c r="J46" i="1135"/>
  <c r="J34" i="1135"/>
  <c r="J14" i="1135" s="1"/>
  <c r="AB46" i="1135"/>
  <c r="AB34" i="1135"/>
  <c r="AB14" i="1135" s="1"/>
  <c r="M46" i="1135"/>
  <c r="M34" i="1135"/>
  <c r="M14" i="1135" s="1"/>
  <c r="V46" i="1135"/>
  <c r="V34" i="1135"/>
  <c r="V14" i="1135" s="1"/>
  <c r="G46" i="1135"/>
  <c r="G34" i="1135"/>
  <c r="G14" i="1135" s="1"/>
  <c r="AC46" i="1135"/>
  <c r="AC34" i="1135"/>
  <c r="AC14" i="1135" s="1"/>
  <c r="I34" i="1135"/>
  <c r="I14" i="1135" s="1"/>
  <c r="Q46" i="1135"/>
  <c r="Q34" i="1135"/>
  <c r="Q14" i="1135" s="1"/>
  <c r="L46" i="1135"/>
  <c r="L34" i="1135"/>
  <c r="L14" i="1135" s="1"/>
  <c r="T46" i="1135"/>
  <c r="T34" i="1135"/>
  <c r="T14" i="1135" s="1"/>
  <c r="N13" i="1128"/>
  <c r="D45" i="1135"/>
  <c r="AG35" i="1135"/>
  <c r="D37" i="1135"/>
  <c r="AA46" i="1135"/>
  <c r="AA34" i="1135"/>
  <c r="AA14" i="1135" s="1"/>
  <c r="AD46" i="1135"/>
  <c r="AD34" i="1135"/>
  <c r="AD14" i="1135" s="1"/>
  <c r="S46" i="1135"/>
  <c r="S34" i="1135"/>
  <c r="S14" i="1135" s="1"/>
  <c r="H46" i="1135"/>
  <c r="H34" i="1135"/>
  <c r="H14" i="1135" s="1"/>
  <c r="M45" i="1134"/>
  <c r="M37" i="1134"/>
  <c r="M46" i="1134" s="1"/>
  <c r="Q45" i="1134"/>
  <c r="Q37" i="1134"/>
  <c r="Q46" i="1134" s="1"/>
  <c r="Z13" i="1128"/>
  <c r="V13" i="1130"/>
  <c r="AA45" i="1134"/>
  <c r="AA37" i="1134"/>
  <c r="AA46" i="1134" s="1"/>
  <c r="AD45" i="1134"/>
  <c r="AD37" i="1134"/>
  <c r="AD46" i="1134" s="1"/>
  <c r="V45" i="1134"/>
  <c r="V37" i="1134"/>
  <c r="V46" i="1134" s="1"/>
  <c r="X45" i="1134"/>
  <c r="X37" i="1134"/>
  <c r="X46" i="1134" s="1"/>
  <c r="AB45" i="1134"/>
  <c r="AB37" i="1134"/>
  <c r="AB46" i="1134" s="1"/>
  <c r="W45" i="1134"/>
  <c r="W37" i="1134"/>
  <c r="W46" i="1134" s="1"/>
  <c r="T45" i="1134"/>
  <c r="T37" i="1134"/>
  <c r="T46" i="1134" s="1"/>
  <c r="K45" i="1134"/>
  <c r="K37" i="1134"/>
  <c r="K46" i="1134" s="1"/>
  <c r="R45" i="1134"/>
  <c r="R37" i="1134"/>
  <c r="R46" i="1134" s="1"/>
  <c r="Z45" i="1134"/>
  <c r="Z37" i="1134"/>
  <c r="Z46" i="1134" s="1"/>
  <c r="J45" i="1134"/>
  <c r="J37" i="1134"/>
  <c r="J46" i="1134" s="1"/>
  <c r="AC45" i="1134"/>
  <c r="AC37" i="1134"/>
  <c r="AC46" i="1134" s="1"/>
  <c r="AG18" i="1134"/>
  <c r="AG19" i="1134" s="1"/>
  <c r="AG20" i="1134" s="1"/>
  <c r="AG21" i="1134" s="1"/>
  <c r="AG22" i="1134" s="1"/>
  <c r="AG23" i="1134" s="1"/>
  <c r="AG24" i="1134" s="1"/>
  <c r="AG25" i="1134" s="1"/>
  <c r="AG26" i="1134" s="1"/>
  <c r="AG28" i="1134" s="1"/>
  <c r="AA34" i="1133"/>
  <c r="AA14" i="1133" s="1"/>
  <c r="S34" i="1133"/>
  <c r="S14" i="1133" s="1"/>
  <c r="W34" i="1133"/>
  <c r="W14" i="1133" s="1"/>
  <c r="O34" i="1133"/>
  <c r="O14" i="1133" s="1"/>
  <c r="L45" i="1134"/>
  <c r="L37" i="1134"/>
  <c r="H45" i="1134"/>
  <c r="H37" i="1134"/>
  <c r="P45" i="1134"/>
  <c r="P37" i="1134"/>
  <c r="F45" i="1134"/>
  <c r="F37" i="1134"/>
  <c r="S45" i="1134"/>
  <c r="S37" i="1134"/>
  <c r="S46" i="1134" s="1"/>
  <c r="O45" i="1134"/>
  <c r="O37" i="1134"/>
  <c r="O46" i="1134" s="1"/>
  <c r="G45" i="1134"/>
  <c r="G37" i="1134"/>
  <c r="AE45" i="1134"/>
  <c r="AE37" i="1134"/>
  <c r="N45" i="1134"/>
  <c r="N37" i="1134"/>
  <c r="D44" i="1134"/>
  <c r="AG44" i="1134" s="1"/>
  <c r="D12" i="1134"/>
  <c r="D35" i="1134" s="1"/>
  <c r="U45" i="1134"/>
  <c r="U37" i="1134"/>
  <c r="Y45" i="1134"/>
  <c r="Y37" i="1134"/>
  <c r="E45" i="1134"/>
  <c r="E37" i="1134"/>
  <c r="E46" i="1134" s="1"/>
  <c r="I45" i="1134"/>
  <c r="I37" i="1134"/>
  <c r="I46" i="1134" s="1"/>
  <c r="Y34" i="1133"/>
  <c r="Y14" i="1133" s="1"/>
  <c r="I13" i="1128"/>
  <c r="W35" i="1131"/>
  <c r="W14" i="1131" s="1"/>
  <c r="Q46" i="1133"/>
  <c r="Q34" i="1133"/>
  <c r="Q14" i="1133" s="1"/>
  <c r="AB46" i="1133"/>
  <c r="AB34" i="1133"/>
  <c r="AB14" i="1133" s="1"/>
  <c r="R34" i="1127"/>
  <c r="R14" i="1127" s="1"/>
  <c r="G34" i="1127"/>
  <c r="G14" i="1127" s="1"/>
  <c r="S13" i="1128"/>
  <c r="D45" i="1133"/>
  <c r="D37" i="1133"/>
  <c r="Z46" i="1133"/>
  <c r="Z34" i="1133"/>
  <c r="Z14" i="1133" s="1"/>
  <c r="AD13" i="1130"/>
  <c r="U46" i="1133"/>
  <c r="U34" i="1133"/>
  <c r="U14" i="1133" s="1"/>
  <c r="L46" i="1133"/>
  <c r="L34" i="1133"/>
  <c r="L14" i="1133" s="1"/>
  <c r="E46" i="1133"/>
  <c r="E34" i="1133"/>
  <c r="E14" i="1133" s="1"/>
  <c r="E13" i="1130"/>
  <c r="AD46" i="1133"/>
  <c r="AD34" i="1133"/>
  <c r="AD14" i="1133" s="1"/>
  <c r="I34" i="1133"/>
  <c r="I14" i="1133" s="1"/>
  <c r="AG18" i="1132"/>
  <c r="AG19" i="1132" s="1"/>
  <c r="AG20" i="1132" s="1"/>
  <c r="AG21" i="1132" s="1"/>
  <c r="AG22" i="1132" s="1"/>
  <c r="AG23" i="1132" s="1"/>
  <c r="AG24" i="1132" s="1"/>
  <c r="AG25" i="1132" s="1"/>
  <c r="AG26" i="1132" s="1"/>
  <c r="AG28" i="1132" s="1"/>
  <c r="V13" i="1128"/>
  <c r="U13" i="1128"/>
  <c r="Y13" i="1128"/>
  <c r="L13" i="1130"/>
  <c r="Y13" i="1130"/>
  <c r="S13" i="1130"/>
  <c r="R45" i="1132"/>
  <c r="R37" i="1132"/>
  <c r="R46" i="1132" s="1"/>
  <c r="M45" i="1132"/>
  <c r="M37" i="1132"/>
  <c r="Z45" i="1132"/>
  <c r="Z37" i="1132"/>
  <c r="Q45" i="1132"/>
  <c r="Q37" i="1132"/>
  <c r="J45" i="1132"/>
  <c r="J37" i="1132"/>
  <c r="G45" i="1132"/>
  <c r="G37" i="1132"/>
  <c r="L45" i="1132"/>
  <c r="L37" i="1132"/>
  <c r="AE45" i="1132"/>
  <c r="AE37" i="1132"/>
  <c r="AC45" i="1132"/>
  <c r="AC37" i="1132"/>
  <c r="H45" i="1132"/>
  <c r="H37" i="1132"/>
  <c r="P45" i="1132"/>
  <c r="P37" i="1132"/>
  <c r="F45" i="1132"/>
  <c r="F37" i="1132"/>
  <c r="N45" i="1132"/>
  <c r="N37" i="1132"/>
  <c r="D44" i="1132"/>
  <c r="AG44" i="1132" s="1"/>
  <c r="D12" i="1132"/>
  <c r="D35" i="1132" s="1"/>
  <c r="H13" i="1128"/>
  <c r="AC13" i="1130"/>
  <c r="M13" i="1130"/>
  <c r="F13" i="1130"/>
  <c r="P13" i="1130"/>
  <c r="H13" i="1130"/>
  <c r="AA45" i="1132"/>
  <c r="AA37" i="1132"/>
  <c r="AA46" i="1132" s="1"/>
  <c r="U45" i="1132"/>
  <c r="U37" i="1132"/>
  <c r="U46" i="1132" s="1"/>
  <c r="AD45" i="1132"/>
  <c r="AD37" i="1132"/>
  <c r="AD46" i="1132" s="1"/>
  <c r="V45" i="1132"/>
  <c r="V37" i="1132"/>
  <c r="V46" i="1132" s="1"/>
  <c r="S45" i="1132"/>
  <c r="S37" i="1132"/>
  <c r="S46" i="1132" s="1"/>
  <c r="X45" i="1132"/>
  <c r="X37" i="1132"/>
  <c r="X46" i="1132" s="1"/>
  <c r="AB45" i="1132"/>
  <c r="AB37" i="1132"/>
  <c r="AB46" i="1132" s="1"/>
  <c r="W45" i="1132"/>
  <c r="W37" i="1132"/>
  <c r="W46" i="1132" s="1"/>
  <c r="Y45" i="1132"/>
  <c r="Y37" i="1132"/>
  <c r="Y46" i="1132" s="1"/>
  <c r="T45" i="1132"/>
  <c r="T37" i="1132"/>
  <c r="T46" i="1132" s="1"/>
  <c r="O45" i="1132"/>
  <c r="O37" i="1132"/>
  <c r="O46" i="1132" s="1"/>
  <c r="K45" i="1132"/>
  <c r="K37" i="1132"/>
  <c r="K46" i="1132" s="1"/>
  <c r="E45" i="1132"/>
  <c r="E37" i="1132"/>
  <c r="E46" i="1132" s="1"/>
  <c r="I45" i="1132"/>
  <c r="I37" i="1132"/>
  <c r="I46" i="1132" s="1"/>
  <c r="W13" i="1130"/>
  <c r="N13" i="1130"/>
  <c r="O13" i="1128"/>
  <c r="O13" i="1127"/>
  <c r="R13" i="1128"/>
  <c r="AB13" i="1128"/>
  <c r="P13" i="1128"/>
  <c r="F13" i="1128"/>
  <c r="M13" i="1128"/>
  <c r="Q13" i="1128"/>
  <c r="X13" i="1128"/>
  <c r="AC13" i="1128"/>
  <c r="G13" i="1128"/>
  <c r="AD13" i="1128"/>
  <c r="T13" i="1128"/>
  <c r="M13" i="1129"/>
  <c r="AE13" i="1128"/>
  <c r="W13" i="1128"/>
  <c r="E13" i="1128"/>
  <c r="AA13" i="1128"/>
  <c r="K13" i="1128"/>
  <c r="J13" i="1128"/>
  <c r="L13" i="1128"/>
  <c r="J13" i="1130"/>
  <c r="AB13" i="1130"/>
  <c r="K13" i="1130"/>
  <c r="R13" i="1130"/>
  <c r="AE13" i="1130"/>
  <c r="U13" i="1130"/>
  <c r="X13" i="1130"/>
  <c r="O13" i="1130"/>
  <c r="I13" i="1130"/>
  <c r="T13" i="1130"/>
  <c r="J35" i="1131"/>
  <c r="J14" i="1131" s="1"/>
  <c r="V35" i="1131"/>
  <c r="V14" i="1131" s="1"/>
  <c r="X35" i="1131"/>
  <c r="X14" i="1131" s="1"/>
  <c r="E35" i="1131"/>
  <c r="E14" i="1131" s="1"/>
  <c r="AA35" i="1131"/>
  <c r="AA14" i="1131" s="1"/>
  <c r="S35" i="1131"/>
  <c r="S14" i="1131" s="1"/>
  <c r="K35" i="1131"/>
  <c r="K14" i="1131" s="1"/>
  <c r="AB35" i="1131"/>
  <c r="AB14" i="1131" s="1"/>
  <c r="U35" i="1131"/>
  <c r="U14" i="1131" s="1"/>
  <c r="T35" i="1131"/>
  <c r="T14" i="1131" s="1"/>
  <c r="W46" i="1127"/>
  <c r="D13" i="1127"/>
  <c r="R35" i="1131"/>
  <c r="R14" i="1131" s="1"/>
  <c r="V34" i="1129"/>
  <c r="V14" i="1129" s="1"/>
  <c r="I47" i="1131"/>
  <c r="I35" i="1131"/>
  <c r="I14" i="1131" s="1"/>
  <c r="E45" i="1130"/>
  <c r="E37" i="1130"/>
  <c r="E46" i="1130" s="1"/>
  <c r="AD34" i="1127"/>
  <c r="AD14" i="1127" s="1"/>
  <c r="K34" i="1127"/>
  <c r="K14" i="1127" s="1"/>
  <c r="X34" i="1129"/>
  <c r="X14" i="1129" s="1"/>
  <c r="Z45" i="1130"/>
  <c r="Z37" i="1130"/>
  <c r="J45" i="1130"/>
  <c r="J37" i="1130"/>
  <c r="F45" i="1130"/>
  <c r="F37" i="1130"/>
  <c r="D44" i="1130"/>
  <c r="AG44" i="1130" s="1"/>
  <c r="D12" i="1130"/>
  <c r="D35" i="1130" s="1"/>
  <c r="AA45" i="1130"/>
  <c r="AA37" i="1130"/>
  <c r="AD45" i="1130"/>
  <c r="AD37" i="1130"/>
  <c r="AD46" i="1130" s="1"/>
  <c r="S45" i="1130"/>
  <c r="S37" i="1130"/>
  <c r="X45" i="1130"/>
  <c r="X37" i="1130"/>
  <c r="W45" i="1130"/>
  <c r="W37" i="1130"/>
  <c r="H45" i="1130"/>
  <c r="H37" i="1130"/>
  <c r="O45" i="1130"/>
  <c r="O37" i="1130"/>
  <c r="K45" i="1130"/>
  <c r="K37" i="1130"/>
  <c r="P45" i="1130"/>
  <c r="P37" i="1130"/>
  <c r="P46" i="1130" s="1"/>
  <c r="AB45" i="1130"/>
  <c r="AB37" i="1130"/>
  <c r="AB46" i="1130" s="1"/>
  <c r="X34" i="1127"/>
  <c r="X14" i="1127" s="1"/>
  <c r="H34" i="1127"/>
  <c r="H14" i="1127" s="1"/>
  <c r="R45" i="1130"/>
  <c r="R37" i="1130"/>
  <c r="M45" i="1130"/>
  <c r="M37" i="1130"/>
  <c r="M46" i="1130" s="1"/>
  <c r="G45" i="1130"/>
  <c r="G37" i="1130"/>
  <c r="G46" i="1130" s="1"/>
  <c r="L45" i="1130"/>
  <c r="L37" i="1130"/>
  <c r="L46" i="1130" s="1"/>
  <c r="AE45" i="1130"/>
  <c r="AE37" i="1130"/>
  <c r="AE46" i="1130" s="1"/>
  <c r="N45" i="1130"/>
  <c r="N37" i="1130"/>
  <c r="U37" i="1130"/>
  <c r="U46" i="1130" s="1"/>
  <c r="U45" i="1130"/>
  <c r="V45" i="1130"/>
  <c r="V37" i="1130"/>
  <c r="V46" i="1130" s="1"/>
  <c r="V34" i="1127"/>
  <c r="V14" i="1127" s="1"/>
  <c r="AB34" i="1127"/>
  <c r="AB14" i="1127" s="1"/>
  <c r="E34" i="1127"/>
  <c r="E14" i="1127" s="1"/>
  <c r="AC45" i="1130"/>
  <c r="AC37" i="1130"/>
  <c r="AC46" i="1130" s="1"/>
  <c r="Q45" i="1130"/>
  <c r="Q37" i="1130"/>
  <c r="Q46" i="1130" s="1"/>
  <c r="Y45" i="1130"/>
  <c r="Y37" i="1130"/>
  <c r="Y46" i="1130" s="1"/>
  <c r="T37" i="1130"/>
  <c r="T46" i="1130" s="1"/>
  <c r="T45" i="1130"/>
  <c r="AG18" i="1130"/>
  <c r="AG19" i="1130" s="1"/>
  <c r="AG20" i="1130" s="1"/>
  <c r="AG21" i="1130" s="1"/>
  <c r="AG22" i="1130" s="1"/>
  <c r="AG23" i="1130" s="1"/>
  <c r="AG24" i="1130" s="1"/>
  <c r="AG25" i="1130" s="1"/>
  <c r="AG26" i="1130" s="1"/>
  <c r="AG28" i="1130" s="1"/>
  <c r="U34" i="1130"/>
  <c r="U14" i="1130" s="1"/>
  <c r="I45" i="1130"/>
  <c r="I37" i="1130"/>
  <c r="I46" i="1130" s="1"/>
  <c r="Q34" i="1129"/>
  <c r="Q14" i="1129" s="1"/>
  <c r="G34" i="1129"/>
  <c r="G14" i="1129" s="1"/>
  <c r="M34" i="1129"/>
  <c r="M14" i="1129" s="1"/>
  <c r="AC34" i="1129"/>
  <c r="AC14" i="1129" s="1"/>
  <c r="F34" i="1129"/>
  <c r="F14" i="1129" s="1"/>
  <c r="AG35" i="1129"/>
  <c r="U34" i="1129"/>
  <c r="U14" i="1129" s="1"/>
  <c r="L34" i="1129"/>
  <c r="L14" i="1129" s="1"/>
  <c r="AE34" i="1129"/>
  <c r="AE14" i="1129" s="1"/>
  <c r="H34" i="1129"/>
  <c r="H14" i="1129" s="1"/>
  <c r="Q45" i="1128"/>
  <c r="Q37" i="1128"/>
  <c r="Q46" i="1128" s="1"/>
  <c r="Y45" i="1128"/>
  <c r="Y37" i="1128"/>
  <c r="Y46" i="1128" s="1"/>
  <c r="I45" i="1128"/>
  <c r="I37" i="1128"/>
  <c r="I46" i="1128" s="1"/>
  <c r="V45" i="1128"/>
  <c r="V37" i="1128"/>
  <c r="S45" i="1128"/>
  <c r="S37" i="1128"/>
  <c r="S46" i="1128" s="1"/>
  <c r="F45" i="1128"/>
  <c r="F37" i="1128"/>
  <c r="N45" i="1128"/>
  <c r="N37" i="1128"/>
  <c r="N46" i="1128" s="1"/>
  <c r="D44" i="1128"/>
  <c r="AG44" i="1128" s="1"/>
  <c r="D12" i="1128"/>
  <c r="D35" i="1128" s="1"/>
  <c r="G45" i="1128"/>
  <c r="G37" i="1128"/>
  <c r="G46" i="1128" s="1"/>
  <c r="J45" i="1128"/>
  <c r="J37" i="1128"/>
  <c r="J46" i="1128" s="1"/>
  <c r="L45" i="1128"/>
  <c r="L37" i="1128"/>
  <c r="T45" i="1128"/>
  <c r="T37" i="1128"/>
  <c r="AA45" i="1128"/>
  <c r="AA37" i="1128"/>
  <c r="R45" i="1128"/>
  <c r="R37" i="1128"/>
  <c r="X45" i="1128"/>
  <c r="X37" i="1128"/>
  <c r="AB45" i="1128"/>
  <c r="AB37" i="1128"/>
  <c r="AE45" i="1128"/>
  <c r="AE37" i="1128"/>
  <c r="H45" i="1128"/>
  <c r="H37" i="1128"/>
  <c r="P45" i="1128"/>
  <c r="P37" i="1128"/>
  <c r="U45" i="1128"/>
  <c r="U37" i="1128"/>
  <c r="K45" i="1128"/>
  <c r="K37" i="1128"/>
  <c r="O45" i="1128"/>
  <c r="O37" i="1128"/>
  <c r="M45" i="1128"/>
  <c r="M37" i="1128"/>
  <c r="M46" i="1128" s="1"/>
  <c r="AD45" i="1128"/>
  <c r="AD37" i="1128"/>
  <c r="AD46" i="1128" s="1"/>
  <c r="W45" i="1128"/>
  <c r="W37" i="1128"/>
  <c r="W46" i="1128" s="1"/>
  <c r="Z34" i="1127"/>
  <c r="Z14" i="1127" s="1"/>
  <c r="J34" i="1127"/>
  <c r="J14" i="1127" s="1"/>
  <c r="L34" i="1127"/>
  <c r="L14" i="1127" s="1"/>
  <c r="O34" i="1127"/>
  <c r="O14" i="1127" s="1"/>
  <c r="Z45" i="1128"/>
  <c r="Z37" i="1128"/>
  <c r="AC45" i="1128"/>
  <c r="AC37" i="1128"/>
  <c r="AC46" i="1128" s="1"/>
  <c r="AG18" i="1128"/>
  <c r="AG19" i="1128" s="1"/>
  <c r="AG20" i="1128" s="1"/>
  <c r="AG21" i="1128" s="1"/>
  <c r="AG22" i="1128" s="1"/>
  <c r="AG23" i="1128" s="1"/>
  <c r="AG24" i="1128" s="1"/>
  <c r="AG25" i="1128" s="1"/>
  <c r="AG26" i="1128" s="1"/>
  <c r="AG28" i="1128" s="1"/>
  <c r="E45" i="1128"/>
  <c r="E37" i="1128"/>
  <c r="M34" i="1127"/>
  <c r="M14" i="1127" s="1"/>
  <c r="F34" i="1127"/>
  <c r="F14" i="1127" s="1"/>
  <c r="AG35" i="1127"/>
  <c r="D45" i="1127"/>
  <c r="D37" i="1127"/>
  <c r="I46" i="1127"/>
  <c r="I34" i="1127"/>
  <c r="I14" i="1127" s="1"/>
  <c r="AC34" i="1127"/>
  <c r="AC14" i="1127" s="1"/>
  <c r="Y77" i="2"/>
  <c r="Y78" i="2"/>
  <c r="AU28" i="2"/>
  <c r="X60" i="2"/>
  <c r="AU10" i="2"/>
  <c r="AU14" i="2"/>
  <c r="G55" i="2"/>
  <c r="Y76" i="2"/>
  <c r="K68" i="2"/>
  <c r="F60" i="2"/>
  <c r="G9" i="2"/>
  <c r="AU19" i="2"/>
  <c r="AU24" i="2"/>
  <c r="AU17" i="2"/>
  <c r="AU21" i="2"/>
  <c r="AU26" i="2"/>
  <c r="AU18" i="2"/>
  <c r="AU20" i="2"/>
  <c r="AU25" i="2"/>
  <c r="AU30" i="2"/>
  <c r="AU22" i="2"/>
  <c r="AU12" i="2"/>
  <c r="AU13" i="2"/>
  <c r="AU29" i="2"/>
  <c r="AU36" i="2"/>
  <c r="AU31" i="2"/>
  <c r="AU16" i="2"/>
  <c r="AU11" i="2"/>
  <c r="AU27" i="2"/>
  <c r="AU33" i="2"/>
  <c r="AU15" i="2"/>
  <c r="AU32" i="2"/>
  <c r="AU23" i="2"/>
  <c r="Q64" i="2"/>
  <c r="U66" i="2"/>
  <c r="Y56" i="2"/>
  <c r="O63" i="2"/>
  <c r="Q51" i="2"/>
  <c r="Q76" i="2"/>
  <c r="U65" i="2"/>
  <c r="W63" i="2"/>
  <c r="Y63" i="2"/>
  <c r="O78" i="2"/>
  <c r="W52" i="2"/>
  <c r="S51" i="2"/>
  <c r="O62" i="2"/>
  <c r="U53" i="2"/>
  <c r="S67" i="2"/>
  <c r="W78" i="2"/>
  <c r="Y52" i="2"/>
  <c r="S56" i="2"/>
  <c r="O56" i="2"/>
  <c r="U56" i="2"/>
  <c r="S65" i="2"/>
  <c r="Q68" i="2"/>
  <c r="O52" i="2"/>
  <c r="Y53" i="2"/>
  <c r="U68" i="2"/>
  <c r="S66" i="2"/>
  <c r="Q56" i="2"/>
  <c r="O77" i="2"/>
  <c r="Y65" i="2"/>
  <c r="U55" i="2"/>
  <c r="Q52" i="2"/>
  <c r="Y68" i="2"/>
  <c r="W61" i="2"/>
  <c r="S52" i="2"/>
  <c r="O51" i="2"/>
  <c r="S76" i="2"/>
  <c r="W66" i="2"/>
  <c r="S62" i="2"/>
  <c r="Y62" i="2"/>
  <c r="W53" i="2"/>
  <c r="U61" i="2"/>
  <c r="S64" i="2"/>
  <c r="Q62" i="2"/>
  <c r="O68" i="2"/>
  <c r="W64" i="2"/>
  <c r="U62" i="2"/>
  <c r="S68" i="2"/>
  <c r="Q55" i="2"/>
  <c r="O53" i="2"/>
  <c r="W77" i="2"/>
  <c r="S53" i="2"/>
  <c r="O64" i="2"/>
  <c r="W56" i="2"/>
  <c r="Y61" i="2"/>
  <c r="U63" i="2"/>
  <c r="Q77" i="2"/>
  <c r="Y55" i="2"/>
  <c r="Q67" i="2"/>
  <c r="Q61" i="2"/>
  <c r="Y67" i="2"/>
  <c r="Q63" i="2"/>
  <c r="S63" i="2"/>
  <c r="S78" i="2"/>
  <c r="W51" i="2"/>
  <c r="W62" i="2"/>
  <c r="Y66" i="2"/>
  <c r="W55" i="2"/>
  <c r="U51" i="2"/>
  <c r="S61" i="2"/>
  <c r="Q66" i="2"/>
  <c r="O61" i="2"/>
  <c r="W65" i="2"/>
  <c r="U52" i="2"/>
  <c r="S55" i="2"/>
  <c r="Q53" i="2"/>
  <c r="O67" i="2"/>
  <c r="W76" i="2"/>
  <c r="S77" i="2"/>
  <c r="O65" i="2"/>
  <c r="Y64" i="2"/>
  <c r="U64" i="2"/>
  <c r="Q78" i="2"/>
  <c r="W67" i="2"/>
  <c r="O66" i="2"/>
  <c r="O76" i="2"/>
  <c r="W68" i="2"/>
  <c r="O55" i="2"/>
  <c r="Q65" i="2"/>
  <c r="U67" i="2"/>
  <c r="J34" i="35"/>
  <c r="Y20" i="35" s="1"/>
  <c r="M78" i="2"/>
  <c r="M77" i="2"/>
  <c r="M55" i="2"/>
  <c r="M53" i="2"/>
  <c r="M52" i="2"/>
  <c r="M51" i="2"/>
  <c r="M56" i="2"/>
  <c r="M65" i="2"/>
  <c r="M68" i="2"/>
  <c r="M64" i="2"/>
  <c r="M63" i="2"/>
  <c r="M66" i="2"/>
  <c r="M67" i="2"/>
  <c r="M61" i="2"/>
  <c r="M76" i="2"/>
  <c r="M62" i="2"/>
  <c r="K62" i="2"/>
  <c r="K65" i="2"/>
  <c r="K77" i="2"/>
  <c r="K63" i="2"/>
  <c r="K66" i="2"/>
  <c r="K67" i="2"/>
  <c r="K61" i="2"/>
  <c r="K56" i="2"/>
  <c r="K64" i="2"/>
  <c r="K53" i="2"/>
  <c r="K76" i="2"/>
  <c r="K52" i="2"/>
  <c r="K78" i="2"/>
  <c r="K55" i="2"/>
  <c r="K51" i="2"/>
  <c r="I65" i="2"/>
  <c r="I64" i="2"/>
  <c r="I77" i="2"/>
  <c r="I55" i="2"/>
  <c r="I78" i="2"/>
  <c r="I68" i="2"/>
  <c r="I63" i="2"/>
  <c r="I61" i="2"/>
  <c r="I52" i="2"/>
  <c r="I76" i="2"/>
  <c r="I53" i="2"/>
  <c r="I66" i="2"/>
  <c r="I51" i="2"/>
  <c r="I62" i="2"/>
  <c r="I67" i="2"/>
  <c r="I56" i="2"/>
  <c r="G61" i="2"/>
  <c r="G62" i="2"/>
  <c r="G66" i="2"/>
  <c r="G64" i="2"/>
  <c r="G65" i="2"/>
  <c r="G63" i="2"/>
  <c r="G53" i="2"/>
  <c r="G68" i="2"/>
  <c r="G67" i="2"/>
  <c r="G52" i="2"/>
  <c r="G56" i="2"/>
  <c r="AU35" i="2"/>
  <c r="AU34" i="2"/>
  <c r="E20" i="35"/>
  <c r="P20" i="35" s="1"/>
  <c r="AG18" i="154"/>
  <c r="AG19" i="154" s="1"/>
  <c r="AG20" i="154" s="1"/>
  <c r="AG21" i="154" s="1"/>
  <c r="AG22" i="154" s="1"/>
  <c r="AG23" i="154" s="1"/>
  <c r="AG24" i="154" s="1"/>
  <c r="AG25" i="154" s="1"/>
  <c r="AG26" i="154" s="1"/>
  <c r="AG28" i="154" s="1"/>
  <c r="F66" i="35" a="1"/>
  <c r="F66" i="35" s="1"/>
  <c r="AI21" i="35" s="1"/>
  <c r="L50" i="35"/>
  <c r="AG21" i="35" s="1"/>
  <c r="AT34" i="2"/>
  <c r="Z20" i="35"/>
  <c r="K50" i="35"/>
  <c r="AF21" i="35" s="1"/>
  <c r="N70" i="2"/>
  <c r="P80" i="2"/>
  <c r="T70" i="2"/>
  <c r="P70" i="2"/>
  <c r="V70" i="2"/>
  <c r="V60" i="2"/>
  <c r="T60" i="2"/>
  <c r="R80" i="2"/>
  <c r="R70" i="2"/>
  <c r="AU74" i="2" a="1"/>
  <c r="AU68" i="2" a="1"/>
  <c r="AU67" i="2" a="1"/>
  <c r="AU77" i="2" a="1"/>
  <c r="AU55" i="2" a="1"/>
  <c r="AU66" i="2" a="1"/>
  <c r="AU56" i="2" a="1"/>
  <c r="AU65" i="2" a="1"/>
  <c r="AU61" i="2" a="1"/>
  <c r="AU53" i="2" a="1"/>
  <c r="AU62" i="2" a="1"/>
  <c r="Y51" i="2" a="1"/>
  <c r="AU64" i="2" a="1"/>
  <c r="G51" i="2" a="1"/>
  <c r="AU52" i="2" a="1"/>
  <c r="AU76" i="2" a="1"/>
  <c r="AU63" i="2" a="1"/>
  <c r="AS39" i="2" l="1"/>
  <c r="AS40" i="2" s="1"/>
  <c r="AR85" i="2" s="1"/>
  <c r="AS82" i="2" s="1"/>
  <c r="AT70" i="2"/>
  <c r="AT60" i="2"/>
  <c r="AU78" i="2"/>
  <c r="D46" i="1153"/>
  <c r="AG37" i="1153"/>
  <c r="D34" i="1153"/>
  <c r="D14" i="1153" s="1"/>
  <c r="J50" i="35"/>
  <c r="AE21" i="35" s="1"/>
  <c r="E66" i="35"/>
  <c r="AH21" i="35" s="1"/>
  <c r="AP85" i="2"/>
  <c r="AQ82" i="2" s="1"/>
  <c r="G80" i="2"/>
  <c r="U80" i="2"/>
  <c r="AU74" i="2"/>
  <c r="Z34" i="1129"/>
  <c r="Z14" i="1129" s="1"/>
  <c r="P34" i="1129"/>
  <c r="P14" i="1129" s="1"/>
  <c r="H34" i="1139"/>
  <c r="H14" i="1139" s="1"/>
  <c r="L34" i="1143"/>
  <c r="L14" i="1143" s="1"/>
  <c r="AD34" i="1141"/>
  <c r="AD14" i="1141" s="1"/>
  <c r="I34" i="1148"/>
  <c r="I14" i="1148" s="1"/>
  <c r="AD34" i="1130"/>
  <c r="AD14" i="1130" s="1"/>
  <c r="AB46" i="1139"/>
  <c r="N34" i="1139"/>
  <c r="N14" i="1139" s="1"/>
  <c r="AB34" i="1148"/>
  <c r="AB14" i="1148" s="1"/>
  <c r="I34" i="1129"/>
  <c r="I14" i="1129" s="1"/>
  <c r="S34" i="1139"/>
  <c r="S14" i="1139" s="1"/>
  <c r="Y34" i="1137"/>
  <c r="Y14" i="1137" s="1"/>
  <c r="U34" i="1127"/>
  <c r="U14" i="1127" s="1"/>
  <c r="Q34" i="1148"/>
  <c r="Q14" i="1148" s="1"/>
  <c r="J34" i="1129"/>
  <c r="J14" i="1129" s="1"/>
  <c r="D37" i="1129"/>
  <c r="D34" i="1129" s="1"/>
  <c r="D14" i="1129" s="1"/>
  <c r="Z35" i="1131"/>
  <c r="Z14" i="1131" s="1"/>
  <c r="D13" i="1129"/>
  <c r="Y34" i="1135"/>
  <c r="Y14" i="1135" s="1"/>
  <c r="Y34" i="1129"/>
  <c r="Y14" i="1129" s="1"/>
  <c r="M34" i="1139"/>
  <c r="M14" i="1139" s="1"/>
  <c r="O34" i="1139"/>
  <c r="O14" i="1139" s="1"/>
  <c r="S34" i="1141"/>
  <c r="S14" i="1141" s="1"/>
  <c r="AH27" i="1141"/>
  <c r="Q34" i="1143"/>
  <c r="Q14" i="1143" s="1"/>
  <c r="O34" i="1143"/>
  <c r="O14" i="1143" s="1"/>
  <c r="K34" i="1137"/>
  <c r="K14" i="1137" s="1"/>
  <c r="R34" i="1129"/>
  <c r="R14" i="1129" s="1"/>
  <c r="J34" i="1139"/>
  <c r="J14" i="1139" s="1"/>
  <c r="N46" i="1141"/>
  <c r="AA34" i="1141"/>
  <c r="AA14" i="1141" s="1"/>
  <c r="AB34" i="1143"/>
  <c r="AB14" i="1143" s="1"/>
  <c r="AH27" i="1148"/>
  <c r="O35" i="1131"/>
  <c r="O14" i="1131" s="1"/>
  <c r="L34" i="1148"/>
  <c r="L14" i="1148" s="1"/>
  <c r="U34" i="1135"/>
  <c r="U14" i="1135" s="1"/>
  <c r="W34" i="1141"/>
  <c r="W14" i="1141" s="1"/>
  <c r="D46" i="1131"/>
  <c r="AH27" i="1127"/>
  <c r="AC35" i="1131"/>
  <c r="AC14" i="1131" s="1"/>
  <c r="E34" i="1143"/>
  <c r="E14" i="1143" s="1"/>
  <c r="AD34" i="1129"/>
  <c r="AD14" i="1129" s="1"/>
  <c r="D13" i="1131"/>
  <c r="J34" i="1137"/>
  <c r="J14" i="1137" s="1"/>
  <c r="V34" i="1137"/>
  <c r="V14" i="1137" s="1"/>
  <c r="G34" i="1148"/>
  <c r="G14" i="1148" s="1"/>
  <c r="AD35" i="1131"/>
  <c r="AD14" i="1131" s="1"/>
  <c r="AA34" i="1127"/>
  <c r="AA14" i="1127" s="1"/>
  <c r="T34" i="1148"/>
  <c r="T14" i="1148" s="1"/>
  <c r="T34" i="1143"/>
  <c r="T14" i="1143" s="1"/>
  <c r="AH27" i="1135"/>
  <c r="AH27" i="1143"/>
  <c r="P34" i="1137"/>
  <c r="P14" i="1137" s="1"/>
  <c r="AH27" i="1133"/>
  <c r="H34" i="1143"/>
  <c r="H14" i="1143" s="1"/>
  <c r="K34" i="1136"/>
  <c r="K14" i="1136" s="1"/>
  <c r="M34" i="1141"/>
  <c r="M14" i="1141" s="1"/>
  <c r="X34" i="1143"/>
  <c r="X14" i="1143" s="1"/>
  <c r="W34" i="1139"/>
  <c r="W14" i="1139" s="1"/>
  <c r="N34" i="1143"/>
  <c r="N14" i="1143" s="1"/>
  <c r="AH27" i="1137"/>
  <c r="AB34" i="1134"/>
  <c r="AB14" i="1134" s="1"/>
  <c r="V34" i="1143"/>
  <c r="V14" i="1143" s="1"/>
  <c r="E34" i="1130"/>
  <c r="E14" i="1130" s="1"/>
  <c r="K34" i="1143"/>
  <c r="K14" i="1143" s="1"/>
  <c r="G35" i="1131"/>
  <c r="G14" i="1131" s="1"/>
  <c r="P46" i="1139"/>
  <c r="G34" i="1143"/>
  <c r="G14" i="1143" s="1"/>
  <c r="M34" i="1134"/>
  <c r="M14" i="1134" s="1"/>
  <c r="E46" i="1135"/>
  <c r="AB34" i="1141"/>
  <c r="AB14" i="1141" s="1"/>
  <c r="AE35" i="1131"/>
  <c r="AE14" i="1131" s="1"/>
  <c r="O34" i="1137"/>
  <c r="O14" i="1137" s="1"/>
  <c r="M34" i="1144"/>
  <c r="M14" i="1144" s="1"/>
  <c r="D13" i="1144"/>
  <c r="AG44" i="1144"/>
  <c r="AH27" i="1144" s="1"/>
  <c r="AO9" i="2"/>
  <c r="AO38" i="2" s="1"/>
  <c r="AO39" i="2" s="1"/>
  <c r="AO40" i="2" s="1"/>
  <c r="AN85" i="2" s="1"/>
  <c r="AO82" i="2" s="1"/>
  <c r="I45" i="1143"/>
  <c r="I48" i="1127" s="1" a="1"/>
  <c r="I48" i="1127" s="1"/>
  <c r="I37" i="1143"/>
  <c r="AG37" i="1143" s="1"/>
  <c r="AG45" i="1142"/>
  <c r="AH28" i="1142" s="1"/>
  <c r="AK9" i="2"/>
  <c r="AK38" i="2" s="1"/>
  <c r="AK39" i="2" s="1"/>
  <c r="AK40" i="2" s="1"/>
  <c r="AJ85" i="2" s="1"/>
  <c r="AK82" i="2" s="1"/>
  <c r="D13" i="1142"/>
  <c r="AE34" i="1136"/>
  <c r="AE14" i="1136" s="1"/>
  <c r="M46" i="1148"/>
  <c r="M34" i="1148"/>
  <c r="M14" i="1148" s="1"/>
  <c r="AC34" i="1140"/>
  <c r="AC14" i="1140" s="1"/>
  <c r="J34" i="1134"/>
  <c r="J14" i="1134" s="1"/>
  <c r="Q34" i="1140"/>
  <c r="Q14" i="1140" s="1"/>
  <c r="D46" i="1148"/>
  <c r="AG37" i="1148"/>
  <c r="D34" i="1148"/>
  <c r="D14" i="1148" s="1"/>
  <c r="T34" i="1127"/>
  <c r="T14" i="1127" s="1"/>
  <c r="S34" i="1136"/>
  <c r="S14" i="1136" s="1"/>
  <c r="AH27" i="1139"/>
  <c r="N34" i="1129"/>
  <c r="N14" i="1129" s="1"/>
  <c r="O34" i="1136"/>
  <c r="O14" i="1136" s="1"/>
  <c r="W34" i="1129"/>
  <c r="W14" i="1129" s="1"/>
  <c r="E34" i="1144"/>
  <c r="E14" i="1144" s="1"/>
  <c r="Q34" i="1144"/>
  <c r="Q14" i="1144" s="1"/>
  <c r="AC34" i="1144"/>
  <c r="AC14" i="1144" s="1"/>
  <c r="U46" i="1144"/>
  <c r="U34" i="1144"/>
  <c r="U14" i="1144" s="1"/>
  <c r="Z46" i="1144"/>
  <c r="Z34" i="1144"/>
  <c r="Z14" i="1144" s="1"/>
  <c r="O46" i="1144"/>
  <c r="O34" i="1144"/>
  <c r="O14" i="1144" s="1"/>
  <c r="P34" i="1144"/>
  <c r="P14" i="1144" s="1"/>
  <c r="AE34" i="1144"/>
  <c r="AE14" i="1144" s="1"/>
  <c r="I34" i="1144"/>
  <c r="I14" i="1144" s="1"/>
  <c r="H34" i="1144"/>
  <c r="H14" i="1144" s="1"/>
  <c r="AG35" i="1144"/>
  <c r="D45" i="1144"/>
  <c r="D37" i="1144"/>
  <c r="L34" i="1144"/>
  <c r="L14" i="1144" s="1"/>
  <c r="W34" i="1144"/>
  <c r="W14" i="1144" s="1"/>
  <c r="S34" i="1144"/>
  <c r="S14" i="1144" s="1"/>
  <c r="G34" i="1144"/>
  <c r="G14" i="1144" s="1"/>
  <c r="H34" i="1136"/>
  <c r="H14" i="1136" s="1"/>
  <c r="D13" i="1138"/>
  <c r="Y46" i="1144"/>
  <c r="Y34" i="1144"/>
  <c r="Y14" i="1144" s="1"/>
  <c r="J46" i="1144"/>
  <c r="J34" i="1144"/>
  <c r="J14" i="1144" s="1"/>
  <c r="R46" i="1144"/>
  <c r="R34" i="1144"/>
  <c r="R14" i="1144" s="1"/>
  <c r="K46" i="1144"/>
  <c r="K34" i="1144"/>
  <c r="K14" i="1144" s="1"/>
  <c r="AB34" i="1144"/>
  <c r="AB14" i="1144" s="1"/>
  <c r="V34" i="1144"/>
  <c r="V14" i="1144" s="1"/>
  <c r="AA34" i="1144"/>
  <c r="AA14" i="1144" s="1"/>
  <c r="T34" i="1144"/>
  <c r="T14" i="1144" s="1"/>
  <c r="AD34" i="1144"/>
  <c r="AD14" i="1144" s="1"/>
  <c r="F34" i="1144"/>
  <c r="F14" i="1144" s="1"/>
  <c r="N34" i="1144"/>
  <c r="N14" i="1144" s="1"/>
  <c r="X34" i="1144"/>
  <c r="X14" i="1144" s="1"/>
  <c r="N34" i="1128"/>
  <c r="N14" i="1128" s="1"/>
  <c r="D46" i="1143"/>
  <c r="D34" i="1143"/>
  <c r="D14" i="1143" s="1"/>
  <c r="G35" i="1142"/>
  <c r="G14" i="1142" s="1"/>
  <c r="O35" i="1142"/>
  <c r="O14" i="1142" s="1"/>
  <c r="K35" i="1142"/>
  <c r="K14" i="1142" s="1"/>
  <c r="AG36" i="1142"/>
  <c r="D46" i="1142"/>
  <c r="D38" i="1142"/>
  <c r="Z47" i="1142"/>
  <c r="Z35" i="1142"/>
  <c r="Z14" i="1142" s="1"/>
  <c r="AC35" i="1142"/>
  <c r="AC14" i="1142" s="1"/>
  <c r="S35" i="1142"/>
  <c r="S14" i="1142" s="1"/>
  <c r="H35" i="1142"/>
  <c r="H14" i="1142" s="1"/>
  <c r="W35" i="1142"/>
  <c r="W14" i="1142" s="1"/>
  <c r="N47" i="1142"/>
  <c r="N35" i="1142"/>
  <c r="N14" i="1142" s="1"/>
  <c r="U34" i="1139"/>
  <c r="U14" i="1139" s="1"/>
  <c r="F34" i="1137"/>
  <c r="F14" i="1137" s="1"/>
  <c r="L35" i="1131"/>
  <c r="L14" i="1131" s="1"/>
  <c r="M47" i="1142"/>
  <c r="M35" i="1142"/>
  <c r="M14" i="1142" s="1"/>
  <c r="F47" i="1142"/>
  <c r="F35" i="1142"/>
  <c r="F14" i="1142" s="1"/>
  <c r="AD47" i="1142"/>
  <c r="AD35" i="1142"/>
  <c r="AD14" i="1142" s="1"/>
  <c r="Y47" i="1142"/>
  <c r="Y35" i="1142"/>
  <c r="Y14" i="1142" s="1"/>
  <c r="AE35" i="1142"/>
  <c r="AE14" i="1142" s="1"/>
  <c r="U35" i="1142"/>
  <c r="U14" i="1142" s="1"/>
  <c r="X35" i="1142"/>
  <c r="X14" i="1142" s="1"/>
  <c r="P35" i="1142"/>
  <c r="P14" i="1142" s="1"/>
  <c r="Q47" i="1142"/>
  <c r="Q35" i="1142"/>
  <c r="Q14" i="1142" s="1"/>
  <c r="V47" i="1142"/>
  <c r="V35" i="1142"/>
  <c r="V14" i="1142" s="1"/>
  <c r="I47" i="1142"/>
  <c r="I35" i="1142"/>
  <c r="I14" i="1142" s="1"/>
  <c r="L35" i="1142"/>
  <c r="L14" i="1142" s="1"/>
  <c r="AH28" i="1131"/>
  <c r="J47" i="1142"/>
  <c r="J35" i="1142"/>
  <c r="J14" i="1142" s="1"/>
  <c r="R47" i="1142"/>
  <c r="R35" i="1142"/>
  <c r="R14" i="1142" s="1"/>
  <c r="T35" i="1142"/>
  <c r="T14" i="1142" s="1"/>
  <c r="AA35" i="1142"/>
  <c r="AA14" i="1142" s="1"/>
  <c r="E35" i="1142"/>
  <c r="E14" i="1142" s="1"/>
  <c r="AB35" i="1142"/>
  <c r="AB14" i="1142" s="1"/>
  <c r="AC45" i="1137"/>
  <c r="AC48" i="1127" s="1" a="1"/>
  <c r="AC48" i="1127" s="1"/>
  <c r="AX34" i="2" s="1"/>
  <c r="AV34" i="2" s="1"/>
  <c r="AC37" i="1137"/>
  <c r="AC46" i="1137" s="1"/>
  <c r="AG35" i="1137"/>
  <c r="S37" i="1137"/>
  <c r="S45" i="1137"/>
  <c r="S48" i="1127" s="1" a="1"/>
  <c r="S48" i="1127" s="1"/>
  <c r="AX24" i="2" s="1"/>
  <c r="X34" i="1137"/>
  <c r="X14" i="1137" s="1"/>
  <c r="AG44" i="1138"/>
  <c r="AH27" i="1138" s="1"/>
  <c r="AC9" i="2"/>
  <c r="AC38" i="2" s="1"/>
  <c r="AC39" i="2" s="1"/>
  <c r="AC40" i="2" s="1"/>
  <c r="AB85" i="2" s="1"/>
  <c r="AC82" i="2" s="1"/>
  <c r="AC83" i="2" s="1"/>
  <c r="P34" i="1140"/>
  <c r="P14" i="1140" s="1"/>
  <c r="H34" i="1140"/>
  <c r="H14" i="1140" s="1"/>
  <c r="D13" i="1140"/>
  <c r="Y34" i="1140"/>
  <c r="Y14" i="1140" s="1"/>
  <c r="AG44" i="1140"/>
  <c r="AH27" i="1140" s="1"/>
  <c r="AG9" i="2"/>
  <c r="AG38" i="2" s="1"/>
  <c r="AG39" i="2" s="1"/>
  <c r="AG40" i="2" s="1"/>
  <c r="AF85" i="2" s="1"/>
  <c r="AG82" i="2" s="1"/>
  <c r="AI39" i="2"/>
  <c r="AI40" i="2" s="1"/>
  <c r="AH85" i="2" s="1"/>
  <c r="AI82" i="2" s="1"/>
  <c r="F48" i="1127" a="1"/>
  <c r="F48" i="1127" s="1"/>
  <c r="AX11" i="2" s="1"/>
  <c r="AV11" i="2" s="1"/>
  <c r="AG36" i="1131"/>
  <c r="N34" i="1127"/>
  <c r="N14" i="1127" s="1"/>
  <c r="AH27" i="1129"/>
  <c r="D46" i="1141"/>
  <c r="AG37" i="1141"/>
  <c r="Y34" i="1127"/>
  <c r="Y14" i="1127" s="1"/>
  <c r="M34" i="1137"/>
  <c r="M14" i="1137" s="1"/>
  <c r="X48" i="1127" a="1"/>
  <c r="X48" i="1127" s="1"/>
  <c r="AX29" i="2" s="1"/>
  <c r="AV29" i="2" s="1"/>
  <c r="D38" i="1131"/>
  <c r="M47" i="1131" s="1"/>
  <c r="Y35" i="1131"/>
  <c r="Y14" i="1131" s="1"/>
  <c r="K34" i="1134"/>
  <c r="K14" i="1134" s="1"/>
  <c r="AG35" i="1133"/>
  <c r="AE34" i="1140"/>
  <c r="AE14" i="1140" s="1"/>
  <c r="P35" i="1131"/>
  <c r="P14" i="1131" s="1"/>
  <c r="D34" i="1141"/>
  <c r="D14" i="1141" s="1"/>
  <c r="W34" i="1140"/>
  <c r="W14" i="1140" s="1"/>
  <c r="K34" i="1140"/>
  <c r="K14" i="1140" s="1"/>
  <c r="T34" i="1140"/>
  <c r="T14" i="1140" s="1"/>
  <c r="AA34" i="1140"/>
  <c r="AA14" i="1140" s="1"/>
  <c r="S46" i="1140"/>
  <c r="S34" i="1140"/>
  <c r="S14" i="1140" s="1"/>
  <c r="Q34" i="1128"/>
  <c r="Q14" i="1128" s="1"/>
  <c r="T34" i="1134"/>
  <c r="T14" i="1134" s="1"/>
  <c r="P34" i="1136"/>
  <c r="P14" i="1136" s="1"/>
  <c r="T34" i="1136"/>
  <c r="T14" i="1136" s="1"/>
  <c r="AA34" i="1136"/>
  <c r="AA14" i="1136" s="1"/>
  <c r="J46" i="1140"/>
  <c r="J34" i="1140"/>
  <c r="J14" i="1140" s="1"/>
  <c r="AD46" i="1140"/>
  <c r="AD49" i="1127" s="1" a="1"/>
  <c r="AD49" i="1127" s="1"/>
  <c r="AD34" i="1140"/>
  <c r="AD14" i="1140" s="1"/>
  <c r="I46" i="1140"/>
  <c r="I34" i="1140"/>
  <c r="I14" i="1140" s="1"/>
  <c r="L46" i="1140"/>
  <c r="L34" i="1140"/>
  <c r="L14" i="1140" s="1"/>
  <c r="O46" i="1140"/>
  <c r="O34" i="1140"/>
  <c r="O14" i="1140" s="1"/>
  <c r="U46" i="1140"/>
  <c r="U34" i="1140"/>
  <c r="U14" i="1140" s="1"/>
  <c r="AB46" i="1140"/>
  <c r="AB34" i="1140"/>
  <c r="AB14" i="1140" s="1"/>
  <c r="R34" i="1134"/>
  <c r="R14" i="1134" s="1"/>
  <c r="M34" i="1136"/>
  <c r="M14" i="1136" s="1"/>
  <c r="AH27" i="1136"/>
  <c r="G46" i="1140"/>
  <c r="G34" i="1140"/>
  <c r="G14" i="1140" s="1"/>
  <c r="R46" i="1140"/>
  <c r="R34" i="1140"/>
  <c r="R14" i="1140" s="1"/>
  <c r="AG35" i="1140"/>
  <c r="D45" i="1140"/>
  <c r="D37" i="1140"/>
  <c r="S34" i="1128"/>
  <c r="S14" i="1128" s="1"/>
  <c r="R34" i="1132"/>
  <c r="R14" i="1132" s="1"/>
  <c r="AH27" i="1132"/>
  <c r="AA34" i="1134"/>
  <c r="AA14" i="1134" s="1"/>
  <c r="V34" i="1134"/>
  <c r="V14" i="1134" s="1"/>
  <c r="M34" i="1140"/>
  <c r="M14" i="1140" s="1"/>
  <c r="E46" i="1140"/>
  <c r="E34" i="1140"/>
  <c r="E14" i="1140" s="1"/>
  <c r="X46" i="1140"/>
  <c r="X34" i="1140"/>
  <c r="X14" i="1140" s="1"/>
  <c r="N46" i="1140"/>
  <c r="N34" i="1140"/>
  <c r="N14" i="1140" s="1"/>
  <c r="Z46" i="1140"/>
  <c r="Z34" i="1140"/>
  <c r="Z14" i="1140" s="1"/>
  <c r="F46" i="1140"/>
  <c r="F34" i="1140"/>
  <c r="F14" i="1140" s="1"/>
  <c r="V34" i="1140"/>
  <c r="V14" i="1140" s="1"/>
  <c r="D46" i="1139"/>
  <c r="AG37" i="1139"/>
  <c r="Q34" i="1136"/>
  <c r="Q14" i="1136" s="1"/>
  <c r="D34" i="1139"/>
  <c r="D14" i="1139" s="1"/>
  <c r="AH27" i="1130"/>
  <c r="V46" i="1138"/>
  <c r="V34" i="1138"/>
  <c r="V14" i="1138" s="1"/>
  <c r="I46" i="1138"/>
  <c r="I34" i="1138"/>
  <c r="I14" i="1138" s="1"/>
  <c r="N46" i="1138"/>
  <c r="N34" i="1138"/>
  <c r="N14" i="1138" s="1"/>
  <c r="T46" i="1138"/>
  <c r="T34" i="1138"/>
  <c r="T14" i="1138" s="1"/>
  <c r="Y34" i="1138"/>
  <c r="Y14" i="1138" s="1"/>
  <c r="U34" i="1138"/>
  <c r="U14" i="1138" s="1"/>
  <c r="AE34" i="1138"/>
  <c r="AE14" i="1138" s="1"/>
  <c r="H34" i="1138"/>
  <c r="H14" i="1138" s="1"/>
  <c r="S46" i="1138"/>
  <c r="S34" i="1138"/>
  <c r="S14" i="1138" s="1"/>
  <c r="M46" i="1138"/>
  <c r="M34" i="1138"/>
  <c r="M14" i="1138" s="1"/>
  <c r="E46" i="1138"/>
  <c r="E34" i="1138"/>
  <c r="E14" i="1138" s="1"/>
  <c r="W34" i="1138"/>
  <c r="W14" i="1138" s="1"/>
  <c r="K34" i="1138"/>
  <c r="K14" i="1138" s="1"/>
  <c r="AA34" i="1138"/>
  <c r="AA14" i="1138" s="1"/>
  <c r="AC34" i="1138"/>
  <c r="AC14" i="1138" s="1"/>
  <c r="D45" i="1138"/>
  <c r="AG35" i="1138"/>
  <c r="D37" i="1138"/>
  <c r="Q46" i="1138"/>
  <c r="Q34" i="1138"/>
  <c r="Q14" i="1138" s="1"/>
  <c r="F46" i="1138"/>
  <c r="F34" i="1138"/>
  <c r="F14" i="1138" s="1"/>
  <c r="O34" i="1138"/>
  <c r="O14" i="1138" s="1"/>
  <c r="J34" i="1138"/>
  <c r="J14" i="1138" s="1"/>
  <c r="L34" i="1138"/>
  <c r="L14" i="1138" s="1"/>
  <c r="D34" i="1138"/>
  <c r="D14" i="1138" s="1"/>
  <c r="AB46" i="1138"/>
  <c r="AB34" i="1138"/>
  <c r="AB14" i="1138" s="1"/>
  <c r="X46" i="1138"/>
  <c r="X34" i="1138"/>
  <c r="X14" i="1138" s="1"/>
  <c r="Z46" i="1138"/>
  <c r="Z34" i="1138"/>
  <c r="Z14" i="1138" s="1"/>
  <c r="R46" i="1138"/>
  <c r="R34" i="1138"/>
  <c r="R14" i="1138" s="1"/>
  <c r="P34" i="1138"/>
  <c r="P14" i="1138" s="1"/>
  <c r="AD34" i="1138"/>
  <c r="AD14" i="1138" s="1"/>
  <c r="G34" i="1138"/>
  <c r="G14" i="1138" s="1"/>
  <c r="D13" i="1134"/>
  <c r="D46" i="1137"/>
  <c r="D34" i="1137"/>
  <c r="D14" i="1137" s="1"/>
  <c r="H48" i="1127" a="1"/>
  <c r="H48" i="1127" s="1"/>
  <c r="AX13" i="2" s="1"/>
  <c r="AV13" i="2" s="1"/>
  <c r="Y48" i="1127" a="1"/>
  <c r="Y48" i="1127" s="1"/>
  <c r="D13" i="1132"/>
  <c r="K45" i="1133"/>
  <c r="K37" i="1133"/>
  <c r="K46" i="1133" s="1"/>
  <c r="AA48" i="1127" a="1"/>
  <c r="AA48" i="1127" s="1"/>
  <c r="AX32" i="2" s="1"/>
  <c r="AV32" i="2" s="1"/>
  <c r="L48" i="1127" a="1"/>
  <c r="L48" i="1127" s="1"/>
  <c r="AX17" i="2" s="1"/>
  <c r="AV17" i="2" s="1"/>
  <c r="N48" i="1127" a="1"/>
  <c r="N48" i="1127" s="1"/>
  <c r="T45" i="1133"/>
  <c r="T48" i="1127" s="1" a="1"/>
  <c r="T48" i="1127" s="1"/>
  <c r="T37" i="1133"/>
  <c r="AD34" i="1134"/>
  <c r="AD14" i="1134" s="1"/>
  <c r="O34" i="1134"/>
  <c r="O14" i="1134" s="1"/>
  <c r="W34" i="1134"/>
  <c r="W14" i="1134" s="1"/>
  <c r="Z34" i="1134"/>
  <c r="Z14" i="1134" s="1"/>
  <c r="O48" i="1127" a="1"/>
  <c r="O48" i="1127" s="1"/>
  <c r="AX20" i="2" s="1"/>
  <c r="AV20" i="2" s="1"/>
  <c r="U48" i="1127" a="1"/>
  <c r="U48" i="1127" s="1"/>
  <c r="AX26" i="2" s="1"/>
  <c r="AV26" i="2" s="1"/>
  <c r="X34" i="1134"/>
  <c r="X14" i="1134" s="1"/>
  <c r="D13" i="1136"/>
  <c r="W34" i="1136"/>
  <c r="W14" i="1136" s="1"/>
  <c r="E34" i="1136"/>
  <c r="E14" i="1136" s="1"/>
  <c r="V34" i="1136"/>
  <c r="V14" i="1136" s="1"/>
  <c r="F46" i="1136"/>
  <c r="F34" i="1136"/>
  <c r="F14" i="1136" s="1"/>
  <c r="J46" i="1136"/>
  <c r="J34" i="1136"/>
  <c r="J14" i="1136" s="1"/>
  <c r="X46" i="1136"/>
  <c r="X34" i="1136"/>
  <c r="X14" i="1136" s="1"/>
  <c r="L34" i="1136"/>
  <c r="L14" i="1136" s="1"/>
  <c r="R46" i="1136"/>
  <c r="R34" i="1136"/>
  <c r="R14" i="1136" s="1"/>
  <c r="AB46" i="1136"/>
  <c r="AB34" i="1136"/>
  <c r="AB14" i="1136" s="1"/>
  <c r="AG35" i="1136"/>
  <c r="D45" i="1136"/>
  <c r="D37" i="1136"/>
  <c r="AC46" i="1136"/>
  <c r="AC34" i="1136"/>
  <c r="AC14" i="1136" s="1"/>
  <c r="U46" i="1136"/>
  <c r="U34" i="1136"/>
  <c r="U14" i="1136" s="1"/>
  <c r="I34" i="1136"/>
  <c r="I14" i="1136" s="1"/>
  <c r="N46" i="1136"/>
  <c r="N34" i="1136"/>
  <c r="N14" i="1136" s="1"/>
  <c r="G46" i="1136"/>
  <c r="G34" i="1136"/>
  <c r="G14" i="1136" s="1"/>
  <c r="Z46" i="1136"/>
  <c r="Z34" i="1136"/>
  <c r="Z14" i="1136" s="1"/>
  <c r="Y46" i="1136"/>
  <c r="Y34" i="1136"/>
  <c r="Y14" i="1136" s="1"/>
  <c r="AD34" i="1136"/>
  <c r="AD14" i="1136" s="1"/>
  <c r="D46" i="1135"/>
  <c r="AG37" i="1135"/>
  <c r="D34" i="1135"/>
  <c r="D14" i="1135" s="1"/>
  <c r="S34" i="1134"/>
  <c r="S14" i="1134" s="1"/>
  <c r="Q34" i="1134"/>
  <c r="Q14" i="1134" s="1"/>
  <c r="AC34" i="1134"/>
  <c r="AC14" i="1134" s="1"/>
  <c r="U46" i="1134"/>
  <c r="U34" i="1134"/>
  <c r="U14" i="1134" s="1"/>
  <c r="AE46" i="1134"/>
  <c r="AE34" i="1134"/>
  <c r="AE14" i="1134" s="1"/>
  <c r="P46" i="1134"/>
  <c r="P34" i="1134"/>
  <c r="P14" i="1134" s="1"/>
  <c r="Y46" i="1134"/>
  <c r="Y34" i="1134"/>
  <c r="Y14" i="1134" s="1"/>
  <c r="L46" i="1134"/>
  <c r="L34" i="1134"/>
  <c r="L14" i="1134" s="1"/>
  <c r="AH27" i="1134"/>
  <c r="I34" i="1134"/>
  <c r="I14" i="1134" s="1"/>
  <c r="AG35" i="1134"/>
  <c r="D45" i="1134"/>
  <c r="D37" i="1134"/>
  <c r="N46" i="1134"/>
  <c r="N34" i="1134"/>
  <c r="N14" i="1134" s="1"/>
  <c r="G46" i="1134"/>
  <c r="G34" i="1134"/>
  <c r="G14" i="1134" s="1"/>
  <c r="F46" i="1134"/>
  <c r="F34" i="1134"/>
  <c r="F14" i="1134" s="1"/>
  <c r="H46" i="1134"/>
  <c r="H34" i="1134"/>
  <c r="H14" i="1134" s="1"/>
  <c r="E34" i="1134"/>
  <c r="E14" i="1134" s="1"/>
  <c r="D46" i="1133"/>
  <c r="D34" i="1133"/>
  <c r="D14" i="1133" s="1"/>
  <c r="AB34" i="1130"/>
  <c r="AB14" i="1130" s="1"/>
  <c r="F46" i="1132"/>
  <c r="F34" i="1132"/>
  <c r="F14" i="1132" s="1"/>
  <c r="H46" i="1132"/>
  <c r="H34" i="1132"/>
  <c r="H14" i="1132" s="1"/>
  <c r="AE46" i="1132"/>
  <c r="AE34" i="1132"/>
  <c r="AE14" i="1132" s="1"/>
  <c r="G46" i="1132"/>
  <c r="G34" i="1132"/>
  <c r="G14" i="1132" s="1"/>
  <c r="Q46" i="1132"/>
  <c r="Q34" i="1132"/>
  <c r="Q14" i="1132" s="1"/>
  <c r="M46" i="1132"/>
  <c r="M34" i="1132"/>
  <c r="M14" i="1132" s="1"/>
  <c r="X34" i="1132"/>
  <c r="X14" i="1132" s="1"/>
  <c r="AD34" i="1132"/>
  <c r="AD14" i="1132" s="1"/>
  <c r="E34" i="1132"/>
  <c r="E14" i="1132" s="1"/>
  <c r="U34" i="1132"/>
  <c r="U14" i="1132" s="1"/>
  <c r="K34" i="1132"/>
  <c r="K14" i="1132" s="1"/>
  <c r="Y34" i="1132"/>
  <c r="Y14" i="1132" s="1"/>
  <c r="AG35" i="1132"/>
  <c r="D45" i="1132"/>
  <c r="D37" i="1132"/>
  <c r="N46" i="1132"/>
  <c r="N34" i="1132"/>
  <c r="N14" i="1132" s="1"/>
  <c r="P46" i="1132"/>
  <c r="P34" i="1132"/>
  <c r="P14" i="1132" s="1"/>
  <c r="AC46" i="1132"/>
  <c r="AC34" i="1132"/>
  <c r="AC14" i="1132" s="1"/>
  <c r="L46" i="1132"/>
  <c r="L34" i="1132"/>
  <c r="L14" i="1132" s="1"/>
  <c r="J46" i="1132"/>
  <c r="J34" i="1132"/>
  <c r="J14" i="1132" s="1"/>
  <c r="Z46" i="1132"/>
  <c r="Z34" i="1132"/>
  <c r="Z14" i="1132" s="1"/>
  <c r="I34" i="1132"/>
  <c r="I14" i="1132" s="1"/>
  <c r="O34" i="1132"/>
  <c r="O14" i="1132" s="1"/>
  <c r="W34" i="1132"/>
  <c r="W14" i="1132" s="1"/>
  <c r="S34" i="1132"/>
  <c r="S14" i="1132" s="1"/>
  <c r="T34" i="1132"/>
  <c r="T14" i="1132" s="1"/>
  <c r="AB34" i="1132"/>
  <c r="AB14" i="1132" s="1"/>
  <c r="V34" i="1132"/>
  <c r="V14" i="1132" s="1"/>
  <c r="AA34" i="1132"/>
  <c r="AA14" i="1132" s="1"/>
  <c r="D13" i="1128"/>
  <c r="D13" i="1130"/>
  <c r="P34" i="1130"/>
  <c r="P14" i="1130" s="1"/>
  <c r="O46" i="1130"/>
  <c r="O34" i="1130"/>
  <c r="O14" i="1130" s="1"/>
  <c r="W46" i="1130"/>
  <c r="W34" i="1130"/>
  <c r="W14" i="1130" s="1"/>
  <c r="S46" i="1130"/>
  <c r="S34" i="1130"/>
  <c r="S14" i="1130" s="1"/>
  <c r="AA46" i="1130"/>
  <c r="AA34" i="1130"/>
  <c r="AA14" i="1130" s="1"/>
  <c r="AG35" i="1130"/>
  <c r="D45" i="1130"/>
  <c r="D37" i="1130"/>
  <c r="J46" i="1130"/>
  <c r="J34" i="1130"/>
  <c r="J14" i="1130" s="1"/>
  <c r="V34" i="1130"/>
  <c r="V14" i="1130" s="1"/>
  <c r="L34" i="1130"/>
  <c r="L14" i="1130" s="1"/>
  <c r="R46" i="1130"/>
  <c r="R34" i="1130"/>
  <c r="R14" i="1130" s="1"/>
  <c r="G34" i="1130"/>
  <c r="G14" i="1130" s="1"/>
  <c r="Q34" i="1130"/>
  <c r="Q14" i="1130" s="1"/>
  <c r="K46" i="1130"/>
  <c r="K34" i="1130"/>
  <c r="K14" i="1130" s="1"/>
  <c r="H46" i="1130"/>
  <c r="H34" i="1130"/>
  <c r="H14" i="1130" s="1"/>
  <c r="X46" i="1130"/>
  <c r="X34" i="1130"/>
  <c r="X14" i="1130" s="1"/>
  <c r="F46" i="1130"/>
  <c r="F34" i="1130"/>
  <c r="F14" i="1130" s="1"/>
  <c r="Z46" i="1130"/>
  <c r="Z34" i="1130"/>
  <c r="Z14" i="1130" s="1"/>
  <c r="I34" i="1130"/>
  <c r="I14" i="1130" s="1"/>
  <c r="M34" i="1130"/>
  <c r="M14" i="1130" s="1"/>
  <c r="AC34" i="1130"/>
  <c r="AC14" i="1130" s="1"/>
  <c r="N46" i="1130"/>
  <c r="N34" i="1130"/>
  <c r="N14" i="1130" s="1"/>
  <c r="T34" i="1130"/>
  <c r="T14" i="1130" s="1"/>
  <c r="AE34" i="1130"/>
  <c r="AE14" i="1130" s="1"/>
  <c r="Y34" i="1130"/>
  <c r="Y14" i="1130" s="1"/>
  <c r="M48" i="1127" a="1"/>
  <c r="M48" i="1127" s="1"/>
  <c r="G48" i="1127" a="1"/>
  <c r="G48" i="1127" s="1"/>
  <c r="E48" i="1127" a="1"/>
  <c r="E48" i="1127" s="1"/>
  <c r="AX10" i="2" s="1"/>
  <c r="AV10" i="2" s="1"/>
  <c r="W48" i="1127" a="1"/>
  <c r="W48" i="1127" s="1"/>
  <c r="AX28" i="2" s="1"/>
  <c r="AV28" i="2" s="1"/>
  <c r="V48" i="1127" a="1"/>
  <c r="V48" i="1127" s="1"/>
  <c r="AX27" i="2" s="1"/>
  <c r="AV27" i="2" s="1"/>
  <c r="AE48" i="1127" a="1"/>
  <c r="AE48" i="1127" s="1"/>
  <c r="Z48" i="1127" a="1"/>
  <c r="Z48" i="1127" s="1"/>
  <c r="AX31" i="2" s="1"/>
  <c r="AV31" i="2" s="1"/>
  <c r="D46" i="1129"/>
  <c r="AG37" i="1129"/>
  <c r="AB48" i="1127" a="1"/>
  <c r="AB48" i="1127" s="1"/>
  <c r="AD48" i="1127" a="1"/>
  <c r="AD48" i="1127" s="1"/>
  <c r="AX35" i="2" s="1"/>
  <c r="AV35" i="2" s="1"/>
  <c r="J48" i="1127" a="1"/>
  <c r="J48" i="1127" s="1"/>
  <c r="AX15" i="2" s="1"/>
  <c r="AV15" i="2" s="1"/>
  <c r="P48" i="1127" a="1"/>
  <c r="P48" i="1127" s="1"/>
  <c r="AX21" i="2" s="1"/>
  <c r="R48" i="1127" a="1"/>
  <c r="R48" i="1127" s="1"/>
  <c r="Q48" i="1127" a="1"/>
  <c r="Q48" i="1127" s="1"/>
  <c r="AX22" i="2" s="1"/>
  <c r="W34" i="1128"/>
  <c r="W14" i="1128" s="1"/>
  <c r="J34" i="1128"/>
  <c r="J14" i="1128" s="1"/>
  <c r="AH27" i="1128"/>
  <c r="I34" i="1128"/>
  <c r="I14" i="1128" s="1"/>
  <c r="AG35" i="1128"/>
  <c r="D45" i="1128"/>
  <c r="D37" i="1128"/>
  <c r="E46" i="1128"/>
  <c r="E34" i="1128"/>
  <c r="E14" i="1128" s="1"/>
  <c r="G34" i="1128"/>
  <c r="G14" i="1128" s="1"/>
  <c r="F46" i="1128"/>
  <c r="F34" i="1128"/>
  <c r="F14" i="1128" s="1"/>
  <c r="V46" i="1128"/>
  <c r="V34" i="1128"/>
  <c r="V14" i="1128" s="1"/>
  <c r="AD34" i="1128"/>
  <c r="AD14" i="1128" s="1"/>
  <c r="O46" i="1128"/>
  <c r="O34" i="1128"/>
  <c r="O14" i="1128" s="1"/>
  <c r="U46" i="1128"/>
  <c r="U34" i="1128"/>
  <c r="U14" i="1128" s="1"/>
  <c r="H46" i="1128"/>
  <c r="H34" i="1128"/>
  <c r="H14" i="1128" s="1"/>
  <c r="AB46" i="1128"/>
  <c r="AB34" i="1128"/>
  <c r="AB14" i="1128" s="1"/>
  <c r="R46" i="1128"/>
  <c r="R34" i="1128"/>
  <c r="R14" i="1128" s="1"/>
  <c r="T46" i="1128"/>
  <c r="T34" i="1128"/>
  <c r="T14" i="1128" s="1"/>
  <c r="K46" i="1128"/>
  <c r="K34" i="1128"/>
  <c r="K14" i="1128" s="1"/>
  <c r="P46" i="1128"/>
  <c r="P34" i="1128"/>
  <c r="P14" i="1128" s="1"/>
  <c r="AE46" i="1128"/>
  <c r="AE34" i="1128"/>
  <c r="AE14" i="1128" s="1"/>
  <c r="X46" i="1128"/>
  <c r="X34" i="1128"/>
  <c r="X14" i="1128" s="1"/>
  <c r="AA46" i="1128"/>
  <c r="AA34" i="1128"/>
  <c r="AA14" i="1128" s="1"/>
  <c r="L46" i="1128"/>
  <c r="L34" i="1128"/>
  <c r="L14" i="1128" s="1"/>
  <c r="AC34" i="1128"/>
  <c r="AC14" i="1128" s="1"/>
  <c r="Z46" i="1128"/>
  <c r="Z34" i="1128"/>
  <c r="Z14" i="1128" s="1"/>
  <c r="Y34" i="1128"/>
  <c r="Y14" i="1128" s="1"/>
  <c r="M34" i="1128"/>
  <c r="M14" i="1128" s="1"/>
  <c r="D46" i="1127"/>
  <c r="AG37" i="1127"/>
  <c r="D34" i="1127"/>
  <c r="D14" i="1127" s="1"/>
  <c r="U9" i="2"/>
  <c r="U38" i="2" s="1"/>
  <c r="F29" i="35" s="1"/>
  <c r="W15" i="35" s="1"/>
  <c r="Y9" i="2" a="1"/>
  <c r="Y9" i="2" s="1"/>
  <c r="Y38" i="2" s="1"/>
  <c r="J29" i="35" s="1"/>
  <c r="Q9" i="2"/>
  <c r="Q38" i="2" s="1"/>
  <c r="L15" i="35" s="1"/>
  <c r="U15" i="35" s="1"/>
  <c r="M9" i="2"/>
  <c r="M38" i="2" s="1"/>
  <c r="J15" i="35" s="1"/>
  <c r="S16" i="35" s="1"/>
  <c r="I9" i="2"/>
  <c r="I38" i="2" s="1"/>
  <c r="F15" i="35" s="1"/>
  <c r="Y80" i="2"/>
  <c r="W9" i="2"/>
  <c r="W38" i="2" s="1"/>
  <c r="H29" i="35" s="1"/>
  <c r="X16" i="35" s="1"/>
  <c r="S9" i="2"/>
  <c r="S38" i="2" s="1"/>
  <c r="E29" i="35" s="1"/>
  <c r="V16" i="35" s="1"/>
  <c r="K9" i="2"/>
  <c r="K38" i="2" s="1"/>
  <c r="H15" i="35" s="1"/>
  <c r="R16" i="35" s="1"/>
  <c r="O9" i="2"/>
  <c r="Y70" i="2"/>
  <c r="U70" i="2"/>
  <c r="G51" i="2"/>
  <c r="G60" i="2" s="1"/>
  <c r="K80" i="2"/>
  <c r="M80" i="2"/>
  <c r="I70" i="2"/>
  <c r="K60" i="2"/>
  <c r="K70" i="2"/>
  <c r="Q60" i="2"/>
  <c r="M70" i="2"/>
  <c r="G70" i="2"/>
  <c r="I60" i="2"/>
  <c r="M60" i="2"/>
  <c r="O60" i="2"/>
  <c r="S60" i="2"/>
  <c r="W80" i="2"/>
  <c r="F49" i="35"/>
  <c r="AC20" i="35" s="1"/>
  <c r="D20" i="35" s="1"/>
  <c r="AU77" i="2"/>
  <c r="AU61" i="2"/>
  <c r="K44" i="35"/>
  <c r="AF15" i="35" s="1"/>
  <c r="I18" i="26"/>
  <c r="L19" i="26"/>
  <c r="Y51" i="2"/>
  <c r="Y60" i="2" s="1"/>
  <c r="AU55" i="2"/>
  <c r="AU76" i="2"/>
  <c r="AU68" i="2"/>
  <c r="AU67" i="2"/>
  <c r="AU66" i="2"/>
  <c r="AU65" i="2"/>
  <c r="AU64" i="2"/>
  <c r="AU63" i="2"/>
  <c r="AU62" i="2"/>
  <c r="AU56" i="2"/>
  <c r="AU53" i="2"/>
  <c r="AU52" i="2"/>
  <c r="E60" i="35"/>
  <c r="AH15" i="35" s="1"/>
  <c r="K29" i="35"/>
  <c r="Z15" i="35" s="1"/>
  <c r="H44" i="35"/>
  <c r="AD16" i="35" s="1"/>
  <c r="E44" i="35"/>
  <c r="AB16" i="35" s="1"/>
  <c r="O80" i="2"/>
  <c r="Q80" i="2"/>
  <c r="S80" i="2"/>
  <c r="S70" i="2"/>
  <c r="Q70" i="2"/>
  <c r="O70" i="2"/>
  <c r="W70" i="2"/>
  <c r="U60" i="2"/>
  <c r="W60" i="2"/>
  <c r="E17" i="35" a="1"/>
  <c r="F31" i="35" a="1"/>
  <c r="E22" i="35" a="1"/>
  <c r="L22" i="35" a="1"/>
  <c r="H21" i="35" a="1"/>
  <c r="J35" i="35" a="1"/>
  <c r="K22" i="35" a="1"/>
  <c r="J22" i="35" a="1"/>
  <c r="F35" i="35" a="1"/>
  <c r="J17" i="35" a="1"/>
  <c r="F36" i="35" a="1"/>
  <c r="E21" i="35" a="1"/>
  <c r="H31" i="35" a="1"/>
  <c r="H36" i="35" a="1"/>
  <c r="L21" i="35" a="1"/>
  <c r="L17" i="35" a="1"/>
  <c r="F22" i="35" a="1"/>
  <c r="E31" i="35" a="1"/>
  <c r="AU51" i="2" a="1"/>
  <c r="AU9" i="2" a="1"/>
  <c r="E36" i="35" a="1"/>
  <c r="F21" i="35" a="1"/>
  <c r="E35" i="35" a="1"/>
  <c r="J31" i="35" a="1"/>
  <c r="K17" i="35" a="1"/>
  <c r="H35" i="35" a="1"/>
  <c r="H22" i="35" a="1"/>
  <c r="J36" i="35" a="1"/>
  <c r="K21" i="35" a="1"/>
  <c r="J21" i="35" a="1"/>
  <c r="H17" i="35" a="1"/>
  <c r="N19" i="26" l="1"/>
  <c r="AU70" i="2"/>
  <c r="AU60" i="2"/>
  <c r="M18" i="26" s="1"/>
  <c r="K18" i="26"/>
  <c r="K20" i="26" s="1"/>
  <c r="E17" i="35"/>
  <c r="P17" i="35" s="1"/>
  <c r="F31" i="35"/>
  <c r="W17" i="35" s="1"/>
  <c r="L44" i="35"/>
  <c r="AG16" i="35" s="1"/>
  <c r="J44" i="35"/>
  <c r="AE16" i="35" s="1"/>
  <c r="D35" i="1131"/>
  <c r="D14" i="1131" s="1"/>
  <c r="AG38" i="1131"/>
  <c r="D47" i="1131"/>
  <c r="AG37" i="1137"/>
  <c r="AC34" i="1137"/>
  <c r="AC14" i="1137" s="1"/>
  <c r="Y49" i="1127" a="1"/>
  <c r="Y49" i="1127" s="1"/>
  <c r="AY30" i="2" s="1"/>
  <c r="H45" i="35"/>
  <c r="I46" i="1143"/>
  <c r="I49" i="1127" s="1" a="1"/>
  <c r="I49" i="1127" s="1"/>
  <c r="AY14" i="2" s="1"/>
  <c r="I34" i="1143"/>
  <c r="I14" i="1143" s="1"/>
  <c r="F60" i="35" a="1"/>
  <c r="F60" i="35" s="1"/>
  <c r="AI16" i="35" s="1"/>
  <c r="AG37" i="1133"/>
  <c r="D46" i="1144"/>
  <c r="AG37" i="1144"/>
  <c r="D34" i="1144"/>
  <c r="D14" i="1144" s="1"/>
  <c r="D47" i="1142"/>
  <c r="AG38" i="1142"/>
  <c r="D35" i="1142"/>
  <c r="D14" i="1142" s="1"/>
  <c r="S46" i="1137"/>
  <c r="S34" i="1137"/>
  <c r="S14" i="1137" s="1"/>
  <c r="M49" i="1127" a="1"/>
  <c r="M49" i="1127" s="1"/>
  <c r="AY18" i="2" s="1"/>
  <c r="D46" i="1140"/>
  <c r="AG37" i="1140"/>
  <c r="Q49" i="1127" a="1"/>
  <c r="Q49" i="1127" s="1"/>
  <c r="AY22" i="2" s="1"/>
  <c r="D34" i="1140"/>
  <c r="D14" i="1140" s="1"/>
  <c r="AC49" i="1127" a="1"/>
  <c r="AC49" i="1127" s="1"/>
  <c r="AY34" i="2" s="1"/>
  <c r="AZ34" i="2" s="1"/>
  <c r="AW34" i="2" s="1"/>
  <c r="K34" i="1133"/>
  <c r="K14" i="1133" s="1"/>
  <c r="D46" i="1138"/>
  <c r="AG37" i="1138"/>
  <c r="K48" i="1127" a="1"/>
  <c r="K48" i="1127" s="1"/>
  <c r="AX16" i="2" s="1"/>
  <c r="AV16" i="2" s="1"/>
  <c r="D48" i="1127" a="1"/>
  <c r="D48" i="1127" s="1"/>
  <c r="AX9" i="2" s="1"/>
  <c r="T34" i="1133"/>
  <c r="T14" i="1133" s="1"/>
  <c r="T46" i="1133"/>
  <c r="N49" i="1127" a="1"/>
  <c r="N49" i="1127" s="1"/>
  <c r="D46" i="1136"/>
  <c r="AG37" i="1136"/>
  <c r="D34" i="1136"/>
  <c r="D14" i="1136" s="1"/>
  <c r="D46" i="1134"/>
  <c r="AG37" i="1134"/>
  <c r="D34" i="1134"/>
  <c r="D14" i="1134" s="1"/>
  <c r="G49" i="1127" a="1"/>
  <c r="G49" i="1127" s="1"/>
  <c r="AY12" i="2" s="1"/>
  <c r="D46" i="1132"/>
  <c r="AG37" i="1132"/>
  <c r="D34" i="1132"/>
  <c r="D14" i="1132" s="1"/>
  <c r="J49" i="1127" a="1"/>
  <c r="J49" i="1127" s="1"/>
  <c r="AY15" i="2" s="1"/>
  <c r="AZ15" i="2" s="1"/>
  <c r="AW15" i="2" s="1"/>
  <c r="W49" i="1127" a="1"/>
  <c r="W49" i="1127" s="1"/>
  <c r="AY28" i="2" s="1"/>
  <c r="AZ28" i="2" s="1"/>
  <c r="AW28" i="2" s="1"/>
  <c r="AG40" i="1127"/>
  <c r="H21" i="26" s="1"/>
  <c r="R21" i="26" s="1"/>
  <c r="F21" i="26" s="1"/>
  <c r="AG37" i="1130"/>
  <c r="D46" i="1130"/>
  <c r="D34" i="1130"/>
  <c r="D14" i="1130" s="1"/>
  <c r="R49" i="1127" a="1"/>
  <c r="R49" i="1127" s="1"/>
  <c r="H49" i="1127" a="1"/>
  <c r="H49" i="1127" s="1"/>
  <c r="O49" i="1127" a="1"/>
  <c r="O49" i="1127" s="1"/>
  <c r="E49" i="1127" a="1"/>
  <c r="E49" i="1127" s="1"/>
  <c r="AY10" i="2" s="1"/>
  <c r="AZ10" i="2" s="1"/>
  <c r="AW10" i="2" s="1"/>
  <c r="L49" i="1127" a="1"/>
  <c r="L49" i="1127" s="1"/>
  <c r="AY17" i="2" s="1"/>
  <c r="AZ17" i="2" s="1"/>
  <c r="AW17" i="2" s="1"/>
  <c r="X49" i="1127" a="1"/>
  <c r="X49" i="1127" s="1"/>
  <c r="AY29" i="2" s="1"/>
  <c r="AZ29" i="2" s="1"/>
  <c r="AW29" i="2" s="1"/>
  <c r="P49" i="1127" a="1"/>
  <c r="P49" i="1127" s="1"/>
  <c r="AY21" i="2" s="1"/>
  <c r="F49" i="1127" a="1"/>
  <c r="F49" i="1127" s="1"/>
  <c r="AY11" i="2" s="1"/>
  <c r="AZ11" i="2" s="1"/>
  <c r="AW11" i="2" s="1"/>
  <c r="Z49" i="1127" a="1"/>
  <c r="Z49" i="1127" s="1"/>
  <c r="AY31" i="2" s="1"/>
  <c r="AZ31" i="2" s="1"/>
  <c r="AW31" i="2" s="1"/>
  <c r="AB49" i="1127" a="1"/>
  <c r="AB49" i="1127" s="1"/>
  <c r="AY33" i="2" s="1"/>
  <c r="U49" i="1127" a="1"/>
  <c r="U49" i="1127" s="1"/>
  <c r="AY26" i="2" s="1"/>
  <c r="AZ26" i="2" s="1"/>
  <c r="AW26" i="2" s="1"/>
  <c r="AA49" i="1127" a="1"/>
  <c r="AA49" i="1127" s="1"/>
  <c r="AY32" i="2" s="1"/>
  <c r="AZ32" i="2" s="1"/>
  <c r="AW32" i="2" s="1"/>
  <c r="AE49" i="1127" a="1"/>
  <c r="AE49" i="1127" s="1"/>
  <c r="AY36" i="2" s="1"/>
  <c r="K49" i="1127" a="1"/>
  <c r="K49" i="1127" s="1"/>
  <c r="AY16" i="2" s="1"/>
  <c r="V49" i="1127" a="1"/>
  <c r="V49" i="1127" s="1"/>
  <c r="AY27" i="2" s="1"/>
  <c r="AZ27" i="2" s="1"/>
  <c r="AW27" i="2" s="1"/>
  <c r="D46" i="1128"/>
  <c r="AG37" i="1128"/>
  <c r="D34" i="1128"/>
  <c r="D14" i="1128" s="1"/>
  <c r="Y39" i="2"/>
  <c r="J30" i="35" s="1"/>
  <c r="U39" i="2"/>
  <c r="F30" i="35" s="1"/>
  <c r="Q39" i="2"/>
  <c r="L16" i="35" s="1"/>
  <c r="M39" i="2"/>
  <c r="J16" i="35" s="1"/>
  <c r="F44" i="35"/>
  <c r="AC16" i="35" s="1"/>
  <c r="F45" i="35"/>
  <c r="H47" i="35"/>
  <c r="L29" i="35"/>
  <c r="AA16" i="35" s="1"/>
  <c r="J31" i="35"/>
  <c r="Y17" i="35" s="1"/>
  <c r="S39" i="2"/>
  <c r="E30" i="35" s="1"/>
  <c r="W39" i="2"/>
  <c r="H30" i="35" s="1"/>
  <c r="K39" i="2"/>
  <c r="H16" i="35" s="1"/>
  <c r="AX25" i="2"/>
  <c r="AV25" i="2" s="1"/>
  <c r="AU9" i="2"/>
  <c r="O38" i="2"/>
  <c r="AX12" i="2"/>
  <c r="AV12" i="2" s="1"/>
  <c r="AX19" i="2"/>
  <c r="AV19" i="2" s="1"/>
  <c r="AX33" i="2"/>
  <c r="AV33" i="2" s="1"/>
  <c r="AG40" i="154"/>
  <c r="AX30" i="2"/>
  <c r="AV30" i="2" s="1"/>
  <c r="AX23" i="2"/>
  <c r="AV23" i="2" s="1"/>
  <c r="AX14" i="2"/>
  <c r="AV14" i="2" s="1"/>
  <c r="AX36" i="2"/>
  <c r="AV36" i="2" s="1"/>
  <c r="AX18" i="2"/>
  <c r="AV18" i="2" s="1"/>
  <c r="L17" i="35"/>
  <c r="U17" i="35" s="1"/>
  <c r="H31" i="35"/>
  <c r="X17" i="35" s="1"/>
  <c r="AF16" i="35"/>
  <c r="K32" i="35" a="1"/>
  <c r="K32" i="35" s="1"/>
  <c r="AU51" i="2"/>
  <c r="J35" i="35"/>
  <c r="Y21" i="35" s="1"/>
  <c r="J36" i="35"/>
  <c r="Y22" i="35" s="1"/>
  <c r="H35" i="35"/>
  <c r="X21" i="35" s="1"/>
  <c r="H36" i="35"/>
  <c r="X22" i="35" s="1"/>
  <c r="J22" i="35"/>
  <c r="S22" i="35" s="1"/>
  <c r="H22" i="35"/>
  <c r="R22" i="35" s="1"/>
  <c r="K81" i="2"/>
  <c r="F36" i="35"/>
  <c r="W22" i="35" s="1"/>
  <c r="E22" i="35"/>
  <c r="P22" i="35" s="1"/>
  <c r="F22" i="35"/>
  <c r="Q22" i="35" s="1"/>
  <c r="K22" i="35"/>
  <c r="T22" i="35" s="1"/>
  <c r="L22" i="35"/>
  <c r="U22" i="35" s="1"/>
  <c r="E36" i="35"/>
  <c r="V22" i="35" s="1"/>
  <c r="E21" i="35"/>
  <c r="P21" i="35" s="1"/>
  <c r="F21" i="35"/>
  <c r="Q21" i="35" s="1"/>
  <c r="H21" i="35"/>
  <c r="R21" i="35" s="1"/>
  <c r="J21" i="35"/>
  <c r="S21" i="35" s="1"/>
  <c r="K21" i="35"/>
  <c r="T21" i="35" s="1"/>
  <c r="L21" i="35"/>
  <c r="U21" i="35" s="1"/>
  <c r="E35" i="35"/>
  <c r="V21" i="35" s="1"/>
  <c r="F35" i="35"/>
  <c r="W21" i="35" s="1"/>
  <c r="H17" i="35"/>
  <c r="R17" i="35" s="1"/>
  <c r="J17" i="35"/>
  <c r="S17" i="35" s="1"/>
  <c r="K17" i="35"/>
  <c r="T17" i="35" s="1"/>
  <c r="E31" i="35"/>
  <c r="V17" i="35" s="1"/>
  <c r="AV22" i="2"/>
  <c r="E45" i="35"/>
  <c r="AH16" i="35"/>
  <c r="K30" i="35"/>
  <c r="Z21" i="35"/>
  <c r="F61" i="35" a="1"/>
  <c r="F61" i="35" s="1"/>
  <c r="M19" i="26"/>
  <c r="Z16" i="35"/>
  <c r="Z22" i="35"/>
  <c r="Z17" i="35"/>
  <c r="F62" i="35"/>
  <c r="AI17" i="35" s="1"/>
  <c r="K45" i="35"/>
  <c r="AB15" i="35"/>
  <c r="AD15" i="35"/>
  <c r="Y81" i="2"/>
  <c r="Z18" i="35"/>
  <c r="AC18" i="35"/>
  <c r="AB18" i="35"/>
  <c r="AG15" i="35"/>
  <c r="K47" i="35"/>
  <c r="AF18" i="35"/>
  <c r="F47" i="35"/>
  <c r="E47" i="35"/>
  <c r="R15" i="35"/>
  <c r="V15" i="35"/>
  <c r="Y16" i="35"/>
  <c r="Y15" i="35"/>
  <c r="Q81" i="2"/>
  <c r="U81" i="2"/>
  <c r="S81" i="2"/>
  <c r="M81" i="2"/>
  <c r="O81" i="2"/>
  <c r="W81" i="2"/>
  <c r="G81" i="2"/>
  <c r="X15" i="35"/>
  <c r="S15" i="35"/>
  <c r="W16" i="35"/>
  <c r="I39" i="2"/>
  <c r="F16" i="35" s="1"/>
  <c r="U16" i="35"/>
  <c r="G38" i="2"/>
  <c r="E15" i="35" s="1"/>
  <c r="AE15" i="35" l="1"/>
  <c r="AI15" i="35"/>
  <c r="S49" i="1127" a="1"/>
  <c r="S49" i="1127" s="1"/>
  <c r="AY24" i="2" s="1"/>
  <c r="T49" i="1127" a="1"/>
  <c r="T49" i="1127" s="1"/>
  <c r="AY25" i="2" s="1"/>
  <c r="AZ25" i="2" s="1"/>
  <c r="AW25" i="2" s="1"/>
  <c r="AZ16" i="2"/>
  <c r="AW16" i="2" s="1"/>
  <c r="AG42" i="1127"/>
  <c r="H23" i="26" s="1"/>
  <c r="F23" i="26" s="1"/>
  <c r="D49" i="1127" a="1"/>
  <c r="D49" i="1127" s="1"/>
  <c r="AY9" i="2" s="1"/>
  <c r="Y40" i="2"/>
  <c r="X85" i="2" s="1"/>
  <c r="Y82" i="2" s="1"/>
  <c r="Q40" i="2"/>
  <c r="P85" i="2" s="1"/>
  <c r="Q82" i="2" s="1"/>
  <c r="M40" i="2"/>
  <c r="L85" i="2" s="1"/>
  <c r="M82" i="2" s="1"/>
  <c r="U40" i="2"/>
  <c r="T85" i="2" s="1"/>
  <c r="U82" i="2" s="1"/>
  <c r="AC15" i="35"/>
  <c r="AC19" i="35" s="1"/>
  <c r="AY13" i="2"/>
  <c r="AZ13" i="2" s="1"/>
  <c r="AW13" i="2" s="1"/>
  <c r="AA15" i="35"/>
  <c r="AD18" i="35"/>
  <c r="AY19" i="2"/>
  <c r="AZ19" i="2" s="1"/>
  <c r="AW19" i="2" s="1"/>
  <c r="W40" i="2"/>
  <c r="V85" i="2" s="1"/>
  <c r="K40" i="2"/>
  <c r="J85" i="2" s="1"/>
  <c r="K82" i="2" s="1"/>
  <c r="S40" i="2"/>
  <c r="R85" i="2" s="1"/>
  <c r="S82" i="2" s="1"/>
  <c r="AY23" i="2"/>
  <c r="AZ23" i="2" s="1"/>
  <c r="AW23" i="2" s="1"/>
  <c r="AY35" i="2"/>
  <c r="AZ35" i="2" s="1"/>
  <c r="AW35" i="2" s="1"/>
  <c r="AG42" i="154"/>
  <c r="AY20" i="2"/>
  <c r="AZ20" i="2" s="1"/>
  <c r="AW20" i="2" s="1"/>
  <c r="K15" i="35"/>
  <c r="O39" i="2"/>
  <c r="AZ14" i="2"/>
  <c r="AW14" i="2" s="1"/>
  <c r="AZ30" i="2"/>
  <c r="AW30" i="2" s="1"/>
  <c r="AZ12" i="2"/>
  <c r="AW12" i="2" s="1"/>
  <c r="AZ18" i="2"/>
  <c r="AW18" i="2" s="1"/>
  <c r="AZ36" i="2"/>
  <c r="AW36" i="2" s="1"/>
  <c r="AB19" i="35"/>
  <c r="Z19" i="35"/>
  <c r="AF19" i="35"/>
  <c r="N18" i="26"/>
  <c r="AZ22" i="2"/>
  <c r="AW22" i="2" s="1"/>
  <c r="E61" i="35"/>
  <c r="E63" i="35"/>
  <c r="AH18" i="35"/>
  <c r="AH19" i="35" s="1"/>
  <c r="J45" i="35"/>
  <c r="L30" i="35"/>
  <c r="F48" i="35"/>
  <c r="F52" i="35" s="1"/>
  <c r="L45" i="35"/>
  <c r="L32" i="35"/>
  <c r="K33" i="35"/>
  <c r="K37" i="35" s="1"/>
  <c r="AV21" i="2"/>
  <c r="AZ21" i="2"/>
  <c r="AW21" i="2" s="1"/>
  <c r="AX38" i="2"/>
  <c r="AX40" i="2" s="1"/>
  <c r="K26" i="26"/>
  <c r="K22" i="26"/>
  <c r="K24" i="26" s="1"/>
  <c r="K32" i="26" s="1"/>
  <c r="K48" i="35"/>
  <c r="K52" i="35" s="1"/>
  <c r="AI18" i="35" a="1"/>
  <c r="AI18" i="35" s="1"/>
  <c r="AI19" i="35" s="1"/>
  <c r="F63" i="35" a="1"/>
  <c r="F63" i="35" s="1"/>
  <c r="F64" i="35" s="1"/>
  <c r="F68" i="35" s="1"/>
  <c r="J47" i="35"/>
  <c r="AE18" i="35"/>
  <c r="AE19" i="35" s="1"/>
  <c r="L47" i="35"/>
  <c r="AG18" i="35"/>
  <c r="AG19" i="35" s="1"/>
  <c r="P15" i="35"/>
  <c r="E48" i="35"/>
  <c r="E52" i="35" s="1"/>
  <c r="D22" i="35"/>
  <c r="Q16" i="35"/>
  <c r="Q15" i="35"/>
  <c r="I40" i="2"/>
  <c r="G39" i="2"/>
  <c r="E16" i="35" s="1"/>
  <c r="J32" i="35" a="1"/>
  <c r="E32" i="35" a="1"/>
  <c r="F32" i="35" a="1"/>
  <c r="L18" i="35" a="1"/>
  <c r="H18" i="35" a="1"/>
  <c r="J18" i="35" a="1"/>
  <c r="K16" i="35" l="1"/>
  <c r="O40" i="2"/>
  <c r="N85" i="2" s="1"/>
  <c r="O82" i="2" s="1"/>
  <c r="T18" i="35" s="1"/>
  <c r="T16" i="35"/>
  <c r="T15" i="35"/>
  <c r="J32" i="35"/>
  <c r="Y18" i="35"/>
  <c r="Y19" i="35" s="1"/>
  <c r="F32" i="35"/>
  <c r="F33" i="35" s="1"/>
  <c r="F37" i="35" s="1"/>
  <c r="E32" i="35"/>
  <c r="E33" i="35" s="1"/>
  <c r="E37" i="35" s="1"/>
  <c r="L18" i="35"/>
  <c r="L19" i="35" s="1"/>
  <c r="L23" i="35" s="1"/>
  <c r="J18" i="35"/>
  <c r="J19" i="35" s="1"/>
  <c r="J23" i="35" s="1"/>
  <c r="H18" i="35"/>
  <c r="H19" i="35" s="1"/>
  <c r="H23" i="35" s="1"/>
  <c r="K83" i="2"/>
  <c r="M83" i="2"/>
  <c r="Q83" i="2"/>
  <c r="S83" i="2"/>
  <c r="W18" i="35"/>
  <c r="W19" i="35" s="1"/>
  <c r="J48" i="35"/>
  <c r="J52" i="35" s="1"/>
  <c r="E64" i="35"/>
  <c r="E68" i="35" s="1"/>
  <c r="L48" i="35"/>
  <c r="L52" i="35" s="1"/>
  <c r="AZ33" i="2"/>
  <c r="AW33" i="2" s="1"/>
  <c r="AY38" i="2"/>
  <c r="K31" i="26"/>
  <c r="K28" i="26"/>
  <c r="K29" i="26"/>
  <c r="U18" i="35"/>
  <c r="U19" i="35" s="1"/>
  <c r="R18" i="35"/>
  <c r="R19" i="35" s="1"/>
  <c r="S18" i="35"/>
  <c r="S19" i="35" s="1"/>
  <c r="U83" i="2"/>
  <c r="H48" i="35"/>
  <c r="H52" i="35" s="1"/>
  <c r="Y83" i="2"/>
  <c r="W82" i="2"/>
  <c r="V18" i="35"/>
  <c r="V19" i="35" s="1"/>
  <c r="P16" i="35"/>
  <c r="G40" i="2"/>
  <c r="F85" i="2" s="1"/>
  <c r="G82" i="2" s="1"/>
  <c r="E18" i="35" a="1"/>
  <c r="K18" i="35" a="1"/>
  <c r="H32" i="35" a="1"/>
  <c r="T19" i="35" l="1"/>
  <c r="O83" i="2"/>
  <c r="K18" i="35"/>
  <c r="K19" i="35" s="1"/>
  <c r="K23" i="35" s="1"/>
  <c r="H32" i="35"/>
  <c r="H33" i="35" s="1"/>
  <c r="H37" i="35" s="1"/>
  <c r="E18" i="35"/>
  <c r="E19" i="35" s="1"/>
  <c r="E23" i="35" s="1"/>
  <c r="J33" i="35"/>
  <c r="J37" i="35" s="1"/>
  <c r="W83" i="2"/>
  <c r="D16" i="35"/>
  <c r="AD19" i="35"/>
  <c r="D15" i="35"/>
  <c r="X18" i="35"/>
  <c r="X19" i="35" s="1"/>
  <c r="P18" i="35"/>
  <c r="G83" i="2"/>
  <c r="P19" i="35" l="1"/>
  <c r="D29" i="154" l="1"/>
  <c r="F28" i="154"/>
  <c r="F12" i="154" s="1"/>
  <c r="F35" i="154" s="1"/>
  <c r="F43" i="154"/>
  <c r="F57" i="154"/>
  <c r="F45" i="154" l="1"/>
  <c r="F48" i="154" s="1" a="1"/>
  <c r="F48" i="154" s="1"/>
  <c r="F37" i="154"/>
  <c r="F13" i="154"/>
  <c r="F44" i="154"/>
  <c r="F46" i="154" l="1"/>
  <c r="F49" i="154" s="1" a="1"/>
  <c r="F49" i="154" s="1"/>
  <c r="F34" i="154"/>
  <c r="F14" i="154" s="1"/>
  <c r="D28" i="154"/>
  <c r="D50" i="154"/>
  <c r="D43" i="154"/>
  <c r="D52" i="154"/>
  <c r="D12" i="154" l="1"/>
  <c r="D35" i="154" s="1"/>
  <c r="D44" i="154"/>
  <c r="D45" i="154" l="1"/>
  <c r="D48" i="154" s="1" a="1"/>
  <c r="D48" i="154" s="1"/>
  <c r="D37" i="154"/>
  <c r="D34" i="154" s="1"/>
  <c r="D14" i="154" s="1"/>
  <c r="D13" i="154"/>
  <c r="D46" i="154" l="1"/>
  <c r="D49" i="154" s="1" a="1"/>
  <c r="D49" i="154" s="1"/>
  <c r="E43" i="154"/>
  <c r="E57" i="154"/>
  <c r="E28" i="154"/>
  <c r="E12" i="154" s="1"/>
  <c r="E35" i="154" s="1"/>
  <c r="E37" i="154" l="1"/>
  <c r="E34" i="154" s="1"/>
  <c r="E14" i="154" s="1"/>
  <c r="E13" i="154"/>
  <c r="G43" i="154" l="1"/>
  <c r="G57" i="154"/>
  <c r="G28" i="154"/>
  <c r="G12" i="154" l="1"/>
  <c r="G35" i="154" s="1"/>
  <c r="E45" i="154" s="1"/>
  <c r="E48" i="154" s="1" a="1"/>
  <c r="E48" i="154" s="1"/>
  <c r="E44" i="154"/>
  <c r="G44" i="154"/>
  <c r="G13" i="154"/>
  <c r="G45" i="154" l="1"/>
  <c r="G48" i="154" s="1" a="1"/>
  <c r="G48" i="154" s="1"/>
  <c r="G37" i="154"/>
  <c r="E46" i="154" s="1"/>
  <c r="E49" i="154" s="1" a="1"/>
  <c r="E49" i="154" s="1"/>
  <c r="I57" i="154"/>
  <c r="I43" i="154"/>
  <c r="I28" i="154"/>
  <c r="G46" i="154" l="1"/>
  <c r="G49" i="154" s="1" a="1"/>
  <c r="G49" i="154" s="1"/>
  <c r="G34" i="154"/>
  <c r="G14" i="154" s="1"/>
  <c r="I12" i="154"/>
  <c r="I35" i="154" s="1"/>
  <c r="I13" i="154" l="1"/>
  <c r="I37" i="154"/>
  <c r="I34" i="154" l="1"/>
  <c r="I14" i="154" s="1"/>
  <c r="H43" i="154"/>
  <c r="H57" i="154"/>
  <c r="H28" i="154"/>
  <c r="H12" i="154" l="1"/>
  <c r="H35" i="154" s="1"/>
  <c r="H45" i="154" s="1"/>
  <c r="H48" i="154" s="1" a="1"/>
  <c r="H48" i="154" s="1"/>
  <c r="I44" i="154"/>
  <c r="H44" i="154"/>
  <c r="H13" i="154"/>
  <c r="J43" i="154"/>
  <c r="J57" i="154"/>
  <c r="J28" i="154"/>
  <c r="J12" i="154" s="1"/>
  <c r="J35" i="154" s="1"/>
  <c r="H37" i="154" l="1"/>
  <c r="H46" i="154" s="1"/>
  <c r="H49" i="154" s="1" a="1"/>
  <c r="H49" i="154" s="1"/>
  <c r="I45" i="154"/>
  <c r="I48" i="154" s="1" a="1"/>
  <c r="I48" i="154" s="1"/>
  <c r="J13" i="154"/>
  <c r="J44" i="154"/>
  <c r="J37" i="154"/>
  <c r="J45" i="154"/>
  <c r="J48" i="154" s="1" a="1"/>
  <c r="J48" i="154" s="1"/>
  <c r="I46" i="154" l="1"/>
  <c r="I49" i="154" s="1" a="1"/>
  <c r="I49" i="154" s="1"/>
  <c r="H34" i="154"/>
  <c r="H14" i="154" s="1"/>
  <c r="J46" i="154"/>
  <c r="J49" i="154" s="1" a="1"/>
  <c r="J49" i="154" s="1"/>
  <c r="J34" i="154"/>
  <c r="J14" i="154" s="1"/>
  <c r="K43" i="154"/>
  <c r="K57" i="154"/>
  <c r="K28" i="154"/>
  <c r="K44" i="154" s="1"/>
  <c r="K12" i="154" l="1"/>
  <c r="K35" i="154" s="1"/>
  <c r="K37" i="154" s="1"/>
  <c r="K34" i="154" s="1"/>
  <c r="K14" i="154" s="1"/>
  <c r="K13" i="154"/>
  <c r="K45" i="154" l="1"/>
  <c r="K48" i="154" s="1" a="1"/>
  <c r="K48" i="154" s="1"/>
  <c r="K46" i="154"/>
  <c r="K49" i="154" s="1" a="1"/>
  <c r="K49" i="154" s="1"/>
  <c r="L28" i="154"/>
  <c r="L13" i="154" s="1"/>
  <c r="L57" i="154"/>
  <c r="L43" i="154"/>
  <c r="L44" i="154" l="1"/>
  <c r="L12" i="154"/>
  <c r="L35" i="154" s="1"/>
  <c r="L37" i="154" l="1"/>
  <c r="L45" i="154"/>
  <c r="L48" i="154" s="1" a="1"/>
  <c r="L48" i="154" s="1"/>
  <c r="L46" i="154" l="1"/>
  <c r="L49" i="154" s="1" a="1"/>
  <c r="L49" i="154" s="1"/>
  <c r="L34" i="154"/>
  <c r="L14" i="154" s="1"/>
  <c r="M43" i="154"/>
  <c r="M57" i="154"/>
  <c r="M28" i="154"/>
  <c r="M13" i="154" l="1"/>
  <c r="M44" i="154"/>
  <c r="M12" i="154"/>
  <c r="M35" i="154" s="1"/>
  <c r="M45" i="154" l="1"/>
  <c r="M48" i="154" s="1" a="1"/>
  <c r="M48" i="154" s="1"/>
  <c r="M37" i="154"/>
  <c r="M46" i="154" l="1"/>
  <c r="M49" i="154" s="1" a="1"/>
  <c r="M49" i="154" s="1"/>
  <c r="M34" i="154"/>
  <c r="M14" i="154" s="1"/>
  <c r="N43" i="154"/>
  <c r="N57" i="154"/>
  <c r="N28" i="154"/>
  <c r="N12" i="154" s="1"/>
  <c r="N35" i="154" s="1"/>
  <c r="N13" i="154" l="1"/>
  <c r="N44" i="154"/>
  <c r="N45" i="154"/>
  <c r="N48" i="154" s="1" a="1"/>
  <c r="N48" i="154" s="1"/>
  <c r="N37" i="154"/>
  <c r="N46" i="154" l="1"/>
  <c r="N49" i="154" s="1" a="1"/>
  <c r="N49" i="154" s="1"/>
  <c r="N34" i="154"/>
  <c r="N14" i="154" s="1"/>
  <c r="O43" i="154"/>
  <c r="O57" i="154"/>
  <c r="O28" i="154"/>
  <c r="O13" i="154" s="1"/>
  <c r="O12" i="154" l="1"/>
  <c r="O35" i="154" s="1"/>
  <c r="O44" i="154"/>
  <c r="O37" i="154" l="1"/>
  <c r="O45" i="154"/>
  <c r="O48" i="154" s="1" a="1"/>
  <c r="O48" i="154" s="1"/>
  <c r="O46" i="154" l="1"/>
  <c r="O49" i="154" s="1" a="1"/>
  <c r="O49" i="154" s="1"/>
  <c r="O34" i="154"/>
  <c r="O14" i="154" s="1"/>
  <c r="P57" i="154"/>
  <c r="P43" i="154"/>
  <c r="P28" i="154"/>
  <c r="P44" i="154" s="1"/>
  <c r="P12" i="154" l="1"/>
  <c r="P35" i="154" s="1"/>
  <c r="P37" i="154" s="1"/>
  <c r="P34" i="154" s="1"/>
  <c r="P14" i="154" s="1"/>
  <c r="P13" i="154"/>
  <c r="P45" i="154" l="1"/>
  <c r="P48" i="154" s="1" a="1"/>
  <c r="P48" i="154" s="1"/>
  <c r="P46" i="154"/>
  <c r="P49" i="154" s="1" a="1"/>
  <c r="P49" i="154" s="1"/>
  <c r="Q57" i="154"/>
  <c r="Q43" i="154"/>
  <c r="Q28" i="154"/>
  <c r="Q13" i="154" s="1"/>
  <c r="Q44" i="154" l="1"/>
  <c r="Q12" i="154"/>
  <c r="Q35" i="154" s="1"/>
  <c r="Q37" i="154" l="1"/>
  <c r="Q34" i="154" s="1"/>
  <c r="Q14" i="154" s="1"/>
  <c r="Q45" i="154"/>
  <c r="Q48" i="154" s="1" a="1"/>
  <c r="Q48" i="154" s="1"/>
  <c r="Q46" i="154" l="1"/>
  <c r="Q49" i="154" s="1" a="1"/>
  <c r="Q49" i="154" s="1"/>
  <c r="R57" i="154"/>
  <c r="R43" i="154"/>
  <c r="R28" i="154"/>
  <c r="R12" i="154" s="1"/>
  <c r="R35" i="154" s="1"/>
  <c r="R45" i="154" l="1"/>
  <c r="R48" i="154" s="1" a="1"/>
  <c r="R48" i="154" s="1"/>
  <c r="R37" i="154"/>
  <c r="R34" i="154" s="1"/>
  <c r="R14" i="154" s="1"/>
  <c r="R44" i="154"/>
  <c r="R13" i="154"/>
  <c r="R46" i="154" l="1"/>
  <c r="R49" i="154" s="1" a="1"/>
  <c r="R49" i="154" s="1"/>
  <c r="S57" i="154"/>
  <c r="S43" i="154"/>
  <c r="S28" i="154"/>
  <c r="S44" i="154" l="1"/>
  <c r="S12" i="154"/>
  <c r="S35" i="154" s="1"/>
  <c r="S13" i="154" l="1"/>
  <c r="S45" i="154"/>
  <c r="S48" i="154" s="1" a="1"/>
  <c r="S48" i="154" s="1"/>
  <c r="S37" i="154"/>
  <c r="S46" i="154" l="1"/>
  <c r="S49" i="154" s="1" a="1"/>
  <c r="S49" i="154" s="1"/>
  <c r="S34" i="154"/>
  <c r="S14" i="154" s="1"/>
  <c r="T28" i="154"/>
  <c r="T12" i="154" s="1"/>
  <c r="T35" i="154" s="1"/>
  <c r="T57" i="154"/>
  <c r="T43" i="154"/>
  <c r="T44" i="154" l="1"/>
  <c r="T45" i="154"/>
  <c r="T48" i="154" s="1" a="1"/>
  <c r="T48" i="154" s="1"/>
  <c r="T37" i="154"/>
  <c r="T13" i="154"/>
  <c r="T46" i="154" l="1"/>
  <c r="T49" i="154" s="1" a="1"/>
  <c r="T49" i="154" s="1"/>
  <c r="T34" i="154"/>
  <c r="T14" i="154" s="1"/>
  <c r="U28" i="154"/>
  <c r="U43" i="154"/>
  <c r="U57" i="154"/>
  <c r="U44" i="154" l="1"/>
  <c r="U12" i="154"/>
  <c r="U35" i="154" s="1"/>
  <c r="U37" i="154" s="1"/>
  <c r="U13" i="154" l="1"/>
  <c r="U45" i="154"/>
  <c r="U48" i="154" s="1" a="1"/>
  <c r="U48" i="154" s="1"/>
  <c r="U34" i="154"/>
  <c r="U14" i="154" s="1"/>
  <c r="U46" i="154"/>
  <c r="U49" i="154" s="1" a="1"/>
  <c r="U49" i="154" s="1"/>
  <c r="V57" i="154"/>
  <c r="V43" i="154"/>
  <c r="V28" i="154"/>
  <c r="V44" i="154" s="1"/>
  <c r="V12" i="154" l="1"/>
  <c r="V35" i="154" s="1"/>
  <c r="V45" i="154" l="1"/>
  <c r="V48" i="154" s="1" a="1"/>
  <c r="V48" i="154" s="1"/>
  <c r="V37" i="154"/>
  <c r="V34" i="154" s="1"/>
  <c r="V14" i="154" s="1"/>
  <c r="V13" i="154"/>
  <c r="V46" i="154" l="1"/>
  <c r="V49" i="154" s="1" a="1"/>
  <c r="V49" i="154" s="1"/>
  <c r="W43" i="154"/>
  <c r="W57" i="154"/>
  <c r="W28" i="154"/>
  <c r="W44" i="154" s="1"/>
  <c r="W12" i="154" l="1"/>
  <c r="W35" i="154" s="1"/>
  <c r="W13" i="154" l="1"/>
  <c r="W37" i="154"/>
  <c r="W34" i="154" s="1"/>
  <c r="W14" i="154" s="1"/>
  <c r="W45" i="154"/>
  <c r="W48" i="154" s="1" a="1"/>
  <c r="W48" i="154" s="1"/>
  <c r="W46" i="154" l="1"/>
  <c r="W49" i="154" s="1" a="1"/>
  <c r="W49" i="154" s="1"/>
  <c r="X57" i="154"/>
  <c r="X43" i="154"/>
  <c r="X28" i="154"/>
  <c r="X13" i="154" s="1"/>
  <c r="X12" i="154" l="1"/>
  <c r="X35" i="154" s="1"/>
  <c r="X37" i="154" l="1"/>
  <c r="X34" i="154" s="1"/>
  <c r="X14" i="154" s="1"/>
  <c r="Y57" i="154" l="1"/>
  <c r="Y43" i="154"/>
  <c r="Y28" i="154"/>
  <c r="Y12" i="154" l="1"/>
  <c r="Y35" i="154" s="1"/>
  <c r="X45" i="154" s="1"/>
  <c r="X48" i="154" s="1" a="1"/>
  <c r="X48" i="154" s="1"/>
  <c r="X44" i="154"/>
  <c r="Y13" i="154"/>
  <c r="Y44" i="154"/>
  <c r="Y37" i="154" l="1"/>
  <c r="Y34" i="154" s="1"/>
  <c r="Y14" i="154" s="1"/>
  <c r="Y45" i="154"/>
  <c r="Y48" i="154" s="1" a="1"/>
  <c r="Y48" i="154" s="1"/>
  <c r="X46" i="154"/>
  <c r="X49" i="154" s="1" a="1"/>
  <c r="X49" i="154" s="1"/>
  <c r="Z43" i="154"/>
  <c r="Z57" i="154"/>
  <c r="Z28" i="154"/>
  <c r="Z13" i="154" s="1"/>
  <c r="Y46" i="154" l="1"/>
  <c r="Y49" i="154" s="1" a="1"/>
  <c r="Y49" i="154" s="1"/>
  <c r="Z44" i="154"/>
  <c r="Z12" i="154"/>
  <c r="Z35" i="154" s="1"/>
  <c r="Z37" i="154" l="1"/>
  <c r="Z34" i="154" s="1"/>
  <c r="Z14" i="154" s="1"/>
  <c r="Z45" i="154"/>
  <c r="Z48" i="154" s="1" a="1"/>
  <c r="Z48" i="154" s="1"/>
  <c r="Z46" i="154" l="1"/>
  <c r="Z49" i="154" s="1" a="1"/>
  <c r="Z49" i="154" s="1"/>
  <c r="AA43" i="154"/>
  <c r="AA57" i="154"/>
  <c r="AA28" i="154"/>
  <c r="AA44" i="154" s="1"/>
  <c r="AA13" i="154" l="1"/>
  <c r="AA12" i="154"/>
  <c r="AA35" i="154" s="1"/>
  <c r="AA37" i="154" l="1"/>
  <c r="AA34" i="154" s="1"/>
  <c r="AA14" i="154" s="1"/>
  <c r="AA45" i="154"/>
  <c r="AA48" i="154" s="1" a="1"/>
  <c r="AA48" i="154" s="1"/>
  <c r="AA46" i="154" l="1"/>
  <c r="AA49" i="154" s="1" a="1"/>
  <c r="AA49" i="154" s="1"/>
  <c r="AB28" i="154"/>
  <c r="AB44" i="154" s="1"/>
  <c r="AB57" i="154"/>
  <c r="AB43" i="154"/>
  <c r="AB13" i="154" l="1"/>
  <c r="AB12" i="154"/>
  <c r="AB35" i="154" s="1"/>
  <c r="AB37" i="154" s="1"/>
  <c r="AB34" i="154" s="1"/>
  <c r="AB14" i="154" s="1"/>
  <c r="AB45" i="154" l="1"/>
  <c r="AB48" i="154" s="1" a="1"/>
  <c r="AB48" i="154" s="1"/>
  <c r="AB46" i="154"/>
  <c r="AB49" i="154" s="1" a="1"/>
  <c r="AB49" i="154" s="1"/>
  <c r="AC28" i="154"/>
  <c r="AC44" i="154" s="1"/>
  <c r="AC43" i="154"/>
  <c r="AC57" i="154"/>
  <c r="AC13" i="154" l="1"/>
  <c r="AC12" i="154"/>
  <c r="AC35" i="154" s="1"/>
  <c r="AC37" i="154" s="1"/>
  <c r="AC45" i="154" l="1"/>
  <c r="AC48" i="154" s="1" a="1"/>
  <c r="AC48" i="154" s="1"/>
  <c r="AC46" i="154"/>
  <c r="AC49" i="154" s="1" a="1"/>
  <c r="AC49" i="154" s="1"/>
  <c r="AC34" i="154"/>
  <c r="AC14" i="154" s="1"/>
  <c r="AD43" i="154"/>
  <c r="AD57" i="154"/>
  <c r="AD28" i="154"/>
  <c r="AD12" i="154" s="1"/>
  <c r="AD35" i="154" s="1"/>
  <c r="AD45" i="154" l="1"/>
  <c r="AD48" i="154" s="1" a="1"/>
  <c r="AD48" i="154" s="1"/>
  <c r="AD37" i="154"/>
  <c r="AD34" i="154" s="1"/>
  <c r="AD14" i="154" s="1"/>
  <c r="AD44" i="154"/>
  <c r="AD13" i="154"/>
  <c r="AD46" i="154" l="1"/>
  <c r="AD49" i="154" s="1" a="1"/>
  <c r="AD49" i="154" s="1"/>
  <c r="AE43" i="154"/>
  <c r="AE57" i="154"/>
  <c r="AE28" i="154"/>
  <c r="AE12" i="154" l="1"/>
  <c r="AE35" i="154" s="1"/>
  <c r="AE13" i="154"/>
  <c r="AE44" i="154"/>
  <c r="AG44" i="154" s="1"/>
  <c r="AH27" i="154" s="1"/>
  <c r="AE37" i="154" l="1"/>
  <c r="AE34" i="154" s="1"/>
  <c r="AE14" i="154" s="1"/>
  <c r="AE45" i="154"/>
  <c r="AE48" i="154" s="1" a="1"/>
  <c r="AE48" i="154" s="1"/>
  <c r="AG35" i="154"/>
  <c r="AE46" i="154" l="1"/>
  <c r="AE49" i="154" s="1" a="1"/>
  <c r="AE49" i="154" s="1"/>
  <c r="AG37" i="154"/>
  <c r="AV24" i="2" l="1"/>
  <c r="AZ24" i="2" l="1"/>
  <c r="AW24" i="2" l="1"/>
  <c r="AT31" i="2" a="1"/>
  <c r="AT31" i="2" l="1"/>
  <c r="AT38" i="2" s="1"/>
  <c r="AU38" i="2"/>
  <c r="AV9" i="2" l="1"/>
  <c r="H18" i="26"/>
  <c r="AZ9" i="2"/>
  <c r="AZ38" i="2" s="1"/>
  <c r="AU39" i="2" l="1"/>
  <c r="AU40" i="2" s="1"/>
  <c r="Q18" i="26"/>
  <c r="AW9" i="2"/>
  <c r="AW38" i="2"/>
  <c r="AV38" i="2"/>
  <c r="AZ39" i="2" l="1"/>
  <c r="AZ40" i="2" s="1"/>
  <c r="AV40" i="2"/>
  <c r="Q20" i="26"/>
  <c r="H20" i="26"/>
  <c r="AW40" i="2" l="1"/>
  <c r="R18" i="26"/>
  <c r="R20" i="26" s="1"/>
  <c r="R22" i="26" s="1"/>
  <c r="Q26" i="26"/>
  <c r="Q22" i="26"/>
  <c r="H26" i="26"/>
  <c r="H22" i="26"/>
  <c r="R26" i="26" l="1"/>
  <c r="Q29" i="26"/>
  <c r="Q24" i="26"/>
  <c r="Q28" i="26"/>
  <c r="H24" i="26"/>
  <c r="H28" i="26"/>
  <c r="H29" i="26"/>
  <c r="R24" i="26"/>
  <c r="R28" i="26"/>
  <c r="R29" i="26"/>
  <c r="R31" i="26" l="1"/>
  <c r="R32" i="26"/>
  <c r="Q31" i="26"/>
  <c r="Q32" i="26"/>
  <c r="H31" i="26"/>
  <c r="H32" i="26"/>
  <c r="V18" i="26" l="1"/>
  <c r="N20" i="26"/>
  <c r="N26" i="26" l="1"/>
  <c r="N22" i="26"/>
  <c r="V19" i="26"/>
  <c r="V20" i="26" s="1"/>
  <c r="V26" i="26" l="1"/>
  <c r="V22" i="26"/>
  <c r="N29" i="26"/>
  <c r="N24" i="26"/>
  <c r="N28" i="26"/>
  <c r="V24" i="26" l="1"/>
  <c r="V28" i="26"/>
  <c r="V29" i="26"/>
  <c r="N31" i="26"/>
  <c r="N32" i="26"/>
  <c r="V32" i="26" l="1"/>
  <c r="V31" i="26"/>
  <c r="L35" i="35" l="1"/>
  <c r="AA21" i="35" s="1"/>
  <c r="D21" i="35" s="1"/>
  <c r="I20" i="26"/>
  <c r="AA17" i="35"/>
  <c r="U18" i="26" l="1"/>
  <c r="I26" i="26"/>
  <c r="I22" i="26"/>
  <c r="M20" i="26" l="1"/>
  <c r="M22" i="26" s="1"/>
  <c r="U19" i="26"/>
  <c r="L33" i="35"/>
  <c r="L37" i="35" s="1"/>
  <c r="AA18" i="35"/>
  <c r="AA19" i="35" s="1"/>
  <c r="I29" i="26"/>
  <c r="I24" i="26"/>
  <c r="I28" i="26"/>
  <c r="M26" i="26" l="1"/>
  <c r="U20" i="26"/>
  <c r="U26" i="26" s="1"/>
  <c r="I31" i="26"/>
  <c r="I32" i="26"/>
  <c r="M28" i="26"/>
  <c r="M29" i="26"/>
  <c r="M24" i="26"/>
  <c r="U22" i="26" l="1"/>
  <c r="U29" i="26" s="1"/>
  <c r="M32" i="26"/>
  <c r="M31" i="26"/>
  <c r="U28" i="26" l="1"/>
  <c r="U24" i="26"/>
  <c r="U31" i="26" s="1"/>
  <c r="U32" i="26" l="1"/>
  <c r="O138" i="37" l="1"/>
  <c r="O156" i="37" s="1"/>
  <c r="G164" i="37" s="1"/>
  <c r="O154" i="37"/>
  <c r="H75" i="2"/>
  <c r="AT75" i="2" l="1"/>
  <c r="J19" i="26" s="1"/>
  <c r="H80" i="2"/>
  <c r="AT80" i="2" s="1"/>
  <c r="O157" i="37"/>
  <c r="I75" i="2" a="1"/>
  <c r="I75" i="2" l="1"/>
  <c r="AJS80" i="2"/>
  <c r="AU75" i="2" a="1"/>
  <c r="AU75" i="2" l="1"/>
  <c r="J18" i="26" s="1"/>
  <c r="J20" i="26" s="1"/>
  <c r="I80" i="2"/>
  <c r="AU80" i="2" s="1"/>
  <c r="F17" i="35" a="1"/>
  <c r="I81" i="2" l="1"/>
  <c r="AU81" i="2" s="1"/>
  <c r="F17" i="35"/>
  <c r="Q17" i="35" s="1"/>
  <c r="J26" i="26"/>
  <c r="J22" i="26"/>
  <c r="H85" i="2" l="1"/>
  <c r="I82" i="2" s="1"/>
  <c r="D17" i="35"/>
  <c r="J29" i="26"/>
  <c r="J24" i="26"/>
  <c r="J28" i="26"/>
  <c r="F18" i="35" a="1"/>
  <c r="AU82" i="2" l="1"/>
  <c r="AT89" i="2" s="1"/>
  <c r="I83" i="2"/>
  <c r="Q18" i="35"/>
  <c r="D18" i="35" s="1"/>
  <c r="F18" i="35"/>
  <c r="F19" i="35" s="1"/>
  <c r="F23" i="35" s="1"/>
  <c r="J32" i="26"/>
  <c r="J31" i="26"/>
  <c r="AU83" i="2" l="1"/>
  <c r="AT87" i="2"/>
  <c r="AT88" i="2"/>
  <c r="AT90" i="2"/>
  <c r="Q19" i="35"/>
  <c r="D19" i="35" s="1"/>
  <c r="D23" i="35" s="1"/>
  <c r="J6" i="28" s="1"/>
  <c r="P18" i="26"/>
  <c r="S18" i="26" s="1"/>
  <c r="P20" i="26" l="1"/>
  <c r="P22" i="26" s="1"/>
  <c r="S19" i="26"/>
  <c r="P26" i="26" l="1"/>
  <c r="P28" i="26"/>
  <c r="P24" i="26"/>
  <c r="P29" i="26"/>
  <c r="S20" i="26"/>
  <c r="P32" i="26" l="1"/>
  <c r="P31" i="26"/>
  <c r="S22" i="26"/>
  <c r="S26" i="26"/>
  <c r="S29" i="26" l="1"/>
  <c r="S28" i="26"/>
  <c r="S24" i="26"/>
  <c r="S32" i="26" l="1"/>
  <c r="S31" i="26"/>
  <c r="L18" i="26"/>
  <c r="L20" i="26" s="1"/>
  <c r="L22" i="26" l="1"/>
  <c r="L29" i="26" s="1"/>
  <c r="L26" i="26"/>
  <c r="T18" i="26"/>
  <c r="F18" i="26" s="1"/>
  <c r="L24" i="26" l="1"/>
  <c r="L31" i="26" s="1"/>
  <c r="L28" i="26"/>
  <c r="T19" i="26"/>
  <c r="F19" i="26" s="1"/>
  <c r="H17" i="28"/>
  <c r="H18" i="28"/>
  <c r="H15" i="28"/>
  <c r="H20" i="28"/>
  <c r="H16" i="28"/>
  <c r="H19" i="28"/>
  <c r="F20" i="26" l="1"/>
  <c r="F35" i="26" s="1"/>
  <c r="F36" i="26" s="1"/>
  <c r="E19" i="26"/>
  <c r="E20" i="26" s="1"/>
  <c r="L32" i="26"/>
  <c r="T20" i="26"/>
  <c r="T22" i="26" s="1"/>
  <c r="F26" i="26" l="1"/>
  <c r="F22" i="26"/>
  <c r="F24" i="26" s="1"/>
  <c r="E35" i="26"/>
  <c r="E36" i="26" s="1"/>
  <c r="E22" i="26"/>
  <c r="E26" i="26"/>
  <c r="T26" i="26"/>
  <c r="T29" i="26"/>
  <c r="T24" i="26"/>
  <c r="T28" i="26"/>
  <c r="F29" i="26" l="1"/>
  <c r="F28" i="26"/>
  <c r="E24" i="26"/>
  <c r="E29" i="26"/>
  <c r="E28" i="26"/>
  <c r="F32" i="26"/>
  <c r="F31" i="26"/>
  <c r="T32" i="26"/>
  <c r="T31" i="26"/>
  <c r="E32" i="26" l="1"/>
  <c r="E31" i="26"/>
  <c r="AG83" i="2"/>
  <c r="AI83" i="2"/>
  <c r="AK83" i="2"/>
  <c r="AM83" i="2"/>
  <c r="AO83" i="2"/>
  <c r="AQ83" i="2"/>
  <c r="AS8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Saucier, Karen</author>
  </authors>
  <commentList>
    <comment ref="K4" authorId="0" shapeId="0" xr:uid="{73556367-7351-4768-9548-C15B31118CAD}">
      <text>
        <r>
          <rPr>
            <b/>
            <sz val="9"/>
            <color indexed="81"/>
            <rFont val="Tahoma"/>
            <family val="2"/>
          </rPr>
          <t>Saucier, Karen:</t>
        </r>
        <r>
          <rPr>
            <sz val="9"/>
            <color indexed="81"/>
            <rFont val="Tahoma"/>
            <family val="2"/>
          </rPr>
          <t xml:space="preserve">
*  Rates in this column  reflect the reduction by any contract mandated Labor Rate Discounts.  </t>
        </r>
      </text>
    </comment>
    <comment ref="L4" authorId="0" shapeId="0" xr:uid="{C578E8EB-D7C5-4F1E-8604-6AD024914CA7}">
      <text>
        <r>
          <rPr>
            <b/>
            <sz val="9"/>
            <color indexed="81"/>
            <rFont val="Tahoma"/>
            <family val="2"/>
          </rPr>
          <t>Saucier, Karen:</t>
        </r>
        <r>
          <rPr>
            <sz val="9"/>
            <color indexed="81"/>
            <rFont val="Tahoma"/>
            <family val="2"/>
          </rPr>
          <t xml:space="preserve">
** Discounted Rate reflects User-applied labor discounts on Billing Rate.</t>
        </r>
      </text>
    </comment>
    <comment ref="M4" authorId="0" shapeId="0" xr:uid="{6320A52C-F459-4A21-8CDE-C9C05AC2D664}">
      <text>
        <r>
          <rPr>
            <b/>
            <sz val="9"/>
            <color indexed="81"/>
            <rFont val="Tahoma"/>
            <family val="2"/>
          </rPr>
          <t>Saucier, Karen:</t>
        </r>
        <r>
          <rPr>
            <sz val="9"/>
            <color indexed="81"/>
            <rFont val="Tahoma"/>
            <family val="2"/>
          </rPr>
          <t xml:space="preserve">
Insert special Labor Rate by category, if needed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Saucier, Karen</author>
  </authors>
  <commentList>
    <comment ref="I6" authorId="0" shapeId="0" xr:uid="{031B63DA-09B6-463F-8F08-A6D51D850E38}">
      <text>
        <r>
          <rPr>
            <b/>
            <sz val="9"/>
            <color indexed="81"/>
            <rFont val="Tahoma"/>
            <family val="2"/>
          </rPr>
          <t>Saucier, Karen:</t>
        </r>
        <r>
          <rPr>
            <sz val="9"/>
            <color indexed="81"/>
            <rFont val="Tahoma"/>
            <family val="2"/>
          </rPr>
          <t xml:space="preserve">
Tax will not be applied to Unit Pricing, Soils Lab and Applied Chem Lab entries.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E6" authorId="0" shapeId="0" xr:uid="{00000000-0006-0000-1300-000001000000}">
      <text>
        <r>
          <rPr>
            <sz val="10"/>
            <color indexed="81"/>
            <rFont val="Tahoma"/>
            <family val="2"/>
          </rPr>
          <t xml:space="preserve">The only acceptable entries in this column are:
</t>
        </r>
        <r>
          <rPr>
            <b/>
            <sz val="10"/>
            <color indexed="81"/>
            <rFont val="Tahoma"/>
            <family val="2"/>
          </rPr>
          <t>R</t>
        </r>
        <r>
          <rPr>
            <sz val="10"/>
            <color indexed="81"/>
            <rFont val="Tahoma"/>
            <family val="2"/>
          </rPr>
          <t xml:space="preserve"> for rented equipment
</t>
        </r>
        <r>
          <rPr>
            <b/>
            <sz val="10"/>
            <color indexed="81"/>
            <rFont val="Tahoma"/>
            <family val="2"/>
          </rPr>
          <t>S</t>
        </r>
        <r>
          <rPr>
            <sz val="10"/>
            <color indexed="81"/>
            <rFont val="Tahoma"/>
            <family val="2"/>
          </rPr>
          <t xml:space="preserve"> for purchased supplies
</t>
        </r>
        <r>
          <rPr>
            <b/>
            <sz val="10"/>
            <color indexed="81"/>
            <rFont val="Tahoma"/>
            <family val="2"/>
          </rPr>
          <t xml:space="preserve">O </t>
        </r>
        <r>
          <rPr>
            <sz val="10"/>
            <color indexed="81"/>
            <rFont val="Tahoma"/>
            <family val="2"/>
          </rPr>
          <t>for anything else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E6" authorId="0" shapeId="0" xr:uid="{00000000-0006-0000-1400-000001000000}">
      <text>
        <r>
          <rPr>
            <sz val="10"/>
            <color indexed="81"/>
            <rFont val="Tahoma"/>
            <family val="2"/>
          </rPr>
          <t xml:space="preserve">The only acceptable entries in this column are:
</t>
        </r>
        <r>
          <rPr>
            <b/>
            <sz val="10"/>
            <color indexed="81"/>
            <rFont val="Tahoma"/>
            <family val="2"/>
          </rPr>
          <t xml:space="preserve">B     </t>
        </r>
        <r>
          <rPr>
            <sz val="10"/>
            <color indexed="81"/>
            <rFont val="Tahoma"/>
            <family val="2"/>
          </rPr>
          <t>Borings/Monitoring Wells</t>
        </r>
        <r>
          <rPr>
            <b/>
            <sz val="10"/>
            <color indexed="81"/>
            <rFont val="Tahoma"/>
            <family val="2"/>
          </rPr>
          <t xml:space="preserve"> 
R     </t>
        </r>
        <r>
          <rPr>
            <sz val="10"/>
            <color indexed="81"/>
            <rFont val="Tahoma"/>
            <family val="2"/>
          </rPr>
          <t xml:space="preserve">Remediation
</t>
        </r>
        <r>
          <rPr>
            <b/>
            <sz val="10"/>
            <color indexed="81"/>
            <rFont val="Tahoma"/>
            <family val="2"/>
          </rPr>
          <t xml:space="preserve">G     </t>
        </r>
        <r>
          <rPr>
            <sz val="10"/>
            <color indexed="81"/>
            <rFont val="Tahoma"/>
            <family val="2"/>
          </rPr>
          <t xml:space="preserve">General Constructio
</t>
        </r>
        <r>
          <rPr>
            <b/>
            <sz val="10"/>
            <color indexed="81"/>
            <rFont val="Tahoma"/>
            <family val="2"/>
          </rPr>
          <t xml:space="preserve">W    </t>
        </r>
        <r>
          <rPr>
            <sz val="10"/>
            <color indexed="81"/>
            <rFont val="Tahoma"/>
            <family val="2"/>
          </rPr>
          <t xml:space="preserve">Waste Haul/Treat/Dispose
</t>
        </r>
        <r>
          <rPr>
            <b/>
            <sz val="10"/>
            <color indexed="81"/>
            <rFont val="Tahoma"/>
            <family val="2"/>
          </rPr>
          <t xml:space="preserve">S     </t>
        </r>
        <r>
          <rPr>
            <sz val="10"/>
            <color indexed="81"/>
            <rFont val="Tahoma"/>
            <family val="2"/>
          </rPr>
          <t xml:space="preserve">Surveying/Inspection
</t>
        </r>
        <r>
          <rPr>
            <b/>
            <sz val="10"/>
            <color indexed="81"/>
            <rFont val="Tahoma"/>
            <family val="2"/>
          </rPr>
          <t xml:space="preserve">O     </t>
        </r>
        <r>
          <rPr>
            <sz val="10"/>
            <color indexed="81"/>
            <rFont val="Tahoma"/>
            <family val="2"/>
          </rPr>
          <t xml:space="preserve">Other Technical Consultant
</t>
        </r>
        <r>
          <rPr>
            <b/>
            <sz val="10"/>
            <color indexed="81"/>
            <rFont val="Tahoma"/>
            <family val="2"/>
          </rPr>
          <t xml:space="preserve">M     </t>
        </r>
        <r>
          <rPr>
            <sz val="10"/>
            <color indexed="81"/>
            <rFont val="Tahoma"/>
            <family val="2"/>
          </rPr>
          <t>Miscellaneous</t>
        </r>
        <r>
          <rPr>
            <b/>
            <sz val="10"/>
            <color indexed="81"/>
            <rFont val="Tahoma"/>
            <family val="2"/>
          </rPr>
          <t xml:space="preserve">
C      </t>
        </r>
        <r>
          <rPr>
            <sz val="10"/>
            <color indexed="81"/>
            <rFont val="Tahoma"/>
            <family val="2"/>
          </rPr>
          <t>Contract Labor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<sst xmlns="http://schemas.openxmlformats.org/spreadsheetml/2006/main" count="13821" uniqueCount="2559">
  <si>
    <t>Project Name</t>
  </si>
  <si>
    <t>MIF/PIF #</t>
  </si>
  <si>
    <t>Prepared by</t>
  </si>
  <si>
    <t>Date</t>
  </si>
  <si>
    <t>Select rate</t>
  </si>
  <si>
    <t>Summary</t>
  </si>
  <si>
    <t>Total</t>
  </si>
  <si>
    <t>Laboratory</t>
  </si>
  <si>
    <t>Subcontractors</t>
  </si>
  <si>
    <t>Other</t>
  </si>
  <si>
    <t xml:space="preserve">PROJECT:  </t>
  </si>
  <si>
    <t xml:space="preserve"> </t>
  </si>
  <si>
    <t>DATE:</t>
  </si>
  <si>
    <t>FILENAME:</t>
  </si>
  <si>
    <t>COMPLETED BY:</t>
  </si>
  <si>
    <t>Element 2:</t>
  </si>
  <si>
    <t>Element 3:</t>
  </si>
  <si>
    <t>Element 4:</t>
  </si>
  <si>
    <t>Element 5:</t>
  </si>
  <si>
    <t>Element 6:</t>
  </si>
  <si>
    <t>Project #:</t>
  </si>
  <si>
    <t xml:space="preserve">        STAFF CATEGORY</t>
  </si>
  <si>
    <t>HOURS</t>
  </si>
  <si>
    <t>DOLLARS</t>
  </si>
  <si>
    <t>A</t>
  </si>
  <si>
    <t>L</t>
  </si>
  <si>
    <t>R</t>
  </si>
  <si>
    <t>C</t>
  </si>
  <si>
    <t>-------</t>
  </si>
  <si>
    <t>Laboratory Total</t>
  </si>
  <si>
    <t>S</t>
  </si>
  <si>
    <t>REMEDIATION CONTRACTING</t>
  </si>
  <si>
    <t>T</t>
  </si>
  <si>
    <t>GENERAL CONSTRUCTION</t>
  </si>
  <si>
    <t>Subcontract Total</t>
  </si>
  <si>
    <t>G</t>
  </si>
  <si>
    <t>TOTAL ALL EXPENSES</t>
  </si>
  <si>
    <t>GRAND TOTAL LABOR &amp; EXPENSES</t>
  </si>
  <si>
    <t>Item</t>
  </si>
  <si>
    <t>ITEM DESCRIPTION</t>
  </si>
  <si>
    <t>TOTAL</t>
  </si>
  <si>
    <t>Category</t>
  </si>
  <si>
    <t>Rate</t>
  </si>
  <si>
    <t>Code</t>
  </si>
  <si>
    <t>D</t>
  </si>
  <si>
    <t>F</t>
  </si>
  <si>
    <t>I</t>
  </si>
  <si>
    <t>J</t>
  </si>
  <si>
    <t>M</t>
  </si>
  <si>
    <t>P</t>
  </si>
  <si>
    <t>Q</t>
  </si>
  <si>
    <t>V</t>
  </si>
  <si>
    <t>W</t>
  </si>
  <si>
    <t>Quantity</t>
  </si>
  <si>
    <t>Cost</t>
  </si>
  <si>
    <t>Unit</t>
  </si>
  <si>
    <t>Interface probe</t>
  </si>
  <si>
    <t/>
  </si>
  <si>
    <t>55-gallon drum</t>
  </si>
  <si>
    <t>Turbidity meter</t>
  </si>
  <si>
    <t>Generator</t>
  </si>
  <si>
    <t>Ponar dredge</t>
  </si>
  <si>
    <t>BillCleaning:  fill in billing rate</t>
  </si>
  <si>
    <t>Tedlar bags</t>
  </si>
  <si>
    <t>WeekMonth:  dropdown fill</t>
  </si>
  <si>
    <t>DayWeek:  dropdown fill</t>
  </si>
  <si>
    <t>Day</t>
  </si>
  <si>
    <t>Week</t>
  </si>
  <si>
    <t>Month</t>
  </si>
  <si>
    <t>N/A</t>
  </si>
  <si>
    <t>OTHER EXPENSES</t>
  </si>
  <si>
    <t>EQUIPMENT PROCUREMENT</t>
  </si>
  <si>
    <t>*</t>
  </si>
  <si>
    <t>VEHICLE</t>
  </si>
  <si>
    <t>Vehicle Rental:</t>
  </si>
  <si>
    <t>Vehicle Expense:</t>
  </si>
  <si>
    <t>OV</t>
  </si>
  <si>
    <t>RV</t>
  </si>
  <si>
    <t>Element 1:</t>
  </si>
  <si>
    <t>LABOR</t>
  </si>
  <si>
    <t>SUBCONTRACT</t>
  </si>
  <si>
    <t>ITEM #</t>
  </si>
  <si>
    <t>PAGE 1</t>
  </si>
  <si>
    <t>Procurement List</t>
  </si>
  <si>
    <t>UNIT</t>
  </si>
  <si>
    <t>QUANTITY</t>
  </si>
  <si>
    <t>UNIT COST</t>
  </si>
  <si>
    <t>STATE TAX</t>
  </si>
  <si>
    <t>Equipment Procurement</t>
  </si>
  <si>
    <t>Equipment Procurement Total</t>
  </si>
  <si>
    <t>Other Charges List</t>
  </si>
  <si>
    <t>Lodging</t>
  </si>
  <si>
    <t>Meals</t>
  </si>
  <si>
    <t>Airfare</t>
  </si>
  <si>
    <t>Meals:</t>
  </si>
  <si>
    <t>round trip</t>
  </si>
  <si>
    <t>Quantity = # of people X # of units</t>
  </si>
  <si>
    <t>Lodging:</t>
  </si>
  <si>
    <t>Airfare:</t>
  </si>
  <si>
    <t>Fluorometer</t>
  </si>
  <si>
    <t>Metal detector</t>
  </si>
  <si>
    <t>PilotTest</t>
  </si>
  <si>
    <t>DayMonth:  dropdown fill</t>
  </si>
  <si>
    <t xml:space="preserve">Pilot </t>
  </si>
  <si>
    <t>Day:</t>
  </si>
  <si>
    <t>per mile</t>
  </si>
  <si>
    <t>Mileage, personal vehicle</t>
  </si>
  <si>
    <t>(ACROSS)</t>
  </si>
  <si>
    <t>E1</t>
  </si>
  <si>
    <t>E2</t>
  </si>
  <si>
    <t>E3</t>
  </si>
  <si>
    <t>E4</t>
  </si>
  <si>
    <t>E5</t>
  </si>
  <si>
    <t>E6</t>
  </si>
  <si>
    <t>TRAVEL</t>
  </si>
  <si>
    <t>Travel Total</t>
  </si>
  <si>
    <t>TRAVEL / VEHICLE RENTALS</t>
  </si>
  <si>
    <t>LODGING / OTHER</t>
  </si>
  <si>
    <t>TRAVEL EXPENSES /MEALS</t>
  </si>
  <si>
    <t>TRAVEL EXPENSES / AIR</t>
  </si>
  <si>
    <t>LAB ANALYSIS / AIR</t>
  </si>
  <si>
    <t>SAMPLE SHIPMENTS</t>
  </si>
  <si>
    <t>BORINGS / MONITORING WELLS</t>
  </si>
  <si>
    <t>WASTE HAUL / TREAT / DISPOSE</t>
  </si>
  <si>
    <t>SURVEYING / INSPECTION</t>
  </si>
  <si>
    <t>OTHER TECHNICAL CONSULTANT</t>
  </si>
  <si>
    <t>MISC SUBCONTRACT SERVICES</t>
  </si>
  <si>
    <t>CONTRACT LABOR</t>
  </si>
  <si>
    <t>Reimbursible Expense Total</t>
  </si>
  <si>
    <t>OTHER SUPPLIES/PARTS</t>
  </si>
  <si>
    <t>Ref Name</t>
  </si>
  <si>
    <t>E1S</t>
  </si>
  <si>
    <t>E1R</t>
  </si>
  <si>
    <t>E1O</t>
  </si>
  <si>
    <t>E2R</t>
  </si>
  <si>
    <t>E2S</t>
  </si>
  <si>
    <t>E2O</t>
  </si>
  <si>
    <t>E3R</t>
  </si>
  <si>
    <t>E3S</t>
  </si>
  <si>
    <t>E3O</t>
  </si>
  <si>
    <t>E4R</t>
  </si>
  <si>
    <t>E4S</t>
  </si>
  <si>
    <t>E4O</t>
  </si>
  <si>
    <t>E5R</t>
  </si>
  <si>
    <t>E5S</t>
  </si>
  <si>
    <t>E5O</t>
  </si>
  <si>
    <t>E6R</t>
  </si>
  <si>
    <t>E6S</t>
  </si>
  <si>
    <t>E6O</t>
  </si>
  <si>
    <t>Type</t>
  </si>
  <si>
    <t>Lab Analysis List</t>
  </si>
  <si>
    <t>SED1</t>
  </si>
  <si>
    <t>SED2</t>
  </si>
  <si>
    <t>SED3</t>
  </si>
  <si>
    <t>SED4</t>
  </si>
  <si>
    <t>SED5</t>
  </si>
  <si>
    <t>SED6</t>
  </si>
  <si>
    <t>AIR1</t>
  </si>
  <si>
    <t>AIR2</t>
  </si>
  <si>
    <t>AIR3</t>
  </si>
  <si>
    <t>AIR4</t>
  </si>
  <si>
    <t>AIR5</t>
  </si>
  <si>
    <t>AIR6</t>
  </si>
  <si>
    <t>Elements</t>
  </si>
  <si>
    <t>SH</t>
  </si>
  <si>
    <t>Validation Table</t>
  </si>
  <si>
    <t>LabValidation</t>
  </si>
  <si>
    <t>AIR</t>
  </si>
  <si>
    <r>
      <t xml:space="preserve">ITEM DESCRIPTION
</t>
    </r>
    <r>
      <rPr>
        <b/>
        <sz val="8"/>
        <rFont val="Arial"/>
        <family val="2"/>
      </rPr>
      <t>Fill in shipping costs at bottom of page, if appropriate.</t>
    </r>
  </si>
  <si>
    <t>SupplyValidation</t>
  </si>
  <si>
    <t>O</t>
  </si>
  <si>
    <t>R1</t>
  </si>
  <si>
    <t>S1</t>
  </si>
  <si>
    <t>O1</t>
  </si>
  <si>
    <t>R2</t>
  </si>
  <si>
    <t>S2</t>
  </si>
  <si>
    <t>O2</t>
  </si>
  <si>
    <t>R3</t>
  </si>
  <si>
    <t>S3</t>
  </si>
  <si>
    <t>O3</t>
  </si>
  <si>
    <t>R4</t>
  </si>
  <si>
    <t>S4</t>
  </si>
  <si>
    <t>O4</t>
  </si>
  <si>
    <t>R5</t>
  </si>
  <si>
    <t>S5</t>
  </si>
  <si>
    <t>O5</t>
  </si>
  <si>
    <t>R6</t>
  </si>
  <si>
    <t>S6</t>
  </si>
  <si>
    <t>O6</t>
  </si>
  <si>
    <t>W/MARKUP</t>
  </si>
  <si>
    <t>ITEM</t>
  </si>
  <si>
    <t>Subcontractors List</t>
  </si>
  <si>
    <t>ContractorValidation</t>
  </si>
  <si>
    <t>B</t>
  </si>
  <si>
    <t>B1</t>
  </si>
  <si>
    <t>REM1</t>
  </si>
  <si>
    <t>GEN1</t>
  </si>
  <si>
    <t>W1</t>
  </si>
  <si>
    <t>SI1</t>
  </si>
  <si>
    <t>OTHER1</t>
  </si>
  <si>
    <t>M1</t>
  </si>
  <si>
    <t>C1</t>
  </si>
  <si>
    <t>B2</t>
  </si>
  <si>
    <t>REM2</t>
  </si>
  <si>
    <t>GEN2</t>
  </si>
  <si>
    <t>W2</t>
  </si>
  <si>
    <t>SI2</t>
  </si>
  <si>
    <t>OTHER2</t>
  </si>
  <si>
    <t>M2</t>
  </si>
  <si>
    <t>C2</t>
  </si>
  <si>
    <t>B3</t>
  </si>
  <si>
    <t>REM3</t>
  </si>
  <si>
    <t>GEN3</t>
  </si>
  <si>
    <t>W3</t>
  </si>
  <si>
    <t>SI3</t>
  </si>
  <si>
    <t>OTHER3</t>
  </si>
  <si>
    <t>M3</t>
  </si>
  <si>
    <t>C3</t>
  </si>
  <si>
    <t>B4</t>
  </si>
  <si>
    <t>REM4</t>
  </si>
  <si>
    <t>GEN4</t>
  </si>
  <si>
    <t>W4</t>
  </si>
  <si>
    <t>SI4</t>
  </si>
  <si>
    <t>OTHER4</t>
  </si>
  <si>
    <t>M4</t>
  </si>
  <si>
    <t>C4</t>
  </si>
  <si>
    <t>B5</t>
  </si>
  <si>
    <t>REM5</t>
  </si>
  <si>
    <t>GEN5</t>
  </si>
  <si>
    <t>W5</t>
  </si>
  <si>
    <t>SI5</t>
  </si>
  <si>
    <t>M5</t>
  </si>
  <si>
    <t>OTHER5</t>
  </si>
  <si>
    <t>C5</t>
  </si>
  <si>
    <t>B6</t>
  </si>
  <si>
    <t>REM6</t>
  </si>
  <si>
    <t>GEN6</t>
  </si>
  <si>
    <t>W6</t>
  </si>
  <si>
    <t>SI6</t>
  </si>
  <si>
    <t>OTHER6</t>
  </si>
  <si>
    <t>M6</t>
  </si>
  <si>
    <t>C6</t>
  </si>
  <si>
    <t>E1B</t>
  </si>
  <si>
    <t>E1REM</t>
  </si>
  <si>
    <t>E1GEN</t>
  </si>
  <si>
    <t>E1SI</t>
  </si>
  <si>
    <t>E1OTHER</t>
  </si>
  <si>
    <t>E1M</t>
  </si>
  <si>
    <t>E1C</t>
  </si>
  <si>
    <t>E2REM</t>
  </si>
  <si>
    <t>E2GEN</t>
  </si>
  <si>
    <t>E2SI</t>
  </si>
  <si>
    <t>E2OTHER</t>
  </si>
  <si>
    <t>E2M</t>
  </si>
  <si>
    <t>E2C</t>
  </si>
  <si>
    <t>E2B</t>
  </si>
  <si>
    <t>E3REM</t>
  </si>
  <si>
    <t>E3GEN</t>
  </si>
  <si>
    <t>E3SI</t>
  </si>
  <si>
    <t>E3OTHER</t>
  </si>
  <si>
    <t>E3M</t>
  </si>
  <si>
    <t>E3C</t>
  </si>
  <si>
    <t>E3B</t>
  </si>
  <si>
    <t>E4GEN</t>
  </si>
  <si>
    <t>E4SI</t>
  </si>
  <si>
    <t>E4OTHER</t>
  </si>
  <si>
    <t>E4M</t>
  </si>
  <si>
    <t>E4C</t>
  </si>
  <si>
    <t>E4B</t>
  </si>
  <si>
    <t>E4REM</t>
  </si>
  <si>
    <t>E5REM</t>
  </si>
  <si>
    <t>E5GEN</t>
  </si>
  <si>
    <t>E5SI</t>
  </si>
  <si>
    <t>E5OTHER</t>
  </si>
  <si>
    <t>E5M</t>
  </si>
  <si>
    <t>E5C</t>
  </si>
  <si>
    <t>E5B</t>
  </si>
  <si>
    <t>E6REM</t>
  </si>
  <si>
    <t>E6GEN</t>
  </si>
  <si>
    <t>E6SI</t>
  </si>
  <si>
    <t>E6OTHER</t>
  </si>
  <si>
    <t>E6M</t>
  </si>
  <si>
    <t>E6C</t>
  </si>
  <si>
    <t>E6B</t>
  </si>
  <si>
    <t>E1WH</t>
  </si>
  <si>
    <t>E2WH</t>
  </si>
  <si>
    <t>E3WH</t>
  </si>
  <si>
    <t>E4WH</t>
  </si>
  <si>
    <t>E5WH</t>
  </si>
  <si>
    <t>E6WH</t>
  </si>
  <si>
    <t>Total Hours per element</t>
  </si>
  <si>
    <t>Beginning hours</t>
  </si>
  <si>
    <t>Added hours</t>
  </si>
  <si>
    <t>External Lab Subtotal</t>
  </si>
  <si>
    <t>Internal Lab Subtotal</t>
  </si>
  <si>
    <t>SheetNames</t>
  </si>
  <si>
    <t>TabTitles</t>
  </si>
  <si>
    <t>Element 1</t>
  </si>
  <si>
    <t>Element 2</t>
  </si>
  <si>
    <t>Element 3</t>
  </si>
  <si>
    <t>Element 4</t>
  </si>
  <si>
    <t>Element 5</t>
  </si>
  <si>
    <t>Element 6</t>
  </si>
  <si>
    <t>EXPENSES</t>
  </si>
  <si>
    <t>Travel Charges</t>
  </si>
  <si>
    <t>IS1</t>
  </si>
  <si>
    <t>IS2</t>
  </si>
  <si>
    <t>IS3</t>
  </si>
  <si>
    <t>IS4</t>
  </si>
  <si>
    <t>IS5</t>
  </si>
  <si>
    <t>IS6</t>
  </si>
  <si>
    <t>IC1</t>
  </si>
  <si>
    <t>IC2</t>
  </si>
  <si>
    <t>IC3</t>
  </si>
  <si>
    <t>IC4</t>
  </si>
  <si>
    <t>IC5</t>
  </si>
  <si>
    <t>IC6</t>
  </si>
  <si>
    <t>Travel</t>
  </si>
  <si>
    <t>Lab</t>
  </si>
  <si>
    <t>Subs</t>
  </si>
  <si>
    <t>Procure</t>
  </si>
  <si>
    <t>Budget</t>
  </si>
  <si>
    <t>Tax override</t>
  </si>
  <si>
    <t>Y</t>
  </si>
  <si>
    <t>Fuel</t>
  </si>
  <si>
    <t>gallon</t>
  </si>
  <si>
    <t>Rental - Standard car (mid-size)</t>
  </si>
  <si>
    <t>Rental - Full size car</t>
  </si>
  <si>
    <t>Rental - Sport Utility</t>
  </si>
  <si>
    <t>SR CONSULTANT</t>
  </si>
  <si>
    <t>CONS/PM/TECH MGT II</t>
  </si>
  <si>
    <t>CONS/PM/TECH MGT I</t>
  </si>
  <si>
    <t>SR PROJECT TECH II</t>
  </si>
  <si>
    <t>SR PROJECT TECH I</t>
  </si>
  <si>
    <t>PROJECT TECH II</t>
  </si>
  <si>
    <t>PROJECT TECH I</t>
  </si>
  <si>
    <t>STAFF TECH II</t>
  </si>
  <si>
    <t>STAFF TECH I</t>
  </si>
  <si>
    <t>SNR TECHN/DESIGNER</t>
  </si>
  <si>
    <t>TECHNICIAN II</t>
  </si>
  <si>
    <t>TECHNICIAN I</t>
  </si>
  <si>
    <t>FIELD/O&amp;M TECH</t>
  </si>
  <si>
    <t>SENIOR PROJECT ADMIN</t>
  </si>
  <si>
    <t>ADMINISTRATION</t>
  </si>
  <si>
    <t>CONSULTANT MARK-UP</t>
  </si>
  <si>
    <t>EXPENSE MARK-UP</t>
  </si>
  <si>
    <t>COMM/SHIPPING FEE</t>
  </si>
  <si>
    <t>LABOR DISCOUNT</t>
  </si>
  <si>
    <t>Comm/Shipping</t>
  </si>
  <si>
    <t>Labor Discount</t>
  </si>
  <si>
    <t>Tolls/Parking/Other</t>
  </si>
  <si>
    <t>Rental - Van</t>
  </si>
  <si>
    <t>Rental - Truck</t>
  </si>
  <si>
    <r>
      <t>[</t>
    </r>
    <r>
      <rPr>
        <b/>
        <sz val="10"/>
        <rFont val="Arial"/>
        <family val="2"/>
      </rPr>
      <t xml:space="preserve">NOTE: </t>
    </r>
    <r>
      <rPr>
        <sz val="10"/>
        <rFont val="Arial"/>
        <family val="2"/>
      </rPr>
      <t xml:space="preserve"> </t>
    </r>
    <r>
      <rPr>
        <sz val="10"/>
        <color indexed="17"/>
        <rFont val="Arial"/>
        <family val="2"/>
      </rPr>
      <t>green text areas are for data entry,</t>
    </r>
    <r>
      <rPr>
        <sz val="10"/>
        <rFont val="Arial"/>
        <family val="2"/>
      </rPr>
      <t xml:space="preserve"> </t>
    </r>
    <r>
      <rPr>
        <sz val="10"/>
        <color indexed="12"/>
        <rFont val="Arial"/>
        <family val="2"/>
      </rPr>
      <t xml:space="preserve">blue text shows data coming from elsewhere in the workbook.
            </t>
    </r>
    <r>
      <rPr>
        <sz val="10"/>
        <color indexed="10"/>
        <rFont val="Arial"/>
        <family val="2"/>
      </rPr>
      <t xml:space="preserve"> </t>
    </r>
    <r>
      <rPr>
        <sz val="10"/>
        <rFont val="Arial"/>
        <family val="2"/>
      </rPr>
      <t xml:space="preserve">Formulas in black should not be modifed or deleted.  </t>
    </r>
    <r>
      <rPr>
        <sz val="10"/>
        <color indexed="10"/>
        <rFont val="Arial"/>
        <family val="2"/>
      </rPr>
      <t xml:space="preserve">Red text should </t>
    </r>
    <r>
      <rPr>
        <b/>
        <sz val="10"/>
        <color indexed="10"/>
        <rFont val="Arial"/>
        <family val="2"/>
      </rPr>
      <t>never</t>
    </r>
    <r>
      <rPr>
        <sz val="10"/>
        <color indexed="10"/>
        <rFont val="Arial"/>
        <family val="2"/>
      </rPr>
      <t xml:space="preserve"> be modified or deleted!]</t>
    </r>
  </si>
  <si>
    <t>DayWeekMonth</t>
  </si>
  <si>
    <t>Multiplier</t>
  </si>
  <si>
    <t>MULTIPLIER</t>
  </si>
  <si>
    <t xml:space="preserve">CONS/PM/TECH MGMT </t>
  </si>
  <si>
    <t>C, D</t>
  </si>
  <si>
    <t>Standard Titles Original</t>
  </si>
  <si>
    <t>TRC Labor</t>
  </si>
  <si>
    <t>TRC Expenses</t>
  </si>
  <si>
    <t>TRC Labor and Expenses</t>
  </si>
  <si>
    <t>Fleet SUV/Truck</t>
  </si>
  <si>
    <t>Fleet Car</t>
  </si>
  <si>
    <t>Mileage, Fleet vehicle</t>
  </si>
  <si>
    <t>NON-TRC EQUIPMENT RENTAL</t>
  </si>
  <si>
    <t xml:space="preserve">SOILS LAB </t>
  </si>
  <si>
    <t xml:space="preserve">APPLIED CHEM </t>
  </si>
  <si>
    <t>FLEET VEHICLE EXPENSE</t>
  </si>
  <si>
    <t>Password</t>
  </si>
  <si>
    <t>Project #</t>
  </si>
  <si>
    <t xml:space="preserve">Project # </t>
  </si>
  <si>
    <t xml:space="preserve">Kinder Morgan Titles </t>
  </si>
  <si>
    <t>Principal</t>
  </si>
  <si>
    <t xml:space="preserve">Lookup Table: Average Cost for ENV Standard Rates: </t>
  </si>
  <si>
    <t>Lookup Table for Env Standard Bil Rates</t>
  </si>
  <si>
    <t xml:space="preserve">Lookup Table Overhead Rates. </t>
  </si>
  <si>
    <t>Lookup Table Overhead Rates (see column WOS on Labor Input Tab)</t>
  </si>
  <si>
    <t>Practices</t>
  </si>
  <si>
    <t>AMS</t>
  </si>
  <si>
    <t>BSI</t>
  </si>
  <si>
    <t>EXS</t>
  </si>
  <si>
    <t>PPL</t>
  </si>
  <si>
    <t>EV AVG</t>
  </si>
  <si>
    <t>Overhead</t>
  </si>
  <si>
    <t>= Input Text</t>
  </si>
  <si>
    <t xml:space="preserve"> = Calculated Field</t>
  </si>
  <si>
    <t>ENVIRONMENTAL PROPOSAL APPROVAL MATRIX</t>
  </si>
  <si>
    <t>Proposal  Summary</t>
  </si>
  <si>
    <t>Contract Terms</t>
  </si>
  <si>
    <t>Approver</t>
  </si>
  <si>
    <t>$ Value</t>
  </si>
  <si>
    <t>Env. Std Labor Rates or &gt; used?</t>
  </si>
  <si>
    <t>ODC Markup 15% or &gt;</t>
  </si>
  <si>
    <t>Approval Required?</t>
  </si>
  <si>
    <t>Approver Signature</t>
  </si>
  <si>
    <t>Prepared By:</t>
  </si>
  <si>
    <t>Fixed</t>
  </si>
  <si>
    <t>Client Pay Terms:</t>
  </si>
  <si>
    <t>Net 30</t>
  </si>
  <si>
    <t>PM</t>
  </si>
  <si>
    <t>to</t>
  </si>
  <si>
    <t>Yes</t>
  </si>
  <si>
    <t>Date:</t>
  </si>
  <si>
    <t>MSA:</t>
  </si>
  <si>
    <t>No</t>
  </si>
  <si>
    <t xml:space="preserve">Vendor Pay Terms: </t>
  </si>
  <si>
    <t>PwP</t>
  </si>
  <si>
    <t>Office PL</t>
  </si>
  <si>
    <t>Client:</t>
  </si>
  <si>
    <t>TRC Standard Contract Terms:</t>
  </si>
  <si>
    <t>Client Retainage:</t>
  </si>
  <si>
    <t>Group PL</t>
  </si>
  <si>
    <t>Project Name:</t>
  </si>
  <si>
    <t>Liquidated Damages:</t>
  </si>
  <si>
    <t>Vendor Retainage:</t>
  </si>
  <si>
    <t>Nat. or Deputy PL</t>
  </si>
  <si>
    <t>Project or Proposal #:</t>
  </si>
  <si>
    <t>Warranty:</t>
  </si>
  <si>
    <t xml:space="preserve">First Time Client: </t>
  </si>
  <si>
    <t>Sector Director</t>
  </si>
  <si>
    <t>Location:</t>
  </si>
  <si>
    <t>Windsor, CT</t>
  </si>
  <si>
    <t>Bond or Letter of Credit Required:</t>
  </si>
  <si>
    <t xml:space="preserve">Positive Pay History: </t>
  </si>
  <si>
    <t xml:space="preserve">CFO </t>
  </si>
  <si>
    <t>Practice</t>
  </si>
  <si>
    <t>Firm Bids Recv'd from Subcontractors:</t>
  </si>
  <si>
    <t xml:space="preserve">Is Client an LLC: </t>
  </si>
  <si>
    <t>CEO</t>
  </si>
  <si>
    <t>&gt; </t>
  </si>
  <si>
    <t>Fixed Price Profitability</t>
  </si>
  <si>
    <t>T&amp;M Profitability</t>
  </si>
  <si>
    <t>If this is a Fixed Price project, enter the fixed price contract value below</t>
  </si>
  <si>
    <t>Contract Value</t>
  </si>
  <si>
    <t>ODC Costs</t>
  </si>
  <si>
    <t>NSR</t>
  </si>
  <si>
    <t>Direct Labor</t>
  </si>
  <si>
    <t>Profit Before Overhead</t>
  </si>
  <si>
    <t>Profit</t>
  </si>
  <si>
    <t>Multiplier/Markup</t>
  </si>
  <si>
    <t xml:space="preserve">Gross Profit b/f OH </t>
  </si>
  <si>
    <t xml:space="preserve">NSR Profit b/f OH </t>
  </si>
  <si>
    <t>[42]</t>
  </si>
  <si>
    <t>Gross Profit Margin</t>
  </si>
  <si>
    <t>NSR Profit Margin</t>
  </si>
  <si>
    <t>Communication Fee</t>
  </si>
  <si>
    <t>Labor  Contingency</t>
  </si>
  <si>
    <t>Procure. Contingency</t>
  </si>
  <si>
    <t>Lab Contingency.</t>
  </si>
  <si>
    <t>Sub. Contingency</t>
  </si>
  <si>
    <t>TRC             Labor</t>
  </si>
  <si>
    <t>Supplies / Expendables</t>
  </si>
  <si>
    <t>Procurement of Equipment</t>
  </si>
  <si>
    <t xml:space="preserve">Laboratory </t>
  </si>
  <si>
    <t>Subcontractor(s)</t>
  </si>
  <si>
    <t>Bonding or Letter of Credit</t>
  </si>
  <si>
    <t>(Input % of labor)</t>
  </si>
  <si>
    <t>(Input % of Equip.)</t>
  </si>
  <si>
    <t>(Input % of Procure)</t>
  </si>
  <si>
    <t>(Input % of Labs)</t>
  </si>
  <si>
    <t>(Input % of Subs)</t>
  </si>
  <si>
    <t>Rental Equip/ Cost Recovery</t>
  </si>
  <si>
    <t>Travel/Exp/
Rental Equip Contingency</t>
  </si>
  <si>
    <t xml:space="preserve">1.0 </t>
  </si>
  <si>
    <t>PURPOSE</t>
  </si>
  <si>
    <t xml:space="preserve">2.0 </t>
  </si>
  <si>
    <t>POLICY - Environmental Sector</t>
  </si>
  <si>
    <t>Final Review and Approval</t>
  </si>
  <si>
    <t>Project Manager</t>
  </si>
  <si>
    <t xml:space="preserve">$              -   </t>
  </si>
  <si>
    <t>$        25,000</t>
  </si>
  <si>
    <t>Office Practice Leader</t>
  </si>
  <si>
    <t>$        25,001</t>
  </si>
  <si>
    <r>
      <t>$      250</t>
    </r>
    <r>
      <rPr>
        <sz val="14"/>
        <color rgb="FF000000"/>
        <rFont val="Cambria"/>
        <family val="1"/>
        <scheme val="major"/>
      </rPr>
      <t>,000</t>
    </r>
  </si>
  <si>
    <r>
      <t>$      25</t>
    </r>
    <r>
      <rPr>
        <sz val="14"/>
        <rFont val="Cambria"/>
        <family val="1"/>
        <scheme val="major"/>
      </rPr>
      <t>0</t>
    </r>
    <r>
      <rPr>
        <sz val="14"/>
        <color rgb="FF000000"/>
        <rFont val="Cambria"/>
        <family val="1"/>
        <scheme val="major"/>
      </rPr>
      <t>,001</t>
    </r>
  </si>
  <si>
    <r>
      <t>$      500</t>
    </r>
    <r>
      <rPr>
        <sz val="14"/>
        <color rgb="FF000000"/>
        <rFont val="Cambria"/>
        <family val="1"/>
        <scheme val="major"/>
      </rPr>
      <t>,000</t>
    </r>
  </si>
  <si>
    <t>National Practice Leader or Deputy Practice Leader</t>
  </si>
  <si>
    <t>$      500,001</t>
  </si>
  <si>
    <t>$   1,000,001</t>
  </si>
  <si>
    <t>$   5,000,001</t>
  </si>
  <si>
    <t>2.1</t>
  </si>
  <si>
    <t>POLICY - Other Sectors</t>
  </si>
  <si>
    <t>3.0</t>
  </si>
  <si>
    <t>PROCEDURE - Overall</t>
  </si>
  <si>
    <t>http://trcnet.trcsolutions.com/LOB/Environmental/Pages/default.aspx</t>
  </si>
  <si>
    <t>3.1</t>
  </si>
  <si>
    <t>3.2</t>
  </si>
  <si>
    <t>4.0</t>
  </si>
  <si>
    <t>ADDITIONAL HELP / COMMENTS</t>
  </si>
  <si>
    <t>KCS</t>
  </si>
  <si>
    <t xml:space="preserve">Data input required on this sheet includes Project Name, Number, etc. </t>
  </si>
  <si>
    <t>All information on this sheet is imported from elsewhere in the workbook.  No user inputs are required on this page.</t>
  </si>
  <si>
    <t xml:space="preserve">A contingency can be added on this sheet by checking the box below the tabular summary and inputting a desired contingency percentage for the category of interest.  </t>
  </si>
  <si>
    <t xml:space="preserve">Input activites by line item and include hours by staff category.  Initials for targeted staff can be included on these sheets.  </t>
  </si>
  <si>
    <t>PROCEDURE - Profitability Summary</t>
  </si>
  <si>
    <r>
      <rPr>
        <b/>
        <sz val="14"/>
        <rFont val="Cambria"/>
        <family val="1"/>
        <scheme val="major"/>
      </rPr>
      <t xml:space="preserve">Generally  </t>
    </r>
    <r>
      <rPr>
        <sz val="14"/>
        <rFont val="Cambria"/>
        <family val="1"/>
        <scheme val="major"/>
      </rPr>
      <t xml:space="preserve">- </t>
    </r>
    <r>
      <rPr>
        <b/>
        <sz val="14"/>
        <color rgb="FF008000"/>
        <rFont val="Cambria"/>
        <family val="1"/>
        <scheme val="major"/>
      </rPr>
      <t>Green Text/Cells are for data entry</t>
    </r>
    <r>
      <rPr>
        <b/>
        <sz val="14"/>
        <rFont val="Cambria"/>
        <family val="1"/>
        <scheme val="major"/>
      </rPr>
      <t xml:space="preserve">, </t>
    </r>
    <r>
      <rPr>
        <b/>
        <sz val="14"/>
        <color rgb="FF0000FF"/>
        <rFont val="Cambria"/>
        <family val="1"/>
        <scheme val="major"/>
      </rPr>
      <t>blue Text/Cells shows data coming from elsewhere in the workbook and should not be modified or deleted</t>
    </r>
    <r>
      <rPr>
        <b/>
        <sz val="14"/>
        <rFont val="Cambria"/>
        <family val="1"/>
        <scheme val="major"/>
      </rPr>
      <t xml:space="preserve">, formulas in black should not be modifed or deleted,  </t>
    </r>
    <r>
      <rPr>
        <b/>
        <sz val="14"/>
        <color rgb="FFFF0000"/>
        <rFont val="Cambria"/>
        <family val="1"/>
        <scheme val="major"/>
      </rPr>
      <t>Red Text/Cells should never be modified or deleted!</t>
    </r>
  </si>
  <si>
    <t>Make sure to Adjust Summary Page formulas if these number change</t>
  </si>
  <si>
    <t>Contract Terms (con't)</t>
  </si>
  <si>
    <t>Cash Flow</t>
  </si>
  <si>
    <t>Other Comments</t>
  </si>
  <si>
    <t>Fixed, T&amp;M, Cost Plus, Unit or Hybrid:</t>
  </si>
  <si>
    <t>Volume Discount:</t>
  </si>
  <si>
    <t>Complex Project:</t>
  </si>
  <si>
    <t>Confidential Client:</t>
  </si>
  <si>
    <t xml:space="preserve">Currency: </t>
  </si>
  <si>
    <t>US Dollars</t>
  </si>
  <si>
    <t xml:space="preserve">Foreign Law Compliance: </t>
  </si>
  <si>
    <t>US Jurisdiction</t>
  </si>
  <si>
    <t>Multiple TRC Practices</t>
  </si>
  <si>
    <t xml:space="preserve">PROCEDURE - Approval Signatures </t>
  </si>
  <si>
    <t xml:space="preserve">Required approval signatures will be indicated in the summary at the top of the sheet.  To access the enbedded Signature Form, select "Review" from the menu, select "Unprotect Sheet".  Double-click in the Box Below to bring up Signature Form.  Add Adobe signatures.  The embedded Signature Form will be saved as the file is saved.  </t>
  </si>
  <si>
    <t>Contract-mandated Rate Considerations:</t>
  </si>
  <si>
    <t xml:space="preserve"> - </t>
  </si>
  <si>
    <t>SOLID</t>
  </si>
  <si>
    <t>Sub Markup</t>
  </si>
  <si>
    <t xml:space="preserve">Expense Markup </t>
  </si>
  <si>
    <t xml:space="preserve">Travel Markup </t>
  </si>
  <si>
    <t>Travel Markup OK?</t>
  </si>
  <si>
    <t>Practice Average OH Rate</t>
  </si>
  <si>
    <t>Project Profitability Goal</t>
  </si>
  <si>
    <t>ECR</t>
  </si>
  <si>
    <t>User-applied Values</t>
  </si>
  <si>
    <t xml:space="preserve">Select EV Standard Rate Code </t>
  </si>
  <si>
    <t>Select EV Practice</t>
  </si>
  <si>
    <t>Select Staff Type (FT, PT, Contract)</t>
  </si>
  <si>
    <t>If no Practice Selected</t>
  </si>
  <si>
    <t>EV Avg</t>
  </si>
  <si>
    <t>FT &gt;30H</t>
  </si>
  <si>
    <t>PT &gt;20H</t>
  </si>
  <si>
    <t>PT &lt;19H</t>
  </si>
  <si>
    <t>Contract</t>
  </si>
  <si>
    <t>E7</t>
  </si>
  <si>
    <t>E8</t>
  </si>
  <si>
    <t>E9</t>
  </si>
  <si>
    <t>E10</t>
  </si>
  <si>
    <t>SED7</t>
  </si>
  <si>
    <t>SED8</t>
  </si>
  <si>
    <t>SED9</t>
  </si>
  <si>
    <t>SED10</t>
  </si>
  <si>
    <t>AIR7</t>
  </si>
  <si>
    <t>AIR8</t>
  </si>
  <si>
    <t>AIR9</t>
  </si>
  <si>
    <t>AIR10</t>
  </si>
  <si>
    <t>IS7</t>
  </si>
  <si>
    <t>IS8</t>
  </si>
  <si>
    <t>IS9</t>
  </si>
  <si>
    <t>IS10</t>
  </si>
  <si>
    <t>IC7</t>
  </si>
  <si>
    <t>IC8</t>
  </si>
  <si>
    <t>IC9</t>
  </si>
  <si>
    <t>IC10</t>
  </si>
  <si>
    <t>E10B</t>
  </si>
  <si>
    <t>E10REM</t>
  </si>
  <si>
    <t>E10GEN</t>
  </si>
  <si>
    <t>E10WH</t>
  </si>
  <si>
    <t>E10SI</t>
  </si>
  <si>
    <t>E10OTHER</t>
  </si>
  <si>
    <t>E10M</t>
  </si>
  <si>
    <t>E10C</t>
  </si>
  <si>
    <t>E9B</t>
  </si>
  <si>
    <t>E9REM</t>
  </si>
  <si>
    <t>E9GEN</t>
  </si>
  <si>
    <t>E9WH</t>
  </si>
  <si>
    <t>E9SI</t>
  </si>
  <si>
    <t>E9OTHER</t>
  </si>
  <si>
    <t>E9M</t>
  </si>
  <si>
    <t>E9C</t>
  </si>
  <si>
    <t>E8B</t>
  </si>
  <si>
    <t>E8REM</t>
  </si>
  <si>
    <t>E8GEN</t>
  </si>
  <si>
    <t>E8WH</t>
  </si>
  <si>
    <t>E8SI</t>
  </si>
  <si>
    <t>E8OTHER</t>
  </si>
  <si>
    <t>E8M</t>
  </si>
  <si>
    <t>E8C</t>
  </si>
  <si>
    <t>E7B</t>
  </si>
  <si>
    <t>E7REM</t>
  </si>
  <si>
    <t>E7GEN</t>
  </si>
  <si>
    <t>E7WH</t>
  </si>
  <si>
    <t>E7SI</t>
  </si>
  <si>
    <t>E7OTHER</t>
  </si>
  <si>
    <t>E7M</t>
  </si>
  <si>
    <t>E7C</t>
  </si>
  <si>
    <t>B7</t>
  </si>
  <si>
    <t>REM7</t>
  </si>
  <si>
    <t>GEN7</t>
  </si>
  <si>
    <t>W7</t>
  </si>
  <si>
    <t>SI7</t>
  </si>
  <si>
    <t>OTHER7</t>
  </si>
  <si>
    <t>M7</t>
  </si>
  <si>
    <t>C7</t>
  </si>
  <si>
    <t>B8</t>
  </si>
  <si>
    <t>REM8</t>
  </si>
  <si>
    <t>GEN8</t>
  </si>
  <si>
    <t>W8</t>
  </si>
  <si>
    <t>SI8</t>
  </si>
  <si>
    <t>OTHER8</t>
  </si>
  <si>
    <t>M8</t>
  </si>
  <si>
    <t>C8</t>
  </si>
  <si>
    <t>B9</t>
  </si>
  <si>
    <t>REM9</t>
  </si>
  <si>
    <t>GEN9</t>
  </si>
  <si>
    <t>W9</t>
  </si>
  <si>
    <t>SI9</t>
  </si>
  <si>
    <t>OTHER9</t>
  </si>
  <si>
    <t>M9</t>
  </si>
  <si>
    <t>C9</t>
  </si>
  <si>
    <t>B10</t>
  </si>
  <si>
    <t>REM10</t>
  </si>
  <si>
    <t>GEN10</t>
  </si>
  <si>
    <t>W10</t>
  </si>
  <si>
    <t>SI10</t>
  </si>
  <si>
    <t>OTHER10</t>
  </si>
  <si>
    <t>M10</t>
  </si>
  <si>
    <t>C10</t>
  </si>
  <si>
    <t>Element 10:</t>
  </si>
  <si>
    <t>Element 9:</t>
  </si>
  <si>
    <t>Element 8:</t>
  </si>
  <si>
    <t>Element 7:</t>
  </si>
  <si>
    <t>E7R</t>
  </si>
  <si>
    <t>E7S</t>
  </si>
  <si>
    <t>E7O</t>
  </si>
  <si>
    <t>E8R</t>
  </si>
  <si>
    <t>E8S</t>
  </si>
  <si>
    <t>E8O</t>
  </si>
  <si>
    <t>E9R</t>
  </si>
  <si>
    <t>E9S</t>
  </si>
  <si>
    <t>E9O</t>
  </si>
  <si>
    <t>E10R</t>
  </si>
  <si>
    <t>E10S</t>
  </si>
  <si>
    <t>E10O</t>
  </si>
  <si>
    <t>R7</t>
  </si>
  <si>
    <t>S7</t>
  </si>
  <si>
    <t>O7</t>
  </si>
  <si>
    <t>R8</t>
  </si>
  <si>
    <t>S8</t>
  </si>
  <si>
    <t>O8</t>
  </si>
  <si>
    <t>R9</t>
  </si>
  <si>
    <t>S9</t>
  </si>
  <si>
    <t>O9</t>
  </si>
  <si>
    <t>R10</t>
  </si>
  <si>
    <t>S10</t>
  </si>
  <si>
    <t>O10</t>
  </si>
  <si>
    <t>Element 7</t>
  </si>
  <si>
    <t>Element 8</t>
  </si>
  <si>
    <t>Element 9</t>
  </si>
  <si>
    <t>Element 10</t>
  </si>
  <si>
    <t xml:space="preserve">OH Column Reference </t>
  </si>
  <si>
    <t>Standard Rate Column Reference</t>
  </si>
  <si>
    <t>Vlookup Average Cost  Formula Assist</t>
  </si>
  <si>
    <t>Practice/Staff Type OH Rate</t>
  </si>
  <si>
    <t>Avg Direct Rate by Practice</t>
  </si>
  <si>
    <t xml:space="preserve">Direct Labor </t>
  </si>
  <si>
    <t>Enter Actual Direct Rate (if preferred)</t>
  </si>
  <si>
    <t>Labor Multiplier</t>
  </si>
  <si>
    <t>Labor Profit Margin (%)</t>
  </si>
  <si>
    <t>Labor Profit</t>
  </si>
  <si>
    <t>Phase</t>
  </si>
  <si>
    <t>Phase1</t>
  </si>
  <si>
    <t>Phase2</t>
  </si>
  <si>
    <t>Phase3</t>
  </si>
  <si>
    <t>Phase4</t>
  </si>
  <si>
    <t>Phase5</t>
  </si>
  <si>
    <t>Phase6</t>
  </si>
  <si>
    <t>Phase7</t>
  </si>
  <si>
    <t>Phase8</t>
  </si>
  <si>
    <t>Phase9</t>
  </si>
  <si>
    <t>Phase10</t>
  </si>
  <si>
    <t xml:space="preserve">Phase </t>
  </si>
  <si>
    <t>Direct Labor by Category</t>
  </si>
  <si>
    <t>Overhead by Category</t>
  </si>
  <si>
    <t>All Elements - Direct Labor by Category</t>
  </si>
  <si>
    <t>All Elements - Overhead by Category</t>
  </si>
  <si>
    <t>Total DL</t>
  </si>
  <si>
    <t>Total OH</t>
  </si>
  <si>
    <t xml:space="preserve">Category </t>
  </si>
  <si>
    <t>Profit Margin</t>
  </si>
  <si>
    <t>Multiplier %</t>
  </si>
  <si>
    <t>Discounted 
Rate **</t>
  </si>
  <si>
    <t xml:space="preserve">Labor </t>
  </si>
  <si>
    <t>Labor</t>
  </si>
  <si>
    <t>Click on Review Tab Above and Select Unprotect Sheet in the Ribbon, Then</t>
  </si>
  <si>
    <t xml:space="preserve">Select Travel items associated with each Project "Phase".   </t>
  </si>
  <si>
    <t>PROCEDURE - Project Phase Tabs 1 thru 10</t>
  </si>
  <si>
    <r>
      <t xml:space="preserve">This budget|profitability estimator includes the legacy budget estimator in conjunction with elements of the EV Sector Proposal Profitability Worksheet (PPW).  In addition to developing pricing for projects, is designed to help determine the revenue, cost and margin of a proposal (or existing project) in order to provide a uniform procedure for evaluating profitability.  </t>
    </r>
    <r>
      <rPr>
        <b/>
        <sz val="14"/>
        <color rgb="FFFF0000"/>
        <rFont val="Cambria"/>
        <family val="1"/>
        <scheme val="major"/>
      </rPr>
      <t xml:space="preserve">This estimator contains pricing information for a number of client contacts and direct cost information and should never be distributed outside of TRC.  </t>
    </r>
  </si>
  <si>
    <r>
      <t xml:space="preserve">B. </t>
    </r>
    <r>
      <rPr>
        <u/>
        <sz val="14"/>
        <rFont val="Cambria"/>
        <family val="1"/>
        <scheme val="major"/>
      </rPr>
      <t>Proposal using discounted EV Std Rates</t>
    </r>
    <r>
      <rPr>
        <sz val="14"/>
        <rFont val="Cambria"/>
        <family val="1"/>
        <scheme val="major"/>
      </rPr>
      <t xml:space="preserve">: Proposals that plan to use labor billing rates or ODC mark-up(s) that are lower than Environmental (EV) Sector Standard Rates, shall first be submitted to the designated approver based on the approval matrix below and shall be accompanied by: (1) this estimator which determines the profitability of the proposal (or another worksheet that calculates profitability in substantially  the same manner); and (2) an explanation and justification establishing why the request is warranted and appropriate. </t>
    </r>
  </si>
  <si>
    <r>
      <rPr>
        <u/>
        <sz val="14"/>
        <rFont val="Cambria"/>
        <family val="1"/>
        <scheme val="major"/>
      </rPr>
      <t>Small Project Exemption</t>
    </r>
    <r>
      <rPr>
        <sz val="14"/>
        <rFont val="Cambria"/>
        <family val="1"/>
        <scheme val="major"/>
      </rPr>
      <t xml:space="preserve">: Small Projects and certain task orders on existing Master Service Agreements should require less administration than larger, more complex projects. Moreover, billing rates and associated profit margins are often standardized for such smaller projects. For this reason, proposals less than $25,000 or routine task orders under an existing MSA less than $25,000, do not require this Budget|Profitability Estimator or the Approval authority required in the above matrix. </t>
    </r>
  </si>
  <si>
    <t>This Budget|Profitability Estimator is not required for the Energy or Infrastructure sectors, however, determining the profitability of a proposal is generally good business practice.</t>
  </si>
  <si>
    <t xml:space="preserve">The profitability portion of this estimator will be updated consistent with the stand-alone PPW (each fiscal quarter to update overhead rates, or more frequently as comments are received). The last revision date is provided in the upper right  portion of this page.  The most recent version of the stand-alone PPW can be found on the Environmental Sector TRCNET site, which can be accessed by clicking the below link:  
</t>
  </si>
  <si>
    <t xml:space="preserve">Users should always start with a new version of this Budget|Profitability Estimator from the TRCNET or network-based template to ensure that most recent rates and other updates are reflected in project estimates.  </t>
  </si>
  <si>
    <t xml:space="preserve">This Budget|Profitability Estimator contains Macros and should always be saved as an .xslm file.  </t>
  </si>
  <si>
    <t xml:space="preserve"> = Input Number if Fixed Price</t>
  </si>
  <si>
    <r>
      <rPr>
        <u/>
        <sz val="14"/>
        <rFont val="Cambria"/>
        <family val="1"/>
        <scheme val="major"/>
      </rPr>
      <t>Which Cells Require Input</t>
    </r>
    <r>
      <rPr>
        <sz val="14"/>
        <rFont val="Cambria"/>
        <family val="1"/>
        <scheme val="major"/>
      </rPr>
      <t xml:space="preserve">: Green shaded cells are for data entry. All other cells should not be changed as they are either calculated cells or pulling information from other parts of the worksheet. </t>
    </r>
  </si>
  <si>
    <t>Multipler-based Rate (EV Average)</t>
  </si>
  <si>
    <t>Multipler-based Rate (PPL)</t>
  </si>
  <si>
    <t>Multipler-based Rate (ECR)</t>
  </si>
  <si>
    <t>Multipler-based Rate (BSI)</t>
  </si>
  <si>
    <t>TOTAL
($)</t>
  </si>
  <si>
    <t>CUMULATIVE
TOTAL</t>
  </si>
  <si>
    <t>Billing Rate</t>
  </si>
  <si>
    <t>Billing Rate 
Override</t>
  </si>
  <si>
    <t xml:space="preserve">Cells within the Budget|Profitability Estimator that are not meant for data input are locked. </t>
  </si>
  <si>
    <t>3.6</t>
  </si>
  <si>
    <t>3.7</t>
  </si>
  <si>
    <t>T&amp;M</t>
  </si>
  <si>
    <t>Cost Plus</t>
  </si>
  <si>
    <t>Hybrid</t>
  </si>
  <si>
    <t>PWP</t>
  </si>
  <si>
    <t>Net 45</t>
  </si>
  <si>
    <t>Net 60</t>
  </si>
  <si>
    <t>Net 75</t>
  </si>
  <si>
    <t>Net 90</t>
  </si>
  <si>
    <t>&gt;Net 90</t>
  </si>
  <si>
    <r>
      <rPr>
        <b/>
        <sz val="14"/>
        <rFont val="Cambria"/>
        <family val="1"/>
        <scheme val="major"/>
      </rPr>
      <t>[Row 12]</t>
    </r>
    <r>
      <rPr>
        <sz val="14"/>
        <rFont val="Cambria"/>
        <family val="1"/>
        <scheme val="major"/>
      </rPr>
      <t xml:space="preserve"> - Average Direct Rate for the selected Practice by Category  - No User Input Needed, populates based on other values.</t>
    </r>
  </si>
  <si>
    <r>
      <rPr>
        <b/>
        <sz val="14"/>
        <rFont val="Cambria"/>
        <family val="1"/>
        <scheme val="major"/>
      </rPr>
      <t xml:space="preserve">[Row 13] </t>
    </r>
    <r>
      <rPr>
        <sz val="14"/>
        <rFont val="Cambria"/>
        <family val="1"/>
        <scheme val="major"/>
      </rPr>
      <t>- Labor Multiplier  -  No User Input Needed, populates based on other values.</t>
    </r>
  </si>
  <si>
    <r>
      <rPr>
        <b/>
        <sz val="14"/>
        <rFont val="Cambria"/>
        <family val="1"/>
        <scheme val="major"/>
      </rPr>
      <t>[Row 14]</t>
    </r>
    <r>
      <rPr>
        <sz val="14"/>
        <rFont val="Cambria"/>
        <family val="1"/>
        <scheme val="major"/>
      </rPr>
      <t xml:space="preserve"> - Labor Profit Margin % -  No User Input Needed, populates based on other values.</t>
    </r>
  </si>
  <si>
    <t xml:space="preserve">There are new pull down menus for each Data entry column that allows for 
</t>
  </si>
  <si>
    <r>
      <rPr>
        <u/>
        <sz val="14"/>
        <rFont val="Cambria"/>
        <family val="1"/>
        <scheme val="major"/>
      </rPr>
      <t>What does this sheet tell me</t>
    </r>
    <r>
      <rPr>
        <sz val="14"/>
        <rFont val="Cambria"/>
        <family val="1"/>
        <scheme val="major"/>
      </rPr>
      <t xml:space="preserve">: The Profitability Summary tab will calculate the overall profitably of the proposal based on the data entered.  In particular, the </t>
    </r>
    <r>
      <rPr>
        <b/>
        <sz val="14"/>
        <rFont val="Cambria"/>
        <family val="1"/>
        <scheme val="major"/>
      </rPr>
      <t>Project Profitability 
Goal %</t>
    </r>
    <r>
      <rPr>
        <sz val="14"/>
        <rFont val="Cambria"/>
        <family val="1"/>
        <scheme val="major"/>
      </rPr>
      <t xml:space="preserve"> (cell </t>
    </r>
    <r>
      <rPr>
        <b/>
        <sz val="14"/>
        <rFont val="Cambria"/>
        <family val="1"/>
        <scheme val="major"/>
      </rPr>
      <t>E36 for Fixed Price</t>
    </r>
    <r>
      <rPr>
        <sz val="14"/>
        <rFont val="Cambria"/>
        <family val="1"/>
        <scheme val="major"/>
      </rPr>
      <t xml:space="preserve"> Projects and </t>
    </r>
    <r>
      <rPr>
        <b/>
        <sz val="14"/>
        <rFont val="Cambria"/>
        <family val="1"/>
        <scheme val="major"/>
      </rPr>
      <t xml:space="preserve"> F36 for T&amp;M </t>
    </r>
    <r>
      <rPr>
        <sz val="14"/>
        <rFont val="Cambria"/>
        <family val="1"/>
        <scheme val="major"/>
      </rPr>
      <t xml:space="preserve">projects) should be used to see whether the proposal meets the profit margin goals of your Practice and enter into Vision. </t>
    </r>
  </si>
  <si>
    <t xml:space="preserve">The updated Budget|Profitability Estimator includes an option for relying on Mulitplier-based Rates.  Select a Multipler-based Rate option from the Rate Pulldown Menu and then enter the project multiplier in cell E32.  </t>
  </si>
  <si>
    <t>$   1,000,000</t>
  </si>
  <si>
    <t>$   5,000,000</t>
  </si>
  <si>
    <t>RYCRO</t>
  </si>
  <si>
    <t xml:space="preserve">If you enter a quantity, you must also enter a phase number on the same row.  </t>
  </si>
  <si>
    <t>If you enter a quantity, you must also enter a phase number on the same row.  For TYPE, enter B for Borings/Monitoring Wells, R for Remediation, G for General Construction, W for Waste Haul/Treat/Dispose, S forSurveying/Inspection, O for Other Technical Consultant, M for Miscellaneous, or C for Contract Labor.</t>
  </si>
  <si>
    <t>If you enter a quantity, you must also enter a phase number on the same row.  For TYPE, enter an R for rented equipment, S for purchased supplies, and O for anything else.</t>
  </si>
  <si>
    <r>
      <rPr>
        <b/>
        <sz val="14"/>
        <rFont val="Cambria"/>
        <family val="1"/>
        <scheme val="major"/>
      </rPr>
      <t>[Row 8]</t>
    </r>
    <r>
      <rPr>
        <sz val="14"/>
        <rFont val="Cambria"/>
        <family val="1"/>
        <scheme val="major"/>
      </rPr>
      <t xml:space="preserve"> -Practice of the employee; the template will default to EV Average.  Please select the Practice of the employee represented in the column.  This selection will populate
   an average direct rate on Row 12 for the practice/category combination selected. </t>
    </r>
  </si>
  <si>
    <r>
      <rPr>
        <b/>
        <sz val="14"/>
        <rFont val="Cambria"/>
        <family val="1"/>
        <scheme val="major"/>
      </rPr>
      <t>[Row 9]</t>
    </r>
    <r>
      <rPr>
        <sz val="14"/>
        <rFont val="Cambria"/>
        <family val="1"/>
        <scheme val="major"/>
      </rPr>
      <t xml:space="preserve"> - Type of Employee (Full Time, Part-Time or Contract); the template will default to Full Time &gt;30 Hours per week.  Alternative employee types include 
   Part-Time &gt;20H, PT &lt;19H, and Contract.  This information along with the Practice selection is used to assign the Overhead rate for the Labor Profit Margin on Row 14 and the 
   overall Profitability.    </t>
    </r>
  </si>
  <si>
    <r>
      <rPr>
        <b/>
        <sz val="14"/>
        <rFont val="Cambria"/>
        <family val="1"/>
        <scheme val="major"/>
      </rPr>
      <t>[Row 11]</t>
    </r>
    <r>
      <rPr>
        <sz val="14"/>
        <rFont val="Cambria"/>
        <family val="1"/>
        <scheme val="major"/>
      </rPr>
      <t xml:space="preserve"> - As needed for detailed evaluation of Profitability Office Practice Leaders (OPLs) and Leaders (ULs) can enter the labor direct rates of individual staff in Row 11. 
  If a specific rate is provided in Row 11 it will be used in the profit calculations, otherwise the Average Direct Rate for the selected Practice by Category [Row 12] will be used.</t>
    </r>
  </si>
  <si>
    <t>TRAVEL COSTS</t>
  </si>
  <si>
    <t>Comm Fee</t>
  </si>
  <si>
    <t>Procurement</t>
  </si>
  <si>
    <t>Labs</t>
  </si>
  <si>
    <t>Budget Summary Sheet</t>
  </si>
  <si>
    <t>TRC</t>
  </si>
  <si>
    <t xml:space="preserve">Contingency percentages pulled from Budget Summary page </t>
  </si>
  <si>
    <t>From Input page</t>
  </si>
  <si>
    <t>Project Info/Rate Input Sheet</t>
  </si>
  <si>
    <t>Billing Rate with any Contract Labor Discount</t>
  </si>
  <si>
    <t>Labor Subtotal</t>
  </si>
  <si>
    <t xml:space="preserve">Communication Fee </t>
  </si>
  <si>
    <t>Labor|CommFee Total</t>
  </si>
  <si>
    <t>PROCEDURE - Input Tab</t>
  </si>
  <si>
    <t>3.3</t>
  </si>
  <si>
    <t>3.8</t>
  </si>
  <si>
    <t xml:space="preserve">A column [M5:32] has been added to the Input Tab to allow for Billing Rate Overrides.  The User can specify a rate for a category that is different from the base rate schedule being used.  The rate entered in this column will be modified by the selected Comm Fee and relied upon throught the budget/profitability estimator. </t>
  </si>
  <si>
    <t>PROCEDURE - Budget Summary</t>
  </si>
  <si>
    <t>PROCEDURE - Budget Detail</t>
  </si>
  <si>
    <t xml:space="preserve">All information on this sheet is imported from elsewhere in the workbook.  The table summarizes project pricing by general category - TRC Labor and Expenses, Laboratory, Subcontractors, etc.  </t>
  </si>
  <si>
    <t>The "Include in Total" check boxes allow you to evalate the influence of optional Elements on your budget.</t>
  </si>
  <si>
    <t>TRC Communications Fee</t>
  </si>
  <si>
    <t>NOTES:</t>
  </si>
  <si>
    <t>Hours</t>
  </si>
  <si>
    <t>Price</t>
  </si>
  <si>
    <t xml:space="preserve">Notes field for Initials, Names, etc. </t>
  </si>
  <si>
    <t>OH Rate</t>
  </si>
  <si>
    <t xml:space="preserve">Project Overhead Rates. </t>
  </si>
  <si>
    <t>State Tax % can be modified by user.</t>
  </si>
  <si>
    <t>PROCEDURE - Travel Charges</t>
  </si>
  <si>
    <t xml:space="preserve">Extended Cost </t>
  </si>
  <si>
    <t>Standard Rate</t>
  </si>
  <si>
    <t>User Rate Override</t>
  </si>
  <si>
    <t>TRC Equipment &amp; Supplies</t>
  </si>
  <si>
    <t xml:space="preserve">If you enter a quantity, you must select a Project Phase in Row 7 for your items to calculate. </t>
  </si>
  <si>
    <t>The User Rate Override column is for user-entered costs where they are different from standard.</t>
  </si>
  <si>
    <t xml:space="preserve">Select the appropriate Project Phase from the available pulldown menus on Row 7 for field effort charges.  </t>
  </si>
  <si>
    <t>TRC SUPPLY CHARGES</t>
  </si>
  <si>
    <t>TRC EQUIPMENT CHARGES</t>
  </si>
  <si>
    <t xml:space="preserve">Input items per line.  Be sure to select the Project "Phase" associated with the item.  Select item type and enter quantity, cost per unit, etc.  Mark-up will be added to Laboratory Costs, Standard Equipment, Other Supplies and Rental, Subcontractors, and Procurement.  This markup is reflected on the Budget Detail tab.   </t>
  </si>
  <si>
    <t xml:space="preserve">* Material are included in standard prep.  Please select if additional supplies are needed.  </t>
  </si>
  <si>
    <t>Other Supplies, Rental and Expenses</t>
  </si>
  <si>
    <t>PROCEDURE - Lab Analysis List, Standard Equipment &amp; Supplies, Other Supplies &amp; Rental List, Subcontractors List, and Procurement List</t>
  </si>
  <si>
    <t>Average Direct rate</t>
  </si>
  <si>
    <r>
      <t xml:space="preserve">For </t>
    </r>
    <r>
      <rPr>
        <b/>
        <sz val="14"/>
        <rFont val="Cambria"/>
        <family val="1"/>
        <scheme val="major"/>
      </rPr>
      <t xml:space="preserve">Standard Equipment &amp; Supplies - </t>
    </r>
    <r>
      <rPr>
        <sz val="14"/>
        <rFont val="Cambria"/>
        <family val="1"/>
        <scheme val="major"/>
      </rPr>
      <t>Items on this tab are available or routine rented TRC equipment and supplies</t>
    </r>
    <r>
      <rPr>
        <i/>
        <sz val="14"/>
        <color rgb="FFFF0000"/>
        <rFont val="Cambria"/>
        <family val="1"/>
        <scheme val="major"/>
      </rPr>
      <t>.</t>
    </r>
    <r>
      <rPr>
        <sz val="14"/>
        <rFont val="Cambria"/>
        <family val="1"/>
        <scheme val="major"/>
      </rPr>
      <t xml:space="preserve">  Daily rates will autopopulate for equipment.  Weekly rates for equipment can be accessed by the Day/Week selection menu.  User's can over-ride existing rates in the identified column(s).  </t>
    </r>
  </si>
  <si>
    <t xml:space="preserve">GPS/TRIMBLE or Equivalent </t>
  </si>
  <si>
    <t>Fleet Truck</t>
  </si>
  <si>
    <t xml:space="preserve">A. All Proposals with anticipated contract values greater than $25,000 are required to complete a budget and profitability estimate and submit the backup to their Project Accountant (PA).  The PA will upload the spreadsheet to Vision for future reference as the project progresses. Note: All approvals required as specified in (B) below, should be obtained prior to submittal to the PA. </t>
  </si>
  <si>
    <t>Total CV:</t>
  </si>
  <si>
    <t xml:space="preserve">Double-click in the Box to Apply Electronic Signature to Embedded PDF - The Signatures Will Automatically Save with the File </t>
  </si>
  <si>
    <t>Or If You Must, Print this Page and Apply Signature Manually</t>
  </si>
  <si>
    <r>
      <rPr>
        <b/>
        <sz val="14"/>
        <color indexed="17"/>
        <rFont val="Calibri"/>
        <family val="2"/>
      </rPr>
      <t>↓</t>
    </r>
    <r>
      <rPr>
        <b/>
        <sz val="10"/>
        <color indexed="17"/>
        <rFont val="Arial"/>
        <family val="2"/>
      </rPr>
      <t xml:space="preserve">TASK DESCRIPTIONS   STAFF INITIALS </t>
    </r>
    <r>
      <rPr>
        <b/>
        <sz val="16"/>
        <color indexed="17"/>
        <rFont val="Calibri"/>
        <family val="2"/>
      </rPr>
      <t>→</t>
    </r>
  </si>
  <si>
    <t>NOTES</t>
  </si>
  <si>
    <t>All temps were removed before calculating costs</t>
  </si>
  <si>
    <t xml:space="preserve">Category cost uses EV Average as a surrogate.  </t>
  </si>
  <si>
    <t>EV28</t>
  </si>
  <si>
    <t>EV27</t>
  </si>
  <si>
    <t>EV26</t>
  </si>
  <si>
    <t>EV25</t>
  </si>
  <si>
    <t>EV24</t>
  </si>
  <si>
    <t>EV23</t>
  </si>
  <si>
    <t>EV22</t>
  </si>
  <si>
    <t>EV21</t>
  </si>
  <si>
    <t>EV20</t>
  </si>
  <si>
    <t>EV19</t>
  </si>
  <si>
    <t>EV18</t>
  </si>
  <si>
    <t>EV17</t>
  </si>
  <si>
    <t>EV16</t>
  </si>
  <si>
    <t>EV15</t>
  </si>
  <si>
    <t>EV14</t>
  </si>
  <si>
    <t>EV13</t>
  </si>
  <si>
    <t>EV12</t>
  </si>
  <si>
    <t>EV11</t>
  </si>
  <si>
    <t>EV10</t>
  </si>
  <si>
    <t>EV09</t>
  </si>
  <si>
    <t>EV08</t>
  </si>
  <si>
    <t>EV07</t>
  </si>
  <si>
    <t>EV06</t>
  </si>
  <si>
    <t>EV05</t>
  </si>
  <si>
    <t>EV04</t>
  </si>
  <si>
    <t>EV03</t>
  </si>
  <si>
    <t>EV02</t>
  </si>
  <si>
    <t>EV01</t>
  </si>
  <si>
    <t>INSURANCE FEE</t>
  </si>
  <si>
    <t>TRC Insurance Fee</t>
  </si>
  <si>
    <t>TRC Ins Fee</t>
  </si>
  <si>
    <t>Bill Labor + Raw Expense</t>
  </si>
  <si>
    <t>Insurance Markup</t>
  </si>
  <si>
    <t xml:space="preserve">Ins Fee + Other </t>
  </si>
  <si>
    <t xml:space="preserve">New cells have been added to account for User-entered adjustments to Communication Fee, Markups, Insurance Fee, and Labor Rate discounts.  Enter approved modifications to Communication Fees, Markups, Insurance Fee, and/or Labor Rate Discounts into cells E31 through E34, respectively.  Acceptable User-applied Labor Rate Discount values are between 0% and 10%. </t>
  </si>
  <si>
    <t>Proposal Profitability Estimator Instructions - EV Standard P-Code Rates</t>
  </si>
  <si>
    <t>PRINCIPAL/ TECH DIRECT 4</t>
  </si>
  <si>
    <t>PRINCIPAL/ TECH DIRECT 1</t>
  </si>
  <si>
    <t>PRINCIPAL/ TECH DIRECT 2</t>
  </si>
  <si>
    <t>PRINCIPAL/ TECH DIRECT 3</t>
  </si>
  <si>
    <t>PROG MGR/SR TECH MGR 4</t>
  </si>
  <si>
    <t>PROG MGR/SR TECH MGR 1</t>
  </si>
  <si>
    <t>PROG MGR/SR TECH MGR 2</t>
  </si>
  <si>
    <t>PROG MGR/SR TECH MGR 3</t>
  </si>
  <si>
    <t xml:space="preserve">PROJECT/  
TECH MGR 4   </t>
  </si>
  <si>
    <t>PROJECT/  
TECH MGR 1</t>
  </si>
  <si>
    <t>PROJECT/  
TECH MGR 2</t>
  </si>
  <si>
    <t>PROJECT/  
TECH MGR 3</t>
  </si>
  <si>
    <t>SR SCI/ENG/ SPECIALIST 4</t>
  </si>
  <si>
    <t>SR SCI/ENG/ SPECIALIST 1</t>
  </si>
  <si>
    <t>SR SCI/ENG/ SPECIALIST 2</t>
  </si>
  <si>
    <t>SR SCI/ENG/ SPECIALIST 3</t>
  </si>
  <si>
    <t>PROJ SCI/ENG/ SPECIALIST 3</t>
  </si>
  <si>
    <t>PROJ SCI/ENG/ SPECIALIST 1</t>
  </si>
  <si>
    <t>PROJ SCI/ENG/ SPECIALIST 2</t>
  </si>
  <si>
    <t>PROJ SCI/ENG/ SPECIALIST 4</t>
  </si>
  <si>
    <t>SCI/ENG/SPEC/ TECH/SPRT 8</t>
  </si>
  <si>
    <t>SCI/ENG/SPEC/ TECH/SPRT 1</t>
  </si>
  <si>
    <t>SCI/ENG/SPEC/ TECH/SPRT 2</t>
  </si>
  <si>
    <t>SCI/ENG/SPEC/ TECH/SPRT 3</t>
  </si>
  <si>
    <t>SCI/ENG/SPEC/ TECH/SPRT 4</t>
  </si>
  <si>
    <t>SCI/ENG/SPEC/ TECH/SPRT 5</t>
  </si>
  <si>
    <t>SCI/ENG/SPEC/ TECH/SPRT 6</t>
  </si>
  <si>
    <t>SCI/ENG/SPEC/ TECH/SPRT 7</t>
  </si>
  <si>
    <r>
      <rPr>
        <b/>
        <sz val="14"/>
        <rFont val="Cambria"/>
        <family val="1"/>
        <scheme val="major"/>
      </rPr>
      <t>[Row 5]</t>
    </r>
    <r>
      <rPr>
        <sz val="14"/>
        <rFont val="Cambria"/>
        <family val="1"/>
        <scheme val="major"/>
      </rPr>
      <t xml:space="preserve"> - Selection of EV Standard Rate Code (PCode basis); the template will default to one column per each of the EV Standard Rate Codes.  These can be modified as your project team    
   mix dictates. Selection of the Rate Code will populate the loaded rate (Rate plus Comm Fee [or minus discount]) according to selections made on the INPUT-SUMMARY Tab.  </t>
    </r>
  </si>
  <si>
    <t>ABB, Inc.</t>
  </si>
  <si>
    <t>N</t>
  </si>
  <si>
    <t>3.9</t>
  </si>
  <si>
    <t>PRINTABLE RATE SHEET</t>
  </si>
  <si>
    <t xml:space="preserve">A printable rate sheet (based on labor rates selected in this PPW) is provided as the last Tab.  The Rate Sheet should be edited for client specific markups and footnotes.  Please confirm client-specific markups and footnotes with Client MSA.  </t>
  </si>
  <si>
    <t>Decimal Setting can be changed by user - Enter Decimal preference in Cell D1</t>
  </si>
  <si>
    <t>Edit as needed</t>
  </si>
  <si>
    <t>CODE</t>
  </si>
  <si>
    <t>TRC LABOR CLASSIFICATION/CATEGORY</t>
  </si>
  <si>
    <t>HOURLY LABOR RATE</t>
  </si>
  <si>
    <t>Level I</t>
  </si>
  <si>
    <t>Level II</t>
  </si>
  <si>
    <t>Level III</t>
  </si>
  <si>
    <t>Level IV</t>
  </si>
  <si>
    <t>Principal/Technical Director</t>
  </si>
  <si>
    <t>Program Manager/Senior Technical Manager</t>
  </si>
  <si>
    <t>Project/Technical Manager</t>
  </si>
  <si>
    <t>Senior Scientist/Engineer/Specialist</t>
  </si>
  <si>
    <t>Project Scientist/Engineer/Specialist</t>
  </si>
  <si>
    <t>Scientist/Engineer/Specialist, Technicians, and Project Support</t>
  </si>
  <si>
    <t>Level VIII</t>
  </si>
  <si>
    <t>Level VII</t>
  </si>
  <si>
    <t>Level VI</t>
  </si>
  <si>
    <t>Level V</t>
  </si>
  <si>
    <t>Highland Industries 2019</t>
  </si>
  <si>
    <t>PROPOSED STANDARD BILL RATE</t>
  </si>
  <si>
    <t>CALCULATED BILL RATE (cost + 20%)</t>
  </si>
  <si>
    <t>PPW</t>
  </si>
  <si>
    <t>PINE RENTAL RATES</t>
  </si>
  <si>
    <t>OTHER RENTAL</t>
  </si>
  <si>
    <t>CONSUMABLES</t>
  </si>
  <si>
    <t>Table Name:   ECR_Master_v0</t>
  </si>
  <si>
    <t>If modifications or additions are made to the table, the table must renamed in a manner unique to the project.</t>
  </si>
  <si>
    <t>Renamed unit rate tables should always follow this format:  123456_ECR_Master_v0</t>
  </si>
  <si>
    <t>Unit Changes</t>
  </si>
  <si>
    <t xml:space="preserve">If the bill rate has been modified for any unit, then the Unit Code must be modified also.   Please change the Unit Code to begin with "X_" instead of "M_" </t>
  </si>
  <si>
    <t>If a new unit is added, each new addition should begin with "A_"</t>
  </si>
  <si>
    <t>Equipment Category</t>
  </si>
  <si>
    <t>Unit Code</t>
  </si>
  <si>
    <t>Unit Name</t>
  </si>
  <si>
    <t>Description</t>
  </si>
  <si>
    <t>Bill Rate</t>
  </si>
  <si>
    <t>Cost Rate</t>
  </si>
  <si>
    <t>Per Unit</t>
  </si>
  <si>
    <t>Per Day</t>
  </si>
  <si>
    <t>Per Week</t>
  </si>
  <si>
    <t>Existing</t>
  </si>
  <si>
    <t>Wk</t>
  </si>
  <si>
    <t>PINE</t>
  </si>
  <si>
    <t>EON</t>
  </si>
  <si>
    <t>J Bremer Comments</t>
  </si>
  <si>
    <t>ORG RECEIVING COST RECOVERY</t>
  </si>
  <si>
    <t>Water/Monitoring Well Sampling</t>
  </si>
  <si>
    <t>M_WQM_D</t>
  </si>
  <si>
    <t>Water quality meter</t>
  </si>
  <si>
    <t>YSI 63 - pH, conduct., salinity, temp; YSI 85 adds DO</t>
  </si>
  <si>
    <t>Suspended Org Phase TBD</t>
  </si>
  <si>
    <t>M_WQM_W</t>
  </si>
  <si>
    <t>M_WQFC_D</t>
  </si>
  <si>
    <t>Water quality meter with flow cell</t>
  </si>
  <si>
    <t>YSI 600 XLM, YSI 600XL, YSI 556, YSI PRO PROF PLUS, YSI PRODSS, HORIBA U-52, HORIBA U-53, QED MP20</t>
  </si>
  <si>
    <t>100 - 120</t>
  </si>
  <si>
    <t>M_WQFC_W</t>
  </si>
  <si>
    <t>M_FeKIT_D</t>
  </si>
  <si>
    <t>Ferrous Iron Test Kit</t>
  </si>
  <si>
    <t>CHEMetrics K-6210</t>
  </si>
  <si>
    <t>M_FeKIT_W</t>
  </si>
  <si>
    <t>M_FeAMP</t>
  </si>
  <si>
    <t>Ferrous Iron Ampoules (per test)</t>
  </si>
  <si>
    <t>CHEMetrics R-6210</t>
  </si>
  <si>
    <t>Each</t>
  </si>
  <si>
    <t>M_WLI_D</t>
  </si>
  <si>
    <r>
      <t>Water level indicator</t>
    </r>
    <r>
      <rPr>
        <strike/>
        <sz val="11"/>
        <rFont val="Calibri"/>
        <family val="2"/>
        <scheme val="minor"/>
      </rPr>
      <t xml:space="preserve"> </t>
    </r>
  </si>
  <si>
    <t>Upto 500'.  Solonist 101, 102; Heron</t>
  </si>
  <si>
    <t>M_WLI_W</t>
  </si>
  <si>
    <t>M_IP_D</t>
  </si>
  <si>
    <t>Solonist 122 upto 500', Heron H upto 100'</t>
  </si>
  <si>
    <t>M_IP_W</t>
  </si>
  <si>
    <t>M_PTLL_D</t>
  </si>
  <si>
    <t>Submersible press. transduc.,levelogger</t>
  </si>
  <si>
    <t>Solonist 3001 LT, EDGE 3001 LT, 3001 GOLD; In-Situ Level TROLL 700; Micro-Diver DI601, DI602, DI610</t>
  </si>
  <si>
    <t>M_PTLL_W</t>
  </si>
  <si>
    <t>M_PTBA_D</t>
  </si>
  <si>
    <t>Submersible pressure transducer (baro)</t>
  </si>
  <si>
    <t>Solonist 3001 baro, EDGE 3001 baro; In-situ BaroTROLL; Baro-Diver DI500</t>
  </si>
  <si>
    <t>M_PTBA_W</t>
  </si>
  <si>
    <t>M_TURBM_D</t>
  </si>
  <si>
    <t>Lamotte 2020, 2020e, 2020we; Hach 2100Q; Hanna 98703</t>
  </si>
  <si>
    <t>M_TURBM_W</t>
  </si>
  <si>
    <t>M_PFLW_D</t>
  </si>
  <si>
    <t>Pipe/stream flow measurement</t>
  </si>
  <si>
    <t>Global FP 101, 201, 111, 211; Omega FTB 700 series</t>
  </si>
  <si>
    <t>M_PFLW_W</t>
  </si>
  <si>
    <t>M_PERPM_D</t>
  </si>
  <si>
    <t>Peristaltic Pump</t>
  </si>
  <si>
    <t>Commonly used in MDN</t>
  </si>
  <si>
    <t>M_PERPM_W</t>
  </si>
  <si>
    <t>M_ALEXI_D</t>
  </si>
  <si>
    <t>Alexis Peristaltic Pump</t>
  </si>
  <si>
    <t>Commonly used in GRN</t>
  </si>
  <si>
    <t>TBD</t>
  </si>
  <si>
    <t>M_ALEXI_W</t>
  </si>
  <si>
    <t>M_CTR_D</t>
  </si>
  <si>
    <t>Submersible pumpw/controller</t>
  </si>
  <si>
    <t>Grundfos Redi-Flo 2, 3, 3-5; Geotech GeoSub SS</t>
  </si>
  <si>
    <t>M_CTR_W</t>
  </si>
  <si>
    <t>M_DIA_D</t>
  </si>
  <si>
    <t>Diaphragm Pump</t>
  </si>
  <si>
    <t>Commonly used in IRV</t>
  </si>
  <si>
    <t>M_DIA_W</t>
  </si>
  <si>
    <t>M_BLDR_D</t>
  </si>
  <si>
    <t>Bladder pump</t>
  </si>
  <si>
    <t>QED Sample Pro Portable Micropurge; QED ST1102PM; Marschalk; QED Well Wizard T1300 or P1101</t>
  </si>
  <si>
    <t>M_BLDR_W</t>
  </si>
  <si>
    <t>M_BCTR_D</t>
  </si>
  <si>
    <t>Bladder pump control box (&lt;200')</t>
  </si>
  <si>
    <t>QED Micropurge Basics MP10</t>
  </si>
  <si>
    <t>M_BCTR_W</t>
  </si>
  <si>
    <t>M_CTRD_D</t>
  </si>
  <si>
    <t>Bladder pump control box (&gt;200')</t>
  </si>
  <si>
    <t>QED Micropurge Basics MP10 H</t>
  </si>
  <si>
    <t>M_CTRD_W</t>
  </si>
  <si>
    <t>M_SCOMP_D</t>
  </si>
  <si>
    <t>Compressor/CO2 for bladder pump</t>
  </si>
  <si>
    <t>3020 compressor from Pine (not sufficient for wells &gt;200')</t>
  </si>
  <si>
    <t>M_SCOMP_W</t>
  </si>
  <si>
    <t>M_GEOPM_D</t>
  </si>
  <si>
    <t>Geo pump</t>
  </si>
  <si>
    <t>M_GEOPM_W</t>
  </si>
  <si>
    <t>M_PURG_D</t>
  </si>
  <si>
    <t>Purge pump</t>
  </si>
  <si>
    <t>Proactive Monsoon, Typhoon, Tsunami</t>
  </si>
  <si>
    <t>M_PURG_W</t>
  </si>
  <si>
    <t>M_BLDRS</t>
  </si>
  <si>
    <t>Disposable bladders</t>
  </si>
  <si>
    <t>Poly, QED micropurge</t>
  </si>
  <si>
    <t>M_GRBPLT</t>
  </si>
  <si>
    <t>Grab plate replacement kit</t>
  </si>
  <si>
    <t>QED micropurge bladder pumps</t>
  </si>
  <si>
    <t>M_SWS_D</t>
  </si>
  <si>
    <t>Surface water sampler (e.g. Kemmerer)</t>
  </si>
  <si>
    <t>Rental available from Environmental Equipment + Supply</t>
  </si>
  <si>
    <t>M_SWS_W</t>
  </si>
  <si>
    <t>M_STRMW_D</t>
  </si>
  <si>
    <t>Storm water sampler</t>
  </si>
  <si>
    <t>ISCO 6700, 6712,3710, GLS; Global WS300</t>
  </si>
  <si>
    <t>M_STRMW_W</t>
  </si>
  <si>
    <t>M_TRPMP_D</t>
  </si>
  <si>
    <t xml:space="preserve">Transfer pump (trash pump 2") </t>
  </si>
  <si>
    <t>Honda WP20</t>
  </si>
  <si>
    <t>M_TRPMP_W</t>
  </si>
  <si>
    <t>M_BHD_SM</t>
  </si>
  <si>
    <t xml:space="preserve">Bailer (HDPE) - small diameter </t>
  </si>
  <si>
    <t>&lt;= 2" dia</t>
  </si>
  <si>
    <t>M_BHD_LG</t>
  </si>
  <si>
    <t>Bailer (HDPE) - large diameter</t>
  </si>
  <si>
    <t>&gt; 2" dia</t>
  </si>
  <si>
    <t>M_BTF_LG</t>
  </si>
  <si>
    <t>Bailer (teflon)</t>
  </si>
  <si>
    <t>1.6 x 36</t>
  </si>
  <si>
    <t>M_BTF_MD</t>
  </si>
  <si>
    <t>&lt;1.6 x 36</t>
  </si>
  <si>
    <t>M_BTF_SM</t>
  </si>
  <si>
    <t xml:space="preserve">Bailer (teflon) </t>
  </si>
  <si>
    <t>1.6 x 12</t>
  </si>
  <si>
    <t>M_BPVC</t>
  </si>
  <si>
    <t>Bailer (PVC)</t>
  </si>
  <si>
    <t>&lt;2" dia</t>
  </si>
  <si>
    <t>M_PRESSB</t>
  </si>
  <si>
    <t>Pressurized bailer</t>
  </si>
  <si>
    <t>Geotech Env Equip, poly 1.5 x 36</t>
  </si>
  <si>
    <t>M_BARFLTR</t>
  </si>
  <si>
    <t>Barrel filter</t>
  </si>
  <si>
    <t>M_DSKFLTR</t>
  </si>
  <si>
    <t>Disk filter</t>
  </si>
  <si>
    <t>M_SILCTUB</t>
  </si>
  <si>
    <t>Silicon tubing (per ft)</t>
  </si>
  <si>
    <t>3/8ID x 1/2OD; 3/16ID x 3/8OD</t>
  </si>
  <si>
    <t>M_TYGTUB</t>
  </si>
  <si>
    <t>Tygon tubing (per ft)</t>
  </si>
  <si>
    <t>1/4ID x 3/8OD</t>
  </si>
  <si>
    <t>M_LDPTUB</t>
  </si>
  <si>
    <r>
      <t>LDPE/HDPE</t>
    </r>
    <r>
      <rPr>
        <strike/>
        <sz val="11"/>
        <rFont val="Calibri"/>
        <family val="2"/>
        <scheme val="minor"/>
      </rPr>
      <t xml:space="preserve"> </t>
    </r>
    <r>
      <rPr>
        <sz val="11"/>
        <rFont val="Calibri"/>
        <family val="2"/>
        <scheme val="minor"/>
      </rPr>
      <t>tubing (per foot)</t>
    </r>
  </si>
  <si>
    <t>0.1 - 0.2</t>
  </si>
  <si>
    <t>M_DIPPR_D</t>
  </si>
  <si>
    <t>Telescopic dipper</t>
  </si>
  <si>
    <t>M_DIPPR_W</t>
  </si>
  <si>
    <t>Soil/Sediment Sampling</t>
  </si>
  <si>
    <t>M_PDRG_D</t>
  </si>
  <si>
    <t>M_PDRG_W</t>
  </si>
  <si>
    <t>M_HAND_D</t>
  </si>
  <si>
    <t>Hand auger</t>
  </si>
  <si>
    <t>M_HAND_W</t>
  </si>
  <si>
    <t>M_WILDC_D</t>
  </si>
  <si>
    <t>Wildco Hand Corer</t>
  </si>
  <si>
    <t>Wildco Hand Corer - sediment sampling</t>
  </si>
  <si>
    <t>M_WILDC_W</t>
  </si>
  <si>
    <t>M_WILTUBE</t>
  </si>
  <si>
    <t>Wildco liner tubes</t>
  </si>
  <si>
    <t>Tubes to hold sediment cores</t>
  </si>
  <si>
    <t>M_PID_D</t>
  </si>
  <si>
    <t>PID (miniRAE w/ 10.6eV lamp)</t>
  </si>
  <si>
    <t>M_PID_W</t>
  </si>
  <si>
    <t>M_PIDBEZ_D</t>
  </si>
  <si>
    <t>PID - Benzene specific (UltraRAE)</t>
  </si>
  <si>
    <t>M_PIDBEZ_W</t>
  </si>
  <si>
    <t>M_117LMP_D</t>
  </si>
  <si>
    <t>PID 11.7 eV lamp add-on</t>
  </si>
  <si>
    <t>M_117LMP_W</t>
  </si>
  <si>
    <t>Vapor/Air Sampling</t>
  </si>
  <si>
    <t>M_AIRVEL_D</t>
  </si>
  <si>
    <t>Air velocity meter</t>
  </si>
  <si>
    <t>TSI 9565, 9565-A, 9535, 9535-A, 9545, 9545-A, 8384, 8385, 8386, 8386-A, 8345, 8346, 8324, 8330, 8340</t>
  </si>
  <si>
    <t>M_AIRVEL_W</t>
  </si>
  <si>
    <t>M_LELMTR_D</t>
  </si>
  <si>
    <t>LEL/O2/CO/H2S Meter</t>
  </si>
  <si>
    <t>VRAE, QRAE III</t>
  </si>
  <si>
    <t>M_LELMTR_W</t>
  </si>
  <si>
    <t>M_GASMTR_D</t>
  </si>
  <si>
    <t>Landfill gas monitor</t>
  </si>
  <si>
    <t>GEM 5000 PLUS, 2000, 2000 PLUS</t>
  </si>
  <si>
    <t>M_GASMTR_W</t>
  </si>
  <si>
    <t>M_DSTTRK_D</t>
  </si>
  <si>
    <t>DustTrak Env' Enclosure</t>
  </si>
  <si>
    <t>TSI 8535 (w/battery pack)</t>
  </si>
  <si>
    <t>M_DSTTRK_W</t>
  </si>
  <si>
    <t>M_AEROS_D</t>
  </si>
  <si>
    <t xml:space="preserve">Aerosol Monitor </t>
  </si>
  <si>
    <t>TSI 8532 DustTRAK II handheld</t>
  </si>
  <si>
    <t>M_AEROS_W</t>
  </si>
  <si>
    <t>M_TEDLAR</t>
  </si>
  <si>
    <t>1 liter</t>
  </si>
  <si>
    <t>M_AREAM_D</t>
  </si>
  <si>
    <t>Multi-Gas Monitor - Area</t>
  </si>
  <si>
    <t>AreaRAE Monitor LEL-O2-CO-H2S and PID</t>
  </si>
  <si>
    <t>M_AREAM_W</t>
  </si>
  <si>
    <t>M_FID_D</t>
  </si>
  <si>
    <t>FID</t>
  </si>
  <si>
    <t>TVA1000B FID Foxboro Kit (FID Only)</t>
  </si>
  <si>
    <t>M_FID_W</t>
  </si>
  <si>
    <t>Tools/Misc</t>
  </si>
  <si>
    <t>M_LGCMP_D</t>
  </si>
  <si>
    <t>Air compressor</t>
  </si>
  <si>
    <t>Home Depot rental</t>
  </si>
  <si>
    <t>M_LGCMP_W</t>
  </si>
  <si>
    <t>M_GENRT_D</t>
  </si>
  <si>
    <t>3000 watts, Home Depot rental</t>
  </si>
  <si>
    <t>M_GENTR_W</t>
  </si>
  <si>
    <t>M_ROPEFT</t>
  </si>
  <si>
    <t>Rope - per foot</t>
  </si>
  <si>
    <t>1/8" braided nylon</t>
  </si>
  <si>
    <t>Foot</t>
  </si>
  <si>
    <t>M_ROPE50</t>
  </si>
  <si>
    <t>Rope - 50' spool</t>
  </si>
  <si>
    <t>3/16" braided</t>
  </si>
  <si>
    <t>M_LOCK</t>
  </si>
  <si>
    <t>Padlock</t>
  </si>
  <si>
    <t>M_FLRMTR_D</t>
  </si>
  <si>
    <t>Turner Designs Aquafluor Handheld Fluorometer/Turbidimeter</t>
  </si>
  <si>
    <t>M_FLRMTR_W</t>
  </si>
  <si>
    <t>M_FLDBK</t>
  </si>
  <si>
    <t>Field book - standard</t>
  </si>
  <si>
    <t>Basic orange field book</t>
  </si>
  <si>
    <t>Field book - specialized</t>
  </si>
  <si>
    <t>Waterproof, specialty format, or oversized</t>
  </si>
  <si>
    <t>M_WPPEN</t>
  </si>
  <si>
    <t>Waterproof pen</t>
  </si>
  <si>
    <t>M_MTLDTR_D</t>
  </si>
  <si>
    <t>Schonstedt Magnetometer</t>
  </si>
  <si>
    <t>M_MTLDTR_W</t>
  </si>
  <si>
    <t>M_TRIMM_D</t>
  </si>
  <si>
    <t>Weed trimmer</t>
  </si>
  <si>
    <t>M_TRIMM_W</t>
  </si>
  <si>
    <t>M_WTHRST_D</t>
  </si>
  <si>
    <t>Weather station</t>
  </si>
  <si>
    <t>Davis Vantage Pro, Pro2; Lufft WS 500 Compact;  Lufft WS 600 Ultrasonic w/ precip</t>
  </si>
  <si>
    <t>M_WTHRST_W</t>
  </si>
  <si>
    <t>M_CLAY</t>
  </si>
  <si>
    <t xml:space="preserve">Clay </t>
  </si>
  <si>
    <t>Used in vapor sampling (play-doh)</t>
  </si>
  <si>
    <t>M_RESIST_D</t>
  </si>
  <si>
    <t>Electrical Resistivity Meter</t>
  </si>
  <si>
    <t>Fluke 1625 GEO Earth Ground (Resistivity) Tester</t>
  </si>
  <si>
    <t>M_RESIST_W</t>
  </si>
  <si>
    <t>M_HNDPMP_D</t>
  </si>
  <si>
    <t>Hand Pump</t>
  </si>
  <si>
    <t>Used in vapor sampling or pressurized bailers, piston hand pump</t>
  </si>
  <si>
    <t>M_HNDPMP_W</t>
  </si>
  <si>
    <t>M_HMRDRL_D</t>
  </si>
  <si>
    <t>Hammer Drill</t>
  </si>
  <si>
    <t>Used in vapor sampling</t>
  </si>
  <si>
    <t>M_HMRDRL_W</t>
  </si>
  <si>
    <t>M_VAC_D</t>
  </si>
  <si>
    <t>Shop Vac</t>
  </si>
  <si>
    <t>Cost basis to be prepared by finance.</t>
  </si>
  <si>
    <t>M_VAC_W</t>
  </si>
  <si>
    <t>M_55GAL</t>
  </si>
  <si>
    <t>M_RTAPE_D</t>
  </si>
  <si>
    <t>Roll tape Wheel</t>
  </si>
  <si>
    <t>M_RTAPE_W</t>
  </si>
  <si>
    <t>M_MISTNET</t>
  </si>
  <si>
    <t>Mist Net (per 2 Net Nights)</t>
  </si>
  <si>
    <t>Bat Mist Net Surveys</t>
  </si>
  <si>
    <t>M_SM4</t>
  </si>
  <si>
    <t>SM4 Units</t>
  </si>
  <si>
    <t>Bat Acoustic Surveys</t>
  </si>
  <si>
    <t>M_ECHO_D</t>
  </si>
  <si>
    <t>Echo Meter Touch</t>
  </si>
  <si>
    <t>Bat Emergence Surveys</t>
  </si>
  <si>
    <t>M_ECHO_W</t>
  </si>
  <si>
    <t>M_BATTRNS</t>
  </si>
  <si>
    <t>Bat Transmitter</t>
  </si>
  <si>
    <t>Telemetry of captured bats</t>
  </si>
  <si>
    <t>M_YAGIS_D</t>
  </si>
  <si>
    <t>Yagis Telemetry Receiver</t>
  </si>
  <si>
    <t>M_YAGIS_W</t>
  </si>
  <si>
    <t>M_GWKIT_D</t>
  </si>
  <si>
    <t>Groundwater Sampling Kit</t>
  </si>
  <si>
    <t>Content of kit varies by office but typical items may include:  paper towel, garbage bags, ziploc bags, markers, cooler, tool box/hand tools, bolt cutters, flashlight, 12v battery, folding table, scissors, packing tape, duct tape, pry bar, extension cord, buffering and calibration solutions, collapsible jugs, beakers, and slug for slug test.</t>
  </si>
  <si>
    <t>Cost basis to be prepared by Finance</t>
  </si>
  <si>
    <t>M_GWKIT_W</t>
  </si>
  <si>
    <t>Content of kit varies by office but typical items may include:  paper towel, garbage bags, ziploc bags, markers, cooler, tool box/hand tools, bolt cutters, flashlight, 12v battery, folding table, scissors, packing tape, duct tape, pry bar, extension cord, buffering and calibration solutions, filters, collapsible jugs, beakers, and slug for slug test.</t>
  </si>
  <si>
    <t>M_SOILKT_D</t>
  </si>
  <si>
    <t>Soil/Sediment Sampling Kit</t>
  </si>
  <si>
    <t>Content of kit varies by office but typical items may include:  paper towel, garbage bags, ziploc bags, markers, aluminum foil, plastic cups, folding table, tool box/hand tools, brushes, soap, distilled water, wash bottles, acetone/hexane/isopropanol/0.1% HCL, buckets, munsell color chart, pocket penetrometer, scoops, spatula, and bowls.</t>
  </si>
  <si>
    <t>M_SOILKT_W</t>
  </si>
  <si>
    <t>PPE</t>
  </si>
  <si>
    <t>M_PPEKT_D</t>
  </si>
  <si>
    <t>PPE - Basic Kit</t>
  </si>
  <si>
    <t>Content of kit varies by office but typical items may include:  hard hat, safety glasses, ear plugs, safety vest, cotton/leather work gloves, fire extingisher, first aid kit, eye wash, and safety cones.</t>
  </si>
  <si>
    <t>M_PPEKT_W</t>
  </si>
  <si>
    <t>Content of kit varies by office but typical items may include:  hard hat, safety glasses, ear plugs, safety vest, cotton/leather work gloves, fire extingisher, first aid kit, eye wash, caution tape, and safety cones.</t>
  </si>
  <si>
    <t>M_GLVBOX</t>
  </si>
  <si>
    <t>PPE - sampling gloves (per box)</t>
  </si>
  <si>
    <t>Latex or nitrile (100/box).   If you need only a few pairs of gloves, you may consider these to be included in the sampling or PPE kits.</t>
  </si>
  <si>
    <t>M_TVYBTS_D</t>
  </si>
  <si>
    <t>PPE-Tyvek &amp; boot covers (per prsn/day)</t>
  </si>
  <si>
    <t>4 tyvek suits, 4 pairs of boots</t>
  </si>
  <si>
    <t>Tyvek @ 5.70 each, boot covers @ 5.94 each</t>
  </si>
  <si>
    <t>Mobile/Digital Tools</t>
  </si>
  <si>
    <t>M_GPS_D</t>
  </si>
  <si>
    <t>Trimble Geo XT, XH, 7X, or GeoExplorer 6000</t>
  </si>
  <si>
    <t>M_GPS_W</t>
  </si>
  <si>
    <t>M_TABLET_D</t>
  </si>
  <si>
    <t>Tablet/iPad</t>
  </si>
  <si>
    <t xml:space="preserve">Long term assignments of tablets to a project may be billed at a lower rate. </t>
  </si>
  <si>
    <t>M_TABLET_W</t>
  </si>
  <si>
    <t>M_UAV</t>
  </si>
  <si>
    <t>Drone</t>
  </si>
  <si>
    <t>Includes post processing software.  Requires FAA approved operator.  See Dan Sweeney for more info.</t>
  </si>
  <si>
    <t>-</t>
  </si>
  <si>
    <t>Vehicles</t>
  </si>
  <si>
    <t>M_FLTCAR_D</t>
  </si>
  <si>
    <t>Fleet vehicle - Car</t>
  </si>
  <si>
    <t>M_FLTCAR_W</t>
  </si>
  <si>
    <t>M_FLTSUV_D</t>
  </si>
  <si>
    <t>Fleet vehicle - SUV/Truck</t>
  </si>
  <si>
    <t>M_FLTSUV_W</t>
  </si>
  <si>
    <t>M_FLTTRK_D</t>
  </si>
  <si>
    <t>Fleet vehicle - Truck</t>
  </si>
  <si>
    <t>M_FLTTRK_W</t>
  </si>
  <si>
    <t>WEEKLY RATE ASSUMPTION</t>
  </si>
  <si>
    <t>Does not apply in all situations - sometimes multplier is higher</t>
  </si>
  <si>
    <t>Day Rate</t>
  </si>
  <si>
    <t>Item Description</t>
  </si>
  <si>
    <t>Soil/Sediment  Sampling</t>
  </si>
  <si>
    <t>Miscellaneous/Tools</t>
  </si>
  <si>
    <t>Grundfos Redi-Flo 2, 3, 3-5; 
Geotech GeoSub SS</t>
  </si>
  <si>
    <t>YSI 63 - pH, conduct., salinity, temp; 
YSI 85 adds DO</t>
  </si>
  <si>
    <t>Lamotte 2020, 2020e, 2020we; 
Hach 2100Q; Hanna 98703</t>
  </si>
  <si>
    <t>Global FP 101, 201, 111, 211; 
Omega FTB 700 series</t>
  </si>
  <si>
    <t>3020 compressor from Pine 
(not sufficient for wells &gt;200')</t>
  </si>
  <si>
    <t>Water/Monitoring Well Sampling                                                   Water/Monitoring Well Sampling                                             Water/Monitoring Well Sampling                                          Water/Monitoring Well Sampling</t>
  </si>
  <si>
    <t>Mobile/Digital</t>
  </si>
  <si>
    <r>
      <t>LDPE/HDPE</t>
    </r>
    <r>
      <rPr>
        <strike/>
        <sz val="11"/>
        <rFont val="Calibri"/>
        <family val="2"/>
        <scheme val="minor"/>
      </rPr>
      <t xml:space="preserve"> </t>
    </r>
    <r>
      <rPr>
        <sz val="11"/>
        <rFont val="Calibri"/>
        <family val="2"/>
        <scheme val="minor"/>
      </rPr>
      <t xml:space="preserve">tubing </t>
    </r>
  </si>
  <si>
    <t>(per foot)</t>
  </si>
  <si>
    <t xml:space="preserve">Ferrous Iron Ampoules </t>
  </si>
  <si>
    <t>Per Test with CHEMetrics R-6210</t>
  </si>
  <si>
    <t xml:space="preserve">Bailer (HDPE) - small dia. </t>
  </si>
  <si>
    <t>Bailer (HDPE) - large dia.</t>
  </si>
  <si>
    <t xml:space="preserve">PID </t>
  </si>
  <si>
    <t>miniRAE w/ 10.6eV lamp</t>
  </si>
  <si>
    <t>PID - Benzene specific</t>
  </si>
  <si>
    <t xml:space="preserve"> UltraRAE</t>
  </si>
  <si>
    <t>Mist Net-per 2 Net Nights</t>
  </si>
  <si>
    <t>Equipment</t>
  </si>
  <si>
    <t>Supplies</t>
  </si>
  <si>
    <t xml:space="preserve">Math Check </t>
  </si>
  <si>
    <t>Code  - Day</t>
  </si>
  <si>
    <t>Code - Week</t>
  </si>
  <si>
    <t>Week Rate</t>
  </si>
  <si>
    <t>CNH Industrial America, LLC</t>
  </si>
  <si>
    <t>2019 Standard EV Rates - 15% | 6% | 2%</t>
  </si>
  <si>
    <t>2020 Standard EV Rates - 15% | 6% | 2%</t>
  </si>
  <si>
    <t xml:space="preserve">Please contact Karen Saucier (ksaucier@trccompanies.com). </t>
  </si>
  <si>
    <t>WATER</t>
  </si>
  <si>
    <t>ISoil</t>
  </si>
  <si>
    <t>IChem</t>
  </si>
  <si>
    <t>LAB ANALYSIS / WATER</t>
  </si>
  <si>
    <t>LAB ANALYSIS / SOLIDS</t>
  </si>
  <si>
    <t>UNIT1</t>
  </si>
  <si>
    <t>UNIT2</t>
  </si>
  <si>
    <t>UNIT3</t>
  </si>
  <si>
    <t>UNIT4</t>
  </si>
  <si>
    <t>UNIT5</t>
  </si>
  <si>
    <t>UNIT6</t>
  </si>
  <si>
    <t>UNIT7</t>
  </si>
  <si>
    <t>UNIT8</t>
  </si>
  <si>
    <t>UNIT9</t>
  </si>
  <si>
    <t>UNIT10</t>
  </si>
  <si>
    <t>WAT1</t>
  </si>
  <si>
    <t>WAT2</t>
  </si>
  <si>
    <t>WAT3</t>
  </si>
  <si>
    <t>WAT4</t>
  </si>
  <si>
    <t>WAT5</t>
  </si>
  <si>
    <t>WAT6</t>
  </si>
  <si>
    <t>WAT7</t>
  </si>
  <si>
    <t>WAT8</t>
  </si>
  <si>
    <t>WAT9</t>
  </si>
  <si>
    <t>WAT10</t>
  </si>
  <si>
    <t>PRICE</t>
  </si>
  <si>
    <t>COST</t>
  </si>
  <si>
    <t>3M Company</t>
  </si>
  <si>
    <t>Both</t>
  </si>
  <si>
    <t>Field Kit</t>
  </si>
  <si>
    <t>Wetland Field Kit</t>
  </si>
  <si>
    <t>PPL Field Kit</t>
  </si>
  <si>
    <t>PPL Wetland Field Kit</t>
  </si>
  <si>
    <t>Bluetooth GPS Receiver with Tablet</t>
  </si>
  <si>
    <t>Tablet/iPad/Phone</t>
  </si>
  <si>
    <t>MASTER ECR EQUIPMENT/FIELD SUPPLIES UNIT RATE SHEET                                        Last Updated April 6, 2020</t>
  </si>
  <si>
    <t>A_BGPST_D</t>
  </si>
  <si>
    <t>A_BGPST_W</t>
  </si>
  <si>
    <t>A_BGPST_M</t>
  </si>
  <si>
    <t>A_WETKIT_D</t>
  </si>
  <si>
    <t>M_FLDSPL</t>
  </si>
  <si>
    <t>A_FLDKT_D</t>
  </si>
  <si>
    <t>A_FLDKT_W</t>
  </si>
  <si>
    <t>Purple highlights indicate 0 or 2 individuals in that category</t>
  </si>
  <si>
    <t>2021 Standard EV Rates - 15% | 6% | 2%</t>
  </si>
  <si>
    <t>Ahlstrom-Munksjo  2021</t>
  </si>
  <si>
    <t>Temp</t>
  </si>
  <si>
    <t>Kinder Morgan (2021)</t>
  </si>
  <si>
    <t>Staff Eng/Sci/Geo 2</t>
  </si>
  <si>
    <t>Sr Principal</t>
  </si>
  <si>
    <t>Sr Program Manager</t>
  </si>
  <si>
    <t>Sr Eng/Sci/Geo 2</t>
  </si>
  <si>
    <t>Sr Eng/Sci/Geo 1</t>
  </si>
  <si>
    <t>Prjt Eng/Sci/Geo 2</t>
  </si>
  <si>
    <t>Prjt Eng/Sci/Geo 1</t>
  </si>
  <si>
    <t>Prgm Mngr | Sr Eng/Geo/Sci 4</t>
  </si>
  <si>
    <t>Sr Prjt Mgr 2</t>
  </si>
  <si>
    <t>Sr Prjt Mgr 1 | Sr Eng/Sci/Geo 3</t>
  </si>
  <si>
    <t>Prjt/Tech Mngr 4</t>
  </si>
  <si>
    <t>Prjt/Tech Mngr 3</t>
  </si>
  <si>
    <t>Prjt/Tech Mngr 1</t>
  </si>
  <si>
    <t>CADD Draft Support 2</t>
  </si>
  <si>
    <t>Senior Tech Admin Support</t>
  </si>
  <si>
    <t>Tech Admin Support</t>
  </si>
  <si>
    <t xml:space="preserve">CADD 1 | Laborer | Purch/ Exped Agent </t>
  </si>
  <si>
    <t>Prjt Eng/Sci/Geo 4 | Prjt Tech Mngr 2</t>
  </si>
  <si>
    <t>Prjt Eng/Sci/Geo 3  | Ops Mngr</t>
  </si>
  <si>
    <t>Staff Eng/Sci/Geo 4</t>
  </si>
  <si>
    <t>Sr CADD Draft Support 2 | Const Super</t>
  </si>
  <si>
    <t>Staff Eng/Sci/Geo 3</t>
  </si>
  <si>
    <t>Sr CADD Draft Support 1 | Equip Operator</t>
  </si>
  <si>
    <t>Staff Eng/Sci/Geo 1 | Sr Purch/Exped Agent</t>
  </si>
  <si>
    <t>ND Paper (2021-2022)</t>
  </si>
  <si>
    <t>2022 Standard EV Rates - 15% | 6% | 2%</t>
  </si>
  <si>
    <r>
      <t>(1)</t>
    </r>
    <r>
      <rPr>
        <sz val="8"/>
        <rFont val="Arial"/>
        <family val="2"/>
      </rPr>
      <t xml:space="preserve"> A 15% Mark‐up will be added to non‐labor costs and expenses/ODCs. </t>
    </r>
  </si>
  <si>
    <r>
      <t>(2)</t>
    </r>
    <r>
      <rPr>
        <sz val="8"/>
        <rFont val="Arial"/>
        <family val="2"/>
      </rPr>
      <t xml:space="preserve"> A 6% Communication Fee will be applied to labor charges in lieu of separate reimbursement for photocopying, report production, faxing, computer usage, software usage, telephone charges, and postage costs.</t>
    </r>
    <r>
      <rPr>
        <vertAlign val="superscript"/>
        <sz val="8"/>
        <rFont val="Arial"/>
        <family val="2"/>
      </rPr>
      <t xml:space="preserve"> </t>
    </r>
    <r>
      <rPr>
        <sz val="8"/>
        <rFont val="Arial"/>
        <family val="2"/>
      </rPr>
      <t xml:space="preserve"> Digital productivity solutions/applications include mobile and desktop applications designed to increase efficiency in data collection and representation, excluding custom development as required on a per project basis.</t>
    </r>
  </si>
  <si>
    <r>
      <t>(3)</t>
    </r>
    <r>
      <rPr>
        <sz val="8"/>
        <rFont val="Arial"/>
        <family val="2"/>
      </rPr>
      <t xml:space="preserve"> Overtime rates will apply to non-exempt (hourly) staff in conformance with applicable law.</t>
    </r>
  </si>
  <si>
    <r>
      <t>(4)</t>
    </r>
    <r>
      <rPr>
        <sz val="8"/>
        <rFont val="Arial"/>
        <family val="2"/>
      </rPr>
      <t xml:space="preserve"> All TRC rates are subject to an annual calendar year escalation.</t>
    </r>
  </si>
  <si>
    <r>
      <t>(5)</t>
    </r>
    <r>
      <rPr>
        <sz val="8"/>
        <rFont val="Arial"/>
        <family val="2"/>
      </rPr>
      <t xml:space="preserve"> All invoicing will apply TRC billing rates in conformance with the rate schedule in effect at the time of the services.</t>
    </r>
  </si>
  <si>
    <r>
      <t>(6)</t>
    </r>
    <r>
      <rPr>
        <sz val="8"/>
        <rFont val="Arial"/>
        <family val="2"/>
      </rPr>
      <t xml:space="preserve"> A 2% fee will be applied to the invoice amount to cover Professional Liability and Related Insurance costs.</t>
    </r>
  </si>
  <si>
    <r>
      <t xml:space="preserve">(7)  </t>
    </r>
    <r>
      <rPr>
        <sz val="8"/>
        <rFont val="Arial"/>
        <family val="2"/>
      </rPr>
      <t>For Litigation or Litigation Support Services, please request a copy of our Standard Rates for Litigation Services.</t>
    </r>
  </si>
  <si>
    <t>If you enter a quantity, you must also enter a phase number on the same row. 
For TYPE, enter WATER for groundwater or surface water, SOLID for soil, sediment or other solid sample, and AIR for air; enter ISoil for the Soils Lab, IChem for the Applied Chem lab.</t>
  </si>
  <si>
    <t>Marathon</t>
  </si>
  <si>
    <t>BNSF (2022)</t>
  </si>
  <si>
    <t>Last Updated: November 2022</t>
  </si>
  <si>
    <t>2023 Standard EV Rates - 15% | 6% | 2%</t>
  </si>
  <si>
    <t>2023 EV Litigation Rates - 15% | 6% | 2%</t>
  </si>
  <si>
    <t>ESG</t>
  </si>
  <si>
    <t>Sector President</t>
  </si>
  <si>
    <t>Group (Unit) Practice Leader</t>
  </si>
  <si>
    <r>
      <rPr>
        <b/>
        <u/>
        <sz val="14"/>
        <rFont val="Cambria"/>
        <family val="1"/>
        <scheme val="major"/>
      </rPr>
      <t>Select</t>
    </r>
    <r>
      <rPr>
        <b/>
        <sz val="14"/>
        <rFont val="Cambria"/>
        <family val="1"/>
        <scheme val="major"/>
      </rPr>
      <t xml:space="preserve"> the appropriate rate from the Rate Pulldown Menu.  </t>
    </r>
    <r>
      <rPr>
        <sz val="14"/>
        <rFont val="Cambria"/>
        <family val="1"/>
        <scheme val="major"/>
      </rPr>
      <t xml:space="preserve">
</t>
    </r>
    <r>
      <rPr>
        <i/>
        <sz val="14"/>
        <color rgb="FF0000FF"/>
        <rFont val="Cambria"/>
        <family val="1"/>
        <scheme val="major"/>
      </rPr>
      <t xml:space="preserve">If you have an approved modified Rate Schedule, based on the EV Standard P-Code Rate structure, and would like it incorporated into this Budget|Profitability Estimator please contact Karen Saucier (ksaucier@trccompanies.com). </t>
    </r>
  </si>
  <si>
    <t>2023 TRC Advisory Rate Schedule (ESG)</t>
  </si>
  <si>
    <t>WM 2023</t>
  </si>
  <si>
    <t xml:space="preserve">Clarios 2023 </t>
  </si>
  <si>
    <t xml:space="preserve">HFS/HEP (2023) </t>
  </si>
  <si>
    <t>Mosaic Company (2023-2024)</t>
  </si>
  <si>
    <t xml:space="preserve">DTE (2023) </t>
  </si>
  <si>
    <t>MilliporeSigma (2023)</t>
  </si>
  <si>
    <t>INEOS Aromatics (2023) [not O&amp;P]</t>
  </si>
  <si>
    <t>Last update 06/22/2023</t>
  </si>
  <si>
    <t>2024 Standard EV Rates - 15% | 6% | 2%</t>
  </si>
  <si>
    <t>2024 EV Litigation Rates - 15% | 6% | 2%</t>
  </si>
  <si>
    <t>EV28- Principal/Technical Director Level IV $363</t>
  </si>
  <si>
    <t>EV27- Principal/Technical Director Level III $316</t>
  </si>
  <si>
    <t>EV26- Principal/Technical Director Level II $283</t>
  </si>
  <si>
    <t>EV25- Principal/Technical Director Level I $262</t>
  </si>
  <si>
    <t>EV24- Prog Manager/Sr Tech Manager Level IV $254</t>
  </si>
  <si>
    <t>EV23- Prog Manager/Sr Tech Manager Level III $235</t>
  </si>
  <si>
    <t>EV22- Prog Manager/Sr Tech Manager Level II $229</t>
  </si>
  <si>
    <t>EV21- Prog Manager/Sr Tech Manager Level I $219</t>
  </si>
  <si>
    <t>EV20- Project/Technical Manager Level IV $211</t>
  </si>
  <si>
    <t>EV19- Project/Technical Manager Level III $201</t>
  </si>
  <si>
    <t>EV18- Project/Technical Manager Level II $193</t>
  </si>
  <si>
    <t>EV17- Project/Technical Manager Level I $187</t>
  </si>
  <si>
    <t>EV16- Sr Scientist/Engineer/Specialist Level IV $178</t>
  </si>
  <si>
    <t>EV15- Sr Scientist/Engineer/Specialist Level III $169</t>
  </si>
  <si>
    <t>EV14- Sr Scientist/Engineer/Specialist Level II $162</t>
  </si>
  <si>
    <t>EV13- Sr Scientist/Engineer/Specialist Level I $155</t>
  </si>
  <si>
    <t>EV12- Proj. Scientist/Engineer/Specialist Level IV $147</t>
  </si>
  <si>
    <t>EV11- Proj. Scientist/Engineer/Specialist Level III $139</t>
  </si>
  <si>
    <t>EV10- Proj. Scientist/Engineer/Specialist Level II $133</t>
  </si>
  <si>
    <t>EV09- Proj. Scientist/Engineer/Specialist Level I $123</t>
  </si>
  <si>
    <t>EV08- Scien/Eng/Special/Tech/Support Level VIII $117</t>
  </si>
  <si>
    <t>EV07- Scien/Eng/Special/Tech/Support Level VII $110</t>
  </si>
  <si>
    <t>EV06- Scien/Eng/Special/Tech/Support Level VI $101</t>
  </si>
  <si>
    <t>EV05- Scien/Eng/Special/Tech/Support Level V $94</t>
  </si>
  <si>
    <t>EV04- Scien/Eng/Special/Tech/Support Level IV $85</t>
  </si>
  <si>
    <t>EV03- Scien/Eng/Special/Tech/Support Level III $78</t>
  </si>
  <si>
    <t>EV02- Scien/Eng/Special/Tech/Support Level II $71</t>
  </si>
  <si>
    <t>EV01- Scien/Eng/Special/Tech/Support Level I $57</t>
  </si>
  <si>
    <t>Last Updated: October 2023</t>
  </si>
  <si>
    <t xml:space="preserve">TRC Environmental 2024 Rate Schedule </t>
  </si>
  <si>
    <t>HINT:</t>
  </si>
  <si>
    <t>Results You Can Rely On</t>
  </si>
  <si>
    <t>Standard Phase</t>
  </si>
  <si>
    <t>Phase Number</t>
  </si>
  <si>
    <t>Custom Phase Name</t>
  </si>
  <si>
    <t>IMPORTANT NOTE:  When estimating a FIXED FEE project use 2024 STANDARD EV RATES (with or without Labor Rate Discount).</t>
  </si>
  <si>
    <t>Phase 2</t>
  </si>
  <si>
    <t>Phase 1</t>
  </si>
  <si>
    <t>E11</t>
  </si>
  <si>
    <t>E12</t>
  </si>
  <si>
    <t>E13</t>
  </si>
  <si>
    <t>E14</t>
  </si>
  <si>
    <t>E15</t>
  </si>
  <si>
    <t>E16</t>
  </si>
  <si>
    <t>E17</t>
  </si>
  <si>
    <t>E18</t>
  </si>
  <si>
    <t>E19</t>
  </si>
  <si>
    <t>E20</t>
  </si>
  <si>
    <t>RangeName</t>
  </si>
  <si>
    <t>E1BASEA4</t>
  </si>
  <si>
    <t>E1BASEA3</t>
  </si>
  <si>
    <t>E1BASEA2</t>
  </si>
  <si>
    <t>E1BASEA1</t>
  </si>
  <si>
    <t>E1BASEB4</t>
  </si>
  <si>
    <t>E1BASEB3</t>
  </si>
  <si>
    <t>E1BASEB2</t>
  </si>
  <si>
    <t>E1BASEB1</t>
  </si>
  <si>
    <t>E1BASEC4</t>
  </si>
  <si>
    <t>E1BASEC3</t>
  </si>
  <si>
    <t>E1BASEC2</t>
  </si>
  <si>
    <t>E1BASEC1</t>
  </si>
  <si>
    <t>E1BASED4</t>
  </si>
  <si>
    <t>E1BASED3</t>
  </si>
  <si>
    <t>E1BASED2</t>
  </si>
  <si>
    <t>E1BASED1</t>
  </si>
  <si>
    <t>E1BASEE4</t>
  </si>
  <si>
    <t>E1BASEE3</t>
  </si>
  <si>
    <t>E1BASEE2</t>
  </si>
  <si>
    <t>E1BASEE1</t>
  </si>
  <si>
    <t>E1BASEF4</t>
  </si>
  <si>
    <t>E1BASEF3</t>
  </si>
  <si>
    <t>E1BASEF2</t>
  </si>
  <si>
    <t>E1BASEF1</t>
  </si>
  <si>
    <t>E1BASEG4</t>
  </si>
  <si>
    <t>E1BASEG3</t>
  </si>
  <si>
    <t>E1BASEG2</t>
  </si>
  <si>
    <t>E1BASEG1</t>
  </si>
  <si>
    <t>Formula</t>
  </si>
  <si>
    <t>'=SUMIF($D$5:$AE$5,D42,$D$27:$AE$27)</t>
  </si>
  <si>
    <t>=SUMIF($D$5:$AE$5,E42,$D$27:$AE$27)</t>
  </si>
  <si>
    <t>=SUMIF($D$5:$AE$5,F42,$D$27:$AE$27)</t>
  </si>
  <si>
    <t>=SUMIF($D$5:$AE$5,G42,$D$27:$AE$27)</t>
  </si>
  <si>
    <t>=SUMIF($D$5:$AE$5,H42,$D$27:$AE$27)</t>
  </si>
  <si>
    <t>=SUMIF($D$5:$AE$5,I42,$D$27:$AE$27)</t>
  </si>
  <si>
    <t>=SUMIF($D$5:$AE$5,J42,$D$27:$AE$27)</t>
  </si>
  <si>
    <t>=SUMIF($D$5:$AE$5,K42,$D$27:$AE$27)</t>
  </si>
  <si>
    <t>=SUMIF($D$5:$AE$5,L42,$D$27:$AE$27)</t>
  </si>
  <si>
    <t>=SUMIF($D$5:$AE$5,M42,$D$27:$AE$27)</t>
  </si>
  <si>
    <t>=SUMIF($D$5:$AE$5,N42,$D$27:$AE$27)</t>
  </si>
  <si>
    <t>=SUMIF($D$5:$AE$5,O42,$D$27:$AE$27)</t>
  </si>
  <si>
    <t>=SUMIF($D$5:$AE$5,P42,$D$27:$AE$27)</t>
  </si>
  <si>
    <t>=SUMIF($D$5:$AE$5,Q42,$D$27:$AE$27)</t>
  </si>
  <si>
    <t>=SUMIF($D$5:$AE$5,R42,$D$27:$AE$27)</t>
  </si>
  <si>
    <t>=SUMIF($D$5:$AE$5,S42,$D$27:$AE$27)</t>
  </si>
  <si>
    <t>=SUMIF($D$5:$AE$5,T42,$D$27:$AE$27)</t>
  </si>
  <si>
    <t>=SUMIF($D$5:$AE$5,U42,$D$27:$AE$27)</t>
  </si>
  <si>
    <t>=SUMIF($D$5:$AE$5,V42,$D$27:$AE$27)</t>
  </si>
  <si>
    <t>=SUMIF($D$5:$AE$5,W42,$D$27:$AE$27)</t>
  </si>
  <si>
    <t>=SUMIF($D$5:$AE$5,X42,$D$27:$AE$27)</t>
  </si>
  <si>
    <t>=SUMIF($D$5:$AE$5,Y42,$D$27:$AE$27)</t>
  </si>
  <si>
    <t>=SUMIF($D$5:$AE$5,Z42,$D$27:$AE$27)</t>
  </si>
  <si>
    <t>=SUMIF($D$5:$AE$5,AA42,$D$27:$AE$27)</t>
  </si>
  <si>
    <t>=SUMIF($D$5:$AE$5,AB42,$D$27:$AE$27)</t>
  </si>
  <si>
    <t>=SUMIF($D$5:$AE$5,AC42,$D$27:$AE$27)</t>
  </si>
  <si>
    <t>=SUMIF($D$5:$AE$5,AD42,$D$27:$AE$27)</t>
  </si>
  <si>
    <t>=SUMIF($D$5:$AE$5,AE42,$D$27:$AE$27)</t>
  </si>
  <si>
    <t>Row</t>
  </si>
  <si>
    <t>Starting col</t>
  </si>
  <si>
    <t>E</t>
  </si>
  <si>
    <t>H</t>
  </si>
  <si>
    <t xml:space="preserve">K </t>
  </si>
  <si>
    <t xml:space="preserve">M </t>
  </si>
  <si>
    <t>U</t>
  </si>
  <si>
    <t>X</t>
  </si>
  <si>
    <t>Z</t>
  </si>
  <si>
    <t>AA</t>
  </si>
  <si>
    <t>AB</t>
  </si>
  <si>
    <t>AC</t>
  </si>
  <si>
    <t>AD</t>
  </si>
  <si>
    <t>AE</t>
  </si>
  <si>
    <t>E2BASEA4</t>
  </si>
  <si>
    <t>E2BASEA3</t>
  </si>
  <si>
    <t>E2BASEA2</t>
  </si>
  <si>
    <t>E2BASEA1</t>
  </si>
  <si>
    <t>E2BASEB4</t>
  </si>
  <si>
    <t>E2BASEB3</t>
  </si>
  <si>
    <t>E2BASEB2</t>
  </si>
  <si>
    <t>E2BASEB1</t>
  </si>
  <si>
    <t>E2BASEC4</t>
  </si>
  <si>
    <t>E2BASEC3</t>
  </si>
  <si>
    <t>E2BASEC2</t>
  </si>
  <si>
    <t>E2BASEC1</t>
  </si>
  <si>
    <t>E2BASED4</t>
  </si>
  <si>
    <t>E2BASED3</t>
  </si>
  <si>
    <t>E2BASED2</t>
  </si>
  <si>
    <t>E2BASED1</t>
  </si>
  <si>
    <t>E2BASEE4</t>
  </si>
  <si>
    <t>E2BASEE3</t>
  </si>
  <si>
    <t>E2BASEE2</t>
  </si>
  <si>
    <t>E2BASEF4</t>
  </si>
  <si>
    <t>E2BASEF3</t>
  </si>
  <si>
    <t>E2BASEF2</t>
  </si>
  <si>
    <t>E2BASEF1</t>
  </si>
  <si>
    <t>E2BASEG4</t>
  </si>
  <si>
    <t>E2BASEG3</t>
  </si>
  <si>
    <t>E2BASEG2</t>
  </si>
  <si>
    <t>E2BASEG1</t>
  </si>
  <si>
    <t>Phase 3</t>
  </si>
  <si>
    <t>Phase 4</t>
  </si>
  <si>
    <t>Phase 5</t>
  </si>
  <si>
    <t>Phase 6</t>
  </si>
  <si>
    <t>Phase 7</t>
  </si>
  <si>
    <t>Phase 8</t>
  </si>
  <si>
    <t>Phase 9</t>
  </si>
  <si>
    <t>E3BASEA4</t>
  </si>
  <si>
    <t>E3BASEA3</t>
  </si>
  <si>
    <t>E3BASEA2</t>
  </si>
  <si>
    <t>E3BASEA1</t>
  </si>
  <si>
    <t>E3BASEB4</t>
  </si>
  <si>
    <t>E3BASEB3</t>
  </si>
  <si>
    <t>E3BASEB2</t>
  </si>
  <si>
    <t>E3BASEB1</t>
  </si>
  <si>
    <t>E3BASEC4</t>
  </si>
  <si>
    <t>E3BASEC3</t>
  </si>
  <si>
    <t>E3BASEC2</t>
  </si>
  <si>
    <t>E3BASEC1</t>
  </si>
  <si>
    <t>E3BASED4</t>
  </si>
  <si>
    <t>E3BASED3</t>
  </si>
  <si>
    <t>E3BASED2</t>
  </si>
  <si>
    <t>E3BASED1</t>
  </si>
  <si>
    <t>E3BASEE4</t>
  </si>
  <si>
    <t>E3BASEE3</t>
  </si>
  <si>
    <t>E3BASEF4</t>
  </si>
  <si>
    <t>E3BASEF3</t>
  </si>
  <si>
    <t>E3BASEF2</t>
  </si>
  <si>
    <t>E3BASEF1</t>
  </si>
  <si>
    <t>E3BASEG4</t>
  </si>
  <si>
    <t>E3BASEG3</t>
  </si>
  <si>
    <t>E3BASEG2</t>
  </si>
  <si>
    <t>E3BASEG1</t>
  </si>
  <si>
    <t>E4BASEA4</t>
  </si>
  <si>
    <t>E4BASEA3</t>
  </si>
  <si>
    <t>E4BASEA2</t>
  </si>
  <si>
    <t>E4BASEA1</t>
  </si>
  <si>
    <t>E4BASEB4</t>
  </si>
  <si>
    <t>E4BASEB3</t>
  </si>
  <si>
    <t>E4BASEB2</t>
  </si>
  <si>
    <t>E4BASEB1</t>
  </si>
  <si>
    <t>E4BASEC4</t>
  </si>
  <si>
    <t>E4BASEC3</t>
  </si>
  <si>
    <t>E4BASEC2</t>
  </si>
  <si>
    <t>E4BASEC1</t>
  </si>
  <si>
    <t>E4BASED4</t>
  </si>
  <si>
    <t>E4BASED3</t>
  </si>
  <si>
    <t>E4BASED2</t>
  </si>
  <si>
    <t>E4BASED1</t>
  </si>
  <si>
    <t>E4BASEE4</t>
  </si>
  <si>
    <t>E4BASEF4</t>
  </si>
  <si>
    <t>E4BASEF3</t>
  </si>
  <si>
    <t>E4BASEF2</t>
  </si>
  <si>
    <t>E4BASEF1</t>
  </si>
  <si>
    <t>E4BASEG4</t>
  </si>
  <si>
    <t>E4BASEG3</t>
  </si>
  <si>
    <t>E4BASEG2</t>
  </si>
  <si>
    <t>E4BASEG1</t>
  </si>
  <si>
    <t>E5BASEA4</t>
  </si>
  <si>
    <t>E5BASEA3</t>
  </si>
  <si>
    <t>E5BASEA2</t>
  </si>
  <si>
    <t>E5BASEA1</t>
  </si>
  <si>
    <t>E5BASEB4</t>
  </si>
  <si>
    <t>E5BASEB3</t>
  </si>
  <si>
    <t>E5BASEB2</t>
  </si>
  <si>
    <t>E5BASEB1</t>
  </si>
  <si>
    <t>E5BASEC4</t>
  </si>
  <si>
    <t>E5BASEC3</t>
  </si>
  <si>
    <t>E5BASEC2</t>
  </si>
  <si>
    <t>E5BASEC1</t>
  </si>
  <si>
    <t>E5BASED4</t>
  </si>
  <si>
    <t>E5BASED3</t>
  </si>
  <si>
    <t>E5BASED2</t>
  </si>
  <si>
    <t>E5BASED1</t>
  </si>
  <si>
    <t>E5BASEF4</t>
  </si>
  <si>
    <t>E5BASEF3</t>
  </si>
  <si>
    <t>E5BASEF2</t>
  </si>
  <si>
    <t>E5BASEF1</t>
  </si>
  <si>
    <t>E5BASEG4</t>
  </si>
  <si>
    <t>E5BASEG3</t>
  </si>
  <si>
    <t>E5BASEG2</t>
  </si>
  <si>
    <t>E5BASEG1</t>
  </si>
  <si>
    <t>E6BASEA4</t>
  </si>
  <si>
    <t>E6BASEA3</t>
  </si>
  <si>
    <t>E6BASEA2</t>
  </si>
  <si>
    <t>E6BASEA1</t>
  </si>
  <si>
    <t>E6BASEB4</t>
  </si>
  <si>
    <t>E6BASEB3</t>
  </si>
  <si>
    <t>E6BASEB2</t>
  </si>
  <si>
    <t>E6BASEB1</t>
  </si>
  <si>
    <t>E6BASEC4</t>
  </si>
  <si>
    <t>E6BASEC3</t>
  </si>
  <si>
    <t>E6BASEC2</t>
  </si>
  <si>
    <t>E6BASEC1</t>
  </si>
  <si>
    <t>E6BASED4</t>
  </si>
  <si>
    <t>E6BASED3</t>
  </si>
  <si>
    <t>E6BASED2</t>
  </si>
  <si>
    <t>E6BASED1</t>
  </si>
  <si>
    <t>E6BASEF4</t>
  </si>
  <si>
    <t>E6BASEF3</t>
  </si>
  <si>
    <t>E6BASEF2</t>
  </si>
  <si>
    <t>E6BASEF1</t>
  </si>
  <si>
    <t>E6BASEG4</t>
  </si>
  <si>
    <t>E6BASEG3</t>
  </si>
  <si>
    <t>E6BASEG2</t>
  </si>
  <si>
    <t>E6BASEG1</t>
  </si>
  <si>
    <t>E7BASEA4</t>
  </si>
  <si>
    <t>E7BASEA3</t>
  </si>
  <si>
    <t>E7BASEA2</t>
  </si>
  <si>
    <t>E7BASEA1</t>
  </si>
  <si>
    <t>E7BASEB4</t>
  </si>
  <si>
    <t>E7BASEB3</t>
  </si>
  <si>
    <t>E7BASEB2</t>
  </si>
  <si>
    <t>E7BASEB1</t>
  </si>
  <si>
    <t>E7BASEC4</t>
  </si>
  <si>
    <t>E7BASEC3</t>
  </si>
  <si>
    <t>E7BASEC2</t>
  </si>
  <si>
    <t>E7BASEC1</t>
  </si>
  <si>
    <t>E7BASED4</t>
  </si>
  <si>
    <t>E7BASED3</t>
  </si>
  <si>
    <t>E7BASED2</t>
  </si>
  <si>
    <t>E7BASED1</t>
  </si>
  <si>
    <t>E7BASEF4</t>
  </si>
  <si>
    <t>E7BASEF3</t>
  </si>
  <si>
    <t>E7BASEF2</t>
  </si>
  <si>
    <t>E7BASEF1</t>
  </si>
  <si>
    <t>E7BASEG4</t>
  </si>
  <si>
    <t>E7BASEG3</t>
  </si>
  <si>
    <t>E7BASEG2</t>
  </si>
  <si>
    <t>E7BASEG1</t>
  </si>
  <si>
    <t>E8BASEA4</t>
  </si>
  <si>
    <t>E8BASEA3</t>
  </si>
  <si>
    <t>E8BASEA2</t>
  </si>
  <si>
    <t>E8BASEA1</t>
  </si>
  <si>
    <t>E8BASEB4</t>
  </si>
  <si>
    <t>E8BASEB3</t>
  </si>
  <si>
    <t>E8BASEB2</t>
  </si>
  <si>
    <t>E8BASEB1</t>
  </si>
  <si>
    <t>E8BASEC4</t>
  </si>
  <si>
    <t>E8BASEC3</t>
  </si>
  <si>
    <t>E8BASEC2</t>
  </si>
  <si>
    <t>E8BASEC1</t>
  </si>
  <si>
    <t>E8BASED4</t>
  </si>
  <si>
    <t>E8BASED3</t>
  </si>
  <si>
    <t>E8BASED2</t>
  </si>
  <si>
    <t>E8BASED1</t>
  </si>
  <si>
    <t>E8BASEF4</t>
  </si>
  <si>
    <t>E8BASEF3</t>
  </si>
  <si>
    <t>E8BASEF2</t>
  </si>
  <si>
    <t>E8BASEF1</t>
  </si>
  <si>
    <t>E8BASEG4</t>
  </si>
  <si>
    <t>E8BASEG3</t>
  </si>
  <si>
    <t>E8BASEG2</t>
  </si>
  <si>
    <t>E8BASEG1</t>
  </si>
  <si>
    <t>E9BASEA4</t>
  </si>
  <si>
    <t>E9BASEA3</t>
  </si>
  <si>
    <t>E9BASEA2</t>
  </si>
  <si>
    <t>E9BASEA1</t>
  </si>
  <si>
    <t>E9BASEB4</t>
  </si>
  <si>
    <t>E9BASEB3</t>
  </si>
  <si>
    <t>E9BASEB2</t>
  </si>
  <si>
    <t>E9BASEB1</t>
  </si>
  <si>
    <t>E9BASEC4</t>
  </si>
  <si>
    <t>E9BASEC3</t>
  </si>
  <si>
    <t>E9BASEC2</t>
  </si>
  <si>
    <t>E9BASEC1</t>
  </si>
  <si>
    <t>E9BASED4</t>
  </si>
  <si>
    <t>E9BASED3</t>
  </si>
  <si>
    <t>E9BASED2</t>
  </si>
  <si>
    <t>E9BASED1</t>
  </si>
  <si>
    <t>E9BASEF4</t>
  </si>
  <si>
    <t>E9BASEF3</t>
  </si>
  <si>
    <t>E9BASEF2</t>
  </si>
  <si>
    <t>E9BASEF1</t>
  </si>
  <si>
    <t>E9BASEG4</t>
  </si>
  <si>
    <t>E9BASEG3</t>
  </si>
  <si>
    <t>E9BASEG2</t>
  </si>
  <si>
    <t>E9BASEG1</t>
  </si>
  <si>
    <t>Phase 20</t>
  </si>
  <si>
    <t>Phase 19</t>
  </si>
  <si>
    <t>Phase 18</t>
  </si>
  <si>
    <t>Phase 17</t>
  </si>
  <si>
    <t>Phase 16</t>
  </si>
  <si>
    <t>Phase 15</t>
  </si>
  <si>
    <t>Phase 14</t>
  </si>
  <si>
    <t>Phase 13</t>
  </si>
  <si>
    <t>Phase 12</t>
  </si>
  <si>
    <t>Phase 11</t>
  </si>
  <si>
    <t>Phase 10</t>
  </si>
  <si>
    <t>E10BASEA4</t>
  </si>
  <si>
    <t>E10BASEA3</t>
  </si>
  <si>
    <t>E10BASEA2</t>
  </si>
  <si>
    <t>E10BASEA1</t>
  </si>
  <si>
    <t>E10BASEB4</t>
  </si>
  <si>
    <t>E10BASEB3</t>
  </si>
  <si>
    <t>E10BASEB2</t>
  </si>
  <si>
    <t>E10BASEB1</t>
  </si>
  <si>
    <t>E10BASEC4</t>
  </si>
  <si>
    <t>E10BASEC3</t>
  </si>
  <si>
    <t>E10BASEC2</t>
  </si>
  <si>
    <t>E10BASEC1</t>
  </si>
  <si>
    <t>E10BASED4</t>
  </si>
  <si>
    <t>E10BASED3</t>
  </si>
  <si>
    <t>E10BASED2</t>
  </si>
  <si>
    <t>E10BASED1</t>
  </si>
  <si>
    <t>E10BASEF4</t>
  </si>
  <si>
    <t>E10BASEF3</t>
  </si>
  <si>
    <t>E10BASEF2</t>
  </si>
  <si>
    <t>E10BASEF1</t>
  </si>
  <si>
    <t>E10BASEG4</t>
  </si>
  <si>
    <t>E10BASEG3</t>
  </si>
  <si>
    <t>E10BASEG2</t>
  </si>
  <si>
    <t>E10BASEG1</t>
  </si>
  <si>
    <t>E11BASEA4</t>
  </si>
  <si>
    <t>E11BASEA3</t>
  </si>
  <si>
    <t>E11BASEA2</t>
  </si>
  <si>
    <t>E11BASEA1</t>
  </si>
  <si>
    <t>E11BASEB4</t>
  </si>
  <si>
    <t>E11BASEB3</t>
  </si>
  <si>
    <t>E11BASEB2</t>
  </si>
  <si>
    <t>E11BASEB1</t>
  </si>
  <si>
    <t>E11BASEC4</t>
  </si>
  <si>
    <t>E11BASEC3</t>
  </si>
  <si>
    <t>E11BASEC2</t>
  </si>
  <si>
    <t>E11BASEC1</t>
  </si>
  <si>
    <t>E11BASED4</t>
  </si>
  <si>
    <t>E11BASED3</t>
  </si>
  <si>
    <t>E11BASED2</t>
  </si>
  <si>
    <t>E11BASED1</t>
  </si>
  <si>
    <t>E11BASEF4</t>
  </si>
  <si>
    <t>E11BASEF3</t>
  </si>
  <si>
    <t>E11BASEF2</t>
  </si>
  <si>
    <t>E11BASEF1</t>
  </si>
  <si>
    <t>E11BASEG4</t>
  </si>
  <si>
    <t>E11BASEG3</t>
  </si>
  <si>
    <t>E11BASEG2</t>
  </si>
  <si>
    <t>E11BASEG1</t>
  </si>
  <si>
    <t>E12BASEA4</t>
  </si>
  <si>
    <t>E12BASEA3</t>
  </si>
  <si>
    <t>E12BASEA2</t>
  </si>
  <si>
    <t>E12BASEA1</t>
  </si>
  <si>
    <t>E12BASEB4</t>
  </si>
  <si>
    <t>E12BASEB3</t>
  </si>
  <si>
    <t>E12BASEB2</t>
  </si>
  <si>
    <t>E12BASEB1</t>
  </si>
  <si>
    <t>E12BASEC4</t>
  </si>
  <si>
    <t>E12BASEC3</t>
  </si>
  <si>
    <t>E12BASEC2</t>
  </si>
  <si>
    <t>E12BASEC1</t>
  </si>
  <si>
    <t>E12BASED4</t>
  </si>
  <si>
    <t>E12BASED3</t>
  </si>
  <si>
    <t>E12BASED2</t>
  </si>
  <si>
    <t>E12BASED1</t>
  </si>
  <si>
    <t>E12BASEF4</t>
  </si>
  <si>
    <t>E12BASEF3</t>
  </si>
  <si>
    <t>E12BASEF2</t>
  </si>
  <si>
    <t>E12BASEF1</t>
  </si>
  <si>
    <t>E12BASEG4</t>
  </si>
  <si>
    <t>E12BASEG3</t>
  </si>
  <si>
    <t>E12BASEG2</t>
  </si>
  <si>
    <t>E12BASEG1</t>
  </si>
  <si>
    <t>E5BASEE4</t>
  </si>
  <si>
    <t>E6BASEE4</t>
  </si>
  <si>
    <t>E7BASEE4</t>
  </si>
  <si>
    <t>E8BASEE4</t>
  </si>
  <si>
    <t>E9BASEE4</t>
  </si>
  <si>
    <t>E10BASEE4</t>
  </si>
  <si>
    <t>E11BASEE4</t>
  </si>
  <si>
    <t>E12BASEE4</t>
  </si>
  <si>
    <t>E4BASEE3</t>
  </si>
  <si>
    <t>E5BASEE3</t>
  </si>
  <si>
    <t>E6BASEE3</t>
  </si>
  <si>
    <t>E7BASEE3</t>
  </si>
  <si>
    <t>E8BASEE3</t>
  </si>
  <si>
    <t>E9BASEE3</t>
  </si>
  <si>
    <t>E10BASEE3</t>
  </si>
  <si>
    <t>E11BASEE3</t>
  </si>
  <si>
    <t>E12BASEE3</t>
  </si>
  <si>
    <t>E12BASEE2</t>
  </si>
  <si>
    <t>E3BASEE2</t>
  </si>
  <si>
    <t>E4BASEE2</t>
  </si>
  <si>
    <t>E5BASEE2</t>
  </si>
  <si>
    <t>E6BASEE2</t>
  </si>
  <si>
    <t>E7BASEE2</t>
  </si>
  <si>
    <t>E8BASEE2</t>
  </si>
  <si>
    <t>E9BASEE2</t>
  </si>
  <si>
    <t>E10BASEE2</t>
  </si>
  <si>
    <t>E11BASEE2</t>
  </si>
  <si>
    <t>E2BASEE1</t>
  </si>
  <si>
    <t>E3BASEE1</t>
  </si>
  <si>
    <t>E4BASEE1</t>
  </si>
  <si>
    <t>E5BASEE1</t>
  </si>
  <si>
    <t>E6BASEE1</t>
  </si>
  <si>
    <t>E7BASEE1</t>
  </si>
  <si>
    <t>E8BASEE1</t>
  </si>
  <si>
    <t>E9BASEE1</t>
  </si>
  <si>
    <t>E10BASEE1</t>
  </si>
  <si>
    <t>E11BASEE1</t>
  </si>
  <si>
    <t>E12BASEE1</t>
  </si>
  <si>
    <t>E13BASEA4</t>
  </si>
  <si>
    <t>E13BASEA3</t>
  </si>
  <si>
    <t>E13BASEA2</t>
  </si>
  <si>
    <t>E13BASEA1</t>
  </si>
  <si>
    <t>E13BASEB4</t>
  </si>
  <si>
    <t>E13BASEB3</t>
  </si>
  <si>
    <t>E13BASEB2</t>
  </si>
  <si>
    <t>E13BASEB1</t>
  </si>
  <si>
    <t>E13BASEC4</t>
  </si>
  <si>
    <t>E13BASEC3</t>
  </si>
  <si>
    <t>E13BASEC2</t>
  </si>
  <si>
    <t>E13BASEC1</t>
  </si>
  <si>
    <t>E13BASED4</t>
  </si>
  <si>
    <t>E13BASED3</t>
  </si>
  <si>
    <t>E13BASED2</t>
  </si>
  <si>
    <t>E13BASED1</t>
  </si>
  <si>
    <t>E13BASEE4</t>
  </si>
  <si>
    <t>E13BASEE3</t>
  </si>
  <si>
    <t>E13BASEE2</t>
  </si>
  <si>
    <t>E13BASEE1</t>
  </si>
  <si>
    <t>E13BASEF4</t>
  </si>
  <si>
    <t>E13BASEF3</t>
  </si>
  <si>
    <t>E13BASEF2</t>
  </si>
  <si>
    <t>E13BASEF1</t>
  </si>
  <si>
    <t>E13BASEG4</t>
  </si>
  <si>
    <t>E13BASEG3</t>
  </si>
  <si>
    <t>E13BASEG2</t>
  </si>
  <si>
    <t>E13BASEG1</t>
  </si>
  <si>
    <t>E14BASEA4</t>
  </si>
  <si>
    <t>E14BASEA3</t>
  </si>
  <si>
    <t>E14BASEA2</t>
  </si>
  <si>
    <t>E14BASEA1</t>
  </si>
  <si>
    <t>E14BASEB4</t>
  </si>
  <si>
    <t>E14BASEB3</t>
  </si>
  <si>
    <t>E14BASEB2</t>
  </si>
  <si>
    <t>E14BASEB1</t>
  </si>
  <si>
    <t>E14BASEC4</t>
  </si>
  <si>
    <t>E14BASEC3</t>
  </si>
  <si>
    <t>E14BASEC2</t>
  </si>
  <si>
    <t>E14BASEC1</t>
  </si>
  <si>
    <t>E14BASED4</t>
  </si>
  <si>
    <t>E14BASED3</t>
  </si>
  <si>
    <t>E14BASED2</t>
  </si>
  <si>
    <t>E14BASED1</t>
  </si>
  <si>
    <t>E14BASEE4</t>
  </si>
  <si>
    <t>E14BASEE3</t>
  </si>
  <si>
    <t>E14BASEE2</t>
  </si>
  <si>
    <t>E14BASEE1</t>
  </si>
  <si>
    <t>E14BASEF4</t>
  </si>
  <si>
    <t>E14BASEF3</t>
  </si>
  <si>
    <t>E14BASEF2</t>
  </si>
  <si>
    <t>E14BASEF1</t>
  </si>
  <si>
    <t>E14BASEG4</t>
  </si>
  <si>
    <t>E14BASEG3</t>
  </si>
  <si>
    <t>E14BASEG2</t>
  </si>
  <si>
    <t>E14BASEG1</t>
  </si>
  <si>
    <t>E15BASEA4</t>
  </si>
  <si>
    <t>E15BASEA3</t>
  </si>
  <si>
    <t>E15BASEA2</t>
  </si>
  <si>
    <t>E15BASEA1</t>
  </si>
  <si>
    <t>E15BASEB4</t>
  </si>
  <si>
    <t>E15BASEB3</t>
  </si>
  <si>
    <t>E15BASEB2</t>
  </si>
  <si>
    <t>E15BASEB1</t>
  </si>
  <si>
    <t>E15BASEC4</t>
  </si>
  <si>
    <t>E15BASEC3</t>
  </si>
  <si>
    <t>E15BASEC2</t>
  </si>
  <si>
    <t>E15BASEC1</t>
  </si>
  <si>
    <t>E15BASED4</t>
  </si>
  <si>
    <t>E15BASED3</t>
  </si>
  <si>
    <t>E15BASED2</t>
  </si>
  <si>
    <t>E15BASED1</t>
  </si>
  <si>
    <t>E15BASEE4</t>
  </si>
  <si>
    <t>E15BASEE3</t>
  </si>
  <si>
    <t>E15BASEE2</t>
  </si>
  <si>
    <t>E15BASEE1</t>
  </si>
  <si>
    <t>E15BASEF4</t>
  </si>
  <si>
    <t>E15BASEF3</t>
  </si>
  <si>
    <t>E15BASEF2</t>
  </si>
  <si>
    <t>E15BASEF1</t>
  </si>
  <si>
    <t>E15BASEG4</t>
  </si>
  <si>
    <t>E15BASEG3</t>
  </si>
  <si>
    <t>E15BASEG2</t>
  </si>
  <si>
    <t>E15BASEG1</t>
  </si>
  <si>
    <t>E16BASEA4</t>
  </si>
  <si>
    <t>E16BASEA3</t>
  </si>
  <si>
    <t>E16BASEA2</t>
  </si>
  <si>
    <t>E16BASEA1</t>
  </si>
  <si>
    <t>E16BASEB4</t>
  </si>
  <si>
    <t>E16BASEB3</t>
  </si>
  <si>
    <t>E16BASEB2</t>
  </si>
  <si>
    <t>E16BASEB1</t>
  </si>
  <si>
    <t>E16BASEC4</t>
  </si>
  <si>
    <t>E16BASEC3</t>
  </si>
  <si>
    <t>E16BASEC2</t>
  </si>
  <si>
    <t>E16BASEC1</t>
  </si>
  <si>
    <t>E16BASED4</t>
  </si>
  <si>
    <t>E16BASED3</t>
  </si>
  <si>
    <t>E16BASED2</t>
  </si>
  <si>
    <t>E16BASED1</t>
  </si>
  <si>
    <t>E16BASEE4</t>
  </si>
  <si>
    <t>E16BASEE3</t>
  </si>
  <si>
    <t>E16BASEE2</t>
  </si>
  <si>
    <t>E16BASEE1</t>
  </si>
  <si>
    <t>E16BASEF4</t>
  </si>
  <si>
    <t>E16BASEF3</t>
  </si>
  <si>
    <t>E16BASEF2</t>
  </si>
  <si>
    <t>E16BASEF1</t>
  </si>
  <si>
    <t>E16BASEG4</t>
  </si>
  <si>
    <t>E16BASEG3</t>
  </si>
  <si>
    <t>E16BASEG2</t>
  </si>
  <si>
    <t>E16BASEG1</t>
  </si>
  <si>
    <t>E17BASEA4</t>
  </si>
  <si>
    <t>E17BASEA3</t>
  </si>
  <si>
    <t>E17BASEA2</t>
  </si>
  <si>
    <t>E17BASEA1</t>
  </si>
  <si>
    <t>E17BASEB4</t>
  </si>
  <si>
    <t>E17BASEB3</t>
  </si>
  <si>
    <t>E17BASEB2</t>
  </si>
  <si>
    <t>E17BASEB1</t>
  </si>
  <si>
    <t>E17BASEC4</t>
  </si>
  <si>
    <t>E17BASEC3</t>
  </si>
  <si>
    <t>E17BASEC2</t>
  </si>
  <si>
    <t>E17BASEC1</t>
  </si>
  <si>
    <t>E17BASED4</t>
  </si>
  <si>
    <t>E17BASED3</t>
  </si>
  <si>
    <t>E17BASED2</t>
  </si>
  <si>
    <t>E17BASED1</t>
  </si>
  <si>
    <t>E17BASEE4</t>
  </si>
  <si>
    <t>E17BASEE3</t>
  </si>
  <si>
    <t>E17BASEE2</t>
  </si>
  <si>
    <t>E17BASEE1</t>
  </si>
  <si>
    <t>E17BASEF4</t>
  </si>
  <si>
    <t>E17BASEF3</t>
  </si>
  <si>
    <t>E17BASEF2</t>
  </si>
  <si>
    <t>E17BASEF1</t>
  </si>
  <si>
    <t>E17BASEG4</t>
  </si>
  <si>
    <t>E17BASEG3</t>
  </si>
  <si>
    <t>E17BASEG2</t>
  </si>
  <si>
    <t>E17BASEG1</t>
  </si>
  <si>
    <t>E18BASEA4</t>
  </si>
  <si>
    <t>E18BASEA3</t>
  </si>
  <si>
    <t>E18BASEA2</t>
  </si>
  <si>
    <t>E18BASEA1</t>
  </si>
  <si>
    <t>E18BASEB4</t>
  </si>
  <si>
    <t>E18BASEB3</t>
  </si>
  <si>
    <t>E18BASEB2</t>
  </si>
  <si>
    <t>E18BASEB1</t>
  </si>
  <si>
    <t>E18BASEC4</t>
  </si>
  <si>
    <t>E18BASEC3</t>
  </si>
  <si>
    <t>E18BASEC2</t>
  </si>
  <si>
    <t>E18BASEC1</t>
  </si>
  <si>
    <t>E18BASED4</t>
  </si>
  <si>
    <t>E18BASED3</t>
  </si>
  <si>
    <t>E18BASED2</t>
  </si>
  <si>
    <t>E18BASED1</t>
  </si>
  <si>
    <t>E18BASEE4</t>
  </si>
  <si>
    <t>E18BASEE3</t>
  </si>
  <si>
    <t>E18BASEE2</t>
  </si>
  <si>
    <t>E18BASEE1</t>
  </si>
  <si>
    <t>E18BASEF4</t>
  </si>
  <si>
    <t>E18BASEF3</t>
  </si>
  <si>
    <t>E18BASEF2</t>
  </si>
  <si>
    <t>E18BASEF1</t>
  </si>
  <si>
    <t>E18BASEG4</t>
  </si>
  <si>
    <t>E18BASEG3</t>
  </si>
  <si>
    <t>E18BASEG2</t>
  </si>
  <si>
    <t>E18BASEG1</t>
  </si>
  <si>
    <t>E19BASEA4</t>
  </si>
  <si>
    <t>E19BASEA3</t>
  </si>
  <si>
    <t>E19BASEA2</t>
  </si>
  <si>
    <t>E19BASEA1</t>
  </si>
  <si>
    <t>E19BASEB4</t>
  </si>
  <si>
    <t>E19BASEB3</t>
  </si>
  <si>
    <t>E19BASEB2</t>
  </si>
  <si>
    <t>E19BASEB1</t>
  </si>
  <si>
    <t>E19BASEC4</t>
  </si>
  <si>
    <t>E19BASEC3</t>
  </si>
  <si>
    <t>E19BASEC2</t>
  </si>
  <si>
    <t>E19BASEC1</t>
  </si>
  <si>
    <t>E19BASED4</t>
  </si>
  <si>
    <t>E19BASED3</t>
  </si>
  <si>
    <t>E19BASED2</t>
  </si>
  <si>
    <t>E19BASED1</t>
  </si>
  <si>
    <t>E19BASEE4</t>
  </si>
  <si>
    <t>E19BASEE3</t>
  </si>
  <si>
    <t>E19BASEE2</t>
  </si>
  <si>
    <t>E19BASEE1</t>
  </si>
  <si>
    <t>E19BASEF4</t>
  </si>
  <si>
    <t>E19BASEF3</t>
  </si>
  <si>
    <t>E19BASEF2</t>
  </si>
  <si>
    <t>E19BASEF1</t>
  </si>
  <si>
    <t>E19BASEG4</t>
  </si>
  <si>
    <t>E19BASEG3</t>
  </si>
  <si>
    <t>E19BASEG2</t>
  </si>
  <si>
    <t>E19BASEG1</t>
  </si>
  <si>
    <t>E20BASEA4</t>
  </si>
  <si>
    <t>E20BASEA3</t>
  </si>
  <si>
    <t>E20BASEA2</t>
  </si>
  <si>
    <t>E20BASEA1</t>
  </si>
  <si>
    <t>E20BASEB4</t>
  </si>
  <si>
    <t>E20BASEB3</t>
  </si>
  <si>
    <t>E20BASEB2</t>
  </si>
  <si>
    <t>E20BASEB1</t>
  </si>
  <si>
    <t>E20BASEC4</t>
  </si>
  <si>
    <t>E20BASEC3</t>
  </si>
  <si>
    <t>E20BASEC2</t>
  </si>
  <si>
    <t>E20BASEC1</t>
  </si>
  <si>
    <t>E20BASED4</t>
  </si>
  <si>
    <t>E20BASED3</t>
  </si>
  <si>
    <t>E20BASED2</t>
  </si>
  <si>
    <t>E20BASED1</t>
  </si>
  <si>
    <t>E20BASEE4</t>
  </si>
  <si>
    <t>E20BASEE3</t>
  </si>
  <si>
    <t>E20BASEE2</t>
  </si>
  <si>
    <t>E20BASEE1</t>
  </si>
  <si>
    <t>E20BASEF4</t>
  </si>
  <si>
    <t>E20BASEF3</t>
  </si>
  <si>
    <t>E20BASEF2</t>
  </si>
  <si>
    <t>E20BASEF1</t>
  </si>
  <si>
    <t>E20BASEG4</t>
  </si>
  <si>
    <t>E20BASEG3</t>
  </si>
  <si>
    <t>E20BASEG2</t>
  </si>
  <si>
    <t>E20BASEG1</t>
  </si>
  <si>
    <t>=SUMIF($D$5:$AE$5,D42,$D$27:$AE$27)</t>
  </si>
  <si>
    <t>$D</t>
  </si>
  <si>
    <t>$43</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</si>
  <si>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</si>
  <si>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</si>
  <si>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</si>
  <si>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</si>
  <si>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</si>
  <si>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</si>
  <si>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</si>
  <si>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</si>
  <si>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</si>
  <si>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</si>
  <si>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</si>
  <si>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</si>
  <si>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</si>
  <si>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</si>
  <si>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</si>
  <si>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</si>
  <si>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</si>
  <si>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</si>
  <si>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</si>
  <si>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</si>
  <si>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</si>
  <si>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</si>
  <si>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</si>
  <si>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</si>
  <si>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</si>
  <si>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</si>
  <si>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</si>
  <si>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Project Management</t>
  </si>
  <si>
    <t>Element 11:</t>
  </si>
  <si>
    <t>Element 12:</t>
  </si>
  <si>
    <t>Element 13:</t>
  </si>
  <si>
    <t>Element 14:</t>
  </si>
  <si>
    <t>Element 15:</t>
  </si>
  <si>
    <t>Element 16:</t>
  </si>
  <si>
    <t>Element 17:</t>
  </si>
  <si>
    <t>Element 18:</t>
  </si>
  <si>
    <t>Element 19:</t>
  </si>
  <si>
    <t>Element 20:</t>
  </si>
  <si>
    <t>UNIT11</t>
  </si>
  <si>
    <t>UNIT12</t>
  </si>
  <si>
    <t>UNIT13</t>
  </si>
  <si>
    <t>UNIT14</t>
  </si>
  <si>
    <t>UNIT15</t>
  </si>
  <si>
    <t>UNIT16</t>
  </si>
  <si>
    <t>UNIT17</t>
  </si>
  <si>
    <t>UNIT18</t>
  </si>
  <si>
    <t>UNIT19</t>
  </si>
  <si>
    <t>UNIT20</t>
  </si>
  <si>
    <t>WAT11</t>
  </si>
  <si>
    <t>WAT12</t>
  </si>
  <si>
    <t>WAT13</t>
  </si>
  <si>
    <t>WAT14</t>
  </si>
  <si>
    <t>WAT15</t>
  </si>
  <si>
    <t>WAT16</t>
  </si>
  <si>
    <t>WAT17</t>
  </si>
  <si>
    <t>WAT18</t>
  </si>
  <si>
    <t>WAT19</t>
  </si>
  <si>
    <t>WAT20</t>
  </si>
  <si>
    <t>SED11</t>
  </si>
  <si>
    <t>SED12</t>
  </si>
  <si>
    <t>SED13</t>
  </si>
  <si>
    <t>SED14</t>
  </si>
  <si>
    <t>SED15</t>
  </si>
  <si>
    <t>SED16</t>
  </si>
  <si>
    <t>SED17</t>
  </si>
  <si>
    <t>SED18</t>
  </si>
  <si>
    <t>SED19</t>
  </si>
  <si>
    <t>SED20</t>
  </si>
  <si>
    <t>AIR11</t>
  </si>
  <si>
    <t>AIR12</t>
  </si>
  <si>
    <t>AIR13</t>
  </si>
  <si>
    <t>AIR14</t>
  </si>
  <si>
    <t>AIR15</t>
  </si>
  <si>
    <t>AIR16</t>
  </si>
  <si>
    <t>AIR17</t>
  </si>
  <si>
    <t>AIR18</t>
  </si>
  <si>
    <t>AIR19</t>
  </si>
  <si>
    <t>AIR20</t>
  </si>
  <si>
    <t>IS11</t>
  </si>
  <si>
    <t>IS12</t>
  </si>
  <si>
    <t>IS13</t>
  </si>
  <si>
    <t>IS14</t>
  </si>
  <si>
    <t>IS15</t>
  </si>
  <si>
    <t>IS16</t>
  </si>
  <si>
    <t>IS17</t>
  </si>
  <si>
    <t>IS18</t>
  </si>
  <si>
    <t>IS19</t>
  </si>
  <si>
    <t>IS20</t>
  </si>
  <si>
    <t>IC11</t>
  </si>
  <si>
    <t>IC12</t>
  </si>
  <si>
    <t>IC13</t>
  </si>
  <si>
    <t>IC14</t>
  </si>
  <si>
    <t>IC15</t>
  </si>
  <si>
    <t>IC16</t>
  </si>
  <si>
    <t>IC17</t>
  </si>
  <si>
    <t>IC18</t>
  </si>
  <si>
    <t>IC19</t>
  </si>
  <si>
    <t>IC20</t>
  </si>
  <si>
    <t>E11B</t>
  </si>
  <si>
    <t>E11REM</t>
  </si>
  <si>
    <t>E11GEN</t>
  </si>
  <si>
    <t>E11WH</t>
  </si>
  <si>
    <t>E11SI</t>
  </si>
  <si>
    <t>E11OTHER</t>
  </si>
  <si>
    <t>E11M</t>
  </si>
  <si>
    <t>E11C</t>
  </si>
  <si>
    <t>E12B</t>
  </si>
  <si>
    <t>E12REM</t>
  </si>
  <si>
    <t>E12GEN</t>
  </si>
  <si>
    <t>E12WH</t>
  </si>
  <si>
    <t>E12SI</t>
  </si>
  <si>
    <t>E12OTHER</t>
  </si>
  <si>
    <t>E12M</t>
  </si>
  <si>
    <t>E12C</t>
  </si>
  <si>
    <t>B11</t>
  </si>
  <si>
    <t>REM11</t>
  </si>
  <si>
    <t>GEN11</t>
  </si>
  <si>
    <t>W11</t>
  </si>
  <si>
    <t>SI11</t>
  </si>
  <si>
    <t>OTHER11</t>
  </si>
  <si>
    <t>M11</t>
  </si>
  <si>
    <t>C11</t>
  </si>
  <si>
    <t>B12</t>
  </si>
  <si>
    <t>REM12</t>
  </si>
  <si>
    <t>GEN13</t>
  </si>
  <si>
    <t>W12</t>
  </si>
  <si>
    <t>GEN12</t>
  </si>
  <si>
    <t>SI12</t>
  </si>
  <si>
    <t>OTHER12</t>
  </si>
  <si>
    <t>M12</t>
  </si>
  <si>
    <t>C12</t>
  </si>
  <si>
    <t>E13B</t>
  </si>
  <si>
    <t>E13REM</t>
  </si>
  <si>
    <t>E13GEN</t>
  </si>
  <si>
    <t>E13WH</t>
  </si>
  <si>
    <t>E13SI</t>
  </si>
  <si>
    <t>E13OTHER</t>
  </si>
  <si>
    <t>E13M</t>
  </si>
  <si>
    <t>E13C</t>
  </si>
  <si>
    <t>E14B</t>
  </si>
  <si>
    <t>E14REM</t>
  </si>
  <si>
    <t>E14GEN</t>
  </si>
  <si>
    <t>E14WH</t>
  </si>
  <si>
    <t>E14SI</t>
  </si>
  <si>
    <t>E14OTHER</t>
  </si>
  <si>
    <t>E14M</t>
  </si>
  <si>
    <t>E14C</t>
  </si>
  <si>
    <t>E18B</t>
  </si>
  <si>
    <t>E18REM</t>
  </si>
  <si>
    <t>E18GEN</t>
  </si>
  <si>
    <t>E18WH</t>
  </si>
  <si>
    <t>E18SI</t>
  </si>
  <si>
    <t>E18OTHER</t>
  </si>
  <si>
    <t>E18M</t>
  </si>
  <si>
    <t>E18C</t>
  </si>
  <si>
    <t>E17B</t>
  </si>
  <si>
    <t>E17REM</t>
  </si>
  <si>
    <t>E17GEN</t>
  </si>
  <si>
    <t>E17WH</t>
  </si>
  <si>
    <t>E17SI</t>
  </si>
  <si>
    <t>E17OTHER</t>
  </si>
  <si>
    <t>E17M</t>
  </si>
  <si>
    <t>E17C</t>
  </si>
  <si>
    <t>E16B</t>
  </si>
  <si>
    <t>E16REM</t>
  </si>
  <si>
    <t>E16GEN</t>
  </si>
  <si>
    <t>E16WH</t>
  </si>
  <si>
    <t>E16SI</t>
  </si>
  <si>
    <t>E16OTHER</t>
  </si>
  <si>
    <t>E16M</t>
  </si>
  <si>
    <t>E16C</t>
  </si>
  <si>
    <t>E15B</t>
  </si>
  <si>
    <t>E15REM</t>
  </si>
  <si>
    <t>E15GEN</t>
  </si>
  <si>
    <t>E15WH</t>
  </si>
  <si>
    <t>E15OTHER</t>
  </si>
  <si>
    <t>E15M</t>
  </si>
  <si>
    <t>E15C</t>
  </si>
  <si>
    <t>E20C</t>
  </si>
  <si>
    <t>E20M</t>
  </si>
  <si>
    <t>E20OTHER</t>
  </si>
  <si>
    <t>E20SI</t>
  </si>
  <si>
    <t>E20WH</t>
  </si>
  <si>
    <t>E20GEN</t>
  </si>
  <si>
    <t>E20REM</t>
  </si>
  <si>
    <t>E20B</t>
  </si>
  <si>
    <t>E19C</t>
  </si>
  <si>
    <t>E19M</t>
  </si>
  <si>
    <t>E19OTHER</t>
  </si>
  <si>
    <t>E19SI</t>
  </si>
  <si>
    <t>E19WH</t>
  </si>
  <si>
    <t>E19GEN</t>
  </si>
  <si>
    <t>E19REM</t>
  </si>
  <si>
    <t>E19B</t>
  </si>
  <si>
    <t>B13</t>
  </si>
  <si>
    <t>REM13</t>
  </si>
  <si>
    <t>W13</t>
  </si>
  <si>
    <t>SI13</t>
  </si>
  <si>
    <t>OTHER13</t>
  </si>
  <si>
    <t>M13</t>
  </si>
  <si>
    <t>C13</t>
  </si>
  <si>
    <t>B14</t>
  </si>
  <si>
    <t>REM14</t>
  </si>
  <si>
    <t>GEN14</t>
  </si>
  <si>
    <t>W14</t>
  </si>
  <si>
    <t>SI14</t>
  </si>
  <si>
    <t>OTHER14</t>
  </si>
  <si>
    <t>M14</t>
  </si>
  <si>
    <t>C14</t>
  </si>
  <si>
    <t>B15</t>
  </si>
  <si>
    <t>REM15</t>
  </si>
  <si>
    <t>GEN15</t>
  </si>
  <si>
    <t>W15</t>
  </si>
  <si>
    <t>SI15</t>
  </si>
  <si>
    <t>OTHER15</t>
  </si>
  <si>
    <t>M15</t>
  </si>
  <si>
    <t>C15</t>
  </si>
  <si>
    <t>B16</t>
  </si>
  <si>
    <t>REM16</t>
  </si>
  <si>
    <t>GEN16</t>
  </si>
  <si>
    <t>W16</t>
  </si>
  <si>
    <t>SI16</t>
  </si>
  <si>
    <t>OTHER16</t>
  </si>
  <si>
    <t>M16</t>
  </si>
  <si>
    <t>C16</t>
  </si>
  <si>
    <t>B17</t>
  </si>
  <si>
    <t>REM17</t>
  </si>
  <si>
    <t>GEN17</t>
  </si>
  <si>
    <t>W17</t>
  </si>
  <si>
    <t>SI17</t>
  </si>
  <si>
    <t>OTHER17</t>
  </si>
  <si>
    <t>M17</t>
  </si>
  <si>
    <t>C17</t>
  </si>
  <si>
    <t>B18</t>
  </si>
  <si>
    <t>REM18</t>
  </si>
  <si>
    <t>GEN18</t>
  </si>
  <si>
    <t>W18</t>
  </si>
  <si>
    <t>SI18</t>
  </si>
  <si>
    <t>OTHER18</t>
  </si>
  <si>
    <t>M18</t>
  </si>
  <si>
    <t>C18</t>
  </si>
  <si>
    <t>B19</t>
  </si>
  <si>
    <t>REM19</t>
  </si>
  <si>
    <t>GEN19</t>
  </si>
  <si>
    <t>W19</t>
  </si>
  <si>
    <t>SI19</t>
  </si>
  <si>
    <t>OTHER19</t>
  </si>
  <si>
    <t>M19</t>
  </si>
  <si>
    <t>C19</t>
  </si>
  <si>
    <t>B20</t>
  </si>
  <si>
    <t>REM20</t>
  </si>
  <si>
    <t>GEN20</t>
  </si>
  <si>
    <t>W20</t>
  </si>
  <si>
    <t>SI20</t>
  </si>
  <si>
    <t>OTHER20</t>
  </si>
  <si>
    <t>M20</t>
  </si>
  <si>
    <t>C20</t>
  </si>
  <si>
    <t>E11R</t>
  </si>
  <si>
    <t>E11S</t>
  </si>
  <si>
    <t>E11O</t>
  </si>
  <si>
    <t>E12R</t>
  </si>
  <si>
    <t>E12S</t>
  </si>
  <si>
    <t>E12O</t>
  </si>
  <si>
    <t>E13R</t>
  </si>
  <si>
    <t>E13S</t>
  </si>
  <si>
    <t>E13O</t>
  </si>
  <si>
    <t>E14R</t>
  </si>
  <si>
    <t>E14S</t>
  </si>
  <si>
    <t>E14O</t>
  </si>
  <si>
    <t>E15R</t>
  </si>
  <si>
    <t>E15S</t>
  </si>
  <si>
    <t>E15O</t>
  </si>
  <si>
    <t>E16R</t>
  </si>
  <si>
    <t>E16S</t>
  </si>
  <si>
    <t>E16O</t>
  </si>
  <si>
    <t>E17R</t>
  </si>
  <si>
    <t>E17S</t>
  </si>
  <si>
    <t>E17O</t>
  </si>
  <si>
    <t>E18R</t>
  </si>
  <si>
    <t>E18S</t>
  </si>
  <si>
    <t>E18O</t>
  </si>
  <si>
    <t>E19R</t>
  </si>
  <si>
    <t>E19S</t>
  </si>
  <si>
    <t>E19O</t>
  </si>
  <si>
    <t>E20R</t>
  </si>
  <si>
    <t>E20S</t>
  </si>
  <si>
    <t>E20O</t>
  </si>
  <si>
    <t>O11</t>
  </si>
  <si>
    <t>R12</t>
  </si>
  <si>
    <t>S12</t>
  </si>
  <si>
    <t>O12</t>
  </si>
  <si>
    <t>R11</t>
  </si>
  <si>
    <t>S11</t>
  </si>
  <si>
    <t>R13</t>
  </si>
  <si>
    <t>S13</t>
  </si>
  <si>
    <t>O13</t>
  </si>
  <si>
    <t>R14</t>
  </si>
  <si>
    <t>S14</t>
  </si>
  <si>
    <t>O14</t>
  </si>
  <si>
    <t>R15</t>
  </si>
  <si>
    <t>S15</t>
  </si>
  <si>
    <t>O15</t>
  </si>
  <si>
    <t>R16</t>
  </si>
  <si>
    <t>S16</t>
  </si>
  <si>
    <t>O16</t>
  </si>
  <si>
    <t>R17</t>
  </si>
  <si>
    <t>S17</t>
  </si>
  <si>
    <t>O17</t>
  </si>
  <si>
    <t>R18</t>
  </si>
  <si>
    <t>S18</t>
  </si>
  <si>
    <t>O18</t>
  </si>
  <si>
    <t>R19</t>
  </si>
  <si>
    <t>S19</t>
  </si>
  <si>
    <t>O19</t>
  </si>
  <si>
    <t>R20</t>
  </si>
  <si>
    <t>S20</t>
  </si>
  <si>
    <t>O20</t>
  </si>
  <si>
    <t>Travel Markup(%)</t>
  </si>
  <si>
    <t>LAB</t>
  </si>
  <si>
    <t>Element 11</t>
  </si>
  <si>
    <t>Element 12</t>
  </si>
  <si>
    <t>Element 13</t>
  </si>
  <si>
    <t>Element 14</t>
  </si>
  <si>
    <t>Element 15</t>
  </si>
  <si>
    <t>Element 16</t>
  </si>
  <si>
    <t>Element 17</t>
  </si>
  <si>
    <t>Element 18</t>
  </si>
  <si>
    <t>Element 19</t>
  </si>
  <si>
    <t>Element 20</t>
  </si>
  <si>
    <t>Phase Name 1</t>
  </si>
  <si>
    <t>Direct Labor All Elements</t>
  </si>
  <si>
    <t>Overhead All Elements</t>
  </si>
  <si>
    <t>Daily</t>
  </si>
  <si>
    <t>Weekly</t>
  </si>
  <si>
    <t>Monthly</t>
  </si>
  <si>
    <t>WATER QUALITY</t>
  </si>
  <si>
    <t>pH METER</t>
  </si>
  <si>
    <t>CONDUCTIVITY METER</t>
  </si>
  <si>
    <t>LEVEL INDICATOR</t>
  </si>
  <si>
    <t>D.O. METER</t>
  </si>
  <si>
    <t>TURBIDITY METER</t>
  </si>
  <si>
    <t>SULFATE KIT</t>
  </si>
  <si>
    <t>HORIBA METER (EH)</t>
  </si>
  <si>
    <t>HORIBA METER (FULL SIZE)</t>
  </si>
  <si>
    <t>PRESSURE WASHER</t>
  </si>
  <si>
    <t>YSI 556 METER</t>
  </si>
  <si>
    <t>PUMPS</t>
  </si>
  <si>
    <t>GEO  PUMP</t>
  </si>
  <si>
    <t>GRUNDFOS CONTROLLER</t>
  </si>
  <si>
    <t>GRUNDFOS PUMP</t>
  </si>
  <si>
    <t>ALEXIS-PERISTALTIC PUMP</t>
  </si>
  <si>
    <t>MEGA-MONSOON PUMP</t>
  </si>
  <si>
    <t>MEGA-MONSOON CONTOLLER</t>
  </si>
  <si>
    <t>SAMPLERS</t>
  </si>
  <si>
    <t>ISCO</t>
  </si>
  <si>
    <t>HENRY</t>
  </si>
  <si>
    <t>PONAR DREDGE</t>
  </si>
  <si>
    <t>SLUDGE JUDGE</t>
  </si>
  <si>
    <t>AUGER BUCKETS</t>
  </si>
  <si>
    <t>ALPHA(wildco)</t>
  </si>
  <si>
    <t>CORE(wildco)</t>
  </si>
  <si>
    <t xml:space="preserve">Bailer (HDPE) - large diameter </t>
  </si>
  <si>
    <t>AIR MONITORS</t>
  </si>
  <si>
    <t>OVA  W/METH. &amp; HYD.</t>
  </si>
  <si>
    <t>HNU w/ isobutylene</t>
  </si>
  <si>
    <t>MICROTIP w/Isobutylene</t>
  </si>
  <si>
    <t>EXPLOSIMETER   (LEL)</t>
  </si>
  <si>
    <t>GEOTECH/OTHER  EQUIPMENT</t>
  </si>
  <si>
    <t>EM31</t>
  </si>
  <si>
    <t>EM-31 w/ data logger</t>
  </si>
  <si>
    <t>EM  34</t>
  </si>
  <si>
    <t>MAGNETOMETER</t>
  </si>
  <si>
    <t>KVA</t>
  </si>
  <si>
    <t>FIELD GC</t>
  </si>
  <si>
    <t>Respirator, half-mask</t>
  </si>
  <si>
    <t>TROXLER DENSITY GAUGE</t>
  </si>
  <si>
    <t>Rotron SVE blower</t>
  </si>
  <si>
    <t>MISC</t>
  </si>
  <si>
    <t>Sampling plugs</t>
  </si>
  <si>
    <t>Schonstedt (metal detector)</t>
  </si>
  <si>
    <t xml:space="preserve">GPS/GARMIN-DELORME or Equivalent </t>
  </si>
  <si>
    <t>Sediment Core (wildco)</t>
  </si>
  <si>
    <t>AIR COMPRESSOR</t>
  </si>
  <si>
    <t>Slope indicator device</t>
  </si>
  <si>
    <t>GENERATOR-110</t>
  </si>
  <si>
    <t>Spectrometer (Hach or Immunoassay)</t>
  </si>
  <si>
    <t>FERROUS IRON KIT</t>
  </si>
  <si>
    <t>Sulfite kit</t>
  </si>
  <si>
    <t xml:space="preserve">DATALOGGER </t>
  </si>
  <si>
    <t>Surface water meter</t>
  </si>
  <si>
    <t>TRANSDUCER(S)</t>
  </si>
  <si>
    <t>Tide recorder</t>
  </si>
  <si>
    <t>IMMUNOASSAY  KIT</t>
  </si>
  <si>
    <t>Total station and accessories</t>
  </si>
  <si>
    <t>FLOW METER</t>
  </si>
  <si>
    <t>Transducer</t>
  </si>
  <si>
    <t>BOAT</t>
  </si>
  <si>
    <t>Tripod/Hoist/Body Harness</t>
  </si>
  <si>
    <t>SMALL BOAT</t>
  </si>
  <si>
    <t>Troxler nuclear gauge</t>
  </si>
  <si>
    <t>UTILITY WAGON</t>
  </si>
  <si>
    <t>UTILITY TRAILER</t>
  </si>
  <si>
    <t>Utility Trailer</t>
  </si>
  <si>
    <t>Velocity meter (McBirney)</t>
  </si>
  <si>
    <t>Velocity meter (Teledyne Pigmy)</t>
  </si>
  <si>
    <t>PERSONAL PROTECTION EQUIPMENT</t>
  </si>
  <si>
    <t>Water level indicator</t>
  </si>
  <si>
    <t>SARANEX COVERALLS</t>
  </si>
  <si>
    <t>each</t>
  </si>
  <si>
    <t>Water sampler (Kemmer)</t>
  </si>
  <si>
    <t>POLYLAM. COVERALLS</t>
  </si>
  <si>
    <t>YSI flow thru cell</t>
  </si>
  <si>
    <t>TYVEK COVERALLS</t>
  </si>
  <si>
    <t>GLOVES, LATEX, DISPOSABLE</t>
  </si>
  <si>
    <t>box</t>
  </si>
  <si>
    <t>GLOVES, NITRILE, DISPOSABLE</t>
  </si>
  <si>
    <t>GLOVES, NITRILE</t>
  </si>
  <si>
    <t>GLOVES, NEOPRENE</t>
  </si>
  <si>
    <t>GLOVES, PVC-COATED</t>
  </si>
  <si>
    <t>BOOT COVERS, LATEX</t>
  </si>
  <si>
    <t>pair</t>
  </si>
  <si>
    <t>SAFETY GLASSES</t>
  </si>
  <si>
    <t>EAR PLUGS</t>
  </si>
  <si>
    <t>RESP CARTRIDGES</t>
  </si>
  <si>
    <t xml:space="preserve">  MISCELLANEOUS</t>
  </si>
  <si>
    <t>COLLAPSABLE JUGS</t>
  </si>
  <si>
    <t>1 GALLON JUGS</t>
  </si>
  <si>
    <t>0.5 GAL MILK JUGS</t>
  </si>
  <si>
    <t>BUCKETS, 5 gal w/ lids</t>
  </si>
  <si>
    <t>ROPE:  600' SPOOL</t>
  </si>
  <si>
    <t>spool</t>
  </si>
  <si>
    <t>BAILERS(TEFLON)</t>
  </si>
  <si>
    <t>BAILER(1' DISP TEF)</t>
  </si>
  <si>
    <t>BAILER(3' DISP TEF)</t>
  </si>
  <si>
    <t>BAILER(3'PVC DISP.)</t>
  </si>
  <si>
    <t>BAILER(1"X3'DSPTEF)</t>
  </si>
  <si>
    <t>SILICON TUBING</t>
  </si>
  <si>
    <t>foot</t>
  </si>
  <si>
    <t>TYGON TUBING</t>
  </si>
  <si>
    <t>LDPE 0.17"ID x1/4"OD (Peristaltic)</t>
  </si>
  <si>
    <t>LDPE 3/8"ID x 1/2"OD (Purge Pump)</t>
  </si>
  <si>
    <t>COOLERS</t>
  </si>
  <si>
    <t>LOCKS</t>
  </si>
  <si>
    <t>FIELD BOOKS</t>
  </si>
  <si>
    <t>SS BOWLS</t>
  </si>
  <si>
    <t>SS SCOOPS\SPATULAS</t>
  </si>
  <si>
    <t>GLASS PANS</t>
  </si>
  <si>
    <t>5 gallon bucket</t>
  </si>
  <si>
    <t>CAPSULE FILTER</t>
  </si>
  <si>
    <t>FIEILD KIT</t>
  </si>
  <si>
    <t>Auger</t>
  </si>
  <si>
    <t>STANDARD PREP</t>
  </si>
  <si>
    <t>Bailers - disposable</t>
  </si>
  <si>
    <t>ALUMINUM FOIL***</t>
  </si>
  <si>
    <t>Barrel filters</t>
  </si>
  <si>
    <t>BUBBLE WRAP***</t>
  </si>
  <si>
    <t>Bentonite</t>
  </si>
  <si>
    <t>bag</t>
  </si>
  <si>
    <t>DUCT TAPE***</t>
  </si>
  <si>
    <t>roll</t>
  </si>
  <si>
    <t>Bladder for QED Sample Pro</t>
  </si>
  <si>
    <t xml:space="preserve">each </t>
  </si>
  <si>
    <t>FLAGGING***</t>
  </si>
  <si>
    <t>Bowl, stainless-steel</t>
  </si>
  <si>
    <t>SCRUB BRUSHES***</t>
  </si>
  <si>
    <t>Disposable bailers</t>
  </si>
  <si>
    <t>SHOVEL***</t>
  </si>
  <si>
    <t>Disposable caliwasas</t>
  </si>
  <si>
    <t>PORTABLE DRILL</t>
  </si>
  <si>
    <t>day</t>
  </si>
  <si>
    <t>Drive tubes</t>
  </si>
  <si>
    <t>SOAP(250ml)***</t>
  </si>
  <si>
    <t>Encore samplers</t>
  </si>
  <si>
    <t>TRASH BAGS***</t>
  </si>
  <si>
    <t>Exp. lockin plug</t>
  </si>
  <si>
    <t>WOODEN STAKES***</t>
  </si>
  <si>
    <t>Lath</t>
  </si>
  <si>
    <t>bundle</t>
  </si>
  <si>
    <t>MARKER FLAGS***</t>
  </si>
  <si>
    <t>Master lock #3 (key #3807)</t>
  </si>
  <si>
    <t xml:space="preserve"> ZIPLOC BAGS***    -    LARGE</t>
  </si>
  <si>
    <t>Polylaminated coveralls</t>
  </si>
  <si>
    <t>ZIPLOC BAGS***   -   SMALL</t>
  </si>
  <si>
    <t>Respirator cartridge</t>
  </si>
  <si>
    <t>ACETONE (4L)* w/ squirt btl</t>
  </si>
  <si>
    <t>bottle</t>
  </si>
  <si>
    <t>Saranex coveralls</t>
  </si>
  <si>
    <t>HEXANE (4L)* w/ squirt btl</t>
  </si>
  <si>
    <t xml:space="preserve">Scoops, stainless steel </t>
  </si>
  <si>
    <t>ISOPROPANOL* w/  squirt btl</t>
  </si>
  <si>
    <t>Screening jars (2 dz. to box)</t>
  </si>
  <si>
    <t>0.1%   HCL(5-gal)* w/ squirt btl</t>
  </si>
  <si>
    <t>Shelby tubes</t>
  </si>
  <si>
    <t>Silicon tubing</t>
  </si>
  <si>
    <t>Spatula</t>
  </si>
  <si>
    <t>Stakes 12"</t>
  </si>
  <si>
    <t>Teflon-lined Poly Tubing</t>
  </si>
  <si>
    <t>Thermax insulator gloves</t>
  </si>
  <si>
    <t>Tygon tubing</t>
  </si>
  <si>
    <t>Tyvek suit</t>
  </si>
  <si>
    <t>Yellow booties</t>
  </si>
  <si>
    <t>Fleet Field Vehicle</t>
  </si>
  <si>
    <t>Phase Name 2</t>
  </si>
  <si>
    <t>Design/Engineering</t>
  </si>
  <si>
    <t>Phase Name 4</t>
  </si>
  <si>
    <t>Phase Name 5</t>
  </si>
  <si>
    <t>Phase Name 8</t>
  </si>
  <si>
    <t>Phase Name 9</t>
  </si>
  <si>
    <t>Phase Name 10</t>
  </si>
  <si>
    <t>Phase Name 11</t>
  </si>
  <si>
    <t>For Multiplier based rates, select "Multiplier-based Rate" from pull down menu above and enter Multiplier in Cell E52</t>
  </si>
  <si>
    <t>Phase Name 6</t>
  </si>
  <si>
    <t>Phase Name 7</t>
  </si>
  <si>
    <t>PPW with Phases_EV P-CODE_V13.0</t>
  </si>
  <si>
    <t>Last Revised 08/01/2024</t>
  </si>
  <si>
    <t xml:space="preserve">    Communication/Shipping (%)</t>
  </si>
  <si>
    <t xml:space="preserve">    Cons/Sub Markup (%)</t>
  </si>
  <si>
    <t xml:space="preserve">    Expense Markup (%)</t>
  </si>
  <si>
    <t xml:space="preserve">    Travel Markup(%)</t>
  </si>
  <si>
    <t xml:space="preserve">    Insurance  Markup (%)</t>
  </si>
  <si>
    <t xml:space="preserve">    Labor Rate Discount (%)</t>
  </si>
  <si>
    <t>Reporting</t>
  </si>
  <si>
    <t>1</t>
  </si>
  <si>
    <t>Data Evaluation</t>
  </si>
  <si>
    <t>EA</t>
  </si>
  <si>
    <t>Field Services</t>
  </si>
  <si>
    <t>Phase Name 3</t>
  </si>
  <si>
    <t>Phase Name 12</t>
  </si>
  <si>
    <t>LS</t>
  </si>
  <si>
    <t>Phase Name 13</t>
  </si>
  <si>
    <t>Phase Name 14</t>
  </si>
  <si>
    <t>Phase Name 15</t>
  </si>
  <si>
    <t>Planning/permitting</t>
  </si>
  <si>
    <t>Phase Name 16</t>
  </si>
  <si>
    <t>Phase Name 17</t>
  </si>
  <si>
    <t>Construction/Construction-management</t>
  </si>
  <si>
    <t>Phase Name 18</t>
  </si>
  <si>
    <t>Phase Name 20</t>
  </si>
  <si>
    <t>Phase Name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</si>
</sst>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quot;$&quot;#,##0_);\(&quot;$&quot;#,##0\)"/>
    <numFmt numFmtId="165" formatCode="&quot;$&quot;#,##0_);[Red]\(&quot;$&quot;#,##0\)"/>
    <numFmt numFmtId="166" formatCode="&quot;$&quot;#,##0.00_);\(&quot;$&quot;#,##0.00\)"/>
    <numFmt numFmtId="167" formatCode="&quot;$&quot;#,##0.00_);[Red]\(&quot;$&quot;#,##0.00\)"/>
    <numFmt numFmtId="168" formatCode="_(&quot;$&quot;* #,##0_);_(&quot;$&quot;* \(#,##0\);_(&quot;$&quot;* &quot;-&quot;_);_(@_)"/>
    <numFmt numFmtId="169" formatCode="_(&quot;$&quot;* #,##0.00_);_(&quot;$&quot;* \(#,##0.00\);_(&quot;$&quot;* &quot;-&quot;??_);_(@_)"/>
    <numFmt numFmtId="170" formatCode="_(* #,##0.00_);_(* \(#,##0.00\);_(* &quot;-&quot;??_);_(@_)"/>
    <numFmt numFmtId="171" formatCode="General_)"/>
    <numFmt numFmtId="172" formatCode="dd\-mmm\-yy_)"/>
    <numFmt numFmtId="173" formatCode="0_)"/>
    <numFmt numFmtId="174" formatCode="0.00_)"/>
    <numFmt numFmtId="175" formatCode="0.0"/>
    <numFmt numFmtId="176" formatCode="0.000"/>
    <numFmt numFmtId="177" formatCode="0.0000"/>
    <numFmt numFmtId="178" formatCode="&quot;$&quot;#,##0"/>
    <numFmt numFmtId="179" formatCode="&quot;$&quot;#,##0.00"/>
    <numFmt numFmtId="180" formatCode="&quot;$&quot;#,##0_)"/>
    <numFmt numFmtId="181" formatCode="&quot;$&quot;#,##0.00_)"/>
    <numFmt numFmtId="182" formatCode="0;0;"/>
    <numFmt numFmtId="183" formatCode="0.0;0;"/>
    <numFmt numFmtId="184" formatCode="&quot;$&quot;#,##0.00;0;"/>
    <numFmt numFmtId="185" formatCode="#,##0.0_);\(#,##0.0\)"/>
    <numFmt numFmtId="186" formatCode="0.0%"/>
    <numFmt numFmtId="187" formatCode="&quot;$&quot;#,##0.00_);0;"/>
    <numFmt numFmtId="188" formatCode="_(* #,##0_);_(* \(#,##0\);_(* &quot;-&quot;??_);_(@_)"/>
    <numFmt numFmtId="189" formatCode="_(&quot;$&quot;* #,##0_);_(&quot;$&quot;* \(#,##0\);_(&quot;$&quot;* &quot;-&quot;??_);_(@_)"/>
    <numFmt numFmtId="190" formatCode="&quot;$&quot;#,##0.000"/>
    <numFmt numFmtId="191" formatCode="#,##0.0??"/>
    <numFmt numFmtId="192" formatCode="[$$-409]#,##0"/>
    <numFmt numFmtId="193" formatCode="###,0??"/>
  </numFmts>
  <fonts count="1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name val="Courier"/>
      <family val="3"/>
    </font>
    <font>
      <sz val="10"/>
      <color indexed="10"/>
      <name val="Arial"/>
      <family val="2"/>
    </font>
    <font>
      <sz val="10"/>
      <color indexed="17"/>
      <name val="Arial"/>
      <family val="2"/>
    </font>
    <font>
      <sz val="10"/>
      <name val="Arial"/>
      <family val="2"/>
    </font>
    <font>
      <b/>
      <sz val="10"/>
      <name val="Arial"/>
      <family val="2"/>
    </font>
    <font>
      <sz val="10"/>
      <color indexed="12"/>
      <name val="Arial"/>
      <family val="2"/>
    </font>
    <font>
      <b/>
      <sz val="10"/>
      <color indexed="12"/>
      <name val="Arial"/>
      <family val="2"/>
    </font>
    <font>
      <b/>
      <sz val="12"/>
      <name val="Arial"/>
      <family val="2"/>
    </font>
    <font>
      <sz val="10"/>
      <color indexed="8"/>
      <name val="Arial"/>
      <family val="2"/>
    </font>
    <font>
      <b/>
      <sz val="15"/>
      <name val="Arial"/>
      <family val="2"/>
    </font>
    <font>
      <b/>
      <sz val="8"/>
      <name val="Arial"/>
      <family val="2"/>
    </font>
    <font>
      <b/>
      <sz val="10"/>
      <color indexed="10"/>
      <name val="Arial"/>
      <family val="2"/>
    </font>
    <font>
      <sz val="9"/>
      <color indexed="12"/>
      <name val="Arial"/>
      <family val="2"/>
    </font>
    <font>
      <sz val="10"/>
      <color indexed="9"/>
      <name val="Arial"/>
      <family val="2"/>
    </font>
    <font>
      <b/>
      <sz val="9"/>
      <name val="Arial"/>
      <family val="2"/>
    </font>
    <font>
      <sz val="9"/>
      <name val="Arial"/>
      <family val="2"/>
    </font>
    <font>
      <sz val="10"/>
      <color indexed="18"/>
      <name val="Arial"/>
      <family val="2"/>
    </font>
    <font>
      <b/>
      <sz val="9"/>
      <color indexed="18"/>
      <name val="Arial"/>
      <family val="2"/>
    </font>
    <font>
      <b/>
      <sz val="18"/>
      <color indexed="9"/>
      <name val="Arial"/>
      <family val="2"/>
    </font>
    <font>
      <sz val="8"/>
      <color indexed="12"/>
      <name val="Arial"/>
      <family val="2"/>
    </font>
    <font>
      <b/>
      <sz val="11"/>
      <name val="Arial"/>
      <family val="2"/>
    </font>
    <font>
      <b/>
      <sz val="11"/>
      <color indexed="12"/>
      <name val="Arial"/>
      <family val="2"/>
    </font>
    <font>
      <sz val="8"/>
      <name val="Arial"/>
      <family val="2"/>
    </font>
    <font>
      <b/>
      <sz val="10"/>
      <color indexed="17"/>
      <name val="Arial"/>
      <family val="2"/>
    </font>
    <font>
      <b/>
      <sz val="10"/>
      <color indexed="8"/>
      <name val="Arial"/>
      <family val="2"/>
    </font>
    <font>
      <b/>
      <sz val="9"/>
      <color indexed="10"/>
      <name val="Arial"/>
      <family val="2"/>
    </font>
    <font>
      <i/>
      <sz val="10"/>
      <name val="Arial"/>
      <family val="2"/>
    </font>
    <font>
      <sz val="14"/>
      <color indexed="10"/>
      <name val="Arial"/>
      <family val="2"/>
    </font>
    <font>
      <b/>
      <sz val="9"/>
      <color indexed="12"/>
      <name val="Arial"/>
      <family val="2"/>
    </font>
    <font>
      <sz val="10"/>
      <color indexed="21"/>
      <name val="Arial"/>
      <family val="2"/>
    </font>
    <font>
      <sz val="10"/>
      <color indexed="81"/>
      <name val="Tahoma"/>
      <family val="2"/>
    </font>
    <font>
      <b/>
      <sz val="10"/>
      <color indexed="81"/>
      <name val="Tahoma"/>
      <family val="2"/>
    </font>
    <font>
      <b/>
      <sz val="10"/>
      <color indexed="56"/>
      <name val="Arial"/>
      <family val="2"/>
    </font>
    <font>
      <b/>
      <sz val="12"/>
      <color indexed="9"/>
      <name val="Arial"/>
      <family val="2"/>
    </font>
    <font>
      <b/>
      <sz val="10"/>
      <color indexed="9"/>
      <name val="Arial"/>
      <family val="2"/>
    </font>
    <font>
      <b/>
      <sz val="16"/>
      <name val="Arial"/>
      <family val="2"/>
    </font>
    <font>
      <sz val="16"/>
      <name val="Arial"/>
      <family val="2"/>
    </font>
    <font>
      <b/>
      <sz val="8"/>
      <color indexed="10"/>
      <name val="Arial"/>
      <family val="2"/>
    </font>
    <font>
      <b/>
      <sz val="9"/>
      <color indexed="50"/>
      <name val="Arial"/>
      <family val="2"/>
    </font>
    <font>
      <sz val="9"/>
      <color indexed="50"/>
      <name val="Arial"/>
      <family val="2"/>
    </font>
    <font>
      <sz val="6"/>
      <color indexed="10"/>
      <name val="Arial"/>
      <family val="2"/>
    </font>
    <font>
      <b/>
      <sz val="8"/>
      <color indexed="9"/>
      <name val="Arial"/>
      <family val="2"/>
    </font>
    <font>
      <b/>
      <sz val="10"/>
      <color rgb="FF00B050"/>
      <name val="Arial"/>
      <family val="2"/>
    </font>
    <font>
      <sz val="8"/>
      <color rgb="FF000000"/>
      <name val="Tahoma"/>
      <family val="2"/>
    </font>
    <font>
      <sz val="10"/>
      <color rgb="FFFF0000"/>
      <name val="Arial"/>
      <family val="2"/>
    </font>
    <font>
      <sz val="10"/>
      <color rgb="FF0033CC"/>
      <name val="Arial"/>
      <family val="2"/>
    </font>
    <font>
      <sz val="9"/>
      <color rgb="FF0000FF"/>
      <name val="Arial"/>
      <family val="2"/>
    </font>
    <font>
      <sz val="11"/>
      <color theme="1"/>
      <name val="Arial"/>
      <family val="2"/>
    </font>
    <font>
      <sz val="10"/>
      <name val="Tahoma"/>
      <family val="2"/>
    </font>
    <font>
      <u/>
      <sz val="10"/>
      <color indexed="12"/>
      <name val="Tahoma"/>
      <family val="2"/>
    </font>
    <font>
      <b/>
      <sz val="10"/>
      <color rgb="FFFF0000"/>
      <name val="Arial"/>
      <family val="2"/>
    </font>
    <font>
      <sz val="10"/>
      <name val="Arial"/>
      <family val="2"/>
    </font>
    <font>
      <b/>
      <sz val="11"/>
      <color theme="0"/>
      <name val="Calibri"/>
      <family val="2"/>
      <scheme val="minor"/>
    </font>
    <font>
      <b/>
      <sz val="11"/>
      <color theme="1"/>
      <name val="Calibri"/>
      <family val="2"/>
      <scheme val="minor"/>
    </font>
    <font>
      <sz val="11"/>
      <name val="Cambria"/>
      <family val="1"/>
      <scheme val="major"/>
    </font>
    <font>
      <b/>
      <sz val="9"/>
      <name val="Calibri"/>
      <family val="2"/>
      <scheme val="minor"/>
    </font>
    <font>
      <b/>
      <sz val="10"/>
      <name val="Cambria"/>
      <family val="1"/>
      <scheme val="major"/>
    </font>
    <font>
      <sz val="10"/>
      <name val="Cambria"/>
      <family val="1"/>
      <scheme val="major"/>
    </font>
    <font>
      <b/>
      <sz val="11"/>
      <name val="Cambria"/>
      <family val="1"/>
      <scheme val="major"/>
    </font>
    <font>
      <b/>
      <sz val="10"/>
      <color indexed="9"/>
      <name val="Cambria"/>
      <family val="1"/>
      <scheme val="major"/>
    </font>
    <font>
      <b/>
      <sz val="11"/>
      <color indexed="9"/>
      <name val="Cambria"/>
      <family val="1"/>
      <scheme val="major"/>
    </font>
    <font>
      <b/>
      <sz val="12"/>
      <color indexed="9"/>
      <name val="Cambria"/>
      <family val="1"/>
      <scheme val="major"/>
    </font>
    <font>
      <b/>
      <u/>
      <sz val="9"/>
      <color indexed="9"/>
      <name val="Cambria"/>
      <family val="1"/>
      <scheme val="major"/>
    </font>
    <font>
      <b/>
      <sz val="9"/>
      <color indexed="9"/>
      <name val="Cambria"/>
      <family val="1"/>
      <scheme val="major"/>
    </font>
    <font>
      <u val="singleAccounting"/>
      <sz val="11"/>
      <color theme="1"/>
      <name val="Calibri"/>
      <family val="2"/>
      <scheme val="minor"/>
    </font>
    <font>
      <b/>
      <u val="singleAccounting"/>
      <sz val="11"/>
      <color theme="1"/>
      <name val="Calibri"/>
      <family val="2"/>
      <scheme val="minor"/>
    </font>
    <font>
      <b/>
      <sz val="12"/>
      <name val="Cambria"/>
      <family val="1"/>
      <scheme val="major"/>
    </font>
    <font>
      <sz val="10"/>
      <color indexed="47"/>
      <name val="Cambria"/>
      <family val="1"/>
      <scheme val="major"/>
    </font>
    <font>
      <b/>
      <sz val="12"/>
      <color theme="0"/>
      <name val="Cambria"/>
      <family val="1"/>
      <scheme val="major"/>
    </font>
    <font>
      <sz val="10"/>
      <color theme="0"/>
      <name val="Cambria"/>
      <family val="1"/>
      <scheme val="major"/>
    </font>
    <font>
      <sz val="10"/>
      <color theme="1"/>
      <name val="Cambria"/>
      <family val="1"/>
      <scheme val="major"/>
    </font>
    <font>
      <b/>
      <sz val="10"/>
      <color theme="1"/>
      <name val="Cambria"/>
      <family val="1"/>
      <scheme val="major"/>
    </font>
    <font>
      <sz val="12"/>
      <name val="Cambria"/>
      <family val="1"/>
      <scheme val="major"/>
    </font>
    <font>
      <b/>
      <sz val="11"/>
      <name val="Calibri"/>
      <family val="2"/>
      <scheme val="minor"/>
    </font>
    <font>
      <b/>
      <sz val="10"/>
      <color rgb="FF0000FF"/>
      <name val="Cambria"/>
      <family val="1"/>
      <scheme val="major"/>
    </font>
    <font>
      <sz val="10"/>
      <color rgb="FF008000"/>
      <name val="Arial"/>
      <family val="2"/>
    </font>
    <font>
      <sz val="10"/>
      <color rgb="FF0000FF"/>
      <name val="Cambria"/>
      <family val="1"/>
      <scheme val="major"/>
    </font>
    <font>
      <b/>
      <sz val="10"/>
      <color rgb="FF008000"/>
      <name val="Arial"/>
      <family val="2"/>
    </font>
    <font>
      <b/>
      <sz val="14"/>
      <color indexed="9"/>
      <name val="Cambria"/>
      <family val="1"/>
      <scheme val="major"/>
    </font>
    <font>
      <sz val="14"/>
      <name val="Cambria"/>
      <family val="1"/>
      <scheme val="major"/>
    </font>
    <font>
      <b/>
      <sz val="14"/>
      <name val="Cambria"/>
      <family val="1"/>
      <scheme val="major"/>
    </font>
    <font>
      <b/>
      <sz val="14"/>
      <color rgb="FF000000"/>
      <name val="Cambria"/>
      <family val="1"/>
      <scheme val="major"/>
    </font>
    <font>
      <sz val="14"/>
      <color rgb="FF000000"/>
      <name val="Cambria"/>
      <family val="1"/>
      <scheme val="major"/>
    </font>
    <font>
      <u/>
      <sz val="14"/>
      <name val="Cambria"/>
      <family val="1"/>
      <scheme val="major"/>
    </font>
    <font>
      <u/>
      <sz val="10"/>
      <color theme="10"/>
      <name val="Arial"/>
      <family val="2"/>
    </font>
    <font>
      <b/>
      <sz val="14"/>
      <color theme="0"/>
      <name val="Cambria"/>
      <family val="1"/>
      <scheme val="major"/>
    </font>
    <font>
      <b/>
      <sz val="14"/>
      <color rgb="FF008000"/>
      <name val="Cambria"/>
      <family val="1"/>
      <scheme val="major"/>
    </font>
    <font>
      <b/>
      <sz val="14"/>
      <color rgb="FF0000FF"/>
      <name val="Cambria"/>
      <family val="1"/>
      <scheme val="major"/>
    </font>
    <font>
      <b/>
      <sz val="14"/>
      <color rgb="FFFF0000"/>
      <name val="Cambria"/>
      <family val="1"/>
      <scheme val="major"/>
    </font>
    <font>
      <i/>
      <sz val="14"/>
      <color rgb="FF0000FF"/>
      <name val="Cambria"/>
      <family val="1"/>
      <scheme val="major"/>
    </font>
    <font>
      <sz val="10"/>
      <color theme="0"/>
      <name val="Arial"/>
      <family val="2"/>
    </font>
    <font>
      <sz val="11"/>
      <color rgb="FF339933"/>
      <name val="Calibri"/>
      <family val="2"/>
      <scheme val="minor"/>
    </font>
    <font>
      <sz val="10"/>
      <color rgb="FF008000"/>
      <name val="Cambria"/>
      <family val="1"/>
      <scheme val="major"/>
    </font>
    <font>
      <sz val="9"/>
      <color rgb="FF008000"/>
      <name val="Arial"/>
      <family val="2"/>
    </font>
    <font>
      <u/>
      <sz val="11"/>
      <color theme="10"/>
      <name val="Arial"/>
      <family val="2"/>
    </font>
    <font>
      <b/>
      <sz val="9"/>
      <color theme="0"/>
      <name val="Arial"/>
      <family val="2"/>
    </font>
    <font>
      <b/>
      <sz val="10"/>
      <color theme="0"/>
      <name val="Arial"/>
      <family val="2"/>
    </font>
    <font>
      <b/>
      <u/>
      <sz val="14"/>
      <name val="Cambria"/>
      <family val="1"/>
      <scheme val="major"/>
    </font>
    <font>
      <b/>
      <sz val="10"/>
      <color theme="1"/>
      <name val="Arial"/>
      <family val="2"/>
    </font>
    <font>
      <sz val="9"/>
      <color indexed="81"/>
      <name val="Tahoma"/>
      <family val="2"/>
    </font>
    <font>
      <b/>
      <sz val="9"/>
      <color indexed="81"/>
      <name val="Tahoma"/>
      <family val="2"/>
    </font>
    <font>
      <b/>
      <sz val="9"/>
      <color rgb="FF008000"/>
      <name val="Arial"/>
      <family val="2"/>
    </font>
    <font>
      <sz val="10"/>
      <color rgb="FF0000FF"/>
      <name val="Arial"/>
      <family val="2"/>
    </font>
    <font>
      <sz val="11"/>
      <name val="Palatino Linotype"/>
      <family val="1"/>
    </font>
    <font>
      <b/>
      <sz val="10"/>
      <color rgb="FF0000FF"/>
      <name val="Arial"/>
      <family val="2"/>
    </font>
    <font>
      <b/>
      <sz val="10"/>
      <color indexed="18"/>
      <name val="Arial"/>
      <family val="2"/>
    </font>
    <font>
      <sz val="10"/>
      <color rgb="FF00B050"/>
      <name val="Arial"/>
      <family val="2"/>
    </font>
    <font>
      <i/>
      <sz val="14"/>
      <color rgb="FFFF0000"/>
      <name val="Cambria"/>
      <family val="1"/>
      <scheme val="major"/>
    </font>
    <font>
      <sz val="8"/>
      <color indexed="21"/>
      <name val="Arial"/>
      <family val="2"/>
    </font>
    <font>
      <b/>
      <sz val="10"/>
      <color theme="3"/>
      <name val="Cambria"/>
      <family val="1"/>
      <scheme val="major"/>
    </font>
    <font>
      <b/>
      <sz val="14"/>
      <color indexed="17"/>
      <name val="Calibri"/>
      <family val="2"/>
    </font>
    <font>
      <b/>
      <sz val="16"/>
      <color indexed="17"/>
      <name val="Calibri"/>
      <family val="2"/>
    </font>
    <font>
      <b/>
      <sz val="9"/>
      <color rgb="FFFF0000"/>
      <name val="Arial"/>
      <family val="2"/>
    </font>
    <font>
      <b/>
      <sz val="9"/>
      <color rgb="FFFFFFFF"/>
      <name val="Arial Narrow"/>
      <family val="2"/>
    </font>
    <font>
      <vertAlign val="superscript"/>
      <sz val="8"/>
      <name val="Arial"/>
      <family val="2"/>
    </font>
    <font>
      <sz val="11"/>
      <color rgb="FFFF0000"/>
      <name val="Calibri"/>
      <family val="2"/>
      <scheme val="minor"/>
    </font>
    <font>
      <b/>
      <sz val="16"/>
      <name val="Calibri"/>
      <family val="2"/>
      <scheme val="minor"/>
    </font>
    <font>
      <sz val="11"/>
      <name val="Calibri"/>
      <family val="2"/>
      <scheme val="minor"/>
    </font>
    <font>
      <b/>
      <sz val="11"/>
      <color rgb="FF0070C0"/>
      <name val="Calibri"/>
      <family val="2"/>
      <scheme val="minor"/>
    </font>
    <font>
      <sz val="11"/>
      <color rgb="FF0070C0"/>
      <name val="Calibri"/>
      <family val="2"/>
      <scheme val="minor"/>
    </font>
    <font>
      <i/>
      <sz val="11"/>
      <color rgb="FF0070C0"/>
      <name val="Calibri"/>
      <family val="2"/>
      <scheme val="minor"/>
    </font>
    <font>
      <i/>
      <sz val="11"/>
      <color rgb="FFFF0000"/>
      <name val="Calibri"/>
      <family val="2"/>
      <scheme val="minor"/>
    </font>
    <font>
      <strike/>
      <sz val="11"/>
      <name val="Calibri"/>
      <family val="2"/>
      <scheme val="minor"/>
    </font>
    <font>
      <sz val="10"/>
      <color rgb="FF000000"/>
      <name val="Arial"/>
      <family val="2"/>
    </font>
    <font>
      <sz val="11"/>
      <name val="Cambria"/>
      <family val="1"/>
    </font>
    <font>
      <sz val="11"/>
      <color rgb="FF000000"/>
      <name val="Calibri"/>
      <family val="2"/>
    </font>
    <font>
      <sz val="11"/>
      <color rgb="FF000000"/>
      <name val="Arial Narrow"/>
      <family val="2"/>
    </font>
    <font>
      <b/>
      <sz val="8"/>
      <color rgb="FFFF0000"/>
      <name val="Arial"/>
      <family val="2"/>
    </font>
    <font>
      <sz val="12"/>
      <color rgb="FFFF0000"/>
      <name val="Arial"/>
      <family val="2"/>
    </font>
    <font>
      <sz val="7"/>
      <color rgb="FF212121"/>
      <name val="Arial"/>
      <family val="2"/>
    </font>
    <font>
      <b/>
      <sz val="22"/>
      <name val="Arial"/>
      <family val="2"/>
    </font>
    <font>
      <sz val="10"/>
      <color rgb="FF002060"/>
      <name val="Arial"/>
      <family val="2"/>
    </font>
  </fonts>
  <fills count="64">
    <fill>
      <patternFill patternType="none"/>
    </fill>
    <fill>
      <patternFill patternType="gray125"/>
    </fill>
    <fill>
      <patternFill patternType="solid">
        <fgColor indexed="27"/>
        <bgColor indexed="64"/>
      </patternFill>
    </fill>
    <fill>
      <patternFill patternType="solid">
        <fgColor indexed="44"/>
        <bgColor indexed="64"/>
      </patternFill>
    </fill>
    <fill>
      <patternFill patternType="solid">
        <fgColor indexed="45"/>
        <bgColor indexed="64"/>
      </patternFill>
    </fill>
    <fill>
      <patternFill patternType="solid">
        <fgColor indexed="47"/>
        <bgColor indexed="64"/>
      </patternFill>
    </fill>
    <fill>
      <patternFill patternType="solid">
        <fgColor indexed="22"/>
        <bgColor indexed="64"/>
      </patternFill>
    </fill>
    <fill>
      <patternFill patternType="solid">
        <fgColor indexed="43"/>
        <bgColor indexed="64"/>
      </patternFill>
    </fill>
    <fill>
      <patternFill patternType="solid">
        <fgColor indexed="24"/>
        <bgColor indexed="64"/>
      </patternFill>
    </fill>
    <fill>
      <patternFill patternType="solid">
        <fgColor indexed="42"/>
        <bgColor indexed="64"/>
      </patternFill>
    </fill>
    <fill>
      <patternFill patternType="solid">
        <fgColor indexed="14"/>
        <bgColor indexed="64"/>
      </patternFill>
    </fill>
    <fill>
      <patternFill patternType="solid">
        <fgColor indexed="50"/>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FFFF00"/>
        <bgColor indexed="64"/>
      </patternFill>
    </fill>
    <fill>
      <patternFill patternType="solid">
        <fgColor rgb="FFCCFFCC"/>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indexed="53"/>
        <bgColor indexed="64"/>
      </patternFill>
    </fill>
    <fill>
      <patternFill patternType="solid">
        <fgColor theme="1"/>
        <bgColor indexed="64"/>
      </patternFill>
    </fill>
    <fill>
      <patternFill patternType="solid">
        <fgColor theme="0" tint="-0.14999847407452621"/>
        <bgColor indexed="64"/>
      </patternFill>
    </fill>
    <fill>
      <patternFill patternType="solid">
        <fgColor rgb="FFD9D9D9"/>
        <bgColor indexed="64"/>
      </patternFill>
    </fill>
    <fill>
      <patternFill patternType="solid">
        <fgColor rgb="FFFFC00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6" tint="-0.499984740745262"/>
        <bgColor indexed="64"/>
      </patternFill>
    </fill>
    <fill>
      <patternFill patternType="solid">
        <fgColor rgb="FFDDDDDD"/>
        <bgColor indexed="64"/>
      </patternFill>
    </fill>
    <fill>
      <patternFill patternType="solid">
        <fgColor rgb="FF92D050"/>
        <bgColor indexed="64"/>
      </patternFill>
    </fill>
    <fill>
      <patternFill patternType="solid">
        <fgColor theme="3" tint="0.39997558519241921"/>
        <bgColor indexed="64"/>
      </patternFill>
    </fill>
    <fill>
      <patternFill patternType="solid">
        <fgColor rgb="FF339933"/>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rgb="FFFFFF66"/>
        <bgColor indexed="64"/>
      </patternFill>
    </fill>
    <fill>
      <patternFill patternType="solid">
        <fgColor rgb="FF00476B"/>
        <bgColor indexed="64"/>
      </patternFill>
    </fill>
    <fill>
      <patternFill patternType="solid">
        <fgColor rgb="FFD3DFEE"/>
        <bgColor indexed="64"/>
      </patternFill>
    </fill>
    <fill>
      <patternFill patternType="solid">
        <fgColor rgb="FFDBE5F1"/>
        <bgColor indexed="64"/>
      </patternFill>
    </fill>
    <fill>
      <patternFill patternType="solid">
        <fgColor theme="6" tint="0.79998168889431442"/>
        <bgColor indexed="64"/>
      </patternFill>
    </fill>
    <fill>
      <patternFill patternType="solid">
        <fgColor theme="2"/>
        <bgColor indexed="64"/>
      </patternFill>
    </fill>
    <fill>
      <patternFill patternType="solid">
        <fgColor theme="5"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theme="8" tint="0.79998168889431442"/>
        <bgColor indexed="64"/>
      </patternFill>
    </fill>
    <fill>
      <patternFill patternType="solid">
        <fgColor rgb="FFFFFFF6"/>
        <bgColor indexed="64"/>
      </patternFill>
    </fill>
    <fill>
      <patternFill patternType="solid">
        <fgColor rgb="FFFFFCCD"/>
        <bgColor indexed="64"/>
      </patternFill>
    </fill>
    <fill>
      <patternFill patternType="solid">
        <fgColor rgb="FF00B050"/>
        <bgColor indexed="64"/>
      </patternFill>
    </fill>
    <fill>
      <patternFill patternType="solid">
        <fgColor theme="0" tint="-0.34998626667073579"/>
        <bgColor indexed="64"/>
      </patternFill>
    </fill>
    <fill>
      <patternFill patternType="solid">
        <fgColor theme="3" tint="0.79998168889431442"/>
        <bgColor indexed="64"/>
      </patternFill>
    </fill>
    <fill>
      <patternFill patternType="solid">
        <fgColor rgb="FFFFFCC8"/>
        <bgColor indexed="64"/>
      </patternFill>
    </fill>
  </fills>
  <borders count="241">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style="double">
        <color indexed="64"/>
      </left>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style="thin">
        <color indexed="64"/>
      </left>
      <right style="thin">
        <color indexed="64"/>
      </right>
      <top/>
      <bottom/>
      <diagonal/>
    </border>
    <border>
      <left style="thin">
        <color indexed="64"/>
      </left>
      <right style="double">
        <color indexed="64"/>
      </right>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diagonal/>
    </border>
    <border>
      <left style="medium">
        <color indexed="32"/>
      </left>
      <right/>
      <top style="medium">
        <color indexed="32"/>
      </top>
      <bottom/>
      <diagonal/>
    </border>
    <border>
      <left style="medium">
        <color indexed="32"/>
      </left>
      <right/>
      <top/>
      <bottom/>
      <diagonal/>
    </border>
    <border>
      <left/>
      <right/>
      <top style="medium">
        <color indexed="32"/>
      </top>
      <bottom/>
      <diagonal/>
    </border>
    <border>
      <left/>
      <right style="medium">
        <color indexed="32"/>
      </right>
      <top style="medium">
        <color indexed="32"/>
      </top>
      <bottom/>
      <diagonal/>
    </border>
    <border>
      <left/>
      <right style="medium">
        <color indexed="32"/>
      </right>
      <top/>
      <bottom/>
      <diagonal/>
    </border>
    <border>
      <left style="thin">
        <color indexed="64"/>
      </left>
      <right/>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style="thin">
        <color indexed="64"/>
      </top>
      <bottom style="hair">
        <color indexed="64"/>
      </bottom>
      <diagonal/>
    </border>
    <border>
      <left style="thin">
        <color indexed="64"/>
      </left>
      <right style="double">
        <color indexed="64"/>
      </right>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double">
        <color indexed="64"/>
      </left>
      <right style="double">
        <color indexed="64"/>
      </right>
      <top/>
      <bottom/>
      <diagonal/>
    </border>
    <border>
      <left style="double">
        <color indexed="64"/>
      </left>
      <right style="double">
        <color indexed="64"/>
      </right>
      <top style="thin">
        <color indexed="12"/>
      </top>
      <bottom style="double">
        <color indexed="64"/>
      </bottom>
      <diagonal/>
    </border>
    <border>
      <left/>
      <right style="thin">
        <color indexed="64"/>
      </right>
      <top style="thin">
        <color indexed="12"/>
      </top>
      <bottom style="double">
        <color indexed="64"/>
      </bottom>
      <diagonal/>
    </border>
    <border>
      <left style="thin">
        <color indexed="64"/>
      </left>
      <right style="thin">
        <color indexed="64"/>
      </right>
      <top style="thin">
        <color indexed="12"/>
      </top>
      <bottom style="double">
        <color indexed="64"/>
      </bottom>
      <diagonal/>
    </border>
    <border>
      <left style="thin">
        <color indexed="64"/>
      </left>
      <right style="double">
        <color indexed="64"/>
      </right>
      <top style="thin">
        <color indexed="12"/>
      </top>
      <bottom style="double">
        <color indexed="64"/>
      </bottom>
      <diagonal/>
    </border>
    <border>
      <left style="medium">
        <color indexed="64"/>
      </left>
      <right/>
      <top/>
      <bottom/>
      <diagonal/>
    </border>
    <border>
      <left style="medium">
        <color indexed="64"/>
      </left>
      <right/>
      <top style="medium">
        <color indexed="64"/>
      </top>
      <bottom/>
      <diagonal/>
    </border>
    <border>
      <left style="medium">
        <color indexed="23"/>
      </left>
      <right/>
      <top/>
      <bottom/>
      <diagonal/>
    </border>
    <border>
      <left/>
      <right style="medium">
        <color indexed="23"/>
      </right>
      <top/>
      <bottom/>
      <diagonal/>
    </border>
    <border>
      <left/>
      <right style="medium">
        <color indexed="64"/>
      </right>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style="medium">
        <color indexed="64"/>
      </left>
      <right/>
      <top/>
      <bottom style="medium">
        <color indexed="64"/>
      </bottom>
      <diagonal/>
    </border>
    <border>
      <left/>
      <right style="medium">
        <color indexed="23"/>
      </right>
      <top/>
      <bottom style="medium">
        <color indexed="64"/>
      </bottom>
      <diagonal/>
    </border>
    <border>
      <left/>
      <right style="medium">
        <color indexed="64"/>
      </right>
      <top/>
      <bottom style="medium">
        <color indexed="64"/>
      </bottom>
      <diagonal/>
    </border>
    <border>
      <left style="medium">
        <color indexed="23"/>
      </left>
      <right/>
      <top/>
      <bottom style="medium">
        <color indexed="64"/>
      </bottom>
      <diagonal/>
    </border>
    <border>
      <left/>
      <right/>
      <top/>
      <bottom style="medium">
        <color indexed="64"/>
      </bottom>
      <diagonal/>
    </border>
    <border>
      <left/>
      <right style="double">
        <color indexed="64"/>
      </right>
      <top/>
      <bottom/>
      <diagonal/>
    </border>
    <border>
      <left/>
      <right style="double">
        <color indexed="64"/>
      </right>
      <top/>
      <bottom style="double">
        <color indexed="64"/>
      </bottom>
      <diagonal/>
    </border>
    <border>
      <left/>
      <right/>
      <top style="medium">
        <color indexed="64"/>
      </top>
      <bottom/>
      <diagonal/>
    </border>
    <border>
      <left style="medium">
        <color indexed="18"/>
      </left>
      <right/>
      <top style="medium">
        <color indexed="18"/>
      </top>
      <bottom/>
      <diagonal/>
    </border>
    <border>
      <left/>
      <right/>
      <top style="medium">
        <color indexed="18"/>
      </top>
      <bottom/>
      <diagonal/>
    </border>
    <border>
      <left/>
      <right style="medium">
        <color indexed="18"/>
      </right>
      <top style="medium">
        <color indexed="18"/>
      </top>
      <bottom/>
      <diagonal/>
    </border>
    <border>
      <left style="medium">
        <color indexed="18"/>
      </left>
      <right/>
      <top/>
      <bottom/>
      <diagonal/>
    </border>
    <border>
      <left/>
      <right style="medium">
        <color indexed="18"/>
      </right>
      <top/>
      <bottom/>
      <diagonal/>
    </border>
    <border>
      <left style="medium">
        <color indexed="18"/>
      </left>
      <right/>
      <top/>
      <bottom style="medium">
        <color indexed="18"/>
      </bottom>
      <diagonal/>
    </border>
    <border>
      <left/>
      <right/>
      <top/>
      <bottom style="medium">
        <color indexed="18"/>
      </bottom>
      <diagonal/>
    </border>
    <border>
      <left/>
      <right style="medium">
        <color indexed="18"/>
      </right>
      <top/>
      <bottom style="medium">
        <color indexed="18"/>
      </bottom>
      <diagonal/>
    </border>
    <border>
      <left/>
      <right style="thin">
        <color indexed="64"/>
      </right>
      <top style="thin">
        <color indexed="12"/>
      </top>
      <bottom/>
      <diagonal/>
    </border>
    <border>
      <left style="thin">
        <color indexed="64"/>
      </left>
      <right style="thin">
        <color indexed="64"/>
      </right>
      <top style="thin">
        <color indexed="12"/>
      </top>
      <bottom/>
      <diagonal/>
    </border>
    <border>
      <left style="thin">
        <color indexed="64"/>
      </left>
      <right style="double">
        <color indexed="64"/>
      </right>
      <top style="thin">
        <color indexed="12"/>
      </top>
      <bottom/>
      <diagonal/>
    </border>
    <border>
      <left style="double">
        <color indexed="64"/>
      </left>
      <right style="double">
        <color indexed="64"/>
      </right>
      <top style="double">
        <color indexed="64"/>
      </top>
      <bottom/>
      <diagonal/>
    </border>
    <border>
      <left style="double">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top style="thin">
        <color indexed="64"/>
      </top>
      <bottom/>
      <diagonal/>
    </border>
    <border>
      <left style="thin">
        <color indexed="64"/>
      </left>
      <right/>
      <top style="double">
        <color indexed="64"/>
      </top>
      <bottom/>
      <diagonal/>
    </border>
    <border>
      <left style="thin">
        <color indexed="64"/>
      </left>
      <right/>
      <top style="thin">
        <color indexed="12"/>
      </top>
      <bottom/>
      <diagonal/>
    </border>
    <border>
      <left style="thin">
        <color indexed="64"/>
      </left>
      <right/>
      <top style="thin">
        <color indexed="12"/>
      </top>
      <bottom style="double">
        <color indexed="64"/>
      </bottom>
      <diagonal/>
    </border>
    <border>
      <left style="double">
        <color indexed="64"/>
      </left>
      <right/>
      <top style="thin">
        <color indexed="12"/>
      </top>
      <bottom style="double">
        <color indexed="64"/>
      </bottom>
      <diagonal/>
    </border>
    <border>
      <left/>
      <right/>
      <top style="thin">
        <color indexed="12"/>
      </top>
      <bottom style="double">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medium">
        <color indexed="23"/>
      </left>
      <right/>
      <top style="medium">
        <color indexed="64"/>
      </top>
      <bottom/>
      <diagonal/>
    </border>
    <border>
      <left/>
      <right style="medium">
        <color indexed="23"/>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right style="medium">
        <color indexed="64"/>
      </right>
      <top style="hair">
        <color indexed="64"/>
      </top>
      <bottom style="hair">
        <color indexed="64"/>
      </bottom>
      <diagonal/>
    </border>
    <border>
      <left/>
      <right style="medium">
        <color indexed="64"/>
      </right>
      <top/>
      <bottom style="hair">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hair">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rgb="FFB2B2B2"/>
      </left>
      <right style="thin">
        <color rgb="FFB2B2B2"/>
      </right>
      <top style="thin">
        <color rgb="FFB2B2B2"/>
      </top>
      <bottom style="thin">
        <color rgb="FFB2B2B2"/>
      </bottom>
      <diagonal/>
    </border>
    <border>
      <left style="thick">
        <color theme="3"/>
      </left>
      <right style="thick">
        <color theme="3"/>
      </right>
      <top style="thick">
        <color theme="3"/>
      </top>
      <bottom style="thick">
        <color theme="3"/>
      </bottom>
      <diagonal/>
    </border>
    <border diagonalDown="1">
      <left/>
      <right style="thick">
        <color theme="3"/>
      </right>
      <top style="thick">
        <color theme="3"/>
      </top>
      <bottom style="thick">
        <color theme="3"/>
      </bottom>
      <diagonal style="thick">
        <color theme="3"/>
      </diagonal>
    </border>
    <border>
      <left style="thick">
        <color theme="3"/>
      </left>
      <right style="thick">
        <color theme="3"/>
      </right>
      <top style="thick">
        <color theme="3"/>
      </top>
      <bottom/>
      <diagonal/>
    </border>
    <border>
      <left style="thick">
        <color theme="3"/>
      </left>
      <right/>
      <top/>
      <bottom/>
      <diagonal/>
    </border>
    <border>
      <left/>
      <right style="thick">
        <color theme="3"/>
      </right>
      <top style="thick">
        <color theme="3"/>
      </top>
      <bottom/>
      <diagonal/>
    </border>
    <border>
      <left style="thick">
        <color theme="3"/>
      </left>
      <right/>
      <top style="thick">
        <color theme="3"/>
      </top>
      <bottom/>
      <diagonal/>
    </border>
    <border>
      <left/>
      <right style="thick">
        <color theme="3"/>
      </right>
      <top/>
      <bottom/>
      <diagonal/>
    </border>
    <border>
      <left style="thick">
        <color theme="3"/>
      </left>
      <right/>
      <top/>
      <bottom style="thick">
        <color theme="3"/>
      </bottom>
      <diagonal/>
    </border>
    <border>
      <left/>
      <right style="thick">
        <color theme="3"/>
      </right>
      <top/>
      <bottom style="thick">
        <color theme="3"/>
      </bottom>
      <diagonal/>
    </border>
    <border>
      <left style="medium">
        <color indexed="64"/>
      </left>
      <right style="medium">
        <color indexed="64"/>
      </right>
      <top style="medium">
        <color indexed="64"/>
      </top>
      <bottom style="medium">
        <color indexed="64"/>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indexed="64"/>
      </top>
      <bottom style="medium">
        <color indexed="64"/>
      </bottom>
      <diagonal/>
    </border>
    <border>
      <left/>
      <right/>
      <top/>
      <bottom style="medium">
        <color indexed="52"/>
      </bottom>
      <diagonal/>
    </border>
    <border>
      <left style="thick">
        <color theme="0" tint="-0.14996795556505021"/>
      </left>
      <right/>
      <top/>
      <bottom style="medium">
        <color indexed="52"/>
      </bottom>
      <diagonal/>
    </border>
    <border>
      <left style="thin">
        <color indexed="55"/>
      </left>
      <right/>
      <top style="medium">
        <color indexed="64"/>
      </top>
      <bottom style="thin">
        <color indexed="55"/>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ck">
        <color theme="3"/>
      </right>
      <top style="thick">
        <color theme="3"/>
      </top>
      <bottom style="thick">
        <color theme="3"/>
      </bottom>
      <diagonal/>
    </border>
    <border>
      <left style="medium">
        <color theme="3"/>
      </left>
      <right/>
      <top style="thin">
        <color indexed="8"/>
      </top>
      <bottom/>
      <diagonal/>
    </border>
    <border>
      <left style="thick">
        <color theme="3"/>
      </left>
      <right style="medium">
        <color theme="3"/>
      </right>
      <top/>
      <bottom/>
      <diagonal/>
    </border>
    <border>
      <left style="medium">
        <color theme="3"/>
      </left>
      <right/>
      <top/>
      <bottom style="medium">
        <color theme="3"/>
      </bottom>
      <diagonal/>
    </border>
    <border>
      <left/>
      <right style="thick">
        <color theme="3"/>
      </right>
      <top/>
      <bottom style="medium">
        <color theme="3"/>
      </bottom>
      <diagonal/>
    </border>
    <border>
      <left style="thick">
        <color theme="3"/>
      </left>
      <right style="medium">
        <color theme="3"/>
      </right>
      <top/>
      <bottom style="medium">
        <color theme="3"/>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3"/>
      </left>
      <right/>
      <top/>
      <bottom/>
      <diagonal/>
    </border>
    <border>
      <left style="thick">
        <color theme="3"/>
      </left>
      <right/>
      <top style="thick">
        <color theme="3"/>
      </top>
      <bottom style="thick">
        <color theme="3"/>
      </bottom>
      <diagonal/>
    </border>
    <border>
      <left style="medium">
        <color theme="3"/>
      </left>
      <right/>
      <top style="thick">
        <color theme="3"/>
      </top>
      <bottom/>
      <diagonal/>
    </border>
    <border>
      <left style="double">
        <color indexed="64"/>
      </left>
      <right style="double">
        <color indexed="64"/>
      </right>
      <top/>
      <bottom style="double">
        <color indexed="64"/>
      </bottom>
      <diagonal/>
    </border>
    <border>
      <left style="thick">
        <color rgb="FFFF0000"/>
      </left>
      <right style="thick">
        <color rgb="FFFF0000"/>
      </right>
      <top style="thick">
        <color rgb="FFFF0000"/>
      </top>
      <bottom style="thick">
        <color rgb="FFFF0000"/>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diagonal/>
    </border>
    <border>
      <left style="medium">
        <color auto="1"/>
      </left>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bottom/>
      <diagonal/>
    </border>
    <border>
      <left style="double">
        <color indexed="64"/>
      </left>
      <right style="thin">
        <color indexed="64"/>
      </right>
      <top style="thin">
        <color indexed="12"/>
      </top>
      <bottom/>
      <diagonal/>
    </border>
    <border>
      <left style="double">
        <color indexed="64"/>
      </left>
      <right style="thin">
        <color indexed="64"/>
      </right>
      <top style="thin">
        <color indexed="12"/>
      </top>
      <bottom style="double">
        <color indexed="64"/>
      </bottom>
      <diagonal/>
    </border>
    <border>
      <left style="double">
        <color indexed="64"/>
      </left>
      <right style="thin">
        <color indexed="64"/>
      </right>
      <top style="thin">
        <color rgb="FF0000FF"/>
      </top>
      <bottom/>
      <diagonal/>
    </border>
    <border>
      <left style="double">
        <color indexed="64"/>
      </left>
      <right/>
      <top style="thin">
        <color rgb="FF0000FF"/>
      </top>
      <bottom/>
      <diagonal/>
    </border>
    <border>
      <left/>
      <right/>
      <top style="thin">
        <color rgb="FF0000FF"/>
      </top>
      <bottom/>
      <diagonal/>
    </border>
    <border>
      <left style="double">
        <color indexed="64"/>
      </left>
      <right style="double">
        <color indexed="64"/>
      </right>
      <top style="thin">
        <color rgb="FF0000FF"/>
      </top>
      <bottom/>
      <diagonal/>
    </border>
    <border>
      <left style="thin">
        <color indexed="64"/>
      </left>
      <right/>
      <top style="thin">
        <color rgb="FF0000FF"/>
      </top>
      <bottom/>
      <diagonal/>
    </border>
    <border>
      <left/>
      <right style="thin">
        <color indexed="64"/>
      </right>
      <top style="thin">
        <color rgb="FF0000FF"/>
      </top>
      <bottom/>
      <diagonal/>
    </border>
    <border>
      <left/>
      <right style="double">
        <color indexed="64"/>
      </right>
      <top style="thin">
        <color rgb="FF0000FF"/>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medium">
        <color indexed="64"/>
      </right>
      <top style="medium">
        <color indexed="64"/>
      </top>
      <bottom/>
      <diagonal/>
    </border>
    <border diagonalDown="1">
      <left/>
      <right/>
      <top style="thick">
        <color theme="3"/>
      </top>
      <bottom/>
      <diagonal style="thick">
        <color theme="3"/>
      </diagonal>
    </border>
    <border diagonalDown="1">
      <left/>
      <right style="thick">
        <color theme="3"/>
      </right>
      <top style="thick">
        <color theme="3"/>
      </top>
      <bottom/>
      <diagonal style="thick">
        <color theme="3"/>
      </diagonal>
    </border>
    <border>
      <left style="double">
        <color indexed="64"/>
      </left>
      <right/>
      <top/>
      <bottom style="thin">
        <color rgb="FF0000FF"/>
      </bottom>
      <diagonal/>
    </border>
    <border>
      <left/>
      <right/>
      <top/>
      <bottom style="thin">
        <color rgb="FF0000FF"/>
      </bottom>
      <diagonal/>
    </border>
    <border>
      <left/>
      <right style="double">
        <color indexed="64"/>
      </right>
      <top/>
      <bottom style="thin">
        <color rgb="FF0000FF"/>
      </bottom>
      <diagonal/>
    </border>
    <border>
      <left style="thin">
        <color indexed="64"/>
      </left>
      <right/>
      <top/>
      <bottom style="thin">
        <color rgb="FF0000FF"/>
      </bottom>
      <diagonal/>
    </border>
    <border>
      <left/>
      <right style="thin">
        <color indexed="64"/>
      </right>
      <top/>
      <bottom style="thin">
        <color rgb="FF0000FF"/>
      </bottom>
      <diagonal/>
    </border>
    <border>
      <left style="thin">
        <color indexed="64"/>
      </left>
      <right/>
      <top/>
      <bottom style="thin">
        <color indexed="12"/>
      </bottom>
      <diagonal/>
    </border>
    <border>
      <left/>
      <right style="thin">
        <color indexed="64"/>
      </right>
      <top/>
      <bottom style="thin">
        <color indexed="12"/>
      </bottom>
      <diagonal/>
    </border>
    <border>
      <left/>
      <right/>
      <top/>
      <bottom style="thick">
        <color rgb="FF00476B"/>
      </bottom>
      <diagonal/>
    </border>
    <border>
      <left style="thick">
        <color rgb="FF00476B"/>
      </left>
      <right style="medium">
        <color rgb="FFFFFFFF"/>
      </right>
      <top/>
      <bottom style="thick">
        <color rgb="FF00476B"/>
      </bottom>
      <diagonal/>
    </border>
    <border>
      <left/>
      <right style="medium">
        <color rgb="FFFFFFFF"/>
      </right>
      <top/>
      <bottom style="thick">
        <color rgb="FF00476B"/>
      </bottom>
      <diagonal/>
    </border>
    <border>
      <left/>
      <right style="thick">
        <color rgb="FF00476B"/>
      </right>
      <top/>
      <bottom style="thick">
        <color rgb="FF00476B"/>
      </bottom>
      <diagonal/>
    </border>
    <border>
      <left style="thick">
        <color rgb="FF00476B"/>
      </left>
      <right style="medium">
        <color rgb="FF00476B"/>
      </right>
      <top/>
      <bottom style="medium">
        <color rgb="FF00476B"/>
      </bottom>
      <diagonal/>
    </border>
    <border>
      <left/>
      <right style="medium">
        <color rgb="FF00476B"/>
      </right>
      <top/>
      <bottom style="medium">
        <color rgb="FF00476B"/>
      </bottom>
      <diagonal/>
    </border>
    <border>
      <left/>
      <right style="thick">
        <color rgb="FF00476B"/>
      </right>
      <top/>
      <bottom style="medium">
        <color rgb="FF00476B"/>
      </bottom>
      <diagonal/>
    </border>
    <border>
      <left/>
      <right/>
      <top style="medium">
        <color rgb="FF00476B"/>
      </top>
      <bottom/>
      <diagonal/>
    </border>
    <border>
      <left style="thick">
        <color rgb="FF00476B"/>
      </left>
      <right style="medium">
        <color rgb="FF00476B"/>
      </right>
      <top style="thick">
        <color rgb="FF00476B"/>
      </top>
      <bottom style="medium">
        <color rgb="FF00476B"/>
      </bottom>
      <diagonal/>
    </border>
    <border>
      <left/>
      <right style="medium">
        <color rgb="FF00476B"/>
      </right>
      <top style="thick">
        <color rgb="FF00476B"/>
      </top>
      <bottom style="medium">
        <color rgb="FF00476B"/>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theme="3"/>
      </bottom>
      <diagonal/>
    </border>
    <border>
      <left style="medium">
        <color theme="3"/>
      </left>
      <right/>
      <top style="thin">
        <color indexed="8"/>
      </top>
      <bottom style="thin">
        <color indexed="64"/>
      </bottom>
      <diagonal/>
    </border>
    <border>
      <left style="thick">
        <color theme="3"/>
      </left>
      <right/>
      <top style="thick">
        <color theme="3"/>
      </top>
      <bottom style="thin">
        <color indexed="64"/>
      </bottom>
      <diagonal/>
    </border>
    <border>
      <left/>
      <right style="thick">
        <color theme="3"/>
      </right>
      <top style="thick">
        <color theme="3"/>
      </top>
      <bottom style="thin">
        <color indexed="64"/>
      </bottom>
      <diagonal/>
    </border>
    <border>
      <left/>
      <right style="thick">
        <color theme="3"/>
      </right>
      <top style="thin">
        <color indexed="64"/>
      </top>
      <bottom style="thin">
        <color indexed="64"/>
      </bottom>
      <diagonal/>
    </border>
    <border>
      <left/>
      <right style="thick">
        <color theme="3"/>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hair">
        <color indexed="64"/>
      </left>
      <right style="medium">
        <color indexed="64"/>
      </right>
      <top/>
      <bottom/>
      <diagonal/>
    </border>
    <border>
      <left style="medium">
        <color indexed="64"/>
      </left>
      <right style="thin">
        <color indexed="64"/>
      </right>
      <top/>
      <bottom style="hair">
        <color indexed="64"/>
      </bottom>
      <diagonal/>
    </border>
    <border>
      <left style="hair">
        <color indexed="64"/>
      </left>
      <right style="hair">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top style="medium">
        <color indexed="64"/>
      </top>
      <bottom style="thin">
        <color indexed="64"/>
      </bottom>
      <diagonal/>
    </border>
    <border>
      <left style="medium">
        <color indexed="32"/>
      </left>
      <right/>
      <top/>
      <bottom style="medium">
        <color indexed="32"/>
      </bottom>
      <diagonal/>
    </border>
    <border>
      <left/>
      <right/>
      <top/>
      <bottom style="medium">
        <color indexed="32"/>
      </bottom>
      <diagonal/>
    </border>
    <border>
      <left/>
      <right style="medium">
        <color indexed="32"/>
      </right>
      <top/>
      <bottom style="medium">
        <color indexed="32"/>
      </bottom>
      <diagonal/>
    </border>
    <border>
      <left style="thin">
        <color theme="3"/>
      </left>
      <right style="thin">
        <color theme="3"/>
      </right>
      <top style="thin">
        <color theme="3"/>
      </top>
      <bottom style="thin">
        <color theme="3"/>
      </bottom>
      <diagonal/>
    </border>
    <border>
      <left style="thin">
        <color rgb="FF000000"/>
      </left>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rgb="FF000000"/>
      </right>
      <top style="thin">
        <color indexed="64"/>
      </top>
      <bottom/>
      <diagonal/>
    </border>
    <border>
      <left/>
      <right style="thin">
        <color rgb="FF000000"/>
      </right>
      <top/>
      <bottom/>
      <diagonal/>
    </border>
    <border>
      <left/>
      <right style="thin">
        <color rgb="FF000000"/>
      </right>
      <top/>
      <bottom style="thin">
        <color indexed="64"/>
      </bottom>
      <diagonal/>
    </border>
    <border>
      <left style="medium">
        <color rgb="FF00476B"/>
      </left>
      <right style="medium">
        <color rgb="FF00476B"/>
      </right>
      <top style="medium">
        <color rgb="FF00476B"/>
      </top>
      <bottom style="medium">
        <color rgb="FF00476B"/>
      </bottom>
      <diagonal/>
    </border>
    <border>
      <left/>
      <right/>
      <top/>
      <bottom style="medium">
        <color rgb="FF00476B"/>
      </bottom>
      <diagonal/>
    </border>
    <border>
      <left style="thick">
        <color rgb="FF00476B"/>
      </left>
      <right style="thick">
        <color rgb="FF00476B"/>
      </right>
      <top style="thick">
        <color rgb="FF00476B"/>
      </top>
      <bottom style="thick">
        <color rgb="FF00476B"/>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s>
  <cellStyleXfs count="7829">
    <xf numFmtId="0" fontId="0" fillId="0" borderId="0"/>
    <xf numFmtId="169" fontId="8" fillId="0" borderId="0" applyFont="0" applyFill="0" applyBorder="0" applyAlignment="0" applyProtection="0"/>
    <xf numFmtId="164" fontId="9" fillId="0" borderId="0"/>
    <xf numFmtId="0" fontId="8" fillId="0" borderId="0"/>
    <xf numFmtId="171" fontId="9" fillId="0" borderId="0"/>
    <xf numFmtId="9" fontId="8" fillId="0" borderId="0" applyFont="0" applyFill="0" applyBorder="0" applyAlignment="0" applyProtection="0"/>
    <xf numFmtId="0" fontId="7" fillId="0" borderId="0"/>
    <xf numFmtId="0" fontId="8" fillId="0" borderId="0"/>
    <xf numFmtId="170" fontId="8" fillId="0" borderId="0" applyFont="0" applyFill="0" applyBorder="0" applyAlignment="0" applyProtection="0"/>
    <xf numFmtId="0" fontId="6" fillId="0" borderId="0"/>
    <xf numFmtId="0" fontId="56" fillId="0" borderId="0"/>
    <xf numFmtId="170" fontId="56" fillId="0" borderId="0" applyFont="0" applyFill="0" applyBorder="0" applyAlignment="0" applyProtection="0"/>
    <xf numFmtId="0" fontId="17" fillId="0" borderId="0"/>
    <xf numFmtId="9" fontId="56" fillId="0" borderId="0" applyFont="0" applyFill="0" applyBorder="0" applyAlignment="0" applyProtection="0"/>
    <xf numFmtId="0" fontId="6" fillId="14" borderId="0" applyNumberFormat="0" applyBorder="0" applyAlignment="0" applyProtection="0"/>
    <xf numFmtId="0" fontId="6" fillId="16" borderId="0" applyNumberFormat="0" applyBorder="0" applyAlignment="0" applyProtection="0"/>
    <xf numFmtId="0" fontId="6" fillId="18" borderId="0" applyNumberFormat="0" applyBorder="0" applyAlignment="0" applyProtection="0"/>
    <xf numFmtId="0" fontId="6" fillId="20" borderId="0" applyNumberFormat="0" applyBorder="0" applyAlignment="0" applyProtection="0"/>
    <xf numFmtId="0" fontId="6" fillId="22" borderId="0" applyNumberFormat="0" applyBorder="0" applyAlignment="0" applyProtection="0"/>
    <xf numFmtId="0" fontId="6" fillId="24" borderId="0" applyNumberFormat="0" applyBorder="0" applyAlignment="0" applyProtection="0"/>
    <xf numFmtId="0" fontId="6" fillId="15" borderId="0" applyNumberFormat="0" applyBorder="0" applyAlignment="0" applyProtection="0"/>
    <xf numFmtId="0" fontId="6" fillId="17" borderId="0" applyNumberFormat="0" applyBorder="0" applyAlignment="0" applyProtection="0"/>
    <xf numFmtId="0" fontId="6" fillId="19" borderId="0" applyNumberFormat="0" applyBorder="0" applyAlignment="0" applyProtection="0"/>
    <xf numFmtId="0" fontId="6" fillId="21" borderId="0" applyNumberFormat="0" applyBorder="0" applyAlignment="0" applyProtection="0"/>
    <xf numFmtId="0" fontId="6" fillId="23" borderId="0" applyNumberFormat="0" applyBorder="0" applyAlignment="0" applyProtection="0"/>
    <xf numFmtId="0" fontId="6" fillId="25" borderId="0" applyNumberFormat="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1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17" fillId="0" borderId="0"/>
    <xf numFmtId="0" fontId="17" fillId="0" borderId="0"/>
    <xf numFmtId="0" fontId="8" fillId="0" borderId="0"/>
    <xf numFmtId="0" fontId="8" fillId="0" borderId="0"/>
    <xf numFmtId="0" fontId="8" fillId="0" borderId="0"/>
    <xf numFmtId="0" fontId="8"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17" fillId="0" borderId="0"/>
    <xf numFmtId="0" fontId="6" fillId="0" borderId="0"/>
    <xf numFmtId="0" fontId="17" fillId="0" borderId="0"/>
    <xf numFmtId="0" fontId="6" fillId="0" borderId="0"/>
    <xf numFmtId="0" fontId="6" fillId="0" borderId="0"/>
    <xf numFmtId="0" fontId="17" fillId="0" borderId="0"/>
    <xf numFmtId="0" fontId="6" fillId="0" borderId="0"/>
    <xf numFmtId="0" fontId="6" fillId="0" borderId="0"/>
    <xf numFmtId="0" fontId="6" fillId="0" borderId="0"/>
    <xf numFmtId="0" fontId="17"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0" fontId="6" fillId="13" borderId="123" applyNumberFormat="0" applyFont="0" applyAlignment="0" applyProtection="0"/>
    <xf numFmtId="170" fontId="8" fillId="0" borderId="0" applyFont="0" applyFill="0" applyBorder="0" applyAlignment="0" applyProtection="0"/>
    <xf numFmtId="0" fontId="6" fillId="0" borderId="0"/>
    <xf numFmtId="0" fontId="8" fillId="0" borderId="0"/>
    <xf numFmtId="0" fontId="6" fillId="0" borderId="0"/>
    <xf numFmtId="0" fontId="8" fillId="0" borderId="0"/>
    <xf numFmtId="0" fontId="8" fillId="0" borderId="0"/>
    <xf numFmtId="169" fontId="8" fillId="0" borderId="0" applyFont="0" applyFill="0" applyBorder="0" applyAlignment="0" applyProtection="0"/>
    <xf numFmtId="0" fontId="57" fillId="0" borderId="0"/>
    <xf numFmtId="0" fontId="58" fillId="0" borderId="0" applyNumberFormat="0" applyFill="0" applyBorder="0" applyAlignment="0" applyProtection="0">
      <alignment vertical="top"/>
      <protection locked="0"/>
    </xf>
    <xf numFmtId="170" fontId="60" fillId="0" borderId="0" applyFont="0" applyFill="0" applyBorder="0" applyAlignment="0" applyProtection="0"/>
    <xf numFmtId="0" fontId="5" fillId="0" borderId="0"/>
    <xf numFmtId="0" fontId="5" fillId="14" borderId="0" applyNumberFormat="0" applyBorder="0" applyAlignment="0" applyProtection="0"/>
    <xf numFmtId="0" fontId="5" fillId="16" borderId="0" applyNumberFormat="0" applyBorder="0" applyAlignment="0" applyProtection="0"/>
    <xf numFmtId="0" fontId="5" fillId="18"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24" borderId="0" applyNumberFormat="0" applyBorder="0" applyAlignment="0" applyProtection="0"/>
    <xf numFmtId="0" fontId="5" fillId="15" borderId="0" applyNumberFormat="0" applyBorder="0" applyAlignment="0" applyProtection="0"/>
    <xf numFmtId="0" fontId="5" fillId="17" borderId="0" applyNumberFormat="0" applyBorder="0" applyAlignment="0" applyProtection="0"/>
    <xf numFmtId="0" fontId="5" fillId="19" borderId="0" applyNumberFormat="0" applyBorder="0" applyAlignment="0" applyProtection="0"/>
    <xf numFmtId="0" fontId="5" fillId="21" borderId="0" applyNumberFormat="0" applyBorder="0" applyAlignment="0" applyProtection="0"/>
    <xf numFmtId="0" fontId="5" fillId="23" borderId="0" applyNumberFormat="0" applyBorder="0" applyAlignment="0" applyProtection="0"/>
    <xf numFmtId="0" fontId="5" fillId="25" borderId="0" applyNumberFormat="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13" borderId="123" applyNumberFormat="0" applyFont="0" applyAlignment="0" applyProtection="0"/>
    <xf numFmtId="0" fontId="5" fillId="0" borderId="0"/>
    <xf numFmtId="0" fontId="5" fillId="0" borderId="0"/>
    <xf numFmtId="0" fontId="4" fillId="0" borderId="0"/>
    <xf numFmtId="0" fontId="4" fillId="14" borderId="0" applyNumberFormat="0" applyBorder="0" applyAlignment="0" applyProtection="0"/>
    <xf numFmtId="0" fontId="4" fillId="16" borderId="0" applyNumberFormat="0" applyBorder="0" applyAlignment="0" applyProtection="0"/>
    <xf numFmtId="0" fontId="4" fillId="18" borderId="0" applyNumberFormat="0" applyBorder="0" applyAlignment="0" applyProtection="0"/>
    <xf numFmtId="0" fontId="4" fillId="20" borderId="0" applyNumberFormat="0" applyBorder="0" applyAlignment="0" applyProtection="0"/>
    <xf numFmtId="0" fontId="4" fillId="22" borderId="0" applyNumberFormat="0" applyBorder="0" applyAlignment="0" applyProtection="0"/>
    <xf numFmtId="0" fontId="4" fillId="24" borderId="0" applyNumberFormat="0" applyBorder="0" applyAlignment="0" applyProtection="0"/>
    <xf numFmtId="0" fontId="4" fillId="15" borderId="0" applyNumberFormat="0" applyBorder="0" applyAlignment="0" applyProtection="0"/>
    <xf numFmtId="0" fontId="4" fillId="17" borderId="0" applyNumberFormat="0" applyBorder="0" applyAlignment="0" applyProtection="0"/>
    <xf numFmtId="0" fontId="4" fillId="19" borderId="0" applyNumberFormat="0" applyBorder="0" applyAlignment="0" applyProtection="0"/>
    <xf numFmtId="0" fontId="4" fillId="21" borderId="0" applyNumberFormat="0" applyBorder="0" applyAlignment="0" applyProtection="0"/>
    <xf numFmtId="0" fontId="4" fillId="23" borderId="0" applyNumberFormat="0" applyBorder="0" applyAlignment="0" applyProtection="0"/>
    <xf numFmtId="0" fontId="4" fillId="25" borderId="0" applyNumberFormat="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13" borderId="123" applyNumberFormat="0" applyFont="0" applyAlignment="0" applyProtection="0"/>
    <xf numFmtId="0" fontId="4" fillId="0" borderId="0"/>
    <xf numFmtId="0" fontId="4" fillId="0" borderId="0"/>
    <xf numFmtId="0" fontId="93" fillId="0" borderId="0" applyNumberFormat="0" applyFill="0" applyBorder="0" applyAlignment="0" applyProtection="0"/>
    <xf numFmtId="0" fontId="3" fillId="16" borderId="0" applyNumberFormat="0" applyBorder="0" applyAlignment="0" applyProtection="0"/>
    <xf numFmtId="0" fontId="2" fillId="0" borderId="0"/>
    <xf numFmtId="169" fontId="2" fillId="0" borderId="0" applyFont="0" applyFill="0" applyBorder="0" applyAlignment="0" applyProtection="0"/>
    <xf numFmtId="170" fontId="2" fillId="0" borderId="0" applyFont="0" applyFill="0" applyBorder="0" applyAlignment="0" applyProtection="0"/>
    <xf numFmtId="0" fontId="134" fillId="0" borderId="0"/>
    <xf numFmtId="9" fontId="134" fillId="0" borderId="0" applyFont="0" applyFill="0" applyBorder="0" applyAlignment="0" applyProtection="0"/>
    <xf numFmtId="0" fontId="1" fillId="25" borderId="0" applyNumberFormat="0" applyBorder="0" applyAlignment="0" applyProtection="0"/>
    <xf numFmtId="0" fontId="1" fillId="0" borderId="0"/>
  </cellStyleXfs>
  <cellXfs count="1558">
    <xf numFmtId="0" fontId="0" fillId="0" borderId="0" xfId="0"/>
    <xf numFmtId="0" fontId="11" fillId="0" borderId="0" xfId="0" applyFont="1" applyAlignment="1">
      <alignment horizontal="center"/>
    </xf>
    <xf numFmtId="0" fontId="11" fillId="0" borderId="0" xfId="0" applyFont="1"/>
    <xf numFmtId="0" fontId="12" fillId="0" borderId="0" xfId="0" applyFont="1" applyAlignment="1">
      <alignment horizontal="center"/>
    </xf>
    <xf numFmtId="0" fontId="12" fillId="0" borderId="0" xfId="0" applyFont="1"/>
    <xf numFmtId="164" fontId="14" fillId="0" borderId="0" xfId="2" applyFont="1"/>
    <xf numFmtId="0" fontId="12" fillId="0" borderId="0" xfId="0" quotePrefix="1" applyFont="1" applyAlignment="1">
      <alignment horizontal="left"/>
    </xf>
    <xf numFmtId="0" fontId="13" fillId="0" borderId="0" xfId="0" quotePrefix="1" applyFont="1" applyAlignment="1">
      <alignment horizontal="left"/>
    </xf>
    <xf numFmtId="164" fontId="15" fillId="0" borderId="0" xfId="2" applyFont="1"/>
    <xf numFmtId="164" fontId="12" fillId="0" borderId="0" xfId="2" applyFont="1" applyAlignment="1">
      <alignment horizontal="left"/>
    </xf>
    <xf numFmtId="164" fontId="16" fillId="0" borderId="0" xfId="2" applyFont="1"/>
    <xf numFmtId="164" fontId="12" fillId="0" borderId="0" xfId="2" applyFont="1"/>
    <xf numFmtId="164" fontId="17" fillId="0" borderId="0" xfId="2" applyFont="1" applyAlignment="1">
      <alignment horizontal="left" wrapText="1"/>
    </xf>
    <xf numFmtId="164" fontId="14" fillId="0" borderId="1" xfId="2" applyFont="1" applyBorder="1"/>
    <xf numFmtId="164" fontId="17" fillId="0" borderId="2" xfId="2" applyFont="1" applyBorder="1" applyAlignment="1">
      <alignment horizontal="left"/>
    </xf>
    <xf numFmtId="164" fontId="12" fillId="0" borderId="1" xfId="2" applyFont="1" applyBorder="1"/>
    <xf numFmtId="164" fontId="17" fillId="0" borderId="1" xfId="2" applyFont="1" applyBorder="1"/>
    <xf numFmtId="164" fontId="17" fillId="0" borderId="0" xfId="2" applyFont="1"/>
    <xf numFmtId="164" fontId="17" fillId="0" borderId="0" xfId="2" applyFont="1" applyAlignment="1">
      <alignment horizontal="left"/>
    </xf>
    <xf numFmtId="171" fontId="12" fillId="0" borderId="0" xfId="2" applyNumberFormat="1" applyFont="1"/>
    <xf numFmtId="171" fontId="12" fillId="0" borderId="3" xfId="2" applyNumberFormat="1" applyFont="1" applyBorder="1" applyAlignment="1">
      <alignment horizontal="right"/>
    </xf>
    <xf numFmtId="164" fontId="17" fillId="0" borderId="0" xfId="2" applyFont="1" applyAlignment="1">
      <alignment horizontal="right"/>
    </xf>
    <xf numFmtId="171" fontId="12" fillId="0" borderId="3" xfId="2" applyNumberFormat="1" applyFont="1" applyBorder="1"/>
    <xf numFmtId="164" fontId="12" fillId="0" borderId="0" xfId="2" applyFont="1" applyAlignment="1">
      <alignment horizontal="right"/>
    </xf>
    <xf numFmtId="164" fontId="12" fillId="0" borderId="5" xfId="2" applyFont="1" applyBorder="1"/>
    <xf numFmtId="174" fontId="12" fillId="0" borderId="1" xfId="2" applyNumberFormat="1" applyFont="1" applyBorder="1"/>
    <xf numFmtId="164" fontId="12" fillId="0" borderId="2" xfId="2" applyFont="1" applyBorder="1"/>
    <xf numFmtId="174" fontId="12" fillId="0" borderId="0" xfId="2" applyNumberFormat="1" applyFont="1"/>
    <xf numFmtId="174" fontId="14" fillId="0" borderId="0" xfId="2" applyNumberFormat="1" applyFont="1"/>
    <xf numFmtId="171" fontId="12" fillId="0" borderId="0" xfId="4" applyFont="1"/>
    <xf numFmtId="172" fontId="12" fillId="0" borderId="0" xfId="4" applyNumberFormat="1" applyFont="1"/>
    <xf numFmtId="171" fontId="12" fillId="0" borderId="6" xfId="4" applyFont="1" applyBorder="1" applyAlignment="1">
      <alignment horizontal="center"/>
    </xf>
    <xf numFmtId="14" fontId="15" fillId="0" borderId="0" xfId="2" applyNumberFormat="1" applyFont="1" applyAlignment="1">
      <alignment horizontal="left"/>
    </xf>
    <xf numFmtId="164" fontId="19" fillId="0" borderId="0" xfId="2" applyFont="1"/>
    <xf numFmtId="164" fontId="12" fillId="0" borderId="13" xfId="2" applyFont="1" applyBorder="1" applyAlignment="1">
      <alignment horizontal="center"/>
    </xf>
    <xf numFmtId="164" fontId="12" fillId="0" borderId="14" xfId="2" applyFont="1" applyBorder="1" applyAlignment="1">
      <alignment horizontal="center"/>
    </xf>
    <xf numFmtId="10" fontId="22" fillId="0" borderId="0" xfId="0" applyNumberFormat="1" applyFont="1" applyAlignment="1" applyProtection="1">
      <alignment horizontal="center"/>
      <protection locked="0"/>
    </xf>
    <xf numFmtId="0" fontId="23" fillId="0" borderId="0" xfId="0" applyFont="1" applyAlignment="1">
      <alignment horizontal="center"/>
    </xf>
    <xf numFmtId="164" fontId="21" fillId="0" borderId="0" xfId="2" applyFont="1" applyAlignment="1">
      <alignment horizontal="right"/>
    </xf>
    <xf numFmtId="0" fontId="10" fillId="0" borderId="0" xfId="0" applyFont="1"/>
    <xf numFmtId="0" fontId="23" fillId="0" borderId="9" xfId="0" applyFont="1" applyBorder="1" applyAlignment="1">
      <alignment horizontal="center" vertical="center"/>
    </xf>
    <xf numFmtId="0" fontId="23" fillId="0" borderId="16" xfId="0" applyFont="1" applyBorder="1" applyAlignment="1">
      <alignment horizontal="center" vertical="center" wrapText="1"/>
    </xf>
    <xf numFmtId="0" fontId="26" fillId="2" borderId="0" xfId="0" applyFont="1" applyFill="1" applyAlignment="1">
      <alignment horizontal="center"/>
    </xf>
    <xf numFmtId="0" fontId="19" fillId="0" borderId="0" xfId="0" applyFont="1"/>
    <xf numFmtId="0" fontId="11" fillId="0" borderId="0" xfId="0" applyFont="1" applyAlignment="1">
      <alignment horizontal="left"/>
    </xf>
    <xf numFmtId="0" fontId="12" fillId="0" borderId="0" xfId="0" applyFont="1" applyAlignment="1">
      <alignment horizontal="left"/>
    </xf>
    <xf numFmtId="182" fontId="14" fillId="0" borderId="0" xfId="2" applyNumberFormat="1" applyFont="1" applyAlignment="1">
      <alignment horizontal="left" wrapText="1"/>
    </xf>
    <xf numFmtId="182" fontId="14" fillId="0" borderId="17" xfId="2" applyNumberFormat="1" applyFont="1" applyBorder="1"/>
    <xf numFmtId="182" fontId="14" fillId="0" borderId="0" xfId="0" applyNumberFormat="1" applyFont="1" applyAlignment="1">
      <alignment horizontal="left"/>
    </xf>
    <xf numFmtId="171" fontId="18" fillId="0" borderId="0" xfId="4" applyFont="1" applyAlignment="1">
      <alignment horizontal="centerContinuous"/>
    </xf>
    <xf numFmtId="0" fontId="12" fillId="0" borderId="0" xfId="4" applyNumberFormat="1" applyFont="1"/>
    <xf numFmtId="171" fontId="12" fillId="0" borderId="0" xfId="4" applyFont="1" applyAlignment="1">
      <alignment horizontal="center"/>
    </xf>
    <xf numFmtId="1" fontId="0" fillId="0" borderId="0" xfId="0" applyNumberFormat="1"/>
    <xf numFmtId="0" fontId="0" fillId="0" borderId="0" xfId="0" applyAlignment="1">
      <alignment horizontal="center"/>
    </xf>
    <xf numFmtId="1" fontId="0" fillId="0" borderId="0" xfId="0" applyNumberFormat="1" applyAlignment="1">
      <alignment horizontal="center"/>
    </xf>
    <xf numFmtId="0" fontId="12" fillId="0" borderId="0" xfId="0" applyFont="1" applyAlignment="1">
      <alignment vertical="center"/>
    </xf>
    <xf numFmtId="169" fontId="0" fillId="0" borderId="0" xfId="0" applyNumberFormat="1"/>
    <xf numFmtId="0" fontId="19" fillId="0" borderId="0" xfId="0" applyFont="1" applyAlignment="1">
      <alignment horizontal="left" indent="1"/>
    </xf>
    <xf numFmtId="0" fontId="0" fillId="0" borderId="0" xfId="0" applyAlignment="1">
      <alignment horizontal="right"/>
    </xf>
    <xf numFmtId="0" fontId="19" fillId="0" borderId="0" xfId="0" applyFont="1" applyAlignment="1">
      <alignment horizontal="right"/>
    </xf>
    <xf numFmtId="1" fontId="12" fillId="0" borderId="0" xfId="0" applyNumberFormat="1" applyFont="1" applyAlignment="1">
      <alignment horizontal="left"/>
    </xf>
    <xf numFmtId="169" fontId="0" fillId="3" borderId="0" xfId="0" applyNumberFormat="1" applyFill="1"/>
    <xf numFmtId="169" fontId="0" fillId="4" borderId="0" xfId="0" applyNumberFormat="1" applyFill="1"/>
    <xf numFmtId="164" fontId="14" fillId="0" borderId="0" xfId="2" applyFont="1" applyAlignment="1">
      <alignment horizontal="center"/>
    </xf>
    <xf numFmtId="164" fontId="12" fillId="0" borderId="0" xfId="2" applyFont="1" applyAlignment="1">
      <alignment horizontal="center"/>
    </xf>
    <xf numFmtId="164" fontId="12" fillId="0" borderId="0" xfId="2" applyFont="1" applyAlignment="1">
      <alignment horizontal="center" wrapText="1"/>
    </xf>
    <xf numFmtId="164" fontId="12" fillId="0" borderId="1" xfId="2" applyFont="1" applyBorder="1" applyAlignment="1">
      <alignment horizontal="center"/>
    </xf>
    <xf numFmtId="174" fontId="12" fillId="0" borderId="0" xfId="2" applyNumberFormat="1" applyFont="1" applyAlignment="1">
      <alignment horizontal="center"/>
    </xf>
    <xf numFmtId="9" fontId="14" fillId="0" borderId="0" xfId="2" applyNumberFormat="1" applyFont="1"/>
    <xf numFmtId="0" fontId="24" fillId="0" borderId="18" xfId="0" applyFont="1" applyBorder="1" applyAlignment="1">
      <alignment vertical="center"/>
    </xf>
    <xf numFmtId="0" fontId="24" fillId="0" borderId="19" xfId="0" applyFont="1" applyBorder="1" applyAlignment="1">
      <alignment vertical="center"/>
    </xf>
    <xf numFmtId="0" fontId="29" fillId="0" borderId="0" xfId="0" applyFont="1"/>
    <xf numFmtId="164" fontId="14" fillId="0" borderId="2" xfId="2" applyFont="1" applyBorder="1" applyAlignment="1">
      <alignment horizontal="center"/>
    </xf>
    <xf numFmtId="164" fontId="14" fillId="0" borderId="3" xfId="2" applyFont="1" applyBorder="1" applyAlignment="1">
      <alignment horizontal="center"/>
    </xf>
    <xf numFmtId="164" fontId="12" fillId="0" borderId="23" xfId="2" applyFont="1" applyBorder="1" applyAlignment="1">
      <alignment horizontal="center"/>
    </xf>
    <xf numFmtId="174" fontId="12" fillId="0" borderId="5" xfId="2" applyNumberFormat="1" applyFont="1" applyBorder="1"/>
    <xf numFmtId="0" fontId="12" fillId="0" borderId="1" xfId="0" applyFont="1" applyBorder="1"/>
    <xf numFmtId="2" fontId="0" fillId="5" borderId="0" xfId="0" applyNumberFormat="1" applyFill="1"/>
    <xf numFmtId="171" fontId="12" fillId="0" borderId="0" xfId="4" applyFont="1" applyAlignment="1">
      <alignment horizontal="right"/>
    </xf>
    <xf numFmtId="179" fontId="12" fillId="0" borderId="17" xfId="2" applyNumberFormat="1" applyFont="1" applyBorder="1"/>
    <xf numFmtId="179" fontId="12" fillId="0" borderId="4" xfId="2" applyNumberFormat="1" applyFont="1" applyBorder="1"/>
    <xf numFmtId="179" fontId="17" fillId="0" borderId="1" xfId="2" applyNumberFormat="1" applyFont="1" applyBorder="1"/>
    <xf numFmtId="179" fontId="12" fillId="0" borderId="1" xfId="2" applyNumberFormat="1" applyFont="1" applyBorder="1"/>
    <xf numFmtId="179" fontId="17" fillId="0" borderId="0" xfId="2" applyNumberFormat="1" applyFont="1"/>
    <xf numFmtId="179" fontId="12" fillId="0" borderId="4" xfId="2" applyNumberFormat="1" applyFont="1" applyBorder="1" applyAlignment="1">
      <alignment horizontal="right"/>
    </xf>
    <xf numFmtId="179" fontId="12" fillId="0" borderId="26" xfId="2" applyNumberFormat="1" applyFont="1" applyBorder="1"/>
    <xf numFmtId="49" fontId="12" fillId="0" borderId="0" xfId="4" applyNumberFormat="1" applyFont="1"/>
    <xf numFmtId="182" fontId="30" fillId="0" borderId="0" xfId="4" applyNumberFormat="1" applyFont="1" applyAlignment="1">
      <alignment horizontal="left"/>
    </xf>
    <xf numFmtId="14" fontId="14" fillId="0" borderId="0" xfId="0" applyNumberFormat="1" applyFont="1" applyAlignment="1">
      <alignment horizontal="left"/>
    </xf>
    <xf numFmtId="0" fontId="31" fillId="0" borderId="0" xfId="0" applyFont="1" applyAlignment="1">
      <alignment horizontal="right" vertical="center"/>
    </xf>
    <xf numFmtId="169" fontId="12" fillId="0" borderId="8" xfId="4" applyNumberFormat="1" applyFont="1" applyBorder="1"/>
    <xf numFmtId="1" fontId="11" fillId="0" borderId="24" xfId="4" applyNumberFormat="1" applyFont="1" applyBorder="1" applyAlignment="1" applyProtection="1">
      <alignment horizontal="center"/>
      <protection locked="0"/>
    </xf>
    <xf numFmtId="49" fontId="11" fillId="0" borderId="24" xfId="4" applyNumberFormat="1" applyFont="1" applyBorder="1" applyAlignment="1" applyProtection="1">
      <alignment horizontal="center"/>
      <protection locked="0"/>
    </xf>
    <xf numFmtId="171" fontId="12" fillId="0" borderId="6" xfId="4" applyFont="1" applyBorder="1" applyAlignment="1">
      <alignment horizontal="center" wrapText="1"/>
    </xf>
    <xf numFmtId="49" fontId="11" fillId="0" borderId="27" xfId="4" applyNumberFormat="1" applyFont="1" applyBorder="1" applyAlignment="1" applyProtection="1">
      <alignment horizontal="center"/>
      <protection locked="0"/>
    </xf>
    <xf numFmtId="1" fontId="11" fillId="0" borderId="27" xfId="4" applyNumberFormat="1" applyFont="1" applyBorder="1" applyAlignment="1" applyProtection="1">
      <alignment horizontal="center"/>
      <protection locked="0"/>
    </xf>
    <xf numFmtId="0" fontId="12" fillId="0" borderId="31" xfId="4" applyNumberFormat="1" applyFont="1" applyBorder="1"/>
    <xf numFmtId="175" fontId="12" fillId="0" borderId="32" xfId="4" applyNumberFormat="1" applyFont="1" applyBorder="1" applyAlignment="1">
      <alignment horizontal="center"/>
    </xf>
    <xf numFmtId="169" fontId="12" fillId="0" borderId="33" xfId="4" applyNumberFormat="1" applyFont="1" applyBorder="1"/>
    <xf numFmtId="171" fontId="12" fillId="0" borderId="7" xfId="4" applyFont="1" applyBorder="1" applyAlignment="1">
      <alignment horizontal="center" vertical="center"/>
    </xf>
    <xf numFmtId="184" fontId="11" fillId="0" borderId="24" xfId="4" applyNumberFormat="1" applyFont="1" applyBorder="1" applyAlignment="1" applyProtection="1">
      <alignment horizontal="center"/>
      <protection locked="0"/>
    </xf>
    <xf numFmtId="0" fontId="0" fillId="0" borderId="32" xfId="0" applyBorder="1"/>
    <xf numFmtId="10" fontId="32" fillId="0" borderId="7" xfId="4" applyNumberFormat="1" applyFont="1" applyBorder="1" applyAlignment="1" applyProtection="1">
      <alignment horizontal="center" vertical="center"/>
      <protection locked="0"/>
    </xf>
    <xf numFmtId="171" fontId="20" fillId="0" borderId="0" xfId="4" applyFont="1" applyAlignment="1">
      <alignment horizontal="center"/>
    </xf>
    <xf numFmtId="164" fontId="12" fillId="0" borderId="34" xfId="2" applyFont="1" applyBorder="1" applyAlignment="1">
      <alignment horizontal="center"/>
    </xf>
    <xf numFmtId="164" fontId="13" fillId="0" borderId="35" xfId="2" applyFont="1" applyBorder="1" applyAlignment="1">
      <alignment horizontal="center"/>
    </xf>
    <xf numFmtId="164" fontId="13" fillId="0" borderId="37" xfId="2" applyFont="1" applyBorder="1" applyAlignment="1">
      <alignment horizontal="center"/>
    </xf>
    <xf numFmtId="164" fontId="13" fillId="0" borderId="38" xfId="2" applyFont="1" applyBorder="1" applyAlignment="1">
      <alignment horizontal="center"/>
    </xf>
    <xf numFmtId="184" fontId="12" fillId="0" borderId="32" xfId="4" applyNumberFormat="1" applyFont="1" applyBorder="1" applyAlignment="1">
      <alignment horizontal="center"/>
    </xf>
    <xf numFmtId="0" fontId="13" fillId="6" borderId="39" xfId="0" applyFont="1" applyFill="1" applyBorder="1" applyAlignment="1">
      <alignment horizontal="centerContinuous" vertical="center"/>
    </xf>
    <xf numFmtId="0" fontId="13" fillId="0" borderId="39" xfId="0" applyFont="1" applyBorder="1"/>
    <xf numFmtId="0" fontId="12" fillId="0" borderId="39" xfId="0" applyFont="1" applyBorder="1" applyAlignment="1">
      <alignment vertical="center"/>
    </xf>
    <xf numFmtId="0" fontId="12" fillId="0" borderId="0" xfId="0" applyFont="1" applyAlignment="1">
      <alignment horizontal="right"/>
    </xf>
    <xf numFmtId="0" fontId="27" fillId="0" borderId="0" xfId="0" applyFont="1" applyAlignment="1">
      <alignment horizontal="center" vertical="center"/>
    </xf>
    <xf numFmtId="1" fontId="0" fillId="0" borderId="0" xfId="0" applyNumberFormat="1" applyAlignment="1">
      <alignment horizontal="left"/>
    </xf>
    <xf numFmtId="169" fontId="0" fillId="7" borderId="0" xfId="0" applyNumberFormat="1" applyFill="1"/>
    <xf numFmtId="169" fontId="0" fillId="8" borderId="0" xfId="0" applyNumberFormat="1" applyFill="1"/>
    <xf numFmtId="169" fontId="12" fillId="9" borderId="0" xfId="0" applyNumberFormat="1" applyFont="1" applyFill="1"/>
    <xf numFmtId="0" fontId="35" fillId="0" borderId="0" xfId="0" applyFont="1" applyAlignment="1">
      <alignment horizontal="center"/>
    </xf>
    <xf numFmtId="184" fontId="12" fillId="0" borderId="24" xfId="4" applyNumberFormat="1" applyFont="1" applyBorder="1" applyAlignment="1">
      <alignment horizontal="center"/>
    </xf>
    <xf numFmtId="0" fontId="13" fillId="6" borderId="39" xfId="0" applyFont="1" applyFill="1" applyBorder="1" applyAlignment="1">
      <alignment horizontal="left" indent="3"/>
    </xf>
    <xf numFmtId="164" fontId="12" fillId="0" borderId="0" xfId="2" quotePrefix="1" applyFont="1" applyAlignment="1">
      <alignment horizontal="right"/>
    </xf>
    <xf numFmtId="2" fontId="0" fillId="0" borderId="20" xfId="0" applyNumberFormat="1" applyBorder="1" applyAlignment="1">
      <alignment horizontal="right"/>
    </xf>
    <xf numFmtId="2" fontId="0" fillId="0" borderId="21" xfId="0" applyNumberFormat="1" applyBorder="1" applyAlignment="1">
      <alignment horizontal="right"/>
    </xf>
    <xf numFmtId="2" fontId="0" fillId="0" borderId="0" xfId="0" applyNumberFormat="1" applyAlignment="1">
      <alignment horizontal="right"/>
    </xf>
    <xf numFmtId="2" fontId="0" fillId="0" borderId="22" xfId="0" applyNumberFormat="1" applyBorder="1" applyAlignment="1">
      <alignment horizontal="right"/>
    </xf>
    <xf numFmtId="179" fontId="11" fillId="0" borderId="0" xfId="0" applyNumberFormat="1" applyFont="1" applyAlignment="1" applyProtection="1">
      <alignment horizontal="right"/>
      <protection locked="0"/>
    </xf>
    <xf numFmtId="171" fontId="17" fillId="0" borderId="1" xfId="2" applyNumberFormat="1" applyFont="1" applyBorder="1"/>
    <xf numFmtId="174" fontId="17" fillId="0" borderId="0" xfId="2" applyNumberFormat="1" applyFont="1" applyAlignment="1">
      <alignment horizontal="left" indent="1"/>
    </xf>
    <xf numFmtId="174" fontId="17" fillId="0" borderId="1" xfId="2" applyNumberFormat="1" applyFont="1" applyBorder="1" applyAlignment="1">
      <alignment horizontal="left" indent="1"/>
    </xf>
    <xf numFmtId="164" fontId="17" fillId="0" borderId="0" xfId="2" applyFont="1" applyAlignment="1">
      <alignment horizontal="left" indent="1"/>
    </xf>
    <xf numFmtId="2" fontId="17" fillId="0" borderId="1" xfId="2" applyNumberFormat="1" applyFont="1" applyBorder="1" applyAlignment="1">
      <alignment horizontal="left" indent="1"/>
    </xf>
    <xf numFmtId="2" fontId="17" fillId="0" borderId="0" xfId="2" applyNumberFormat="1" applyFont="1" applyAlignment="1">
      <alignment horizontal="left" indent="1"/>
    </xf>
    <xf numFmtId="2" fontId="12" fillId="0" borderId="0" xfId="0" applyNumberFormat="1" applyFont="1" applyAlignment="1">
      <alignment horizontal="left" indent="1"/>
    </xf>
    <xf numFmtId="175" fontId="17" fillId="0" borderId="0" xfId="2" applyNumberFormat="1" applyFont="1"/>
    <xf numFmtId="1" fontId="12" fillId="0" borderId="41" xfId="0" applyNumberFormat="1" applyFont="1" applyBorder="1" applyAlignment="1" applyProtection="1">
      <alignment horizontal="center"/>
      <protection locked="0"/>
    </xf>
    <xf numFmtId="179" fontId="12" fillId="0" borderId="0" xfId="2" applyNumberFormat="1" applyFont="1" applyAlignment="1">
      <alignment horizontal="right"/>
    </xf>
    <xf numFmtId="0" fontId="36" fillId="0" borderId="0" xfId="0" applyFont="1"/>
    <xf numFmtId="0" fontId="38" fillId="0" borderId="47" xfId="0" applyFont="1" applyBorder="1" applyAlignment="1" applyProtection="1">
      <alignment horizontal="center"/>
      <protection locked="0"/>
    </xf>
    <xf numFmtId="49" fontId="38" fillId="0" borderId="24" xfId="4" applyNumberFormat="1" applyFont="1" applyBorder="1" applyAlignment="1" applyProtection="1">
      <alignment horizontal="center"/>
      <protection locked="0"/>
    </xf>
    <xf numFmtId="171" fontId="41" fillId="0" borderId="0" xfId="4" applyFont="1"/>
    <xf numFmtId="0" fontId="12" fillId="0" borderId="48" xfId="0" applyFont="1" applyBorder="1" applyAlignment="1">
      <alignment horizontal="center"/>
    </xf>
    <xf numFmtId="0" fontId="12" fillId="0" borderId="47" xfId="0" applyFont="1" applyBorder="1" applyAlignment="1">
      <alignment horizontal="center"/>
    </xf>
    <xf numFmtId="39" fontId="17" fillId="0" borderId="0" xfId="2" applyNumberFormat="1" applyFont="1" applyAlignment="1">
      <alignment horizontal="left" indent="1"/>
    </xf>
    <xf numFmtId="164" fontId="17" fillId="0" borderId="5" xfId="2" applyFont="1" applyBorder="1" applyAlignment="1">
      <alignment horizontal="left"/>
    </xf>
    <xf numFmtId="164" fontId="17" fillId="0" borderId="5" xfId="2" applyFont="1" applyBorder="1"/>
    <xf numFmtId="164" fontId="33" fillId="0" borderId="1" xfId="2" applyFont="1" applyBorder="1" applyAlignment="1">
      <alignment horizontal="right"/>
    </xf>
    <xf numFmtId="169" fontId="12" fillId="0" borderId="23" xfId="2" applyNumberFormat="1" applyFont="1" applyBorder="1"/>
    <xf numFmtId="169" fontId="12" fillId="0" borderId="5" xfId="2" applyNumberFormat="1" applyFont="1" applyBorder="1"/>
    <xf numFmtId="0" fontId="12" fillId="0" borderId="1" xfId="0" applyFont="1" applyBorder="1" applyAlignment="1">
      <alignment horizontal="left" indent="1"/>
    </xf>
    <xf numFmtId="0" fontId="31" fillId="0" borderId="0" xfId="0" applyFont="1"/>
    <xf numFmtId="179" fontId="14" fillId="0" borderId="0" xfId="0" applyNumberFormat="1" applyFont="1"/>
    <xf numFmtId="0" fontId="38" fillId="0" borderId="0" xfId="0" applyFont="1" applyAlignment="1" applyProtection="1">
      <alignment horizontal="center"/>
      <protection locked="0"/>
    </xf>
    <xf numFmtId="1" fontId="38" fillId="0" borderId="0" xfId="0" applyNumberFormat="1" applyFont="1" applyAlignment="1" applyProtection="1">
      <alignment horizontal="center"/>
      <protection locked="0"/>
    </xf>
    <xf numFmtId="0" fontId="11" fillId="0" borderId="0" xfId="0" applyFont="1" applyAlignment="1" applyProtection="1">
      <alignment horizontal="center"/>
      <protection locked="0"/>
    </xf>
    <xf numFmtId="1" fontId="11" fillId="0" borderId="0" xfId="0" applyNumberFormat="1" applyFont="1" applyAlignment="1" applyProtection="1">
      <alignment horizontal="center"/>
      <protection locked="0"/>
    </xf>
    <xf numFmtId="184" fontId="12" fillId="0" borderId="17" xfId="2" applyNumberFormat="1" applyFont="1" applyBorder="1"/>
    <xf numFmtId="184" fontId="12" fillId="0" borderId="4" xfId="2" applyNumberFormat="1" applyFont="1" applyBorder="1"/>
    <xf numFmtId="164" fontId="13" fillId="0" borderId="0" xfId="2" applyFont="1" applyAlignment="1">
      <alignment horizontal="center"/>
    </xf>
    <xf numFmtId="164" fontId="13" fillId="0" borderId="0" xfId="2" applyFont="1"/>
    <xf numFmtId="164" fontId="17" fillId="0" borderId="1" xfId="2" applyFont="1" applyBorder="1" applyAlignment="1">
      <alignment horizontal="left"/>
    </xf>
    <xf numFmtId="164" fontId="17" fillId="0" borderId="4" xfId="2" applyFont="1" applyBorder="1" applyAlignment="1">
      <alignment horizontal="left"/>
    </xf>
    <xf numFmtId="164" fontId="17" fillId="0" borderId="4" xfId="2" applyFont="1" applyBorder="1"/>
    <xf numFmtId="0" fontId="12" fillId="0" borderId="0" xfId="0" applyFont="1" applyAlignment="1" applyProtection="1">
      <alignment horizontal="left"/>
      <protection locked="0"/>
    </xf>
    <xf numFmtId="0" fontId="24" fillId="0" borderId="0" xfId="0" applyFont="1"/>
    <xf numFmtId="0" fontId="13" fillId="0" borderId="41" xfId="0" applyFont="1" applyBorder="1" applyAlignment="1">
      <alignment horizontal="center"/>
    </xf>
    <xf numFmtId="1" fontId="13" fillId="0" borderId="41" xfId="0" applyNumberFormat="1" applyFont="1" applyBorder="1" applyAlignment="1">
      <alignment horizontal="center"/>
    </xf>
    <xf numFmtId="179" fontId="13" fillId="0" borderId="0" xfId="0" applyNumberFormat="1" applyFont="1" applyAlignment="1">
      <alignment horizontal="center"/>
    </xf>
    <xf numFmtId="1" fontId="13" fillId="0" borderId="42" xfId="0" applyNumberFormat="1" applyFont="1" applyBorder="1" applyAlignment="1">
      <alignment horizontal="center"/>
    </xf>
    <xf numFmtId="1" fontId="13" fillId="0" borderId="43" xfId="0" applyNumberFormat="1" applyFont="1" applyBorder="1" applyAlignment="1">
      <alignment horizontal="center"/>
    </xf>
    <xf numFmtId="1" fontId="12" fillId="6" borderId="41" xfId="0" applyNumberFormat="1" applyFont="1" applyFill="1" applyBorder="1" applyAlignment="1">
      <alignment horizontal="center"/>
    </xf>
    <xf numFmtId="179" fontId="12" fillId="6" borderId="0" xfId="0" applyNumberFormat="1" applyFont="1" applyFill="1"/>
    <xf numFmtId="0" fontId="12" fillId="6" borderId="0" xfId="0" applyFont="1" applyFill="1" applyAlignment="1">
      <alignment horizontal="center"/>
    </xf>
    <xf numFmtId="169" fontId="12" fillId="6" borderId="42" xfId="0" applyNumberFormat="1" applyFont="1" applyFill="1" applyBorder="1"/>
    <xf numFmtId="169" fontId="12" fillId="6" borderId="43" xfId="0" applyNumberFormat="1" applyFont="1" applyFill="1" applyBorder="1"/>
    <xf numFmtId="169" fontId="12" fillId="0" borderId="42" xfId="0" applyNumberFormat="1" applyFont="1" applyBorder="1"/>
    <xf numFmtId="169" fontId="12" fillId="0" borderId="43" xfId="0" applyNumberFormat="1" applyFont="1" applyBorder="1"/>
    <xf numFmtId="1" fontId="12" fillId="0" borderId="41" xfId="0" applyNumberFormat="1" applyFont="1" applyBorder="1" applyAlignment="1">
      <alignment horizontal="center"/>
    </xf>
    <xf numFmtId="169" fontId="12" fillId="0" borderId="54" xfId="0" applyNumberFormat="1" applyFont="1" applyBorder="1"/>
    <xf numFmtId="169" fontId="12" fillId="0" borderId="55" xfId="0" applyNumberFormat="1" applyFont="1" applyBorder="1"/>
    <xf numFmtId="1" fontId="12" fillId="0" borderId="0" xfId="0" applyNumberFormat="1" applyFont="1" applyAlignment="1">
      <alignment horizontal="center"/>
    </xf>
    <xf numFmtId="179" fontId="12" fillId="0" borderId="0" xfId="0" applyNumberFormat="1" applyFont="1"/>
    <xf numFmtId="182" fontId="28" fillId="0" borderId="39" xfId="0" applyNumberFormat="1" applyFont="1" applyBorder="1" applyAlignment="1">
      <alignment horizontal="left" wrapText="1"/>
    </xf>
    <xf numFmtId="182" fontId="14" fillId="0" borderId="40" xfId="0" applyNumberFormat="1" applyFont="1" applyBorder="1" applyAlignment="1">
      <alignment horizontal="left" wrapText="1"/>
    </xf>
    <xf numFmtId="1" fontId="23" fillId="0" borderId="0" xfId="0" applyNumberFormat="1" applyFont="1" applyAlignment="1">
      <alignment horizontal="center"/>
    </xf>
    <xf numFmtId="178" fontId="12" fillId="0" borderId="17" xfId="2" applyNumberFormat="1" applyFont="1" applyBorder="1"/>
    <xf numFmtId="178" fontId="12" fillId="0" borderId="26" xfId="2" applyNumberFormat="1" applyFont="1" applyBorder="1"/>
    <xf numFmtId="0" fontId="12" fillId="0" borderId="58" xfId="0" applyFont="1" applyBorder="1"/>
    <xf numFmtId="0" fontId="23" fillId="0" borderId="15" xfId="0" applyFont="1" applyBorder="1" applyAlignment="1">
      <alignment horizontal="center" vertical="center" wrapText="1"/>
    </xf>
    <xf numFmtId="182" fontId="14" fillId="0" borderId="60" xfId="0" applyNumberFormat="1" applyFont="1" applyBorder="1" applyAlignment="1">
      <alignment horizontal="left" wrapText="1"/>
    </xf>
    <xf numFmtId="182" fontId="28" fillId="0" borderId="0" xfId="0" applyNumberFormat="1" applyFont="1" applyAlignment="1">
      <alignment horizontal="left" wrapText="1"/>
    </xf>
    <xf numFmtId="0" fontId="13" fillId="0" borderId="0" xfId="0" applyFont="1"/>
    <xf numFmtId="0" fontId="13" fillId="6" borderId="0" xfId="0" applyFont="1" applyFill="1" applyAlignment="1">
      <alignment horizontal="centerContinuous" vertical="center"/>
    </xf>
    <xf numFmtId="0" fontId="13" fillId="6" borderId="0" xfId="0" applyFont="1" applyFill="1" applyAlignment="1">
      <alignment horizontal="left" indent="3"/>
    </xf>
    <xf numFmtId="0" fontId="12" fillId="0" borderId="61" xfId="0" applyFont="1" applyBorder="1"/>
    <xf numFmtId="167" fontId="12" fillId="0" borderId="62" xfId="1" applyNumberFormat="1" applyFont="1" applyFill="1" applyBorder="1"/>
    <xf numFmtId="166" fontId="12" fillId="0" borderId="63" xfId="1" applyNumberFormat="1" applyFont="1" applyFill="1" applyBorder="1"/>
    <xf numFmtId="0" fontId="12" fillId="0" borderId="64" xfId="0" applyFont="1" applyBorder="1"/>
    <xf numFmtId="167" fontId="12" fillId="0" borderId="0" xfId="1" applyNumberFormat="1" applyFont="1" applyFill="1" applyBorder="1"/>
    <xf numFmtId="166" fontId="12" fillId="0" borderId="65" xfId="1" applyNumberFormat="1" applyFont="1" applyFill="1" applyBorder="1"/>
    <xf numFmtId="167" fontId="12" fillId="0" borderId="65" xfId="0" applyNumberFormat="1" applyFont="1" applyBorder="1"/>
    <xf numFmtId="0" fontId="12" fillId="0" borderId="66" xfId="0" applyFont="1" applyBorder="1"/>
    <xf numFmtId="167" fontId="12" fillId="0" borderId="67" xfId="1" applyNumberFormat="1" applyFont="1" applyFill="1" applyBorder="1"/>
    <xf numFmtId="167" fontId="12" fillId="0" borderId="68" xfId="0" applyNumberFormat="1" applyFont="1" applyBorder="1"/>
    <xf numFmtId="0" fontId="12" fillId="0" borderId="53" xfId="0" applyFont="1" applyBorder="1" applyAlignment="1" applyProtection="1">
      <alignment horizontal="left"/>
      <protection locked="0"/>
    </xf>
    <xf numFmtId="0" fontId="12" fillId="0" borderId="57" xfId="0" applyFont="1" applyBorder="1" applyAlignment="1" applyProtection="1">
      <alignment horizontal="left" vertical="center"/>
      <protection locked="0"/>
    </xf>
    <xf numFmtId="0" fontId="12" fillId="0" borderId="39" xfId="0" applyFont="1" applyBorder="1" applyAlignment="1" applyProtection="1">
      <alignment horizontal="left"/>
      <protection locked="0"/>
    </xf>
    <xf numFmtId="178" fontId="12" fillId="0" borderId="0" xfId="2" applyNumberFormat="1" applyFont="1"/>
    <xf numFmtId="0" fontId="8" fillId="0" borderId="0" xfId="3"/>
    <xf numFmtId="10" fontId="12" fillId="0" borderId="0" xfId="0" applyNumberFormat="1" applyFont="1" applyAlignment="1">
      <alignment horizontal="center"/>
    </xf>
    <xf numFmtId="0" fontId="12" fillId="0" borderId="0" xfId="0" applyFont="1" applyAlignment="1" applyProtection="1">
      <alignment horizontal="left" vertical="center"/>
      <protection locked="0"/>
    </xf>
    <xf numFmtId="1" fontId="12" fillId="0" borderId="57" xfId="0" applyNumberFormat="1" applyFont="1" applyBorder="1" applyAlignment="1" applyProtection="1">
      <alignment horizontal="center"/>
      <protection locked="0"/>
    </xf>
    <xf numFmtId="1" fontId="12" fillId="6" borderId="56" xfId="0" applyNumberFormat="1" applyFont="1" applyFill="1" applyBorder="1" applyAlignment="1">
      <alignment horizontal="center"/>
    </xf>
    <xf numFmtId="179" fontId="14" fillId="0" borderId="57" xfId="0" applyNumberFormat="1" applyFont="1" applyBorder="1" applyProtection="1">
      <protection locked="0"/>
    </xf>
    <xf numFmtId="0" fontId="25" fillId="0" borderId="0" xfId="0" applyFont="1" applyAlignment="1">
      <alignment horizontal="right"/>
    </xf>
    <xf numFmtId="0" fontId="25" fillId="0" borderId="0" xfId="0" applyFont="1"/>
    <xf numFmtId="0" fontId="26" fillId="0" borderId="0" xfId="0" applyFont="1" applyAlignment="1">
      <alignment horizontal="center"/>
    </xf>
    <xf numFmtId="173" fontId="10" fillId="0" borderId="0" xfId="2" applyNumberFormat="1" applyFont="1" applyAlignment="1">
      <alignment horizontal="right"/>
    </xf>
    <xf numFmtId="164" fontId="10" fillId="0" borderId="0" xfId="2" applyFont="1"/>
    <xf numFmtId="175" fontId="10" fillId="0" borderId="3" xfId="2" applyNumberFormat="1" applyFont="1" applyBorder="1"/>
    <xf numFmtId="179" fontId="10" fillId="0" borderId="2" xfId="2" applyNumberFormat="1" applyFont="1" applyBorder="1"/>
    <xf numFmtId="179" fontId="10" fillId="0" borderId="3" xfId="2" applyNumberFormat="1" applyFont="1" applyBorder="1"/>
    <xf numFmtId="164" fontId="13" fillId="0" borderId="70" xfId="0" applyNumberFormat="1" applyFont="1" applyBorder="1" applyAlignment="1">
      <alignment horizontal="center"/>
    </xf>
    <xf numFmtId="164" fontId="13" fillId="0" borderId="71" xfId="0" applyNumberFormat="1" applyFont="1" applyBorder="1" applyAlignment="1">
      <alignment horizontal="center"/>
    </xf>
    <xf numFmtId="0" fontId="16" fillId="0" borderId="0" xfId="0" applyFont="1"/>
    <xf numFmtId="171" fontId="12" fillId="0" borderId="0" xfId="4" applyFont="1" applyAlignment="1" applyProtection="1">
      <alignment horizontal="center"/>
      <protection locked="0"/>
    </xf>
    <xf numFmtId="0" fontId="49" fillId="0" borderId="0" xfId="0" applyFont="1" applyAlignment="1">
      <alignment horizontal="center"/>
    </xf>
    <xf numFmtId="0" fontId="10" fillId="0" borderId="0" xfId="3" applyFont="1"/>
    <xf numFmtId="0" fontId="46" fillId="0" borderId="0" xfId="3" applyFont="1" applyAlignment="1" applyProtection="1">
      <alignment horizontal="center"/>
      <protection locked="0"/>
    </xf>
    <xf numFmtId="10" fontId="46" fillId="0" borderId="0" xfId="5" applyNumberFormat="1" applyFont="1" applyAlignment="1" applyProtection="1">
      <alignment horizontal="center"/>
      <protection locked="0"/>
    </xf>
    <xf numFmtId="2" fontId="0" fillId="9" borderId="0" xfId="0" applyNumberFormat="1" applyFill="1"/>
    <xf numFmtId="186" fontId="0" fillId="9" borderId="0" xfId="0" applyNumberFormat="1" applyFill="1"/>
    <xf numFmtId="10" fontId="0" fillId="9" borderId="0" xfId="0" applyNumberFormat="1" applyFill="1"/>
    <xf numFmtId="0" fontId="0" fillId="0" borderId="0" xfId="0" applyAlignment="1">
      <alignment horizontal="left"/>
    </xf>
    <xf numFmtId="169" fontId="0" fillId="10" borderId="0" xfId="0" applyNumberFormat="1" applyFill="1"/>
    <xf numFmtId="0" fontId="42" fillId="11" borderId="0" xfId="0" applyFont="1" applyFill="1"/>
    <xf numFmtId="0" fontId="50" fillId="11" borderId="0" xfId="0" applyFont="1" applyFill="1"/>
    <xf numFmtId="0" fontId="8" fillId="9" borderId="0" xfId="0" applyFont="1" applyFill="1"/>
    <xf numFmtId="2" fontId="0" fillId="9" borderId="0" xfId="0" applyNumberFormat="1" applyFill="1" applyProtection="1">
      <protection locked="0"/>
    </xf>
    <xf numFmtId="0" fontId="10" fillId="0" borderId="0" xfId="3" applyFont="1" applyAlignment="1">
      <alignment wrapText="1"/>
    </xf>
    <xf numFmtId="0" fontId="51" fillId="0" borderId="0" xfId="3" applyFont="1"/>
    <xf numFmtId="187" fontId="10" fillId="0" borderId="58" xfId="0" applyNumberFormat="1" applyFont="1" applyBorder="1"/>
    <xf numFmtId="2" fontId="46" fillId="0" borderId="0" xfId="5" applyNumberFormat="1" applyFont="1" applyAlignment="1" applyProtection="1">
      <alignment horizontal="center"/>
      <protection locked="0"/>
    </xf>
    <xf numFmtId="2" fontId="12" fillId="0" borderId="0" xfId="0" applyNumberFormat="1" applyFont="1" applyAlignment="1">
      <alignment horizontal="center"/>
    </xf>
    <xf numFmtId="0" fontId="8" fillId="0" borderId="39" xfId="0" applyFont="1" applyBorder="1" applyAlignment="1">
      <alignment vertical="center"/>
    </xf>
    <xf numFmtId="164" fontId="14" fillId="0" borderId="23" xfId="2" applyFont="1" applyBorder="1" applyAlignment="1">
      <alignment horizontal="center"/>
    </xf>
    <xf numFmtId="164" fontId="12" fillId="0" borderId="5" xfId="2" applyFont="1" applyBorder="1" applyAlignment="1">
      <alignment horizontal="left"/>
    </xf>
    <xf numFmtId="164" fontId="12" fillId="0" borderId="23" xfId="2" applyFont="1" applyBorder="1" applyAlignment="1">
      <alignment horizontal="right"/>
    </xf>
    <xf numFmtId="164" fontId="12" fillId="0" borderId="26" xfId="2" applyFont="1" applyBorder="1" applyAlignment="1">
      <alignment horizontal="right"/>
    </xf>
    <xf numFmtId="0" fontId="8" fillId="0" borderId="0" xfId="0" applyFont="1" applyAlignment="1">
      <alignment horizontal="left"/>
    </xf>
    <xf numFmtId="2" fontId="12" fillId="0" borderId="0" xfId="4" applyNumberFormat="1" applyFont="1"/>
    <xf numFmtId="0" fontId="8" fillId="0" borderId="0" xfId="0" applyFont="1"/>
    <xf numFmtId="0" fontId="10" fillId="0" borderId="0" xfId="2" applyNumberFormat="1" applyFont="1" applyAlignment="1">
      <alignment horizontal="left"/>
    </xf>
    <xf numFmtId="187" fontId="10" fillId="0" borderId="0" xfId="2" applyNumberFormat="1" applyFont="1"/>
    <xf numFmtId="171" fontId="28" fillId="0" borderId="6" xfId="4" applyFont="1" applyBorder="1" applyAlignment="1">
      <alignment horizontal="center" textRotation="90" wrapText="1"/>
    </xf>
    <xf numFmtId="2" fontId="8" fillId="9" borderId="0" xfId="0" applyNumberFormat="1" applyFont="1" applyFill="1" applyProtection="1">
      <protection locked="0"/>
    </xf>
    <xf numFmtId="171" fontId="28" fillId="0" borderId="91" xfId="4" applyFont="1" applyBorder="1" applyAlignment="1">
      <alignment horizontal="center" textRotation="90" wrapText="1"/>
    </xf>
    <xf numFmtId="171" fontId="28" fillId="0" borderId="92" xfId="4" applyFont="1" applyBorder="1" applyAlignment="1">
      <alignment horizontal="center" textRotation="90" wrapText="1"/>
    </xf>
    <xf numFmtId="2" fontId="12" fillId="0" borderId="98" xfId="4" applyNumberFormat="1" applyFont="1" applyBorder="1"/>
    <xf numFmtId="180" fontId="14" fillId="0" borderId="109" xfId="4" applyNumberFormat="1" applyFont="1" applyBorder="1" applyAlignment="1">
      <alignment horizontal="right"/>
    </xf>
    <xf numFmtId="180" fontId="12" fillId="0" borderId="95" xfId="4" applyNumberFormat="1" applyFont="1" applyBorder="1"/>
    <xf numFmtId="180" fontId="14" fillId="12" borderId="109" xfId="4" applyNumberFormat="1" applyFont="1" applyFill="1" applyBorder="1" applyAlignment="1">
      <alignment horizontal="right"/>
    </xf>
    <xf numFmtId="180" fontId="12" fillId="12" borderId="97" xfId="4" applyNumberFormat="1" applyFont="1" applyFill="1" applyBorder="1"/>
    <xf numFmtId="2" fontId="11" fillId="0" borderId="112" xfId="4" applyNumberFormat="1" applyFont="1" applyBorder="1" applyProtection="1">
      <protection locked="0"/>
    </xf>
    <xf numFmtId="0" fontId="38" fillId="12" borderId="47" xfId="0" applyFont="1" applyFill="1" applyBorder="1" applyAlignment="1" applyProtection="1">
      <alignment horizontal="center"/>
      <protection locked="0"/>
    </xf>
    <xf numFmtId="49" fontId="38" fillId="12" borderId="29" xfId="4" applyNumberFormat="1" applyFont="1" applyFill="1" applyBorder="1" applyAlignment="1" applyProtection="1">
      <alignment horizontal="center"/>
      <protection locked="0"/>
    </xf>
    <xf numFmtId="1" fontId="11" fillId="12" borderId="29" xfId="4" applyNumberFormat="1" applyFont="1" applyFill="1" applyBorder="1" applyAlignment="1" applyProtection="1">
      <alignment horizontal="center"/>
      <protection locked="0"/>
    </xf>
    <xf numFmtId="184" fontId="11" fillId="12" borderId="28" xfId="4" applyNumberFormat="1" applyFont="1" applyFill="1" applyBorder="1" applyAlignment="1" applyProtection="1">
      <alignment horizontal="center"/>
      <protection locked="0"/>
    </xf>
    <xf numFmtId="184" fontId="12" fillId="12" borderId="24" xfId="4" applyNumberFormat="1" applyFont="1" applyFill="1" applyBorder="1" applyAlignment="1">
      <alignment horizontal="center"/>
    </xf>
    <xf numFmtId="169" fontId="12" fillId="12" borderId="8" xfId="4" applyNumberFormat="1" applyFont="1" applyFill="1" applyBorder="1"/>
    <xf numFmtId="49" fontId="38" fillId="12" borderId="24" xfId="4" applyNumberFormat="1" applyFont="1" applyFill="1" applyBorder="1" applyAlignment="1" applyProtection="1">
      <alignment horizontal="center"/>
      <protection locked="0"/>
    </xf>
    <xf numFmtId="1" fontId="11" fillId="12" borderId="24" xfId="4" applyNumberFormat="1" applyFont="1" applyFill="1" applyBorder="1" applyAlignment="1" applyProtection="1">
      <alignment horizontal="center"/>
      <protection locked="0"/>
    </xf>
    <xf numFmtId="184" fontId="11" fillId="12" borderId="24" xfId="4" applyNumberFormat="1" applyFont="1" applyFill="1" applyBorder="1" applyAlignment="1" applyProtection="1">
      <alignment horizontal="center"/>
      <protection locked="0"/>
    </xf>
    <xf numFmtId="49" fontId="11" fillId="12" borderId="29" xfId="4" applyNumberFormat="1" applyFont="1" applyFill="1" applyBorder="1" applyAlignment="1" applyProtection="1">
      <alignment horizontal="center"/>
      <protection locked="0"/>
    </xf>
    <xf numFmtId="49" fontId="11" fillId="12" borderId="24" xfId="4" applyNumberFormat="1" applyFont="1" applyFill="1" applyBorder="1" applyAlignment="1" applyProtection="1">
      <alignment horizontal="center"/>
      <protection locked="0"/>
    </xf>
    <xf numFmtId="168" fontId="12" fillId="0" borderId="118" xfId="4" applyNumberFormat="1" applyFont="1" applyBorder="1" applyAlignment="1">
      <alignment horizontal="center"/>
    </xf>
    <xf numFmtId="168" fontId="12" fillId="0" borderId="120" xfId="4" applyNumberFormat="1" applyFont="1" applyBorder="1" applyAlignment="1">
      <alignment horizontal="center"/>
    </xf>
    <xf numFmtId="168" fontId="12" fillId="0" borderId="122" xfId="4" applyNumberFormat="1" applyFont="1" applyBorder="1" applyAlignment="1">
      <alignment horizontal="center"/>
    </xf>
    <xf numFmtId="49" fontId="23" fillId="0" borderId="0" xfId="0" applyNumberFormat="1" applyFont="1" applyAlignment="1">
      <alignment horizontal="center"/>
    </xf>
    <xf numFmtId="49" fontId="8" fillId="0" borderId="0" xfId="0" applyNumberFormat="1" applyFont="1"/>
    <xf numFmtId="170" fontId="63" fillId="0" borderId="127" xfId="4602" applyFont="1" applyBorder="1" applyAlignment="1" applyProtection="1">
      <alignment horizontal="left"/>
    </xf>
    <xf numFmtId="170" fontId="63" fillId="0" borderId="130" xfId="4602" applyFont="1" applyBorder="1" applyAlignment="1" applyProtection="1">
      <alignment horizontal="left"/>
    </xf>
    <xf numFmtId="0" fontId="64" fillId="0" borderId="124" xfId="0" applyFont="1" applyBorder="1" applyAlignment="1">
      <alignment horizontal="center" vertical="center" wrapText="1"/>
    </xf>
    <xf numFmtId="0" fontId="64" fillId="0" borderId="125" xfId="0" applyFont="1" applyBorder="1" applyAlignment="1">
      <alignment horizontal="center" vertical="center" wrapText="1"/>
    </xf>
    <xf numFmtId="0" fontId="64" fillId="0" borderId="126" xfId="0" applyFont="1" applyBorder="1" applyAlignment="1">
      <alignment horizontal="center" vertical="center" wrapText="1"/>
    </xf>
    <xf numFmtId="0" fontId="66" fillId="0" borderId="0" xfId="0" applyFont="1" applyAlignment="1">
      <alignment horizontal="center" wrapText="1"/>
    </xf>
    <xf numFmtId="0" fontId="66" fillId="0" borderId="0" xfId="4609" applyFont="1"/>
    <xf numFmtId="0" fontId="66" fillId="29" borderId="40" xfId="4609" applyFont="1" applyFill="1" applyBorder="1"/>
    <xf numFmtId="0" fontId="66" fillId="29" borderId="60" xfId="4609" applyFont="1" applyFill="1" applyBorder="1"/>
    <xf numFmtId="0" fontId="66" fillId="29" borderId="60" xfId="4609" applyFont="1" applyFill="1" applyBorder="1" applyAlignment="1">
      <alignment horizontal="center"/>
    </xf>
    <xf numFmtId="0" fontId="66" fillId="29" borderId="87" xfId="4609" applyFont="1" applyFill="1" applyBorder="1"/>
    <xf numFmtId="0" fontId="66" fillId="29" borderId="39" xfId="4609" applyFont="1" applyFill="1" applyBorder="1"/>
    <xf numFmtId="0" fontId="66" fillId="29" borderId="0" xfId="4609" applyFont="1" applyFill="1"/>
    <xf numFmtId="0" fontId="66" fillId="29" borderId="0" xfId="4609" applyFont="1" applyFill="1" applyAlignment="1">
      <alignment horizontal="center"/>
    </xf>
    <xf numFmtId="0" fontId="66" fillId="29" borderId="43" xfId="4609" applyFont="1" applyFill="1" applyBorder="1"/>
    <xf numFmtId="0" fontId="69" fillId="31" borderId="138" xfId="4609" applyFont="1" applyFill="1" applyBorder="1" applyAlignment="1">
      <alignment horizontal="left" vertical="center" indent="1"/>
    </xf>
    <xf numFmtId="0" fontId="68" fillId="31" borderId="138" xfId="4609" applyFont="1" applyFill="1" applyBorder="1" applyAlignment="1">
      <alignment horizontal="left" vertical="center" indent="1"/>
    </xf>
    <xf numFmtId="0" fontId="68" fillId="31" borderId="0" xfId="4609" applyFont="1" applyFill="1" applyAlignment="1">
      <alignment horizontal="left" vertical="center" indent="1"/>
    </xf>
    <xf numFmtId="0" fontId="69" fillId="31" borderId="139" xfId="4609" applyFont="1" applyFill="1" applyBorder="1" applyAlignment="1">
      <alignment horizontal="left" vertical="center" indent="1"/>
    </xf>
    <xf numFmtId="0" fontId="69" fillId="31" borderId="0" xfId="4609" applyFont="1" applyFill="1" applyAlignment="1">
      <alignment horizontal="left" vertical="center" indent="1"/>
    </xf>
    <xf numFmtId="0" fontId="66" fillId="29" borderId="0" xfId="4609" applyFont="1" applyFill="1" applyAlignment="1">
      <alignment horizontal="right" vertical="center"/>
    </xf>
    <xf numFmtId="0" fontId="66" fillId="29" borderId="0" xfId="4609" applyFont="1" applyFill="1" applyAlignment="1">
      <alignment horizontal="center" vertical="center"/>
    </xf>
    <xf numFmtId="0" fontId="66" fillId="29" borderId="0" xfId="4609" applyFont="1" applyFill="1" applyAlignment="1">
      <alignment vertical="center"/>
    </xf>
    <xf numFmtId="0" fontId="66" fillId="0" borderId="0" xfId="4609" applyFont="1" applyAlignment="1">
      <alignment wrapText="1"/>
    </xf>
    <xf numFmtId="0" fontId="66" fillId="29" borderId="39" xfId="4609" applyFont="1" applyFill="1" applyBorder="1" applyAlignment="1">
      <alignment wrapText="1"/>
    </xf>
    <xf numFmtId="0" fontId="70" fillId="31" borderId="138" xfId="4609" applyFont="1" applyFill="1" applyBorder="1" applyAlignment="1">
      <alignment horizontal="left" vertical="center" wrapText="1"/>
    </xf>
    <xf numFmtId="0" fontId="68" fillId="31" borderId="138" xfId="4609" applyFont="1" applyFill="1" applyBorder="1" applyAlignment="1">
      <alignment horizontal="left" vertical="center" wrapText="1"/>
    </xf>
    <xf numFmtId="0" fontId="71" fillId="31" borderId="138" xfId="4609" applyFont="1" applyFill="1" applyBorder="1" applyAlignment="1">
      <alignment horizontal="center" wrapText="1"/>
    </xf>
    <xf numFmtId="0" fontId="71" fillId="31" borderId="138" xfId="4609" applyFont="1" applyFill="1" applyBorder="1" applyAlignment="1">
      <alignment horizontal="center" vertical="center" wrapText="1"/>
    </xf>
    <xf numFmtId="0" fontId="66" fillId="29" borderId="0" xfId="4609" applyFont="1" applyFill="1" applyAlignment="1">
      <alignment wrapText="1"/>
    </xf>
    <xf numFmtId="0" fontId="70" fillId="31" borderId="0" xfId="4609" applyFont="1" applyFill="1" applyAlignment="1">
      <alignment horizontal="left" vertical="center" wrapText="1"/>
    </xf>
    <xf numFmtId="0" fontId="68" fillId="31" borderId="0" xfId="4609" applyFont="1" applyFill="1" applyAlignment="1">
      <alignment horizontal="left" vertical="center" wrapText="1"/>
    </xf>
    <xf numFmtId="0" fontId="72" fillId="31" borderId="0" xfId="4609" applyFont="1" applyFill="1" applyAlignment="1">
      <alignment horizontal="center" vertical="center" wrapText="1"/>
    </xf>
    <xf numFmtId="0" fontId="63" fillId="29" borderId="0" xfId="4609" applyFont="1" applyFill="1" applyAlignment="1">
      <alignment horizontal="right" indent="1"/>
    </xf>
    <xf numFmtId="188" fontId="73" fillId="16" borderId="141" xfId="15" applyNumberFormat="1" applyFont="1" applyBorder="1" applyAlignment="1" applyProtection="1">
      <alignment horizontal="right"/>
    </xf>
    <xf numFmtId="0" fontId="67" fillId="29" borderId="0" xfId="4609" applyFont="1" applyFill="1" applyAlignment="1">
      <alignment horizontal="right" indent="1"/>
    </xf>
    <xf numFmtId="188" fontId="62" fillId="16" borderId="141" xfId="15" applyNumberFormat="1" applyFont="1" applyBorder="1" applyAlignment="1" applyProtection="1">
      <alignment horizontal="right"/>
    </xf>
    <xf numFmtId="0" fontId="65" fillId="29" borderId="0" xfId="4609" applyFont="1" applyFill="1"/>
    <xf numFmtId="170" fontId="66" fillId="0" borderId="0" xfId="4609" applyNumberFormat="1" applyFont="1"/>
    <xf numFmtId="188" fontId="74" fillId="16" borderId="141" xfId="15" applyNumberFormat="1" applyFont="1" applyBorder="1" applyAlignment="1" applyProtection="1">
      <alignment horizontal="right"/>
    </xf>
    <xf numFmtId="0" fontId="75" fillId="29" borderId="0" xfId="4609" applyFont="1" applyFill="1" applyAlignment="1">
      <alignment horizontal="right" indent="1"/>
    </xf>
    <xf numFmtId="170" fontId="75" fillId="30" borderId="142" xfId="4602" applyFont="1" applyFill="1" applyBorder="1" applyProtection="1"/>
    <xf numFmtId="9" fontId="75" fillId="30" borderId="142" xfId="5" applyFont="1" applyFill="1" applyBorder="1" applyProtection="1"/>
    <xf numFmtId="0" fontId="76" fillId="29" borderId="39" xfId="4609" applyFont="1" applyFill="1" applyBorder="1"/>
    <xf numFmtId="9" fontId="77" fillId="32" borderId="142" xfId="5" applyFont="1" applyFill="1" applyBorder="1" applyProtection="1"/>
    <xf numFmtId="0" fontId="78" fillId="29" borderId="0" xfId="4609" applyFont="1" applyFill="1"/>
    <xf numFmtId="0" fontId="79" fillId="0" borderId="0" xfId="4609" applyFont="1"/>
    <xf numFmtId="0" fontId="79" fillId="29" borderId="39" xfId="4609" applyFont="1" applyFill="1" applyBorder="1"/>
    <xf numFmtId="169" fontId="79" fillId="29" borderId="0" xfId="4609" applyNumberFormat="1" applyFont="1" applyFill="1"/>
    <xf numFmtId="0" fontId="79" fillId="29" borderId="0" xfId="4609" applyFont="1" applyFill="1"/>
    <xf numFmtId="0" fontId="80" fillId="29" borderId="0" xfId="4609" applyFont="1" applyFill="1" applyAlignment="1">
      <alignment horizontal="center"/>
    </xf>
    <xf numFmtId="0" fontId="81" fillId="29" borderId="0" xfId="4609" applyFont="1" applyFill="1" applyAlignment="1">
      <alignment horizontal="right" indent="1"/>
    </xf>
    <xf numFmtId="10" fontId="66" fillId="29" borderId="0" xfId="5" applyNumberFormat="1" applyFont="1" applyFill="1" applyBorder="1" applyProtection="1"/>
    <xf numFmtId="0" fontId="66" fillId="0" borderId="0" xfId="4609" applyFont="1" applyAlignment="1">
      <alignment horizontal="center"/>
    </xf>
    <xf numFmtId="0" fontId="66" fillId="29" borderId="53" xfId="4609" applyFont="1" applyFill="1" applyBorder="1"/>
    <xf numFmtId="0" fontId="66" fillId="29" borderId="57" xfId="4609" applyFont="1" applyFill="1" applyBorder="1"/>
    <xf numFmtId="0" fontId="81" fillId="29" borderId="57" xfId="4609" applyFont="1" applyFill="1" applyBorder="1" applyAlignment="1">
      <alignment horizontal="right" indent="1"/>
    </xf>
    <xf numFmtId="0" fontId="66" fillId="29" borderId="55" xfId="4609" applyFont="1" applyFill="1" applyBorder="1"/>
    <xf numFmtId="170" fontId="82" fillId="30" borderId="142" xfId="4602" applyFont="1" applyFill="1" applyBorder="1" applyProtection="1"/>
    <xf numFmtId="0" fontId="82" fillId="29" borderId="0" xfId="4609" applyFont="1" applyFill="1" applyAlignment="1">
      <alignment horizontal="right" indent="1"/>
    </xf>
    <xf numFmtId="9" fontId="82" fillId="30" borderId="142" xfId="5" applyFont="1" applyFill="1" applyBorder="1" applyProtection="1"/>
    <xf numFmtId="9" fontId="61" fillId="32" borderId="142" xfId="5" applyFont="1" applyFill="1" applyBorder="1" applyProtection="1"/>
    <xf numFmtId="0" fontId="68" fillId="31" borderId="0" xfId="4609" applyFont="1" applyFill="1" applyAlignment="1">
      <alignment horizontal="center" vertical="center" wrapText="1"/>
    </xf>
    <xf numFmtId="0" fontId="68" fillId="31" borderId="138" xfId="4609" applyFont="1" applyFill="1" applyBorder="1" applyAlignment="1">
      <alignment horizontal="center" wrapText="1"/>
    </xf>
    <xf numFmtId="186" fontId="68" fillId="31" borderId="0" xfId="5" applyNumberFormat="1" applyFont="1" applyFill="1" applyBorder="1" applyAlignment="1" applyProtection="1">
      <alignment horizontal="center" vertical="center" wrapText="1"/>
    </xf>
    <xf numFmtId="188" fontId="5" fillId="16" borderId="141" xfId="4614" applyNumberFormat="1" applyBorder="1" applyAlignment="1" applyProtection="1">
      <alignment horizontal="right"/>
    </xf>
    <xf numFmtId="188" fontId="73" fillId="16" borderId="141" xfId="4614" applyNumberFormat="1" applyFont="1" applyBorder="1" applyAlignment="1" applyProtection="1">
      <alignment horizontal="right"/>
    </xf>
    <xf numFmtId="188" fontId="62" fillId="16" borderId="141" xfId="4614" applyNumberFormat="1" applyFont="1" applyBorder="1" applyAlignment="1" applyProtection="1">
      <alignment horizontal="right"/>
    </xf>
    <xf numFmtId="188" fontId="74" fillId="16" borderId="141" xfId="4614" applyNumberFormat="1" applyFont="1" applyBorder="1" applyAlignment="1" applyProtection="1">
      <alignment horizontal="right"/>
    </xf>
    <xf numFmtId="0" fontId="72" fillId="31" borderId="138" xfId="4609" applyFont="1" applyFill="1" applyBorder="1" applyAlignment="1">
      <alignment horizontal="center" vertical="center" wrapText="1"/>
    </xf>
    <xf numFmtId="0" fontId="72" fillId="31" borderId="138" xfId="4609" applyFont="1" applyFill="1" applyBorder="1" applyAlignment="1">
      <alignment horizontal="center" wrapText="1"/>
    </xf>
    <xf numFmtId="0" fontId="8" fillId="35" borderId="0" xfId="761" applyFill="1"/>
    <xf numFmtId="0" fontId="89" fillId="35" borderId="0" xfId="761" applyFont="1" applyFill="1"/>
    <xf numFmtId="0" fontId="8" fillId="0" borderId="0" xfId="761"/>
    <xf numFmtId="0" fontId="86" fillId="0" borderId="0" xfId="0" quotePrefix="1" applyFont="1" applyAlignment="1">
      <alignment horizontal="left"/>
    </xf>
    <xf numFmtId="0" fontId="94" fillId="11" borderId="0" xfId="761" applyFont="1" applyFill="1" applyAlignment="1">
      <alignment horizontal="right"/>
    </xf>
    <xf numFmtId="0" fontId="87" fillId="11" borderId="0" xfId="761" applyFont="1" applyFill="1"/>
    <xf numFmtId="0" fontId="87" fillId="11" borderId="0" xfId="761" applyFont="1" applyFill="1" applyAlignment="1">
      <alignment horizontal="center"/>
    </xf>
    <xf numFmtId="0" fontId="89" fillId="0" borderId="0" xfId="761" quotePrefix="1" applyFont="1" applyAlignment="1">
      <alignment horizontal="center"/>
    </xf>
    <xf numFmtId="0" fontId="89" fillId="0" borderId="0" xfId="761" applyFont="1"/>
    <xf numFmtId="0" fontId="88" fillId="0" borderId="0" xfId="761" applyFont="1" applyAlignment="1">
      <alignment horizontal="center" vertical="center"/>
    </xf>
    <xf numFmtId="0" fontId="88" fillId="0" borderId="0" xfId="761" applyFont="1" applyAlignment="1">
      <alignment horizontal="left" vertical="top" wrapText="1"/>
    </xf>
    <xf numFmtId="0" fontId="90" fillId="34" borderId="133" xfId="761" applyFont="1" applyFill="1" applyBorder="1" applyAlignment="1">
      <alignment vertical="center"/>
    </xf>
    <xf numFmtId="0" fontId="90" fillId="34" borderId="114" xfId="761" applyFont="1" applyFill="1" applyBorder="1" applyAlignment="1">
      <alignment horizontal="center" vertical="center"/>
    </xf>
    <xf numFmtId="0" fontId="91" fillId="0" borderId="143" xfId="761" applyFont="1" applyBorder="1" applyAlignment="1">
      <alignment vertical="center"/>
    </xf>
    <xf numFmtId="0" fontId="91" fillId="0" borderId="55" xfId="761" applyFont="1" applyBorder="1" applyAlignment="1">
      <alignment vertical="center"/>
    </xf>
    <xf numFmtId="0" fontId="91" fillId="0" borderId="55" xfId="761" applyFont="1" applyBorder="1" applyAlignment="1">
      <alignment horizontal="center" vertical="center"/>
    </xf>
    <xf numFmtId="0" fontId="88" fillId="0" borderId="55" xfId="761" applyFont="1" applyBorder="1" applyAlignment="1">
      <alignment horizontal="center" vertical="center"/>
    </xf>
    <xf numFmtId="0" fontId="88" fillId="0" borderId="143" xfId="761" applyFont="1" applyBorder="1" applyAlignment="1">
      <alignment vertical="center"/>
    </xf>
    <xf numFmtId="165" fontId="91" fillId="0" borderId="55" xfId="761" applyNumberFormat="1" applyFont="1" applyBorder="1" applyAlignment="1">
      <alignment horizontal="center" vertical="center"/>
    </xf>
    <xf numFmtId="0" fontId="88" fillId="0" borderId="0" xfId="761" applyFont="1" applyAlignment="1">
      <alignment vertical="center"/>
    </xf>
    <xf numFmtId="0" fontId="93" fillId="0" borderId="0" xfId="7820"/>
    <xf numFmtId="0" fontId="10" fillId="26" borderId="0" xfId="3" applyFont="1" applyFill="1"/>
    <xf numFmtId="0" fontId="0" fillId="0" borderId="0" xfId="0" applyProtection="1">
      <protection locked="0"/>
    </xf>
    <xf numFmtId="0" fontId="66" fillId="29" borderId="0" xfId="4609" applyFont="1" applyFill="1" applyAlignment="1" applyProtection="1">
      <alignment horizontal="center"/>
      <protection locked="0"/>
    </xf>
    <xf numFmtId="0" fontId="66" fillId="29" borderId="0" xfId="4609" applyFont="1" applyFill="1" applyProtection="1">
      <protection locked="0"/>
    </xf>
    <xf numFmtId="0" fontId="66" fillId="0" borderId="0" xfId="4609" applyFont="1" applyProtection="1">
      <protection locked="0"/>
    </xf>
    <xf numFmtId="0" fontId="89" fillId="26" borderId="0" xfId="761" applyFont="1" applyFill="1"/>
    <xf numFmtId="0" fontId="8" fillId="26" borderId="0" xfId="761" applyFill="1"/>
    <xf numFmtId="10" fontId="14" fillId="0" borderId="49" xfId="0" applyNumberFormat="1" applyFont="1" applyBorder="1" applyAlignment="1">
      <alignment horizontal="center"/>
    </xf>
    <xf numFmtId="10" fontId="14" fillId="0" borderId="7" xfId="0" applyNumberFormat="1" applyFont="1" applyBorder="1" applyAlignment="1">
      <alignment horizontal="center"/>
    </xf>
    <xf numFmtId="0" fontId="13" fillId="33" borderId="51" xfId="0" applyFont="1" applyFill="1" applyBorder="1"/>
    <xf numFmtId="0" fontId="12" fillId="33" borderId="50" xfId="0" applyFont="1" applyFill="1" applyBorder="1"/>
    <xf numFmtId="0" fontId="12" fillId="33" borderId="49" xfId="0" applyFont="1" applyFill="1" applyBorder="1" applyAlignment="1">
      <alignment horizontal="center"/>
    </xf>
    <xf numFmtId="49" fontId="23" fillId="0" borderId="0" xfId="0" applyNumberFormat="1" applyFont="1" applyAlignment="1">
      <alignment horizontal="left"/>
    </xf>
    <xf numFmtId="171" fontId="8" fillId="0" borderId="0" xfId="4" applyFont="1"/>
    <xf numFmtId="10" fontId="14" fillId="0" borderId="6" xfId="0" applyNumberFormat="1" applyFont="1" applyBorder="1" applyAlignment="1">
      <alignment horizontal="center"/>
    </xf>
    <xf numFmtId="0" fontId="8" fillId="27" borderId="0" xfId="0" applyFont="1" applyFill="1" applyAlignment="1">
      <alignment horizontal="center"/>
    </xf>
    <xf numFmtId="0" fontId="8" fillId="0" borderId="0" xfId="0" quotePrefix="1" applyFont="1"/>
    <xf numFmtId="187" fontId="10" fillId="0" borderId="59" xfId="0" applyNumberFormat="1" applyFont="1" applyBorder="1"/>
    <xf numFmtId="164" fontId="13" fillId="0" borderId="0" xfId="2" applyFont="1" applyAlignment="1">
      <alignment horizontal="center" vertical="center"/>
    </xf>
    <xf numFmtId="0" fontId="12" fillId="0" borderId="0" xfId="0" applyFont="1" applyAlignment="1">
      <alignment horizontal="center" vertical="center"/>
    </xf>
    <xf numFmtId="170" fontId="64" fillId="0" borderId="124" xfId="4602" applyFont="1" applyBorder="1" applyAlignment="1" applyProtection="1">
      <alignment horizontal="center" wrapText="1"/>
    </xf>
    <xf numFmtId="170" fontId="64" fillId="0" borderId="124" xfId="4602" applyFont="1" applyBorder="1" applyAlignment="1" applyProtection="1">
      <alignment horizontal="center" vertical="center" wrapText="1"/>
    </xf>
    <xf numFmtId="189" fontId="12" fillId="0" borderId="0" xfId="4" applyNumberFormat="1" applyFont="1"/>
    <xf numFmtId="189" fontId="12" fillId="0" borderId="6" xfId="4" applyNumberFormat="1" applyFont="1" applyBorder="1" applyAlignment="1">
      <alignment horizontal="center"/>
    </xf>
    <xf numFmtId="168" fontId="12" fillId="0" borderId="0" xfId="4" applyNumberFormat="1" applyFont="1" applyAlignment="1">
      <alignment horizontal="right"/>
    </xf>
    <xf numFmtId="0" fontId="64" fillId="0" borderId="0" xfId="0" applyFont="1" applyAlignment="1">
      <alignment horizontal="center" vertical="center" wrapText="1"/>
    </xf>
    <xf numFmtId="0" fontId="65" fillId="0" borderId="0" xfId="0" applyFont="1"/>
    <xf numFmtId="170" fontId="67" fillId="0" borderId="0" xfId="4602" applyFont="1" applyBorder="1" applyAlignment="1" applyProtection="1">
      <alignment horizontal="left"/>
    </xf>
    <xf numFmtId="170" fontId="63" fillId="0" borderId="129" xfId="4602" applyFont="1" applyBorder="1" applyAlignment="1" applyProtection="1">
      <alignment horizontal="left"/>
    </xf>
    <xf numFmtId="170" fontId="63" fillId="0" borderId="128" xfId="4602" applyFont="1" applyBorder="1" applyAlignment="1" applyProtection="1">
      <alignment horizontal="left"/>
    </xf>
    <xf numFmtId="170" fontId="63" fillId="0" borderId="131" xfId="4602" applyFont="1" applyBorder="1" applyAlignment="1" applyProtection="1">
      <alignment horizontal="left"/>
    </xf>
    <xf numFmtId="170" fontId="63" fillId="0" borderId="132" xfId="4602" applyFont="1" applyBorder="1" applyAlignment="1" applyProtection="1">
      <alignment horizontal="left"/>
    </xf>
    <xf numFmtId="178" fontId="12" fillId="0" borderId="0" xfId="4" applyNumberFormat="1" applyFont="1"/>
    <xf numFmtId="178" fontId="12" fillId="0" borderId="2" xfId="2" applyNumberFormat="1" applyFont="1" applyBorder="1"/>
    <xf numFmtId="171" fontId="13" fillId="0" borderId="0" xfId="4" applyFont="1"/>
    <xf numFmtId="49" fontId="84" fillId="0" borderId="117" xfId="4" applyNumberFormat="1" applyFont="1" applyBorder="1" applyAlignment="1" applyProtection="1">
      <alignment horizontal="center"/>
      <protection locked="0"/>
    </xf>
    <xf numFmtId="49" fontId="84" fillId="0" borderId="119" xfId="4" applyNumberFormat="1" applyFont="1" applyBorder="1" applyAlignment="1" applyProtection="1">
      <alignment horizontal="center"/>
      <protection locked="0"/>
    </xf>
    <xf numFmtId="49" fontId="84" fillId="0" borderId="121" xfId="4" applyNumberFormat="1" applyFont="1" applyBorder="1" applyAlignment="1" applyProtection="1">
      <alignment horizontal="center"/>
      <protection locked="0"/>
    </xf>
    <xf numFmtId="0" fontId="55" fillId="0" borderId="10" xfId="0" applyFont="1" applyBorder="1" applyAlignment="1">
      <alignment horizontal="center"/>
    </xf>
    <xf numFmtId="175" fontId="11" fillId="12" borderId="109" xfId="1" applyNumberFormat="1" applyFont="1" applyFill="1" applyBorder="1" applyAlignment="1" applyProtection="1">
      <alignment horizontal="center"/>
      <protection locked="0"/>
    </xf>
    <xf numFmtId="170" fontId="8" fillId="0" borderId="0" xfId="4611" applyFont="1" applyAlignment="1" applyProtection="1">
      <alignment horizontal="right"/>
    </xf>
    <xf numFmtId="187" fontId="10" fillId="0" borderId="0" xfId="0" applyNumberFormat="1" applyFont="1"/>
    <xf numFmtId="0" fontId="23" fillId="36" borderId="72" xfId="0" applyFont="1" applyFill="1" applyBorder="1" applyAlignment="1">
      <alignment horizontal="center" vertical="center" wrapText="1"/>
    </xf>
    <xf numFmtId="187" fontId="10" fillId="0" borderId="34" xfId="0" applyNumberFormat="1" applyFont="1" applyBorder="1"/>
    <xf numFmtId="187" fontId="10" fillId="0" borderId="159" xfId="0" applyNumberFormat="1" applyFont="1" applyBorder="1"/>
    <xf numFmtId="164" fontId="8" fillId="0" borderId="0" xfId="2" applyFont="1"/>
    <xf numFmtId="170" fontId="12" fillId="0" borderId="0" xfId="4611" applyFont="1" applyProtection="1"/>
    <xf numFmtId="164" fontId="8" fillId="0" borderId="0" xfId="2" applyFont="1" applyAlignment="1">
      <alignment horizontal="center"/>
    </xf>
    <xf numFmtId="186" fontId="12" fillId="0" borderId="0" xfId="5" applyNumberFormat="1" applyFont="1" applyProtection="1"/>
    <xf numFmtId="187" fontId="54" fillId="0" borderId="0" xfId="0" applyNumberFormat="1" applyFont="1"/>
    <xf numFmtId="187" fontId="54" fillId="0" borderId="12" xfId="0" applyNumberFormat="1" applyFont="1" applyBorder="1"/>
    <xf numFmtId="0" fontId="13" fillId="38" borderId="45" xfId="0" applyFont="1" applyFill="1" applyBorder="1" applyAlignment="1">
      <alignment horizontal="center" wrapText="1"/>
    </xf>
    <xf numFmtId="0" fontId="13" fillId="38" borderId="46" xfId="0" quotePrefix="1" applyFont="1" applyFill="1" applyBorder="1" applyAlignment="1">
      <alignment horizontal="center" wrapText="1"/>
    </xf>
    <xf numFmtId="0" fontId="23" fillId="38" borderId="7" xfId="0" applyFont="1" applyFill="1" applyBorder="1" applyAlignment="1">
      <alignment horizontal="center" vertical="center" wrapText="1"/>
    </xf>
    <xf numFmtId="0" fontId="23" fillId="38" borderId="30" xfId="0" applyFont="1" applyFill="1" applyBorder="1" applyAlignment="1">
      <alignment horizontal="center" vertical="center" wrapText="1"/>
    </xf>
    <xf numFmtId="0" fontId="13" fillId="38" borderId="46" xfId="0" applyFont="1" applyFill="1" applyBorder="1" applyAlignment="1">
      <alignment horizontal="center" wrapText="1"/>
    </xf>
    <xf numFmtId="0" fontId="80" fillId="38" borderId="40" xfId="4609" applyFont="1" applyFill="1" applyBorder="1"/>
    <xf numFmtId="2" fontId="80" fillId="38" borderId="87" xfId="4609" applyNumberFormat="1" applyFont="1" applyFill="1" applyBorder="1"/>
    <xf numFmtId="0" fontId="80" fillId="38" borderId="39" xfId="4609" applyFont="1" applyFill="1" applyBorder="1"/>
    <xf numFmtId="169" fontId="80" fillId="38" borderId="43" xfId="1" applyFont="1" applyFill="1" applyBorder="1" applyProtection="1"/>
    <xf numFmtId="0" fontId="80" fillId="38" borderId="53" xfId="4609" applyFont="1" applyFill="1" applyBorder="1"/>
    <xf numFmtId="9" fontId="80" fillId="38" borderId="55" xfId="5" applyFont="1" applyFill="1" applyBorder="1" applyProtection="1"/>
    <xf numFmtId="0" fontId="103" fillId="0" borderId="0" xfId="7820" applyFont="1"/>
    <xf numFmtId="0" fontId="104" fillId="39" borderId="16" xfId="0" applyFont="1" applyFill="1" applyBorder="1" applyAlignment="1">
      <alignment horizontal="center" wrapText="1"/>
    </xf>
    <xf numFmtId="0" fontId="105" fillId="39" borderId="144" xfId="0" applyFont="1" applyFill="1" applyBorder="1" applyAlignment="1">
      <alignment horizontal="center"/>
    </xf>
    <xf numFmtId="170" fontId="101" fillId="27" borderId="133" xfId="4602" applyFont="1" applyFill="1" applyBorder="1" applyAlignment="1" applyProtection="1">
      <alignment horizontal="center" vertical="center"/>
      <protection locked="0"/>
    </xf>
    <xf numFmtId="14" fontId="101" fillId="27" borderId="133" xfId="4602" applyNumberFormat="1" applyFont="1" applyFill="1" applyBorder="1" applyAlignment="1" applyProtection="1">
      <alignment horizontal="center" vertical="center"/>
      <protection locked="0"/>
    </xf>
    <xf numFmtId="188" fontId="6" fillId="30" borderId="49" xfId="15" applyNumberFormat="1" applyFill="1" applyBorder="1" applyAlignment="1" applyProtection="1">
      <alignment horizontal="right"/>
    </xf>
    <xf numFmtId="188" fontId="100" fillId="27" borderId="160" xfId="15" applyNumberFormat="1" applyFont="1" applyFill="1" applyBorder="1" applyAlignment="1" applyProtection="1">
      <alignment horizontal="right"/>
      <protection locked="0"/>
    </xf>
    <xf numFmtId="171" fontId="84" fillId="27" borderId="89" xfId="4" applyFont="1" applyFill="1" applyBorder="1" applyAlignment="1">
      <alignment horizontal="center"/>
    </xf>
    <xf numFmtId="171" fontId="84" fillId="27" borderId="145" xfId="4" applyFont="1" applyFill="1" applyBorder="1" applyAlignment="1">
      <alignment horizontal="center"/>
    </xf>
    <xf numFmtId="171" fontId="84" fillId="27" borderId="88" xfId="4" applyFont="1" applyFill="1" applyBorder="1" applyAlignment="1">
      <alignment horizontal="center"/>
    </xf>
    <xf numFmtId="171" fontId="84" fillId="27" borderId="90" xfId="4" applyFont="1" applyFill="1" applyBorder="1" applyAlignment="1">
      <alignment horizontal="center"/>
    </xf>
    <xf numFmtId="171" fontId="84" fillId="27" borderId="146" xfId="4" applyFont="1" applyFill="1" applyBorder="1" applyAlignment="1">
      <alignment horizontal="center"/>
    </xf>
    <xf numFmtId="184" fontId="102" fillId="27" borderId="13" xfId="4" applyNumberFormat="1" applyFont="1" applyFill="1" applyBorder="1" applyAlignment="1">
      <alignment horizontal="center"/>
    </xf>
    <xf numFmtId="184" fontId="102" fillId="27" borderId="103" xfId="4" applyNumberFormat="1" applyFont="1" applyFill="1" applyBorder="1" applyAlignment="1">
      <alignment horizontal="center"/>
    </xf>
    <xf numFmtId="184" fontId="102" fillId="27" borderId="91" xfId="4" applyNumberFormat="1" applyFont="1" applyFill="1" applyBorder="1" applyAlignment="1">
      <alignment horizontal="center"/>
    </xf>
    <xf numFmtId="184" fontId="102" fillId="27" borderId="6" xfId="4" applyNumberFormat="1" applyFont="1" applyFill="1" applyBorder="1" applyAlignment="1">
      <alignment horizontal="center"/>
    </xf>
    <xf numFmtId="184" fontId="102" fillId="27" borderId="92" xfId="4" applyNumberFormat="1" applyFont="1" applyFill="1" applyBorder="1" applyAlignment="1">
      <alignment horizontal="center"/>
    </xf>
    <xf numFmtId="184" fontId="102" fillId="27" borderId="102" xfId="4" applyNumberFormat="1" applyFont="1" applyFill="1" applyBorder="1" applyAlignment="1">
      <alignment horizontal="center"/>
    </xf>
    <xf numFmtId="0" fontId="13" fillId="27" borderId="43" xfId="0" applyFont="1" applyFill="1" applyBorder="1" applyAlignment="1">
      <alignment horizontal="right" vertical="center"/>
    </xf>
    <xf numFmtId="0" fontId="101" fillId="27" borderId="133" xfId="4609" quotePrefix="1" applyFont="1" applyFill="1" applyBorder="1" applyAlignment="1">
      <alignment horizontal="center"/>
    </xf>
    <xf numFmtId="0" fontId="99" fillId="11" borderId="0" xfId="0" applyFont="1" applyFill="1" applyAlignment="1">
      <alignment horizontal="right"/>
    </xf>
    <xf numFmtId="0" fontId="59" fillId="32" borderId="1" xfId="0" applyFont="1" applyFill="1" applyBorder="1" applyAlignment="1">
      <alignment vertical="top" wrapText="1"/>
    </xf>
    <xf numFmtId="171" fontId="31" fillId="0" borderId="39" xfId="4" quotePrefix="1" applyFont="1" applyBorder="1" applyAlignment="1">
      <alignment horizontal="center"/>
    </xf>
    <xf numFmtId="0" fontId="8" fillId="32" borderId="0" xfId="0" applyFont="1" applyFill="1" applyAlignment="1">
      <alignment vertical="center"/>
    </xf>
    <xf numFmtId="0" fontId="13" fillId="32" borderId="43" xfId="0" applyFont="1" applyFill="1" applyBorder="1" applyAlignment="1">
      <alignment horizontal="right" vertical="center"/>
    </xf>
    <xf numFmtId="184" fontId="102" fillId="32" borderId="13" xfId="4" applyNumberFormat="1" applyFont="1" applyFill="1" applyBorder="1" applyAlignment="1">
      <alignment horizontal="center"/>
    </xf>
    <xf numFmtId="171" fontId="31" fillId="32" borderId="39" xfId="4" quotePrefix="1" applyFont="1" applyFill="1" applyBorder="1" applyAlignment="1">
      <alignment horizontal="center"/>
    </xf>
    <xf numFmtId="171" fontId="31" fillId="32" borderId="43" xfId="4" applyFont="1" applyFill="1" applyBorder="1" applyAlignment="1">
      <alignment horizontal="center"/>
    </xf>
    <xf numFmtId="0" fontId="13" fillId="40" borderId="117" xfId="0" applyFont="1" applyFill="1" applyBorder="1" applyAlignment="1">
      <alignment horizontal="right"/>
    </xf>
    <xf numFmtId="2" fontId="12" fillId="32" borderId="0" xfId="4" applyNumberFormat="1" applyFont="1" applyFill="1"/>
    <xf numFmtId="171" fontId="12" fillId="32" borderId="0" xfId="4" applyFont="1" applyFill="1" applyAlignment="1">
      <alignment horizontal="center"/>
    </xf>
    <xf numFmtId="171" fontId="12" fillId="32" borderId="0" xfId="4" applyFont="1" applyFill="1"/>
    <xf numFmtId="14" fontId="13" fillId="27" borderId="114" xfId="0" applyNumberFormat="1" applyFont="1" applyFill="1" applyBorder="1" applyAlignment="1">
      <alignment horizontal="right"/>
    </xf>
    <xf numFmtId="1" fontId="11" fillId="12" borderId="96" xfId="4" applyNumberFormat="1" applyFont="1" applyFill="1" applyBorder="1" applyAlignment="1" applyProtection="1">
      <alignment horizontal="center"/>
      <protection locked="0"/>
    </xf>
    <xf numFmtId="1" fontId="11" fillId="0" borderId="94" xfId="4" applyNumberFormat="1" applyFont="1" applyBorder="1" applyAlignment="1" applyProtection="1">
      <alignment horizontal="center"/>
      <protection locked="0"/>
    </xf>
    <xf numFmtId="0" fontId="8" fillId="27" borderId="0" xfId="0" applyFont="1" applyFill="1" applyAlignment="1">
      <alignment vertical="center"/>
    </xf>
    <xf numFmtId="171" fontId="8" fillId="0" borderId="39" xfId="4" applyFont="1" applyBorder="1" applyAlignment="1">
      <alignment horizontal="right"/>
    </xf>
    <xf numFmtId="170" fontId="8" fillId="0" borderId="0" xfId="4611" applyFont="1" applyBorder="1" applyAlignment="1" applyProtection="1">
      <alignment horizontal="right"/>
    </xf>
    <xf numFmtId="170" fontId="8" fillId="0" borderId="43" xfId="4611" applyFont="1" applyBorder="1" applyAlignment="1" applyProtection="1">
      <alignment horizontal="right"/>
    </xf>
    <xf numFmtId="171" fontId="8" fillId="0" borderId="53" xfId="4" applyFont="1" applyBorder="1" applyAlignment="1">
      <alignment horizontal="right"/>
    </xf>
    <xf numFmtId="9" fontId="8" fillId="0" borderId="57" xfId="5" applyFont="1" applyBorder="1" applyAlignment="1" applyProtection="1">
      <alignment horizontal="right"/>
    </xf>
    <xf numFmtId="9" fontId="8" fillId="0" borderId="55" xfId="5" applyFont="1" applyBorder="1" applyAlignment="1" applyProtection="1">
      <alignment horizontal="right"/>
    </xf>
    <xf numFmtId="171" fontId="19" fillId="0" borderId="117" xfId="4" quotePrefix="1" applyFont="1" applyBorder="1" applyAlignment="1">
      <alignment horizontal="center" wrapText="1"/>
    </xf>
    <xf numFmtId="171" fontId="19" fillId="0" borderId="121" xfId="4" applyFont="1" applyBorder="1" applyAlignment="1">
      <alignment horizontal="center" wrapText="1"/>
    </xf>
    <xf numFmtId="10" fontId="46" fillId="0" borderId="0" xfId="5" applyNumberFormat="1" applyFont="1" applyAlignment="1" applyProtection="1">
      <alignment horizontal="center" textRotation="90" wrapText="1"/>
      <protection locked="0"/>
    </xf>
    <xf numFmtId="2" fontId="46" fillId="0" borderId="0" xfId="5" applyNumberFormat="1" applyFont="1" applyAlignment="1" applyProtection="1">
      <alignment horizontal="center" textRotation="90" wrapText="1"/>
      <protection locked="0"/>
    </xf>
    <xf numFmtId="2" fontId="8" fillId="32" borderId="39" xfId="0" applyNumberFormat="1" applyFont="1" applyFill="1" applyBorder="1" applyAlignment="1">
      <alignment horizontal="center" vertical="center"/>
    </xf>
    <xf numFmtId="184" fontId="102" fillId="32" borderId="102" xfId="4" applyNumberFormat="1" applyFont="1" applyFill="1" applyBorder="1" applyAlignment="1">
      <alignment horizontal="center"/>
    </xf>
    <xf numFmtId="184" fontId="102" fillId="32" borderId="103" xfId="4" applyNumberFormat="1" applyFont="1" applyFill="1" applyBorder="1" applyAlignment="1">
      <alignment horizontal="center"/>
    </xf>
    <xf numFmtId="179" fontId="8" fillId="0" borderId="0" xfId="4" applyNumberFormat="1" applyFont="1" applyAlignment="1">
      <alignment horizontal="right"/>
    </xf>
    <xf numFmtId="179" fontId="8" fillId="0" borderId="43" xfId="4" applyNumberFormat="1" applyFont="1" applyBorder="1" applyAlignment="1">
      <alignment horizontal="right"/>
    </xf>
    <xf numFmtId="2" fontId="8" fillId="27" borderId="39" xfId="0" applyNumberFormat="1" applyFont="1" applyFill="1" applyBorder="1" applyAlignment="1">
      <alignment horizontal="center" vertical="center"/>
    </xf>
    <xf numFmtId="169" fontId="24" fillId="0" borderId="0" xfId="1" applyFont="1" applyAlignment="1" applyProtection="1">
      <alignment horizontal="center"/>
    </xf>
    <xf numFmtId="164" fontId="12" fillId="38" borderId="34" xfId="2" applyFont="1" applyFill="1" applyBorder="1" applyAlignment="1">
      <alignment horizontal="center"/>
    </xf>
    <xf numFmtId="164" fontId="13" fillId="38" borderId="34" xfId="2" applyFont="1" applyFill="1" applyBorder="1" applyAlignment="1">
      <alignment horizontal="center"/>
    </xf>
    <xf numFmtId="164" fontId="13" fillId="38" borderId="159" xfId="2" applyFont="1" applyFill="1" applyBorder="1" applyAlignment="1">
      <alignment horizontal="center"/>
    </xf>
    <xf numFmtId="0" fontId="55" fillId="0" borderId="11" xfId="0" applyFont="1" applyBorder="1" applyAlignment="1">
      <alignment horizontal="center"/>
    </xf>
    <xf numFmtId="175" fontId="11" fillId="0" borderId="109" xfId="1" applyNumberFormat="1" applyFont="1" applyFill="1" applyBorder="1" applyAlignment="1" applyProtection="1">
      <alignment horizontal="center"/>
      <protection locked="0"/>
    </xf>
    <xf numFmtId="165" fontId="110" fillId="40" borderId="119" xfId="4" applyNumberFormat="1" applyFont="1" applyFill="1" applyBorder="1" applyAlignment="1">
      <alignment horizontal="center"/>
    </xf>
    <xf numFmtId="165" fontId="110" fillId="40" borderId="121" xfId="4" applyNumberFormat="1" applyFont="1" applyFill="1" applyBorder="1" applyAlignment="1">
      <alignment horizontal="center"/>
    </xf>
    <xf numFmtId="0" fontId="112" fillId="0" borderId="0" xfId="0" applyFont="1" applyAlignment="1">
      <alignment vertical="center"/>
    </xf>
    <xf numFmtId="1" fontId="12" fillId="0" borderId="167" xfId="0" applyNumberFormat="1" applyFont="1" applyBorder="1" applyAlignment="1">
      <alignment horizontal="center"/>
    </xf>
    <xf numFmtId="1" fontId="11" fillId="12" borderId="25" xfId="4" applyNumberFormat="1" applyFont="1" applyFill="1" applyBorder="1" applyAlignment="1" applyProtection="1">
      <alignment horizontal="center"/>
      <protection locked="0"/>
    </xf>
    <xf numFmtId="1" fontId="11" fillId="0" borderId="25" xfId="4" applyNumberFormat="1" applyFont="1" applyBorder="1" applyAlignment="1" applyProtection="1">
      <alignment horizontal="center"/>
      <protection locked="0"/>
    </xf>
    <xf numFmtId="171" fontId="8" fillId="0" borderId="0" xfId="4" applyFont="1" applyAlignment="1" applyProtection="1">
      <alignment horizontal="center"/>
      <protection locked="0"/>
    </xf>
    <xf numFmtId="0" fontId="85" fillId="29" borderId="0" xfId="4609" applyFont="1" applyFill="1" applyAlignment="1">
      <alignment horizontal="center"/>
    </xf>
    <xf numFmtId="0" fontId="8" fillId="0" borderId="11" xfId="0" applyFont="1" applyBorder="1"/>
    <xf numFmtId="0" fontId="12" fillId="0" borderId="12" xfId="0" applyFont="1" applyBorder="1"/>
    <xf numFmtId="0" fontId="11" fillId="0" borderId="12" xfId="0" applyFont="1" applyBorder="1" applyAlignment="1">
      <alignment horizontal="left"/>
    </xf>
    <xf numFmtId="0" fontId="12" fillId="0" borderId="59" xfId="0" applyFont="1" applyBorder="1"/>
    <xf numFmtId="0" fontId="113" fillId="0" borderId="9" xfId="0" applyFont="1" applyBorder="1"/>
    <xf numFmtId="0" fontId="113" fillId="0" borderId="10" xfId="0" applyFont="1" applyBorder="1"/>
    <xf numFmtId="0" fontId="13" fillId="38" borderId="168" xfId="0" applyFont="1" applyFill="1" applyBorder="1" applyAlignment="1">
      <alignment horizontal="center" wrapText="1"/>
    </xf>
    <xf numFmtId="0" fontId="23" fillId="38" borderId="169" xfId="0" applyFont="1" applyFill="1" applyBorder="1" applyAlignment="1">
      <alignment horizontal="center" vertical="center" wrapText="1"/>
    </xf>
    <xf numFmtId="164" fontId="12" fillId="0" borderId="170" xfId="2" applyFont="1" applyBorder="1" applyAlignment="1">
      <alignment horizontal="center"/>
    </xf>
    <xf numFmtId="164" fontId="13" fillId="0" borderId="171" xfId="0" applyNumberFormat="1" applyFont="1" applyBorder="1" applyAlignment="1">
      <alignment horizontal="center"/>
    </xf>
    <xf numFmtId="164" fontId="13" fillId="0" borderId="172" xfId="2" applyFont="1" applyBorder="1" applyAlignment="1">
      <alignment horizontal="center"/>
    </xf>
    <xf numFmtId="164" fontId="13" fillId="0" borderId="176" xfId="2" applyFont="1" applyBorder="1" applyAlignment="1">
      <alignment horizontal="center"/>
    </xf>
    <xf numFmtId="164" fontId="13" fillId="0" borderId="173" xfId="0" applyNumberFormat="1" applyFont="1" applyBorder="1" applyAlignment="1">
      <alignment horizontal="center"/>
    </xf>
    <xf numFmtId="0" fontId="89" fillId="41" borderId="0" xfId="761" applyFont="1" applyFill="1"/>
    <xf numFmtId="0" fontId="8" fillId="41" borderId="0" xfId="761" applyFill="1"/>
    <xf numFmtId="181" fontId="13" fillId="0" borderId="0" xfId="0" applyNumberFormat="1" applyFont="1" applyAlignment="1" applyProtection="1">
      <alignment horizontal="right"/>
      <protection locked="0"/>
    </xf>
    <xf numFmtId="2" fontId="13" fillId="0" borderId="0" xfId="0" applyNumberFormat="1" applyFont="1" applyAlignment="1">
      <alignment horizontal="center" wrapText="1"/>
    </xf>
    <xf numFmtId="0" fontId="114" fillId="0" borderId="0" xfId="0" applyFont="1" applyAlignment="1">
      <alignment horizontal="left"/>
    </xf>
    <xf numFmtId="0" fontId="93" fillId="0" borderId="0" xfId="7820" applyNumberFormat="1" applyFill="1" applyBorder="1" applyAlignment="1" applyProtection="1"/>
    <xf numFmtId="171" fontId="12" fillId="0" borderId="2" xfId="2" applyNumberFormat="1" applyFont="1" applyBorder="1"/>
    <xf numFmtId="175" fontId="17" fillId="0" borderId="1" xfId="2" applyNumberFormat="1" applyFont="1" applyBorder="1"/>
    <xf numFmtId="164" fontId="17" fillId="0" borderId="23" xfId="2" applyFont="1" applyBorder="1" applyAlignment="1">
      <alignment horizontal="center"/>
    </xf>
    <xf numFmtId="179" fontId="12" fillId="0" borderId="26" xfId="2" applyNumberFormat="1" applyFont="1" applyBorder="1" applyAlignment="1">
      <alignment horizontal="right"/>
    </xf>
    <xf numFmtId="175" fontId="17" fillId="0" borderId="5" xfId="2" applyNumberFormat="1" applyFont="1" applyBorder="1"/>
    <xf numFmtId="186" fontId="10" fillId="0" borderId="5" xfId="2" applyNumberFormat="1" applyFont="1" applyBorder="1" applyAlignment="1">
      <alignment horizontal="center"/>
    </xf>
    <xf numFmtId="0" fontId="12" fillId="0" borderId="60" xfId="4" applyNumberFormat="1" applyFont="1" applyBorder="1"/>
    <xf numFmtId="171" fontId="12" fillId="0" borderId="60" xfId="4" applyFont="1" applyBorder="1"/>
    <xf numFmtId="171" fontId="12" fillId="0" borderId="60" xfId="4" applyFont="1" applyBorder="1" applyAlignment="1">
      <alignment horizontal="center"/>
    </xf>
    <xf numFmtId="2" fontId="12" fillId="0" borderId="167" xfId="4" applyNumberFormat="1" applyFont="1" applyBorder="1"/>
    <xf numFmtId="2" fontId="13" fillId="0" borderId="40" xfId="4" applyNumberFormat="1" applyFont="1" applyBorder="1"/>
    <xf numFmtId="171" fontId="12" fillId="0" borderId="87" xfId="4" applyFont="1" applyBorder="1" applyAlignment="1">
      <alignment horizontal="center"/>
    </xf>
    <xf numFmtId="171" fontId="12" fillId="0" borderId="43" xfId="4" applyFont="1" applyBorder="1" applyAlignment="1">
      <alignment horizontal="center"/>
    </xf>
    <xf numFmtId="171" fontId="12" fillId="0" borderId="87" xfId="4" applyFont="1" applyBorder="1"/>
    <xf numFmtId="0" fontId="0" fillId="0" borderId="167" xfId="0" applyBorder="1"/>
    <xf numFmtId="0" fontId="0" fillId="0" borderId="43" xfId="0" applyBorder="1"/>
    <xf numFmtId="0" fontId="0" fillId="0" borderId="53" xfId="0" applyBorder="1"/>
    <xf numFmtId="0" fontId="0" fillId="0" borderId="57" xfId="0" applyBorder="1"/>
    <xf numFmtId="0" fontId="0" fillId="0" borderId="55" xfId="0" applyBorder="1"/>
    <xf numFmtId="171" fontId="13" fillId="0" borderId="40" xfId="4" applyFont="1" applyBorder="1"/>
    <xf numFmtId="0" fontId="12" fillId="0" borderId="60" xfId="0" applyFont="1" applyBorder="1"/>
    <xf numFmtId="164" fontId="13" fillId="0" borderId="0" xfId="2" applyFont="1" applyAlignment="1">
      <alignment horizontal="right"/>
    </xf>
    <xf numFmtId="189" fontId="84" fillId="27" borderId="88" xfId="1" applyNumberFormat="1" applyFont="1" applyFill="1" applyBorder="1" applyAlignment="1" applyProtection="1">
      <alignment horizontal="center"/>
    </xf>
    <xf numFmtId="169" fontId="55" fillId="0" borderId="93" xfId="1" applyFont="1" applyFill="1" applyBorder="1" applyAlignment="1" applyProtection="1">
      <alignment horizontal="center" wrapText="1"/>
    </xf>
    <xf numFmtId="169" fontId="55" fillId="0" borderId="26" xfId="1" applyFont="1" applyFill="1" applyBorder="1" applyAlignment="1" applyProtection="1">
      <alignment horizontal="center" wrapText="1"/>
    </xf>
    <xf numFmtId="169" fontId="55" fillId="0" borderId="111" xfId="1" applyFont="1" applyFill="1" applyBorder="1" applyAlignment="1" applyProtection="1">
      <alignment horizontal="center" wrapText="1"/>
    </xf>
    <xf numFmtId="169" fontId="55" fillId="0" borderId="5" xfId="1" applyFont="1" applyFill="1" applyBorder="1" applyAlignment="1" applyProtection="1">
      <alignment horizontal="center" wrapText="1"/>
    </xf>
    <xf numFmtId="0" fontId="115" fillId="0" borderId="0" xfId="0" applyFont="1" applyAlignment="1">
      <alignment horizontal="right"/>
    </xf>
    <xf numFmtId="168" fontId="12" fillId="0" borderId="53" xfId="4" applyNumberFormat="1" applyFont="1" applyBorder="1" applyAlignment="1">
      <alignment horizontal="center"/>
    </xf>
    <xf numFmtId="168" fontId="12" fillId="0" borderId="101" xfId="4" applyNumberFormat="1" applyFont="1" applyBorder="1"/>
    <xf numFmtId="164" fontId="8" fillId="0" borderId="170" xfId="2" applyFont="1" applyBorder="1" applyAlignment="1">
      <alignment horizontal="center"/>
    </xf>
    <xf numFmtId="164" fontId="8" fillId="0" borderId="58" xfId="2" applyFont="1" applyBorder="1" applyAlignment="1">
      <alignment horizontal="center"/>
    </xf>
    <xf numFmtId="0" fontId="105" fillId="42" borderId="72" xfId="0" applyFont="1" applyFill="1" applyBorder="1" applyAlignment="1">
      <alignment horizontal="center" wrapText="1"/>
    </xf>
    <xf numFmtId="0" fontId="25" fillId="0" borderId="34" xfId="0" applyFont="1" applyBorder="1"/>
    <xf numFmtId="0" fontId="25" fillId="0" borderId="34" xfId="0" applyFont="1" applyBorder="1" applyAlignment="1">
      <alignment horizontal="right"/>
    </xf>
    <xf numFmtId="0" fontId="25" fillId="0" borderId="159" xfId="0" applyFont="1" applyBorder="1" applyAlignment="1">
      <alignment horizontal="right"/>
    </xf>
    <xf numFmtId="0" fontId="12" fillId="43" borderId="0" xfId="0" applyFont="1" applyFill="1"/>
    <xf numFmtId="0" fontId="66" fillId="0" borderId="157" xfId="0" applyFont="1" applyBorder="1" applyAlignment="1">
      <alignment horizontal="center" vertical="center"/>
    </xf>
    <xf numFmtId="0" fontId="66" fillId="0" borderId="158" xfId="0" applyFont="1" applyBorder="1" applyAlignment="1">
      <alignment horizontal="center" vertical="center"/>
    </xf>
    <xf numFmtId="0" fontId="66" fillId="0" borderId="156" xfId="0" applyFont="1" applyBorder="1" applyAlignment="1">
      <alignment horizontal="center" vertical="center"/>
    </xf>
    <xf numFmtId="9" fontId="13" fillId="0" borderId="128" xfId="5" applyFont="1" applyBorder="1" applyAlignment="1" applyProtection="1">
      <alignment horizontal="center" wrapText="1"/>
    </xf>
    <xf numFmtId="0" fontId="8" fillId="0" borderId="129" xfId="0" applyFont="1" applyBorder="1" applyAlignment="1">
      <alignment horizontal="left" wrapText="1"/>
    </xf>
    <xf numFmtId="9" fontId="13" fillId="0" borderId="130" xfId="5" applyFont="1" applyFill="1" applyBorder="1" applyProtection="1"/>
    <xf numFmtId="9" fontId="0" fillId="0" borderId="130" xfId="5" applyFont="1" applyFill="1" applyBorder="1" applyProtection="1"/>
    <xf numFmtId="9" fontId="0" fillId="0" borderId="0" xfId="5" applyFont="1" applyProtection="1"/>
    <xf numFmtId="9" fontId="23" fillId="0" borderId="130" xfId="5" applyFont="1" applyFill="1" applyBorder="1" applyAlignment="1" applyProtection="1">
      <alignment horizontal="right"/>
    </xf>
    <xf numFmtId="0" fontId="8" fillId="0" borderId="124" xfId="0" applyFont="1" applyBorder="1" applyAlignment="1">
      <alignment horizontal="left" wrapText="1"/>
    </xf>
    <xf numFmtId="9" fontId="23" fillId="0" borderId="151" xfId="5" applyFont="1" applyFill="1" applyBorder="1" applyAlignment="1" applyProtection="1">
      <alignment horizontal="right"/>
    </xf>
    <xf numFmtId="9" fontId="8" fillId="0" borderId="151" xfId="5" applyFont="1" applyFill="1" applyBorder="1" applyProtection="1"/>
    <xf numFmtId="0" fontId="66" fillId="0" borderId="150" xfId="0" applyFont="1" applyBorder="1" applyAlignment="1">
      <alignment horizontal="center" vertical="center"/>
    </xf>
    <xf numFmtId="0" fontId="66" fillId="0" borderId="0" xfId="0" applyFont="1" applyAlignment="1">
      <alignment horizontal="center" vertical="center"/>
    </xf>
    <xf numFmtId="9" fontId="13" fillId="0" borderId="128" xfId="5" applyFont="1" applyFill="1" applyBorder="1" applyAlignment="1" applyProtection="1">
      <alignment horizontal="center" wrapText="1"/>
    </xf>
    <xf numFmtId="171" fontId="111" fillId="0" borderId="0" xfId="4" applyFont="1" applyAlignment="1">
      <alignment wrapText="1"/>
    </xf>
    <xf numFmtId="171" fontId="111" fillId="0" borderId="5" xfId="4" applyFont="1" applyBorder="1" applyAlignment="1">
      <alignment wrapText="1"/>
    </xf>
    <xf numFmtId="171" fontId="111" fillId="0" borderId="0" xfId="4" applyFont="1" applyAlignment="1">
      <alignment horizontal="left" wrapText="1"/>
    </xf>
    <xf numFmtId="171" fontId="111" fillId="0" borderId="0" xfId="4" applyFont="1" applyAlignment="1">
      <alignment vertical="center" wrapText="1"/>
    </xf>
    <xf numFmtId="0" fontId="31" fillId="0" borderId="144" xfId="0" applyFont="1" applyBorder="1"/>
    <xf numFmtId="0" fontId="31" fillId="0" borderId="7" xfId="0" applyFont="1" applyBorder="1"/>
    <xf numFmtId="0" fontId="31" fillId="0" borderId="154" xfId="0" applyFont="1" applyBorder="1"/>
    <xf numFmtId="0" fontId="19" fillId="33" borderId="107" xfId="0" applyFont="1" applyFill="1" applyBorder="1" applyAlignment="1">
      <alignment horizontal="center" vertical="center" wrapText="1"/>
    </xf>
    <xf numFmtId="0" fontId="19" fillId="33" borderId="164" xfId="0" applyFont="1" applyFill="1" applyBorder="1" applyAlignment="1">
      <alignment horizontal="center" vertical="center" wrapText="1"/>
    </xf>
    <xf numFmtId="0" fontId="19" fillId="33" borderId="165" xfId="0" applyFont="1" applyFill="1" applyBorder="1" applyAlignment="1">
      <alignment horizontal="center" vertical="center" wrapText="1"/>
    </xf>
    <xf numFmtId="0" fontId="19" fillId="33" borderId="108" xfId="0" applyFont="1" applyFill="1" applyBorder="1" applyAlignment="1">
      <alignment horizontal="center" vertical="center" wrapText="1"/>
    </xf>
    <xf numFmtId="0" fontId="19" fillId="33" borderId="183" xfId="0" applyFont="1" applyFill="1" applyBorder="1" applyAlignment="1">
      <alignment horizontal="center" vertical="center" wrapText="1"/>
    </xf>
    <xf numFmtId="178" fontId="31" fillId="0" borderId="7" xfId="0" applyNumberFormat="1" applyFont="1" applyBorder="1"/>
    <xf numFmtId="178" fontId="31" fillId="0" borderId="144" xfId="0" applyNumberFormat="1" applyFont="1" applyBorder="1"/>
    <xf numFmtId="178" fontId="31" fillId="0" borderId="6" xfId="0" applyNumberFormat="1" applyFont="1" applyBorder="1"/>
    <xf numFmtId="0" fontId="31" fillId="0" borderId="89" xfId="0" applyFont="1" applyBorder="1"/>
    <xf numFmtId="178" fontId="31" fillId="0" borderId="89" xfId="0" applyNumberFormat="1" applyFont="1" applyBorder="1"/>
    <xf numFmtId="169" fontId="31" fillId="0" borderId="90" xfId="0" applyNumberFormat="1" applyFont="1" applyBorder="1"/>
    <xf numFmtId="169" fontId="31" fillId="0" borderId="182" xfId="0" applyNumberFormat="1" applyFont="1" applyBorder="1"/>
    <xf numFmtId="178" fontId="31" fillId="44" borderId="89" xfId="0" applyNumberFormat="1" applyFont="1" applyFill="1" applyBorder="1"/>
    <xf numFmtId="178" fontId="31" fillId="44" borderId="144" xfId="0" applyNumberFormat="1" applyFont="1" applyFill="1" applyBorder="1"/>
    <xf numFmtId="178" fontId="31" fillId="44" borderId="6" xfId="0" applyNumberFormat="1" applyFont="1" applyFill="1" applyBorder="1"/>
    <xf numFmtId="178" fontId="31" fillId="44" borderId="154" xfId="0" applyNumberFormat="1" applyFont="1" applyFill="1" applyBorder="1"/>
    <xf numFmtId="178" fontId="31" fillId="0" borderId="154" xfId="0" applyNumberFormat="1" applyFont="1" applyBorder="1"/>
    <xf numFmtId="49" fontId="19" fillId="0" borderId="114" xfId="0" applyNumberFormat="1" applyFont="1" applyBorder="1" applyAlignment="1">
      <alignment vertical="center"/>
    </xf>
    <xf numFmtId="49" fontId="31" fillId="0" borderId="137" xfId="0" applyNumberFormat="1" applyFont="1" applyBorder="1" applyAlignment="1">
      <alignment horizontal="center"/>
    </xf>
    <xf numFmtId="49" fontId="31" fillId="0" borderId="114" xfId="0" applyNumberFormat="1" applyFont="1" applyBorder="1" applyAlignment="1">
      <alignment horizontal="center"/>
    </xf>
    <xf numFmtId="49" fontId="31" fillId="0" borderId="0" xfId="0" applyNumberFormat="1" applyFont="1"/>
    <xf numFmtId="171" fontId="31" fillId="0" borderId="0" xfId="4" applyFont="1"/>
    <xf numFmtId="49" fontId="117" fillId="45" borderId="116" xfId="0" applyNumberFormat="1" applyFont="1" applyFill="1" applyBorder="1" applyAlignment="1" applyProtection="1">
      <alignment horizontal="center"/>
      <protection locked="0"/>
    </xf>
    <xf numFmtId="171" fontId="111" fillId="45" borderId="0" xfId="4" applyFont="1" applyFill="1" applyAlignment="1">
      <alignment vertical="center" wrapText="1"/>
    </xf>
    <xf numFmtId="171" fontId="111" fillId="45" borderId="0" xfId="4" applyFont="1" applyFill="1" applyAlignment="1">
      <alignment wrapText="1"/>
    </xf>
    <xf numFmtId="171" fontId="111" fillId="45" borderId="0" xfId="4" applyFont="1" applyFill="1" applyAlignment="1">
      <alignment horizontal="left" wrapText="1"/>
    </xf>
    <xf numFmtId="171" fontId="12" fillId="45" borderId="0" xfId="4" applyFont="1" applyFill="1"/>
    <xf numFmtId="0" fontId="0" fillId="45" borderId="0" xfId="0" applyFill="1"/>
    <xf numFmtId="0" fontId="19" fillId="46" borderId="164" xfId="0" applyFont="1" applyFill="1" applyBorder="1" applyAlignment="1">
      <alignment horizontal="center" vertical="center" wrapText="1"/>
    </xf>
    <xf numFmtId="171" fontId="111" fillId="46" borderId="0" xfId="4" applyFont="1" applyFill="1"/>
    <xf numFmtId="171" fontId="111" fillId="46" borderId="0" xfId="4" applyFont="1" applyFill="1" applyAlignment="1">
      <alignment vertical="center" wrapText="1"/>
    </xf>
    <xf numFmtId="171" fontId="111" fillId="46" borderId="0" xfId="4" applyFont="1" applyFill="1" applyAlignment="1">
      <alignment wrapText="1"/>
    </xf>
    <xf numFmtId="171" fontId="111" fillId="46" borderId="0" xfId="4" applyFont="1" applyFill="1" applyAlignment="1">
      <alignment horizontal="left" wrapText="1"/>
    </xf>
    <xf numFmtId="171" fontId="12" fillId="46" borderId="0" xfId="4" applyFont="1" applyFill="1"/>
    <xf numFmtId="0" fontId="0" fillId="46" borderId="0" xfId="0" applyFill="1"/>
    <xf numFmtId="169" fontId="31" fillId="0" borderId="181" xfId="0" applyNumberFormat="1" applyFont="1" applyBorder="1"/>
    <xf numFmtId="169" fontId="31" fillId="0" borderId="92" xfId="0" applyNumberFormat="1" applyFont="1" applyBorder="1"/>
    <xf numFmtId="178" fontId="31" fillId="44" borderId="7" xfId="0" applyNumberFormat="1" applyFont="1" applyFill="1" applyBorder="1"/>
    <xf numFmtId="186" fontId="83" fillId="33" borderId="144" xfId="5" applyNumberFormat="1" applyFont="1" applyFill="1" applyBorder="1" applyAlignment="1" applyProtection="1">
      <alignment horizontal="center" vertical="center" wrapText="1"/>
    </xf>
    <xf numFmtId="164" fontId="12" fillId="0" borderId="0" xfId="2" applyFont="1" applyAlignment="1">
      <alignment wrapText="1"/>
    </xf>
    <xf numFmtId="164" fontId="12" fillId="0" borderId="2" xfId="2" applyFont="1" applyBorder="1" applyAlignment="1">
      <alignment horizontal="center"/>
    </xf>
    <xf numFmtId="164" fontId="33" fillId="0" borderId="5" xfId="2" applyFont="1" applyBorder="1" applyAlignment="1">
      <alignment horizontal="right"/>
    </xf>
    <xf numFmtId="0" fontId="0" fillId="0" borderId="3" xfId="0" applyBorder="1" applyAlignment="1">
      <alignment horizontal="center" vertical="center" textRotation="90"/>
    </xf>
    <xf numFmtId="0" fontId="0" fillId="0" borderId="2" xfId="0" applyBorder="1" applyAlignment="1">
      <alignment horizontal="center" vertical="center" textRotation="90"/>
    </xf>
    <xf numFmtId="164" fontId="12" fillId="0" borderId="5" xfId="2" applyFont="1" applyBorder="1" applyAlignment="1">
      <alignment horizontal="right"/>
    </xf>
    <xf numFmtId="182" fontId="15" fillId="0" borderId="0" xfId="2" applyNumberFormat="1" applyFont="1" applyAlignment="1">
      <alignment horizontal="left"/>
    </xf>
    <xf numFmtId="164" fontId="33" fillId="0" borderId="0" xfId="2" applyFont="1" applyAlignment="1">
      <alignment horizontal="right"/>
    </xf>
    <xf numFmtId="0" fontId="0" fillId="0" borderId="23" xfId="0" applyBorder="1" applyAlignment="1">
      <alignment horizontal="center" vertical="center" textRotation="90"/>
    </xf>
    <xf numFmtId="186" fontId="53" fillId="0" borderId="0" xfId="4611" applyNumberFormat="1" applyFont="1" applyBorder="1" applyAlignment="1" applyProtection="1">
      <alignment horizontal="center"/>
    </xf>
    <xf numFmtId="186" fontId="13" fillId="0" borderId="0" xfId="0" applyNumberFormat="1" applyFont="1" applyAlignment="1">
      <alignment horizontal="right"/>
    </xf>
    <xf numFmtId="0" fontId="13" fillId="0" borderId="4" xfId="0" applyFont="1" applyBorder="1" applyAlignment="1">
      <alignment horizontal="right"/>
    </xf>
    <xf numFmtId="179" fontId="14" fillId="0" borderId="3" xfId="2" applyNumberFormat="1" applyFont="1" applyBorder="1"/>
    <xf numFmtId="179" fontId="11" fillId="0" borderId="3" xfId="2" applyNumberFormat="1" applyFont="1" applyBorder="1"/>
    <xf numFmtId="0" fontId="0" fillId="0" borderId="17" xfId="0" applyBorder="1"/>
    <xf numFmtId="0" fontId="0" fillId="0" borderId="4" xfId="0" applyBorder="1"/>
    <xf numFmtId="179" fontId="10" fillId="0" borderId="3" xfId="2" quotePrefix="1" applyNumberFormat="1" applyFont="1" applyBorder="1" applyAlignment="1">
      <alignment horizontal="right"/>
    </xf>
    <xf numFmtId="0" fontId="13" fillId="0" borderId="40" xfId="0" applyFont="1" applyBorder="1" applyAlignment="1">
      <alignment horizontal="left"/>
    </xf>
    <xf numFmtId="0" fontId="59" fillId="0" borderId="0" xfId="0" applyFont="1" applyProtection="1">
      <protection locked="0"/>
    </xf>
    <xf numFmtId="0" fontId="65" fillId="29" borderId="0" xfId="4609" applyFont="1" applyFill="1" applyAlignment="1">
      <alignment horizontal="right" vertical="center"/>
    </xf>
    <xf numFmtId="0" fontId="0" fillId="29" borderId="0" xfId="0" applyFill="1"/>
    <xf numFmtId="170" fontId="118" fillId="47" borderId="167" xfId="4602" applyFont="1" applyFill="1" applyBorder="1" applyAlignment="1" applyProtection="1">
      <alignment horizontal="center" vertical="center"/>
    </xf>
    <xf numFmtId="14" fontId="118" fillId="47" borderId="167" xfId="4602" applyNumberFormat="1" applyFont="1" applyFill="1" applyBorder="1" applyAlignment="1" applyProtection="1">
      <alignment horizontal="center" vertical="center"/>
    </xf>
    <xf numFmtId="164" fontId="118" fillId="47" borderId="167" xfId="4602" applyNumberFormat="1" applyFont="1" applyFill="1" applyBorder="1" applyAlignment="1" applyProtection="1">
      <alignment horizontal="right" vertical="center"/>
    </xf>
    <xf numFmtId="0" fontId="68" fillId="31" borderId="115" xfId="4609" applyFont="1" applyFill="1" applyBorder="1" applyAlignment="1">
      <alignment horizontal="center" vertical="center"/>
    </xf>
    <xf numFmtId="0" fontId="68" fillId="31" borderId="133" xfId="4609" applyFont="1" applyFill="1" applyBorder="1" applyAlignment="1">
      <alignment horizontal="center" vertical="center"/>
    </xf>
    <xf numFmtId="0" fontId="68" fillId="31" borderId="133" xfId="4609" applyFont="1" applyFill="1" applyBorder="1" applyAlignment="1">
      <alignment horizontal="center" vertical="center" wrapText="1"/>
    </xf>
    <xf numFmtId="188" fontId="3" fillId="16" borderId="140" xfId="7821" applyNumberFormat="1" applyBorder="1" applyAlignment="1" applyProtection="1">
      <alignment horizontal="left" vertical="center"/>
    </xf>
    <xf numFmtId="188" fontId="3" fillId="16" borderId="141" xfId="7821" applyNumberFormat="1" applyBorder="1" applyAlignment="1" applyProtection="1">
      <alignment horizontal="center" vertical="center"/>
    </xf>
    <xf numFmtId="188" fontId="3" fillId="16" borderId="142" xfId="7821" applyNumberFormat="1" applyBorder="1" applyAlignment="1" applyProtection="1">
      <alignment horizontal="left" vertical="center"/>
    </xf>
    <xf numFmtId="2" fontId="0" fillId="0" borderId="0" xfId="0" applyNumberFormat="1" applyProtection="1">
      <protection locked="0"/>
    </xf>
    <xf numFmtId="170" fontId="0" fillId="0" borderId="0" xfId="0" applyNumberFormat="1"/>
    <xf numFmtId="0" fontId="64" fillId="0" borderId="128" xfId="0" applyFont="1" applyBorder="1" applyAlignment="1">
      <alignment horizontal="center" vertical="center" wrapText="1"/>
    </xf>
    <xf numFmtId="0" fontId="64" fillId="0" borderId="185" xfId="0" applyFont="1" applyBorder="1" applyAlignment="1">
      <alignment horizontal="center" vertical="center" wrapText="1"/>
    </xf>
    <xf numFmtId="0" fontId="64" fillId="0" borderId="186" xfId="0" applyFont="1" applyBorder="1" applyAlignment="1">
      <alignment horizontal="center" vertical="center" wrapText="1"/>
    </xf>
    <xf numFmtId="0" fontId="65" fillId="0" borderId="40" xfId="0" applyFont="1" applyBorder="1"/>
    <xf numFmtId="0" fontId="65" fillId="0" borderId="60" xfId="0" applyFont="1" applyBorder="1"/>
    <xf numFmtId="0" fontId="65" fillId="0" borderId="87" xfId="0" applyFont="1" applyBorder="1"/>
    <xf numFmtId="0" fontId="66" fillId="0" borderId="167" xfId="0" applyFont="1" applyBorder="1" applyAlignment="1">
      <alignment horizontal="center" wrapText="1"/>
    </xf>
    <xf numFmtId="0" fontId="66" fillId="0" borderId="43" xfId="0" applyFont="1" applyBorder="1" applyAlignment="1">
      <alignment horizontal="center" wrapText="1"/>
    </xf>
    <xf numFmtId="170" fontId="67" fillId="0" borderId="53" xfId="4602" applyFont="1" applyBorder="1" applyAlignment="1" applyProtection="1">
      <alignment horizontal="left"/>
    </xf>
    <xf numFmtId="0" fontId="0" fillId="26" borderId="0" xfId="0" quotePrefix="1" applyFill="1"/>
    <xf numFmtId="0" fontId="8" fillId="0" borderId="0" xfId="0" applyFont="1" applyAlignment="1" applyProtection="1">
      <alignment horizontal="left"/>
      <protection locked="0"/>
    </xf>
    <xf numFmtId="178" fontId="7" fillId="0" borderId="0" xfId="0" applyNumberFormat="1" applyFont="1" applyAlignment="1">
      <alignment horizontal="left"/>
    </xf>
    <xf numFmtId="0" fontId="7" fillId="0" borderId="0" xfId="0" applyFont="1" applyAlignment="1">
      <alignment horizontal="left"/>
    </xf>
    <xf numFmtId="0" fontId="47" fillId="0" borderId="0" xfId="0" applyFont="1" applyAlignment="1">
      <alignment horizontal="center"/>
    </xf>
    <xf numFmtId="187" fontId="10" fillId="0" borderId="0" xfId="0" applyNumberFormat="1" applyFont="1" applyAlignment="1">
      <alignment horizontal="center" wrapText="1"/>
    </xf>
    <xf numFmtId="189" fontId="0" fillId="0" borderId="0" xfId="1" applyNumberFormat="1" applyFont="1"/>
    <xf numFmtId="2" fontId="0" fillId="0" borderId="0" xfId="0" applyNumberFormat="1" applyAlignment="1">
      <alignment horizontal="center"/>
    </xf>
    <xf numFmtId="171" fontId="12" fillId="0" borderId="144" xfId="2" applyNumberFormat="1" applyFont="1" applyBorder="1"/>
    <xf numFmtId="164" fontId="12" fillId="0" borderId="3" xfId="2" applyFont="1" applyBorder="1" applyAlignment="1">
      <alignment horizontal="center"/>
    </xf>
    <xf numFmtId="164" fontId="12" fillId="0" borderId="3" xfId="2" applyFont="1" applyBorder="1"/>
    <xf numFmtId="178" fontId="12" fillId="0" borderId="4" xfId="2" applyNumberFormat="1" applyFont="1" applyBorder="1"/>
    <xf numFmtId="178" fontId="12" fillId="0" borderId="3" xfId="2" applyNumberFormat="1" applyFont="1" applyBorder="1"/>
    <xf numFmtId="0" fontId="8" fillId="0" borderId="4" xfId="0" applyFont="1" applyBorder="1" applyAlignment="1">
      <alignment horizontal="right"/>
    </xf>
    <xf numFmtId="164" fontId="13" fillId="0" borderId="178" xfId="0" applyNumberFormat="1" applyFont="1" applyBorder="1" applyAlignment="1">
      <alignment horizontal="center"/>
    </xf>
    <xf numFmtId="164" fontId="8" fillId="0" borderId="3" xfId="2" applyFont="1" applyBorder="1" applyAlignment="1">
      <alignment horizontal="center" vertical="center"/>
    </xf>
    <xf numFmtId="0" fontId="121" fillId="0" borderId="0" xfId="0" applyFont="1" applyAlignment="1">
      <alignment horizontal="center" textRotation="90" wrapText="1"/>
    </xf>
    <xf numFmtId="164" fontId="8" fillId="0" borderId="14" xfId="2" applyFont="1" applyBorder="1" applyAlignment="1">
      <alignment horizontal="center" vertical="center"/>
    </xf>
    <xf numFmtId="0" fontId="59" fillId="26" borderId="0" xfId="761" applyFont="1" applyFill="1" applyAlignment="1">
      <alignment wrapText="1"/>
    </xf>
    <xf numFmtId="0" fontId="122" fillId="49" borderId="195" xfId="761" applyFont="1" applyFill="1" applyBorder="1" applyAlignment="1">
      <alignment horizontal="center" vertical="center" wrapText="1"/>
    </xf>
    <xf numFmtId="0" fontId="122" fillId="49" borderId="196" xfId="761" applyFont="1" applyFill="1" applyBorder="1" applyAlignment="1">
      <alignment horizontal="center" vertical="center" wrapText="1"/>
    </xf>
    <xf numFmtId="0" fontId="122" fillId="49" borderId="197" xfId="761" applyFont="1" applyFill="1" applyBorder="1" applyAlignment="1">
      <alignment horizontal="center" vertical="center" wrapText="1"/>
    </xf>
    <xf numFmtId="0" fontId="29" fillId="50" borderId="200" xfId="761" applyFont="1" applyFill="1" applyBorder="1" applyAlignment="1">
      <alignment vertical="center" wrapText="1"/>
    </xf>
    <xf numFmtId="2" fontId="8" fillId="0" borderId="200" xfId="761" applyNumberFormat="1" applyBorder="1" applyAlignment="1">
      <alignment horizontal="right" vertical="center" wrapText="1"/>
    </xf>
    <xf numFmtId="2" fontId="8" fillId="0" borderId="200" xfId="761" applyNumberFormat="1" applyBorder="1" applyAlignment="1">
      <alignment horizontal="left" vertical="center" wrapText="1" indent="1"/>
    </xf>
    <xf numFmtId="2" fontId="29" fillId="50" borderId="200" xfId="761" applyNumberFormat="1" applyFont="1" applyFill="1" applyBorder="1" applyAlignment="1">
      <alignment horizontal="right" vertical="center" wrapText="1"/>
    </xf>
    <xf numFmtId="0" fontId="29" fillId="51" borderId="202" xfId="0" applyFont="1" applyFill="1" applyBorder="1" applyAlignment="1">
      <alignment vertical="center" wrapText="1"/>
    </xf>
    <xf numFmtId="0" fontId="29" fillId="50" borderId="203" xfId="0" applyFont="1" applyFill="1" applyBorder="1" applyAlignment="1">
      <alignment vertical="center" wrapText="1"/>
    </xf>
    <xf numFmtId="0" fontId="8" fillId="0" borderId="198" xfId="0" applyFont="1" applyBorder="1" applyAlignment="1">
      <alignment vertical="center" wrapText="1"/>
    </xf>
    <xf numFmtId="0" fontId="8" fillId="0" borderId="199" xfId="0" applyFont="1" applyBorder="1" applyAlignment="1">
      <alignment vertical="center" wrapText="1"/>
    </xf>
    <xf numFmtId="0" fontId="29" fillId="51" borderId="198" xfId="0" applyFont="1" applyFill="1" applyBorder="1" applyAlignment="1">
      <alignment vertical="center" wrapText="1"/>
    </xf>
    <xf numFmtId="0" fontId="29" fillId="50" borderId="199" xfId="0" applyFont="1" applyFill="1" applyBorder="1" applyAlignment="1">
      <alignment vertical="center" wrapText="1"/>
    </xf>
    <xf numFmtId="0" fontId="123" fillId="0" borderId="0" xfId="0" applyFont="1" applyAlignment="1">
      <alignment vertical="center" wrapText="1"/>
    </xf>
    <xf numFmtId="1" fontId="8" fillId="0" borderId="0" xfId="761" applyNumberFormat="1"/>
    <xf numFmtId="2" fontId="12" fillId="0" borderId="0" xfId="0" applyNumberFormat="1" applyFont="1"/>
    <xf numFmtId="0" fontId="2" fillId="0" borderId="0" xfId="7822"/>
    <xf numFmtId="0" fontId="126" fillId="0" borderId="0" xfId="7822" applyFont="1"/>
    <xf numFmtId="0" fontId="82" fillId="0" borderId="0" xfId="7822" applyFont="1" applyAlignment="1">
      <alignment horizontal="center"/>
    </xf>
    <xf numFmtId="0" fontId="124" fillId="0" borderId="0" xfId="7822" applyFont="1" applyAlignment="1">
      <alignment wrapText="1"/>
    </xf>
    <xf numFmtId="169" fontId="124" fillId="0" borderId="0" xfId="7823" applyFont="1" applyAlignment="1">
      <alignment wrapText="1"/>
    </xf>
    <xf numFmtId="169" fontId="127" fillId="0" borderId="0" xfId="7823" applyFont="1" applyAlignment="1">
      <alignment horizontal="center" wrapText="1"/>
    </xf>
    <xf numFmtId="0" fontId="2" fillId="0" borderId="43" xfId="7822" applyBorder="1"/>
    <xf numFmtId="0" fontId="2" fillId="0" borderId="0" xfId="7822" applyAlignment="1">
      <alignment horizontal="center"/>
    </xf>
    <xf numFmtId="0" fontId="128" fillId="0" borderId="0" xfId="7822" applyFont="1"/>
    <xf numFmtId="169" fontId="127" fillId="0" borderId="167" xfId="7823" applyFont="1" applyBorder="1" applyAlignment="1">
      <alignment horizontal="center" wrapText="1"/>
    </xf>
    <xf numFmtId="169" fontId="127" fillId="0" borderId="43" xfId="7823" applyFont="1" applyBorder="1" applyAlignment="1">
      <alignment horizontal="center" wrapText="1"/>
    </xf>
    <xf numFmtId="169" fontId="82" fillId="0" borderId="167" xfId="7823" applyFont="1" applyBorder="1" applyAlignment="1">
      <alignment horizontal="center" wrapText="1"/>
    </xf>
    <xf numFmtId="169" fontId="82" fillId="0" borderId="0" xfId="7823" applyFont="1" applyAlignment="1">
      <alignment horizontal="center" wrapText="1"/>
    </xf>
    <xf numFmtId="169" fontId="82" fillId="0" borderId="43" xfId="7823" applyFont="1" applyBorder="1" applyAlignment="1">
      <alignment horizontal="center" wrapText="1"/>
    </xf>
    <xf numFmtId="0" fontId="62" fillId="0" borderId="167" xfId="7822" applyFont="1" applyBorder="1" applyAlignment="1">
      <alignment horizontal="center"/>
    </xf>
    <xf numFmtId="0" fontId="62" fillId="0" borderId="0" xfId="7822" applyFont="1" applyAlignment="1">
      <alignment horizontal="center"/>
    </xf>
    <xf numFmtId="170" fontId="62" fillId="0" borderId="0" xfId="7824" applyFont="1" applyAlignment="1">
      <alignment horizontal="center"/>
    </xf>
    <xf numFmtId="0" fontId="129" fillId="0" borderId="0" xfId="7822" applyFont="1"/>
    <xf numFmtId="0" fontId="82" fillId="0" borderId="0" xfId="7822" applyFont="1"/>
    <xf numFmtId="0" fontId="82" fillId="0" borderId="0" xfId="7822" applyFont="1" applyAlignment="1">
      <alignment wrapText="1"/>
    </xf>
    <xf numFmtId="169" fontId="82" fillId="0" borderId="0" xfId="7823" applyFont="1" applyAlignment="1">
      <alignment wrapText="1"/>
    </xf>
    <xf numFmtId="169" fontId="82" fillId="52" borderId="0" xfId="7823" applyFont="1" applyFill="1" applyAlignment="1">
      <alignment wrapText="1"/>
    </xf>
    <xf numFmtId="169" fontId="127" fillId="0" borderId="167" xfId="7823" applyFont="1" applyBorder="1" applyAlignment="1">
      <alignment wrapText="1"/>
    </xf>
    <xf numFmtId="169" fontId="127" fillId="0" borderId="0" xfId="7823" applyFont="1" applyAlignment="1">
      <alignment wrapText="1"/>
    </xf>
    <xf numFmtId="169" fontId="127" fillId="0" borderId="43" xfId="7823" applyFont="1" applyBorder="1" applyAlignment="1">
      <alignment wrapText="1"/>
    </xf>
    <xf numFmtId="169" fontId="82" fillId="0" borderId="167" xfId="7823" applyFont="1" applyBorder="1" applyAlignment="1">
      <alignment wrapText="1"/>
    </xf>
    <xf numFmtId="169" fontId="82" fillId="0" borderId="43" xfId="7823" applyFont="1" applyBorder="1" applyAlignment="1">
      <alignment wrapText="1"/>
    </xf>
    <xf numFmtId="170" fontId="62" fillId="0" borderId="167" xfId="7824" applyFont="1" applyBorder="1"/>
    <xf numFmtId="170" fontId="62" fillId="0" borderId="0" xfId="7824" applyFont="1"/>
    <xf numFmtId="170" fontId="62" fillId="0" borderId="43" xfId="7824" applyFont="1" applyBorder="1"/>
    <xf numFmtId="170" fontId="62" fillId="52" borderId="0" xfId="7824" applyFont="1" applyFill="1" applyAlignment="1">
      <alignment horizontal="center"/>
    </xf>
    <xf numFmtId="0" fontId="126" fillId="0" borderId="0" xfId="7822" applyFont="1" applyAlignment="1">
      <alignment wrapText="1"/>
    </xf>
    <xf numFmtId="169" fontId="126" fillId="0" borderId="0" xfId="7823" applyFont="1" applyAlignment="1">
      <alignment wrapText="1"/>
    </xf>
    <xf numFmtId="169" fontId="126" fillId="52" borderId="0" xfId="7823" applyFont="1" applyFill="1" applyAlignment="1">
      <alignment wrapText="1"/>
    </xf>
    <xf numFmtId="169" fontId="128" fillId="0" borderId="167" xfId="7823" applyFont="1" applyBorder="1" applyAlignment="1">
      <alignment wrapText="1"/>
    </xf>
    <xf numFmtId="169" fontId="128" fillId="0" borderId="0" xfId="7823" applyFont="1" applyAlignment="1">
      <alignment wrapText="1"/>
    </xf>
    <xf numFmtId="169" fontId="128" fillId="0" borderId="43" xfId="7823" applyFont="1" applyBorder="1" applyAlignment="1">
      <alignment wrapText="1"/>
    </xf>
    <xf numFmtId="169" fontId="126" fillId="0" borderId="167" xfId="7823" applyFont="1" applyBorder="1" applyAlignment="1">
      <alignment wrapText="1"/>
    </xf>
    <xf numFmtId="169" fontId="126" fillId="0" borderId="43" xfId="7823" applyFont="1" applyBorder="1" applyAlignment="1">
      <alignment wrapText="1"/>
    </xf>
    <xf numFmtId="170" fontId="0" fillId="0" borderId="167" xfId="7824" applyFont="1" applyBorder="1"/>
    <xf numFmtId="170" fontId="0" fillId="0" borderId="0" xfId="7824" applyFont="1"/>
    <xf numFmtId="0" fontId="130" fillId="52" borderId="0" xfId="7822" applyFont="1" applyFill="1" applyAlignment="1">
      <alignment horizontal="center"/>
    </xf>
    <xf numFmtId="170" fontId="126" fillId="53" borderId="0" xfId="7824" applyFont="1" applyFill="1"/>
    <xf numFmtId="169" fontId="124" fillId="52" borderId="0" xfId="7823" applyFont="1" applyFill="1" applyAlignment="1">
      <alignment wrapText="1"/>
    </xf>
    <xf numFmtId="169" fontId="128" fillId="54" borderId="0" xfId="7823" applyFont="1" applyFill="1" applyAlignment="1">
      <alignment wrapText="1"/>
    </xf>
    <xf numFmtId="0" fontId="126" fillId="0" borderId="167" xfId="7822" applyFont="1" applyBorder="1"/>
    <xf numFmtId="169" fontId="124" fillId="0" borderId="167" xfId="7823" applyFont="1" applyBorder="1" applyAlignment="1">
      <alignment wrapText="1"/>
    </xf>
    <xf numFmtId="0" fontId="2" fillId="0" borderId="43" xfId="7822" applyBorder="1" applyAlignment="1">
      <alignment wrapText="1"/>
    </xf>
    <xf numFmtId="170" fontId="0" fillId="0" borderId="0" xfId="7824" applyFont="1" applyAlignment="1">
      <alignment horizontal="center"/>
    </xf>
    <xf numFmtId="169" fontId="128" fillId="0" borderId="0" xfId="7823" applyFont="1"/>
    <xf numFmtId="175" fontId="128" fillId="0" borderId="0" xfId="7823" applyNumberFormat="1" applyFont="1" applyAlignment="1">
      <alignment wrapText="1"/>
    </xf>
    <xf numFmtId="0" fontId="2" fillId="0" borderId="0" xfId="7822" applyAlignment="1">
      <alignment horizontal="center" wrapText="1"/>
    </xf>
    <xf numFmtId="0" fontId="2" fillId="0" borderId="0" xfId="7822" applyAlignment="1">
      <alignment wrapText="1"/>
    </xf>
    <xf numFmtId="0" fontId="24" fillId="0" borderId="20" xfId="0" applyFont="1" applyBorder="1" applyAlignment="1">
      <alignment vertical="center"/>
    </xf>
    <xf numFmtId="0" fontId="24" fillId="0" borderId="0" xfId="0" applyFont="1" applyAlignment="1">
      <alignment vertical="center"/>
    </xf>
    <xf numFmtId="0" fontId="12" fillId="0" borderId="62" xfId="0" applyFont="1" applyBorder="1"/>
    <xf numFmtId="0" fontId="12" fillId="0" borderId="67" xfId="0" applyFont="1" applyBorder="1"/>
    <xf numFmtId="0" fontId="31" fillId="0" borderId="0" xfId="0" applyFont="1" applyAlignment="1">
      <alignment horizontal="left" vertical="center"/>
    </xf>
    <xf numFmtId="0" fontId="0" fillId="0" borderId="0" xfId="0" applyAlignment="1">
      <alignment wrapText="1"/>
    </xf>
    <xf numFmtId="0" fontId="31" fillId="0" borderId="0" xfId="0" applyFont="1" applyAlignment="1">
      <alignment wrapText="1"/>
    </xf>
    <xf numFmtId="171" fontId="31" fillId="0" borderId="0" xfId="4" applyFont="1" applyAlignment="1">
      <alignment wrapText="1"/>
    </xf>
    <xf numFmtId="0" fontId="31" fillId="0" borderId="0" xfId="0" applyFont="1" applyAlignment="1">
      <alignment horizontal="left" vertical="center" wrapText="1"/>
    </xf>
    <xf numFmtId="49" fontId="16" fillId="0" borderId="0" xfId="0" applyNumberFormat="1" applyFont="1"/>
    <xf numFmtId="169" fontId="31" fillId="0" borderId="155" xfId="0" applyNumberFormat="1" applyFont="1" applyBorder="1"/>
    <xf numFmtId="0" fontId="0" fillId="0" borderId="60" xfId="0" applyBorder="1"/>
    <xf numFmtId="0" fontId="31" fillId="0" borderId="60" xfId="0" applyFont="1" applyBorder="1"/>
    <xf numFmtId="189" fontId="0" fillId="0" borderId="0" xfId="0" applyNumberFormat="1"/>
    <xf numFmtId="189" fontId="13" fillId="0" borderId="0" xfId="0" applyNumberFormat="1" applyFont="1"/>
    <xf numFmtId="189" fontId="8" fillId="0" borderId="0" xfId="0" applyNumberFormat="1" applyFont="1"/>
    <xf numFmtId="0" fontId="4" fillId="20" borderId="204" xfId="6220" applyBorder="1"/>
    <xf numFmtId="0" fontId="4" fillId="20" borderId="205" xfId="6220" applyBorder="1"/>
    <xf numFmtId="189" fontId="4" fillId="20" borderId="205" xfId="6220" applyNumberFormat="1" applyBorder="1"/>
    <xf numFmtId="189" fontId="4" fillId="20" borderId="206" xfId="6220" applyNumberFormat="1" applyBorder="1"/>
    <xf numFmtId="1" fontId="8" fillId="0" borderId="0" xfId="0" applyNumberFormat="1" applyFont="1"/>
    <xf numFmtId="169" fontId="31" fillId="0" borderId="154" xfId="0" applyNumberFormat="1" applyFont="1" applyBorder="1"/>
    <xf numFmtId="49" fontId="31" fillId="0" borderId="88" xfId="0" applyNumberFormat="1" applyFont="1" applyBorder="1" applyAlignment="1">
      <alignment horizontal="center" wrapText="1"/>
    </xf>
    <xf numFmtId="49" fontId="31" fillId="0" borderId="180" xfId="0" applyNumberFormat="1" applyFont="1" applyBorder="1" applyAlignment="1">
      <alignment horizontal="center" wrapText="1"/>
    </xf>
    <xf numFmtId="0" fontId="31" fillId="0" borderId="180" xfId="0" applyFont="1" applyBorder="1" applyAlignment="1">
      <alignment horizontal="center" wrapText="1"/>
    </xf>
    <xf numFmtId="49" fontId="31" fillId="0" borderId="153" xfId="0" applyNumberFormat="1" applyFont="1" applyBorder="1" applyAlignment="1">
      <alignment horizontal="center" wrapText="1"/>
    </xf>
    <xf numFmtId="49" fontId="31" fillId="0" borderId="93" xfId="0" applyNumberFormat="1" applyFont="1" applyBorder="1" applyAlignment="1">
      <alignment horizontal="center" wrapText="1"/>
    </xf>
    <xf numFmtId="49" fontId="31" fillId="0" borderId="104" xfId="0" applyNumberFormat="1" applyFont="1" applyBorder="1" applyAlignment="1">
      <alignment horizontal="center" wrapText="1"/>
    </xf>
    <xf numFmtId="49" fontId="31" fillId="0" borderId="102" xfId="0" applyNumberFormat="1" applyFont="1" applyBorder="1" applyAlignment="1">
      <alignment horizontal="center" wrapText="1"/>
    </xf>
    <xf numFmtId="0" fontId="126" fillId="0" borderId="88" xfId="7822" applyFont="1" applyBorder="1"/>
    <xf numFmtId="0" fontId="126" fillId="0" borderId="180" xfId="7822" applyFont="1" applyBorder="1"/>
    <xf numFmtId="0" fontId="126" fillId="0" borderId="144" xfId="7822" applyFont="1" applyBorder="1" applyAlignment="1">
      <alignment horizontal="left" vertical="center" wrapText="1"/>
    </xf>
    <xf numFmtId="0" fontId="126" fillId="0" borderId="181" xfId="7822" applyFont="1" applyBorder="1" applyAlignment="1">
      <alignment horizontal="left" vertical="center" wrapText="1"/>
    </xf>
    <xf numFmtId="0" fontId="126" fillId="0" borderId="144" xfId="7822" applyFont="1" applyBorder="1" applyAlignment="1">
      <alignment wrapText="1"/>
    </xf>
    <xf numFmtId="0" fontId="126" fillId="0" borderId="181" xfId="7822" applyFont="1" applyBorder="1" applyAlignment="1">
      <alignment wrapText="1"/>
    </xf>
    <xf numFmtId="0" fontId="126" fillId="0" borderId="153" xfId="7822" applyFont="1" applyBorder="1"/>
    <xf numFmtId="0" fontId="126" fillId="0" borderId="93" xfId="7822" applyFont="1" applyBorder="1"/>
    <xf numFmtId="0" fontId="126" fillId="0" borderId="91" xfId="7822" applyFont="1" applyBorder="1"/>
    <xf numFmtId="0" fontId="126" fillId="0" borderId="144" xfId="7822" applyFont="1" applyBorder="1" applyAlignment="1">
      <alignment horizontal="left" wrapText="1"/>
    </xf>
    <xf numFmtId="0" fontId="126" fillId="0" borderId="181" xfId="7822" applyFont="1" applyBorder="1" applyAlignment="1">
      <alignment horizontal="left" wrapText="1"/>
    </xf>
    <xf numFmtId="0" fontId="126" fillId="0" borderId="154" xfId="7822" applyFont="1" applyBorder="1" applyAlignment="1">
      <alignment horizontal="left" wrapText="1"/>
    </xf>
    <xf numFmtId="0" fontId="126" fillId="0" borderId="155" xfId="7822" applyFont="1" applyBorder="1" applyAlignment="1">
      <alignment horizontal="left" wrapText="1"/>
    </xf>
    <xf numFmtId="0" fontId="126" fillId="0" borderId="7" xfId="7822" applyFont="1" applyBorder="1"/>
    <xf numFmtId="0" fontId="126" fillId="0" borderId="144" xfId="7822" applyFont="1" applyBorder="1"/>
    <xf numFmtId="0" fontId="126" fillId="0" borderId="154" xfId="7822" applyFont="1" applyBorder="1"/>
    <xf numFmtId="0" fontId="4" fillId="0" borderId="0" xfId="6220" applyFill="1" applyBorder="1"/>
    <xf numFmtId="189" fontId="4" fillId="0" borderId="0" xfId="6220" applyNumberFormat="1" applyFill="1" applyBorder="1"/>
    <xf numFmtId="0" fontId="24" fillId="0" borderId="53" xfId="0" applyFont="1" applyBorder="1" applyAlignment="1">
      <alignment vertical="center"/>
    </xf>
    <xf numFmtId="0" fontId="24" fillId="0" borderId="57" xfId="0" applyFont="1" applyBorder="1" applyAlignment="1">
      <alignment vertical="center"/>
    </xf>
    <xf numFmtId="2" fontId="0" fillId="0" borderId="57" xfId="0" applyNumberFormat="1" applyBorder="1" applyAlignment="1">
      <alignment horizontal="right"/>
    </xf>
    <xf numFmtId="2" fontId="0" fillId="0" borderId="55" xfId="0" applyNumberFormat="1" applyBorder="1" applyAlignment="1">
      <alignment horizontal="right"/>
    </xf>
    <xf numFmtId="171" fontId="59" fillId="45" borderId="0" xfId="4" applyFont="1" applyFill="1" applyAlignment="1">
      <alignment vertical="center"/>
    </xf>
    <xf numFmtId="171" fontId="7" fillId="0" borderId="0" xfId="4" applyFont="1" applyAlignment="1">
      <alignment vertical="center"/>
    </xf>
    <xf numFmtId="186" fontId="8" fillId="9" borderId="0" xfId="0" applyNumberFormat="1" applyFont="1" applyFill="1"/>
    <xf numFmtId="184" fontId="8" fillId="12" borderId="24" xfId="4" applyNumberFormat="1" applyFont="1" applyFill="1" applyBorder="1" applyAlignment="1">
      <alignment horizontal="center"/>
    </xf>
    <xf numFmtId="184" fontId="8" fillId="55" borderId="24" xfId="4" applyNumberFormat="1" applyFont="1" applyFill="1" applyBorder="1" applyAlignment="1">
      <alignment horizontal="center"/>
    </xf>
    <xf numFmtId="179" fontId="11" fillId="0" borderId="24" xfId="4" applyNumberFormat="1" applyFont="1" applyBorder="1" applyAlignment="1" applyProtection="1">
      <alignment horizontal="center"/>
      <protection locked="0"/>
    </xf>
    <xf numFmtId="179" fontId="11" fillId="12" borderId="24" xfId="4" applyNumberFormat="1" applyFont="1" applyFill="1" applyBorder="1" applyAlignment="1" applyProtection="1">
      <alignment horizontal="center"/>
      <protection locked="0"/>
    </xf>
    <xf numFmtId="171" fontId="8" fillId="0" borderId="23" xfId="2" applyNumberFormat="1" applyFont="1" applyBorder="1" applyAlignment="1">
      <alignment horizontal="center"/>
    </xf>
    <xf numFmtId="189" fontId="8" fillId="0" borderId="6" xfId="4" applyNumberFormat="1" applyFont="1" applyBorder="1" applyAlignment="1">
      <alignment horizontal="center" wrapText="1"/>
    </xf>
    <xf numFmtId="0" fontId="23" fillId="33" borderId="143" xfId="0" applyFont="1" applyFill="1" applyBorder="1" applyAlignment="1">
      <alignment horizontal="center" vertical="center" wrapText="1"/>
    </xf>
    <xf numFmtId="0" fontId="23" fillId="33" borderId="184" xfId="0" applyFont="1" applyFill="1" applyBorder="1" applyAlignment="1">
      <alignment vertical="center" wrapText="1"/>
    </xf>
    <xf numFmtId="0" fontId="126" fillId="0" borderId="184" xfId="7822" applyFont="1" applyBorder="1" applyAlignment="1">
      <alignment horizontal="center"/>
    </xf>
    <xf numFmtId="0" fontId="126" fillId="0" borderId="166" xfId="7822" applyFont="1" applyBorder="1" applyAlignment="1">
      <alignment horizontal="center"/>
    </xf>
    <xf numFmtId="0" fontId="126" fillId="0" borderId="143" xfId="7822" applyFont="1" applyBorder="1" applyAlignment="1">
      <alignment horizontal="center"/>
    </xf>
    <xf numFmtId="0" fontId="23" fillId="56" borderId="184" xfId="0" applyFont="1" applyFill="1" applyBorder="1" applyAlignment="1">
      <alignment vertical="center" wrapText="1"/>
    </xf>
    <xf numFmtId="0" fontId="104" fillId="56" borderId="143" xfId="0" applyFont="1" applyFill="1" applyBorder="1" applyAlignment="1">
      <alignment horizontal="center" vertical="center" wrapText="1"/>
    </xf>
    <xf numFmtId="0" fontId="126" fillId="0" borderId="207" xfId="7822" applyFont="1" applyBorder="1" applyAlignment="1">
      <alignment horizontal="center"/>
    </xf>
    <xf numFmtId="0" fontId="126" fillId="0" borderId="208" xfId="7822" applyFont="1" applyBorder="1" applyAlignment="1">
      <alignment horizontal="center"/>
    </xf>
    <xf numFmtId="0" fontId="126" fillId="0" borderId="209" xfId="7822" applyFont="1" applyBorder="1" applyAlignment="1">
      <alignment horizontal="center"/>
    </xf>
    <xf numFmtId="0" fontId="132" fillId="0" borderId="0" xfId="0" applyFont="1" applyAlignment="1">
      <alignment vertical="center"/>
    </xf>
    <xf numFmtId="0" fontId="64" fillId="0" borderId="147" xfId="0" applyFont="1" applyBorder="1" applyAlignment="1">
      <alignment horizontal="center" vertical="center" wrapText="1"/>
    </xf>
    <xf numFmtId="0" fontId="13" fillId="0" borderId="129" xfId="0" applyFont="1" applyBorder="1" applyAlignment="1">
      <alignment wrapText="1"/>
    </xf>
    <xf numFmtId="0" fontId="24" fillId="0" borderId="148" xfId="0" applyFont="1" applyBorder="1"/>
    <xf numFmtId="0" fontId="24" fillId="0" borderId="150" xfId="0" applyFont="1" applyBorder="1"/>
    <xf numFmtId="0" fontId="24" fillId="37" borderId="115" xfId="0" applyFont="1" applyFill="1" applyBorder="1"/>
    <xf numFmtId="9" fontId="0" fillId="37" borderId="137" xfId="0" applyNumberFormat="1" applyFill="1" applyBorder="1"/>
    <xf numFmtId="9" fontId="0" fillId="37" borderId="114" xfId="0" applyNumberFormat="1" applyFill="1" applyBorder="1"/>
    <xf numFmtId="169" fontId="0" fillId="38" borderId="0" xfId="1" applyFont="1" applyFill="1" applyBorder="1"/>
    <xf numFmtId="169" fontId="0" fillId="0" borderId="0" xfId="1" applyFont="1" applyBorder="1"/>
    <xf numFmtId="169" fontId="0" fillId="0" borderId="43" xfId="1" applyFont="1" applyBorder="1"/>
    <xf numFmtId="169" fontId="13" fillId="0" borderId="57" xfId="1" applyFont="1" applyBorder="1"/>
    <xf numFmtId="169" fontId="13" fillId="0" borderId="55" xfId="1" applyFont="1" applyBorder="1"/>
    <xf numFmtId="186" fontId="0" fillId="27" borderId="0" xfId="0" applyNumberFormat="1" applyFill="1"/>
    <xf numFmtId="9" fontId="0" fillId="0" borderId="0" xfId="5" applyFont="1" applyFill="1" applyBorder="1" applyProtection="1"/>
    <xf numFmtId="9" fontId="8" fillId="0" borderId="210" xfId="5" applyFont="1" applyFill="1" applyBorder="1" applyProtection="1"/>
    <xf numFmtId="0" fontId="8" fillId="0" borderId="0" xfId="10" applyFont="1" applyAlignment="1">
      <alignment horizontal="left"/>
    </xf>
    <xf numFmtId="0" fontId="133" fillId="0" borderId="167" xfId="0" applyFont="1" applyBorder="1" applyAlignment="1">
      <alignment horizontal="left"/>
    </xf>
    <xf numFmtId="0" fontId="8" fillId="26" borderId="0" xfId="0" applyFont="1" applyFill="1"/>
    <xf numFmtId="0" fontId="59" fillId="26" borderId="0" xfId="3" applyFont="1" applyFill="1"/>
    <xf numFmtId="190" fontId="11" fillId="0" borderId="0" xfId="0" applyNumberFormat="1" applyFont="1" applyAlignment="1" applyProtection="1">
      <alignment horizontal="right"/>
      <protection locked="0"/>
    </xf>
    <xf numFmtId="169" fontId="0" fillId="0" borderId="0" xfId="1" applyFont="1" applyFill="1" applyBorder="1"/>
    <xf numFmtId="0" fontId="24" fillId="0" borderId="211" xfId="0" applyFont="1" applyBorder="1"/>
    <xf numFmtId="169" fontId="0" fillId="0" borderId="0" xfId="1" applyFont="1"/>
    <xf numFmtId="169" fontId="62" fillId="0" borderId="57" xfId="1" applyFont="1" applyBorder="1"/>
    <xf numFmtId="169" fontId="0" fillId="0" borderId="43" xfId="1" applyFont="1" applyFill="1" applyBorder="1"/>
    <xf numFmtId="0" fontId="13" fillId="0" borderId="126" xfId="0" applyFont="1" applyBorder="1" applyAlignment="1">
      <alignment horizontal="center" wrapText="1"/>
    </xf>
    <xf numFmtId="9" fontId="0" fillId="0" borderId="149" xfId="0" applyNumberFormat="1" applyBorder="1"/>
    <xf numFmtId="9" fontId="8" fillId="0" borderId="152" xfId="0" applyNumberFormat="1" applyFont="1" applyBorder="1"/>
    <xf numFmtId="2" fontId="0" fillId="26" borderId="0" xfId="0" applyNumberFormat="1" applyFill="1" applyProtection="1">
      <protection locked="0"/>
    </xf>
    <xf numFmtId="2" fontId="0" fillId="26" borderId="0" xfId="0" applyNumberFormat="1" applyFill="1"/>
    <xf numFmtId="186" fontId="0" fillId="26" borderId="0" xfId="0" applyNumberFormat="1" applyFill="1"/>
    <xf numFmtId="10" fontId="0" fillId="26" borderId="0" xfId="0" applyNumberFormat="1" applyFill="1"/>
    <xf numFmtId="0" fontId="12" fillId="26" borderId="0" xfId="0" applyFont="1" applyFill="1"/>
    <xf numFmtId="2" fontId="0" fillId="0" borderId="0" xfId="0" applyNumberFormat="1"/>
    <xf numFmtId="169" fontId="0" fillId="0" borderId="0" xfId="1" applyFont="1" applyFill="1" applyBorder="1" applyProtection="1"/>
    <xf numFmtId="164" fontId="135" fillId="0" borderId="0" xfId="7825" applyNumberFormat="1" applyFont="1"/>
    <xf numFmtId="0" fontId="64" fillId="0" borderId="40" xfId="0" applyFont="1" applyBorder="1" applyAlignment="1">
      <alignment horizontal="center" vertical="center" wrapText="1"/>
    </xf>
    <xf numFmtId="0" fontId="64" fillId="0" borderId="87" xfId="0" applyFont="1" applyBorder="1" applyAlignment="1">
      <alignment horizontal="center" vertical="center" wrapText="1"/>
    </xf>
    <xf numFmtId="170" fontId="63" fillId="0" borderId="43" xfId="4602" applyFont="1" applyBorder="1" applyAlignment="1" applyProtection="1">
      <alignment horizontal="left"/>
    </xf>
    <xf numFmtId="170" fontId="67" fillId="0" borderId="55" xfId="4602" applyFont="1" applyBorder="1" applyAlignment="1" applyProtection="1">
      <alignment horizontal="left"/>
    </xf>
    <xf numFmtId="0" fontId="24" fillId="0" borderId="156" xfId="0" applyFont="1" applyBorder="1"/>
    <xf numFmtId="0" fontId="13" fillId="0" borderId="212" xfId="0" applyFont="1" applyBorder="1" applyAlignment="1">
      <alignment wrapText="1"/>
    </xf>
    <xf numFmtId="9" fontId="13" fillId="0" borderId="213" xfId="5" applyFont="1" applyBorder="1" applyAlignment="1" applyProtection="1">
      <alignment horizontal="center" wrapText="1"/>
    </xf>
    <xf numFmtId="9" fontId="23" fillId="0" borderId="214" xfId="5" applyFont="1" applyFill="1" applyBorder="1" applyProtection="1"/>
    <xf numFmtId="9" fontId="23" fillId="0" borderId="214" xfId="5" applyFont="1" applyFill="1" applyBorder="1" applyAlignment="1" applyProtection="1">
      <alignment horizontal="right"/>
    </xf>
    <xf numFmtId="9" fontId="23" fillId="0" borderId="215" xfId="5" applyFont="1" applyFill="1" applyBorder="1" applyProtection="1"/>
    <xf numFmtId="0" fontId="13" fillId="0" borderId="150" xfId="0" applyFont="1" applyBorder="1"/>
    <xf numFmtId="9" fontId="13" fillId="0" borderId="151" xfId="5" applyFont="1" applyFill="1" applyBorder="1" applyAlignment="1" applyProtection="1">
      <alignment horizontal="right"/>
    </xf>
    <xf numFmtId="0" fontId="0" fillId="26" borderId="0" xfId="0" applyFill="1"/>
    <xf numFmtId="0" fontId="59" fillId="0" borderId="0" xfId="0" applyFont="1"/>
    <xf numFmtId="0" fontId="136" fillId="0" borderId="0" xfId="0" applyFont="1"/>
    <xf numFmtId="0" fontId="137" fillId="26" borderId="0" xfId="0" applyFont="1" applyFill="1"/>
    <xf numFmtId="0" fontId="59" fillId="26" borderId="0" xfId="0" applyFont="1" applyFill="1"/>
    <xf numFmtId="10" fontId="59" fillId="26" borderId="0" xfId="0" applyNumberFormat="1" applyFont="1" applyFill="1" applyAlignment="1" applyProtection="1">
      <alignment horizontal="center"/>
      <protection locked="0"/>
    </xf>
    <xf numFmtId="187" fontId="59" fillId="26" borderId="0" xfId="0" applyNumberFormat="1" applyFont="1" applyFill="1" applyAlignment="1">
      <alignment horizontal="center" wrapText="1"/>
    </xf>
    <xf numFmtId="0" fontId="137" fillId="0" borderId="0" xfId="0" applyFont="1"/>
    <xf numFmtId="10" fontId="59" fillId="0" borderId="0" xfId="0" applyNumberFormat="1" applyFont="1" applyAlignment="1" applyProtection="1">
      <alignment horizontal="center"/>
      <protection locked="0"/>
    </xf>
    <xf numFmtId="187" fontId="59" fillId="0" borderId="0" xfId="0" applyNumberFormat="1" applyFont="1" applyAlignment="1">
      <alignment horizontal="center" wrapText="1"/>
    </xf>
    <xf numFmtId="0" fontId="59" fillId="26" borderId="216" xfId="0" applyFont="1" applyFill="1" applyBorder="1"/>
    <xf numFmtId="0" fontId="59" fillId="26" borderId="217" xfId="0" applyFont="1" applyFill="1" applyBorder="1"/>
    <xf numFmtId="0" fontId="59" fillId="26" borderId="218" xfId="0" applyFont="1" applyFill="1" applyBorder="1"/>
    <xf numFmtId="0" fontId="53" fillId="57" borderId="0" xfId="0" applyFont="1" applyFill="1"/>
    <xf numFmtId="0" fontId="0" fillId="57" borderId="0" xfId="0" applyFill="1"/>
    <xf numFmtId="0" fontId="8" fillId="57" borderId="0" xfId="0" applyFont="1" applyFill="1"/>
    <xf numFmtId="0" fontId="12" fillId="57" borderId="0" xfId="0" applyFont="1" applyFill="1" applyAlignment="1" applyProtection="1">
      <alignment horizontal="left"/>
      <protection locked="0"/>
    </xf>
    <xf numFmtId="0" fontId="10" fillId="57" borderId="0" xfId="0" applyFont="1" applyFill="1"/>
    <xf numFmtId="0" fontId="12" fillId="57" borderId="0" xfId="0" applyFont="1" applyFill="1"/>
    <xf numFmtId="0" fontId="25" fillId="57" borderId="0" xfId="0" applyFont="1" applyFill="1"/>
    <xf numFmtId="169" fontId="24" fillId="57" borderId="0" xfId="1" applyFont="1" applyFill="1" applyAlignment="1" applyProtection="1">
      <alignment horizontal="center"/>
    </xf>
    <xf numFmtId="49" fontId="23" fillId="57" borderId="0" xfId="0" applyNumberFormat="1" applyFont="1" applyFill="1" applyAlignment="1">
      <alignment horizontal="center"/>
    </xf>
    <xf numFmtId="0" fontId="23" fillId="57" borderId="0" xfId="0" applyFont="1" applyFill="1" applyAlignment="1">
      <alignment horizontal="center"/>
    </xf>
    <xf numFmtId="49" fontId="23" fillId="57" borderId="0" xfId="0" applyNumberFormat="1" applyFont="1" applyFill="1" applyAlignment="1">
      <alignment horizontal="left"/>
    </xf>
    <xf numFmtId="0" fontId="25" fillId="57" borderId="0" xfId="0" applyFont="1" applyFill="1" applyAlignment="1">
      <alignment horizontal="right"/>
    </xf>
    <xf numFmtId="49" fontId="8" fillId="57" borderId="0" xfId="0" applyNumberFormat="1" applyFont="1" applyFill="1"/>
    <xf numFmtId="49" fontId="12" fillId="57" borderId="0" xfId="0" applyNumberFormat="1" applyFont="1" applyFill="1"/>
    <xf numFmtId="0" fontId="31" fillId="57" borderId="0" xfId="0" applyFont="1" applyFill="1"/>
    <xf numFmtId="0" fontId="23" fillId="57" borderId="0" xfId="0" applyFont="1" applyFill="1"/>
    <xf numFmtId="166" fontId="24" fillId="57" borderId="0" xfId="0" applyNumberFormat="1" applyFont="1" applyFill="1"/>
    <xf numFmtId="9" fontId="12" fillId="57" borderId="0" xfId="5" applyFont="1" applyFill="1" applyProtection="1"/>
    <xf numFmtId="9" fontId="12" fillId="57" borderId="0" xfId="5" applyFont="1" applyFill="1" applyBorder="1" applyProtection="1"/>
    <xf numFmtId="0" fontId="13" fillId="57" borderId="0" xfId="0" applyFont="1" applyFill="1"/>
    <xf numFmtId="166" fontId="23" fillId="57" borderId="0" xfId="0" applyNumberFormat="1" applyFont="1" applyFill="1"/>
    <xf numFmtId="0" fontId="12" fillId="57" borderId="0" xfId="0" applyFont="1" applyFill="1" applyAlignment="1">
      <alignment horizontal="left"/>
    </xf>
    <xf numFmtId="0" fontId="24" fillId="57" borderId="0" xfId="0" applyFont="1" applyFill="1"/>
    <xf numFmtId="164" fontId="12" fillId="57" borderId="0" xfId="2" applyFont="1" applyFill="1"/>
    <xf numFmtId="164" fontId="12" fillId="57" borderId="0" xfId="2" applyFont="1" applyFill="1" applyAlignment="1">
      <alignment horizontal="center"/>
    </xf>
    <xf numFmtId="164" fontId="12" fillId="57" borderId="0" xfId="2" applyFont="1" applyFill="1" applyAlignment="1">
      <alignment wrapText="1"/>
    </xf>
    <xf numFmtId="164" fontId="12" fillId="57" borderId="0" xfId="2" applyFont="1" applyFill="1" applyAlignment="1">
      <alignment horizontal="center" wrapText="1"/>
    </xf>
    <xf numFmtId="164" fontId="13" fillId="57" borderId="0" xfId="2" applyFont="1" applyFill="1"/>
    <xf numFmtId="164" fontId="13" fillId="57" borderId="0" xfId="2" applyFont="1" applyFill="1" applyAlignment="1">
      <alignment horizontal="left"/>
    </xf>
    <xf numFmtId="164" fontId="8" fillId="57" borderId="0" xfId="2" applyFont="1" applyFill="1"/>
    <xf numFmtId="166" fontId="12" fillId="57" borderId="0" xfId="2" applyNumberFormat="1" applyFont="1" applyFill="1"/>
    <xf numFmtId="173" fontId="10" fillId="57" borderId="0" xfId="2" applyNumberFormat="1" applyFont="1" applyFill="1" applyAlignment="1">
      <alignment horizontal="right"/>
    </xf>
    <xf numFmtId="185" fontId="12" fillId="57" borderId="0" xfId="2" applyNumberFormat="1" applyFont="1" applyFill="1"/>
    <xf numFmtId="164" fontId="13" fillId="57" borderId="0" xfId="2" applyFont="1" applyFill="1" applyAlignment="1">
      <alignment horizontal="center"/>
    </xf>
    <xf numFmtId="185" fontId="13" fillId="57" borderId="0" xfId="2" applyNumberFormat="1" applyFont="1" applyFill="1" applyAlignment="1">
      <alignment horizontal="center"/>
    </xf>
    <xf numFmtId="0" fontId="66" fillId="57" borderId="0" xfId="4609" applyFont="1" applyFill="1"/>
    <xf numFmtId="2" fontId="12" fillId="57" borderId="0" xfId="4" applyNumberFormat="1" applyFont="1" applyFill="1"/>
    <xf numFmtId="171" fontId="12" fillId="57" borderId="0" xfId="4" applyFont="1" applyFill="1"/>
    <xf numFmtId="171" fontId="8" fillId="57" borderId="0" xfId="4" applyFont="1" applyFill="1" applyAlignment="1">
      <alignment horizontal="right"/>
    </xf>
    <xf numFmtId="170" fontId="8" fillId="57" borderId="0" xfId="4611" applyFont="1" applyFill="1" applyAlignment="1" applyProtection="1">
      <alignment horizontal="right"/>
    </xf>
    <xf numFmtId="178" fontId="12" fillId="57" borderId="0" xfId="4" applyNumberFormat="1" applyFont="1" applyFill="1"/>
    <xf numFmtId="178" fontId="8" fillId="57" borderId="0" xfId="4" applyNumberFormat="1" applyFont="1" applyFill="1" applyAlignment="1">
      <alignment horizontal="right"/>
    </xf>
    <xf numFmtId="179" fontId="12" fillId="57" borderId="133" xfId="4" applyNumberFormat="1" applyFont="1" applyFill="1" applyBorder="1"/>
    <xf numFmtId="2" fontId="8" fillId="57" borderId="0" xfId="4" applyNumberFormat="1" applyFont="1" applyFill="1" applyAlignment="1">
      <alignment horizontal="right"/>
    </xf>
    <xf numFmtId="179" fontId="12" fillId="57" borderId="0" xfId="4" applyNumberFormat="1" applyFont="1" applyFill="1"/>
    <xf numFmtId="178" fontId="8" fillId="57" borderId="0" xfId="1" applyNumberFormat="1" applyFont="1" applyFill="1" applyAlignment="1" applyProtection="1">
      <alignment horizontal="right"/>
    </xf>
    <xf numFmtId="171" fontId="12" fillId="57" borderId="0" xfId="4" applyFont="1" applyFill="1" applyAlignment="1">
      <alignment horizontal="center"/>
    </xf>
    <xf numFmtId="171" fontId="8" fillId="57" borderId="0" xfId="4" applyFont="1" applyFill="1" applyAlignment="1">
      <alignment horizontal="center"/>
    </xf>
    <xf numFmtId="171" fontId="13" fillId="57" borderId="0" xfId="4" applyFont="1" applyFill="1"/>
    <xf numFmtId="189" fontId="8" fillId="57" borderId="88" xfId="1" applyNumberFormat="1" applyFont="1" applyFill="1" applyBorder="1" applyAlignment="1" applyProtection="1">
      <alignment horizontal="center"/>
    </xf>
    <xf numFmtId="171" fontId="8" fillId="57" borderId="89" xfId="4" applyFont="1" applyFill="1" applyBorder="1" applyAlignment="1">
      <alignment horizontal="center"/>
    </xf>
    <xf numFmtId="171" fontId="8" fillId="57" borderId="90" xfId="4" applyFont="1" applyFill="1" applyBorder="1" applyAlignment="1">
      <alignment horizontal="center"/>
    </xf>
    <xf numFmtId="171" fontId="13" fillId="57" borderId="0" xfId="4" applyFont="1" applyFill="1" applyAlignment="1">
      <alignment horizontal="right"/>
    </xf>
    <xf numFmtId="0" fontId="12" fillId="57" borderId="180" xfId="1" applyNumberFormat="1" applyFont="1" applyFill="1" applyBorder="1" applyAlignment="1" applyProtection="1">
      <alignment horizontal="center"/>
    </xf>
    <xf numFmtId="171" fontId="12" fillId="57" borderId="144" xfId="4" applyFont="1" applyFill="1" applyBorder="1" applyAlignment="1">
      <alignment horizontal="center"/>
    </xf>
    <xf numFmtId="171" fontId="12" fillId="57" borderId="181" xfId="4" applyFont="1" applyFill="1" applyBorder="1" applyAlignment="1">
      <alignment horizontal="center"/>
    </xf>
    <xf numFmtId="0" fontId="12" fillId="57" borderId="153" xfId="1" applyNumberFormat="1" applyFont="1" applyFill="1" applyBorder="1" applyAlignment="1" applyProtection="1">
      <alignment horizontal="center"/>
    </xf>
    <xf numFmtId="171" fontId="12" fillId="57" borderId="154" xfId="4" applyFont="1" applyFill="1" applyBorder="1" applyAlignment="1">
      <alignment horizontal="center"/>
    </xf>
    <xf numFmtId="171" fontId="12" fillId="57" borderId="155" xfId="4" applyFont="1" applyFill="1" applyBorder="1" applyAlignment="1">
      <alignment horizontal="center"/>
    </xf>
    <xf numFmtId="178" fontId="12" fillId="57" borderId="0" xfId="1" applyNumberFormat="1" applyFont="1" applyFill="1" applyBorder="1" applyAlignment="1" applyProtection="1">
      <alignment horizontal="center"/>
    </xf>
    <xf numFmtId="178" fontId="8" fillId="57" borderId="0" xfId="1" applyNumberFormat="1" applyFont="1" applyFill="1" applyBorder="1" applyAlignment="1" applyProtection="1">
      <alignment horizontal="center"/>
    </xf>
    <xf numFmtId="171" fontId="13" fillId="57" borderId="0" xfId="4" applyFont="1" applyFill="1" applyAlignment="1">
      <alignment horizontal="center"/>
    </xf>
    <xf numFmtId="0" fontId="12" fillId="57" borderId="0" xfId="4" applyNumberFormat="1" applyFont="1" applyFill="1"/>
    <xf numFmtId="171" fontId="8" fillId="57" borderId="0" xfId="4" applyFont="1" applyFill="1"/>
    <xf numFmtId="169" fontId="12" fillId="57" borderId="0" xfId="4" applyNumberFormat="1" applyFont="1" applyFill="1"/>
    <xf numFmtId="189" fontId="8" fillId="57" borderId="0" xfId="4" applyNumberFormat="1" applyFont="1" applyFill="1"/>
    <xf numFmtId="189" fontId="12" fillId="57" borderId="0" xfId="4" applyNumberFormat="1" applyFont="1" applyFill="1"/>
    <xf numFmtId="171" fontId="37" fillId="57" borderId="0" xfId="4" applyFont="1" applyFill="1"/>
    <xf numFmtId="171" fontId="37" fillId="57" borderId="0" xfId="4" applyFont="1" applyFill="1" applyAlignment="1">
      <alignment horizontal="center"/>
    </xf>
    <xf numFmtId="171" fontId="41" fillId="57" borderId="0" xfId="4" applyFont="1" applyFill="1"/>
    <xf numFmtId="171" fontId="15" fillId="57" borderId="0" xfId="4" applyFont="1" applyFill="1"/>
    <xf numFmtId="171" fontId="14" fillId="57" borderId="0" xfId="4" applyFont="1" applyFill="1" applyAlignment="1">
      <alignment horizontal="right"/>
    </xf>
    <xf numFmtId="0" fontId="14" fillId="57" borderId="0" xfId="0" applyFont="1" applyFill="1" applyAlignment="1">
      <alignment horizontal="right"/>
    </xf>
    <xf numFmtId="169" fontId="0" fillId="57" borderId="0" xfId="0" applyNumberFormat="1" applyFill="1"/>
    <xf numFmtId="171" fontId="36" fillId="57" borderId="0" xfId="4" applyFont="1" applyFill="1"/>
    <xf numFmtId="169" fontId="36" fillId="57" borderId="0" xfId="4" applyNumberFormat="1" applyFont="1" applyFill="1"/>
    <xf numFmtId="0" fontId="10" fillId="57" borderId="0" xfId="0" applyFont="1" applyFill="1" applyProtection="1">
      <protection locked="0"/>
    </xf>
    <xf numFmtId="0" fontId="10" fillId="57" borderId="0" xfId="0" applyFont="1" applyFill="1" applyAlignment="1" applyProtection="1">
      <alignment horizontal="center"/>
      <protection locked="0"/>
    </xf>
    <xf numFmtId="0" fontId="10" fillId="57" borderId="0" xfId="0" applyFont="1" applyFill="1" applyAlignment="1">
      <alignment horizontal="center"/>
    </xf>
    <xf numFmtId="10" fontId="10" fillId="57" borderId="0" xfId="0" applyNumberFormat="1" applyFont="1" applyFill="1" applyAlignment="1">
      <alignment horizontal="center"/>
    </xf>
    <xf numFmtId="2" fontId="10" fillId="57" borderId="0" xfId="0" applyNumberFormat="1" applyFont="1" applyFill="1" applyAlignment="1">
      <alignment horizontal="center"/>
    </xf>
    <xf numFmtId="0" fontId="10" fillId="57" borderId="0" xfId="0" applyFont="1" applyFill="1" applyAlignment="1" applyProtection="1">
      <alignment horizontal="right"/>
      <protection locked="0"/>
    </xf>
    <xf numFmtId="0" fontId="20" fillId="57" borderId="0" xfId="0" applyFont="1" applyFill="1" applyAlignment="1">
      <alignment horizontal="left"/>
    </xf>
    <xf numFmtId="0" fontId="46" fillId="57" borderId="0" xfId="0" applyFont="1" applyFill="1"/>
    <xf numFmtId="0" fontId="20" fillId="57" borderId="0" xfId="0" applyFont="1" applyFill="1"/>
    <xf numFmtId="0" fontId="20" fillId="57" borderId="0" xfId="0" applyFont="1" applyFill="1" applyAlignment="1">
      <alignment horizontal="right"/>
    </xf>
    <xf numFmtId="0" fontId="24" fillId="57" borderId="0" xfId="3" applyFont="1" applyFill="1" applyAlignment="1" applyProtection="1">
      <alignment horizontal="left"/>
      <protection locked="0"/>
    </xf>
    <xf numFmtId="0" fontId="34" fillId="57" borderId="0" xfId="0" applyFont="1" applyFill="1" applyAlignment="1">
      <alignment horizontal="center"/>
    </xf>
    <xf numFmtId="10" fontId="10" fillId="57" borderId="0" xfId="0" applyNumberFormat="1" applyFont="1" applyFill="1" applyProtection="1">
      <protection locked="0"/>
    </xf>
    <xf numFmtId="176" fontId="10" fillId="57" borderId="0" xfId="0" applyNumberFormat="1" applyFont="1" applyFill="1" applyProtection="1">
      <protection locked="0"/>
    </xf>
    <xf numFmtId="2" fontId="34" fillId="57" borderId="0" xfId="0" applyNumberFormat="1" applyFont="1" applyFill="1" applyAlignment="1">
      <alignment horizontal="center"/>
    </xf>
    <xf numFmtId="0" fontId="46" fillId="57" borderId="0" xfId="0" applyFont="1" applyFill="1" applyAlignment="1">
      <alignment horizontal="center"/>
    </xf>
    <xf numFmtId="10" fontId="46" fillId="57" borderId="0" xfId="0" applyNumberFormat="1" applyFont="1" applyFill="1" applyAlignment="1">
      <alignment horizontal="center"/>
    </xf>
    <xf numFmtId="2" fontId="46" fillId="57" borderId="0" xfId="0" applyNumberFormat="1" applyFont="1" applyFill="1" applyAlignment="1">
      <alignment horizontal="center"/>
    </xf>
    <xf numFmtId="170" fontId="10" fillId="57" borderId="0" xfId="4611" applyFont="1" applyFill="1" applyProtection="1">
      <protection locked="0"/>
    </xf>
    <xf numFmtId="176" fontId="10" fillId="57" borderId="0" xfId="0" applyNumberFormat="1" applyFont="1" applyFill="1" applyAlignment="1">
      <alignment horizontal="center"/>
    </xf>
    <xf numFmtId="170" fontId="10" fillId="57" borderId="0" xfId="4611" applyFont="1" applyFill="1" applyAlignment="1" applyProtection="1">
      <alignment horizontal="right"/>
      <protection locked="0"/>
    </xf>
    <xf numFmtId="0" fontId="8" fillId="0" borderId="0" xfId="0" applyFont="1" applyAlignment="1">
      <alignment horizontal="right"/>
    </xf>
    <xf numFmtId="0" fontId="138" fillId="0" borderId="0" xfId="0" applyFont="1"/>
    <xf numFmtId="2" fontId="13" fillId="0" borderId="167" xfId="4" applyNumberFormat="1" applyFont="1" applyBorder="1"/>
    <xf numFmtId="1" fontId="11" fillId="58" borderId="96" xfId="4" applyNumberFormat="1" applyFont="1" applyFill="1" applyBorder="1" applyAlignment="1" applyProtection="1">
      <alignment horizontal="center"/>
      <protection locked="0"/>
    </xf>
    <xf numFmtId="175" fontId="11" fillId="58" borderId="109" xfId="1" applyNumberFormat="1" applyFont="1" applyFill="1" applyBorder="1" applyAlignment="1" applyProtection="1">
      <alignment horizontal="center"/>
      <protection locked="0"/>
    </xf>
    <xf numFmtId="171" fontId="12" fillId="58" borderId="0" xfId="4" applyFont="1" applyFill="1"/>
    <xf numFmtId="2" fontId="11" fillId="0" borderId="96" xfId="4" applyNumberFormat="1" applyFont="1" applyBorder="1" applyProtection="1">
      <protection locked="0"/>
    </xf>
    <xf numFmtId="183" fontId="14" fillId="0" borderId="220" xfId="4" applyNumberFormat="1" applyFont="1" applyBorder="1" applyAlignment="1" applyProtection="1">
      <alignment horizontal="center"/>
      <protection locked="0"/>
    </xf>
    <xf numFmtId="183" fontId="14" fillId="0" borderId="222" xfId="4" applyNumberFormat="1" applyFont="1" applyBorder="1" applyAlignment="1" applyProtection="1">
      <alignment horizontal="center"/>
      <protection locked="0"/>
    </xf>
    <xf numFmtId="183" fontId="14" fillId="0" borderId="223" xfId="4" applyNumberFormat="1" applyFont="1" applyBorder="1" applyAlignment="1" applyProtection="1">
      <alignment horizontal="center"/>
      <protection locked="0"/>
    </xf>
    <xf numFmtId="183" fontId="14" fillId="0" borderId="167" xfId="4" applyNumberFormat="1" applyFont="1" applyBorder="1" applyAlignment="1" applyProtection="1">
      <alignment horizontal="center"/>
      <protection locked="0"/>
    </xf>
    <xf numFmtId="164" fontId="12" fillId="0" borderId="219" xfId="4" applyNumberFormat="1" applyFont="1" applyBorder="1"/>
    <xf numFmtId="180" fontId="14" fillId="58" borderId="109" xfId="4" applyNumberFormat="1" applyFont="1" applyFill="1" applyBorder="1" applyAlignment="1">
      <alignment horizontal="right"/>
    </xf>
    <xf numFmtId="180" fontId="12" fillId="58" borderId="97" xfId="4" applyNumberFormat="1" applyFont="1" applyFill="1" applyBorder="1"/>
    <xf numFmtId="1" fontId="11" fillId="59" borderId="96" xfId="4" applyNumberFormat="1" applyFont="1" applyFill="1" applyBorder="1" applyAlignment="1" applyProtection="1">
      <alignment horizontal="center"/>
      <protection locked="0"/>
    </xf>
    <xf numFmtId="175" fontId="11" fillId="59" borderId="109" xfId="1" applyNumberFormat="1" applyFont="1" applyFill="1" applyBorder="1" applyAlignment="1" applyProtection="1">
      <alignment horizontal="center"/>
      <protection locked="0"/>
    </xf>
    <xf numFmtId="180" fontId="14" fillId="59" borderId="109" xfId="4" applyNumberFormat="1" applyFont="1" applyFill="1" applyBorder="1" applyAlignment="1">
      <alignment horizontal="right"/>
    </xf>
    <xf numFmtId="180" fontId="12" fillId="59" borderId="97" xfId="4" applyNumberFormat="1" applyFont="1" applyFill="1" applyBorder="1"/>
    <xf numFmtId="171" fontId="12" fillId="59" borderId="0" xfId="4" applyFont="1" applyFill="1"/>
    <xf numFmtId="0" fontId="0" fillId="55" borderId="0" xfId="0" applyFill="1"/>
    <xf numFmtId="189" fontId="8" fillId="55" borderId="88" xfId="1" applyNumberFormat="1" applyFont="1" applyFill="1" applyBorder="1" applyAlignment="1" applyProtection="1">
      <alignment horizontal="center"/>
    </xf>
    <xf numFmtId="171" fontId="8" fillId="55" borderId="89" xfId="4" applyFont="1" applyFill="1" applyBorder="1" applyAlignment="1">
      <alignment horizontal="center"/>
    </xf>
    <xf numFmtId="171" fontId="8" fillId="55" borderId="90" xfId="4" applyFont="1" applyFill="1" applyBorder="1" applyAlignment="1">
      <alignment horizontal="center"/>
    </xf>
    <xf numFmtId="171" fontId="8" fillId="57" borderId="0" xfId="4" quotePrefix="1" applyFont="1" applyFill="1" applyAlignment="1">
      <alignment horizontal="center"/>
    </xf>
    <xf numFmtId="164" fontId="14" fillId="0" borderId="0" xfId="2" applyFont="1" applyAlignment="1">
      <alignment horizontal="right"/>
    </xf>
    <xf numFmtId="184" fontId="12" fillId="0" borderId="1" xfId="2" applyNumberFormat="1" applyFont="1" applyBorder="1"/>
    <xf numFmtId="164" fontId="8" fillId="0" borderId="23" xfId="2" applyFont="1" applyBorder="1" applyAlignment="1">
      <alignment horizontal="right"/>
    </xf>
    <xf numFmtId="164" fontId="8" fillId="0" borderId="26" xfId="2" applyFont="1" applyBorder="1" applyAlignment="1">
      <alignment horizontal="right"/>
    </xf>
    <xf numFmtId="0" fontId="12" fillId="0" borderId="167" xfId="0" applyFont="1" applyBorder="1" applyAlignment="1">
      <alignment horizontal="left"/>
    </xf>
    <xf numFmtId="0" fontId="12" fillId="0" borderId="43" xfId="0" applyFont="1" applyBorder="1" applyAlignment="1">
      <alignment horizontal="left"/>
    </xf>
    <xf numFmtId="177" fontId="11" fillId="0" borderId="82" xfId="4" applyNumberFormat="1" applyFont="1" applyBorder="1" applyAlignment="1" applyProtection="1">
      <alignment horizontal="left" wrapText="1"/>
      <protection locked="0"/>
    </xf>
    <xf numFmtId="177" fontId="11" fillId="12" borderId="82" xfId="4" applyNumberFormat="1" applyFont="1" applyFill="1" applyBorder="1" applyAlignment="1" applyProtection="1">
      <alignment horizontal="left" wrapText="1"/>
      <protection locked="0"/>
    </xf>
    <xf numFmtId="0" fontId="0" fillId="12" borderId="48" xfId="0" applyFill="1" applyBorder="1" applyAlignment="1">
      <alignment horizontal="left" wrapText="1"/>
    </xf>
    <xf numFmtId="0" fontId="11" fillId="0" borderId="48" xfId="0" applyFont="1" applyBorder="1" applyAlignment="1" applyProtection="1">
      <alignment horizontal="left" wrapText="1"/>
      <protection locked="0"/>
    </xf>
    <xf numFmtId="191" fontId="17" fillId="0" borderId="0" xfId="2" applyNumberFormat="1" applyFont="1"/>
    <xf numFmtId="191" fontId="12" fillId="0" borderId="0" xfId="2" applyNumberFormat="1" applyFont="1" applyAlignment="1">
      <alignment horizontal="right"/>
    </xf>
    <xf numFmtId="1" fontId="8" fillId="0" borderId="0" xfId="0" applyNumberFormat="1" applyFont="1" applyAlignment="1">
      <alignment horizontal="left"/>
    </xf>
    <xf numFmtId="0" fontId="139" fillId="0" borderId="0" xfId="0" applyFont="1"/>
    <xf numFmtId="0" fontId="12" fillId="0" borderId="53" xfId="0" applyFont="1" applyBorder="1" applyAlignment="1">
      <alignment horizontal="right"/>
    </xf>
    <xf numFmtId="0" fontId="12" fillId="0" borderId="57" xfId="0" applyFont="1" applyBorder="1" applyAlignment="1">
      <alignment horizontal="right"/>
    </xf>
    <xf numFmtId="1" fontId="12" fillId="0" borderId="57" xfId="0" applyNumberFormat="1" applyFont="1" applyBorder="1" applyAlignment="1">
      <alignment horizontal="center"/>
    </xf>
    <xf numFmtId="179" fontId="12" fillId="0" borderId="57" xfId="0" applyNumberFormat="1" applyFont="1" applyBorder="1"/>
    <xf numFmtId="0" fontId="12" fillId="0" borderId="57" xfId="0" applyFont="1" applyBorder="1" applyAlignment="1">
      <alignment horizontal="center"/>
    </xf>
    <xf numFmtId="0" fontId="12" fillId="0" borderId="57" xfId="0" applyFont="1" applyBorder="1"/>
    <xf numFmtId="179" fontId="12" fillId="0" borderId="55" xfId="0" applyNumberFormat="1" applyFont="1" applyBorder="1"/>
    <xf numFmtId="0" fontId="38" fillId="55" borderId="47" xfId="0" applyFont="1" applyFill="1" applyBorder="1" applyAlignment="1" applyProtection="1">
      <alignment horizontal="center"/>
      <protection locked="0"/>
    </xf>
    <xf numFmtId="169" fontId="12" fillId="55" borderId="8" xfId="4" applyNumberFormat="1" applyFont="1" applyFill="1" applyBorder="1"/>
    <xf numFmtId="179" fontId="11" fillId="55" borderId="24" xfId="4" applyNumberFormat="1" applyFont="1" applyFill="1" applyBorder="1" applyAlignment="1" applyProtection="1">
      <alignment horizontal="center"/>
      <protection locked="0"/>
    </xf>
    <xf numFmtId="177" fontId="11" fillId="55" borderId="82" xfId="4" applyNumberFormat="1" applyFont="1" applyFill="1" applyBorder="1" applyAlignment="1" applyProtection="1">
      <alignment horizontal="left" wrapText="1"/>
      <protection locked="0"/>
    </xf>
    <xf numFmtId="49" fontId="38" fillId="55" borderId="24" xfId="4" applyNumberFormat="1" applyFont="1" applyFill="1" applyBorder="1" applyAlignment="1" applyProtection="1">
      <alignment horizontal="center"/>
      <protection locked="0"/>
    </xf>
    <xf numFmtId="1" fontId="11" fillId="55" borderId="24" xfId="4" applyNumberFormat="1" applyFont="1" applyFill="1" applyBorder="1" applyAlignment="1" applyProtection="1">
      <alignment horizontal="center"/>
      <protection locked="0"/>
    </xf>
    <xf numFmtId="1" fontId="11" fillId="55" borderId="25" xfId="4" applyNumberFormat="1" applyFont="1" applyFill="1" applyBorder="1" applyAlignment="1" applyProtection="1">
      <alignment horizontal="center"/>
      <protection locked="0"/>
    </xf>
    <xf numFmtId="179" fontId="12" fillId="0" borderId="0" xfId="2" applyNumberFormat="1" applyFont="1"/>
    <xf numFmtId="0" fontId="0" fillId="55" borderId="48" xfId="0" applyFill="1" applyBorder="1" applyAlignment="1">
      <alignment horizontal="left" wrapText="1"/>
    </xf>
    <xf numFmtId="0" fontId="31" fillId="0" borderId="13" xfId="0" applyFont="1" applyBorder="1"/>
    <xf numFmtId="179" fontId="7" fillId="0" borderId="3" xfId="2" applyNumberFormat="1" applyFont="1" applyBorder="1"/>
    <xf numFmtId="184" fontId="7" fillId="0" borderId="23" xfId="2" applyNumberFormat="1" applyFont="1" applyBorder="1"/>
    <xf numFmtId="179" fontId="7" fillId="55" borderId="23" xfId="2" applyNumberFormat="1" applyFont="1" applyFill="1" applyBorder="1"/>
    <xf numFmtId="179" fontId="7" fillId="0" borderId="23" xfId="2" applyNumberFormat="1" applyFont="1" applyBorder="1"/>
    <xf numFmtId="178" fontId="7" fillId="0" borderId="4" xfId="2" applyNumberFormat="1" applyFont="1" applyBorder="1"/>
    <xf numFmtId="184" fontId="12" fillId="0" borderId="0" xfId="2" applyNumberFormat="1" applyFont="1"/>
    <xf numFmtId="10" fontId="14" fillId="0" borderId="17" xfId="0" applyNumberFormat="1" applyFont="1" applyBorder="1" applyAlignment="1">
      <alignment horizontal="center"/>
    </xf>
    <xf numFmtId="10" fontId="14" fillId="0" borderId="144" xfId="0" applyNumberFormat="1" applyFont="1" applyBorder="1" applyAlignment="1">
      <alignment horizontal="center"/>
    </xf>
    <xf numFmtId="186" fontId="53" fillId="0" borderId="0" xfId="5" applyNumberFormat="1" applyFont="1" applyBorder="1" applyAlignment="1" applyProtection="1">
      <alignment horizontal="center"/>
    </xf>
    <xf numFmtId="0" fontId="0" fillId="0" borderId="1" xfId="0" applyBorder="1" applyAlignment="1">
      <alignment horizontal="center" vertical="center" textRotation="90"/>
    </xf>
    <xf numFmtId="186" fontId="53" fillId="0" borderId="1" xfId="0" applyNumberFormat="1" applyFont="1" applyBorder="1" applyAlignment="1">
      <alignment horizontal="center"/>
    </xf>
    <xf numFmtId="170" fontId="12" fillId="0" borderId="3" xfId="4611" applyFont="1" applyBorder="1" applyProtection="1"/>
    <xf numFmtId="179" fontId="8" fillId="0" borderId="3" xfId="2" applyNumberFormat="1" applyFont="1" applyBorder="1"/>
    <xf numFmtId="169" fontId="8" fillId="0" borderId="23" xfId="2" applyNumberFormat="1" applyFont="1" applyBorder="1"/>
    <xf numFmtId="164" fontId="13" fillId="55" borderId="0" xfId="2" applyFont="1" applyFill="1" applyAlignment="1">
      <alignment horizontal="center"/>
    </xf>
    <xf numFmtId="164" fontId="8" fillId="0" borderId="170" xfId="2" applyFont="1" applyBorder="1" applyAlignment="1">
      <alignment horizontal="center" wrapText="1"/>
    </xf>
    <xf numFmtId="167" fontId="0" fillId="57" borderId="0" xfId="0" applyNumberFormat="1" applyFill="1"/>
    <xf numFmtId="192" fontId="12" fillId="0" borderId="34" xfId="2" applyNumberFormat="1" applyFont="1" applyBorder="1" applyAlignment="1">
      <alignment horizontal="center"/>
    </xf>
    <xf numFmtId="179" fontId="7" fillId="0" borderId="5" xfId="2" applyNumberFormat="1" applyFont="1" applyBorder="1"/>
    <xf numFmtId="175" fontId="7" fillId="0" borderId="0" xfId="2" applyNumberFormat="1" applyFont="1"/>
    <xf numFmtId="179" fontId="8" fillId="0" borderId="1" xfId="2" applyNumberFormat="1" applyFont="1" applyBorder="1" applyAlignment="1">
      <alignment wrapText="1"/>
    </xf>
    <xf numFmtId="179" fontId="8" fillId="0" borderId="0" xfId="2" applyNumberFormat="1" applyFont="1"/>
    <xf numFmtId="185" fontId="12" fillId="60" borderId="0" xfId="2" applyNumberFormat="1" applyFont="1" applyFill="1"/>
    <xf numFmtId="0" fontId="12" fillId="41" borderId="0" xfId="0" applyFont="1" applyFill="1"/>
    <xf numFmtId="179" fontId="12" fillId="0" borderId="5" xfId="2" applyNumberFormat="1" applyFont="1" applyBorder="1" applyAlignment="1">
      <alignment horizontal="right"/>
    </xf>
    <xf numFmtId="179" fontId="12" fillId="0" borderId="5" xfId="2" applyNumberFormat="1" applyFont="1" applyBorder="1"/>
    <xf numFmtId="0" fontId="1" fillId="25" borderId="0" xfId="7827" applyAlignment="1">
      <alignment horizontal="left" indent="1"/>
    </xf>
    <xf numFmtId="0" fontId="1" fillId="25" borderId="0" xfId="7827" applyAlignment="1">
      <alignment horizontal="right"/>
    </xf>
    <xf numFmtId="0" fontId="1" fillId="25" borderId="0" xfId="7827" applyAlignment="1">
      <alignment horizontal="center"/>
    </xf>
    <xf numFmtId="2" fontId="8" fillId="5" borderId="0" xfId="761" applyNumberFormat="1" applyFill="1"/>
    <xf numFmtId="0" fontId="19" fillId="0" borderId="0" xfId="761" applyFont="1" applyAlignment="1">
      <alignment horizontal="right"/>
    </xf>
    <xf numFmtId="0" fontId="126" fillId="0" borderId="0" xfId="7828" applyFont="1"/>
    <xf numFmtId="0" fontId="126" fillId="0" borderId="0" xfId="7828" applyFont="1" applyAlignment="1">
      <alignment wrapText="1"/>
    </xf>
    <xf numFmtId="0" fontId="1" fillId="25" borderId="20" xfId="7827" applyBorder="1"/>
    <xf numFmtId="0" fontId="1" fillId="25" borderId="20" xfId="7827" applyBorder="1" applyAlignment="1"/>
    <xf numFmtId="0" fontId="1" fillId="25" borderId="21" xfId="7827" applyBorder="1" applyAlignment="1">
      <alignment horizontal="right"/>
    </xf>
    <xf numFmtId="179" fontId="1" fillId="25" borderId="0" xfId="7827" applyNumberFormat="1"/>
    <xf numFmtId="1" fontId="8" fillId="0" borderId="0" xfId="761" applyNumberFormat="1" applyAlignment="1">
      <alignment horizontal="left"/>
    </xf>
    <xf numFmtId="169" fontId="8" fillId="3" borderId="0" xfId="761" applyNumberFormat="1" applyFill="1"/>
    <xf numFmtId="171" fontId="19" fillId="61" borderId="144" xfId="761" applyNumberFormat="1" applyFont="1" applyFill="1" applyBorder="1" applyAlignment="1" applyProtection="1">
      <alignment vertical="center"/>
      <protection locked="0"/>
    </xf>
    <xf numFmtId="1" fontId="8" fillId="61" borderId="144" xfId="761" applyNumberFormat="1" applyFill="1" applyBorder="1"/>
    <xf numFmtId="0" fontId="1" fillId="25" borderId="0" xfId="7827" applyBorder="1"/>
    <xf numFmtId="0" fontId="1" fillId="25" borderId="0" xfId="7827" applyBorder="1" applyAlignment="1">
      <alignment horizontal="right"/>
    </xf>
    <xf numFmtId="0" fontId="1" fillId="25" borderId="22" xfId="7827" applyBorder="1" applyAlignment="1">
      <alignment horizontal="right"/>
    </xf>
    <xf numFmtId="171" fontId="31" fillId="0" borderId="144" xfId="761" applyNumberFormat="1" applyFont="1" applyBorder="1" applyProtection="1">
      <protection locked="0"/>
    </xf>
    <xf numFmtId="1" fontId="8" fillId="0" borderId="144" xfId="761" applyNumberFormat="1" applyBorder="1"/>
    <xf numFmtId="169" fontId="8" fillId="4" borderId="0" xfId="761" applyNumberFormat="1" applyFill="1"/>
    <xf numFmtId="1" fontId="8" fillId="0" borderId="0" xfId="761" applyNumberFormat="1" applyAlignment="1">
      <alignment horizontal="center"/>
    </xf>
    <xf numFmtId="169" fontId="8" fillId="7" borderId="0" xfId="761" applyNumberFormat="1" applyFill="1"/>
    <xf numFmtId="169" fontId="8" fillId="8" borderId="0" xfId="761" applyNumberFormat="1" applyFill="1"/>
    <xf numFmtId="0" fontId="31" fillId="0" borderId="144" xfId="761" applyFont="1" applyBorder="1" applyProtection="1">
      <protection locked="0"/>
    </xf>
    <xf numFmtId="169" fontId="8" fillId="9" borderId="0" xfId="761" applyNumberFormat="1" applyFill="1"/>
    <xf numFmtId="0" fontId="8" fillId="0" borderId="0" xfId="761" applyAlignment="1">
      <alignment horizontal="left"/>
    </xf>
    <xf numFmtId="169" fontId="8" fillId="10" borderId="0" xfId="761" applyNumberFormat="1" applyFill="1"/>
    <xf numFmtId="0" fontId="35" fillId="0" borderId="0" xfId="761" applyFont="1" applyAlignment="1">
      <alignment horizontal="center"/>
    </xf>
    <xf numFmtId="0" fontId="8" fillId="0" borderId="0" xfId="761" applyAlignment="1">
      <alignment horizontal="center"/>
    </xf>
    <xf numFmtId="0" fontId="8" fillId="61" borderId="144" xfId="761" applyFill="1" applyBorder="1"/>
    <xf numFmtId="169" fontId="8" fillId="0" borderId="0" xfId="761" applyNumberFormat="1"/>
    <xf numFmtId="171" fontId="31" fillId="0" borderId="144" xfId="761" applyNumberFormat="1" applyFont="1" applyBorder="1" applyAlignment="1" applyProtection="1">
      <alignment shrinkToFit="1"/>
      <protection locked="0"/>
    </xf>
    <xf numFmtId="0" fontId="1" fillId="25" borderId="19" xfId="7827" applyBorder="1"/>
    <xf numFmtId="171" fontId="31" fillId="0" borderId="144" xfId="761" quotePrefix="1" applyNumberFormat="1" applyFont="1" applyBorder="1" applyProtection="1">
      <protection locked="0"/>
    </xf>
    <xf numFmtId="171" fontId="19" fillId="6" borderId="224" xfId="761" applyNumberFormat="1" applyFont="1" applyFill="1" applyBorder="1" applyAlignment="1" applyProtection="1">
      <alignment horizontal="center" vertical="center"/>
      <protection locked="0"/>
    </xf>
    <xf numFmtId="171" fontId="19" fillId="6" borderId="89" xfId="761" applyNumberFormat="1" applyFont="1" applyFill="1" applyBorder="1" applyAlignment="1" applyProtection="1">
      <alignment horizontal="center" vertical="center"/>
      <protection locked="0"/>
    </xf>
    <xf numFmtId="171" fontId="19" fillId="6" borderId="90" xfId="761" applyNumberFormat="1" applyFont="1" applyFill="1" applyBorder="1" applyAlignment="1" applyProtection="1">
      <alignment horizontal="center" vertical="center" wrapText="1"/>
      <protection locked="0"/>
    </xf>
    <xf numFmtId="171" fontId="31" fillId="0" borderId="144" xfId="761" applyNumberFormat="1" applyFont="1" applyBorder="1" applyAlignment="1" applyProtection="1">
      <alignment vertical="center"/>
      <protection locked="0"/>
    </xf>
    <xf numFmtId="171" fontId="24" fillId="0" borderId="144" xfId="761" applyNumberFormat="1" applyFont="1" applyBorder="1" applyAlignment="1" applyProtection="1">
      <alignment vertical="center"/>
      <protection locked="0"/>
    </xf>
    <xf numFmtId="179" fontId="24" fillId="0" borderId="144" xfId="761" applyNumberFormat="1" applyFont="1" applyBorder="1" applyAlignment="1" applyProtection="1">
      <alignment horizontal="right"/>
      <protection locked="0"/>
    </xf>
    <xf numFmtId="0" fontId="1" fillId="25" borderId="225" xfId="7827" applyBorder="1"/>
    <xf numFmtId="0" fontId="1" fillId="25" borderId="226" xfId="7827" applyBorder="1"/>
    <xf numFmtId="0" fontId="31" fillId="0" borderId="144" xfId="761" applyFont="1" applyBorder="1" applyAlignment="1" applyProtection="1">
      <alignment vertical="center"/>
      <protection locked="0"/>
    </xf>
    <xf numFmtId="0" fontId="1" fillId="25" borderId="0" xfId="7827" applyAlignment="1"/>
    <xf numFmtId="0" fontId="8" fillId="0" borderId="0" xfId="761" applyAlignment="1">
      <alignment vertical="center"/>
    </xf>
    <xf numFmtId="0" fontId="24" fillId="0" borderId="144" xfId="761" applyFont="1" applyBorder="1" applyAlignment="1" applyProtection="1">
      <alignment vertical="center"/>
      <protection locked="0"/>
    </xf>
    <xf numFmtId="171" fontId="31" fillId="0" borderId="144" xfId="761" applyNumberFormat="1" applyFont="1" applyBorder="1" applyAlignment="1" applyProtection="1">
      <alignment horizontal="left"/>
      <protection locked="0"/>
    </xf>
    <xf numFmtId="171" fontId="24" fillId="0" borderId="144" xfId="761" applyNumberFormat="1" applyFont="1" applyBorder="1" applyAlignment="1" applyProtection="1">
      <alignment horizontal="left"/>
      <protection locked="0"/>
    </xf>
    <xf numFmtId="171" fontId="31" fillId="0" borderId="144" xfId="761" applyNumberFormat="1" applyFont="1" applyBorder="1" applyAlignment="1" applyProtection="1">
      <alignment horizontal="left" wrapText="1"/>
      <protection locked="0"/>
    </xf>
    <xf numFmtId="0" fontId="31" fillId="0" borderId="144" xfId="761" quotePrefix="1" applyFont="1" applyBorder="1" applyAlignment="1" applyProtection="1">
      <alignment horizontal="left"/>
      <protection locked="0"/>
    </xf>
    <xf numFmtId="0" fontId="1" fillId="25" borderId="0" xfId="7827"/>
    <xf numFmtId="0" fontId="1" fillId="25" borderId="226" xfId="7827" applyBorder="1" applyAlignment="1">
      <alignment horizontal="right"/>
    </xf>
    <xf numFmtId="0" fontId="1" fillId="25" borderId="227" xfId="7827" applyBorder="1" applyAlignment="1">
      <alignment horizontal="right"/>
    </xf>
    <xf numFmtId="0" fontId="31" fillId="0" borderId="144" xfId="761" applyFont="1" applyBorder="1" applyAlignment="1" applyProtection="1">
      <alignment horizontal="left"/>
      <protection locked="0"/>
    </xf>
    <xf numFmtId="0" fontId="1" fillId="25" borderId="18" xfId="7827" applyBorder="1"/>
    <xf numFmtId="179" fontId="1" fillId="25" borderId="20" xfId="7827" applyNumberFormat="1" applyBorder="1" applyAlignment="1">
      <alignment horizontal="right"/>
    </xf>
    <xf numFmtId="179" fontId="1" fillId="25" borderId="21" xfId="7827" applyNumberFormat="1" applyBorder="1" applyAlignment="1">
      <alignment horizontal="right"/>
    </xf>
    <xf numFmtId="179" fontId="1" fillId="25" borderId="0" xfId="7827" applyNumberFormat="1" applyBorder="1" applyAlignment="1">
      <alignment horizontal="right"/>
    </xf>
    <xf numFmtId="179" fontId="1" fillId="25" borderId="22" xfId="7827" applyNumberFormat="1" applyBorder="1" applyAlignment="1">
      <alignment horizontal="right"/>
    </xf>
    <xf numFmtId="171" fontId="31" fillId="0" borderId="144" xfId="761" applyNumberFormat="1" applyFont="1" applyBorder="1" applyAlignment="1" applyProtection="1">
      <alignment horizontal="left" vertical="center"/>
      <protection locked="0"/>
    </xf>
    <xf numFmtId="0" fontId="31" fillId="0" borderId="144" xfId="761" applyFont="1" applyBorder="1" applyAlignment="1" applyProtection="1">
      <alignment horizontal="left" vertical="center"/>
      <protection locked="0"/>
    </xf>
    <xf numFmtId="171" fontId="31" fillId="0" borderId="6" xfId="761" applyNumberFormat="1" applyFont="1" applyBorder="1" applyAlignment="1" applyProtection="1">
      <alignment horizontal="left" vertical="center"/>
      <protection locked="0"/>
    </xf>
    <xf numFmtId="171" fontId="24" fillId="0" borderId="6" xfId="761" applyNumberFormat="1" applyFont="1" applyBorder="1" applyAlignment="1" applyProtection="1">
      <alignment horizontal="left"/>
      <protection locked="0"/>
    </xf>
    <xf numFmtId="179" fontId="24" fillId="0" borderId="6" xfId="761" applyNumberFormat="1" applyFont="1" applyBorder="1" applyAlignment="1" applyProtection="1">
      <alignment horizontal="right"/>
      <protection locked="0"/>
    </xf>
    <xf numFmtId="171" fontId="31" fillId="0" borderId="228" xfId="761" applyNumberFormat="1" applyFont="1" applyBorder="1" applyAlignment="1" applyProtection="1">
      <alignment horizontal="left" vertical="center"/>
      <protection locked="0"/>
    </xf>
    <xf numFmtId="171" fontId="24" fillId="0" borderId="228" xfId="761" applyNumberFormat="1" applyFont="1" applyBorder="1" applyAlignment="1" applyProtection="1">
      <alignment horizontal="left"/>
      <protection locked="0"/>
    </xf>
    <xf numFmtId="179" fontId="24" fillId="0" borderId="228" xfId="761" applyNumberFormat="1" applyFont="1" applyBorder="1" applyAlignment="1" applyProtection="1">
      <alignment horizontal="right"/>
      <protection locked="0"/>
    </xf>
    <xf numFmtId="0" fontId="31" fillId="0" borderId="228" xfId="761" applyFont="1" applyBorder="1" applyAlignment="1" applyProtection="1">
      <alignment horizontal="left" vertical="center"/>
      <protection locked="0"/>
    </xf>
    <xf numFmtId="171" fontId="19" fillId="0" borderId="0" xfId="761" applyNumberFormat="1" applyFont="1" applyAlignment="1" applyProtection="1">
      <alignment horizontal="center" vertical="center" wrapText="1"/>
      <protection locked="0"/>
    </xf>
    <xf numFmtId="0" fontId="31" fillId="0" borderId="0" xfId="761" applyFont="1" applyAlignment="1" applyProtection="1">
      <alignment horizontal="center"/>
      <protection locked="0"/>
    </xf>
    <xf numFmtId="179" fontId="1" fillId="25" borderId="226" xfId="7827" applyNumberFormat="1" applyBorder="1" applyAlignment="1">
      <alignment horizontal="right"/>
    </xf>
    <xf numFmtId="179" fontId="1" fillId="25" borderId="227" xfId="7827" applyNumberFormat="1" applyBorder="1" applyAlignment="1">
      <alignment horizontal="right"/>
    </xf>
    <xf numFmtId="0" fontId="8" fillId="0" borderId="0" xfId="761" applyAlignment="1">
      <alignment horizontal="right"/>
    </xf>
    <xf numFmtId="0" fontId="19" fillId="0" borderId="0" xfId="761" applyFont="1" applyAlignment="1">
      <alignment horizontal="left" indent="1"/>
    </xf>
    <xf numFmtId="0" fontId="24" fillId="0" borderId="18" xfId="761" applyFont="1" applyBorder="1" applyAlignment="1">
      <alignment vertical="center"/>
    </xf>
    <xf numFmtId="0" fontId="24" fillId="0" borderId="20" xfId="761" applyFont="1" applyBorder="1" applyAlignment="1">
      <alignment vertical="center"/>
    </xf>
    <xf numFmtId="2" fontId="8" fillId="0" borderId="20" xfId="761" applyNumberFormat="1" applyBorder="1" applyAlignment="1">
      <alignment horizontal="right"/>
    </xf>
    <xf numFmtId="2" fontId="8" fillId="0" borderId="21" xfId="761" applyNumberFormat="1" applyBorder="1" applyAlignment="1">
      <alignment horizontal="right"/>
    </xf>
    <xf numFmtId="0" fontId="24" fillId="0" borderId="19" xfId="761" applyFont="1" applyBorder="1" applyAlignment="1">
      <alignment vertical="center"/>
    </xf>
    <xf numFmtId="0" fontId="24" fillId="0" borderId="0" xfId="761" applyFont="1" applyAlignment="1">
      <alignment vertical="center"/>
    </xf>
    <xf numFmtId="2" fontId="8" fillId="0" borderId="0" xfId="761" applyNumberFormat="1" applyAlignment="1">
      <alignment horizontal="right"/>
    </xf>
    <xf numFmtId="2" fontId="8" fillId="0" borderId="22" xfId="761" applyNumberFormat="1" applyBorder="1" applyAlignment="1">
      <alignment horizontal="right"/>
    </xf>
    <xf numFmtId="0" fontId="24" fillId="0" borderId="115" xfId="761" applyFont="1" applyBorder="1" applyAlignment="1">
      <alignment vertical="center"/>
    </xf>
    <xf numFmtId="0" fontId="24" fillId="0" borderId="137" xfId="761" applyFont="1" applyBorder="1" applyAlignment="1">
      <alignment vertical="center"/>
    </xf>
    <xf numFmtId="2" fontId="8" fillId="0" borderId="137" xfId="761" applyNumberFormat="1" applyBorder="1" applyAlignment="1">
      <alignment horizontal="right"/>
    </xf>
    <xf numFmtId="2" fontId="8" fillId="0" borderId="114" xfId="761" applyNumberFormat="1" applyBorder="1" applyAlignment="1">
      <alignment horizontal="right"/>
    </xf>
    <xf numFmtId="0" fontId="8" fillId="0" borderId="61" xfId="761" applyBorder="1"/>
    <xf numFmtId="0" fontId="8" fillId="0" borderId="62" xfId="761" applyBorder="1"/>
    <xf numFmtId="167" fontId="8" fillId="0" borderId="62" xfId="1" applyNumberFormat="1" applyFont="1" applyFill="1" applyBorder="1"/>
    <xf numFmtId="166" fontId="8" fillId="0" borderId="63" xfId="1" applyNumberFormat="1" applyFont="1" applyFill="1" applyBorder="1"/>
    <xf numFmtId="0" fontId="8" fillId="0" borderId="64" xfId="761" applyBorder="1"/>
    <xf numFmtId="167" fontId="8" fillId="0" borderId="0" xfId="1" applyNumberFormat="1" applyFont="1" applyFill="1" applyBorder="1"/>
    <xf numFmtId="166" fontId="8" fillId="0" borderId="65" xfId="1" applyNumberFormat="1" applyFont="1" applyFill="1" applyBorder="1"/>
    <xf numFmtId="167" fontId="8" fillId="0" borderId="65" xfId="761" applyNumberFormat="1" applyBorder="1"/>
    <xf numFmtId="0" fontId="8" fillId="0" borderId="66" xfId="761" applyBorder="1"/>
    <xf numFmtId="0" fontId="8" fillId="0" borderId="67" xfId="761" applyBorder="1"/>
    <xf numFmtId="167" fontId="8" fillId="0" borderId="67" xfId="1" applyNumberFormat="1" applyFont="1" applyFill="1" applyBorder="1"/>
    <xf numFmtId="167" fontId="8" fillId="0" borderId="68" xfId="761" applyNumberFormat="1" applyBorder="1"/>
    <xf numFmtId="184" fontId="12" fillId="55" borderId="24" xfId="4" applyNumberFormat="1" applyFont="1" applyFill="1" applyBorder="1" applyAlignment="1">
      <alignment horizontal="center"/>
    </xf>
    <xf numFmtId="178" fontId="31" fillId="55" borderId="144" xfId="0" applyNumberFormat="1" applyFont="1" applyFill="1" applyBorder="1"/>
    <xf numFmtId="171" fontId="17" fillId="0" borderId="0" xfId="2" applyNumberFormat="1" applyFont="1"/>
    <xf numFmtId="0" fontId="140" fillId="0" borderId="0" xfId="0" quotePrefix="1" applyFont="1" applyAlignment="1">
      <alignment horizontal="right"/>
    </xf>
    <xf numFmtId="0" fontId="84" fillId="27" borderId="58" xfId="0" applyFont="1" applyFill="1" applyBorder="1" applyProtection="1">
      <protection locked="0"/>
    </xf>
    <xf numFmtId="0" fontId="12" fillId="57" borderId="0" xfId="0" applyFont="1" applyFill="1" applyProtection="1">
      <protection locked="0"/>
    </xf>
    <xf numFmtId="179" fontId="84" fillId="27" borderId="58" xfId="1" applyNumberFormat="1" applyFont="1" applyFill="1" applyBorder="1" applyProtection="1">
      <protection locked="0"/>
    </xf>
    <xf numFmtId="179" fontId="84" fillId="27" borderId="59" xfId="1" applyNumberFormat="1" applyFont="1" applyFill="1" applyBorder="1" applyProtection="1">
      <protection locked="0"/>
    </xf>
    <xf numFmtId="10" fontId="59" fillId="27" borderId="144" xfId="0" applyNumberFormat="1" applyFont="1" applyFill="1" applyBorder="1" applyAlignment="1" applyProtection="1">
      <alignment horizontal="center" vertical="top" wrapText="1"/>
      <protection locked="0"/>
    </xf>
    <xf numFmtId="10" fontId="59" fillId="27" borderId="144" xfId="0" applyNumberFormat="1" applyFont="1" applyFill="1" applyBorder="1" applyAlignment="1" applyProtection="1">
      <alignment horizontal="center"/>
      <protection locked="0"/>
    </xf>
    <xf numFmtId="0" fontId="59" fillId="32" borderId="1" xfId="0" applyFont="1" applyFill="1" applyBorder="1" applyAlignment="1" applyProtection="1">
      <alignment vertical="top" wrapText="1"/>
      <protection locked="0"/>
    </xf>
    <xf numFmtId="175" fontId="107" fillId="27" borderId="144" xfId="0" applyNumberFormat="1" applyFont="1" applyFill="1" applyBorder="1" applyAlignment="1" applyProtection="1">
      <alignment horizontal="center" vertical="center" wrapText="1"/>
      <protection locked="0"/>
    </xf>
    <xf numFmtId="0" fontId="23" fillId="57" borderId="0" xfId="0" applyFont="1" applyFill="1" applyAlignment="1" applyProtection="1">
      <alignment horizontal="center"/>
      <protection locked="0"/>
    </xf>
    <xf numFmtId="0" fontId="0" fillId="57" borderId="0" xfId="0" applyFill="1" applyProtection="1">
      <protection locked="0"/>
    </xf>
    <xf numFmtId="0" fontId="8" fillId="57" borderId="0" xfId="0" applyFont="1" applyFill="1" applyProtection="1">
      <protection locked="0"/>
    </xf>
    <xf numFmtId="0" fontId="13" fillId="0" borderId="204" xfId="0" applyFont="1" applyBorder="1"/>
    <xf numFmtId="0" fontId="13" fillId="0" borderId="205" xfId="0" applyFont="1" applyBorder="1" applyAlignment="1">
      <alignment horizontal="center"/>
    </xf>
    <xf numFmtId="0" fontId="13" fillId="0" borderId="206" xfId="0" applyFont="1" applyBorder="1"/>
    <xf numFmtId="0" fontId="140" fillId="0" borderId="15" xfId="0" applyFont="1" applyBorder="1"/>
    <xf numFmtId="0" fontId="140" fillId="0" borderId="16" xfId="0" applyFont="1" applyBorder="1"/>
    <xf numFmtId="0" fontId="140" fillId="0" borderId="0" xfId="0" applyFont="1"/>
    <xf numFmtId="0" fontId="140" fillId="0" borderId="58" xfId="0" applyFont="1" applyBorder="1"/>
    <xf numFmtId="0" fontId="140" fillId="0" borderId="12" xfId="0" applyFont="1" applyBorder="1"/>
    <xf numFmtId="0" fontId="140" fillId="0" borderId="59" xfId="0" applyFont="1" applyBorder="1"/>
    <xf numFmtId="0" fontId="8" fillId="0" borderId="10" xfId="0" applyFont="1" applyBorder="1"/>
    <xf numFmtId="0" fontId="140" fillId="0" borderId="9" xfId="0" applyFont="1" applyBorder="1" applyAlignment="1" applyProtection="1">
      <alignment horizontal="center"/>
      <protection locked="0"/>
    </xf>
    <xf numFmtId="0" fontId="140" fillId="0" borderId="10" xfId="0" quotePrefix="1" applyFont="1" applyBorder="1" applyAlignment="1" applyProtection="1">
      <alignment horizontal="center"/>
      <protection locked="0"/>
    </xf>
    <xf numFmtId="0" fontId="140" fillId="0" borderId="10" xfId="0" applyFont="1" applyBorder="1" applyAlignment="1" applyProtection="1">
      <alignment horizontal="center"/>
      <protection locked="0"/>
    </xf>
    <xf numFmtId="0" fontId="140" fillId="0" borderId="10" xfId="0" quotePrefix="1" applyFont="1" applyBorder="1" applyAlignment="1">
      <alignment horizontal="center"/>
    </xf>
    <xf numFmtId="0" fontId="140" fillId="0" borderId="10" xfId="0" applyFont="1" applyBorder="1" applyAlignment="1">
      <alignment horizontal="center"/>
    </xf>
    <xf numFmtId="0" fontId="44" fillId="0" borderId="0" xfId="0" applyFont="1"/>
    <xf numFmtId="170" fontId="101" fillId="27" borderId="184" xfId="4602" applyFont="1" applyFill="1" applyBorder="1" applyAlignment="1" applyProtection="1">
      <alignment horizontal="center" vertical="center"/>
      <protection locked="0"/>
    </xf>
    <xf numFmtId="170" fontId="101" fillId="27" borderId="143" xfId="4602" applyFont="1" applyFill="1" applyBorder="1" applyAlignment="1" applyProtection="1">
      <alignment horizontal="center" vertical="center"/>
      <protection locked="0"/>
    </xf>
    <xf numFmtId="0" fontId="13" fillId="0" borderId="9" xfId="0" applyFont="1" applyBorder="1" applyAlignment="1">
      <alignment horizontal="right"/>
    </xf>
    <xf numFmtId="0" fontId="13" fillId="0" borderId="10" xfId="0" applyFont="1" applyBorder="1" applyAlignment="1">
      <alignment horizontal="right"/>
    </xf>
    <xf numFmtId="164" fontId="12" fillId="0" borderId="3" xfId="2" applyFont="1" applyBorder="1" applyAlignment="1">
      <alignment horizontal="center" vertical="center"/>
    </xf>
    <xf numFmtId="171" fontId="8" fillId="0" borderId="0" xfId="4" applyFont="1" applyAlignment="1">
      <alignment horizontal="center"/>
    </xf>
    <xf numFmtId="182" fontId="14" fillId="0" borderId="1" xfId="2" applyNumberFormat="1" applyFont="1" applyBorder="1"/>
    <xf numFmtId="164" fontId="8" fillId="0" borderId="5" xfId="2" applyFont="1" applyBorder="1" applyAlignment="1">
      <alignment horizontal="right"/>
    </xf>
    <xf numFmtId="178" fontId="12" fillId="0" borderId="1" xfId="2" applyNumberFormat="1" applyFont="1" applyBorder="1"/>
    <xf numFmtId="178" fontId="12" fillId="0" borderId="5" xfId="2" applyNumberFormat="1" applyFont="1" applyBorder="1"/>
    <xf numFmtId="184" fontId="53" fillId="0" borderId="1" xfId="2" applyNumberFormat="1" applyFont="1" applyBorder="1"/>
    <xf numFmtId="179" fontId="12" fillId="0" borderId="229" xfId="2" applyNumberFormat="1" applyFont="1" applyBorder="1"/>
    <xf numFmtId="179" fontId="12" fillId="0" borderId="230" xfId="2" applyNumberFormat="1" applyFont="1" applyBorder="1"/>
    <xf numFmtId="179" fontId="12" fillId="0" borderId="230" xfId="2" applyNumberFormat="1" applyFont="1" applyBorder="1" applyAlignment="1">
      <alignment horizontal="right"/>
    </xf>
    <xf numFmtId="184" fontId="53" fillId="0" borderId="229" xfId="2" applyNumberFormat="1" applyFont="1" applyBorder="1"/>
    <xf numFmtId="184" fontId="53" fillId="0" borderId="230" xfId="2" applyNumberFormat="1" applyFont="1" applyBorder="1"/>
    <xf numFmtId="179" fontId="12" fillId="0" borderId="231" xfId="2" applyNumberFormat="1" applyFont="1" applyBorder="1"/>
    <xf numFmtId="182" fontId="14" fillId="0" borderId="232" xfId="2" applyNumberFormat="1" applyFont="1" applyBorder="1"/>
    <xf numFmtId="182" fontId="0" fillId="0" borderId="233" xfId="0" applyNumberFormat="1" applyBorder="1" applyAlignment="1">
      <alignment horizontal="right"/>
    </xf>
    <xf numFmtId="164" fontId="8" fillId="0" borderId="233" xfId="2" applyFont="1" applyBorder="1" applyAlignment="1">
      <alignment horizontal="right"/>
    </xf>
    <xf numFmtId="179" fontId="12" fillId="0" borderId="232" xfId="2" applyNumberFormat="1" applyFont="1" applyBorder="1"/>
    <xf numFmtId="179" fontId="12" fillId="0" borderId="233" xfId="2" applyNumberFormat="1" applyFont="1" applyBorder="1"/>
    <xf numFmtId="179" fontId="12" fillId="0" borderId="233" xfId="2" applyNumberFormat="1" applyFont="1" applyBorder="1" applyAlignment="1">
      <alignment horizontal="right"/>
    </xf>
    <xf numFmtId="184" fontId="12" fillId="0" borderId="232" xfId="2" applyNumberFormat="1" applyFont="1" applyBorder="1"/>
    <xf numFmtId="184" fontId="12" fillId="0" borderId="233" xfId="2" applyNumberFormat="1" applyFont="1" applyBorder="1"/>
    <xf numFmtId="178" fontId="12" fillId="0" borderId="232" xfId="2" applyNumberFormat="1" applyFont="1" applyBorder="1"/>
    <xf numFmtId="178" fontId="12" fillId="0" borderId="233" xfId="2" applyNumberFormat="1" applyFont="1" applyBorder="1"/>
    <xf numFmtId="178" fontId="12" fillId="0" borderId="234" xfId="2" applyNumberFormat="1" applyFont="1" applyBorder="1"/>
    <xf numFmtId="2" fontId="8" fillId="0" borderId="236" xfId="761" applyNumberFormat="1" applyBorder="1" applyAlignment="1">
      <alignment horizontal="right" vertical="center" wrapText="1"/>
    </xf>
    <xf numFmtId="2" fontId="8" fillId="0" borderId="235" xfId="761" applyNumberFormat="1" applyBorder="1" applyAlignment="1">
      <alignment horizontal="left" vertical="center" wrapText="1" indent="1"/>
    </xf>
    <xf numFmtId="2" fontId="8" fillId="55" borderId="237" xfId="761" applyNumberFormat="1" applyFill="1" applyBorder="1" applyAlignment="1">
      <alignment horizontal="left" vertical="center" wrapText="1" indent="1"/>
    </xf>
    <xf numFmtId="184" fontId="53" fillId="0" borderId="238" xfId="2" applyNumberFormat="1" applyFont="1" applyBorder="1"/>
    <xf numFmtId="169" fontId="8" fillId="57" borderId="0" xfId="4" applyNumberFormat="1" applyFont="1" applyFill="1"/>
    <xf numFmtId="184" fontId="12" fillId="0" borderId="239" xfId="2" applyNumberFormat="1" applyFont="1" applyBorder="1"/>
    <xf numFmtId="184" fontId="53" fillId="0" borderId="239" xfId="2" applyNumberFormat="1" applyFont="1" applyBorder="1"/>
    <xf numFmtId="184" fontId="12" fillId="0" borderId="240" xfId="2" applyNumberFormat="1" applyFont="1" applyBorder="1"/>
    <xf numFmtId="182" fontId="0" fillId="0" borderId="0" xfId="0" applyNumberFormat="1" applyAlignment="1">
      <alignment horizontal="right"/>
    </xf>
    <xf numFmtId="164" fontId="8" fillId="0" borderId="0" xfId="2" applyFont="1" applyAlignment="1">
      <alignment horizontal="right"/>
    </xf>
    <xf numFmtId="193" fontId="12" fillId="0" borderId="0" xfId="2" applyNumberFormat="1" applyFont="1"/>
    <xf numFmtId="191" fontId="53" fillId="0" borderId="0" xfId="2" applyNumberFormat="1" applyFont="1"/>
    <xf numFmtId="184" fontId="53" fillId="0" borderId="0" xfId="2" applyNumberFormat="1" applyFont="1"/>
    <xf numFmtId="1" fontId="11" fillId="63" borderId="96" xfId="4" applyNumberFormat="1" applyFont="1" applyFill="1" applyBorder="1" applyAlignment="1" applyProtection="1">
      <alignment horizontal="center"/>
      <protection locked="0"/>
    </xf>
    <xf numFmtId="175" fontId="11" fillId="63" borderId="109" xfId="1" applyNumberFormat="1" applyFont="1" applyFill="1" applyBorder="1" applyAlignment="1" applyProtection="1">
      <alignment horizontal="center"/>
      <protection locked="0"/>
    </xf>
    <xf numFmtId="180" fontId="14" fillId="63" borderId="109" xfId="4" applyNumberFormat="1" applyFont="1" applyFill="1" applyBorder="1" applyAlignment="1">
      <alignment horizontal="right"/>
    </xf>
    <xf numFmtId="180" fontId="12" fillId="63" borderId="97" xfId="4" applyNumberFormat="1" applyFont="1" applyFill="1" applyBorder="1"/>
    <xf numFmtId="171" fontId="12" fillId="63" borderId="0" xfId="4" applyFont="1" applyFill="1"/>
    <xf numFmtId="184" fontId="12" fillId="55" borderId="32" xfId="4" applyNumberFormat="1" applyFont="1" applyFill="1" applyBorder="1" applyAlignment="1">
      <alignment horizontal="center"/>
    </xf>
    <xf numFmtId="169" fontId="12" fillId="55" borderId="33" xfId="4" applyNumberFormat="1" applyFont="1" applyFill="1" applyBorder="1"/>
    <xf numFmtId="0" fontId="12" fillId="0" borderId="0" xfId="0" applyFont="1" applyAlignment="1">
      <alignment horizontal="left" vertical="top" wrapText="1"/>
    </xf>
    <xf numFmtId="49" fontId="11" fillId="58" borderId="52" xfId="4" applyNumberFormat="1" applyFont="1" applyFill="1" applyBorder="1" applyAlignment="1" applyProtection="1">
      <alignment horizontal="left" wrapText="1"/>
      <protection locked="0"/>
    </xf>
    <xf numFmtId="0" fontId="11" fillId="58" borderId="106" xfId="0" applyFont="1" applyFill="1" applyBorder="1" applyAlignment="1">
      <alignment horizontal="left" wrapText="1"/>
    </xf>
    <xf numFmtId="171" fontId="12" fillId="0" borderId="221" xfId="4" applyFont="1" applyBorder="1" applyAlignment="1">
      <alignment horizontal="center"/>
    </xf>
    <xf numFmtId="171" fontId="12" fillId="0" borderId="97" xfId="4" applyFont="1" applyBorder="1" applyAlignment="1">
      <alignment horizontal="center"/>
    </xf>
    <xf numFmtId="171" fontId="12" fillId="0" borderId="99" xfId="4" applyFont="1" applyBorder="1" applyAlignment="1">
      <alignment horizontal="center"/>
    </xf>
    <xf numFmtId="0" fontId="0" fillId="0" borderId="100" xfId="0" applyBorder="1"/>
    <xf numFmtId="49" fontId="11" fillId="59" borderId="52" xfId="4" applyNumberFormat="1" applyFont="1" applyFill="1" applyBorder="1" applyAlignment="1" applyProtection="1">
      <alignment horizontal="left" wrapText="1"/>
      <protection locked="0"/>
    </xf>
    <xf numFmtId="0" fontId="11" fillId="59" borderId="106" xfId="0" applyFont="1" applyFill="1" applyBorder="1" applyAlignment="1">
      <alignment horizontal="left" wrapText="1"/>
    </xf>
    <xf numFmtId="171" fontId="13" fillId="0" borderId="0" xfId="4" quotePrefix="1" applyFont="1" applyAlignment="1">
      <alignment horizontal="left"/>
    </xf>
    <xf numFmtId="0" fontId="0" fillId="0" borderId="0" xfId="0"/>
    <xf numFmtId="0" fontId="12" fillId="0" borderId="0" xfId="0" applyFont="1"/>
    <xf numFmtId="0" fontId="8" fillId="0" borderId="0" xfId="0" applyFont="1"/>
    <xf numFmtId="0" fontId="7" fillId="27" borderId="115" xfId="0" applyFont="1" applyFill="1" applyBorder="1"/>
    <xf numFmtId="0" fontId="7" fillId="27" borderId="137" xfId="0" applyFont="1" applyFill="1" applyBorder="1"/>
    <xf numFmtId="2" fontId="8" fillId="0" borderId="40" xfId="4" applyNumberFormat="1" applyFont="1" applyBorder="1" applyAlignment="1">
      <alignment horizontal="center" vertical="center" textRotation="90"/>
    </xf>
    <xf numFmtId="2" fontId="8" fillId="0" borderId="110" xfId="0" applyNumberFormat="1" applyFont="1" applyBorder="1" applyAlignment="1">
      <alignment horizontal="center" vertical="center" textRotation="90"/>
    </xf>
    <xf numFmtId="171" fontId="8" fillId="0" borderId="60" xfId="4" applyFont="1" applyBorder="1" applyAlignment="1">
      <alignment horizontal="center" vertical="center"/>
    </xf>
    <xf numFmtId="0" fontId="8" fillId="0" borderId="87" xfId="0" applyFont="1" applyBorder="1" applyAlignment="1">
      <alignment vertical="center"/>
    </xf>
    <xf numFmtId="0" fontId="8" fillId="0" borderId="5" xfId="0" applyFont="1" applyBorder="1" applyAlignment="1">
      <alignment vertical="center"/>
    </xf>
    <xf numFmtId="0" fontId="8" fillId="0" borderId="111" xfId="0" applyFont="1" applyBorder="1" applyAlignment="1">
      <alignment vertical="center"/>
    </xf>
    <xf numFmtId="49" fontId="32" fillId="0" borderId="113" xfId="4" applyNumberFormat="1" applyFont="1" applyBorder="1" applyAlignment="1" applyProtection="1">
      <alignment horizontal="right" wrapText="1"/>
      <protection locked="0"/>
    </xf>
    <xf numFmtId="0" fontId="32" fillId="0" borderId="114" xfId="0" applyFont="1" applyBorder="1" applyAlignment="1">
      <alignment horizontal="right" wrapText="1"/>
    </xf>
    <xf numFmtId="49" fontId="11" fillId="12" borderId="52" xfId="4" applyNumberFormat="1" applyFont="1" applyFill="1" applyBorder="1" applyAlignment="1" applyProtection="1">
      <alignment horizontal="left" wrapText="1"/>
      <protection locked="0"/>
    </xf>
    <xf numFmtId="0" fontId="11" fillId="12" borderId="106" xfId="0" applyFont="1" applyFill="1" applyBorder="1" applyAlignment="1">
      <alignment horizontal="left" wrapText="1"/>
    </xf>
    <xf numFmtId="49" fontId="11" fillId="0" borderId="82" xfId="4" applyNumberFormat="1" applyFont="1" applyBorder="1" applyAlignment="1" applyProtection="1">
      <alignment horizontal="left" wrapText="1"/>
      <protection locked="0"/>
    </xf>
    <xf numFmtId="0" fontId="11" fillId="0" borderId="105" xfId="0" applyFont="1" applyBorder="1" applyAlignment="1">
      <alignment horizontal="left" wrapText="1"/>
    </xf>
    <xf numFmtId="0" fontId="88" fillId="0" borderId="0" xfId="761" applyFont="1" applyAlignment="1">
      <alignment horizontal="left" vertical="top" wrapText="1"/>
    </xf>
    <xf numFmtId="0" fontId="88" fillId="0" borderId="0" xfId="761" applyFont="1" applyAlignment="1">
      <alignment vertical="top" wrapText="1"/>
    </xf>
    <xf numFmtId="49" fontId="87" fillId="11" borderId="0" xfId="761" applyNumberFormat="1" applyFont="1" applyFill="1" applyAlignment="1">
      <alignment horizontal="right"/>
    </xf>
    <xf numFmtId="0" fontId="97" fillId="0" borderId="0" xfId="761" applyFont="1" applyAlignment="1">
      <alignment horizontal="left" wrapText="1"/>
    </xf>
    <xf numFmtId="0" fontId="88" fillId="0" borderId="0" xfId="761" applyFont="1" applyAlignment="1">
      <alignment horizontal="left" wrapText="1"/>
    </xf>
    <xf numFmtId="49" fontId="43" fillId="11" borderId="0" xfId="0" applyNumberFormat="1" applyFont="1" applyFill="1" applyAlignment="1">
      <alignment horizontal="right"/>
    </xf>
    <xf numFmtId="0" fontId="43" fillId="11" borderId="0" xfId="0" applyFont="1" applyFill="1" applyAlignment="1">
      <alignment horizontal="right"/>
    </xf>
    <xf numFmtId="0" fontId="8" fillId="0" borderId="0" xfId="0" quotePrefix="1" applyFont="1" applyAlignment="1">
      <alignment horizontal="left" vertical="top" wrapText="1"/>
    </xf>
    <xf numFmtId="0" fontId="0" fillId="0" borderId="0" xfId="0" applyAlignment="1">
      <alignment vertical="top"/>
    </xf>
    <xf numFmtId="0" fontId="23" fillId="0" borderId="15" xfId="0" applyFont="1" applyBorder="1" applyAlignment="1">
      <alignment horizontal="center" vertical="center"/>
    </xf>
    <xf numFmtId="0" fontId="55" fillId="0" borderId="0" xfId="3" applyFont="1" applyAlignment="1">
      <alignment horizontal="left"/>
    </xf>
    <xf numFmtId="0" fontId="84" fillId="27" borderId="15" xfId="0" applyFont="1" applyFill="1" applyBorder="1" applyProtection="1">
      <protection locked="0"/>
    </xf>
    <xf numFmtId="0" fontId="84" fillId="27" borderId="16" xfId="0" applyFont="1" applyFill="1" applyBorder="1" applyProtection="1">
      <protection locked="0"/>
    </xf>
    <xf numFmtId="49" fontId="86" fillId="27" borderId="0" xfId="0" applyNumberFormat="1" applyFont="1" applyFill="1" applyAlignment="1" applyProtection="1">
      <alignment horizontal="left"/>
      <protection locked="0"/>
    </xf>
    <xf numFmtId="49" fontId="86" fillId="27" borderId="58" xfId="0" applyNumberFormat="1" applyFont="1" applyFill="1" applyBorder="1" applyAlignment="1" applyProtection="1">
      <alignment horizontal="left"/>
      <protection locked="0"/>
    </xf>
    <xf numFmtId="0" fontId="84" fillId="27" borderId="0" xfId="0" applyFont="1" applyFill="1" applyProtection="1">
      <protection locked="0"/>
    </xf>
    <xf numFmtId="0" fontId="84" fillId="27" borderId="58" xfId="0" applyFont="1" applyFill="1" applyBorder="1" applyProtection="1">
      <protection locked="0"/>
    </xf>
    <xf numFmtId="14" fontId="84" fillId="27" borderId="0" xfId="0" applyNumberFormat="1" applyFont="1" applyFill="1" applyAlignment="1" applyProtection="1">
      <alignment horizontal="left"/>
      <protection locked="0"/>
    </xf>
    <xf numFmtId="0" fontId="84" fillId="27" borderId="0" xfId="0" applyFont="1" applyFill="1" applyAlignment="1" applyProtection="1">
      <alignment horizontal="left"/>
      <protection locked="0"/>
    </xf>
    <xf numFmtId="0" fontId="84" fillId="0" borderId="0" xfId="0" applyFont="1" applyAlignment="1" applyProtection="1">
      <alignment horizontal="left"/>
      <protection locked="0"/>
    </xf>
    <xf numFmtId="0" fontId="84" fillId="0" borderId="58" xfId="0" applyFont="1" applyBorder="1" applyAlignment="1" applyProtection="1">
      <alignment horizontal="left"/>
      <protection locked="0"/>
    </xf>
    <xf numFmtId="0" fontId="84" fillId="27" borderId="58" xfId="0" applyFont="1" applyFill="1" applyBorder="1" applyAlignment="1" applyProtection="1">
      <alignment horizontal="left"/>
      <protection locked="0"/>
    </xf>
    <xf numFmtId="0" fontId="11" fillId="0" borderId="0" xfId="0" applyFont="1"/>
    <xf numFmtId="0" fontId="8" fillId="0" borderId="51" xfId="0" applyFont="1" applyBorder="1"/>
    <xf numFmtId="0" fontId="8" fillId="0" borderId="50" xfId="0" applyFont="1" applyBorder="1"/>
    <xf numFmtId="0" fontId="8" fillId="0" borderId="49" xfId="0" applyFont="1" applyBorder="1"/>
    <xf numFmtId="0" fontId="55" fillId="0" borderId="12" xfId="3" applyFont="1" applyBorder="1" applyAlignment="1">
      <alignment horizontal="left"/>
    </xf>
    <xf numFmtId="0" fontId="7" fillId="62" borderId="0" xfId="0" applyFont="1" applyFill="1" applyAlignment="1">
      <alignment horizontal="left" vertical="top" wrapText="1"/>
    </xf>
    <xf numFmtId="0" fontId="48" fillId="0" borderId="0" xfId="3" applyFont="1" applyAlignment="1" applyProtection="1">
      <alignment horizontal="left"/>
      <protection locked="0"/>
    </xf>
    <xf numFmtId="0" fontId="12" fillId="0" borderId="50" xfId="0" applyFont="1" applyBorder="1"/>
    <xf numFmtId="0" fontId="12" fillId="0" borderId="49" xfId="0" applyFont="1" applyBorder="1"/>
    <xf numFmtId="0" fontId="8" fillId="0" borderId="51" xfId="0" quotePrefix="1" applyFont="1" applyBorder="1" applyAlignment="1">
      <alignment horizontal="left"/>
    </xf>
    <xf numFmtId="0" fontId="8" fillId="0" borderId="50" xfId="0" quotePrefix="1" applyFont="1" applyBorder="1" applyAlignment="1">
      <alignment horizontal="left"/>
    </xf>
    <xf numFmtId="0" fontId="8" fillId="0" borderId="49" xfId="0" quotePrefix="1" applyFont="1" applyBorder="1" applyAlignment="1">
      <alignment horizontal="left"/>
    </xf>
    <xf numFmtId="49" fontId="111" fillId="0" borderId="15" xfId="0" applyNumberFormat="1" applyFont="1" applyBorder="1" applyProtection="1">
      <protection locked="0"/>
    </xf>
    <xf numFmtId="49" fontId="111" fillId="0" borderId="16" xfId="0" applyNumberFormat="1" applyFont="1" applyBorder="1" applyProtection="1">
      <protection locked="0"/>
    </xf>
    <xf numFmtId="0" fontId="111" fillId="0" borderId="0" xfId="0" applyFont="1" applyAlignment="1">
      <alignment horizontal="left"/>
    </xf>
    <xf numFmtId="0" fontId="111" fillId="0" borderId="58" xfId="0" applyFont="1" applyBorder="1" applyAlignment="1">
      <alignment horizontal="left"/>
    </xf>
    <xf numFmtId="0" fontId="111" fillId="0" borderId="10" xfId="0" applyFont="1" applyBorder="1" applyAlignment="1">
      <alignment horizontal="center"/>
    </xf>
    <xf numFmtId="0" fontId="111" fillId="0" borderId="0" xfId="0" applyFont="1" applyAlignment="1">
      <alignment horizontal="center"/>
    </xf>
    <xf numFmtId="0" fontId="111" fillId="0" borderId="58" xfId="0" applyFont="1" applyBorder="1" applyAlignment="1">
      <alignment horizontal="center"/>
    </xf>
    <xf numFmtId="14" fontId="111" fillId="0" borderId="0" xfId="0" applyNumberFormat="1" applyFont="1" applyAlignment="1" applyProtection="1">
      <alignment horizontal="left"/>
      <protection locked="0"/>
    </xf>
    <xf numFmtId="14" fontId="111" fillId="0" borderId="58" xfId="0" applyNumberFormat="1" applyFont="1" applyBorder="1" applyAlignment="1" applyProtection="1">
      <alignment horizontal="left"/>
      <protection locked="0"/>
    </xf>
    <xf numFmtId="49" fontId="111" fillId="0" borderId="0" xfId="0" applyNumberFormat="1" applyFont="1"/>
    <xf numFmtId="49" fontId="111" fillId="0" borderId="58" xfId="0" applyNumberFormat="1" applyFont="1" applyBorder="1"/>
    <xf numFmtId="49" fontId="111" fillId="0" borderId="0" xfId="0" applyNumberFormat="1" applyFont="1" applyProtection="1">
      <protection locked="0"/>
    </xf>
    <xf numFmtId="49" fontId="111" fillId="0" borderId="58" xfId="0" applyNumberFormat="1" applyFont="1" applyBorder="1" applyProtection="1">
      <protection locked="0"/>
    </xf>
    <xf numFmtId="0" fontId="8" fillId="0" borderId="76" xfId="0" applyFont="1" applyBorder="1"/>
    <xf numFmtId="0" fontId="12" fillId="0" borderId="1" xfId="0" applyFont="1" applyBorder="1"/>
    <xf numFmtId="0" fontId="0" fillId="0" borderId="1" xfId="0" applyBorder="1"/>
    <xf numFmtId="164" fontId="12" fillId="0" borderId="2" xfId="2" applyFont="1" applyBorder="1" applyAlignment="1">
      <alignment horizontal="center" vertical="center"/>
    </xf>
    <xf numFmtId="164" fontId="12" fillId="0" borderId="17" xfId="2" applyFont="1" applyBorder="1" applyAlignment="1">
      <alignment horizontal="center" vertical="center"/>
    </xf>
    <xf numFmtId="0" fontId="8" fillId="0" borderId="10" xfId="0" applyFont="1" applyBorder="1"/>
    <xf numFmtId="164" fontId="12" fillId="0" borderId="3" xfId="2" applyFont="1" applyBorder="1" applyAlignment="1">
      <alignment horizontal="center" vertical="center"/>
    </xf>
    <xf numFmtId="164" fontId="12" fillId="0" borderId="4" xfId="2" applyFont="1" applyBorder="1" applyAlignment="1">
      <alignment horizontal="center" vertical="center"/>
    </xf>
    <xf numFmtId="164" fontId="8" fillId="0" borderId="3" xfId="2" applyFont="1" applyBorder="1" applyAlignment="1">
      <alignment horizontal="center" vertical="center"/>
    </xf>
    <xf numFmtId="164" fontId="8" fillId="0" borderId="4" xfId="2" applyFont="1" applyBorder="1" applyAlignment="1">
      <alignment horizontal="center" vertical="center"/>
    </xf>
    <xf numFmtId="0" fontId="13" fillId="38" borderId="9" xfId="0" applyFont="1" applyFill="1" applyBorder="1" applyAlignment="1">
      <alignment horizontal="center" vertical="center"/>
    </xf>
    <xf numFmtId="0" fontId="13" fillId="38" borderId="15" xfId="0" applyFont="1" applyFill="1" applyBorder="1" applyAlignment="1">
      <alignment horizontal="center" vertical="center"/>
    </xf>
    <xf numFmtId="0" fontId="0" fillId="38" borderId="16" xfId="0" applyFill="1" applyBorder="1" applyAlignment="1">
      <alignment horizontal="center" vertical="center"/>
    </xf>
    <xf numFmtId="0" fontId="13" fillId="38" borderId="74" xfId="0" applyFont="1" applyFill="1" applyBorder="1" applyAlignment="1">
      <alignment horizontal="center" vertical="center"/>
    </xf>
    <xf numFmtId="0" fontId="13" fillId="38" borderId="5" xfId="0" applyFont="1" applyFill="1" applyBorder="1" applyAlignment="1">
      <alignment horizontal="center" vertical="center"/>
    </xf>
    <xf numFmtId="0" fontId="0" fillId="38" borderId="75" xfId="0" applyFill="1" applyBorder="1" applyAlignment="1">
      <alignment horizontal="center" vertical="center"/>
    </xf>
    <xf numFmtId="0" fontId="13" fillId="38" borderId="72" xfId="0" applyFont="1" applyFill="1" applyBorder="1" applyAlignment="1">
      <alignment horizontal="center" vertical="center"/>
    </xf>
    <xf numFmtId="0" fontId="13" fillId="38" borderId="73" xfId="0" applyFont="1" applyFill="1" applyBorder="1" applyAlignment="1">
      <alignment horizontal="center" vertical="center"/>
    </xf>
    <xf numFmtId="0" fontId="13" fillId="38" borderId="77" xfId="0" applyFont="1" applyFill="1" applyBorder="1" applyAlignment="1">
      <alignment horizontal="center"/>
    </xf>
    <xf numFmtId="0" fontId="0" fillId="38" borderId="44" xfId="0" applyFill="1" applyBorder="1" applyAlignment="1">
      <alignment horizontal="center"/>
    </xf>
    <xf numFmtId="0" fontId="13" fillId="38" borderId="44" xfId="0" applyFont="1" applyFill="1" applyBorder="1" applyAlignment="1">
      <alignment horizontal="center"/>
    </xf>
    <xf numFmtId="0" fontId="23" fillId="38" borderId="23" xfId="0" applyFont="1" applyFill="1" applyBorder="1" applyAlignment="1">
      <alignment horizontal="center" vertical="center" wrapText="1"/>
    </xf>
    <xf numFmtId="0" fontId="23" fillId="38" borderId="26" xfId="0" applyFont="1" applyFill="1" applyBorder="1" applyAlignment="1">
      <alignment horizontal="center" vertical="center" wrapText="1"/>
    </xf>
    <xf numFmtId="0" fontId="12" fillId="0" borderId="10" xfId="0" applyFont="1" applyBorder="1"/>
    <xf numFmtId="164" fontId="12" fillId="0" borderId="3" xfId="2" applyFont="1" applyBorder="1" applyAlignment="1">
      <alignment horizontal="center"/>
    </xf>
    <xf numFmtId="164" fontId="12" fillId="0" borderId="4" xfId="2" applyFont="1" applyBorder="1" applyAlignment="1">
      <alignment horizontal="center"/>
    </xf>
    <xf numFmtId="0" fontId="13" fillId="0" borderId="174" xfId="0" applyFont="1" applyBorder="1"/>
    <xf numFmtId="0" fontId="13" fillId="0" borderId="175" xfId="0" applyFont="1" applyBorder="1"/>
    <xf numFmtId="164" fontId="13" fillId="0" borderId="177" xfId="0" applyNumberFormat="1" applyFont="1" applyBorder="1" applyAlignment="1">
      <alignment horizontal="center" vertical="center"/>
    </xf>
    <xf numFmtId="0" fontId="12" fillId="0" borderId="178" xfId="0" applyFont="1" applyBorder="1" applyAlignment="1">
      <alignment horizontal="center" vertical="center"/>
    </xf>
    <xf numFmtId="164" fontId="13" fillId="0" borderId="178" xfId="0" applyNumberFormat="1" applyFont="1" applyBorder="1" applyAlignment="1">
      <alignment horizontal="center" vertical="center"/>
    </xf>
    <xf numFmtId="0" fontId="8" fillId="0" borderId="58" xfId="0" applyFont="1" applyBorder="1"/>
    <xf numFmtId="0" fontId="13" fillId="0" borderId="80" xfId="0" applyFont="1" applyBorder="1"/>
    <xf numFmtId="0" fontId="13" fillId="0" borderId="81" xfId="0" applyFont="1" applyBorder="1"/>
    <xf numFmtId="0" fontId="0" fillId="0" borderId="81" xfId="0" applyBorder="1"/>
    <xf numFmtId="164" fontId="13" fillId="0" borderId="79" xfId="2" applyFont="1" applyBorder="1" applyAlignment="1">
      <alignment horizontal="center" vertical="center"/>
    </xf>
    <xf numFmtId="0" fontId="12" fillId="0" borderId="36" xfId="0" applyFont="1" applyBorder="1" applyAlignment="1">
      <alignment horizontal="center" vertical="center"/>
    </xf>
    <xf numFmtId="0" fontId="12" fillId="0" borderId="4" xfId="0" applyFont="1" applyBorder="1" applyAlignment="1">
      <alignment horizontal="center" vertical="center"/>
    </xf>
    <xf numFmtId="0" fontId="8" fillId="0" borderId="187" xfId="0" applyFont="1" applyBorder="1"/>
    <xf numFmtId="0" fontId="8" fillId="0" borderId="188" xfId="0" applyFont="1" applyBorder="1"/>
    <xf numFmtId="0" fontId="8" fillId="0" borderId="189" xfId="0" applyFont="1" applyBorder="1"/>
    <xf numFmtId="164" fontId="8" fillId="0" borderId="3" xfId="2" applyFont="1" applyBorder="1" applyAlignment="1">
      <alignment horizontal="center" vertical="center" wrapText="1"/>
    </xf>
    <xf numFmtId="0" fontId="13" fillId="0" borderId="179" xfId="0" applyFont="1" applyBorder="1"/>
    <xf numFmtId="164" fontId="12" fillId="0" borderId="190" xfId="2" applyFont="1" applyBorder="1" applyAlignment="1">
      <alignment horizontal="center" vertical="center"/>
    </xf>
    <xf numFmtId="164" fontId="12" fillId="0" borderId="191" xfId="2" applyFont="1" applyBorder="1" applyAlignment="1">
      <alignment horizontal="center" vertical="center"/>
    </xf>
    <xf numFmtId="164" fontId="12" fillId="0" borderId="192" xfId="2" applyFont="1" applyBorder="1" applyAlignment="1">
      <alignment horizontal="center" vertical="center"/>
    </xf>
    <xf numFmtId="164" fontId="12" fillId="0" borderId="193" xfId="2" applyFont="1" applyBorder="1" applyAlignment="1">
      <alignment horizontal="center" vertical="center"/>
    </xf>
    <xf numFmtId="164" fontId="13" fillId="0" borderId="36" xfId="2" applyFont="1" applyBorder="1" applyAlignment="1">
      <alignment horizontal="center" vertical="center"/>
    </xf>
    <xf numFmtId="164" fontId="13" fillId="0" borderId="78" xfId="0" applyNumberFormat="1" applyFont="1" applyBorder="1" applyAlignment="1">
      <alignment horizontal="center" vertical="center"/>
    </xf>
    <xf numFmtId="0" fontId="12" fillId="0" borderId="69" xfId="0" applyFont="1" applyBorder="1" applyAlignment="1">
      <alignment horizontal="center" vertical="center"/>
    </xf>
    <xf numFmtId="164" fontId="13" fillId="0" borderId="69" xfId="0" applyNumberFormat="1" applyFont="1" applyBorder="1" applyAlignment="1">
      <alignment horizontal="center" vertical="center"/>
    </xf>
    <xf numFmtId="164" fontId="12" fillId="57" borderId="0" xfId="2" applyFont="1" applyFill="1" applyAlignment="1">
      <alignment wrapText="1"/>
    </xf>
    <xf numFmtId="164" fontId="12" fillId="0" borderId="1" xfId="2" applyFont="1" applyBorder="1" applyAlignment="1">
      <alignment horizontal="center"/>
    </xf>
    <xf numFmtId="0" fontId="0" fillId="0" borderId="17" xfId="0" applyBorder="1" applyAlignment="1">
      <alignment horizontal="center"/>
    </xf>
    <xf numFmtId="182" fontId="17" fillId="0" borderId="3" xfId="2" applyNumberFormat="1" applyFont="1" applyBorder="1" applyAlignment="1">
      <alignment horizontal="right"/>
    </xf>
    <xf numFmtId="182" fontId="0" fillId="0" borderId="4" xfId="0" applyNumberFormat="1" applyBorder="1" applyAlignment="1">
      <alignment horizontal="right"/>
    </xf>
    <xf numFmtId="0" fontId="17" fillId="0" borderId="5" xfId="2" applyNumberFormat="1" applyFont="1" applyBorder="1" applyAlignment="1">
      <alignment horizontal="left" vertical="top" wrapText="1"/>
    </xf>
    <xf numFmtId="0" fontId="12" fillId="0" borderId="5" xfId="0" applyFont="1" applyBorder="1" applyAlignment="1">
      <alignment horizontal="left" vertical="top" wrapText="1"/>
    </xf>
    <xf numFmtId="164" fontId="12" fillId="0" borderId="0" xfId="2" quotePrefix="1" applyFont="1" applyAlignment="1">
      <alignment horizontal="center"/>
    </xf>
    <xf numFmtId="0" fontId="0" fillId="0" borderId="4" xfId="0" applyBorder="1" applyAlignment="1">
      <alignment horizontal="center"/>
    </xf>
    <xf numFmtId="164" fontId="12" fillId="0" borderId="1" xfId="2" applyFont="1" applyBorder="1" applyAlignment="1">
      <alignment horizontal="right"/>
    </xf>
    <xf numFmtId="0" fontId="0" fillId="0" borderId="17" xfId="0" applyBorder="1"/>
    <xf numFmtId="164" fontId="17" fillId="0" borderId="0" xfId="2" applyFont="1"/>
    <xf numFmtId="0" fontId="0" fillId="0" borderId="4" xfId="0" applyBorder="1"/>
    <xf numFmtId="164" fontId="33" fillId="0" borderId="5" xfId="2" applyFont="1" applyBorder="1" applyAlignment="1">
      <alignment horizontal="right"/>
    </xf>
    <xf numFmtId="0" fontId="13" fillId="0" borderId="26" xfId="0" applyFont="1" applyBorder="1"/>
    <xf numFmtId="164" fontId="12" fillId="0" borderId="0" xfId="2" applyFont="1" applyAlignment="1">
      <alignment horizontal="left"/>
    </xf>
    <xf numFmtId="0" fontId="12" fillId="0" borderId="4" xfId="0" applyFont="1" applyBorder="1"/>
    <xf numFmtId="164" fontId="8" fillId="0" borderId="0" xfId="2" applyFont="1" applyAlignment="1">
      <alignment horizontal="left"/>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23" xfId="0" applyBorder="1" applyAlignment="1">
      <alignment horizontal="center" vertical="center" textRotation="90"/>
    </xf>
    <xf numFmtId="164" fontId="8" fillId="0" borderId="1" xfId="2" applyFont="1" applyBorder="1" applyAlignment="1">
      <alignment horizontal="left"/>
    </xf>
    <xf numFmtId="182" fontId="15" fillId="0" borderId="0" xfId="2" applyNumberFormat="1" applyFont="1" applyAlignment="1">
      <alignment horizontal="left"/>
    </xf>
    <xf numFmtId="173" fontId="17" fillId="0" borderId="3" xfId="2" applyNumberFormat="1" applyFont="1" applyBorder="1" applyAlignment="1">
      <alignment horizontal="center" vertical="center" textRotation="90"/>
    </xf>
    <xf numFmtId="164" fontId="33" fillId="0" borderId="0" xfId="2" applyFont="1" applyAlignment="1">
      <alignment horizontal="right"/>
    </xf>
    <xf numFmtId="0" fontId="13" fillId="0" borderId="4" xfId="0" applyFont="1" applyBorder="1"/>
    <xf numFmtId="164" fontId="19" fillId="0" borderId="0" xfId="2" applyFont="1" applyAlignment="1">
      <alignment horizontal="right"/>
    </xf>
    <xf numFmtId="0" fontId="0" fillId="0" borderId="0" xfId="0" applyAlignment="1">
      <alignment horizontal="right"/>
    </xf>
    <xf numFmtId="174" fontId="15" fillId="0" borderId="0" xfId="2" applyNumberFormat="1" applyFont="1" applyAlignment="1">
      <alignment horizontal="left"/>
    </xf>
    <xf numFmtId="0" fontId="8" fillId="0" borderId="3" xfId="0" applyFont="1" applyBorder="1" applyAlignment="1">
      <alignment horizontal="center" vertical="center" textRotation="90"/>
    </xf>
    <xf numFmtId="164" fontId="12" fillId="0" borderId="5" xfId="2" applyFont="1" applyBorder="1" applyAlignment="1">
      <alignment horizontal="right"/>
    </xf>
    <xf numFmtId="0" fontId="0" fillId="0" borderId="26" xfId="0" applyBorder="1"/>
    <xf numFmtId="164" fontId="17" fillId="0" borderId="3" xfId="2" applyFont="1" applyBorder="1" applyAlignment="1">
      <alignment horizontal="center" vertical="center" textRotation="90"/>
    </xf>
    <xf numFmtId="164" fontId="13" fillId="0" borderId="5" xfId="2" applyFont="1" applyBorder="1" applyAlignment="1">
      <alignment horizontal="right"/>
    </xf>
    <xf numFmtId="164" fontId="17" fillId="0" borderId="2" xfId="2" applyFont="1" applyBorder="1" applyAlignment="1">
      <alignment horizontal="center" vertical="center" textRotation="90"/>
    </xf>
    <xf numFmtId="0" fontId="8" fillId="0" borderId="0" xfId="0" applyFont="1" applyAlignment="1">
      <alignment horizontal="left"/>
    </xf>
    <xf numFmtId="0" fontId="12" fillId="0" borderId="0" xfId="0" applyFont="1" applyAlignment="1">
      <alignment horizontal="left"/>
    </xf>
    <xf numFmtId="0" fontId="12" fillId="0" borderId="1" xfId="0" applyFont="1" applyBorder="1" applyAlignment="1">
      <alignment horizontal="left"/>
    </xf>
    <xf numFmtId="0" fontId="72" fillId="31" borderId="0" xfId="4609" applyFont="1" applyFill="1" applyAlignment="1">
      <alignment horizontal="center" vertical="center" wrapText="1"/>
    </xf>
    <xf numFmtId="0" fontId="85" fillId="29" borderId="0" xfId="4609" applyFont="1" applyFill="1" applyAlignment="1">
      <alignment horizontal="center"/>
    </xf>
    <xf numFmtId="188" fontId="66" fillId="28" borderId="134" xfId="4602" applyNumberFormat="1" applyFont="1" applyFill="1" applyBorder="1" applyAlignment="1" applyProtection="1">
      <alignment horizontal="center"/>
    </xf>
    <xf numFmtId="188" fontId="66" fillId="28" borderId="135" xfId="4602" applyNumberFormat="1" applyFont="1" applyFill="1" applyBorder="1" applyAlignment="1" applyProtection="1">
      <alignment horizontal="center"/>
    </xf>
    <xf numFmtId="188" fontId="66" fillId="28" borderId="136" xfId="4602" applyNumberFormat="1" applyFont="1" applyFill="1" applyBorder="1" applyAlignment="1" applyProtection="1">
      <alignment horizontal="center"/>
    </xf>
    <xf numFmtId="9" fontId="66" fillId="30" borderId="51" xfId="5" applyFont="1" applyFill="1" applyBorder="1" applyAlignment="1" applyProtection="1">
      <alignment horizontal="left"/>
    </xf>
    <xf numFmtId="9" fontId="66" fillId="30" borderId="49" xfId="5" applyFont="1" applyFill="1" applyBorder="1" applyAlignment="1" applyProtection="1">
      <alignment horizontal="left"/>
    </xf>
    <xf numFmtId="170" fontId="101" fillId="27" borderId="40" xfId="4602" applyFont="1" applyFill="1" applyBorder="1" applyAlignment="1" applyProtection="1">
      <alignment horizontal="left" vertical="top"/>
      <protection locked="0"/>
    </xf>
    <xf numFmtId="170" fontId="101" fillId="27" borderId="60" xfId="4602" applyFont="1" applyFill="1" applyBorder="1" applyAlignment="1" applyProtection="1">
      <alignment horizontal="left" vertical="top"/>
      <protection locked="0"/>
    </xf>
    <xf numFmtId="170" fontId="101" fillId="27" borderId="87" xfId="4602" applyFont="1" applyFill="1" applyBorder="1" applyAlignment="1" applyProtection="1">
      <alignment horizontal="left" vertical="top"/>
      <protection locked="0"/>
    </xf>
    <xf numFmtId="170" fontId="101" fillId="27" borderId="39" xfId="4602" applyFont="1" applyFill="1" applyBorder="1" applyAlignment="1" applyProtection="1">
      <alignment horizontal="left" vertical="top"/>
      <protection locked="0"/>
    </xf>
    <xf numFmtId="170" fontId="101" fillId="27" borderId="0" xfId="4602" applyFont="1" applyFill="1" applyBorder="1" applyAlignment="1" applyProtection="1">
      <alignment horizontal="left" vertical="top"/>
      <protection locked="0"/>
    </xf>
    <xf numFmtId="170" fontId="101" fillId="27" borderId="43" xfId="4602" applyFont="1" applyFill="1" applyBorder="1" applyAlignment="1" applyProtection="1">
      <alignment horizontal="left" vertical="top"/>
      <protection locked="0"/>
    </xf>
    <xf numFmtId="170" fontId="101" fillId="27" borderId="53" xfId="4602" applyFont="1" applyFill="1" applyBorder="1" applyAlignment="1" applyProtection="1">
      <alignment horizontal="left" vertical="top"/>
      <protection locked="0"/>
    </xf>
    <xf numFmtId="170" fontId="101" fillId="27" borderId="57" xfId="4602" applyFont="1" applyFill="1" applyBorder="1" applyAlignment="1" applyProtection="1">
      <alignment horizontal="left" vertical="top"/>
      <protection locked="0"/>
    </xf>
    <xf numFmtId="170" fontId="101" fillId="27" borderId="55" xfId="4602" applyFont="1" applyFill="1" applyBorder="1" applyAlignment="1" applyProtection="1">
      <alignment horizontal="left" vertical="top"/>
      <protection locked="0"/>
    </xf>
    <xf numFmtId="0" fontId="68" fillId="31" borderId="115" xfId="4609" applyFont="1" applyFill="1" applyBorder="1" applyAlignment="1" applyProtection="1">
      <alignment horizontal="center" vertical="center"/>
      <protection locked="0"/>
    </xf>
    <xf numFmtId="0" fontId="68" fillId="31" borderId="137" xfId="4609" applyFont="1" applyFill="1" applyBorder="1" applyAlignment="1" applyProtection="1">
      <alignment horizontal="center" vertical="center"/>
      <protection locked="0"/>
    </xf>
    <xf numFmtId="0" fontId="68" fillId="31" borderId="114" xfId="4609" applyFont="1" applyFill="1" applyBorder="1" applyAlignment="1" applyProtection="1">
      <alignment horizontal="center" vertical="center"/>
      <protection locked="0"/>
    </xf>
    <xf numFmtId="170" fontId="63" fillId="28" borderId="115" xfId="4602" applyFont="1" applyFill="1" applyBorder="1" applyAlignment="1" applyProtection="1">
      <alignment horizontal="center"/>
      <protection locked="0"/>
    </xf>
    <xf numFmtId="170" fontId="63" fillId="28" borderId="114" xfId="4602" applyFont="1" applyFill="1" applyBorder="1" applyAlignment="1" applyProtection="1">
      <alignment horizontal="center"/>
      <protection locked="0"/>
    </xf>
    <xf numFmtId="0" fontId="59" fillId="0" borderId="0" xfId="0" applyFont="1" applyAlignment="1" applyProtection="1">
      <alignment horizontal="center"/>
      <protection locked="0"/>
    </xf>
    <xf numFmtId="177" fontId="11" fillId="12" borderId="82" xfId="4" applyNumberFormat="1" applyFont="1" applyFill="1" applyBorder="1" applyAlignment="1" applyProtection="1">
      <alignment horizontal="left" wrapText="1"/>
      <protection locked="0"/>
    </xf>
    <xf numFmtId="0" fontId="0" fillId="12" borderId="48" xfId="0" applyFill="1" applyBorder="1" applyAlignment="1">
      <alignment horizontal="left" wrapText="1"/>
    </xf>
    <xf numFmtId="177" fontId="12" fillId="0" borderId="82" xfId="4" applyNumberFormat="1" applyFont="1" applyBorder="1" applyAlignment="1">
      <alignment horizontal="left" wrapText="1"/>
    </xf>
    <xf numFmtId="0" fontId="12" fillId="0" borderId="48" xfId="0" applyFont="1" applyBorder="1" applyAlignment="1">
      <alignment horizontal="left" wrapText="1"/>
    </xf>
    <xf numFmtId="177" fontId="11" fillId="0" borderId="82" xfId="4" applyNumberFormat="1" applyFont="1" applyBorder="1" applyAlignment="1" applyProtection="1">
      <alignment horizontal="left" wrapText="1"/>
      <protection locked="0"/>
    </xf>
    <xf numFmtId="0" fontId="11" fillId="0" borderId="48" xfId="0" applyFont="1" applyBorder="1" applyAlignment="1" applyProtection="1">
      <alignment horizontal="left" wrapText="1"/>
      <protection locked="0"/>
    </xf>
    <xf numFmtId="171" fontId="12" fillId="0" borderId="1" xfId="4" applyFont="1" applyBorder="1" applyAlignment="1">
      <alignment horizontal="center" vertical="center" wrapText="1"/>
    </xf>
    <xf numFmtId="0" fontId="0" fillId="0" borderId="17" xfId="0" applyBorder="1" applyAlignment="1">
      <alignment vertical="center"/>
    </xf>
    <xf numFmtId="0" fontId="0" fillId="0" borderId="5" xfId="0" applyBorder="1" applyAlignment="1">
      <alignment vertical="center"/>
    </xf>
    <xf numFmtId="0" fontId="0" fillId="0" borderId="26" xfId="0" applyBorder="1" applyAlignment="1">
      <alignment vertical="center"/>
    </xf>
    <xf numFmtId="171" fontId="12" fillId="0" borderId="32" xfId="4" applyFont="1" applyBorder="1" applyAlignment="1">
      <alignment horizontal="center"/>
    </xf>
    <xf numFmtId="0" fontId="0" fillId="0" borderId="32" xfId="0" applyBorder="1"/>
    <xf numFmtId="0" fontId="0" fillId="0" borderId="48" xfId="0" applyBorder="1" applyAlignment="1">
      <alignment horizontal="left" wrapText="1"/>
    </xf>
    <xf numFmtId="177" fontId="12" fillId="0" borderId="48" xfId="4" applyNumberFormat="1" applyFont="1" applyBorder="1" applyAlignment="1">
      <alignment horizontal="left" wrapText="1"/>
    </xf>
    <xf numFmtId="0" fontId="11" fillId="12" borderId="48" xfId="0" applyFont="1" applyFill="1" applyBorder="1" applyAlignment="1" applyProtection="1">
      <alignment horizontal="left" wrapText="1"/>
      <protection locked="0"/>
    </xf>
    <xf numFmtId="171" fontId="13" fillId="0" borderId="0" xfId="4" applyFont="1" applyAlignment="1">
      <alignment horizontal="left"/>
    </xf>
    <xf numFmtId="49" fontId="11" fillId="12" borderId="82" xfId="4" applyNumberFormat="1" applyFont="1" applyFill="1" applyBorder="1" applyAlignment="1" applyProtection="1">
      <alignment horizontal="left" wrapText="1"/>
      <protection locked="0"/>
    </xf>
    <xf numFmtId="49" fontId="11" fillId="12" borderId="48" xfId="0" applyNumberFormat="1" applyFont="1" applyFill="1" applyBorder="1" applyAlignment="1" applyProtection="1">
      <alignment horizontal="left" wrapText="1"/>
      <protection locked="0"/>
    </xf>
    <xf numFmtId="49" fontId="11" fillId="0" borderId="48" xfId="0" applyNumberFormat="1" applyFont="1" applyBorder="1" applyAlignment="1" applyProtection="1">
      <alignment horizontal="left" wrapText="1"/>
      <protection locked="0"/>
    </xf>
    <xf numFmtId="2" fontId="32" fillId="12" borderId="82" xfId="4" applyNumberFormat="1" applyFont="1" applyFill="1" applyBorder="1" applyAlignment="1" applyProtection="1">
      <alignment horizontal="left" wrapText="1"/>
      <protection locked="0"/>
    </xf>
    <xf numFmtId="2" fontId="32" fillId="12" borderId="48" xfId="0" applyNumberFormat="1" applyFont="1" applyFill="1" applyBorder="1" applyAlignment="1" applyProtection="1">
      <alignment horizontal="left" wrapText="1"/>
      <protection locked="0"/>
    </xf>
    <xf numFmtId="171" fontId="12" fillId="0" borderId="0" xfId="4" applyFont="1" applyAlignment="1">
      <alignment horizontal="center" textRotation="90"/>
    </xf>
    <xf numFmtId="0" fontId="0" fillId="0" borderId="0" xfId="0" applyAlignment="1">
      <alignment horizontal="center"/>
    </xf>
    <xf numFmtId="0" fontId="12" fillId="0" borderId="6" xfId="0" applyFont="1" applyBorder="1" applyAlignment="1">
      <alignment horizontal="center" textRotation="90" wrapText="1"/>
    </xf>
    <xf numFmtId="0" fontId="12" fillId="0" borderId="7" xfId="0" applyFont="1" applyBorder="1" applyAlignment="1">
      <alignment horizontal="center" textRotation="90"/>
    </xf>
    <xf numFmtId="171" fontId="12" fillId="0" borderId="6" xfId="4" applyFont="1" applyBorder="1" applyAlignment="1">
      <alignment horizontal="center" vertical="center" wrapText="1"/>
    </xf>
    <xf numFmtId="0" fontId="12" fillId="0" borderId="7" xfId="0" applyFont="1" applyBorder="1" applyAlignment="1">
      <alignment horizontal="center" vertical="center"/>
    </xf>
    <xf numFmtId="171" fontId="8" fillId="0" borderId="6" xfId="4" applyFont="1" applyBorder="1" applyAlignment="1">
      <alignment horizontal="center" vertical="center" wrapText="1"/>
    </xf>
    <xf numFmtId="0" fontId="111" fillId="0" borderId="0" xfId="0" applyFont="1" applyAlignment="1">
      <alignment horizontal="left" vertical="center" wrapText="1"/>
    </xf>
    <xf numFmtId="0" fontId="111" fillId="0" borderId="5" xfId="0" applyFont="1" applyBorder="1" applyAlignment="1">
      <alignment horizontal="left" vertical="center" wrapText="1"/>
    </xf>
    <xf numFmtId="0" fontId="8" fillId="0" borderId="6" xfId="0" applyFont="1" applyBorder="1" applyAlignment="1">
      <alignment horizontal="center" textRotation="90" wrapText="1"/>
    </xf>
    <xf numFmtId="0" fontId="0" fillId="0" borderId="7" xfId="0" applyBorder="1" applyAlignment="1">
      <alignment horizontal="center" textRotation="90"/>
    </xf>
    <xf numFmtId="0" fontId="12" fillId="0" borderId="2" xfId="4" applyNumberFormat="1" applyFont="1" applyBorder="1" applyAlignment="1">
      <alignment horizontal="center" vertical="center"/>
    </xf>
    <xf numFmtId="0" fontId="0" fillId="0" borderId="23" xfId="0" applyBorder="1" applyAlignment="1">
      <alignment vertical="center"/>
    </xf>
    <xf numFmtId="177" fontId="11" fillId="55" borderId="82" xfId="4" applyNumberFormat="1" applyFont="1" applyFill="1" applyBorder="1" applyAlignment="1" applyProtection="1">
      <alignment horizontal="left" wrapText="1"/>
      <protection locked="0"/>
    </xf>
    <xf numFmtId="0" fontId="11" fillId="55" borderId="48" xfId="0" applyFont="1" applyFill="1" applyBorder="1" applyAlignment="1" applyProtection="1">
      <alignment horizontal="left" wrapText="1"/>
      <protection locked="0"/>
    </xf>
    <xf numFmtId="0" fontId="12" fillId="0" borderId="5" xfId="0" applyFont="1" applyBorder="1"/>
    <xf numFmtId="0" fontId="0" fillId="0" borderId="5" xfId="0" applyBorder="1"/>
    <xf numFmtId="0" fontId="12" fillId="0" borderId="167" xfId="0" applyFont="1" applyBorder="1" applyAlignment="1">
      <alignment horizontal="left"/>
    </xf>
    <xf numFmtId="0" fontId="12" fillId="0" borderId="43" xfId="0" applyFont="1" applyBorder="1" applyAlignment="1">
      <alignment horizontal="left"/>
    </xf>
    <xf numFmtId="0" fontId="12" fillId="0" borderId="53" xfId="0" applyFont="1" applyBorder="1" applyAlignment="1">
      <alignment horizontal="left"/>
    </xf>
    <xf numFmtId="0" fontId="12" fillId="0" borderId="57" xfId="0" applyFont="1" applyBorder="1" applyAlignment="1">
      <alignment horizontal="left"/>
    </xf>
    <xf numFmtId="0" fontId="12" fillId="0" borderId="55" xfId="0" applyFont="1" applyBorder="1" applyAlignment="1">
      <alignment horizontal="left"/>
    </xf>
    <xf numFmtId="0" fontId="12" fillId="0" borderId="0" xfId="0" applyFont="1" applyAlignment="1">
      <alignment horizontal="right"/>
    </xf>
    <xf numFmtId="0" fontId="13" fillId="0" borderId="41" xfId="0" applyFont="1" applyBorder="1" applyAlignment="1">
      <alignment horizontal="center"/>
    </xf>
    <xf numFmtId="0" fontId="12" fillId="0" borderId="0" xfId="0" applyFont="1" applyAlignment="1">
      <alignment horizontal="center"/>
    </xf>
    <xf numFmtId="0" fontId="12" fillId="0" borderId="43" xfId="0" applyFont="1" applyBorder="1" applyAlignment="1">
      <alignment horizontal="center"/>
    </xf>
    <xf numFmtId="179" fontId="20" fillId="6" borderId="41" xfId="0" applyNumberFormat="1" applyFont="1" applyFill="1" applyBorder="1" applyAlignment="1">
      <alignment horizontal="left" wrapText="1"/>
    </xf>
    <xf numFmtId="0" fontId="20" fillId="6" borderId="0" xfId="0" applyFont="1" applyFill="1" applyAlignment="1">
      <alignment horizontal="left"/>
    </xf>
    <xf numFmtId="0" fontId="13" fillId="0" borderId="42" xfId="0" applyFont="1" applyBorder="1" applyAlignment="1">
      <alignment horizontal="left"/>
    </xf>
    <xf numFmtId="1" fontId="12" fillId="0" borderId="60" xfId="0" applyNumberFormat="1" applyFont="1" applyBorder="1" applyAlignment="1">
      <alignment horizontal="left" wrapText="1"/>
    </xf>
    <xf numFmtId="1" fontId="12" fillId="0" borderId="87" xfId="0" applyNumberFormat="1" applyFont="1" applyBorder="1" applyAlignment="1">
      <alignment horizontal="left" wrapText="1"/>
    </xf>
    <xf numFmtId="0" fontId="13" fillId="0" borderId="85" xfId="0" applyFont="1" applyBorder="1" applyAlignment="1">
      <alignment horizontal="center"/>
    </xf>
    <xf numFmtId="0" fontId="12" fillId="0" borderId="60" xfId="0" applyFont="1" applyBorder="1" applyAlignment="1">
      <alignment horizontal="center"/>
    </xf>
    <xf numFmtId="0" fontId="12" fillId="0" borderId="87" xfId="0" applyFont="1" applyBorder="1" applyAlignment="1">
      <alignment horizontal="center"/>
    </xf>
    <xf numFmtId="1" fontId="44" fillId="0" borderId="57" xfId="0" applyNumberFormat="1" applyFont="1" applyBorder="1" applyAlignment="1">
      <alignment horizontal="center"/>
    </xf>
    <xf numFmtId="0" fontId="45" fillId="0" borderId="57" xfId="0" applyFont="1" applyBorder="1"/>
    <xf numFmtId="182" fontId="14" fillId="0" borderId="0" xfId="0" applyNumberFormat="1" applyFont="1" applyAlignment="1">
      <alignment horizontal="left"/>
    </xf>
    <xf numFmtId="14" fontId="14" fillId="0" borderId="0" xfId="0" applyNumberFormat="1" applyFont="1" applyAlignment="1">
      <alignment horizontal="left"/>
    </xf>
    <xf numFmtId="0" fontId="12" fillId="0" borderId="86" xfId="0" applyFont="1" applyBorder="1" applyAlignment="1">
      <alignment horizontal="center"/>
    </xf>
    <xf numFmtId="0" fontId="12" fillId="0" borderId="42" xfId="0" applyFont="1" applyBorder="1" applyAlignment="1">
      <alignment horizontal="center"/>
    </xf>
    <xf numFmtId="0" fontId="12" fillId="0" borderId="42" xfId="0" applyFont="1" applyBorder="1"/>
    <xf numFmtId="0" fontId="8" fillId="0" borderId="0" xfId="0" applyFont="1" applyAlignment="1">
      <alignment horizontal="right"/>
    </xf>
    <xf numFmtId="0" fontId="12" fillId="0" borderId="60" xfId="0" applyFont="1" applyBorder="1"/>
    <xf numFmtId="0" fontId="12" fillId="0" borderId="86" xfId="0" applyFont="1" applyBorder="1"/>
    <xf numFmtId="0" fontId="126" fillId="0" borderId="144" xfId="7822" applyFont="1" applyBorder="1" applyAlignment="1">
      <alignment horizontal="left" vertical="center"/>
    </xf>
    <xf numFmtId="0" fontId="132" fillId="0" borderId="17" xfId="0" applyFont="1" applyBorder="1" applyAlignment="1">
      <alignment horizontal="left" vertical="center" wrapText="1"/>
    </xf>
    <xf numFmtId="0" fontId="132" fillId="0" borderId="4" xfId="0" applyFont="1" applyBorder="1" applyAlignment="1">
      <alignment horizontal="left" vertical="center" wrapText="1"/>
    </xf>
    <xf numFmtId="0" fontId="132" fillId="0" borderId="26" xfId="0" applyFont="1" applyBorder="1" applyAlignment="1">
      <alignment horizontal="left" vertical="center" wrapText="1"/>
    </xf>
    <xf numFmtId="0" fontId="126" fillId="0" borderId="92" xfId="7822" applyFont="1" applyBorder="1" applyAlignment="1">
      <alignment horizontal="left" vertical="center" wrapText="1"/>
    </xf>
    <xf numFmtId="0" fontId="126" fillId="0" borderId="103" xfId="7822" applyFont="1" applyBorder="1" applyAlignment="1">
      <alignment horizontal="left" vertical="center" wrapText="1"/>
    </xf>
    <xf numFmtId="0" fontId="126" fillId="0" borderId="182" xfId="7822" applyFont="1" applyBorder="1" applyAlignment="1">
      <alignment horizontal="left" vertical="center" wrapText="1"/>
    </xf>
    <xf numFmtId="0" fontId="126" fillId="0" borderId="6" xfId="7822" applyFont="1" applyBorder="1" applyAlignment="1">
      <alignment horizontal="left" vertical="center" wrapText="1"/>
    </xf>
    <xf numFmtId="0" fontId="126" fillId="0" borderId="7" xfId="7822" applyFont="1" applyBorder="1" applyAlignment="1">
      <alignment horizontal="left" vertical="center" wrapText="1"/>
    </xf>
    <xf numFmtId="0" fontId="126" fillId="0" borderId="164" xfId="7822" applyFont="1" applyBorder="1" applyAlignment="1">
      <alignment horizontal="left" vertical="center" wrapText="1"/>
    </xf>
    <xf numFmtId="0" fontId="126" fillId="0" borderId="108" xfId="7822" applyFont="1" applyBorder="1" applyAlignment="1">
      <alignment horizontal="left" vertical="center" wrapText="1"/>
    </xf>
    <xf numFmtId="0" fontId="126" fillId="0" borderId="162" xfId="7822" applyFont="1" applyBorder="1" applyAlignment="1">
      <alignment horizontal="left" vertical="center" wrapText="1"/>
    </xf>
    <xf numFmtId="0" fontId="126" fillId="0" borderId="163" xfId="7822" applyFont="1" applyBorder="1" applyAlignment="1">
      <alignment horizontal="left" vertical="center" wrapText="1"/>
    </xf>
    <xf numFmtId="0" fontId="16" fillId="33" borderId="184" xfId="0" applyFont="1" applyFill="1" applyBorder="1" applyAlignment="1">
      <alignment horizontal="center" vertical="center" textRotation="90"/>
    </xf>
    <xf numFmtId="0" fontId="16" fillId="33" borderId="166" xfId="0" applyFont="1" applyFill="1" applyBorder="1" applyAlignment="1">
      <alignment horizontal="center" vertical="center" textRotation="90"/>
    </xf>
    <xf numFmtId="0" fontId="16" fillId="33" borderId="143" xfId="0" applyFont="1" applyFill="1" applyBorder="1" applyAlignment="1">
      <alignment horizontal="center" vertical="center" textRotation="90"/>
    </xf>
    <xf numFmtId="0" fontId="16" fillId="33" borderId="107" xfId="0" applyFont="1" applyFill="1" applyBorder="1" applyAlignment="1">
      <alignment horizontal="center" vertical="center" textRotation="90"/>
    </xf>
    <xf numFmtId="0" fontId="16" fillId="33" borderId="102" xfId="0" applyFont="1" applyFill="1" applyBorder="1" applyAlignment="1">
      <alignment horizontal="center" vertical="center" textRotation="90"/>
    </xf>
    <xf numFmtId="0" fontId="16" fillId="33" borderId="161" xfId="0" applyFont="1" applyFill="1" applyBorder="1" applyAlignment="1">
      <alignment horizontal="center" vertical="center" textRotation="90"/>
    </xf>
    <xf numFmtId="0" fontId="126" fillId="0" borderId="92" xfId="7822" applyFont="1" applyBorder="1" applyAlignment="1">
      <alignment horizontal="center" wrapText="1"/>
    </xf>
    <xf numFmtId="0" fontId="126" fillId="0" borderId="182" xfId="7822" applyFont="1" applyBorder="1" applyAlignment="1">
      <alignment horizontal="center" wrapText="1"/>
    </xf>
    <xf numFmtId="0" fontId="126" fillId="0" borderId="6" xfId="7822" applyFont="1" applyBorder="1" applyAlignment="1">
      <alignment horizontal="left" wrapText="1"/>
    </xf>
    <xf numFmtId="0" fontId="126" fillId="0" borderId="7" xfId="7822" applyFont="1" applyBorder="1" applyAlignment="1">
      <alignment horizontal="left" wrapText="1"/>
    </xf>
    <xf numFmtId="0" fontId="126" fillId="0" borderId="92" xfId="7822" applyFont="1" applyBorder="1" applyAlignment="1">
      <alignment horizontal="left" wrapText="1"/>
    </xf>
    <xf numFmtId="0" fontId="126" fillId="0" borderId="182" xfId="7822" applyFont="1" applyBorder="1" applyAlignment="1">
      <alignment horizontal="left" wrapText="1"/>
    </xf>
    <xf numFmtId="49" fontId="19" fillId="0" borderId="115" xfId="0" applyNumberFormat="1" applyFont="1" applyBorder="1" applyAlignment="1">
      <alignment horizontal="right" vertical="center"/>
    </xf>
    <xf numFmtId="49" fontId="19" fillId="0" borderId="137" xfId="0" applyNumberFormat="1" applyFont="1" applyBorder="1" applyAlignment="1">
      <alignment horizontal="right" vertical="center"/>
    </xf>
    <xf numFmtId="0" fontId="126" fillId="0" borderId="13" xfId="7822" applyFont="1" applyBorder="1" applyAlignment="1">
      <alignment horizontal="left" vertical="center" wrapText="1"/>
    </xf>
    <xf numFmtId="0" fontId="16" fillId="33" borderId="184" xfId="0" applyFont="1" applyFill="1" applyBorder="1" applyAlignment="1">
      <alignment vertical="center" textRotation="90"/>
    </xf>
    <xf numFmtId="0" fontId="16" fillId="33" borderId="166" xfId="0" applyFont="1" applyFill="1" applyBorder="1" applyAlignment="1">
      <alignment vertical="center" textRotation="90"/>
    </xf>
    <xf numFmtId="0" fontId="16" fillId="33" borderId="143" xfId="0" applyFont="1" applyFill="1" applyBorder="1" applyAlignment="1">
      <alignment vertical="center" textRotation="90"/>
    </xf>
    <xf numFmtId="0" fontId="126" fillId="0" borderId="163" xfId="7822" applyFont="1" applyBorder="1" applyAlignment="1">
      <alignment horizontal="center" wrapText="1"/>
    </xf>
    <xf numFmtId="0" fontId="0" fillId="0" borderId="6" xfId="0" applyBorder="1" applyAlignment="1">
      <alignment horizontal="center" textRotation="90" wrapText="1"/>
    </xf>
    <xf numFmtId="171" fontId="111" fillId="0" borderId="0" xfId="4" applyFont="1" applyAlignment="1">
      <alignment horizontal="center" vertical="center" wrapText="1"/>
    </xf>
    <xf numFmtId="171" fontId="111" fillId="0" borderId="5" xfId="4" applyFont="1" applyBorder="1" applyAlignment="1">
      <alignment horizontal="center" vertical="center" wrapText="1"/>
    </xf>
    <xf numFmtId="0" fontId="111" fillId="0" borderId="0" xfId="0" applyFont="1" applyAlignment="1">
      <alignment wrapText="1"/>
    </xf>
    <xf numFmtId="0" fontId="111" fillId="0" borderId="5" xfId="0" applyFont="1" applyBorder="1" applyAlignment="1">
      <alignment wrapText="1"/>
    </xf>
    <xf numFmtId="171" fontId="12" fillId="0" borderId="1" xfId="4" applyFont="1" applyBorder="1" applyAlignment="1">
      <alignment horizontal="center" vertical="center"/>
    </xf>
    <xf numFmtId="171" fontId="111" fillId="0" borderId="0" xfId="4" applyFont="1" applyAlignment="1">
      <alignment horizontal="left" wrapText="1"/>
    </xf>
    <xf numFmtId="171" fontId="111" fillId="0" borderId="5" xfId="4" applyFont="1" applyBorder="1" applyAlignment="1">
      <alignment horizontal="left" wrapText="1"/>
    </xf>
    <xf numFmtId="171" fontId="12" fillId="57" borderId="0" xfId="4" applyFont="1" applyFill="1"/>
    <xf numFmtId="177" fontId="11" fillId="0" borderId="83" xfId="4" applyNumberFormat="1" applyFont="1" applyBorder="1" applyAlignment="1" applyProtection="1">
      <alignment horizontal="left" wrapText="1"/>
      <protection locked="0"/>
    </xf>
    <xf numFmtId="0" fontId="11" fillId="0" borderId="84" xfId="0" applyFont="1" applyBorder="1" applyAlignment="1" applyProtection="1">
      <alignment horizontal="left" wrapText="1"/>
      <protection locked="0"/>
    </xf>
    <xf numFmtId="182" fontId="14" fillId="0" borderId="0" xfId="0" applyNumberFormat="1" applyFont="1" applyAlignment="1">
      <alignment horizontal="left" wrapText="1"/>
    </xf>
    <xf numFmtId="182" fontId="14" fillId="0" borderId="5" xfId="0" applyNumberFormat="1" applyFont="1" applyBorder="1" applyAlignment="1">
      <alignment horizontal="left" wrapText="1"/>
    </xf>
    <xf numFmtId="0" fontId="16" fillId="48" borderId="194" xfId="761" applyFont="1" applyFill="1" applyBorder="1" applyAlignment="1">
      <alignment horizontal="center" vertical="center" wrapText="1"/>
    </xf>
    <xf numFmtId="0" fontId="59" fillId="26" borderId="0" xfId="761" applyFont="1" applyFill="1" applyAlignment="1">
      <alignment horizontal="center" vertical="center" textRotation="90" wrapText="1"/>
    </xf>
    <xf numFmtId="0" fontId="123" fillId="48" borderId="201" xfId="0" applyFont="1" applyFill="1" applyBorder="1" applyAlignment="1">
      <alignment vertical="center" wrapText="1"/>
    </xf>
    <xf numFmtId="0" fontId="123" fillId="48" borderId="0" xfId="0" applyFont="1" applyFill="1" applyAlignment="1">
      <alignment vertical="center" wrapText="1"/>
    </xf>
    <xf numFmtId="49" fontId="11" fillId="63" borderId="52" xfId="4" applyNumberFormat="1" applyFont="1" applyFill="1" applyBorder="1" applyAlignment="1" applyProtection="1">
      <alignment horizontal="left" wrapText="1"/>
      <protection locked="0"/>
    </xf>
    <xf numFmtId="0" fontId="11" fillId="63" borderId="106" xfId="0" applyFont="1" applyFill="1" applyBorder="1" applyAlignment="1">
      <alignment horizontal="left" wrapText="1"/>
    </xf>
    <xf numFmtId="0" fontId="24" fillId="57" borderId="0" xfId="3" applyFont="1" applyFill="1" applyAlignment="1" applyProtection="1">
      <alignment horizontal="left"/>
      <protection locked="0"/>
    </xf>
    <xf numFmtId="0" fontId="24" fillId="0" borderId="0" xfId="3" applyFont="1" applyAlignment="1" applyProtection="1">
      <alignment horizontal="left"/>
      <protection locked="0"/>
    </xf>
    <xf numFmtId="0" fontId="125" fillId="47" borderId="0" xfId="7822" applyFont="1" applyFill="1" applyAlignment="1">
      <alignment horizontal="center"/>
    </xf>
    <xf numFmtId="169" fontId="127" fillId="0" borderId="40" xfId="7823" applyFont="1" applyBorder="1" applyAlignment="1">
      <alignment horizontal="center" wrapText="1"/>
    </xf>
    <xf numFmtId="169" fontId="127" fillId="0" borderId="60" xfId="7823" applyFont="1" applyBorder="1" applyAlignment="1">
      <alignment horizontal="center" wrapText="1"/>
    </xf>
    <xf numFmtId="169" fontId="127" fillId="0" borderId="87" xfId="7823" applyFont="1" applyBorder="1" applyAlignment="1">
      <alignment horizontal="center" wrapText="1"/>
    </xf>
    <xf numFmtId="169" fontId="82" fillId="0" borderId="40" xfId="7823" applyFont="1" applyBorder="1" applyAlignment="1">
      <alignment horizontal="center" wrapText="1"/>
    </xf>
    <xf numFmtId="169" fontId="82" fillId="0" borderId="60" xfId="7823" applyFont="1" applyBorder="1" applyAlignment="1">
      <alignment horizontal="center" wrapText="1"/>
    </xf>
    <xf numFmtId="169" fontId="82" fillId="0" borderId="87" xfId="7823" applyFont="1" applyBorder="1" applyAlignment="1">
      <alignment horizontal="center" wrapText="1"/>
    </xf>
    <xf numFmtId="0" fontId="62" fillId="0" borderId="167" xfId="7822" applyFont="1" applyBorder="1" applyAlignment="1">
      <alignment horizontal="center"/>
    </xf>
    <xf numFmtId="0" fontId="62" fillId="0" borderId="0" xfId="7822" applyFont="1" applyAlignment="1">
      <alignment horizontal="center"/>
    </xf>
    <xf numFmtId="170" fontId="62" fillId="0" borderId="0" xfId="7824" applyFont="1" applyAlignment="1">
      <alignment horizontal="center"/>
    </xf>
    <xf numFmtId="171" fontId="12" fillId="57" borderId="0" xfId="4" applyFont="1" applyFill="1" applyBorder="1"/>
    <xf numFmtId="182" fontId="0" fillId="0" borderId="0" xfId="0" applyNumberFormat="1" applyBorder="1" applyAlignment="1">
      <alignment horizontal="right"/>
    </xf>
    <xf numFmtId="164" fontId="8" fillId="0" borderId="0" xfId="2" applyFont="1" applyBorder="1" applyAlignment="1">
      <alignment horizontal="right"/>
    </xf>
    <xf numFmtId="179" fontId="12" fillId="0" borderId="0" xfId="2" applyNumberFormat="1" applyFont="1" applyBorder="1"/>
    <xf numFmtId="179" fontId="12" fillId="0" borderId="0" xfId="2" applyNumberFormat="1" applyFont="1" applyBorder="1" applyAlignment="1">
      <alignment horizontal="right"/>
    </xf>
    <xf numFmtId="184" fontId="12" fillId="0" borderId="0" xfId="2" applyNumberFormat="1" applyFont="1" applyBorder="1"/>
    <xf numFmtId="178" fontId="12" fillId="0" borderId="0" xfId="2" applyNumberFormat="1" applyFont="1" applyBorder="1"/>
    <xf numFmtId="193" fontId="12" fillId="0" borderId="0" xfId="2" applyNumberFormat="1" applyFont="1" applyBorder="1"/>
    <xf numFmtId="191" fontId="53" fillId="0" borderId="0" xfId="2" applyNumberFormat="1" applyFont="1" applyBorder="1"/>
    <xf numFmtId="184" fontId="53" fillId="0" borderId="0" xfId="2" applyNumberFormat="1" applyFont="1" applyBorder="1"/>
    <xf numFmtId="171" fontId="12" fillId="0" borderId="144" xfId="2" applyNumberFormat="1" applyFont="1" applyFill="1" applyBorder="1"/>
  </cellXfs>
  <cellStyles count="7829">
    <cellStyle name="20% - Accent1 2" xfId="14" xr:uid="{00000000-0005-0000-0000-000000000000}"/>
    <cellStyle name="20% - Accent1 2 2" xfId="4613" xr:uid="{00000000-0005-0000-0000-000001000000}"/>
    <cellStyle name="20% - Accent1 2 3" xfId="6217" xr:uid="{00000000-0005-0000-0000-000002000000}"/>
    <cellStyle name="20% - Accent2 2" xfId="15" xr:uid="{00000000-0005-0000-0000-000003000000}"/>
    <cellStyle name="20% - Accent2 2 2" xfId="4614" xr:uid="{00000000-0005-0000-0000-000004000000}"/>
    <cellStyle name="20% - Accent2 2 3" xfId="6218" xr:uid="{00000000-0005-0000-0000-000005000000}"/>
    <cellStyle name="20% - Accent2 2 4" xfId="7821" xr:uid="{00000000-0005-0000-0000-000006000000}"/>
    <cellStyle name="20% - Accent3 2" xfId="16" xr:uid="{00000000-0005-0000-0000-000007000000}"/>
    <cellStyle name="20% - Accent3 2 2" xfId="4615" xr:uid="{00000000-0005-0000-0000-000008000000}"/>
    <cellStyle name="20% - Accent3 2 3" xfId="6219" xr:uid="{00000000-0005-0000-0000-000009000000}"/>
    <cellStyle name="20% - Accent4 2" xfId="17" xr:uid="{00000000-0005-0000-0000-00000A000000}"/>
    <cellStyle name="20% - Accent4 2 2" xfId="4616" xr:uid="{00000000-0005-0000-0000-00000B000000}"/>
    <cellStyle name="20% - Accent4 2 3" xfId="6220" xr:uid="{00000000-0005-0000-0000-00000C000000}"/>
    <cellStyle name="20% - Accent5 2" xfId="18" xr:uid="{00000000-0005-0000-0000-00000D000000}"/>
    <cellStyle name="20% - Accent5 2 2" xfId="4617" xr:uid="{00000000-0005-0000-0000-00000E000000}"/>
    <cellStyle name="20% - Accent5 2 3" xfId="6221" xr:uid="{00000000-0005-0000-0000-00000F000000}"/>
    <cellStyle name="20% - Accent6 2" xfId="19" xr:uid="{00000000-0005-0000-0000-000010000000}"/>
    <cellStyle name="20% - Accent6 2 2" xfId="4618" xr:uid="{00000000-0005-0000-0000-000011000000}"/>
    <cellStyle name="20% - Accent6 2 3" xfId="6222" xr:uid="{00000000-0005-0000-0000-000012000000}"/>
    <cellStyle name="40% - Accent1 2" xfId="20" xr:uid="{00000000-0005-0000-0000-000013000000}"/>
    <cellStyle name="40% - Accent1 2 2" xfId="4619" xr:uid="{00000000-0005-0000-0000-000014000000}"/>
    <cellStyle name="40% - Accent1 2 3" xfId="6223" xr:uid="{00000000-0005-0000-0000-000015000000}"/>
    <cellStyle name="40% - Accent2 2" xfId="21" xr:uid="{00000000-0005-0000-0000-000016000000}"/>
    <cellStyle name="40% - Accent2 2 2" xfId="4620" xr:uid="{00000000-0005-0000-0000-000017000000}"/>
    <cellStyle name="40% - Accent2 2 3" xfId="6224" xr:uid="{00000000-0005-0000-0000-000018000000}"/>
    <cellStyle name="40% - Accent3 2" xfId="22" xr:uid="{00000000-0005-0000-0000-000019000000}"/>
    <cellStyle name="40% - Accent3 2 2" xfId="4621" xr:uid="{00000000-0005-0000-0000-00001A000000}"/>
    <cellStyle name="40% - Accent3 2 3" xfId="6225" xr:uid="{00000000-0005-0000-0000-00001B000000}"/>
    <cellStyle name="40% - Accent4 2" xfId="23" xr:uid="{00000000-0005-0000-0000-00001C000000}"/>
    <cellStyle name="40% - Accent4 2 2" xfId="4622" xr:uid="{00000000-0005-0000-0000-00001D000000}"/>
    <cellStyle name="40% - Accent4 2 3" xfId="6226" xr:uid="{00000000-0005-0000-0000-00001E000000}"/>
    <cellStyle name="40% - Accent5 2" xfId="24" xr:uid="{00000000-0005-0000-0000-00001F000000}"/>
    <cellStyle name="40% - Accent5 2 2" xfId="4623" xr:uid="{00000000-0005-0000-0000-000020000000}"/>
    <cellStyle name="40% - Accent5 2 3" xfId="6227" xr:uid="{00000000-0005-0000-0000-000021000000}"/>
    <cellStyle name="40% - Accent6 2" xfId="25" xr:uid="{00000000-0005-0000-0000-000022000000}"/>
    <cellStyle name="40% - Accent6 2 2" xfId="4624" xr:uid="{00000000-0005-0000-0000-000023000000}"/>
    <cellStyle name="40% - Accent6 2 3" xfId="6228" xr:uid="{00000000-0005-0000-0000-000024000000}"/>
    <cellStyle name="40% - Accent6 2 3 2" xfId="7827" xr:uid="{B7D01B3B-3026-440C-A6AF-BB9ED98B5265}"/>
    <cellStyle name="Comma" xfId="4611" builtinId="3"/>
    <cellStyle name="Comma 2" xfId="11" xr:uid="{00000000-0005-0000-0000-000026000000}"/>
    <cellStyle name="Comma 3" xfId="4602" xr:uid="{00000000-0005-0000-0000-000027000000}"/>
    <cellStyle name="Comma 4" xfId="8" xr:uid="{00000000-0005-0000-0000-000028000000}"/>
    <cellStyle name="Comma 5" xfId="7824" xr:uid="{D3CC16E3-A851-4A41-AAA6-AA0D3016C115}"/>
    <cellStyle name="Currency" xfId="1" builtinId="4"/>
    <cellStyle name="Currency 14" xfId="26" xr:uid="{00000000-0005-0000-0000-00002A000000}"/>
    <cellStyle name="Currency 14 2" xfId="4625" xr:uid="{00000000-0005-0000-0000-00002B000000}"/>
    <cellStyle name="Currency 14 3" xfId="6229" xr:uid="{00000000-0005-0000-0000-00002C000000}"/>
    <cellStyle name="Currency 2" xfId="27" xr:uid="{00000000-0005-0000-0000-00002D000000}"/>
    <cellStyle name="Currency 2 2" xfId="28" xr:uid="{00000000-0005-0000-0000-00002E000000}"/>
    <cellStyle name="Currency 2 2 2" xfId="29" xr:uid="{00000000-0005-0000-0000-00002F000000}"/>
    <cellStyle name="Currency 2 2 2 2" xfId="4628" xr:uid="{00000000-0005-0000-0000-000030000000}"/>
    <cellStyle name="Currency 2 2 2 3" xfId="6232" xr:uid="{00000000-0005-0000-0000-000031000000}"/>
    <cellStyle name="Currency 2 2 3" xfId="30" xr:uid="{00000000-0005-0000-0000-000032000000}"/>
    <cellStyle name="Currency 2 2 3 2" xfId="4629" xr:uid="{00000000-0005-0000-0000-000033000000}"/>
    <cellStyle name="Currency 2 2 3 3" xfId="6233" xr:uid="{00000000-0005-0000-0000-000034000000}"/>
    <cellStyle name="Currency 2 2 4" xfId="4627" xr:uid="{00000000-0005-0000-0000-000035000000}"/>
    <cellStyle name="Currency 2 2 5" xfId="6231" xr:uid="{00000000-0005-0000-0000-000036000000}"/>
    <cellStyle name="Currency 2 3" xfId="31" xr:uid="{00000000-0005-0000-0000-000037000000}"/>
    <cellStyle name="Currency 2 3 2" xfId="32" xr:uid="{00000000-0005-0000-0000-000038000000}"/>
    <cellStyle name="Currency 2 3 2 2" xfId="4631" xr:uid="{00000000-0005-0000-0000-000039000000}"/>
    <cellStyle name="Currency 2 3 2 3" xfId="6235" xr:uid="{00000000-0005-0000-0000-00003A000000}"/>
    <cellStyle name="Currency 2 3 3" xfId="33" xr:uid="{00000000-0005-0000-0000-00003B000000}"/>
    <cellStyle name="Currency 2 3 3 2" xfId="4632" xr:uid="{00000000-0005-0000-0000-00003C000000}"/>
    <cellStyle name="Currency 2 3 3 3" xfId="6236" xr:uid="{00000000-0005-0000-0000-00003D000000}"/>
    <cellStyle name="Currency 2 3 4" xfId="4630" xr:uid="{00000000-0005-0000-0000-00003E000000}"/>
    <cellStyle name="Currency 2 3 5" xfId="6234" xr:uid="{00000000-0005-0000-0000-00003F000000}"/>
    <cellStyle name="Currency 2 4" xfId="34" xr:uid="{00000000-0005-0000-0000-000040000000}"/>
    <cellStyle name="Currency 2 4 2" xfId="35" xr:uid="{00000000-0005-0000-0000-000041000000}"/>
    <cellStyle name="Currency 2 4 2 2" xfId="4634" xr:uid="{00000000-0005-0000-0000-000042000000}"/>
    <cellStyle name="Currency 2 4 2 3" xfId="6238" xr:uid="{00000000-0005-0000-0000-000043000000}"/>
    <cellStyle name="Currency 2 4 3" xfId="36" xr:uid="{00000000-0005-0000-0000-000044000000}"/>
    <cellStyle name="Currency 2 4 3 2" xfId="4635" xr:uid="{00000000-0005-0000-0000-000045000000}"/>
    <cellStyle name="Currency 2 4 3 3" xfId="6239" xr:uid="{00000000-0005-0000-0000-000046000000}"/>
    <cellStyle name="Currency 2 4 4" xfId="4633" xr:uid="{00000000-0005-0000-0000-000047000000}"/>
    <cellStyle name="Currency 2 4 5" xfId="6237" xr:uid="{00000000-0005-0000-0000-000048000000}"/>
    <cellStyle name="Currency 2 5" xfId="37" xr:uid="{00000000-0005-0000-0000-000049000000}"/>
    <cellStyle name="Currency 2 5 2" xfId="38" xr:uid="{00000000-0005-0000-0000-00004A000000}"/>
    <cellStyle name="Currency 2 5 2 2" xfId="4637" xr:uid="{00000000-0005-0000-0000-00004B000000}"/>
    <cellStyle name="Currency 2 5 2 3" xfId="6241" xr:uid="{00000000-0005-0000-0000-00004C000000}"/>
    <cellStyle name="Currency 2 5 3" xfId="39" xr:uid="{00000000-0005-0000-0000-00004D000000}"/>
    <cellStyle name="Currency 2 5 3 2" xfId="4638" xr:uid="{00000000-0005-0000-0000-00004E000000}"/>
    <cellStyle name="Currency 2 5 3 3" xfId="6242" xr:uid="{00000000-0005-0000-0000-00004F000000}"/>
    <cellStyle name="Currency 2 5 4" xfId="4636" xr:uid="{00000000-0005-0000-0000-000050000000}"/>
    <cellStyle name="Currency 2 5 5" xfId="6240" xr:uid="{00000000-0005-0000-0000-000051000000}"/>
    <cellStyle name="Currency 2 6" xfId="40" xr:uid="{00000000-0005-0000-0000-000052000000}"/>
    <cellStyle name="Currency 2 6 2" xfId="41" xr:uid="{00000000-0005-0000-0000-000053000000}"/>
    <cellStyle name="Currency 2 6 2 2" xfId="4640" xr:uid="{00000000-0005-0000-0000-000054000000}"/>
    <cellStyle name="Currency 2 6 2 3" xfId="6244" xr:uid="{00000000-0005-0000-0000-000055000000}"/>
    <cellStyle name="Currency 2 6 3" xfId="42" xr:uid="{00000000-0005-0000-0000-000056000000}"/>
    <cellStyle name="Currency 2 6 3 2" xfId="4641" xr:uid="{00000000-0005-0000-0000-000057000000}"/>
    <cellStyle name="Currency 2 6 3 3" xfId="6245" xr:uid="{00000000-0005-0000-0000-000058000000}"/>
    <cellStyle name="Currency 2 6 4" xfId="4639" xr:uid="{00000000-0005-0000-0000-000059000000}"/>
    <cellStyle name="Currency 2 6 5" xfId="6243" xr:uid="{00000000-0005-0000-0000-00005A000000}"/>
    <cellStyle name="Currency 2 7" xfId="4608" xr:uid="{00000000-0005-0000-0000-00005B000000}"/>
    <cellStyle name="Currency 2 8" xfId="4626" xr:uid="{00000000-0005-0000-0000-00005C000000}"/>
    <cellStyle name="Currency 2 9" xfId="6230" xr:uid="{00000000-0005-0000-0000-00005D000000}"/>
    <cellStyle name="Currency 3" xfId="7823" xr:uid="{36AE6DBB-02B1-4287-866C-B081DFB8E6A7}"/>
    <cellStyle name="Currency 4" xfId="43" xr:uid="{00000000-0005-0000-0000-00005E000000}"/>
    <cellStyle name="Currency 4 10" xfId="44" xr:uid="{00000000-0005-0000-0000-00005F000000}"/>
    <cellStyle name="Currency 4 10 2" xfId="45" xr:uid="{00000000-0005-0000-0000-000060000000}"/>
    <cellStyle name="Currency 4 10 2 2" xfId="4644" xr:uid="{00000000-0005-0000-0000-000061000000}"/>
    <cellStyle name="Currency 4 10 2 3" xfId="6248" xr:uid="{00000000-0005-0000-0000-000062000000}"/>
    <cellStyle name="Currency 4 10 3" xfId="46" xr:uid="{00000000-0005-0000-0000-000063000000}"/>
    <cellStyle name="Currency 4 10 3 2" xfId="4645" xr:uid="{00000000-0005-0000-0000-000064000000}"/>
    <cellStyle name="Currency 4 10 3 3" xfId="6249" xr:uid="{00000000-0005-0000-0000-000065000000}"/>
    <cellStyle name="Currency 4 10 4" xfId="4643" xr:uid="{00000000-0005-0000-0000-000066000000}"/>
    <cellStyle name="Currency 4 10 5" xfId="6247" xr:uid="{00000000-0005-0000-0000-000067000000}"/>
    <cellStyle name="Currency 4 100" xfId="47" xr:uid="{00000000-0005-0000-0000-000068000000}"/>
    <cellStyle name="Currency 4 100 2" xfId="48" xr:uid="{00000000-0005-0000-0000-000069000000}"/>
    <cellStyle name="Currency 4 100 2 2" xfId="4647" xr:uid="{00000000-0005-0000-0000-00006A000000}"/>
    <cellStyle name="Currency 4 100 2 3" xfId="6251" xr:uid="{00000000-0005-0000-0000-00006B000000}"/>
    <cellStyle name="Currency 4 100 3" xfId="49" xr:uid="{00000000-0005-0000-0000-00006C000000}"/>
    <cellStyle name="Currency 4 100 3 2" xfId="4648" xr:uid="{00000000-0005-0000-0000-00006D000000}"/>
    <cellStyle name="Currency 4 100 3 3" xfId="6252" xr:uid="{00000000-0005-0000-0000-00006E000000}"/>
    <cellStyle name="Currency 4 100 4" xfId="4646" xr:uid="{00000000-0005-0000-0000-00006F000000}"/>
    <cellStyle name="Currency 4 100 5" xfId="6250" xr:uid="{00000000-0005-0000-0000-000070000000}"/>
    <cellStyle name="Currency 4 101" xfId="50" xr:uid="{00000000-0005-0000-0000-000071000000}"/>
    <cellStyle name="Currency 4 101 2" xfId="51" xr:uid="{00000000-0005-0000-0000-000072000000}"/>
    <cellStyle name="Currency 4 101 2 2" xfId="4650" xr:uid="{00000000-0005-0000-0000-000073000000}"/>
    <cellStyle name="Currency 4 101 2 3" xfId="6254" xr:uid="{00000000-0005-0000-0000-000074000000}"/>
    <cellStyle name="Currency 4 101 3" xfId="52" xr:uid="{00000000-0005-0000-0000-000075000000}"/>
    <cellStyle name="Currency 4 101 3 2" xfId="4651" xr:uid="{00000000-0005-0000-0000-000076000000}"/>
    <cellStyle name="Currency 4 101 3 3" xfId="6255" xr:uid="{00000000-0005-0000-0000-000077000000}"/>
    <cellStyle name="Currency 4 101 4" xfId="4649" xr:uid="{00000000-0005-0000-0000-000078000000}"/>
    <cellStyle name="Currency 4 101 5" xfId="6253" xr:uid="{00000000-0005-0000-0000-000079000000}"/>
    <cellStyle name="Currency 4 102" xfId="53" xr:uid="{00000000-0005-0000-0000-00007A000000}"/>
    <cellStyle name="Currency 4 102 2" xfId="54" xr:uid="{00000000-0005-0000-0000-00007B000000}"/>
    <cellStyle name="Currency 4 102 2 2" xfId="4653" xr:uid="{00000000-0005-0000-0000-00007C000000}"/>
    <cellStyle name="Currency 4 102 2 3" xfId="6257" xr:uid="{00000000-0005-0000-0000-00007D000000}"/>
    <cellStyle name="Currency 4 102 3" xfId="55" xr:uid="{00000000-0005-0000-0000-00007E000000}"/>
    <cellStyle name="Currency 4 102 3 2" xfId="4654" xr:uid="{00000000-0005-0000-0000-00007F000000}"/>
    <cellStyle name="Currency 4 102 3 3" xfId="6258" xr:uid="{00000000-0005-0000-0000-000080000000}"/>
    <cellStyle name="Currency 4 102 4" xfId="4652" xr:uid="{00000000-0005-0000-0000-000081000000}"/>
    <cellStyle name="Currency 4 102 5" xfId="6256" xr:uid="{00000000-0005-0000-0000-000082000000}"/>
    <cellStyle name="Currency 4 103" xfId="56" xr:uid="{00000000-0005-0000-0000-000083000000}"/>
    <cellStyle name="Currency 4 103 2" xfId="57" xr:uid="{00000000-0005-0000-0000-000084000000}"/>
    <cellStyle name="Currency 4 103 2 2" xfId="4656" xr:uid="{00000000-0005-0000-0000-000085000000}"/>
    <cellStyle name="Currency 4 103 2 3" xfId="6260" xr:uid="{00000000-0005-0000-0000-000086000000}"/>
    <cellStyle name="Currency 4 103 3" xfId="58" xr:uid="{00000000-0005-0000-0000-000087000000}"/>
    <cellStyle name="Currency 4 103 3 2" xfId="4657" xr:uid="{00000000-0005-0000-0000-000088000000}"/>
    <cellStyle name="Currency 4 103 3 3" xfId="6261" xr:uid="{00000000-0005-0000-0000-000089000000}"/>
    <cellStyle name="Currency 4 103 4" xfId="4655" xr:uid="{00000000-0005-0000-0000-00008A000000}"/>
    <cellStyle name="Currency 4 103 5" xfId="6259" xr:uid="{00000000-0005-0000-0000-00008B000000}"/>
    <cellStyle name="Currency 4 104" xfId="59" xr:uid="{00000000-0005-0000-0000-00008C000000}"/>
    <cellStyle name="Currency 4 104 2" xfId="60" xr:uid="{00000000-0005-0000-0000-00008D000000}"/>
    <cellStyle name="Currency 4 104 2 2" xfId="4659" xr:uid="{00000000-0005-0000-0000-00008E000000}"/>
    <cellStyle name="Currency 4 104 2 3" xfId="6263" xr:uid="{00000000-0005-0000-0000-00008F000000}"/>
    <cellStyle name="Currency 4 104 3" xfId="61" xr:uid="{00000000-0005-0000-0000-000090000000}"/>
    <cellStyle name="Currency 4 104 3 2" xfId="4660" xr:uid="{00000000-0005-0000-0000-000091000000}"/>
    <cellStyle name="Currency 4 104 3 3" xfId="6264" xr:uid="{00000000-0005-0000-0000-000092000000}"/>
    <cellStyle name="Currency 4 104 4" xfId="4658" xr:uid="{00000000-0005-0000-0000-000093000000}"/>
    <cellStyle name="Currency 4 104 5" xfId="6262" xr:uid="{00000000-0005-0000-0000-000094000000}"/>
    <cellStyle name="Currency 4 105" xfId="62" xr:uid="{00000000-0005-0000-0000-000095000000}"/>
    <cellStyle name="Currency 4 105 2" xfId="63" xr:uid="{00000000-0005-0000-0000-000096000000}"/>
    <cellStyle name="Currency 4 105 2 2" xfId="4662" xr:uid="{00000000-0005-0000-0000-000097000000}"/>
    <cellStyle name="Currency 4 105 2 3" xfId="6266" xr:uid="{00000000-0005-0000-0000-000098000000}"/>
    <cellStyle name="Currency 4 105 3" xfId="64" xr:uid="{00000000-0005-0000-0000-000099000000}"/>
    <cellStyle name="Currency 4 105 3 2" xfId="4663" xr:uid="{00000000-0005-0000-0000-00009A000000}"/>
    <cellStyle name="Currency 4 105 3 3" xfId="6267" xr:uid="{00000000-0005-0000-0000-00009B000000}"/>
    <cellStyle name="Currency 4 105 4" xfId="4661" xr:uid="{00000000-0005-0000-0000-00009C000000}"/>
    <cellStyle name="Currency 4 105 5" xfId="6265" xr:uid="{00000000-0005-0000-0000-00009D000000}"/>
    <cellStyle name="Currency 4 106" xfId="65" xr:uid="{00000000-0005-0000-0000-00009E000000}"/>
    <cellStyle name="Currency 4 106 2" xfId="66" xr:uid="{00000000-0005-0000-0000-00009F000000}"/>
    <cellStyle name="Currency 4 106 2 2" xfId="4665" xr:uid="{00000000-0005-0000-0000-0000A0000000}"/>
    <cellStyle name="Currency 4 106 2 3" xfId="6269" xr:uid="{00000000-0005-0000-0000-0000A1000000}"/>
    <cellStyle name="Currency 4 106 3" xfId="67" xr:uid="{00000000-0005-0000-0000-0000A2000000}"/>
    <cellStyle name="Currency 4 106 3 2" xfId="4666" xr:uid="{00000000-0005-0000-0000-0000A3000000}"/>
    <cellStyle name="Currency 4 106 3 3" xfId="6270" xr:uid="{00000000-0005-0000-0000-0000A4000000}"/>
    <cellStyle name="Currency 4 106 4" xfId="4664" xr:uid="{00000000-0005-0000-0000-0000A5000000}"/>
    <cellStyle name="Currency 4 106 5" xfId="6268" xr:uid="{00000000-0005-0000-0000-0000A6000000}"/>
    <cellStyle name="Currency 4 107" xfId="68" xr:uid="{00000000-0005-0000-0000-0000A7000000}"/>
    <cellStyle name="Currency 4 107 2" xfId="69" xr:uid="{00000000-0005-0000-0000-0000A8000000}"/>
    <cellStyle name="Currency 4 107 2 2" xfId="4668" xr:uid="{00000000-0005-0000-0000-0000A9000000}"/>
    <cellStyle name="Currency 4 107 2 3" xfId="6272" xr:uid="{00000000-0005-0000-0000-0000AA000000}"/>
    <cellStyle name="Currency 4 107 3" xfId="70" xr:uid="{00000000-0005-0000-0000-0000AB000000}"/>
    <cellStyle name="Currency 4 107 3 2" xfId="4669" xr:uid="{00000000-0005-0000-0000-0000AC000000}"/>
    <cellStyle name="Currency 4 107 3 3" xfId="6273" xr:uid="{00000000-0005-0000-0000-0000AD000000}"/>
    <cellStyle name="Currency 4 107 4" xfId="4667" xr:uid="{00000000-0005-0000-0000-0000AE000000}"/>
    <cellStyle name="Currency 4 107 5" xfId="6271" xr:uid="{00000000-0005-0000-0000-0000AF000000}"/>
    <cellStyle name="Currency 4 108" xfId="71" xr:uid="{00000000-0005-0000-0000-0000B0000000}"/>
    <cellStyle name="Currency 4 108 2" xfId="72" xr:uid="{00000000-0005-0000-0000-0000B1000000}"/>
    <cellStyle name="Currency 4 108 2 2" xfId="4671" xr:uid="{00000000-0005-0000-0000-0000B2000000}"/>
    <cellStyle name="Currency 4 108 2 3" xfId="6275" xr:uid="{00000000-0005-0000-0000-0000B3000000}"/>
    <cellStyle name="Currency 4 108 3" xfId="73" xr:uid="{00000000-0005-0000-0000-0000B4000000}"/>
    <cellStyle name="Currency 4 108 3 2" xfId="4672" xr:uid="{00000000-0005-0000-0000-0000B5000000}"/>
    <cellStyle name="Currency 4 108 3 3" xfId="6276" xr:uid="{00000000-0005-0000-0000-0000B6000000}"/>
    <cellStyle name="Currency 4 108 4" xfId="4670" xr:uid="{00000000-0005-0000-0000-0000B7000000}"/>
    <cellStyle name="Currency 4 108 5" xfId="6274" xr:uid="{00000000-0005-0000-0000-0000B8000000}"/>
    <cellStyle name="Currency 4 109" xfId="74" xr:uid="{00000000-0005-0000-0000-0000B9000000}"/>
    <cellStyle name="Currency 4 109 2" xfId="75" xr:uid="{00000000-0005-0000-0000-0000BA000000}"/>
    <cellStyle name="Currency 4 109 2 2" xfId="4674" xr:uid="{00000000-0005-0000-0000-0000BB000000}"/>
    <cellStyle name="Currency 4 109 2 3" xfId="6278" xr:uid="{00000000-0005-0000-0000-0000BC000000}"/>
    <cellStyle name="Currency 4 109 3" xfId="76" xr:uid="{00000000-0005-0000-0000-0000BD000000}"/>
    <cellStyle name="Currency 4 109 3 2" xfId="4675" xr:uid="{00000000-0005-0000-0000-0000BE000000}"/>
    <cellStyle name="Currency 4 109 3 3" xfId="6279" xr:uid="{00000000-0005-0000-0000-0000BF000000}"/>
    <cellStyle name="Currency 4 109 4" xfId="4673" xr:uid="{00000000-0005-0000-0000-0000C0000000}"/>
    <cellStyle name="Currency 4 109 5" xfId="6277" xr:uid="{00000000-0005-0000-0000-0000C1000000}"/>
    <cellStyle name="Currency 4 11" xfId="77" xr:uid="{00000000-0005-0000-0000-0000C2000000}"/>
    <cellStyle name="Currency 4 11 2" xfId="78" xr:uid="{00000000-0005-0000-0000-0000C3000000}"/>
    <cellStyle name="Currency 4 11 2 2" xfId="4677" xr:uid="{00000000-0005-0000-0000-0000C4000000}"/>
    <cellStyle name="Currency 4 11 2 3" xfId="6281" xr:uid="{00000000-0005-0000-0000-0000C5000000}"/>
    <cellStyle name="Currency 4 11 3" xfId="79" xr:uid="{00000000-0005-0000-0000-0000C6000000}"/>
    <cellStyle name="Currency 4 11 3 2" xfId="4678" xr:uid="{00000000-0005-0000-0000-0000C7000000}"/>
    <cellStyle name="Currency 4 11 3 3" xfId="6282" xr:uid="{00000000-0005-0000-0000-0000C8000000}"/>
    <cellStyle name="Currency 4 11 4" xfId="4676" xr:uid="{00000000-0005-0000-0000-0000C9000000}"/>
    <cellStyle name="Currency 4 11 5" xfId="6280" xr:uid="{00000000-0005-0000-0000-0000CA000000}"/>
    <cellStyle name="Currency 4 110" xfId="80" xr:uid="{00000000-0005-0000-0000-0000CB000000}"/>
    <cellStyle name="Currency 4 110 2" xfId="81" xr:uid="{00000000-0005-0000-0000-0000CC000000}"/>
    <cellStyle name="Currency 4 110 2 2" xfId="4680" xr:uid="{00000000-0005-0000-0000-0000CD000000}"/>
    <cellStyle name="Currency 4 110 2 3" xfId="6284" xr:uid="{00000000-0005-0000-0000-0000CE000000}"/>
    <cellStyle name="Currency 4 110 3" xfId="82" xr:uid="{00000000-0005-0000-0000-0000CF000000}"/>
    <cellStyle name="Currency 4 110 3 2" xfId="4681" xr:uid="{00000000-0005-0000-0000-0000D0000000}"/>
    <cellStyle name="Currency 4 110 3 3" xfId="6285" xr:uid="{00000000-0005-0000-0000-0000D1000000}"/>
    <cellStyle name="Currency 4 110 4" xfId="4679" xr:uid="{00000000-0005-0000-0000-0000D2000000}"/>
    <cellStyle name="Currency 4 110 5" xfId="6283" xr:uid="{00000000-0005-0000-0000-0000D3000000}"/>
    <cellStyle name="Currency 4 111" xfId="83" xr:uid="{00000000-0005-0000-0000-0000D4000000}"/>
    <cellStyle name="Currency 4 111 2" xfId="84" xr:uid="{00000000-0005-0000-0000-0000D5000000}"/>
    <cellStyle name="Currency 4 111 2 2" xfId="4683" xr:uid="{00000000-0005-0000-0000-0000D6000000}"/>
    <cellStyle name="Currency 4 111 2 3" xfId="6287" xr:uid="{00000000-0005-0000-0000-0000D7000000}"/>
    <cellStyle name="Currency 4 111 3" xfId="85" xr:uid="{00000000-0005-0000-0000-0000D8000000}"/>
    <cellStyle name="Currency 4 111 3 2" xfId="4684" xr:uid="{00000000-0005-0000-0000-0000D9000000}"/>
    <cellStyle name="Currency 4 111 3 3" xfId="6288" xr:uid="{00000000-0005-0000-0000-0000DA000000}"/>
    <cellStyle name="Currency 4 111 4" xfId="4682" xr:uid="{00000000-0005-0000-0000-0000DB000000}"/>
    <cellStyle name="Currency 4 111 5" xfId="6286" xr:uid="{00000000-0005-0000-0000-0000DC000000}"/>
    <cellStyle name="Currency 4 112" xfId="86" xr:uid="{00000000-0005-0000-0000-0000DD000000}"/>
    <cellStyle name="Currency 4 112 2" xfId="87" xr:uid="{00000000-0005-0000-0000-0000DE000000}"/>
    <cellStyle name="Currency 4 112 2 2" xfId="4686" xr:uid="{00000000-0005-0000-0000-0000DF000000}"/>
    <cellStyle name="Currency 4 112 2 3" xfId="6290" xr:uid="{00000000-0005-0000-0000-0000E0000000}"/>
    <cellStyle name="Currency 4 112 3" xfId="88" xr:uid="{00000000-0005-0000-0000-0000E1000000}"/>
    <cellStyle name="Currency 4 112 3 2" xfId="4687" xr:uid="{00000000-0005-0000-0000-0000E2000000}"/>
    <cellStyle name="Currency 4 112 3 3" xfId="6291" xr:uid="{00000000-0005-0000-0000-0000E3000000}"/>
    <cellStyle name="Currency 4 112 4" xfId="4685" xr:uid="{00000000-0005-0000-0000-0000E4000000}"/>
    <cellStyle name="Currency 4 112 5" xfId="6289" xr:uid="{00000000-0005-0000-0000-0000E5000000}"/>
    <cellStyle name="Currency 4 113" xfId="89" xr:uid="{00000000-0005-0000-0000-0000E6000000}"/>
    <cellStyle name="Currency 4 113 2" xfId="90" xr:uid="{00000000-0005-0000-0000-0000E7000000}"/>
    <cellStyle name="Currency 4 113 2 2" xfId="4689" xr:uid="{00000000-0005-0000-0000-0000E8000000}"/>
    <cellStyle name="Currency 4 113 2 3" xfId="6293" xr:uid="{00000000-0005-0000-0000-0000E9000000}"/>
    <cellStyle name="Currency 4 113 3" xfId="91" xr:uid="{00000000-0005-0000-0000-0000EA000000}"/>
    <cellStyle name="Currency 4 113 3 2" xfId="4690" xr:uid="{00000000-0005-0000-0000-0000EB000000}"/>
    <cellStyle name="Currency 4 113 3 3" xfId="6294" xr:uid="{00000000-0005-0000-0000-0000EC000000}"/>
    <cellStyle name="Currency 4 113 4" xfId="4688" xr:uid="{00000000-0005-0000-0000-0000ED000000}"/>
    <cellStyle name="Currency 4 113 5" xfId="6292" xr:uid="{00000000-0005-0000-0000-0000EE000000}"/>
    <cellStyle name="Currency 4 114" xfId="92" xr:uid="{00000000-0005-0000-0000-0000EF000000}"/>
    <cellStyle name="Currency 4 114 2" xfId="93" xr:uid="{00000000-0005-0000-0000-0000F0000000}"/>
    <cellStyle name="Currency 4 114 2 2" xfId="4692" xr:uid="{00000000-0005-0000-0000-0000F1000000}"/>
    <cellStyle name="Currency 4 114 2 3" xfId="6296" xr:uid="{00000000-0005-0000-0000-0000F2000000}"/>
    <cellStyle name="Currency 4 114 3" xfId="94" xr:uid="{00000000-0005-0000-0000-0000F3000000}"/>
    <cellStyle name="Currency 4 114 3 2" xfId="4693" xr:uid="{00000000-0005-0000-0000-0000F4000000}"/>
    <cellStyle name="Currency 4 114 3 3" xfId="6297" xr:uid="{00000000-0005-0000-0000-0000F5000000}"/>
    <cellStyle name="Currency 4 114 4" xfId="4691" xr:uid="{00000000-0005-0000-0000-0000F6000000}"/>
    <cellStyle name="Currency 4 114 5" xfId="6295" xr:uid="{00000000-0005-0000-0000-0000F7000000}"/>
    <cellStyle name="Currency 4 115" xfId="95" xr:uid="{00000000-0005-0000-0000-0000F8000000}"/>
    <cellStyle name="Currency 4 115 2" xfId="96" xr:uid="{00000000-0005-0000-0000-0000F9000000}"/>
    <cellStyle name="Currency 4 115 2 2" xfId="4695" xr:uid="{00000000-0005-0000-0000-0000FA000000}"/>
    <cellStyle name="Currency 4 115 2 3" xfId="6299" xr:uid="{00000000-0005-0000-0000-0000FB000000}"/>
    <cellStyle name="Currency 4 115 3" xfId="97" xr:uid="{00000000-0005-0000-0000-0000FC000000}"/>
    <cellStyle name="Currency 4 115 3 2" xfId="4696" xr:uid="{00000000-0005-0000-0000-0000FD000000}"/>
    <cellStyle name="Currency 4 115 3 3" xfId="6300" xr:uid="{00000000-0005-0000-0000-0000FE000000}"/>
    <cellStyle name="Currency 4 115 4" xfId="4694" xr:uid="{00000000-0005-0000-0000-0000FF000000}"/>
    <cellStyle name="Currency 4 115 5" xfId="6298" xr:uid="{00000000-0005-0000-0000-000000010000}"/>
    <cellStyle name="Currency 4 116" xfId="4642" xr:uid="{00000000-0005-0000-0000-000001010000}"/>
    <cellStyle name="Currency 4 117" xfId="6246" xr:uid="{00000000-0005-0000-0000-000002010000}"/>
    <cellStyle name="Currency 4 12" xfId="98" xr:uid="{00000000-0005-0000-0000-000003010000}"/>
    <cellStyle name="Currency 4 12 2" xfId="99" xr:uid="{00000000-0005-0000-0000-000004010000}"/>
    <cellStyle name="Currency 4 12 2 2" xfId="4698" xr:uid="{00000000-0005-0000-0000-000005010000}"/>
    <cellStyle name="Currency 4 12 2 3" xfId="6302" xr:uid="{00000000-0005-0000-0000-000006010000}"/>
    <cellStyle name="Currency 4 12 3" xfId="100" xr:uid="{00000000-0005-0000-0000-000007010000}"/>
    <cellStyle name="Currency 4 12 3 2" xfId="4699" xr:uid="{00000000-0005-0000-0000-000008010000}"/>
    <cellStyle name="Currency 4 12 3 3" xfId="6303" xr:uid="{00000000-0005-0000-0000-000009010000}"/>
    <cellStyle name="Currency 4 12 4" xfId="4697" xr:uid="{00000000-0005-0000-0000-00000A010000}"/>
    <cellStyle name="Currency 4 12 5" xfId="6301" xr:uid="{00000000-0005-0000-0000-00000B010000}"/>
    <cellStyle name="Currency 4 13" xfId="101" xr:uid="{00000000-0005-0000-0000-00000C010000}"/>
    <cellStyle name="Currency 4 13 2" xfId="102" xr:uid="{00000000-0005-0000-0000-00000D010000}"/>
    <cellStyle name="Currency 4 13 2 2" xfId="4701" xr:uid="{00000000-0005-0000-0000-00000E010000}"/>
    <cellStyle name="Currency 4 13 2 3" xfId="6305" xr:uid="{00000000-0005-0000-0000-00000F010000}"/>
    <cellStyle name="Currency 4 13 3" xfId="103" xr:uid="{00000000-0005-0000-0000-000010010000}"/>
    <cellStyle name="Currency 4 13 3 2" xfId="4702" xr:uid="{00000000-0005-0000-0000-000011010000}"/>
    <cellStyle name="Currency 4 13 3 3" xfId="6306" xr:uid="{00000000-0005-0000-0000-000012010000}"/>
    <cellStyle name="Currency 4 13 4" xfId="4700" xr:uid="{00000000-0005-0000-0000-000013010000}"/>
    <cellStyle name="Currency 4 13 5" xfId="6304" xr:uid="{00000000-0005-0000-0000-000014010000}"/>
    <cellStyle name="Currency 4 14" xfId="104" xr:uid="{00000000-0005-0000-0000-000015010000}"/>
    <cellStyle name="Currency 4 14 2" xfId="105" xr:uid="{00000000-0005-0000-0000-000016010000}"/>
    <cellStyle name="Currency 4 14 2 2" xfId="4704" xr:uid="{00000000-0005-0000-0000-000017010000}"/>
    <cellStyle name="Currency 4 14 2 3" xfId="6308" xr:uid="{00000000-0005-0000-0000-000018010000}"/>
    <cellStyle name="Currency 4 14 3" xfId="106" xr:uid="{00000000-0005-0000-0000-000019010000}"/>
    <cellStyle name="Currency 4 14 3 2" xfId="4705" xr:uid="{00000000-0005-0000-0000-00001A010000}"/>
    <cellStyle name="Currency 4 14 3 3" xfId="6309" xr:uid="{00000000-0005-0000-0000-00001B010000}"/>
    <cellStyle name="Currency 4 14 4" xfId="4703" xr:uid="{00000000-0005-0000-0000-00001C010000}"/>
    <cellStyle name="Currency 4 14 5" xfId="6307" xr:uid="{00000000-0005-0000-0000-00001D010000}"/>
    <cellStyle name="Currency 4 15" xfId="107" xr:uid="{00000000-0005-0000-0000-00001E010000}"/>
    <cellStyle name="Currency 4 15 2" xfId="108" xr:uid="{00000000-0005-0000-0000-00001F010000}"/>
    <cellStyle name="Currency 4 15 2 2" xfId="4707" xr:uid="{00000000-0005-0000-0000-000020010000}"/>
    <cellStyle name="Currency 4 15 2 3" xfId="6311" xr:uid="{00000000-0005-0000-0000-000021010000}"/>
    <cellStyle name="Currency 4 15 3" xfId="109" xr:uid="{00000000-0005-0000-0000-000022010000}"/>
    <cellStyle name="Currency 4 15 3 2" xfId="4708" xr:uid="{00000000-0005-0000-0000-000023010000}"/>
    <cellStyle name="Currency 4 15 3 3" xfId="6312" xr:uid="{00000000-0005-0000-0000-000024010000}"/>
    <cellStyle name="Currency 4 15 4" xfId="4706" xr:uid="{00000000-0005-0000-0000-000025010000}"/>
    <cellStyle name="Currency 4 15 5" xfId="6310" xr:uid="{00000000-0005-0000-0000-000026010000}"/>
    <cellStyle name="Currency 4 16" xfId="110" xr:uid="{00000000-0005-0000-0000-000027010000}"/>
    <cellStyle name="Currency 4 16 2" xfId="111" xr:uid="{00000000-0005-0000-0000-000028010000}"/>
    <cellStyle name="Currency 4 16 2 2" xfId="4710" xr:uid="{00000000-0005-0000-0000-000029010000}"/>
    <cellStyle name="Currency 4 16 2 3" xfId="6314" xr:uid="{00000000-0005-0000-0000-00002A010000}"/>
    <cellStyle name="Currency 4 16 3" xfId="112" xr:uid="{00000000-0005-0000-0000-00002B010000}"/>
    <cellStyle name="Currency 4 16 3 2" xfId="4711" xr:uid="{00000000-0005-0000-0000-00002C010000}"/>
    <cellStyle name="Currency 4 16 3 3" xfId="6315" xr:uid="{00000000-0005-0000-0000-00002D010000}"/>
    <cellStyle name="Currency 4 16 4" xfId="4709" xr:uid="{00000000-0005-0000-0000-00002E010000}"/>
    <cellStyle name="Currency 4 16 5" xfId="6313" xr:uid="{00000000-0005-0000-0000-00002F010000}"/>
    <cellStyle name="Currency 4 17" xfId="113" xr:uid="{00000000-0005-0000-0000-000030010000}"/>
    <cellStyle name="Currency 4 17 2" xfId="114" xr:uid="{00000000-0005-0000-0000-000031010000}"/>
    <cellStyle name="Currency 4 17 2 2" xfId="4713" xr:uid="{00000000-0005-0000-0000-000032010000}"/>
    <cellStyle name="Currency 4 17 2 3" xfId="6317" xr:uid="{00000000-0005-0000-0000-000033010000}"/>
    <cellStyle name="Currency 4 17 3" xfId="115" xr:uid="{00000000-0005-0000-0000-000034010000}"/>
    <cellStyle name="Currency 4 17 3 2" xfId="4714" xr:uid="{00000000-0005-0000-0000-000035010000}"/>
    <cellStyle name="Currency 4 17 3 3" xfId="6318" xr:uid="{00000000-0005-0000-0000-000036010000}"/>
    <cellStyle name="Currency 4 17 4" xfId="4712" xr:uid="{00000000-0005-0000-0000-000037010000}"/>
    <cellStyle name="Currency 4 17 5" xfId="6316" xr:uid="{00000000-0005-0000-0000-000038010000}"/>
    <cellStyle name="Currency 4 18" xfId="116" xr:uid="{00000000-0005-0000-0000-000039010000}"/>
    <cellStyle name="Currency 4 18 2" xfId="117" xr:uid="{00000000-0005-0000-0000-00003A010000}"/>
    <cellStyle name="Currency 4 18 2 2" xfId="4716" xr:uid="{00000000-0005-0000-0000-00003B010000}"/>
    <cellStyle name="Currency 4 18 2 3" xfId="6320" xr:uid="{00000000-0005-0000-0000-00003C010000}"/>
    <cellStyle name="Currency 4 18 3" xfId="118" xr:uid="{00000000-0005-0000-0000-00003D010000}"/>
    <cellStyle name="Currency 4 18 3 2" xfId="4717" xr:uid="{00000000-0005-0000-0000-00003E010000}"/>
    <cellStyle name="Currency 4 18 3 3" xfId="6321" xr:uid="{00000000-0005-0000-0000-00003F010000}"/>
    <cellStyle name="Currency 4 18 4" xfId="4715" xr:uid="{00000000-0005-0000-0000-000040010000}"/>
    <cellStyle name="Currency 4 18 5" xfId="6319" xr:uid="{00000000-0005-0000-0000-000041010000}"/>
    <cellStyle name="Currency 4 19" xfId="119" xr:uid="{00000000-0005-0000-0000-000042010000}"/>
    <cellStyle name="Currency 4 19 2" xfId="120" xr:uid="{00000000-0005-0000-0000-000043010000}"/>
    <cellStyle name="Currency 4 19 2 2" xfId="4719" xr:uid="{00000000-0005-0000-0000-000044010000}"/>
    <cellStyle name="Currency 4 19 2 3" xfId="6323" xr:uid="{00000000-0005-0000-0000-000045010000}"/>
    <cellStyle name="Currency 4 19 3" xfId="121" xr:uid="{00000000-0005-0000-0000-000046010000}"/>
    <cellStyle name="Currency 4 19 3 2" xfId="4720" xr:uid="{00000000-0005-0000-0000-000047010000}"/>
    <cellStyle name="Currency 4 19 3 3" xfId="6324" xr:uid="{00000000-0005-0000-0000-000048010000}"/>
    <cellStyle name="Currency 4 19 4" xfId="4718" xr:uid="{00000000-0005-0000-0000-000049010000}"/>
    <cellStyle name="Currency 4 19 5" xfId="6322" xr:uid="{00000000-0005-0000-0000-00004A010000}"/>
    <cellStyle name="Currency 4 2" xfId="122" xr:uid="{00000000-0005-0000-0000-00004B010000}"/>
    <cellStyle name="Currency 4 2 2" xfId="123" xr:uid="{00000000-0005-0000-0000-00004C010000}"/>
    <cellStyle name="Currency 4 2 2 2" xfId="4722" xr:uid="{00000000-0005-0000-0000-00004D010000}"/>
    <cellStyle name="Currency 4 2 2 3" xfId="6326" xr:uid="{00000000-0005-0000-0000-00004E010000}"/>
    <cellStyle name="Currency 4 2 3" xfId="124" xr:uid="{00000000-0005-0000-0000-00004F010000}"/>
    <cellStyle name="Currency 4 2 3 2" xfId="4723" xr:uid="{00000000-0005-0000-0000-000050010000}"/>
    <cellStyle name="Currency 4 2 3 3" xfId="6327" xr:uid="{00000000-0005-0000-0000-000051010000}"/>
    <cellStyle name="Currency 4 2 4" xfId="4721" xr:uid="{00000000-0005-0000-0000-000052010000}"/>
    <cellStyle name="Currency 4 2 5" xfId="6325" xr:uid="{00000000-0005-0000-0000-000053010000}"/>
    <cellStyle name="Currency 4 20" xfId="125" xr:uid="{00000000-0005-0000-0000-000054010000}"/>
    <cellStyle name="Currency 4 20 2" xfId="126" xr:uid="{00000000-0005-0000-0000-000055010000}"/>
    <cellStyle name="Currency 4 20 2 2" xfId="4725" xr:uid="{00000000-0005-0000-0000-000056010000}"/>
    <cellStyle name="Currency 4 20 2 3" xfId="6329" xr:uid="{00000000-0005-0000-0000-000057010000}"/>
    <cellStyle name="Currency 4 20 3" xfId="127" xr:uid="{00000000-0005-0000-0000-000058010000}"/>
    <cellStyle name="Currency 4 20 3 2" xfId="4726" xr:uid="{00000000-0005-0000-0000-000059010000}"/>
    <cellStyle name="Currency 4 20 3 3" xfId="6330" xr:uid="{00000000-0005-0000-0000-00005A010000}"/>
    <cellStyle name="Currency 4 20 4" xfId="4724" xr:uid="{00000000-0005-0000-0000-00005B010000}"/>
    <cellStyle name="Currency 4 20 5" xfId="6328" xr:uid="{00000000-0005-0000-0000-00005C010000}"/>
    <cellStyle name="Currency 4 21" xfId="128" xr:uid="{00000000-0005-0000-0000-00005D010000}"/>
    <cellStyle name="Currency 4 21 2" xfId="129" xr:uid="{00000000-0005-0000-0000-00005E010000}"/>
    <cellStyle name="Currency 4 21 2 2" xfId="4728" xr:uid="{00000000-0005-0000-0000-00005F010000}"/>
    <cellStyle name="Currency 4 21 2 3" xfId="6332" xr:uid="{00000000-0005-0000-0000-000060010000}"/>
    <cellStyle name="Currency 4 21 3" xfId="130" xr:uid="{00000000-0005-0000-0000-000061010000}"/>
    <cellStyle name="Currency 4 21 3 2" xfId="4729" xr:uid="{00000000-0005-0000-0000-000062010000}"/>
    <cellStyle name="Currency 4 21 3 3" xfId="6333" xr:uid="{00000000-0005-0000-0000-000063010000}"/>
    <cellStyle name="Currency 4 21 4" xfId="4727" xr:uid="{00000000-0005-0000-0000-000064010000}"/>
    <cellStyle name="Currency 4 21 5" xfId="6331" xr:uid="{00000000-0005-0000-0000-000065010000}"/>
    <cellStyle name="Currency 4 22" xfId="131" xr:uid="{00000000-0005-0000-0000-000066010000}"/>
    <cellStyle name="Currency 4 22 2" xfId="132" xr:uid="{00000000-0005-0000-0000-000067010000}"/>
    <cellStyle name="Currency 4 22 2 2" xfId="4731" xr:uid="{00000000-0005-0000-0000-000068010000}"/>
    <cellStyle name="Currency 4 22 2 3" xfId="6335" xr:uid="{00000000-0005-0000-0000-000069010000}"/>
    <cellStyle name="Currency 4 22 3" xfId="133" xr:uid="{00000000-0005-0000-0000-00006A010000}"/>
    <cellStyle name="Currency 4 22 3 2" xfId="4732" xr:uid="{00000000-0005-0000-0000-00006B010000}"/>
    <cellStyle name="Currency 4 22 3 3" xfId="6336" xr:uid="{00000000-0005-0000-0000-00006C010000}"/>
    <cellStyle name="Currency 4 22 4" xfId="4730" xr:uid="{00000000-0005-0000-0000-00006D010000}"/>
    <cellStyle name="Currency 4 22 5" xfId="6334" xr:uid="{00000000-0005-0000-0000-00006E010000}"/>
    <cellStyle name="Currency 4 23" xfId="134" xr:uid="{00000000-0005-0000-0000-00006F010000}"/>
    <cellStyle name="Currency 4 23 2" xfId="135" xr:uid="{00000000-0005-0000-0000-000070010000}"/>
    <cellStyle name="Currency 4 23 2 2" xfId="4734" xr:uid="{00000000-0005-0000-0000-000071010000}"/>
    <cellStyle name="Currency 4 23 2 3" xfId="6338" xr:uid="{00000000-0005-0000-0000-000072010000}"/>
    <cellStyle name="Currency 4 23 3" xfId="136" xr:uid="{00000000-0005-0000-0000-000073010000}"/>
    <cellStyle name="Currency 4 23 3 2" xfId="4735" xr:uid="{00000000-0005-0000-0000-000074010000}"/>
    <cellStyle name="Currency 4 23 3 3" xfId="6339" xr:uid="{00000000-0005-0000-0000-000075010000}"/>
    <cellStyle name="Currency 4 23 4" xfId="4733" xr:uid="{00000000-0005-0000-0000-000076010000}"/>
    <cellStyle name="Currency 4 23 5" xfId="6337" xr:uid="{00000000-0005-0000-0000-000077010000}"/>
    <cellStyle name="Currency 4 24" xfId="137" xr:uid="{00000000-0005-0000-0000-000078010000}"/>
    <cellStyle name="Currency 4 24 2" xfId="138" xr:uid="{00000000-0005-0000-0000-000079010000}"/>
    <cellStyle name="Currency 4 24 2 2" xfId="4737" xr:uid="{00000000-0005-0000-0000-00007A010000}"/>
    <cellStyle name="Currency 4 24 2 3" xfId="6341" xr:uid="{00000000-0005-0000-0000-00007B010000}"/>
    <cellStyle name="Currency 4 24 3" xfId="139" xr:uid="{00000000-0005-0000-0000-00007C010000}"/>
    <cellStyle name="Currency 4 24 3 2" xfId="4738" xr:uid="{00000000-0005-0000-0000-00007D010000}"/>
    <cellStyle name="Currency 4 24 3 3" xfId="6342" xr:uid="{00000000-0005-0000-0000-00007E010000}"/>
    <cellStyle name="Currency 4 24 4" xfId="4736" xr:uid="{00000000-0005-0000-0000-00007F010000}"/>
    <cellStyle name="Currency 4 24 5" xfId="6340" xr:uid="{00000000-0005-0000-0000-000080010000}"/>
    <cellStyle name="Currency 4 25" xfId="140" xr:uid="{00000000-0005-0000-0000-000081010000}"/>
    <cellStyle name="Currency 4 25 2" xfId="141" xr:uid="{00000000-0005-0000-0000-000082010000}"/>
    <cellStyle name="Currency 4 25 2 2" xfId="4740" xr:uid="{00000000-0005-0000-0000-000083010000}"/>
    <cellStyle name="Currency 4 25 2 3" xfId="6344" xr:uid="{00000000-0005-0000-0000-000084010000}"/>
    <cellStyle name="Currency 4 25 3" xfId="142" xr:uid="{00000000-0005-0000-0000-000085010000}"/>
    <cellStyle name="Currency 4 25 3 2" xfId="4741" xr:uid="{00000000-0005-0000-0000-000086010000}"/>
    <cellStyle name="Currency 4 25 3 3" xfId="6345" xr:uid="{00000000-0005-0000-0000-000087010000}"/>
    <cellStyle name="Currency 4 25 4" xfId="4739" xr:uid="{00000000-0005-0000-0000-000088010000}"/>
    <cellStyle name="Currency 4 25 5" xfId="6343" xr:uid="{00000000-0005-0000-0000-000089010000}"/>
    <cellStyle name="Currency 4 26" xfId="143" xr:uid="{00000000-0005-0000-0000-00008A010000}"/>
    <cellStyle name="Currency 4 26 2" xfId="144" xr:uid="{00000000-0005-0000-0000-00008B010000}"/>
    <cellStyle name="Currency 4 26 2 2" xfId="4743" xr:uid="{00000000-0005-0000-0000-00008C010000}"/>
    <cellStyle name="Currency 4 26 2 3" xfId="6347" xr:uid="{00000000-0005-0000-0000-00008D010000}"/>
    <cellStyle name="Currency 4 26 3" xfId="145" xr:uid="{00000000-0005-0000-0000-00008E010000}"/>
    <cellStyle name="Currency 4 26 3 2" xfId="4744" xr:uid="{00000000-0005-0000-0000-00008F010000}"/>
    <cellStyle name="Currency 4 26 3 3" xfId="6348" xr:uid="{00000000-0005-0000-0000-000090010000}"/>
    <cellStyle name="Currency 4 26 4" xfId="4742" xr:uid="{00000000-0005-0000-0000-000091010000}"/>
    <cellStyle name="Currency 4 26 5" xfId="6346" xr:uid="{00000000-0005-0000-0000-000092010000}"/>
    <cellStyle name="Currency 4 27" xfId="146" xr:uid="{00000000-0005-0000-0000-000093010000}"/>
    <cellStyle name="Currency 4 27 2" xfId="147" xr:uid="{00000000-0005-0000-0000-000094010000}"/>
    <cellStyle name="Currency 4 27 2 2" xfId="4746" xr:uid="{00000000-0005-0000-0000-000095010000}"/>
    <cellStyle name="Currency 4 27 2 3" xfId="6350" xr:uid="{00000000-0005-0000-0000-000096010000}"/>
    <cellStyle name="Currency 4 27 3" xfId="148" xr:uid="{00000000-0005-0000-0000-000097010000}"/>
    <cellStyle name="Currency 4 27 3 2" xfId="4747" xr:uid="{00000000-0005-0000-0000-000098010000}"/>
    <cellStyle name="Currency 4 27 3 3" xfId="6351" xr:uid="{00000000-0005-0000-0000-000099010000}"/>
    <cellStyle name="Currency 4 27 4" xfId="4745" xr:uid="{00000000-0005-0000-0000-00009A010000}"/>
    <cellStyle name="Currency 4 27 5" xfId="6349" xr:uid="{00000000-0005-0000-0000-00009B010000}"/>
    <cellStyle name="Currency 4 28" xfId="149" xr:uid="{00000000-0005-0000-0000-00009C010000}"/>
    <cellStyle name="Currency 4 28 2" xfId="150" xr:uid="{00000000-0005-0000-0000-00009D010000}"/>
    <cellStyle name="Currency 4 28 2 2" xfId="4749" xr:uid="{00000000-0005-0000-0000-00009E010000}"/>
    <cellStyle name="Currency 4 28 2 3" xfId="6353" xr:uid="{00000000-0005-0000-0000-00009F010000}"/>
    <cellStyle name="Currency 4 28 3" xfId="151" xr:uid="{00000000-0005-0000-0000-0000A0010000}"/>
    <cellStyle name="Currency 4 28 3 2" xfId="4750" xr:uid="{00000000-0005-0000-0000-0000A1010000}"/>
    <cellStyle name="Currency 4 28 3 3" xfId="6354" xr:uid="{00000000-0005-0000-0000-0000A2010000}"/>
    <cellStyle name="Currency 4 28 4" xfId="4748" xr:uid="{00000000-0005-0000-0000-0000A3010000}"/>
    <cellStyle name="Currency 4 28 5" xfId="6352" xr:uid="{00000000-0005-0000-0000-0000A4010000}"/>
    <cellStyle name="Currency 4 29" xfId="152" xr:uid="{00000000-0005-0000-0000-0000A5010000}"/>
    <cellStyle name="Currency 4 29 2" xfId="153" xr:uid="{00000000-0005-0000-0000-0000A6010000}"/>
    <cellStyle name="Currency 4 29 2 2" xfId="4752" xr:uid="{00000000-0005-0000-0000-0000A7010000}"/>
    <cellStyle name="Currency 4 29 2 3" xfId="6356" xr:uid="{00000000-0005-0000-0000-0000A8010000}"/>
    <cellStyle name="Currency 4 29 3" xfId="154" xr:uid="{00000000-0005-0000-0000-0000A9010000}"/>
    <cellStyle name="Currency 4 29 3 2" xfId="4753" xr:uid="{00000000-0005-0000-0000-0000AA010000}"/>
    <cellStyle name="Currency 4 29 3 3" xfId="6357" xr:uid="{00000000-0005-0000-0000-0000AB010000}"/>
    <cellStyle name="Currency 4 29 4" xfId="4751" xr:uid="{00000000-0005-0000-0000-0000AC010000}"/>
    <cellStyle name="Currency 4 29 5" xfId="6355" xr:uid="{00000000-0005-0000-0000-0000AD010000}"/>
    <cellStyle name="Currency 4 3" xfId="155" xr:uid="{00000000-0005-0000-0000-0000AE010000}"/>
    <cellStyle name="Currency 4 3 2" xfId="156" xr:uid="{00000000-0005-0000-0000-0000AF010000}"/>
    <cellStyle name="Currency 4 3 2 2" xfId="4755" xr:uid="{00000000-0005-0000-0000-0000B0010000}"/>
    <cellStyle name="Currency 4 3 2 3" xfId="6359" xr:uid="{00000000-0005-0000-0000-0000B1010000}"/>
    <cellStyle name="Currency 4 3 3" xfId="157" xr:uid="{00000000-0005-0000-0000-0000B2010000}"/>
    <cellStyle name="Currency 4 3 3 2" xfId="4756" xr:uid="{00000000-0005-0000-0000-0000B3010000}"/>
    <cellStyle name="Currency 4 3 3 3" xfId="6360" xr:uid="{00000000-0005-0000-0000-0000B4010000}"/>
    <cellStyle name="Currency 4 3 4" xfId="4754" xr:uid="{00000000-0005-0000-0000-0000B5010000}"/>
    <cellStyle name="Currency 4 3 5" xfId="6358" xr:uid="{00000000-0005-0000-0000-0000B6010000}"/>
    <cellStyle name="Currency 4 30" xfId="158" xr:uid="{00000000-0005-0000-0000-0000B7010000}"/>
    <cellStyle name="Currency 4 30 2" xfId="159" xr:uid="{00000000-0005-0000-0000-0000B8010000}"/>
    <cellStyle name="Currency 4 30 2 2" xfId="4758" xr:uid="{00000000-0005-0000-0000-0000B9010000}"/>
    <cellStyle name="Currency 4 30 2 3" xfId="6362" xr:uid="{00000000-0005-0000-0000-0000BA010000}"/>
    <cellStyle name="Currency 4 30 3" xfId="160" xr:uid="{00000000-0005-0000-0000-0000BB010000}"/>
    <cellStyle name="Currency 4 30 3 2" xfId="4759" xr:uid="{00000000-0005-0000-0000-0000BC010000}"/>
    <cellStyle name="Currency 4 30 3 3" xfId="6363" xr:uid="{00000000-0005-0000-0000-0000BD010000}"/>
    <cellStyle name="Currency 4 30 4" xfId="4757" xr:uid="{00000000-0005-0000-0000-0000BE010000}"/>
    <cellStyle name="Currency 4 30 5" xfId="6361" xr:uid="{00000000-0005-0000-0000-0000BF010000}"/>
    <cellStyle name="Currency 4 31" xfId="161" xr:uid="{00000000-0005-0000-0000-0000C0010000}"/>
    <cellStyle name="Currency 4 31 2" xfId="162" xr:uid="{00000000-0005-0000-0000-0000C1010000}"/>
    <cellStyle name="Currency 4 31 2 2" xfId="4761" xr:uid="{00000000-0005-0000-0000-0000C2010000}"/>
    <cellStyle name="Currency 4 31 2 3" xfId="6365" xr:uid="{00000000-0005-0000-0000-0000C3010000}"/>
    <cellStyle name="Currency 4 31 3" xfId="163" xr:uid="{00000000-0005-0000-0000-0000C4010000}"/>
    <cellStyle name="Currency 4 31 3 2" xfId="4762" xr:uid="{00000000-0005-0000-0000-0000C5010000}"/>
    <cellStyle name="Currency 4 31 3 3" xfId="6366" xr:uid="{00000000-0005-0000-0000-0000C6010000}"/>
    <cellStyle name="Currency 4 31 4" xfId="4760" xr:uid="{00000000-0005-0000-0000-0000C7010000}"/>
    <cellStyle name="Currency 4 31 5" xfId="6364" xr:uid="{00000000-0005-0000-0000-0000C8010000}"/>
    <cellStyle name="Currency 4 32" xfId="164" xr:uid="{00000000-0005-0000-0000-0000C9010000}"/>
    <cellStyle name="Currency 4 32 2" xfId="165" xr:uid="{00000000-0005-0000-0000-0000CA010000}"/>
    <cellStyle name="Currency 4 32 2 2" xfId="4764" xr:uid="{00000000-0005-0000-0000-0000CB010000}"/>
    <cellStyle name="Currency 4 32 2 3" xfId="6368" xr:uid="{00000000-0005-0000-0000-0000CC010000}"/>
    <cellStyle name="Currency 4 32 3" xfId="166" xr:uid="{00000000-0005-0000-0000-0000CD010000}"/>
    <cellStyle name="Currency 4 32 3 2" xfId="4765" xr:uid="{00000000-0005-0000-0000-0000CE010000}"/>
    <cellStyle name="Currency 4 32 3 3" xfId="6369" xr:uid="{00000000-0005-0000-0000-0000CF010000}"/>
    <cellStyle name="Currency 4 32 4" xfId="4763" xr:uid="{00000000-0005-0000-0000-0000D0010000}"/>
    <cellStyle name="Currency 4 32 5" xfId="6367" xr:uid="{00000000-0005-0000-0000-0000D1010000}"/>
    <cellStyle name="Currency 4 33" xfId="167" xr:uid="{00000000-0005-0000-0000-0000D2010000}"/>
    <cellStyle name="Currency 4 33 2" xfId="168" xr:uid="{00000000-0005-0000-0000-0000D3010000}"/>
    <cellStyle name="Currency 4 33 2 2" xfId="4767" xr:uid="{00000000-0005-0000-0000-0000D4010000}"/>
    <cellStyle name="Currency 4 33 2 3" xfId="6371" xr:uid="{00000000-0005-0000-0000-0000D5010000}"/>
    <cellStyle name="Currency 4 33 3" xfId="169" xr:uid="{00000000-0005-0000-0000-0000D6010000}"/>
    <cellStyle name="Currency 4 33 3 2" xfId="4768" xr:uid="{00000000-0005-0000-0000-0000D7010000}"/>
    <cellStyle name="Currency 4 33 3 3" xfId="6372" xr:uid="{00000000-0005-0000-0000-0000D8010000}"/>
    <cellStyle name="Currency 4 33 4" xfId="4766" xr:uid="{00000000-0005-0000-0000-0000D9010000}"/>
    <cellStyle name="Currency 4 33 5" xfId="6370" xr:uid="{00000000-0005-0000-0000-0000DA010000}"/>
    <cellStyle name="Currency 4 34" xfId="170" xr:uid="{00000000-0005-0000-0000-0000DB010000}"/>
    <cellStyle name="Currency 4 34 2" xfId="171" xr:uid="{00000000-0005-0000-0000-0000DC010000}"/>
    <cellStyle name="Currency 4 34 2 2" xfId="4770" xr:uid="{00000000-0005-0000-0000-0000DD010000}"/>
    <cellStyle name="Currency 4 34 2 3" xfId="6374" xr:uid="{00000000-0005-0000-0000-0000DE010000}"/>
    <cellStyle name="Currency 4 34 3" xfId="172" xr:uid="{00000000-0005-0000-0000-0000DF010000}"/>
    <cellStyle name="Currency 4 34 3 2" xfId="4771" xr:uid="{00000000-0005-0000-0000-0000E0010000}"/>
    <cellStyle name="Currency 4 34 3 3" xfId="6375" xr:uid="{00000000-0005-0000-0000-0000E1010000}"/>
    <cellStyle name="Currency 4 34 4" xfId="4769" xr:uid="{00000000-0005-0000-0000-0000E2010000}"/>
    <cellStyle name="Currency 4 34 5" xfId="6373" xr:uid="{00000000-0005-0000-0000-0000E3010000}"/>
    <cellStyle name="Currency 4 35" xfId="173" xr:uid="{00000000-0005-0000-0000-0000E4010000}"/>
    <cellStyle name="Currency 4 35 2" xfId="174" xr:uid="{00000000-0005-0000-0000-0000E5010000}"/>
    <cellStyle name="Currency 4 35 2 2" xfId="4773" xr:uid="{00000000-0005-0000-0000-0000E6010000}"/>
    <cellStyle name="Currency 4 35 2 3" xfId="6377" xr:uid="{00000000-0005-0000-0000-0000E7010000}"/>
    <cellStyle name="Currency 4 35 3" xfId="175" xr:uid="{00000000-0005-0000-0000-0000E8010000}"/>
    <cellStyle name="Currency 4 35 3 2" xfId="4774" xr:uid="{00000000-0005-0000-0000-0000E9010000}"/>
    <cellStyle name="Currency 4 35 3 3" xfId="6378" xr:uid="{00000000-0005-0000-0000-0000EA010000}"/>
    <cellStyle name="Currency 4 35 4" xfId="4772" xr:uid="{00000000-0005-0000-0000-0000EB010000}"/>
    <cellStyle name="Currency 4 35 5" xfId="6376" xr:uid="{00000000-0005-0000-0000-0000EC010000}"/>
    <cellStyle name="Currency 4 36" xfId="176" xr:uid="{00000000-0005-0000-0000-0000ED010000}"/>
    <cellStyle name="Currency 4 36 2" xfId="177" xr:uid="{00000000-0005-0000-0000-0000EE010000}"/>
    <cellStyle name="Currency 4 36 2 2" xfId="4776" xr:uid="{00000000-0005-0000-0000-0000EF010000}"/>
    <cellStyle name="Currency 4 36 2 3" xfId="6380" xr:uid="{00000000-0005-0000-0000-0000F0010000}"/>
    <cellStyle name="Currency 4 36 3" xfId="178" xr:uid="{00000000-0005-0000-0000-0000F1010000}"/>
    <cellStyle name="Currency 4 36 3 2" xfId="4777" xr:uid="{00000000-0005-0000-0000-0000F2010000}"/>
    <cellStyle name="Currency 4 36 3 3" xfId="6381" xr:uid="{00000000-0005-0000-0000-0000F3010000}"/>
    <cellStyle name="Currency 4 36 4" xfId="4775" xr:uid="{00000000-0005-0000-0000-0000F4010000}"/>
    <cellStyle name="Currency 4 36 5" xfId="6379" xr:uid="{00000000-0005-0000-0000-0000F5010000}"/>
    <cellStyle name="Currency 4 37" xfId="179" xr:uid="{00000000-0005-0000-0000-0000F6010000}"/>
    <cellStyle name="Currency 4 37 2" xfId="180" xr:uid="{00000000-0005-0000-0000-0000F7010000}"/>
    <cellStyle name="Currency 4 37 2 2" xfId="4779" xr:uid="{00000000-0005-0000-0000-0000F8010000}"/>
    <cellStyle name="Currency 4 37 2 3" xfId="6383" xr:uid="{00000000-0005-0000-0000-0000F9010000}"/>
    <cellStyle name="Currency 4 37 3" xfId="181" xr:uid="{00000000-0005-0000-0000-0000FA010000}"/>
    <cellStyle name="Currency 4 37 3 2" xfId="4780" xr:uid="{00000000-0005-0000-0000-0000FB010000}"/>
    <cellStyle name="Currency 4 37 3 3" xfId="6384" xr:uid="{00000000-0005-0000-0000-0000FC010000}"/>
    <cellStyle name="Currency 4 37 4" xfId="4778" xr:uid="{00000000-0005-0000-0000-0000FD010000}"/>
    <cellStyle name="Currency 4 37 5" xfId="6382" xr:uid="{00000000-0005-0000-0000-0000FE010000}"/>
    <cellStyle name="Currency 4 38" xfId="182" xr:uid="{00000000-0005-0000-0000-0000FF010000}"/>
    <cellStyle name="Currency 4 38 2" xfId="183" xr:uid="{00000000-0005-0000-0000-000000020000}"/>
    <cellStyle name="Currency 4 38 2 2" xfId="4782" xr:uid="{00000000-0005-0000-0000-000001020000}"/>
    <cellStyle name="Currency 4 38 2 3" xfId="6386" xr:uid="{00000000-0005-0000-0000-000002020000}"/>
    <cellStyle name="Currency 4 38 3" xfId="184" xr:uid="{00000000-0005-0000-0000-000003020000}"/>
    <cellStyle name="Currency 4 38 3 2" xfId="4783" xr:uid="{00000000-0005-0000-0000-000004020000}"/>
    <cellStyle name="Currency 4 38 3 3" xfId="6387" xr:uid="{00000000-0005-0000-0000-000005020000}"/>
    <cellStyle name="Currency 4 38 4" xfId="4781" xr:uid="{00000000-0005-0000-0000-000006020000}"/>
    <cellStyle name="Currency 4 38 5" xfId="6385" xr:uid="{00000000-0005-0000-0000-000007020000}"/>
    <cellStyle name="Currency 4 39" xfId="185" xr:uid="{00000000-0005-0000-0000-000008020000}"/>
    <cellStyle name="Currency 4 39 2" xfId="186" xr:uid="{00000000-0005-0000-0000-000009020000}"/>
    <cellStyle name="Currency 4 39 2 2" xfId="4785" xr:uid="{00000000-0005-0000-0000-00000A020000}"/>
    <cellStyle name="Currency 4 39 2 3" xfId="6389" xr:uid="{00000000-0005-0000-0000-00000B020000}"/>
    <cellStyle name="Currency 4 39 3" xfId="187" xr:uid="{00000000-0005-0000-0000-00000C020000}"/>
    <cellStyle name="Currency 4 39 3 2" xfId="4786" xr:uid="{00000000-0005-0000-0000-00000D020000}"/>
    <cellStyle name="Currency 4 39 3 3" xfId="6390" xr:uid="{00000000-0005-0000-0000-00000E020000}"/>
    <cellStyle name="Currency 4 39 4" xfId="4784" xr:uid="{00000000-0005-0000-0000-00000F020000}"/>
    <cellStyle name="Currency 4 39 5" xfId="6388" xr:uid="{00000000-0005-0000-0000-000010020000}"/>
    <cellStyle name="Currency 4 4" xfId="188" xr:uid="{00000000-0005-0000-0000-000011020000}"/>
    <cellStyle name="Currency 4 4 2" xfId="189" xr:uid="{00000000-0005-0000-0000-000012020000}"/>
    <cellStyle name="Currency 4 4 2 2" xfId="4788" xr:uid="{00000000-0005-0000-0000-000013020000}"/>
    <cellStyle name="Currency 4 4 2 3" xfId="6392" xr:uid="{00000000-0005-0000-0000-000014020000}"/>
    <cellStyle name="Currency 4 4 3" xfId="190" xr:uid="{00000000-0005-0000-0000-000015020000}"/>
    <cellStyle name="Currency 4 4 3 2" xfId="4789" xr:uid="{00000000-0005-0000-0000-000016020000}"/>
    <cellStyle name="Currency 4 4 3 3" xfId="6393" xr:uid="{00000000-0005-0000-0000-000017020000}"/>
    <cellStyle name="Currency 4 4 4" xfId="4787" xr:uid="{00000000-0005-0000-0000-000018020000}"/>
    <cellStyle name="Currency 4 4 5" xfId="6391" xr:uid="{00000000-0005-0000-0000-000019020000}"/>
    <cellStyle name="Currency 4 40" xfId="191" xr:uid="{00000000-0005-0000-0000-00001A020000}"/>
    <cellStyle name="Currency 4 40 2" xfId="192" xr:uid="{00000000-0005-0000-0000-00001B020000}"/>
    <cellStyle name="Currency 4 40 2 2" xfId="4791" xr:uid="{00000000-0005-0000-0000-00001C020000}"/>
    <cellStyle name="Currency 4 40 2 3" xfId="6395" xr:uid="{00000000-0005-0000-0000-00001D020000}"/>
    <cellStyle name="Currency 4 40 3" xfId="193" xr:uid="{00000000-0005-0000-0000-00001E020000}"/>
    <cellStyle name="Currency 4 40 3 2" xfId="4792" xr:uid="{00000000-0005-0000-0000-00001F020000}"/>
    <cellStyle name="Currency 4 40 3 3" xfId="6396" xr:uid="{00000000-0005-0000-0000-000020020000}"/>
    <cellStyle name="Currency 4 40 4" xfId="4790" xr:uid="{00000000-0005-0000-0000-000021020000}"/>
    <cellStyle name="Currency 4 40 5" xfId="6394" xr:uid="{00000000-0005-0000-0000-000022020000}"/>
    <cellStyle name="Currency 4 41" xfId="194" xr:uid="{00000000-0005-0000-0000-000023020000}"/>
    <cellStyle name="Currency 4 41 2" xfId="195" xr:uid="{00000000-0005-0000-0000-000024020000}"/>
    <cellStyle name="Currency 4 41 2 2" xfId="4794" xr:uid="{00000000-0005-0000-0000-000025020000}"/>
    <cellStyle name="Currency 4 41 2 3" xfId="6398" xr:uid="{00000000-0005-0000-0000-000026020000}"/>
    <cellStyle name="Currency 4 41 3" xfId="196" xr:uid="{00000000-0005-0000-0000-000027020000}"/>
    <cellStyle name="Currency 4 41 3 2" xfId="4795" xr:uid="{00000000-0005-0000-0000-000028020000}"/>
    <cellStyle name="Currency 4 41 3 3" xfId="6399" xr:uid="{00000000-0005-0000-0000-000029020000}"/>
    <cellStyle name="Currency 4 41 4" xfId="4793" xr:uid="{00000000-0005-0000-0000-00002A020000}"/>
    <cellStyle name="Currency 4 41 5" xfId="6397" xr:uid="{00000000-0005-0000-0000-00002B020000}"/>
    <cellStyle name="Currency 4 42" xfId="197" xr:uid="{00000000-0005-0000-0000-00002C020000}"/>
    <cellStyle name="Currency 4 42 2" xfId="198" xr:uid="{00000000-0005-0000-0000-00002D020000}"/>
    <cellStyle name="Currency 4 42 2 2" xfId="4797" xr:uid="{00000000-0005-0000-0000-00002E020000}"/>
    <cellStyle name="Currency 4 42 2 3" xfId="6401" xr:uid="{00000000-0005-0000-0000-00002F020000}"/>
    <cellStyle name="Currency 4 42 3" xfId="199" xr:uid="{00000000-0005-0000-0000-000030020000}"/>
    <cellStyle name="Currency 4 42 3 2" xfId="4798" xr:uid="{00000000-0005-0000-0000-000031020000}"/>
    <cellStyle name="Currency 4 42 3 3" xfId="6402" xr:uid="{00000000-0005-0000-0000-000032020000}"/>
    <cellStyle name="Currency 4 42 4" xfId="4796" xr:uid="{00000000-0005-0000-0000-000033020000}"/>
    <cellStyle name="Currency 4 42 5" xfId="6400" xr:uid="{00000000-0005-0000-0000-000034020000}"/>
    <cellStyle name="Currency 4 43" xfId="200" xr:uid="{00000000-0005-0000-0000-000035020000}"/>
    <cellStyle name="Currency 4 43 2" xfId="201" xr:uid="{00000000-0005-0000-0000-000036020000}"/>
    <cellStyle name="Currency 4 43 2 2" xfId="4800" xr:uid="{00000000-0005-0000-0000-000037020000}"/>
    <cellStyle name="Currency 4 43 2 3" xfId="6404" xr:uid="{00000000-0005-0000-0000-000038020000}"/>
    <cellStyle name="Currency 4 43 3" xfId="202" xr:uid="{00000000-0005-0000-0000-000039020000}"/>
    <cellStyle name="Currency 4 43 3 2" xfId="4801" xr:uid="{00000000-0005-0000-0000-00003A020000}"/>
    <cellStyle name="Currency 4 43 3 3" xfId="6405" xr:uid="{00000000-0005-0000-0000-00003B020000}"/>
    <cellStyle name="Currency 4 43 4" xfId="4799" xr:uid="{00000000-0005-0000-0000-00003C020000}"/>
    <cellStyle name="Currency 4 43 5" xfId="6403" xr:uid="{00000000-0005-0000-0000-00003D020000}"/>
    <cellStyle name="Currency 4 44" xfId="203" xr:uid="{00000000-0005-0000-0000-00003E020000}"/>
    <cellStyle name="Currency 4 44 2" xfId="204" xr:uid="{00000000-0005-0000-0000-00003F020000}"/>
    <cellStyle name="Currency 4 44 2 2" xfId="4803" xr:uid="{00000000-0005-0000-0000-000040020000}"/>
    <cellStyle name="Currency 4 44 2 3" xfId="6407" xr:uid="{00000000-0005-0000-0000-000041020000}"/>
    <cellStyle name="Currency 4 44 3" xfId="205" xr:uid="{00000000-0005-0000-0000-000042020000}"/>
    <cellStyle name="Currency 4 44 3 2" xfId="4804" xr:uid="{00000000-0005-0000-0000-000043020000}"/>
    <cellStyle name="Currency 4 44 3 3" xfId="6408" xr:uid="{00000000-0005-0000-0000-000044020000}"/>
    <cellStyle name="Currency 4 44 4" xfId="4802" xr:uid="{00000000-0005-0000-0000-000045020000}"/>
    <cellStyle name="Currency 4 44 5" xfId="6406" xr:uid="{00000000-0005-0000-0000-000046020000}"/>
    <cellStyle name="Currency 4 45" xfId="206" xr:uid="{00000000-0005-0000-0000-000047020000}"/>
    <cellStyle name="Currency 4 45 2" xfId="207" xr:uid="{00000000-0005-0000-0000-000048020000}"/>
    <cellStyle name="Currency 4 45 2 2" xfId="4806" xr:uid="{00000000-0005-0000-0000-000049020000}"/>
    <cellStyle name="Currency 4 45 2 3" xfId="6410" xr:uid="{00000000-0005-0000-0000-00004A020000}"/>
    <cellStyle name="Currency 4 45 3" xfId="208" xr:uid="{00000000-0005-0000-0000-00004B020000}"/>
    <cellStyle name="Currency 4 45 3 2" xfId="4807" xr:uid="{00000000-0005-0000-0000-00004C020000}"/>
    <cellStyle name="Currency 4 45 3 3" xfId="6411" xr:uid="{00000000-0005-0000-0000-00004D020000}"/>
    <cellStyle name="Currency 4 45 4" xfId="4805" xr:uid="{00000000-0005-0000-0000-00004E020000}"/>
    <cellStyle name="Currency 4 45 5" xfId="6409" xr:uid="{00000000-0005-0000-0000-00004F020000}"/>
    <cellStyle name="Currency 4 46" xfId="209" xr:uid="{00000000-0005-0000-0000-000050020000}"/>
    <cellStyle name="Currency 4 46 2" xfId="210" xr:uid="{00000000-0005-0000-0000-000051020000}"/>
    <cellStyle name="Currency 4 46 2 2" xfId="4809" xr:uid="{00000000-0005-0000-0000-000052020000}"/>
    <cellStyle name="Currency 4 46 2 3" xfId="6413" xr:uid="{00000000-0005-0000-0000-000053020000}"/>
    <cellStyle name="Currency 4 46 3" xfId="211" xr:uid="{00000000-0005-0000-0000-000054020000}"/>
    <cellStyle name="Currency 4 46 3 2" xfId="4810" xr:uid="{00000000-0005-0000-0000-000055020000}"/>
    <cellStyle name="Currency 4 46 3 3" xfId="6414" xr:uid="{00000000-0005-0000-0000-000056020000}"/>
    <cellStyle name="Currency 4 46 4" xfId="4808" xr:uid="{00000000-0005-0000-0000-000057020000}"/>
    <cellStyle name="Currency 4 46 5" xfId="6412" xr:uid="{00000000-0005-0000-0000-000058020000}"/>
    <cellStyle name="Currency 4 47" xfId="212" xr:uid="{00000000-0005-0000-0000-000059020000}"/>
    <cellStyle name="Currency 4 47 2" xfId="213" xr:uid="{00000000-0005-0000-0000-00005A020000}"/>
    <cellStyle name="Currency 4 47 2 2" xfId="4812" xr:uid="{00000000-0005-0000-0000-00005B020000}"/>
    <cellStyle name="Currency 4 47 2 3" xfId="6416" xr:uid="{00000000-0005-0000-0000-00005C020000}"/>
    <cellStyle name="Currency 4 47 3" xfId="214" xr:uid="{00000000-0005-0000-0000-00005D020000}"/>
    <cellStyle name="Currency 4 47 3 2" xfId="4813" xr:uid="{00000000-0005-0000-0000-00005E020000}"/>
    <cellStyle name="Currency 4 47 3 3" xfId="6417" xr:uid="{00000000-0005-0000-0000-00005F020000}"/>
    <cellStyle name="Currency 4 47 4" xfId="4811" xr:uid="{00000000-0005-0000-0000-000060020000}"/>
    <cellStyle name="Currency 4 47 5" xfId="6415" xr:uid="{00000000-0005-0000-0000-000061020000}"/>
    <cellStyle name="Currency 4 48" xfId="215" xr:uid="{00000000-0005-0000-0000-000062020000}"/>
    <cellStyle name="Currency 4 48 2" xfId="216" xr:uid="{00000000-0005-0000-0000-000063020000}"/>
    <cellStyle name="Currency 4 48 2 2" xfId="4815" xr:uid="{00000000-0005-0000-0000-000064020000}"/>
    <cellStyle name="Currency 4 48 2 3" xfId="6419" xr:uid="{00000000-0005-0000-0000-000065020000}"/>
    <cellStyle name="Currency 4 48 3" xfId="217" xr:uid="{00000000-0005-0000-0000-000066020000}"/>
    <cellStyle name="Currency 4 48 3 2" xfId="4816" xr:uid="{00000000-0005-0000-0000-000067020000}"/>
    <cellStyle name="Currency 4 48 3 3" xfId="6420" xr:uid="{00000000-0005-0000-0000-000068020000}"/>
    <cellStyle name="Currency 4 48 4" xfId="4814" xr:uid="{00000000-0005-0000-0000-000069020000}"/>
    <cellStyle name="Currency 4 48 5" xfId="6418" xr:uid="{00000000-0005-0000-0000-00006A020000}"/>
    <cellStyle name="Currency 4 49" xfId="218" xr:uid="{00000000-0005-0000-0000-00006B020000}"/>
    <cellStyle name="Currency 4 49 2" xfId="219" xr:uid="{00000000-0005-0000-0000-00006C020000}"/>
    <cellStyle name="Currency 4 49 2 2" xfId="4818" xr:uid="{00000000-0005-0000-0000-00006D020000}"/>
    <cellStyle name="Currency 4 49 2 3" xfId="6422" xr:uid="{00000000-0005-0000-0000-00006E020000}"/>
    <cellStyle name="Currency 4 49 3" xfId="220" xr:uid="{00000000-0005-0000-0000-00006F020000}"/>
    <cellStyle name="Currency 4 49 3 2" xfId="4819" xr:uid="{00000000-0005-0000-0000-000070020000}"/>
    <cellStyle name="Currency 4 49 3 3" xfId="6423" xr:uid="{00000000-0005-0000-0000-000071020000}"/>
    <cellStyle name="Currency 4 49 4" xfId="4817" xr:uid="{00000000-0005-0000-0000-000072020000}"/>
    <cellStyle name="Currency 4 49 5" xfId="6421" xr:uid="{00000000-0005-0000-0000-000073020000}"/>
    <cellStyle name="Currency 4 5" xfId="221" xr:uid="{00000000-0005-0000-0000-000074020000}"/>
    <cellStyle name="Currency 4 5 2" xfId="222" xr:uid="{00000000-0005-0000-0000-000075020000}"/>
    <cellStyle name="Currency 4 5 2 2" xfId="4821" xr:uid="{00000000-0005-0000-0000-000076020000}"/>
    <cellStyle name="Currency 4 5 2 3" xfId="6425" xr:uid="{00000000-0005-0000-0000-000077020000}"/>
    <cellStyle name="Currency 4 5 3" xfId="223" xr:uid="{00000000-0005-0000-0000-000078020000}"/>
    <cellStyle name="Currency 4 5 3 2" xfId="4822" xr:uid="{00000000-0005-0000-0000-000079020000}"/>
    <cellStyle name="Currency 4 5 3 3" xfId="6426" xr:uid="{00000000-0005-0000-0000-00007A020000}"/>
    <cellStyle name="Currency 4 5 4" xfId="4820" xr:uid="{00000000-0005-0000-0000-00007B020000}"/>
    <cellStyle name="Currency 4 5 5" xfId="6424" xr:uid="{00000000-0005-0000-0000-00007C020000}"/>
    <cellStyle name="Currency 4 50" xfId="224" xr:uid="{00000000-0005-0000-0000-00007D020000}"/>
    <cellStyle name="Currency 4 50 2" xfId="225" xr:uid="{00000000-0005-0000-0000-00007E020000}"/>
    <cellStyle name="Currency 4 50 2 2" xfId="4824" xr:uid="{00000000-0005-0000-0000-00007F020000}"/>
    <cellStyle name="Currency 4 50 2 3" xfId="6428" xr:uid="{00000000-0005-0000-0000-000080020000}"/>
    <cellStyle name="Currency 4 50 3" xfId="226" xr:uid="{00000000-0005-0000-0000-000081020000}"/>
    <cellStyle name="Currency 4 50 3 2" xfId="4825" xr:uid="{00000000-0005-0000-0000-000082020000}"/>
    <cellStyle name="Currency 4 50 3 3" xfId="6429" xr:uid="{00000000-0005-0000-0000-000083020000}"/>
    <cellStyle name="Currency 4 50 4" xfId="4823" xr:uid="{00000000-0005-0000-0000-000084020000}"/>
    <cellStyle name="Currency 4 50 5" xfId="6427" xr:uid="{00000000-0005-0000-0000-000085020000}"/>
    <cellStyle name="Currency 4 51" xfId="227" xr:uid="{00000000-0005-0000-0000-000086020000}"/>
    <cellStyle name="Currency 4 51 2" xfId="228" xr:uid="{00000000-0005-0000-0000-000087020000}"/>
    <cellStyle name="Currency 4 51 2 2" xfId="4827" xr:uid="{00000000-0005-0000-0000-000088020000}"/>
    <cellStyle name="Currency 4 51 2 3" xfId="6431" xr:uid="{00000000-0005-0000-0000-000089020000}"/>
    <cellStyle name="Currency 4 51 3" xfId="229" xr:uid="{00000000-0005-0000-0000-00008A020000}"/>
    <cellStyle name="Currency 4 51 3 2" xfId="4828" xr:uid="{00000000-0005-0000-0000-00008B020000}"/>
    <cellStyle name="Currency 4 51 3 3" xfId="6432" xr:uid="{00000000-0005-0000-0000-00008C020000}"/>
    <cellStyle name="Currency 4 51 4" xfId="4826" xr:uid="{00000000-0005-0000-0000-00008D020000}"/>
    <cellStyle name="Currency 4 51 5" xfId="6430" xr:uid="{00000000-0005-0000-0000-00008E020000}"/>
    <cellStyle name="Currency 4 52" xfId="230" xr:uid="{00000000-0005-0000-0000-00008F020000}"/>
    <cellStyle name="Currency 4 52 2" xfId="231" xr:uid="{00000000-0005-0000-0000-000090020000}"/>
    <cellStyle name="Currency 4 52 2 2" xfId="4830" xr:uid="{00000000-0005-0000-0000-000091020000}"/>
    <cellStyle name="Currency 4 52 2 3" xfId="6434" xr:uid="{00000000-0005-0000-0000-000092020000}"/>
    <cellStyle name="Currency 4 52 3" xfId="232" xr:uid="{00000000-0005-0000-0000-000093020000}"/>
    <cellStyle name="Currency 4 52 3 2" xfId="4831" xr:uid="{00000000-0005-0000-0000-000094020000}"/>
    <cellStyle name="Currency 4 52 3 3" xfId="6435" xr:uid="{00000000-0005-0000-0000-000095020000}"/>
    <cellStyle name="Currency 4 52 4" xfId="4829" xr:uid="{00000000-0005-0000-0000-000096020000}"/>
    <cellStyle name="Currency 4 52 5" xfId="6433" xr:uid="{00000000-0005-0000-0000-000097020000}"/>
    <cellStyle name="Currency 4 53" xfId="233" xr:uid="{00000000-0005-0000-0000-000098020000}"/>
    <cellStyle name="Currency 4 53 2" xfId="234" xr:uid="{00000000-0005-0000-0000-000099020000}"/>
    <cellStyle name="Currency 4 53 2 2" xfId="4833" xr:uid="{00000000-0005-0000-0000-00009A020000}"/>
    <cellStyle name="Currency 4 53 2 3" xfId="6437" xr:uid="{00000000-0005-0000-0000-00009B020000}"/>
    <cellStyle name="Currency 4 53 3" xfId="235" xr:uid="{00000000-0005-0000-0000-00009C020000}"/>
    <cellStyle name="Currency 4 53 3 2" xfId="4834" xr:uid="{00000000-0005-0000-0000-00009D020000}"/>
    <cellStyle name="Currency 4 53 3 3" xfId="6438" xr:uid="{00000000-0005-0000-0000-00009E020000}"/>
    <cellStyle name="Currency 4 53 4" xfId="4832" xr:uid="{00000000-0005-0000-0000-00009F020000}"/>
    <cellStyle name="Currency 4 53 5" xfId="6436" xr:uid="{00000000-0005-0000-0000-0000A0020000}"/>
    <cellStyle name="Currency 4 54" xfId="236" xr:uid="{00000000-0005-0000-0000-0000A1020000}"/>
    <cellStyle name="Currency 4 54 2" xfId="237" xr:uid="{00000000-0005-0000-0000-0000A2020000}"/>
    <cellStyle name="Currency 4 54 2 2" xfId="4836" xr:uid="{00000000-0005-0000-0000-0000A3020000}"/>
    <cellStyle name="Currency 4 54 2 3" xfId="6440" xr:uid="{00000000-0005-0000-0000-0000A4020000}"/>
    <cellStyle name="Currency 4 54 3" xfId="238" xr:uid="{00000000-0005-0000-0000-0000A5020000}"/>
    <cellStyle name="Currency 4 54 3 2" xfId="4837" xr:uid="{00000000-0005-0000-0000-0000A6020000}"/>
    <cellStyle name="Currency 4 54 3 3" xfId="6441" xr:uid="{00000000-0005-0000-0000-0000A7020000}"/>
    <cellStyle name="Currency 4 54 4" xfId="4835" xr:uid="{00000000-0005-0000-0000-0000A8020000}"/>
    <cellStyle name="Currency 4 54 5" xfId="6439" xr:uid="{00000000-0005-0000-0000-0000A9020000}"/>
    <cellStyle name="Currency 4 55" xfId="239" xr:uid="{00000000-0005-0000-0000-0000AA020000}"/>
    <cellStyle name="Currency 4 55 2" xfId="240" xr:uid="{00000000-0005-0000-0000-0000AB020000}"/>
    <cellStyle name="Currency 4 55 2 2" xfId="4839" xr:uid="{00000000-0005-0000-0000-0000AC020000}"/>
    <cellStyle name="Currency 4 55 2 3" xfId="6443" xr:uid="{00000000-0005-0000-0000-0000AD020000}"/>
    <cellStyle name="Currency 4 55 3" xfId="241" xr:uid="{00000000-0005-0000-0000-0000AE020000}"/>
    <cellStyle name="Currency 4 55 3 2" xfId="4840" xr:uid="{00000000-0005-0000-0000-0000AF020000}"/>
    <cellStyle name="Currency 4 55 3 3" xfId="6444" xr:uid="{00000000-0005-0000-0000-0000B0020000}"/>
    <cellStyle name="Currency 4 55 4" xfId="4838" xr:uid="{00000000-0005-0000-0000-0000B1020000}"/>
    <cellStyle name="Currency 4 55 5" xfId="6442" xr:uid="{00000000-0005-0000-0000-0000B2020000}"/>
    <cellStyle name="Currency 4 56" xfId="242" xr:uid="{00000000-0005-0000-0000-0000B3020000}"/>
    <cellStyle name="Currency 4 56 2" xfId="243" xr:uid="{00000000-0005-0000-0000-0000B4020000}"/>
    <cellStyle name="Currency 4 56 2 2" xfId="4842" xr:uid="{00000000-0005-0000-0000-0000B5020000}"/>
    <cellStyle name="Currency 4 56 2 3" xfId="6446" xr:uid="{00000000-0005-0000-0000-0000B6020000}"/>
    <cellStyle name="Currency 4 56 3" xfId="244" xr:uid="{00000000-0005-0000-0000-0000B7020000}"/>
    <cellStyle name="Currency 4 56 3 2" xfId="4843" xr:uid="{00000000-0005-0000-0000-0000B8020000}"/>
    <cellStyle name="Currency 4 56 3 3" xfId="6447" xr:uid="{00000000-0005-0000-0000-0000B9020000}"/>
    <cellStyle name="Currency 4 56 4" xfId="4841" xr:uid="{00000000-0005-0000-0000-0000BA020000}"/>
    <cellStyle name="Currency 4 56 5" xfId="6445" xr:uid="{00000000-0005-0000-0000-0000BB020000}"/>
    <cellStyle name="Currency 4 57" xfId="245" xr:uid="{00000000-0005-0000-0000-0000BC020000}"/>
    <cellStyle name="Currency 4 57 2" xfId="246" xr:uid="{00000000-0005-0000-0000-0000BD020000}"/>
    <cellStyle name="Currency 4 57 2 2" xfId="4845" xr:uid="{00000000-0005-0000-0000-0000BE020000}"/>
    <cellStyle name="Currency 4 57 2 3" xfId="6449" xr:uid="{00000000-0005-0000-0000-0000BF020000}"/>
    <cellStyle name="Currency 4 57 3" xfId="247" xr:uid="{00000000-0005-0000-0000-0000C0020000}"/>
    <cellStyle name="Currency 4 57 3 2" xfId="4846" xr:uid="{00000000-0005-0000-0000-0000C1020000}"/>
    <cellStyle name="Currency 4 57 3 3" xfId="6450" xr:uid="{00000000-0005-0000-0000-0000C2020000}"/>
    <cellStyle name="Currency 4 57 4" xfId="4844" xr:uid="{00000000-0005-0000-0000-0000C3020000}"/>
    <cellStyle name="Currency 4 57 5" xfId="6448" xr:uid="{00000000-0005-0000-0000-0000C4020000}"/>
    <cellStyle name="Currency 4 58" xfId="248" xr:uid="{00000000-0005-0000-0000-0000C5020000}"/>
    <cellStyle name="Currency 4 58 2" xfId="249" xr:uid="{00000000-0005-0000-0000-0000C6020000}"/>
    <cellStyle name="Currency 4 58 2 2" xfId="4848" xr:uid="{00000000-0005-0000-0000-0000C7020000}"/>
    <cellStyle name="Currency 4 58 2 3" xfId="6452" xr:uid="{00000000-0005-0000-0000-0000C8020000}"/>
    <cellStyle name="Currency 4 58 3" xfId="250" xr:uid="{00000000-0005-0000-0000-0000C9020000}"/>
    <cellStyle name="Currency 4 58 3 2" xfId="4849" xr:uid="{00000000-0005-0000-0000-0000CA020000}"/>
    <cellStyle name="Currency 4 58 3 3" xfId="6453" xr:uid="{00000000-0005-0000-0000-0000CB020000}"/>
    <cellStyle name="Currency 4 58 4" xfId="4847" xr:uid="{00000000-0005-0000-0000-0000CC020000}"/>
    <cellStyle name="Currency 4 58 5" xfId="6451" xr:uid="{00000000-0005-0000-0000-0000CD020000}"/>
    <cellStyle name="Currency 4 59" xfId="251" xr:uid="{00000000-0005-0000-0000-0000CE020000}"/>
    <cellStyle name="Currency 4 59 2" xfId="252" xr:uid="{00000000-0005-0000-0000-0000CF020000}"/>
    <cellStyle name="Currency 4 59 2 2" xfId="4851" xr:uid="{00000000-0005-0000-0000-0000D0020000}"/>
    <cellStyle name="Currency 4 59 2 3" xfId="6455" xr:uid="{00000000-0005-0000-0000-0000D1020000}"/>
    <cellStyle name="Currency 4 59 3" xfId="253" xr:uid="{00000000-0005-0000-0000-0000D2020000}"/>
    <cellStyle name="Currency 4 59 3 2" xfId="4852" xr:uid="{00000000-0005-0000-0000-0000D3020000}"/>
    <cellStyle name="Currency 4 59 3 3" xfId="6456" xr:uid="{00000000-0005-0000-0000-0000D4020000}"/>
    <cellStyle name="Currency 4 59 4" xfId="4850" xr:uid="{00000000-0005-0000-0000-0000D5020000}"/>
    <cellStyle name="Currency 4 59 5" xfId="6454" xr:uid="{00000000-0005-0000-0000-0000D6020000}"/>
    <cellStyle name="Currency 4 6" xfId="254" xr:uid="{00000000-0005-0000-0000-0000D7020000}"/>
    <cellStyle name="Currency 4 6 2" xfId="255" xr:uid="{00000000-0005-0000-0000-0000D8020000}"/>
    <cellStyle name="Currency 4 6 2 2" xfId="4854" xr:uid="{00000000-0005-0000-0000-0000D9020000}"/>
    <cellStyle name="Currency 4 6 2 3" xfId="6458" xr:uid="{00000000-0005-0000-0000-0000DA020000}"/>
    <cellStyle name="Currency 4 6 3" xfId="256" xr:uid="{00000000-0005-0000-0000-0000DB020000}"/>
    <cellStyle name="Currency 4 6 3 2" xfId="4855" xr:uid="{00000000-0005-0000-0000-0000DC020000}"/>
    <cellStyle name="Currency 4 6 3 3" xfId="6459" xr:uid="{00000000-0005-0000-0000-0000DD020000}"/>
    <cellStyle name="Currency 4 6 4" xfId="4853" xr:uid="{00000000-0005-0000-0000-0000DE020000}"/>
    <cellStyle name="Currency 4 6 5" xfId="6457" xr:uid="{00000000-0005-0000-0000-0000DF020000}"/>
    <cellStyle name="Currency 4 60" xfId="257" xr:uid="{00000000-0005-0000-0000-0000E0020000}"/>
    <cellStyle name="Currency 4 60 2" xfId="258" xr:uid="{00000000-0005-0000-0000-0000E1020000}"/>
    <cellStyle name="Currency 4 60 2 2" xfId="4857" xr:uid="{00000000-0005-0000-0000-0000E2020000}"/>
    <cellStyle name="Currency 4 60 2 3" xfId="6461" xr:uid="{00000000-0005-0000-0000-0000E3020000}"/>
    <cellStyle name="Currency 4 60 3" xfId="259" xr:uid="{00000000-0005-0000-0000-0000E4020000}"/>
    <cellStyle name="Currency 4 60 3 2" xfId="4858" xr:uid="{00000000-0005-0000-0000-0000E5020000}"/>
    <cellStyle name="Currency 4 60 3 3" xfId="6462" xr:uid="{00000000-0005-0000-0000-0000E6020000}"/>
    <cellStyle name="Currency 4 60 4" xfId="4856" xr:uid="{00000000-0005-0000-0000-0000E7020000}"/>
    <cellStyle name="Currency 4 60 5" xfId="6460" xr:uid="{00000000-0005-0000-0000-0000E8020000}"/>
    <cellStyle name="Currency 4 61" xfId="260" xr:uid="{00000000-0005-0000-0000-0000E9020000}"/>
    <cellStyle name="Currency 4 61 2" xfId="261" xr:uid="{00000000-0005-0000-0000-0000EA020000}"/>
    <cellStyle name="Currency 4 61 2 2" xfId="4860" xr:uid="{00000000-0005-0000-0000-0000EB020000}"/>
    <cellStyle name="Currency 4 61 2 3" xfId="6464" xr:uid="{00000000-0005-0000-0000-0000EC020000}"/>
    <cellStyle name="Currency 4 61 3" xfId="262" xr:uid="{00000000-0005-0000-0000-0000ED020000}"/>
    <cellStyle name="Currency 4 61 3 2" xfId="4861" xr:uid="{00000000-0005-0000-0000-0000EE020000}"/>
    <cellStyle name="Currency 4 61 3 3" xfId="6465" xr:uid="{00000000-0005-0000-0000-0000EF020000}"/>
    <cellStyle name="Currency 4 61 4" xfId="4859" xr:uid="{00000000-0005-0000-0000-0000F0020000}"/>
    <cellStyle name="Currency 4 61 5" xfId="6463" xr:uid="{00000000-0005-0000-0000-0000F1020000}"/>
    <cellStyle name="Currency 4 62" xfId="263" xr:uid="{00000000-0005-0000-0000-0000F2020000}"/>
    <cellStyle name="Currency 4 62 2" xfId="264" xr:uid="{00000000-0005-0000-0000-0000F3020000}"/>
    <cellStyle name="Currency 4 62 2 2" xfId="4863" xr:uid="{00000000-0005-0000-0000-0000F4020000}"/>
    <cellStyle name="Currency 4 62 2 3" xfId="6467" xr:uid="{00000000-0005-0000-0000-0000F5020000}"/>
    <cellStyle name="Currency 4 62 3" xfId="265" xr:uid="{00000000-0005-0000-0000-0000F6020000}"/>
    <cellStyle name="Currency 4 62 3 2" xfId="4864" xr:uid="{00000000-0005-0000-0000-0000F7020000}"/>
    <cellStyle name="Currency 4 62 3 3" xfId="6468" xr:uid="{00000000-0005-0000-0000-0000F8020000}"/>
    <cellStyle name="Currency 4 62 4" xfId="4862" xr:uid="{00000000-0005-0000-0000-0000F9020000}"/>
    <cellStyle name="Currency 4 62 5" xfId="6466" xr:uid="{00000000-0005-0000-0000-0000FA020000}"/>
    <cellStyle name="Currency 4 63" xfId="266" xr:uid="{00000000-0005-0000-0000-0000FB020000}"/>
    <cellStyle name="Currency 4 63 2" xfId="267" xr:uid="{00000000-0005-0000-0000-0000FC020000}"/>
    <cellStyle name="Currency 4 63 2 2" xfId="4866" xr:uid="{00000000-0005-0000-0000-0000FD020000}"/>
    <cellStyle name="Currency 4 63 2 3" xfId="6470" xr:uid="{00000000-0005-0000-0000-0000FE020000}"/>
    <cellStyle name="Currency 4 63 3" xfId="268" xr:uid="{00000000-0005-0000-0000-0000FF020000}"/>
    <cellStyle name="Currency 4 63 3 2" xfId="4867" xr:uid="{00000000-0005-0000-0000-000000030000}"/>
    <cellStyle name="Currency 4 63 3 3" xfId="6471" xr:uid="{00000000-0005-0000-0000-000001030000}"/>
    <cellStyle name="Currency 4 63 4" xfId="4865" xr:uid="{00000000-0005-0000-0000-000002030000}"/>
    <cellStyle name="Currency 4 63 5" xfId="6469" xr:uid="{00000000-0005-0000-0000-000003030000}"/>
    <cellStyle name="Currency 4 64" xfId="269" xr:uid="{00000000-0005-0000-0000-000004030000}"/>
    <cellStyle name="Currency 4 64 2" xfId="270" xr:uid="{00000000-0005-0000-0000-000005030000}"/>
    <cellStyle name="Currency 4 64 2 2" xfId="4869" xr:uid="{00000000-0005-0000-0000-000006030000}"/>
    <cellStyle name="Currency 4 64 2 3" xfId="6473" xr:uid="{00000000-0005-0000-0000-000007030000}"/>
    <cellStyle name="Currency 4 64 3" xfId="271" xr:uid="{00000000-0005-0000-0000-000008030000}"/>
    <cellStyle name="Currency 4 64 3 2" xfId="4870" xr:uid="{00000000-0005-0000-0000-000009030000}"/>
    <cellStyle name="Currency 4 64 3 3" xfId="6474" xr:uid="{00000000-0005-0000-0000-00000A030000}"/>
    <cellStyle name="Currency 4 64 4" xfId="4868" xr:uid="{00000000-0005-0000-0000-00000B030000}"/>
    <cellStyle name="Currency 4 64 5" xfId="6472" xr:uid="{00000000-0005-0000-0000-00000C030000}"/>
    <cellStyle name="Currency 4 65" xfId="272" xr:uid="{00000000-0005-0000-0000-00000D030000}"/>
    <cellStyle name="Currency 4 65 2" xfId="273" xr:uid="{00000000-0005-0000-0000-00000E030000}"/>
    <cellStyle name="Currency 4 65 2 2" xfId="4872" xr:uid="{00000000-0005-0000-0000-00000F030000}"/>
    <cellStyle name="Currency 4 65 2 3" xfId="6476" xr:uid="{00000000-0005-0000-0000-000010030000}"/>
    <cellStyle name="Currency 4 65 3" xfId="274" xr:uid="{00000000-0005-0000-0000-000011030000}"/>
    <cellStyle name="Currency 4 65 3 2" xfId="4873" xr:uid="{00000000-0005-0000-0000-000012030000}"/>
    <cellStyle name="Currency 4 65 3 3" xfId="6477" xr:uid="{00000000-0005-0000-0000-000013030000}"/>
    <cellStyle name="Currency 4 65 4" xfId="4871" xr:uid="{00000000-0005-0000-0000-000014030000}"/>
    <cellStyle name="Currency 4 65 5" xfId="6475" xr:uid="{00000000-0005-0000-0000-000015030000}"/>
    <cellStyle name="Currency 4 66" xfId="275" xr:uid="{00000000-0005-0000-0000-000016030000}"/>
    <cellStyle name="Currency 4 66 2" xfId="276" xr:uid="{00000000-0005-0000-0000-000017030000}"/>
    <cellStyle name="Currency 4 66 2 2" xfId="4875" xr:uid="{00000000-0005-0000-0000-000018030000}"/>
    <cellStyle name="Currency 4 66 2 3" xfId="6479" xr:uid="{00000000-0005-0000-0000-000019030000}"/>
    <cellStyle name="Currency 4 66 3" xfId="277" xr:uid="{00000000-0005-0000-0000-00001A030000}"/>
    <cellStyle name="Currency 4 66 3 2" xfId="4876" xr:uid="{00000000-0005-0000-0000-00001B030000}"/>
    <cellStyle name="Currency 4 66 3 3" xfId="6480" xr:uid="{00000000-0005-0000-0000-00001C030000}"/>
    <cellStyle name="Currency 4 66 4" xfId="4874" xr:uid="{00000000-0005-0000-0000-00001D030000}"/>
    <cellStyle name="Currency 4 66 5" xfId="6478" xr:uid="{00000000-0005-0000-0000-00001E030000}"/>
    <cellStyle name="Currency 4 67" xfId="278" xr:uid="{00000000-0005-0000-0000-00001F030000}"/>
    <cellStyle name="Currency 4 67 2" xfId="279" xr:uid="{00000000-0005-0000-0000-000020030000}"/>
    <cellStyle name="Currency 4 67 2 2" xfId="4878" xr:uid="{00000000-0005-0000-0000-000021030000}"/>
    <cellStyle name="Currency 4 67 2 3" xfId="6482" xr:uid="{00000000-0005-0000-0000-000022030000}"/>
    <cellStyle name="Currency 4 67 3" xfId="280" xr:uid="{00000000-0005-0000-0000-000023030000}"/>
    <cellStyle name="Currency 4 67 3 2" xfId="4879" xr:uid="{00000000-0005-0000-0000-000024030000}"/>
    <cellStyle name="Currency 4 67 3 3" xfId="6483" xr:uid="{00000000-0005-0000-0000-000025030000}"/>
    <cellStyle name="Currency 4 67 4" xfId="4877" xr:uid="{00000000-0005-0000-0000-000026030000}"/>
    <cellStyle name="Currency 4 67 5" xfId="6481" xr:uid="{00000000-0005-0000-0000-000027030000}"/>
    <cellStyle name="Currency 4 68" xfId="281" xr:uid="{00000000-0005-0000-0000-000028030000}"/>
    <cellStyle name="Currency 4 68 2" xfId="282" xr:uid="{00000000-0005-0000-0000-000029030000}"/>
    <cellStyle name="Currency 4 68 2 2" xfId="4881" xr:uid="{00000000-0005-0000-0000-00002A030000}"/>
    <cellStyle name="Currency 4 68 2 3" xfId="6485" xr:uid="{00000000-0005-0000-0000-00002B030000}"/>
    <cellStyle name="Currency 4 68 3" xfId="283" xr:uid="{00000000-0005-0000-0000-00002C030000}"/>
    <cellStyle name="Currency 4 68 3 2" xfId="4882" xr:uid="{00000000-0005-0000-0000-00002D030000}"/>
    <cellStyle name="Currency 4 68 3 3" xfId="6486" xr:uid="{00000000-0005-0000-0000-00002E030000}"/>
    <cellStyle name="Currency 4 68 4" xfId="4880" xr:uid="{00000000-0005-0000-0000-00002F030000}"/>
    <cellStyle name="Currency 4 68 5" xfId="6484" xr:uid="{00000000-0005-0000-0000-000030030000}"/>
    <cellStyle name="Currency 4 69" xfId="284" xr:uid="{00000000-0005-0000-0000-000031030000}"/>
    <cellStyle name="Currency 4 69 2" xfId="285" xr:uid="{00000000-0005-0000-0000-000032030000}"/>
    <cellStyle name="Currency 4 69 2 2" xfId="4884" xr:uid="{00000000-0005-0000-0000-000033030000}"/>
    <cellStyle name="Currency 4 69 2 3" xfId="6488" xr:uid="{00000000-0005-0000-0000-000034030000}"/>
    <cellStyle name="Currency 4 69 3" xfId="286" xr:uid="{00000000-0005-0000-0000-000035030000}"/>
    <cellStyle name="Currency 4 69 3 2" xfId="4885" xr:uid="{00000000-0005-0000-0000-000036030000}"/>
    <cellStyle name="Currency 4 69 3 3" xfId="6489" xr:uid="{00000000-0005-0000-0000-000037030000}"/>
    <cellStyle name="Currency 4 69 4" xfId="4883" xr:uid="{00000000-0005-0000-0000-000038030000}"/>
    <cellStyle name="Currency 4 69 5" xfId="6487" xr:uid="{00000000-0005-0000-0000-000039030000}"/>
    <cellStyle name="Currency 4 7" xfId="287" xr:uid="{00000000-0005-0000-0000-00003A030000}"/>
    <cellStyle name="Currency 4 7 2" xfId="288" xr:uid="{00000000-0005-0000-0000-00003B030000}"/>
    <cellStyle name="Currency 4 7 2 2" xfId="4887" xr:uid="{00000000-0005-0000-0000-00003C030000}"/>
    <cellStyle name="Currency 4 7 2 3" xfId="6491" xr:uid="{00000000-0005-0000-0000-00003D030000}"/>
    <cellStyle name="Currency 4 7 3" xfId="289" xr:uid="{00000000-0005-0000-0000-00003E030000}"/>
    <cellStyle name="Currency 4 7 3 2" xfId="4888" xr:uid="{00000000-0005-0000-0000-00003F030000}"/>
    <cellStyle name="Currency 4 7 3 3" xfId="6492" xr:uid="{00000000-0005-0000-0000-000040030000}"/>
    <cellStyle name="Currency 4 7 4" xfId="4886" xr:uid="{00000000-0005-0000-0000-000041030000}"/>
    <cellStyle name="Currency 4 7 5" xfId="6490" xr:uid="{00000000-0005-0000-0000-000042030000}"/>
    <cellStyle name="Currency 4 70" xfId="290" xr:uid="{00000000-0005-0000-0000-000043030000}"/>
    <cellStyle name="Currency 4 70 2" xfId="291" xr:uid="{00000000-0005-0000-0000-000044030000}"/>
    <cellStyle name="Currency 4 70 2 2" xfId="4890" xr:uid="{00000000-0005-0000-0000-000045030000}"/>
    <cellStyle name="Currency 4 70 2 3" xfId="6494" xr:uid="{00000000-0005-0000-0000-000046030000}"/>
    <cellStyle name="Currency 4 70 3" xfId="292" xr:uid="{00000000-0005-0000-0000-000047030000}"/>
    <cellStyle name="Currency 4 70 3 2" xfId="4891" xr:uid="{00000000-0005-0000-0000-000048030000}"/>
    <cellStyle name="Currency 4 70 3 3" xfId="6495" xr:uid="{00000000-0005-0000-0000-000049030000}"/>
    <cellStyle name="Currency 4 70 4" xfId="4889" xr:uid="{00000000-0005-0000-0000-00004A030000}"/>
    <cellStyle name="Currency 4 70 5" xfId="6493" xr:uid="{00000000-0005-0000-0000-00004B030000}"/>
    <cellStyle name="Currency 4 71" xfId="293" xr:uid="{00000000-0005-0000-0000-00004C030000}"/>
    <cellStyle name="Currency 4 71 2" xfId="294" xr:uid="{00000000-0005-0000-0000-00004D030000}"/>
    <cellStyle name="Currency 4 71 2 2" xfId="4893" xr:uid="{00000000-0005-0000-0000-00004E030000}"/>
    <cellStyle name="Currency 4 71 2 3" xfId="6497" xr:uid="{00000000-0005-0000-0000-00004F030000}"/>
    <cellStyle name="Currency 4 71 3" xfId="295" xr:uid="{00000000-0005-0000-0000-000050030000}"/>
    <cellStyle name="Currency 4 71 3 2" xfId="4894" xr:uid="{00000000-0005-0000-0000-000051030000}"/>
    <cellStyle name="Currency 4 71 3 3" xfId="6498" xr:uid="{00000000-0005-0000-0000-000052030000}"/>
    <cellStyle name="Currency 4 71 4" xfId="4892" xr:uid="{00000000-0005-0000-0000-000053030000}"/>
    <cellStyle name="Currency 4 71 5" xfId="6496" xr:uid="{00000000-0005-0000-0000-000054030000}"/>
    <cellStyle name="Currency 4 72" xfId="296" xr:uid="{00000000-0005-0000-0000-000055030000}"/>
    <cellStyle name="Currency 4 72 2" xfId="297" xr:uid="{00000000-0005-0000-0000-000056030000}"/>
    <cellStyle name="Currency 4 72 2 2" xfId="4896" xr:uid="{00000000-0005-0000-0000-000057030000}"/>
    <cellStyle name="Currency 4 72 2 3" xfId="6500" xr:uid="{00000000-0005-0000-0000-000058030000}"/>
    <cellStyle name="Currency 4 72 3" xfId="298" xr:uid="{00000000-0005-0000-0000-000059030000}"/>
    <cellStyle name="Currency 4 72 3 2" xfId="4897" xr:uid="{00000000-0005-0000-0000-00005A030000}"/>
    <cellStyle name="Currency 4 72 3 3" xfId="6501" xr:uid="{00000000-0005-0000-0000-00005B030000}"/>
    <cellStyle name="Currency 4 72 4" xfId="4895" xr:uid="{00000000-0005-0000-0000-00005C030000}"/>
    <cellStyle name="Currency 4 72 5" xfId="6499" xr:uid="{00000000-0005-0000-0000-00005D030000}"/>
    <cellStyle name="Currency 4 73" xfId="299" xr:uid="{00000000-0005-0000-0000-00005E030000}"/>
    <cellStyle name="Currency 4 73 2" xfId="300" xr:uid="{00000000-0005-0000-0000-00005F030000}"/>
    <cellStyle name="Currency 4 73 2 2" xfId="4899" xr:uid="{00000000-0005-0000-0000-000060030000}"/>
    <cellStyle name="Currency 4 73 2 3" xfId="6503" xr:uid="{00000000-0005-0000-0000-000061030000}"/>
    <cellStyle name="Currency 4 73 3" xfId="301" xr:uid="{00000000-0005-0000-0000-000062030000}"/>
    <cellStyle name="Currency 4 73 3 2" xfId="4900" xr:uid="{00000000-0005-0000-0000-000063030000}"/>
    <cellStyle name="Currency 4 73 3 3" xfId="6504" xr:uid="{00000000-0005-0000-0000-000064030000}"/>
    <cellStyle name="Currency 4 73 4" xfId="4898" xr:uid="{00000000-0005-0000-0000-000065030000}"/>
    <cellStyle name="Currency 4 73 5" xfId="6502" xr:uid="{00000000-0005-0000-0000-000066030000}"/>
    <cellStyle name="Currency 4 74" xfId="302" xr:uid="{00000000-0005-0000-0000-000067030000}"/>
    <cellStyle name="Currency 4 74 2" xfId="303" xr:uid="{00000000-0005-0000-0000-000068030000}"/>
    <cellStyle name="Currency 4 74 2 2" xfId="4902" xr:uid="{00000000-0005-0000-0000-000069030000}"/>
    <cellStyle name="Currency 4 74 2 3" xfId="6506" xr:uid="{00000000-0005-0000-0000-00006A030000}"/>
    <cellStyle name="Currency 4 74 3" xfId="304" xr:uid="{00000000-0005-0000-0000-00006B030000}"/>
    <cellStyle name="Currency 4 74 3 2" xfId="4903" xr:uid="{00000000-0005-0000-0000-00006C030000}"/>
    <cellStyle name="Currency 4 74 3 3" xfId="6507" xr:uid="{00000000-0005-0000-0000-00006D030000}"/>
    <cellStyle name="Currency 4 74 4" xfId="4901" xr:uid="{00000000-0005-0000-0000-00006E030000}"/>
    <cellStyle name="Currency 4 74 5" xfId="6505" xr:uid="{00000000-0005-0000-0000-00006F030000}"/>
    <cellStyle name="Currency 4 75" xfId="305" xr:uid="{00000000-0005-0000-0000-000070030000}"/>
    <cellStyle name="Currency 4 75 2" xfId="306" xr:uid="{00000000-0005-0000-0000-000071030000}"/>
    <cellStyle name="Currency 4 75 2 2" xfId="4905" xr:uid="{00000000-0005-0000-0000-000072030000}"/>
    <cellStyle name="Currency 4 75 2 3" xfId="6509" xr:uid="{00000000-0005-0000-0000-000073030000}"/>
    <cellStyle name="Currency 4 75 3" xfId="307" xr:uid="{00000000-0005-0000-0000-000074030000}"/>
    <cellStyle name="Currency 4 75 3 2" xfId="4906" xr:uid="{00000000-0005-0000-0000-000075030000}"/>
    <cellStyle name="Currency 4 75 3 3" xfId="6510" xr:uid="{00000000-0005-0000-0000-000076030000}"/>
    <cellStyle name="Currency 4 75 4" xfId="4904" xr:uid="{00000000-0005-0000-0000-000077030000}"/>
    <cellStyle name="Currency 4 75 5" xfId="6508" xr:uid="{00000000-0005-0000-0000-000078030000}"/>
    <cellStyle name="Currency 4 76" xfId="308" xr:uid="{00000000-0005-0000-0000-000079030000}"/>
    <cellStyle name="Currency 4 76 2" xfId="309" xr:uid="{00000000-0005-0000-0000-00007A030000}"/>
    <cellStyle name="Currency 4 76 2 2" xfId="4908" xr:uid="{00000000-0005-0000-0000-00007B030000}"/>
    <cellStyle name="Currency 4 76 2 3" xfId="6512" xr:uid="{00000000-0005-0000-0000-00007C030000}"/>
    <cellStyle name="Currency 4 76 3" xfId="310" xr:uid="{00000000-0005-0000-0000-00007D030000}"/>
    <cellStyle name="Currency 4 76 3 2" xfId="4909" xr:uid="{00000000-0005-0000-0000-00007E030000}"/>
    <cellStyle name="Currency 4 76 3 3" xfId="6513" xr:uid="{00000000-0005-0000-0000-00007F030000}"/>
    <cellStyle name="Currency 4 76 4" xfId="4907" xr:uid="{00000000-0005-0000-0000-000080030000}"/>
    <cellStyle name="Currency 4 76 5" xfId="6511" xr:uid="{00000000-0005-0000-0000-000081030000}"/>
    <cellStyle name="Currency 4 77" xfId="311" xr:uid="{00000000-0005-0000-0000-000082030000}"/>
    <cellStyle name="Currency 4 77 2" xfId="312" xr:uid="{00000000-0005-0000-0000-000083030000}"/>
    <cellStyle name="Currency 4 77 2 2" xfId="4911" xr:uid="{00000000-0005-0000-0000-000084030000}"/>
    <cellStyle name="Currency 4 77 2 3" xfId="6515" xr:uid="{00000000-0005-0000-0000-000085030000}"/>
    <cellStyle name="Currency 4 77 3" xfId="313" xr:uid="{00000000-0005-0000-0000-000086030000}"/>
    <cellStyle name="Currency 4 77 3 2" xfId="4912" xr:uid="{00000000-0005-0000-0000-000087030000}"/>
    <cellStyle name="Currency 4 77 3 3" xfId="6516" xr:uid="{00000000-0005-0000-0000-000088030000}"/>
    <cellStyle name="Currency 4 77 4" xfId="4910" xr:uid="{00000000-0005-0000-0000-000089030000}"/>
    <cellStyle name="Currency 4 77 5" xfId="6514" xr:uid="{00000000-0005-0000-0000-00008A030000}"/>
    <cellStyle name="Currency 4 78" xfId="314" xr:uid="{00000000-0005-0000-0000-00008B030000}"/>
    <cellStyle name="Currency 4 78 2" xfId="315" xr:uid="{00000000-0005-0000-0000-00008C030000}"/>
    <cellStyle name="Currency 4 78 2 2" xfId="4914" xr:uid="{00000000-0005-0000-0000-00008D030000}"/>
    <cellStyle name="Currency 4 78 2 3" xfId="6518" xr:uid="{00000000-0005-0000-0000-00008E030000}"/>
    <cellStyle name="Currency 4 78 3" xfId="316" xr:uid="{00000000-0005-0000-0000-00008F030000}"/>
    <cellStyle name="Currency 4 78 3 2" xfId="4915" xr:uid="{00000000-0005-0000-0000-000090030000}"/>
    <cellStyle name="Currency 4 78 3 3" xfId="6519" xr:uid="{00000000-0005-0000-0000-000091030000}"/>
    <cellStyle name="Currency 4 78 4" xfId="4913" xr:uid="{00000000-0005-0000-0000-000092030000}"/>
    <cellStyle name="Currency 4 78 5" xfId="6517" xr:uid="{00000000-0005-0000-0000-000093030000}"/>
    <cellStyle name="Currency 4 79" xfId="317" xr:uid="{00000000-0005-0000-0000-000094030000}"/>
    <cellStyle name="Currency 4 79 2" xfId="318" xr:uid="{00000000-0005-0000-0000-000095030000}"/>
    <cellStyle name="Currency 4 79 2 2" xfId="4917" xr:uid="{00000000-0005-0000-0000-000096030000}"/>
    <cellStyle name="Currency 4 79 2 3" xfId="6521" xr:uid="{00000000-0005-0000-0000-000097030000}"/>
    <cellStyle name="Currency 4 79 3" xfId="319" xr:uid="{00000000-0005-0000-0000-000098030000}"/>
    <cellStyle name="Currency 4 79 3 2" xfId="4918" xr:uid="{00000000-0005-0000-0000-000099030000}"/>
    <cellStyle name="Currency 4 79 3 3" xfId="6522" xr:uid="{00000000-0005-0000-0000-00009A030000}"/>
    <cellStyle name="Currency 4 79 4" xfId="4916" xr:uid="{00000000-0005-0000-0000-00009B030000}"/>
    <cellStyle name="Currency 4 79 5" xfId="6520" xr:uid="{00000000-0005-0000-0000-00009C030000}"/>
    <cellStyle name="Currency 4 8" xfId="320" xr:uid="{00000000-0005-0000-0000-00009D030000}"/>
    <cellStyle name="Currency 4 8 2" xfId="321" xr:uid="{00000000-0005-0000-0000-00009E030000}"/>
    <cellStyle name="Currency 4 8 2 2" xfId="4920" xr:uid="{00000000-0005-0000-0000-00009F030000}"/>
    <cellStyle name="Currency 4 8 2 3" xfId="6524" xr:uid="{00000000-0005-0000-0000-0000A0030000}"/>
    <cellStyle name="Currency 4 8 3" xfId="322" xr:uid="{00000000-0005-0000-0000-0000A1030000}"/>
    <cellStyle name="Currency 4 8 3 2" xfId="4921" xr:uid="{00000000-0005-0000-0000-0000A2030000}"/>
    <cellStyle name="Currency 4 8 3 3" xfId="6525" xr:uid="{00000000-0005-0000-0000-0000A3030000}"/>
    <cellStyle name="Currency 4 8 4" xfId="4919" xr:uid="{00000000-0005-0000-0000-0000A4030000}"/>
    <cellStyle name="Currency 4 8 5" xfId="6523" xr:uid="{00000000-0005-0000-0000-0000A5030000}"/>
    <cellStyle name="Currency 4 80" xfId="323" xr:uid="{00000000-0005-0000-0000-0000A6030000}"/>
    <cellStyle name="Currency 4 80 2" xfId="324" xr:uid="{00000000-0005-0000-0000-0000A7030000}"/>
    <cellStyle name="Currency 4 80 2 2" xfId="4923" xr:uid="{00000000-0005-0000-0000-0000A8030000}"/>
    <cellStyle name="Currency 4 80 2 3" xfId="6527" xr:uid="{00000000-0005-0000-0000-0000A9030000}"/>
    <cellStyle name="Currency 4 80 3" xfId="325" xr:uid="{00000000-0005-0000-0000-0000AA030000}"/>
    <cellStyle name="Currency 4 80 3 2" xfId="4924" xr:uid="{00000000-0005-0000-0000-0000AB030000}"/>
    <cellStyle name="Currency 4 80 3 3" xfId="6528" xr:uid="{00000000-0005-0000-0000-0000AC030000}"/>
    <cellStyle name="Currency 4 80 4" xfId="4922" xr:uid="{00000000-0005-0000-0000-0000AD030000}"/>
    <cellStyle name="Currency 4 80 5" xfId="6526" xr:uid="{00000000-0005-0000-0000-0000AE030000}"/>
    <cellStyle name="Currency 4 81" xfId="326" xr:uid="{00000000-0005-0000-0000-0000AF030000}"/>
    <cellStyle name="Currency 4 81 2" xfId="327" xr:uid="{00000000-0005-0000-0000-0000B0030000}"/>
    <cellStyle name="Currency 4 81 2 2" xfId="4926" xr:uid="{00000000-0005-0000-0000-0000B1030000}"/>
    <cellStyle name="Currency 4 81 2 3" xfId="6530" xr:uid="{00000000-0005-0000-0000-0000B2030000}"/>
    <cellStyle name="Currency 4 81 3" xfId="328" xr:uid="{00000000-0005-0000-0000-0000B3030000}"/>
    <cellStyle name="Currency 4 81 3 2" xfId="4927" xr:uid="{00000000-0005-0000-0000-0000B4030000}"/>
    <cellStyle name="Currency 4 81 3 3" xfId="6531" xr:uid="{00000000-0005-0000-0000-0000B5030000}"/>
    <cellStyle name="Currency 4 81 4" xfId="4925" xr:uid="{00000000-0005-0000-0000-0000B6030000}"/>
    <cellStyle name="Currency 4 81 5" xfId="6529" xr:uid="{00000000-0005-0000-0000-0000B7030000}"/>
    <cellStyle name="Currency 4 82" xfId="329" xr:uid="{00000000-0005-0000-0000-0000B8030000}"/>
    <cellStyle name="Currency 4 82 2" xfId="330" xr:uid="{00000000-0005-0000-0000-0000B9030000}"/>
    <cellStyle name="Currency 4 82 2 2" xfId="4929" xr:uid="{00000000-0005-0000-0000-0000BA030000}"/>
    <cellStyle name="Currency 4 82 2 3" xfId="6533" xr:uid="{00000000-0005-0000-0000-0000BB030000}"/>
    <cellStyle name="Currency 4 82 3" xfId="331" xr:uid="{00000000-0005-0000-0000-0000BC030000}"/>
    <cellStyle name="Currency 4 82 3 2" xfId="4930" xr:uid="{00000000-0005-0000-0000-0000BD030000}"/>
    <cellStyle name="Currency 4 82 3 3" xfId="6534" xr:uid="{00000000-0005-0000-0000-0000BE030000}"/>
    <cellStyle name="Currency 4 82 4" xfId="4928" xr:uid="{00000000-0005-0000-0000-0000BF030000}"/>
    <cellStyle name="Currency 4 82 5" xfId="6532" xr:uid="{00000000-0005-0000-0000-0000C0030000}"/>
    <cellStyle name="Currency 4 83" xfId="332" xr:uid="{00000000-0005-0000-0000-0000C1030000}"/>
    <cellStyle name="Currency 4 83 2" xfId="333" xr:uid="{00000000-0005-0000-0000-0000C2030000}"/>
    <cellStyle name="Currency 4 83 2 2" xfId="4932" xr:uid="{00000000-0005-0000-0000-0000C3030000}"/>
    <cellStyle name="Currency 4 83 2 3" xfId="6536" xr:uid="{00000000-0005-0000-0000-0000C4030000}"/>
    <cellStyle name="Currency 4 83 3" xfId="334" xr:uid="{00000000-0005-0000-0000-0000C5030000}"/>
    <cellStyle name="Currency 4 83 3 2" xfId="4933" xr:uid="{00000000-0005-0000-0000-0000C6030000}"/>
    <cellStyle name="Currency 4 83 3 3" xfId="6537" xr:uid="{00000000-0005-0000-0000-0000C7030000}"/>
    <cellStyle name="Currency 4 83 4" xfId="4931" xr:uid="{00000000-0005-0000-0000-0000C8030000}"/>
    <cellStyle name="Currency 4 83 5" xfId="6535" xr:uid="{00000000-0005-0000-0000-0000C9030000}"/>
    <cellStyle name="Currency 4 84" xfId="335" xr:uid="{00000000-0005-0000-0000-0000CA030000}"/>
    <cellStyle name="Currency 4 84 2" xfId="336" xr:uid="{00000000-0005-0000-0000-0000CB030000}"/>
    <cellStyle name="Currency 4 84 2 2" xfId="4935" xr:uid="{00000000-0005-0000-0000-0000CC030000}"/>
    <cellStyle name="Currency 4 84 2 3" xfId="6539" xr:uid="{00000000-0005-0000-0000-0000CD030000}"/>
    <cellStyle name="Currency 4 84 3" xfId="337" xr:uid="{00000000-0005-0000-0000-0000CE030000}"/>
    <cellStyle name="Currency 4 84 3 2" xfId="4936" xr:uid="{00000000-0005-0000-0000-0000CF030000}"/>
    <cellStyle name="Currency 4 84 3 3" xfId="6540" xr:uid="{00000000-0005-0000-0000-0000D0030000}"/>
    <cellStyle name="Currency 4 84 4" xfId="4934" xr:uid="{00000000-0005-0000-0000-0000D1030000}"/>
    <cellStyle name="Currency 4 84 5" xfId="6538" xr:uid="{00000000-0005-0000-0000-0000D2030000}"/>
    <cellStyle name="Currency 4 85" xfId="338" xr:uid="{00000000-0005-0000-0000-0000D3030000}"/>
    <cellStyle name="Currency 4 85 2" xfId="339" xr:uid="{00000000-0005-0000-0000-0000D4030000}"/>
    <cellStyle name="Currency 4 85 2 2" xfId="4938" xr:uid="{00000000-0005-0000-0000-0000D5030000}"/>
    <cellStyle name="Currency 4 85 2 3" xfId="6542" xr:uid="{00000000-0005-0000-0000-0000D6030000}"/>
    <cellStyle name="Currency 4 85 3" xfId="340" xr:uid="{00000000-0005-0000-0000-0000D7030000}"/>
    <cellStyle name="Currency 4 85 3 2" xfId="4939" xr:uid="{00000000-0005-0000-0000-0000D8030000}"/>
    <cellStyle name="Currency 4 85 3 3" xfId="6543" xr:uid="{00000000-0005-0000-0000-0000D9030000}"/>
    <cellStyle name="Currency 4 85 4" xfId="4937" xr:uid="{00000000-0005-0000-0000-0000DA030000}"/>
    <cellStyle name="Currency 4 85 5" xfId="6541" xr:uid="{00000000-0005-0000-0000-0000DB030000}"/>
    <cellStyle name="Currency 4 86" xfId="341" xr:uid="{00000000-0005-0000-0000-0000DC030000}"/>
    <cellStyle name="Currency 4 86 2" xfId="342" xr:uid="{00000000-0005-0000-0000-0000DD030000}"/>
    <cellStyle name="Currency 4 86 2 2" xfId="4941" xr:uid="{00000000-0005-0000-0000-0000DE030000}"/>
    <cellStyle name="Currency 4 86 2 3" xfId="6545" xr:uid="{00000000-0005-0000-0000-0000DF030000}"/>
    <cellStyle name="Currency 4 86 3" xfId="343" xr:uid="{00000000-0005-0000-0000-0000E0030000}"/>
    <cellStyle name="Currency 4 86 3 2" xfId="4942" xr:uid="{00000000-0005-0000-0000-0000E1030000}"/>
    <cellStyle name="Currency 4 86 3 3" xfId="6546" xr:uid="{00000000-0005-0000-0000-0000E2030000}"/>
    <cellStyle name="Currency 4 86 4" xfId="4940" xr:uid="{00000000-0005-0000-0000-0000E3030000}"/>
    <cellStyle name="Currency 4 86 5" xfId="6544" xr:uid="{00000000-0005-0000-0000-0000E4030000}"/>
    <cellStyle name="Currency 4 87" xfId="344" xr:uid="{00000000-0005-0000-0000-0000E5030000}"/>
    <cellStyle name="Currency 4 87 2" xfId="345" xr:uid="{00000000-0005-0000-0000-0000E6030000}"/>
    <cellStyle name="Currency 4 87 2 2" xfId="4944" xr:uid="{00000000-0005-0000-0000-0000E7030000}"/>
    <cellStyle name="Currency 4 87 2 3" xfId="6548" xr:uid="{00000000-0005-0000-0000-0000E8030000}"/>
    <cellStyle name="Currency 4 87 3" xfId="346" xr:uid="{00000000-0005-0000-0000-0000E9030000}"/>
    <cellStyle name="Currency 4 87 3 2" xfId="4945" xr:uid="{00000000-0005-0000-0000-0000EA030000}"/>
    <cellStyle name="Currency 4 87 3 3" xfId="6549" xr:uid="{00000000-0005-0000-0000-0000EB030000}"/>
    <cellStyle name="Currency 4 87 4" xfId="4943" xr:uid="{00000000-0005-0000-0000-0000EC030000}"/>
    <cellStyle name="Currency 4 87 5" xfId="6547" xr:uid="{00000000-0005-0000-0000-0000ED030000}"/>
    <cellStyle name="Currency 4 88" xfId="347" xr:uid="{00000000-0005-0000-0000-0000EE030000}"/>
    <cellStyle name="Currency 4 88 2" xfId="348" xr:uid="{00000000-0005-0000-0000-0000EF030000}"/>
    <cellStyle name="Currency 4 88 2 2" xfId="4947" xr:uid="{00000000-0005-0000-0000-0000F0030000}"/>
    <cellStyle name="Currency 4 88 2 3" xfId="6551" xr:uid="{00000000-0005-0000-0000-0000F1030000}"/>
    <cellStyle name="Currency 4 88 3" xfId="349" xr:uid="{00000000-0005-0000-0000-0000F2030000}"/>
    <cellStyle name="Currency 4 88 3 2" xfId="4948" xr:uid="{00000000-0005-0000-0000-0000F3030000}"/>
    <cellStyle name="Currency 4 88 3 3" xfId="6552" xr:uid="{00000000-0005-0000-0000-0000F4030000}"/>
    <cellStyle name="Currency 4 88 4" xfId="4946" xr:uid="{00000000-0005-0000-0000-0000F5030000}"/>
    <cellStyle name="Currency 4 88 5" xfId="6550" xr:uid="{00000000-0005-0000-0000-0000F6030000}"/>
    <cellStyle name="Currency 4 89" xfId="350" xr:uid="{00000000-0005-0000-0000-0000F7030000}"/>
    <cellStyle name="Currency 4 89 2" xfId="351" xr:uid="{00000000-0005-0000-0000-0000F8030000}"/>
    <cellStyle name="Currency 4 89 2 2" xfId="4950" xr:uid="{00000000-0005-0000-0000-0000F9030000}"/>
    <cellStyle name="Currency 4 89 2 3" xfId="6554" xr:uid="{00000000-0005-0000-0000-0000FA030000}"/>
    <cellStyle name="Currency 4 89 3" xfId="352" xr:uid="{00000000-0005-0000-0000-0000FB030000}"/>
    <cellStyle name="Currency 4 89 3 2" xfId="4951" xr:uid="{00000000-0005-0000-0000-0000FC030000}"/>
    <cellStyle name="Currency 4 89 3 3" xfId="6555" xr:uid="{00000000-0005-0000-0000-0000FD030000}"/>
    <cellStyle name="Currency 4 89 4" xfId="4949" xr:uid="{00000000-0005-0000-0000-0000FE030000}"/>
    <cellStyle name="Currency 4 89 5" xfId="6553" xr:uid="{00000000-0005-0000-0000-0000FF030000}"/>
    <cellStyle name="Currency 4 9" xfId="353" xr:uid="{00000000-0005-0000-0000-000000040000}"/>
    <cellStyle name="Currency 4 9 2" xfId="354" xr:uid="{00000000-0005-0000-0000-000001040000}"/>
    <cellStyle name="Currency 4 9 2 2" xfId="4953" xr:uid="{00000000-0005-0000-0000-000002040000}"/>
    <cellStyle name="Currency 4 9 2 3" xfId="6557" xr:uid="{00000000-0005-0000-0000-000003040000}"/>
    <cellStyle name="Currency 4 9 3" xfId="355" xr:uid="{00000000-0005-0000-0000-000004040000}"/>
    <cellStyle name="Currency 4 9 3 2" xfId="4954" xr:uid="{00000000-0005-0000-0000-000005040000}"/>
    <cellStyle name="Currency 4 9 3 3" xfId="6558" xr:uid="{00000000-0005-0000-0000-000006040000}"/>
    <cellStyle name="Currency 4 9 4" xfId="4952" xr:uid="{00000000-0005-0000-0000-000007040000}"/>
    <cellStyle name="Currency 4 9 5" xfId="6556" xr:uid="{00000000-0005-0000-0000-000008040000}"/>
    <cellStyle name="Currency 4 90" xfId="356" xr:uid="{00000000-0005-0000-0000-000009040000}"/>
    <cellStyle name="Currency 4 90 2" xfId="357" xr:uid="{00000000-0005-0000-0000-00000A040000}"/>
    <cellStyle name="Currency 4 90 2 2" xfId="4956" xr:uid="{00000000-0005-0000-0000-00000B040000}"/>
    <cellStyle name="Currency 4 90 2 3" xfId="6560" xr:uid="{00000000-0005-0000-0000-00000C040000}"/>
    <cellStyle name="Currency 4 90 3" xfId="358" xr:uid="{00000000-0005-0000-0000-00000D040000}"/>
    <cellStyle name="Currency 4 90 3 2" xfId="4957" xr:uid="{00000000-0005-0000-0000-00000E040000}"/>
    <cellStyle name="Currency 4 90 3 3" xfId="6561" xr:uid="{00000000-0005-0000-0000-00000F040000}"/>
    <cellStyle name="Currency 4 90 4" xfId="4955" xr:uid="{00000000-0005-0000-0000-000010040000}"/>
    <cellStyle name="Currency 4 90 5" xfId="6559" xr:uid="{00000000-0005-0000-0000-000011040000}"/>
    <cellStyle name="Currency 4 91" xfId="359" xr:uid="{00000000-0005-0000-0000-000012040000}"/>
    <cellStyle name="Currency 4 91 2" xfId="360" xr:uid="{00000000-0005-0000-0000-000013040000}"/>
    <cellStyle name="Currency 4 91 2 2" xfId="4959" xr:uid="{00000000-0005-0000-0000-000014040000}"/>
    <cellStyle name="Currency 4 91 2 3" xfId="6563" xr:uid="{00000000-0005-0000-0000-000015040000}"/>
    <cellStyle name="Currency 4 91 3" xfId="361" xr:uid="{00000000-0005-0000-0000-000016040000}"/>
    <cellStyle name="Currency 4 91 3 2" xfId="4960" xr:uid="{00000000-0005-0000-0000-000017040000}"/>
    <cellStyle name="Currency 4 91 3 3" xfId="6564" xr:uid="{00000000-0005-0000-0000-000018040000}"/>
    <cellStyle name="Currency 4 91 4" xfId="4958" xr:uid="{00000000-0005-0000-0000-000019040000}"/>
    <cellStyle name="Currency 4 91 5" xfId="6562" xr:uid="{00000000-0005-0000-0000-00001A040000}"/>
    <cellStyle name="Currency 4 92" xfId="362" xr:uid="{00000000-0005-0000-0000-00001B040000}"/>
    <cellStyle name="Currency 4 92 2" xfId="363" xr:uid="{00000000-0005-0000-0000-00001C040000}"/>
    <cellStyle name="Currency 4 92 2 2" xfId="4962" xr:uid="{00000000-0005-0000-0000-00001D040000}"/>
    <cellStyle name="Currency 4 92 2 3" xfId="6566" xr:uid="{00000000-0005-0000-0000-00001E040000}"/>
    <cellStyle name="Currency 4 92 3" xfId="364" xr:uid="{00000000-0005-0000-0000-00001F040000}"/>
    <cellStyle name="Currency 4 92 3 2" xfId="4963" xr:uid="{00000000-0005-0000-0000-000020040000}"/>
    <cellStyle name="Currency 4 92 3 3" xfId="6567" xr:uid="{00000000-0005-0000-0000-000021040000}"/>
    <cellStyle name="Currency 4 92 4" xfId="4961" xr:uid="{00000000-0005-0000-0000-000022040000}"/>
    <cellStyle name="Currency 4 92 5" xfId="6565" xr:uid="{00000000-0005-0000-0000-000023040000}"/>
    <cellStyle name="Currency 4 93" xfId="365" xr:uid="{00000000-0005-0000-0000-000024040000}"/>
    <cellStyle name="Currency 4 93 2" xfId="366" xr:uid="{00000000-0005-0000-0000-000025040000}"/>
    <cellStyle name="Currency 4 93 2 2" xfId="4965" xr:uid="{00000000-0005-0000-0000-000026040000}"/>
    <cellStyle name="Currency 4 93 2 3" xfId="6569" xr:uid="{00000000-0005-0000-0000-000027040000}"/>
    <cellStyle name="Currency 4 93 3" xfId="367" xr:uid="{00000000-0005-0000-0000-000028040000}"/>
    <cellStyle name="Currency 4 93 3 2" xfId="4966" xr:uid="{00000000-0005-0000-0000-000029040000}"/>
    <cellStyle name="Currency 4 93 3 3" xfId="6570" xr:uid="{00000000-0005-0000-0000-00002A040000}"/>
    <cellStyle name="Currency 4 93 4" xfId="4964" xr:uid="{00000000-0005-0000-0000-00002B040000}"/>
    <cellStyle name="Currency 4 93 5" xfId="6568" xr:uid="{00000000-0005-0000-0000-00002C040000}"/>
    <cellStyle name="Currency 4 94" xfId="368" xr:uid="{00000000-0005-0000-0000-00002D040000}"/>
    <cellStyle name="Currency 4 94 2" xfId="369" xr:uid="{00000000-0005-0000-0000-00002E040000}"/>
    <cellStyle name="Currency 4 94 2 2" xfId="4968" xr:uid="{00000000-0005-0000-0000-00002F040000}"/>
    <cellStyle name="Currency 4 94 2 3" xfId="6572" xr:uid="{00000000-0005-0000-0000-000030040000}"/>
    <cellStyle name="Currency 4 94 3" xfId="370" xr:uid="{00000000-0005-0000-0000-000031040000}"/>
    <cellStyle name="Currency 4 94 3 2" xfId="4969" xr:uid="{00000000-0005-0000-0000-000032040000}"/>
    <cellStyle name="Currency 4 94 3 3" xfId="6573" xr:uid="{00000000-0005-0000-0000-000033040000}"/>
    <cellStyle name="Currency 4 94 4" xfId="4967" xr:uid="{00000000-0005-0000-0000-000034040000}"/>
    <cellStyle name="Currency 4 94 5" xfId="6571" xr:uid="{00000000-0005-0000-0000-000035040000}"/>
    <cellStyle name="Currency 4 95" xfId="371" xr:uid="{00000000-0005-0000-0000-000036040000}"/>
    <cellStyle name="Currency 4 95 2" xfId="372" xr:uid="{00000000-0005-0000-0000-000037040000}"/>
    <cellStyle name="Currency 4 95 2 2" xfId="4971" xr:uid="{00000000-0005-0000-0000-000038040000}"/>
    <cellStyle name="Currency 4 95 2 3" xfId="6575" xr:uid="{00000000-0005-0000-0000-000039040000}"/>
    <cellStyle name="Currency 4 95 3" xfId="373" xr:uid="{00000000-0005-0000-0000-00003A040000}"/>
    <cellStyle name="Currency 4 95 3 2" xfId="4972" xr:uid="{00000000-0005-0000-0000-00003B040000}"/>
    <cellStyle name="Currency 4 95 3 3" xfId="6576" xr:uid="{00000000-0005-0000-0000-00003C040000}"/>
    <cellStyle name="Currency 4 95 4" xfId="4970" xr:uid="{00000000-0005-0000-0000-00003D040000}"/>
    <cellStyle name="Currency 4 95 5" xfId="6574" xr:uid="{00000000-0005-0000-0000-00003E040000}"/>
    <cellStyle name="Currency 4 96" xfId="374" xr:uid="{00000000-0005-0000-0000-00003F040000}"/>
    <cellStyle name="Currency 4 96 2" xfId="375" xr:uid="{00000000-0005-0000-0000-000040040000}"/>
    <cellStyle name="Currency 4 96 2 2" xfId="4974" xr:uid="{00000000-0005-0000-0000-000041040000}"/>
    <cellStyle name="Currency 4 96 2 3" xfId="6578" xr:uid="{00000000-0005-0000-0000-000042040000}"/>
    <cellStyle name="Currency 4 96 3" xfId="376" xr:uid="{00000000-0005-0000-0000-000043040000}"/>
    <cellStyle name="Currency 4 96 3 2" xfId="4975" xr:uid="{00000000-0005-0000-0000-000044040000}"/>
    <cellStyle name="Currency 4 96 3 3" xfId="6579" xr:uid="{00000000-0005-0000-0000-000045040000}"/>
    <cellStyle name="Currency 4 96 4" xfId="4973" xr:uid="{00000000-0005-0000-0000-000046040000}"/>
    <cellStyle name="Currency 4 96 5" xfId="6577" xr:uid="{00000000-0005-0000-0000-000047040000}"/>
    <cellStyle name="Currency 4 97" xfId="377" xr:uid="{00000000-0005-0000-0000-000048040000}"/>
    <cellStyle name="Currency 4 97 2" xfId="378" xr:uid="{00000000-0005-0000-0000-000049040000}"/>
    <cellStyle name="Currency 4 97 2 2" xfId="4977" xr:uid="{00000000-0005-0000-0000-00004A040000}"/>
    <cellStyle name="Currency 4 97 2 3" xfId="6581" xr:uid="{00000000-0005-0000-0000-00004B040000}"/>
    <cellStyle name="Currency 4 97 3" xfId="379" xr:uid="{00000000-0005-0000-0000-00004C040000}"/>
    <cellStyle name="Currency 4 97 3 2" xfId="4978" xr:uid="{00000000-0005-0000-0000-00004D040000}"/>
    <cellStyle name="Currency 4 97 3 3" xfId="6582" xr:uid="{00000000-0005-0000-0000-00004E040000}"/>
    <cellStyle name="Currency 4 97 4" xfId="4976" xr:uid="{00000000-0005-0000-0000-00004F040000}"/>
    <cellStyle name="Currency 4 97 5" xfId="6580" xr:uid="{00000000-0005-0000-0000-000050040000}"/>
    <cellStyle name="Currency 4 98" xfId="380" xr:uid="{00000000-0005-0000-0000-000051040000}"/>
    <cellStyle name="Currency 4 98 2" xfId="381" xr:uid="{00000000-0005-0000-0000-000052040000}"/>
    <cellStyle name="Currency 4 98 2 2" xfId="4980" xr:uid="{00000000-0005-0000-0000-000053040000}"/>
    <cellStyle name="Currency 4 98 2 3" xfId="6584" xr:uid="{00000000-0005-0000-0000-000054040000}"/>
    <cellStyle name="Currency 4 98 3" xfId="382" xr:uid="{00000000-0005-0000-0000-000055040000}"/>
    <cellStyle name="Currency 4 98 3 2" xfId="4981" xr:uid="{00000000-0005-0000-0000-000056040000}"/>
    <cellStyle name="Currency 4 98 3 3" xfId="6585" xr:uid="{00000000-0005-0000-0000-000057040000}"/>
    <cellStyle name="Currency 4 98 4" xfId="4979" xr:uid="{00000000-0005-0000-0000-000058040000}"/>
    <cellStyle name="Currency 4 98 5" xfId="6583" xr:uid="{00000000-0005-0000-0000-000059040000}"/>
    <cellStyle name="Currency 4 99" xfId="383" xr:uid="{00000000-0005-0000-0000-00005A040000}"/>
    <cellStyle name="Currency 4 99 2" xfId="384" xr:uid="{00000000-0005-0000-0000-00005B040000}"/>
    <cellStyle name="Currency 4 99 2 2" xfId="4983" xr:uid="{00000000-0005-0000-0000-00005C040000}"/>
    <cellStyle name="Currency 4 99 2 3" xfId="6587" xr:uid="{00000000-0005-0000-0000-00005D040000}"/>
    <cellStyle name="Currency 4 99 3" xfId="385" xr:uid="{00000000-0005-0000-0000-00005E040000}"/>
    <cellStyle name="Currency 4 99 3 2" xfId="4984" xr:uid="{00000000-0005-0000-0000-00005F040000}"/>
    <cellStyle name="Currency 4 99 3 3" xfId="6588" xr:uid="{00000000-0005-0000-0000-000060040000}"/>
    <cellStyle name="Currency 4 99 4" xfId="4982" xr:uid="{00000000-0005-0000-0000-000061040000}"/>
    <cellStyle name="Currency 4 99 5" xfId="6586" xr:uid="{00000000-0005-0000-0000-000062040000}"/>
    <cellStyle name="Currency 6" xfId="386" xr:uid="{00000000-0005-0000-0000-000063040000}"/>
    <cellStyle name="Currency 6 10" xfId="387" xr:uid="{00000000-0005-0000-0000-000064040000}"/>
    <cellStyle name="Currency 6 10 2" xfId="388" xr:uid="{00000000-0005-0000-0000-000065040000}"/>
    <cellStyle name="Currency 6 10 2 2" xfId="4987" xr:uid="{00000000-0005-0000-0000-000066040000}"/>
    <cellStyle name="Currency 6 10 2 3" xfId="6591" xr:uid="{00000000-0005-0000-0000-000067040000}"/>
    <cellStyle name="Currency 6 10 3" xfId="389" xr:uid="{00000000-0005-0000-0000-000068040000}"/>
    <cellStyle name="Currency 6 10 3 2" xfId="4988" xr:uid="{00000000-0005-0000-0000-000069040000}"/>
    <cellStyle name="Currency 6 10 3 3" xfId="6592" xr:uid="{00000000-0005-0000-0000-00006A040000}"/>
    <cellStyle name="Currency 6 10 4" xfId="4986" xr:uid="{00000000-0005-0000-0000-00006B040000}"/>
    <cellStyle name="Currency 6 10 5" xfId="6590" xr:uid="{00000000-0005-0000-0000-00006C040000}"/>
    <cellStyle name="Currency 6 100" xfId="390" xr:uid="{00000000-0005-0000-0000-00006D040000}"/>
    <cellStyle name="Currency 6 100 2" xfId="391" xr:uid="{00000000-0005-0000-0000-00006E040000}"/>
    <cellStyle name="Currency 6 100 2 2" xfId="4990" xr:uid="{00000000-0005-0000-0000-00006F040000}"/>
    <cellStyle name="Currency 6 100 2 3" xfId="6594" xr:uid="{00000000-0005-0000-0000-000070040000}"/>
    <cellStyle name="Currency 6 100 3" xfId="392" xr:uid="{00000000-0005-0000-0000-000071040000}"/>
    <cellStyle name="Currency 6 100 3 2" xfId="4991" xr:uid="{00000000-0005-0000-0000-000072040000}"/>
    <cellStyle name="Currency 6 100 3 3" xfId="6595" xr:uid="{00000000-0005-0000-0000-000073040000}"/>
    <cellStyle name="Currency 6 100 4" xfId="4989" xr:uid="{00000000-0005-0000-0000-000074040000}"/>
    <cellStyle name="Currency 6 100 5" xfId="6593" xr:uid="{00000000-0005-0000-0000-000075040000}"/>
    <cellStyle name="Currency 6 101" xfId="393" xr:uid="{00000000-0005-0000-0000-000076040000}"/>
    <cellStyle name="Currency 6 101 2" xfId="394" xr:uid="{00000000-0005-0000-0000-000077040000}"/>
    <cellStyle name="Currency 6 101 2 2" xfId="4993" xr:uid="{00000000-0005-0000-0000-000078040000}"/>
    <cellStyle name="Currency 6 101 2 3" xfId="6597" xr:uid="{00000000-0005-0000-0000-000079040000}"/>
    <cellStyle name="Currency 6 101 3" xfId="395" xr:uid="{00000000-0005-0000-0000-00007A040000}"/>
    <cellStyle name="Currency 6 101 3 2" xfId="4994" xr:uid="{00000000-0005-0000-0000-00007B040000}"/>
    <cellStyle name="Currency 6 101 3 3" xfId="6598" xr:uid="{00000000-0005-0000-0000-00007C040000}"/>
    <cellStyle name="Currency 6 101 4" xfId="4992" xr:uid="{00000000-0005-0000-0000-00007D040000}"/>
    <cellStyle name="Currency 6 101 5" xfId="6596" xr:uid="{00000000-0005-0000-0000-00007E040000}"/>
    <cellStyle name="Currency 6 102" xfId="396" xr:uid="{00000000-0005-0000-0000-00007F040000}"/>
    <cellStyle name="Currency 6 102 2" xfId="397" xr:uid="{00000000-0005-0000-0000-000080040000}"/>
    <cellStyle name="Currency 6 102 2 2" xfId="4996" xr:uid="{00000000-0005-0000-0000-000081040000}"/>
    <cellStyle name="Currency 6 102 2 3" xfId="6600" xr:uid="{00000000-0005-0000-0000-000082040000}"/>
    <cellStyle name="Currency 6 102 3" xfId="398" xr:uid="{00000000-0005-0000-0000-000083040000}"/>
    <cellStyle name="Currency 6 102 3 2" xfId="4997" xr:uid="{00000000-0005-0000-0000-000084040000}"/>
    <cellStyle name="Currency 6 102 3 3" xfId="6601" xr:uid="{00000000-0005-0000-0000-000085040000}"/>
    <cellStyle name="Currency 6 102 4" xfId="4995" xr:uid="{00000000-0005-0000-0000-000086040000}"/>
    <cellStyle name="Currency 6 102 5" xfId="6599" xr:uid="{00000000-0005-0000-0000-000087040000}"/>
    <cellStyle name="Currency 6 103" xfId="399" xr:uid="{00000000-0005-0000-0000-000088040000}"/>
    <cellStyle name="Currency 6 103 2" xfId="400" xr:uid="{00000000-0005-0000-0000-000089040000}"/>
    <cellStyle name="Currency 6 103 2 2" xfId="4999" xr:uid="{00000000-0005-0000-0000-00008A040000}"/>
    <cellStyle name="Currency 6 103 2 3" xfId="6603" xr:uid="{00000000-0005-0000-0000-00008B040000}"/>
    <cellStyle name="Currency 6 103 3" xfId="401" xr:uid="{00000000-0005-0000-0000-00008C040000}"/>
    <cellStyle name="Currency 6 103 3 2" xfId="5000" xr:uid="{00000000-0005-0000-0000-00008D040000}"/>
    <cellStyle name="Currency 6 103 3 3" xfId="6604" xr:uid="{00000000-0005-0000-0000-00008E040000}"/>
    <cellStyle name="Currency 6 103 4" xfId="4998" xr:uid="{00000000-0005-0000-0000-00008F040000}"/>
    <cellStyle name="Currency 6 103 5" xfId="6602" xr:uid="{00000000-0005-0000-0000-000090040000}"/>
    <cellStyle name="Currency 6 104" xfId="402" xr:uid="{00000000-0005-0000-0000-000091040000}"/>
    <cellStyle name="Currency 6 104 2" xfId="403" xr:uid="{00000000-0005-0000-0000-000092040000}"/>
    <cellStyle name="Currency 6 104 2 2" xfId="5002" xr:uid="{00000000-0005-0000-0000-000093040000}"/>
    <cellStyle name="Currency 6 104 2 3" xfId="6606" xr:uid="{00000000-0005-0000-0000-000094040000}"/>
    <cellStyle name="Currency 6 104 3" xfId="404" xr:uid="{00000000-0005-0000-0000-000095040000}"/>
    <cellStyle name="Currency 6 104 3 2" xfId="5003" xr:uid="{00000000-0005-0000-0000-000096040000}"/>
    <cellStyle name="Currency 6 104 3 3" xfId="6607" xr:uid="{00000000-0005-0000-0000-000097040000}"/>
    <cellStyle name="Currency 6 104 4" xfId="5001" xr:uid="{00000000-0005-0000-0000-000098040000}"/>
    <cellStyle name="Currency 6 104 5" xfId="6605" xr:uid="{00000000-0005-0000-0000-000099040000}"/>
    <cellStyle name="Currency 6 105" xfId="405" xr:uid="{00000000-0005-0000-0000-00009A040000}"/>
    <cellStyle name="Currency 6 105 2" xfId="406" xr:uid="{00000000-0005-0000-0000-00009B040000}"/>
    <cellStyle name="Currency 6 105 2 2" xfId="5005" xr:uid="{00000000-0005-0000-0000-00009C040000}"/>
    <cellStyle name="Currency 6 105 2 3" xfId="6609" xr:uid="{00000000-0005-0000-0000-00009D040000}"/>
    <cellStyle name="Currency 6 105 3" xfId="407" xr:uid="{00000000-0005-0000-0000-00009E040000}"/>
    <cellStyle name="Currency 6 105 3 2" xfId="5006" xr:uid="{00000000-0005-0000-0000-00009F040000}"/>
    <cellStyle name="Currency 6 105 3 3" xfId="6610" xr:uid="{00000000-0005-0000-0000-0000A0040000}"/>
    <cellStyle name="Currency 6 105 4" xfId="5004" xr:uid="{00000000-0005-0000-0000-0000A1040000}"/>
    <cellStyle name="Currency 6 105 5" xfId="6608" xr:uid="{00000000-0005-0000-0000-0000A2040000}"/>
    <cellStyle name="Currency 6 106" xfId="408" xr:uid="{00000000-0005-0000-0000-0000A3040000}"/>
    <cellStyle name="Currency 6 106 2" xfId="409" xr:uid="{00000000-0005-0000-0000-0000A4040000}"/>
    <cellStyle name="Currency 6 106 2 2" xfId="5008" xr:uid="{00000000-0005-0000-0000-0000A5040000}"/>
    <cellStyle name="Currency 6 106 2 3" xfId="6612" xr:uid="{00000000-0005-0000-0000-0000A6040000}"/>
    <cellStyle name="Currency 6 106 3" xfId="410" xr:uid="{00000000-0005-0000-0000-0000A7040000}"/>
    <cellStyle name="Currency 6 106 3 2" xfId="5009" xr:uid="{00000000-0005-0000-0000-0000A8040000}"/>
    <cellStyle name="Currency 6 106 3 3" xfId="6613" xr:uid="{00000000-0005-0000-0000-0000A9040000}"/>
    <cellStyle name="Currency 6 106 4" xfId="5007" xr:uid="{00000000-0005-0000-0000-0000AA040000}"/>
    <cellStyle name="Currency 6 106 5" xfId="6611" xr:uid="{00000000-0005-0000-0000-0000AB040000}"/>
    <cellStyle name="Currency 6 107" xfId="411" xr:uid="{00000000-0005-0000-0000-0000AC040000}"/>
    <cellStyle name="Currency 6 107 2" xfId="412" xr:uid="{00000000-0005-0000-0000-0000AD040000}"/>
    <cellStyle name="Currency 6 107 2 2" xfId="5011" xr:uid="{00000000-0005-0000-0000-0000AE040000}"/>
    <cellStyle name="Currency 6 107 2 3" xfId="6615" xr:uid="{00000000-0005-0000-0000-0000AF040000}"/>
    <cellStyle name="Currency 6 107 3" xfId="413" xr:uid="{00000000-0005-0000-0000-0000B0040000}"/>
    <cellStyle name="Currency 6 107 3 2" xfId="5012" xr:uid="{00000000-0005-0000-0000-0000B1040000}"/>
    <cellStyle name="Currency 6 107 3 3" xfId="6616" xr:uid="{00000000-0005-0000-0000-0000B2040000}"/>
    <cellStyle name="Currency 6 107 4" xfId="5010" xr:uid="{00000000-0005-0000-0000-0000B3040000}"/>
    <cellStyle name="Currency 6 107 5" xfId="6614" xr:uid="{00000000-0005-0000-0000-0000B4040000}"/>
    <cellStyle name="Currency 6 108" xfId="414" xr:uid="{00000000-0005-0000-0000-0000B5040000}"/>
    <cellStyle name="Currency 6 108 2" xfId="415" xr:uid="{00000000-0005-0000-0000-0000B6040000}"/>
    <cellStyle name="Currency 6 108 2 2" xfId="5014" xr:uid="{00000000-0005-0000-0000-0000B7040000}"/>
    <cellStyle name="Currency 6 108 2 3" xfId="6618" xr:uid="{00000000-0005-0000-0000-0000B8040000}"/>
    <cellStyle name="Currency 6 108 3" xfId="416" xr:uid="{00000000-0005-0000-0000-0000B9040000}"/>
    <cellStyle name="Currency 6 108 3 2" xfId="5015" xr:uid="{00000000-0005-0000-0000-0000BA040000}"/>
    <cellStyle name="Currency 6 108 3 3" xfId="6619" xr:uid="{00000000-0005-0000-0000-0000BB040000}"/>
    <cellStyle name="Currency 6 108 4" xfId="5013" xr:uid="{00000000-0005-0000-0000-0000BC040000}"/>
    <cellStyle name="Currency 6 108 5" xfId="6617" xr:uid="{00000000-0005-0000-0000-0000BD040000}"/>
    <cellStyle name="Currency 6 109" xfId="417" xr:uid="{00000000-0005-0000-0000-0000BE040000}"/>
    <cellStyle name="Currency 6 109 2" xfId="418" xr:uid="{00000000-0005-0000-0000-0000BF040000}"/>
    <cellStyle name="Currency 6 109 2 2" xfId="5017" xr:uid="{00000000-0005-0000-0000-0000C0040000}"/>
    <cellStyle name="Currency 6 109 2 3" xfId="6621" xr:uid="{00000000-0005-0000-0000-0000C1040000}"/>
    <cellStyle name="Currency 6 109 3" xfId="419" xr:uid="{00000000-0005-0000-0000-0000C2040000}"/>
    <cellStyle name="Currency 6 109 3 2" xfId="5018" xr:uid="{00000000-0005-0000-0000-0000C3040000}"/>
    <cellStyle name="Currency 6 109 3 3" xfId="6622" xr:uid="{00000000-0005-0000-0000-0000C4040000}"/>
    <cellStyle name="Currency 6 109 4" xfId="5016" xr:uid="{00000000-0005-0000-0000-0000C5040000}"/>
    <cellStyle name="Currency 6 109 5" xfId="6620" xr:uid="{00000000-0005-0000-0000-0000C6040000}"/>
    <cellStyle name="Currency 6 11" xfId="420" xr:uid="{00000000-0005-0000-0000-0000C7040000}"/>
    <cellStyle name="Currency 6 11 2" xfId="421" xr:uid="{00000000-0005-0000-0000-0000C8040000}"/>
    <cellStyle name="Currency 6 11 2 2" xfId="5020" xr:uid="{00000000-0005-0000-0000-0000C9040000}"/>
    <cellStyle name="Currency 6 11 2 3" xfId="6624" xr:uid="{00000000-0005-0000-0000-0000CA040000}"/>
    <cellStyle name="Currency 6 11 3" xfId="422" xr:uid="{00000000-0005-0000-0000-0000CB040000}"/>
    <cellStyle name="Currency 6 11 3 2" xfId="5021" xr:uid="{00000000-0005-0000-0000-0000CC040000}"/>
    <cellStyle name="Currency 6 11 3 3" xfId="6625" xr:uid="{00000000-0005-0000-0000-0000CD040000}"/>
    <cellStyle name="Currency 6 11 4" xfId="5019" xr:uid="{00000000-0005-0000-0000-0000CE040000}"/>
    <cellStyle name="Currency 6 11 5" xfId="6623" xr:uid="{00000000-0005-0000-0000-0000CF040000}"/>
    <cellStyle name="Currency 6 110" xfId="423" xr:uid="{00000000-0005-0000-0000-0000D0040000}"/>
    <cellStyle name="Currency 6 110 2" xfId="424" xr:uid="{00000000-0005-0000-0000-0000D1040000}"/>
    <cellStyle name="Currency 6 110 2 2" xfId="5023" xr:uid="{00000000-0005-0000-0000-0000D2040000}"/>
    <cellStyle name="Currency 6 110 2 3" xfId="6627" xr:uid="{00000000-0005-0000-0000-0000D3040000}"/>
    <cellStyle name="Currency 6 110 3" xfId="425" xr:uid="{00000000-0005-0000-0000-0000D4040000}"/>
    <cellStyle name="Currency 6 110 3 2" xfId="5024" xr:uid="{00000000-0005-0000-0000-0000D5040000}"/>
    <cellStyle name="Currency 6 110 3 3" xfId="6628" xr:uid="{00000000-0005-0000-0000-0000D6040000}"/>
    <cellStyle name="Currency 6 110 4" xfId="5022" xr:uid="{00000000-0005-0000-0000-0000D7040000}"/>
    <cellStyle name="Currency 6 110 5" xfId="6626" xr:uid="{00000000-0005-0000-0000-0000D8040000}"/>
    <cellStyle name="Currency 6 111" xfId="426" xr:uid="{00000000-0005-0000-0000-0000D9040000}"/>
    <cellStyle name="Currency 6 111 2" xfId="427" xr:uid="{00000000-0005-0000-0000-0000DA040000}"/>
    <cellStyle name="Currency 6 111 2 2" xfId="5026" xr:uid="{00000000-0005-0000-0000-0000DB040000}"/>
    <cellStyle name="Currency 6 111 2 3" xfId="6630" xr:uid="{00000000-0005-0000-0000-0000DC040000}"/>
    <cellStyle name="Currency 6 111 3" xfId="428" xr:uid="{00000000-0005-0000-0000-0000DD040000}"/>
    <cellStyle name="Currency 6 111 3 2" xfId="5027" xr:uid="{00000000-0005-0000-0000-0000DE040000}"/>
    <cellStyle name="Currency 6 111 3 3" xfId="6631" xr:uid="{00000000-0005-0000-0000-0000DF040000}"/>
    <cellStyle name="Currency 6 111 4" xfId="5025" xr:uid="{00000000-0005-0000-0000-0000E0040000}"/>
    <cellStyle name="Currency 6 111 5" xfId="6629" xr:uid="{00000000-0005-0000-0000-0000E1040000}"/>
    <cellStyle name="Currency 6 112" xfId="429" xr:uid="{00000000-0005-0000-0000-0000E2040000}"/>
    <cellStyle name="Currency 6 112 2" xfId="430" xr:uid="{00000000-0005-0000-0000-0000E3040000}"/>
    <cellStyle name="Currency 6 112 2 2" xfId="5029" xr:uid="{00000000-0005-0000-0000-0000E4040000}"/>
    <cellStyle name="Currency 6 112 2 3" xfId="6633" xr:uid="{00000000-0005-0000-0000-0000E5040000}"/>
    <cellStyle name="Currency 6 112 3" xfId="431" xr:uid="{00000000-0005-0000-0000-0000E6040000}"/>
    <cellStyle name="Currency 6 112 3 2" xfId="5030" xr:uid="{00000000-0005-0000-0000-0000E7040000}"/>
    <cellStyle name="Currency 6 112 3 3" xfId="6634" xr:uid="{00000000-0005-0000-0000-0000E8040000}"/>
    <cellStyle name="Currency 6 112 4" xfId="5028" xr:uid="{00000000-0005-0000-0000-0000E9040000}"/>
    <cellStyle name="Currency 6 112 5" xfId="6632" xr:uid="{00000000-0005-0000-0000-0000EA040000}"/>
    <cellStyle name="Currency 6 113" xfId="432" xr:uid="{00000000-0005-0000-0000-0000EB040000}"/>
    <cellStyle name="Currency 6 113 2" xfId="433" xr:uid="{00000000-0005-0000-0000-0000EC040000}"/>
    <cellStyle name="Currency 6 113 2 2" xfId="5032" xr:uid="{00000000-0005-0000-0000-0000ED040000}"/>
    <cellStyle name="Currency 6 113 2 3" xfId="6636" xr:uid="{00000000-0005-0000-0000-0000EE040000}"/>
    <cellStyle name="Currency 6 113 3" xfId="434" xr:uid="{00000000-0005-0000-0000-0000EF040000}"/>
    <cellStyle name="Currency 6 113 3 2" xfId="5033" xr:uid="{00000000-0005-0000-0000-0000F0040000}"/>
    <cellStyle name="Currency 6 113 3 3" xfId="6637" xr:uid="{00000000-0005-0000-0000-0000F1040000}"/>
    <cellStyle name="Currency 6 113 4" xfId="5031" xr:uid="{00000000-0005-0000-0000-0000F2040000}"/>
    <cellStyle name="Currency 6 113 5" xfId="6635" xr:uid="{00000000-0005-0000-0000-0000F3040000}"/>
    <cellStyle name="Currency 6 114" xfId="435" xr:uid="{00000000-0005-0000-0000-0000F4040000}"/>
    <cellStyle name="Currency 6 114 2" xfId="436" xr:uid="{00000000-0005-0000-0000-0000F5040000}"/>
    <cellStyle name="Currency 6 114 2 2" xfId="5035" xr:uid="{00000000-0005-0000-0000-0000F6040000}"/>
    <cellStyle name="Currency 6 114 2 3" xfId="6639" xr:uid="{00000000-0005-0000-0000-0000F7040000}"/>
    <cellStyle name="Currency 6 114 3" xfId="437" xr:uid="{00000000-0005-0000-0000-0000F8040000}"/>
    <cellStyle name="Currency 6 114 3 2" xfId="5036" xr:uid="{00000000-0005-0000-0000-0000F9040000}"/>
    <cellStyle name="Currency 6 114 3 3" xfId="6640" xr:uid="{00000000-0005-0000-0000-0000FA040000}"/>
    <cellStyle name="Currency 6 114 4" xfId="5034" xr:uid="{00000000-0005-0000-0000-0000FB040000}"/>
    <cellStyle name="Currency 6 114 5" xfId="6638" xr:uid="{00000000-0005-0000-0000-0000FC040000}"/>
    <cellStyle name="Currency 6 115" xfId="438" xr:uid="{00000000-0005-0000-0000-0000FD040000}"/>
    <cellStyle name="Currency 6 115 2" xfId="439" xr:uid="{00000000-0005-0000-0000-0000FE040000}"/>
    <cellStyle name="Currency 6 115 2 2" xfId="5038" xr:uid="{00000000-0005-0000-0000-0000FF040000}"/>
    <cellStyle name="Currency 6 115 2 3" xfId="6642" xr:uid="{00000000-0005-0000-0000-000000050000}"/>
    <cellStyle name="Currency 6 115 3" xfId="440" xr:uid="{00000000-0005-0000-0000-000001050000}"/>
    <cellStyle name="Currency 6 115 3 2" xfId="5039" xr:uid="{00000000-0005-0000-0000-000002050000}"/>
    <cellStyle name="Currency 6 115 3 3" xfId="6643" xr:uid="{00000000-0005-0000-0000-000003050000}"/>
    <cellStyle name="Currency 6 115 4" xfId="5037" xr:uid="{00000000-0005-0000-0000-000004050000}"/>
    <cellStyle name="Currency 6 115 5" xfId="6641" xr:uid="{00000000-0005-0000-0000-000005050000}"/>
    <cellStyle name="Currency 6 116" xfId="441" xr:uid="{00000000-0005-0000-0000-000006050000}"/>
    <cellStyle name="Currency 6 116 2" xfId="442" xr:uid="{00000000-0005-0000-0000-000007050000}"/>
    <cellStyle name="Currency 6 116 2 2" xfId="5041" xr:uid="{00000000-0005-0000-0000-000008050000}"/>
    <cellStyle name="Currency 6 116 2 3" xfId="6645" xr:uid="{00000000-0005-0000-0000-000009050000}"/>
    <cellStyle name="Currency 6 116 3" xfId="443" xr:uid="{00000000-0005-0000-0000-00000A050000}"/>
    <cellStyle name="Currency 6 116 3 2" xfId="5042" xr:uid="{00000000-0005-0000-0000-00000B050000}"/>
    <cellStyle name="Currency 6 116 3 3" xfId="6646" xr:uid="{00000000-0005-0000-0000-00000C050000}"/>
    <cellStyle name="Currency 6 116 4" xfId="5040" xr:uid="{00000000-0005-0000-0000-00000D050000}"/>
    <cellStyle name="Currency 6 116 5" xfId="6644" xr:uid="{00000000-0005-0000-0000-00000E050000}"/>
    <cellStyle name="Currency 6 117" xfId="4985" xr:uid="{00000000-0005-0000-0000-00000F050000}"/>
    <cellStyle name="Currency 6 118" xfId="6589" xr:uid="{00000000-0005-0000-0000-000010050000}"/>
    <cellStyle name="Currency 6 12" xfId="444" xr:uid="{00000000-0005-0000-0000-000011050000}"/>
    <cellStyle name="Currency 6 12 2" xfId="445" xr:uid="{00000000-0005-0000-0000-000012050000}"/>
    <cellStyle name="Currency 6 12 2 2" xfId="5044" xr:uid="{00000000-0005-0000-0000-000013050000}"/>
    <cellStyle name="Currency 6 12 2 3" xfId="6648" xr:uid="{00000000-0005-0000-0000-000014050000}"/>
    <cellStyle name="Currency 6 12 3" xfId="446" xr:uid="{00000000-0005-0000-0000-000015050000}"/>
    <cellStyle name="Currency 6 12 3 2" xfId="5045" xr:uid="{00000000-0005-0000-0000-000016050000}"/>
    <cellStyle name="Currency 6 12 3 3" xfId="6649" xr:uid="{00000000-0005-0000-0000-000017050000}"/>
    <cellStyle name="Currency 6 12 4" xfId="5043" xr:uid="{00000000-0005-0000-0000-000018050000}"/>
    <cellStyle name="Currency 6 12 5" xfId="6647" xr:uid="{00000000-0005-0000-0000-000019050000}"/>
    <cellStyle name="Currency 6 13" xfId="447" xr:uid="{00000000-0005-0000-0000-00001A050000}"/>
    <cellStyle name="Currency 6 13 2" xfId="448" xr:uid="{00000000-0005-0000-0000-00001B050000}"/>
    <cellStyle name="Currency 6 13 2 2" xfId="5047" xr:uid="{00000000-0005-0000-0000-00001C050000}"/>
    <cellStyle name="Currency 6 13 2 3" xfId="6651" xr:uid="{00000000-0005-0000-0000-00001D050000}"/>
    <cellStyle name="Currency 6 13 3" xfId="449" xr:uid="{00000000-0005-0000-0000-00001E050000}"/>
    <cellStyle name="Currency 6 13 3 2" xfId="5048" xr:uid="{00000000-0005-0000-0000-00001F050000}"/>
    <cellStyle name="Currency 6 13 3 3" xfId="6652" xr:uid="{00000000-0005-0000-0000-000020050000}"/>
    <cellStyle name="Currency 6 13 4" xfId="5046" xr:uid="{00000000-0005-0000-0000-000021050000}"/>
    <cellStyle name="Currency 6 13 5" xfId="6650" xr:uid="{00000000-0005-0000-0000-000022050000}"/>
    <cellStyle name="Currency 6 14" xfId="450" xr:uid="{00000000-0005-0000-0000-000023050000}"/>
    <cellStyle name="Currency 6 14 2" xfId="451" xr:uid="{00000000-0005-0000-0000-000024050000}"/>
    <cellStyle name="Currency 6 14 2 2" xfId="5050" xr:uid="{00000000-0005-0000-0000-000025050000}"/>
    <cellStyle name="Currency 6 14 2 3" xfId="6654" xr:uid="{00000000-0005-0000-0000-000026050000}"/>
    <cellStyle name="Currency 6 14 3" xfId="452" xr:uid="{00000000-0005-0000-0000-000027050000}"/>
    <cellStyle name="Currency 6 14 3 2" xfId="5051" xr:uid="{00000000-0005-0000-0000-000028050000}"/>
    <cellStyle name="Currency 6 14 3 3" xfId="6655" xr:uid="{00000000-0005-0000-0000-000029050000}"/>
    <cellStyle name="Currency 6 14 4" xfId="5049" xr:uid="{00000000-0005-0000-0000-00002A050000}"/>
    <cellStyle name="Currency 6 14 5" xfId="6653" xr:uid="{00000000-0005-0000-0000-00002B050000}"/>
    <cellStyle name="Currency 6 15" xfId="453" xr:uid="{00000000-0005-0000-0000-00002C050000}"/>
    <cellStyle name="Currency 6 15 2" xfId="454" xr:uid="{00000000-0005-0000-0000-00002D050000}"/>
    <cellStyle name="Currency 6 15 2 2" xfId="5053" xr:uid="{00000000-0005-0000-0000-00002E050000}"/>
    <cellStyle name="Currency 6 15 2 3" xfId="6657" xr:uid="{00000000-0005-0000-0000-00002F050000}"/>
    <cellStyle name="Currency 6 15 3" xfId="455" xr:uid="{00000000-0005-0000-0000-000030050000}"/>
    <cellStyle name="Currency 6 15 3 2" xfId="5054" xr:uid="{00000000-0005-0000-0000-000031050000}"/>
    <cellStyle name="Currency 6 15 3 3" xfId="6658" xr:uid="{00000000-0005-0000-0000-000032050000}"/>
    <cellStyle name="Currency 6 15 4" xfId="5052" xr:uid="{00000000-0005-0000-0000-000033050000}"/>
    <cellStyle name="Currency 6 15 5" xfId="6656" xr:uid="{00000000-0005-0000-0000-000034050000}"/>
    <cellStyle name="Currency 6 16" xfId="456" xr:uid="{00000000-0005-0000-0000-000035050000}"/>
    <cellStyle name="Currency 6 16 2" xfId="457" xr:uid="{00000000-0005-0000-0000-000036050000}"/>
    <cellStyle name="Currency 6 16 2 2" xfId="5056" xr:uid="{00000000-0005-0000-0000-000037050000}"/>
    <cellStyle name="Currency 6 16 2 3" xfId="6660" xr:uid="{00000000-0005-0000-0000-000038050000}"/>
    <cellStyle name="Currency 6 16 3" xfId="458" xr:uid="{00000000-0005-0000-0000-000039050000}"/>
    <cellStyle name="Currency 6 16 3 2" xfId="5057" xr:uid="{00000000-0005-0000-0000-00003A050000}"/>
    <cellStyle name="Currency 6 16 3 3" xfId="6661" xr:uid="{00000000-0005-0000-0000-00003B050000}"/>
    <cellStyle name="Currency 6 16 4" xfId="5055" xr:uid="{00000000-0005-0000-0000-00003C050000}"/>
    <cellStyle name="Currency 6 16 5" xfId="6659" xr:uid="{00000000-0005-0000-0000-00003D050000}"/>
    <cellStyle name="Currency 6 17" xfId="459" xr:uid="{00000000-0005-0000-0000-00003E050000}"/>
    <cellStyle name="Currency 6 17 2" xfId="460" xr:uid="{00000000-0005-0000-0000-00003F050000}"/>
    <cellStyle name="Currency 6 17 2 2" xfId="5059" xr:uid="{00000000-0005-0000-0000-000040050000}"/>
    <cellStyle name="Currency 6 17 2 3" xfId="6663" xr:uid="{00000000-0005-0000-0000-000041050000}"/>
    <cellStyle name="Currency 6 17 3" xfId="461" xr:uid="{00000000-0005-0000-0000-000042050000}"/>
    <cellStyle name="Currency 6 17 3 2" xfId="5060" xr:uid="{00000000-0005-0000-0000-000043050000}"/>
    <cellStyle name="Currency 6 17 3 3" xfId="6664" xr:uid="{00000000-0005-0000-0000-000044050000}"/>
    <cellStyle name="Currency 6 17 4" xfId="5058" xr:uid="{00000000-0005-0000-0000-000045050000}"/>
    <cellStyle name="Currency 6 17 5" xfId="6662" xr:uid="{00000000-0005-0000-0000-000046050000}"/>
    <cellStyle name="Currency 6 18" xfId="462" xr:uid="{00000000-0005-0000-0000-000047050000}"/>
    <cellStyle name="Currency 6 18 2" xfId="463" xr:uid="{00000000-0005-0000-0000-000048050000}"/>
    <cellStyle name="Currency 6 18 2 2" xfId="5062" xr:uid="{00000000-0005-0000-0000-000049050000}"/>
    <cellStyle name="Currency 6 18 2 3" xfId="6666" xr:uid="{00000000-0005-0000-0000-00004A050000}"/>
    <cellStyle name="Currency 6 18 3" xfId="464" xr:uid="{00000000-0005-0000-0000-00004B050000}"/>
    <cellStyle name="Currency 6 18 3 2" xfId="5063" xr:uid="{00000000-0005-0000-0000-00004C050000}"/>
    <cellStyle name="Currency 6 18 3 3" xfId="6667" xr:uid="{00000000-0005-0000-0000-00004D050000}"/>
    <cellStyle name="Currency 6 18 4" xfId="5061" xr:uid="{00000000-0005-0000-0000-00004E050000}"/>
    <cellStyle name="Currency 6 18 5" xfId="6665" xr:uid="{00000000-0005-0000-0000-00004F050000}"/>
    <cellStyle name="Currency 6 19" xfId="465" xr:uid="{00000000-0005-0000-0000-000050050000}"/>
    <cellStyle name="Currency 6 19 2" xfId="466" xr:uid="{00000000-0005-0000-0000-000051050000}"/>
    <cellStyle name="Currency 6 19 2 2" xfId="5065" xr:uid="{00000000-0005-0000-0000-000052050000}"/>
    <cellStyle name="Currency 6 19 2 3" xfId="6669" xr:uid="{00000000-0005-0000-0000-000053050000}"/>
    <cellStyle name="Currency 6 19 3" xfId="467" xr:uid="{00000000-0005-0000-0000-000054050000}"/>
    <cellStyle name="Currency 6 19 3 2" xfId="5066" xr:uid="{00000000-0005-0000-0000-000055050000}"/>
    <cellStyle name="Currency 6 19 3 3" xfId="6670" xr:uid="{00000000-0005-0000-0000-000056050000}"/>
    <cellStyle name="Currency 6 19 4" xfId="5064" xr:uid="{00000000-0005-0000-0000-000057050000}"/>
    <cellStyle name="Currency 6 19 5" xfId="6668" xr:uid="{00000000-0005-0000-0000-000058050000}"/>
    <cellStyle name="Currency 6 2" xfId="468" xr:uid="{00000000-0005-0000-0000-000059050000}"/>
    <cellStyle name="Currency 6 2 2" xfId="469" xr:uid="{00000000-0005-0000-0000-00005A050000}"/>
    <cellStyle name="Currency 6 2 2 2" xfId="5068" xr:uid="{00000000-0005-0000-0000-00005B050000}"/>
    <cellStyle name="Currency 6 2 2 3" xfId="6672" xr:uid="{00000000-0005-0000-0000-00005C050000}"/>
    <cellStyle name="Currency 6 2 3" xfId="470" xr:uid="{00000000-0005-0000-0000-00005D050000}"/>
    <cellStyle name="Currency 6 2 3 2" xfId="5069" xr:uid="{00000000-0005-0000-0000-00005E050000}"/>
    <cellStyle name="Currency 6 2 3 3" xfId="6673" xr:uid="{00000000-0005-0000-0000-00005F050000}"/>
    <cellStyle name="Currency 6 2 4" xfId="5067" xr:uid="{00000000-0005-0000-0000-000060050000}"/>
    <cellStyle name="Currency 6 2 5" xfId="6671" xr:uid="{00000000-0005-0000-0000-000061050000}"/>
    <cellStyle name="Currency 6 20" xfId="471" xr:uid="{00000000-0005-0000-0000-000062050000}"/>
    <cellStyle name="Currency 6 20 2" xfId="472" xr:uid="{00000000-0005-0000-0000-000063050000}"/>
    <cellStyle name="Currency 6 20 2 2" xfId="5071" xr:uid="{00000000-0005-0000-0000-000064050000}"/>
    <cellStyle name="Currency 6 20 2 3" xfId="6675" xr:uid="{00000000-0005-0000-0000-000065050000}"/>
    <cellStyle name="Currency 6 20 3" xfId="473" xr:uid="{00000000-0005-0000-0000-000066050000}"/>
    <cellStyle name="Currency 6 20 3 2" xfId="5072" xr:uid="{00000000-0005-0000-0000-000067050000}"/>
    <cellStyle name="Currency 6 20 3 3" xfId="6676" xr:uid="{00000000-0005-0000-0000-000068050000}"/>
    <cellStyle name="Currency 6 20 4" xfId="5070" xr:uid="{00000000-0005-0000-0000-000069050000}"/>
    <cellStyle name="Currency 6 20 5" xfId="6674" xr:uid="{00000000-0005-0000-0000-00006A050000}"/>
    <cellStyle name="Currency 6 21" xfId="474" xr:uid="{00000000-0005-0000-0000-00006B050000}"/>
    <cellStyle name="Currency 6 21 2" xfId="475" xr:uid="{00000000-0005-0000-0000-00006C050000}"/>
    <cellStyle name="Currency 6 21 2 2" xfId="5074" xr:uid="{00000000-0005-0000-0000-00006D050000}"/>
    <cellStyle name="Currency 6 21 2 3" xfId="6678" xr:uid="{00000000-0005-0000-0000-00006E050000}"/>
    <cellStyle name="Currency 6 21 3" xfId="476" xr:uid="{00000000-0005-0000-0000-00006F050000}"/>
    <cellStyle name="Currency 6 21 3 2" xfId="5075" xr:uid="{00000000-0005-0000-0000-000070050000}"/>
    <cellStyle name="Currency 6 21 3 3" xfId="6679" xr:uid="{00000000-0005-0000-0000-000071050000}"/>
    <cellStyle name="Currency 6 21 4" xfId="5073" xr:uid="{00000000-0005-0000-0000-000072050000}"/>
    <cellStyle name="Currency 6 21 5" xfId="6677" xr:uid="{00000000-0005-0000-0000-000073050000}"/>
    <cellStyle name="Currency 6 22" xfId="477" xr:uid="{00000000-0005-0000-0000-000074050000}"/>
    <cellStyle name="Currency 6 22 2" xfId="478" xr:uid="{00000000-0005-0000-0000-000075050000}"/>
    <cellStyle name="Currency 6 22 2 2" xfId="5077" xr:uid="{00000000-0005-0000-0000-000076050000}"/>
    <cellStyle name="Currency 6 22 2 3" xfId="6681" xr:uid="{00000000-0005-0000-0000-000077050000}"/>
    <cellStyle name="Currency 6 22 3" xfId="479" xr:uid="{00000000-0005-0000-0000-000078050000}"/>
    <cellStyle name="Currency 6 22 3 2" xfId="5078" xr:uid="{00000000-0005-0000-0000-000079050000}"/>
    <cellStyle name="Currency 6 22 3 3" xfId="6682" xr:uid="{00000000-0005-0000-0000-00007A050000}"/>
    <cellStyle name="Currency 6 22 4" xfId="5076" xr:uid="{00000000-0005-0000-0000-00007B050000}"/>
    <cellStyle name="Currency 6 22 5" xfId="6680" xr:uid="{00000000-0005-0000-0000-00007C050000}"/>
    <cellStyle name="Currency 6 23" xfId="480" xr:uid="{00000000-0005-0000-0000-00007D050000}"/>
    <cellStyle name="Currency 6 23 2" xfId="481" xr:uid="{00000000-0005-0000-0000-00007E050000}"/>
    <cellStyle name="Currency 6 23 2 2" xfId="5080" xr:uid="{00000000-0005-0000-0000-00007F050000}"/>
    <cellStyle name="Currency 6 23 2 3" xfId="6684" xr:uid="{00000000-0005-0000-0000-000080050000}"/>
    <cellStyle name="Currency 6 23 3" xfId="482" xr:uid="{00000000-0005-0000-0000-000081050000}"/>
    <cellStyle name="Currency 6 23 3 2" xfId="5081" xr:uid="{00000000-0005-0000-0000-000082050000}"/>
    <cellStyle name="Currency 6 23 3 3" xfId="6685" xr:uid="{00000000-0005-0000-0000-000083050000}"/>
    <cellStyle name="Currency 6 23 4" xfId="5079" xr:uid="{00000000-0005-0000-0000-000084050000}"/>
    <cellStyle name="Currency 6 23 5" xfId="6683" xr:uid="{00000000-0005-0000-0000-000085050000}"/>
    <cellStyle name="Currency 6 24" xfId="483" xr:uid="{00000000-0005-0000-0000-000086050000}"/>
    <cellStyle name="Currency 6 24 2" xfId="484" xr:uid="{00000000-0005-0000-0000-000087050000}"/>
    <cellStyle name="Currency 6 24 2 2" xfId="5083" xr:uid="{00000000-0005-0000-0000-000088050000}"/>
    <cellStyle name="Currency 6 24 2 3" xfId="6687" xr:uid="{00000000-0005-0000-0000-000089050000}"/>
    <cellStyle name="Currency 6 24 3" xfId="485" xr:uid="{00000000-0005-0000-0000-00008A050000}"/>
    <cellStyle name="Currency 6 24 3 2" xfId="5084" xr:uid="{00000000-0005-0000-0000-00008B050000}"/>
    <cellStyle name="Currency 6 24 3 3" xfId="6688" xr:uid="{00000000-0005-0000-0000-00008C050000}"/>
    <cellStyle name="Currency 6 24 4" xfId="5082" xr:uid="{00000000-0005-0000-0000-00008D050000}"/>
    <cellStyle name="Currency 6 24 5" xfId="6686" xr:uid="{00000000-0005-0000-0000-00008E050000}"/>
    <cellStyle name="Currency 6 25" xfId="486" xr:uid="{00000000-0005-0000-0000-00008F050000}"/>
    <cellStyle name="Currency 6 25 2" xfId="487" xr:uid="{00000000-0005-0000-0000-000090050000}"/>
    <cellStyle name="Currency 6 25 2 2" xfId="5086" xr:uid="{00000000-0005-0000-0000-000091050000}"/>
    <cellStyle name="Currency 6 25 2 3" xfId="6690" xr:uid="{00000000-0005-0000-0000-000092050000}"/>
    <cellStyle name="Currency 6 25 3" xfId="488" xr:uid="{00000000-0005-0000-0000-000093050000}"/>
    <cellStyle name="Currency 6 25 3 2" xfId="5087" xr:uid="{00000000-0005-0000-0000-000094050000}"/>
    <cellStyle name="Currency 6 25 3 3" xfId="6691" xr:uid="{00000000-0005-0000-0000-000095050000}"/>
    <cellStyle name="Currency 6 25 4" xfId="5085" xr:uid="{00000000-0005-0000-0000-000096050000}"/>
    <cellStyle name="Currency 6 25 5" xfId="6689" xr:uid="{00000000-0005-0000-0000-000097050000}"/>
    <cellStyle name="Currency 6 26" xfId="489" xr:uid="{00000000-0005-0000-0000-000098050000}"/>
    <cellStyle name="Currency 6 26 2" xfId="490" xr:uid="{00000000-0005-0000-0000-000099050000}"/>
    <cellStyle name="Currency 6 26 2 2" xfId="5089" xr:uid="{00000000-0005-0000-0000-00009A050000}"/>
    <cellStyle name="Currency 6 26 2 3" xfId="6693" xr:uid="{00000000-0005-0000-0000-00009B050000}"/>
    <cellStyle name="Currency 6 26 3" xfId="491" xr:uid="{00000000-0005-0000-0000-00009C050000}"/>
    <cellStyle name="Currency 6 26 3 2" xfId="5090" xr:uid="{00000000-0005-0000-0000-00009D050000}"/>
    <cellStyle name="Currency 6 26 3 3" xfId="6694" xr:uid="{00000000-0005-0000-0000-00009E050000}"/>
    <cellStyle name="Currency 6 26 4" xfId="5088" xr:uid="{00000000-0005-0000-0000-00009F050000}"/>
    <cellStyle name="Currency 6 26 5" xfId="6692" xr:uid="{00000000-0005-0000-0000-0000A0050000}"/>
    <cellStyle name="Currency 6 27" xfId="492" xr:uid="{00000000-0005-0000-0000-0000A1050000}"/>
    <cellStyle name="Currency 6 27 2" xfId="493" xr:uid="{00000000-0005-0000-0000-0000A2050000}"/>
    <cellStyle name="Currency 6 27 2 2" xfId="5092" xr:uid="{00000000-0005-0000-0000-0000A3050000}"/>
    <cellStyle name="Currency 6 27 2 3" xfId="6696" xr:uid="{00000000-0005-0000-0000-0000A4050000}"/>
    <cellStyle name="Currency 6 27 3" xfId="494" xr:uid="{00000000-0005-0000-0000-0000A5050000}"/>
    <cellStyle name="Currency 6 27 3 2" xfId="5093" xr:uid="{00000000-0005-0000-0000-0000A6050000}"/>
    <cellStyle name="Currency 6 27 3 3" xfId="6697" xr:uid="{00000000-0005-0000-0000-0000A7050000}"/>
    <cellStyle name="Currency 6 27 4" xfId="5091" xr:uid="{00000000-0005-0000-0000-0000A8050000}"/>
    <cellStyle name="Currency 6 27 5" xfId="6695" xr:uid="{00000000-0005-0000-0000-0000A9050000}"/>
    <cellStyle name="Currency 6 28" xfId="495" xr:uid="{00000000-0005-0000-0000-0000AA050000}"/>
    <cellStyle name="Currency 6 28 2" xfId="496" xr:uid="{00000000-0005-0000-0000-0000AB050000}"/>
    <cellStyle name="Currency 6 28 2 2" xfId="5095" xr:uid="{00000000-0005-0000-0000-0000AC050000}"/>
    <cellStyle name="Currency 6 28 2 3" xfId="6699" xr:uid="{00000000-0005-0000-0000-0000AD050000}"/>
    <cellStyle name="Currency 6 28 3" xfId="497" xr:uid="{00000000-0005-0000-0000-0000AE050000}"/>
    <cellStyle name="Currency 6 28 3 2" xfId="5096" xr:uid="{00000000-0005-0000-0000-0000AF050000}"/>
    <cellStyle name="Currency 6 28 3 3" xfId="6700" xr:uid="{00000000-0005-0000-0000-0000B0050000}"/>
    <cellStyle name="Currency 6 28 4" xfId="5094" xr:uid="{00000000-0005-0000-0000-0000B1050000}"/>
    <cellStyle name="Currency 6 28 5" xfId="6698" xr:uid="{00000000-0005-0000-0000-0000B2050000}"/>
    <cellStyle name="Currency 6 29" xfId="498" xr:uid="{00000000-0005-0000-0000-0000B3050000}"/>
    <cellStyle name="Currency 6 29 2" xfId="499" xr:uid="{00000000-0005-0000-0000-0000B4050000}"/>
    <cellStyle name="Currency 6 29 2 2" xfId="5098" xr:uid="{00000000-0005-0000-0000-0000B5050000}"/>
    <cellStyle name="Currency 6 29 2 3" xfId="6702" xr:uid="{00000000-0005-0000-0000-0000B6050000}"/>
    <cellStyle name="Currency 6 29 3" xfId="500" xr:uid="{00000000-0005-0000-0000-0000B7050000}"/>
    <cellStyle name="Currency 6 29 3 2" xfId="5099" xr:uid="{00000000-0005-0000-0000-0000B8050000}"/>
    <cellStyle name="Currency 6 29 3 3" xfId="6703" xr:uid="{00000000-0005-0000-0000-0000B9050000}"/>
    <cellStyle name="Currency 6 29 4" xfId="5097" xr:uid="{00000000-0005-0000-0000-0000BA050000}"/>
    <cellStyle name="Currency 6 29 5" xfId="6701" xr:uid="{00000000-0005-0000-0000-0000BB050000}"/>
    <cellStyle name="Currency 6 3" xfId="501" xr:uid="{00000000-0005-0000-0000-0000BC050000}"/>
    <cellStyle name="Currency 6 3 2" xfId="502" xr:uid="{00000000-0005-0000-0000-0000BD050000}"/>
    <cellStyle name="Currency 6 3 2 2" xfId="5101" xr:uid="{00000000-0005-0000-0000-0000BE050000}"/>
    <cellStyle name="Currency 6 3 2 3" xfId="6705" xr:uid="{00000000-0005-0000-0000-0000BF050000}"/>
    <cellStyle name="Currency 6 3 3" xfId="503" xr:uid="{00000000-0005-0000-0000-0000C0050000}"/>
    <cellStyle name="Currency 6 3 3 2" xfId="5102" xr:uid="{00000000-0005-0000-0000-0000C1050000}"/>
    <cellStyle name="Currency 6 3 3 3" xfId="6706" xr:uid="{00000000-0005-0000-0000-0000C2050000}"/>
    <cellStyle name="Currency 6 3 4" xfId="5100" xr:uid="{00000000-0005-0000-0000-0000C3050000}"/>
    <cellStyle name="Currency 6 3 5" xfId="6704" xr:uid="{00000000-0005-0000-0000-0000C4050000}"/>
    <cellStyle name="Currency 6 30" xfId="504" xr:uid="{00000000-0005-0000-0000-0000C5050000}"/>
    <cellStyle name="Currency 6 30 2" xfId="505" xr:uid="{00000000-0005-0000-0000-0000C6050000}"/>
    <cellStyle name="Currency 6 30 2 2" xfId="5104" xr:uid="{00000000-0005-0000-0000-0000C7050000}"/>
    <cellStyle name="Currency 6 30 2 3" xfId="6708" xr:uid="{00000000-0005-0000-0000-0000C8050000}"/>
    <cellStyle name="Currency 6 30 3" xfId="506" xr:uid="{00000000-0005-0000-0000-0000C9050000}"/>
    <cellStyle name="Currency 6 30 3 2" xfId="5105" xr:uid="{00000000-0005-0000-0000-0000CA050000}"/>
    <cellStyle name="Currency 6 30 3 3" xfId="6709" xr:uid="{00000000-0005-0000-0000-0000CB050000}"/>
    <cellStyle name="Currency 6 30 4" xfId="5103" xr:uid="{00000000-0005-0000-0000-0000CC050000}"/>
    <cellStyle name="Currency 6 30 5" xfId="6707" xr:uid="{00000000-0005-0000-0000-0000CD050000}"/>
    <cellStyle name="Currency 6 31" xfId="507" xr:uid="{00000000-0005-0000-0000-0000CE050000}"/>
    <cellStyle name="Currency 6 31 2" xfId="508" xr:uid="{00000000-0005-0000-0000-0000CF050000}"/>
    <cellStyle name="Currency 6 31 2 2" xfId="5107" xr:uid="{00000000-0005-0000-0000-0000D0050000}"/>
    <cellStyle name="Currency 6 31 2 3" xfId="6711" xr:uid="{00000000-0005-0000-0000-0000D1050000}"/>
    <cellStyle name="Currency 6 31 3" xfId="509" xr:uid="{00000000-0005-0000-0000-0000D2050000}"/>
    <cellStyle name="Currency 6 31 3 2" xfId="5108" xr:uid="{00000000-0005-0000-0000-0000D3050000}"/>
    <cellStyle name="Currency 6 31 3 3" xfId="6712" xr:uid="{00000000-0005-0000-0000-0000D4050000}"/>
    <cellStyle name="Currency 6 31 4" xfId="5106" xr:uid="{00000000-0005-0000-0000-0000D5050000}"/>
    <cellStyle name="Currency 6 31 5" xfId="6710" xr:uid="{00000000-0005-0000-0000-0000D6050000}"/>
    <cellStyle name="Currency 6 32" xfId="510" xr:uid="{00000000-0005-0000-0000-0000D7050000}"/>
    <cellStyle name="Currency 6 32 2" xfId="511" xr:uid="{00000000-0005-0000-0000-0000D8050000}"/>
    <cellStyle name="Currency 6 32 2 2" xfId="5110" xr:uid="{00000000-0005-0000-0000-0000D9050000}"/>
    <cellStyle name="Currency 6 32 2 3" xfId="6714" xr:uid="{00000000-0005-0000-0000-0000DA050000}"/>
    <cellStyle name="Currency 6 32 3" xfId="512" xr:uid="{00000000-0005-0000-0000-0000DB050000}"/>
    <cellStyle name="Currency 6 32 3 2" xfId="5111" xr:uid="{00000000-0005-0000-0000-0000DC050000}"/>
    <cellStyle name="Currency 6 32 3 3" xfId="6715" xr:uid="{00000000-0005-0000-0000-0000DD050000}"/>
    <cellStyle name="Currency 6 32 4" xfId="5109" xr:uid="{00000000-0005-0000-0000-0000DE050000}"/>
    <cellStyle name="Currency 6 32 5" xfId="6713" xr:uid="{00000000-0005-0000-0000-0000DF050000}"/>
    <cellStyle name="Currency 6 33" xfId="513" xr:uid="{00000000-0005-0000-0000-0000E0050000}"/>
    <cellStyle name="Currency 6 33 2" xfId="514" xr:uid="{00000000-0005-0000-0000-0000E1050000}"/>
    <cellStyle name="Currency 6 33 2 2" xfId="5113" xr:uid="{00000000-0005-0000-0000-0000E2050000}"/>
    <cellStyle name="Currency 6 33 2 3" xfId="6717" xr:uid="{00000000-0005-0000-0000-0000E3050000}"/>
    <cellStyle name="Currency 6 33 3" xfId="515" xr:uid="{00000000-0005-0000-0000-0000E4050000}"/>
    <cellStyle name="Currency 6 33 3 2" xfId="5114" xr:uid="{00000000-0005-0000-0000-0000E5050000}"/>
    <cellStyle name="Currency 6 33 3 3" xfId="6718" xr:uid="{00000000-0005-0000-0000-0000E6050000}"/>
    <cellStyle name="Currency 6 33 4" xfId="5112" xr:uid="{00000000-0005-0000-0000-0000E7050000}"/>
    <cellStyle name="Currency 6 33 5" xfId="6716" xr:uid="{00000000-0005-0000-0000-0000E8050000}"/>
    <cellStyle name="Currency 6 34" xfId="516" xr:uid="{00000000-0005-0000-0000-0000E9050000}"/>
    <cellStyle name="Currency 6 34 2" xfId="517" xr:uid="{00000000-0005-0000-0000-0000EA050000}"/>
    <cellStyle name="Currency 6 34 2 2" xfId="5116" xr:uid="{00000000-0005-0000-0000-0000EB050000}"/>
    <cellStyle name="Currency 6 34 2 3" xfId="6720" xr:uid="{00000000-0005-0000-0000-0000EC050000}"/>
    <cellStyle name="Currency 6 34 3" xfId="518" xr:uid="{00000000-0005-0000-0000-0000ED050000}"/>
    <cellStyle name="Currency 6 34 3 2" xfId="5117" xr:uid="{00000000-0005-0000-0000-0000EE050000}"/>
    <cellStyle name="Currency 6 34 3 3" xfId="6721" xr:uid="{00000000-0005-0000-0000-0000EF050000}"/>
    <cellStyle name="Currency 6 34 4" xfId="5115" xr:uid="{00000000-0005-0000-0000-0000F0050000}"/>
    <cellStyle name="Currency 6 34 5" xfId="6719" xr:uid="{00000000-0005-0000-0000-0000F1050000}"/>
    <cellStyle name="Currency 6 35" xfId="519" xr:uid="{00000000-0005-0000-0000-0000F2050000}"/>
    <cellStyle name="Currency 6 35 2" xfId="520" xr:uid="{00000000-0005-0000-0000-0000F3050000}"/>
    <cellStyle name="Currency 6 35 2 2" xfId="5119" xr:uid="{00000000-0005-0000-0000-0000F4050000}"/>
    <cellStyle name="Currency 6 35 2 3" xfId="6723" xr:uid="{00000000-0005-0000-0000-0000F5050000}"/>
    <cellStyle name="Currency 6 35 3" xfId="521" xr:uid="{00000000-0005-0000-0000-0000F6050000}"/>
    <cellStyle name="Currency 6 35 3 2" xfId="5120" xr:uid="{00000000-0005-0000-0000-0000F7050000}"/>
    <cellStyle name="Currency 6 35 3 3" xfId="6724" xr:uid="{00000000-0005-0000-0000-0000F8050000}"/>
    <cellStyle name="Currency 6 35 4" xfId="5118" xr:uid="{00000000-0005-0000-0000-0000F9050000}"/>
    <cellStyle name="Currency 6 35 5" xfId="6722" xr:uid="{00000000-0005-0000-0000-0000FA050000}"/>
    <cellStyle name="Currency 6 36" xfId="522" xr:uid="{00000000-0005-0000-0000-0000FB050000}"/>
    <cellStyle name="Currency 6 36 2" xfId="523" xr:uid="{00000000-0005-0000-0000-0000FC050000}"/>
    <cellStyle name="Currency 6 36 2 2" xfId="5122" xr:uid="{00000000-0005-0000-0000-0000FD050000}"/>
    <cellStyle name="Currency 6 36 2 3" xfId="6726" xr:uid="{00000000-0005-0000-0000-0000FE050000}"/>
    <cellStyle name="Currency 6 36 3" xfId="524" xr:uid="{00000000-0005-0000-0000-0000FF050000}"/>
    <cellStyle name="Currency 6 36 3 2" xfId="5123" xr:uid="{00000000-0005-0000-0000-000000060000}"/>
    <cellStyle name="Currency 6 36 3 3" xfId="6727" xr:uid="{00000000-0005-0000-0000-000001060000}"/>
    <cellStyle name="Currency 6 36 4" xfId="5121" xr:uid="{00000000-0005-0000-0000-000002060000}"/>
    <cellStyle name="Currency 6 36 5" xfId="6725" xr:uid="{00000000-0005-0000-0000-000003060000}"/>
    <cellStyle name="Currency 6 37" xfId="525" xr:uid="{00000000-0005-0000-0000-000004060000}"/>
    <cellStyle name="Currency 6 37 2" xfId="526" xr:uid="{00000000-0005-0000-0000-000005060000}"/>
    <cellStyle name="Currency 6 37 2 2" xfId="5125" xr:uid="{00000000-0005-0000-0000-000006060000}"/>
    <cellStyle name="Currency 6 37 2 3" xfId="6729" xr:uid="{00000000-0005-0000-0000-000007060000}"/>
    <cellStyle name="Currency 6 37 3" xfId="527" xr:uid="{00000000-0005-0000-0000-000008060000}"/>
    <cellStyle name="Currency 6 37 3 2" xfId="5126" xr:uid="{00000000-0005-0000-0000-000009060000}"/>
    <cellStyle name="Currency 6 37 3 3" xfId="6730" xr:uid="{00000000-0005-0000-0000-00000A060000}"/>
    <cellStyle name="Currency 6 37 4" xfId="5124" xr:uid="{00000000-0005-0000-0000-00000B060000}"/>
    <cellStyle name="Currency 6 37 5" xfId="6728" xr:uid="{00000000-0005-0000-0000-00000C060000}"/>
    <cellStyle name="Currency 6 38" xfId="528" xr:uid="{00000000-0005-0000-0000-00000D060000}"/>
    <cellStyle name="Currency 6 38 2" xfId="529" xr:uid="{00000000-0005-0000-0000-00000E060000}"/>
    <cellStyle name="Currency 6 38 2 2" xfId="5128" xr:uid="{00000000-0005-0000-0000-00000F060000}"/>
    <cellStyle name="Currency 6 38 2 3" xfId="6732" xr:uid="{00000000-0005-0000-0000-000010060000}"/>
    <cellStyle name="Currency 6 38 3" xfId="530" xr:uid="{00000000-0005-0000-0000-000011060000}"/>
    <cellStyle name="Currency 6 38 3 2" xfId="5129" xr:uid="{00000000-0005-0000-0000-000012060000}"/>
    <cellStyle name="Currency 6 38 3 3" xfId="6733" xr:uid="{00000000-0005-0000-0000-000013060000}"/>
    <cellStyle name="Currency 6 38 4" xfId="5127" xr:uid="{00000000-0005-0000-0000-000014060000}"/>
    <cellStyle name="Currency 6 38 5" xfId="6731" xr:uid="{00000000-0005-0000-0000-000015060000}"/>
    <cellStyle name="Currency 6 39" xfId="531" xr:uid="{00000000-0005-0000-0000-000016060000}"/>
    <cellStyle name="Currency 6 39 2" xfId="532" xr:uid="{00000000-0005-0000-0000-000017060000}"/>
    <cellStyle name="Currency 6 39 2 2" xfId="5131" xr:uid="{00000000-0005-0000-0000-000018060000}"/>
    <cellStyle name="Currency 6 39 2 3" xfId="6735" xr:uid="{00000000-0005-0000-0000-000019060000}"/>
    <cellStyle name="Currency 6 39 3" xfId="533" xr:uid="{00000000-0005-0000-0000-00001A060000}"/>
    <cellStyle name="Currency 6 39 3 2" xfId="5132" xr:uid="{00000000-0005-0000-0000-00001B060000}"/>
    <cellStyle name="Currency 6 39 3 3" xfId="6736" xr:uid="{00000000-0005-0000-0000-00001C060000}"/>
    <cellStyle name="Currency 6 39 4" xfId="5130" xr:uid="{00000000-0005-0000-0000-00001D060000}"/>
    <cellStyle name="Currency 6 39 5" xfId="6734" xr:uid="{00000000-0005-0000-0000-00001E060000}"/>
    <cellStyle name="Currency 6 4" xfId="534" xr:uid="{00000000-0005-0000-0000-00001F060000}"/>
    <cellStyle name="Currency 6 4 2" xfId="535" xr:uid="{00000000-0005-0000-0000-000020060000}"/>
    <cellStyle name="Currency 6 4 2 2" xfId="5134" xr:uid="{00000000-0005-0000-0000-000021060000}"/>
    <cellStyle name="Currency 6 4 2 3" xfId="6738" xr:uid="{00000000-0005-0000-0000-000022060000}"/>
    <cellStyle name="Currency 6 4 3" xfId="536" xr:uid="{00000000-0005-0000-0000-000023060000}"/>
    <cellStyle name="Currency 6 4 3 2" xfId="5135" xr:uid="{00000000-0005-0000-0000-000024060000}"/>
    <cellStyle name="Currency 6 4 3 3" xfId="6739" xr:uid="{00000000-0005-0000-0000-000025060000}"/>
    <cellStyle name="Currency 6 4 4" xfId="5133" xr:uid="{00000000-0005-0000-0000-000026060000}"/>
    <cellStyle name="Currency 6 4 5" xfId="6737" xr:uid="{00000000-0005-0000-0000-000027060000}"/>
    <cellStyle name="Currency 6 40" xfId="537" xr:uid="{00000000-0005-0000-0000-000028060000}"/>
    <cellStyle name="Currency 6 40 2" xfId="538" xr:uid="{00000000-0005-0000-0000-000029060000}"/>
    <cellStyle name="Currency 6 40 2 2" xfId="5137" xr:uid="{00000000-0005-0000-0000-00002A060000}"/>
    <cellStyle name="Currency 6 40 2 3" xfId="6741" xr:uid="{00000000-0005-0000-0000-00002B060000}"/>
    <cellStyle name="Currency 6 40 3" xfId="539" xr:uid="{00000000-0005-0000-0000-00002C060000}"/>
    <cellStyle name="Currency 6 40 3 2" xfId="5138" xr:uid="{00000000-0005-0000-0000-00002D060000}"/>
    <cellStyle name="Currency 6 40 3 3" xfId="6742" xr:uid="{00000000-0005-0000-0000-00002E060000}"/>
    <cellStyle name="Currency 6 40 4" xfId="5136" xr:uid="{00000000-0005-0000-0000-00002F060000}"/>
    <cellStyle name="Currency 6 40 5" xfId="6740" xr:uid="{00000000-0005-0000-0000-000030060000}"/>
    <cellStyle name="Currency 6 41" xfId="540" xr:uid="{00000000-0005-0000-0000-000031060000}"/>
    <cellStyle name="Currency 6 41 2" xfId="541" xr:uid="{00000000-0005-0000-0000-000032060000}"/>
    <cellStyle name="Currency 6 41 2 2" xfId="5140" xr:uid="{00000000-0005-0000-0000-000033060000}"/>
    <cellStyle name="Currency 6 41 2 3" xfId="6744" xr:uid="{00000000-0005-0000-0000-000034060000}"/>
    <cellStyle name="Currency 6 41 3" xfId="542" xr:uid="{00000000-0005-0000-0000-000035060000}"/>
    <cellStyle name="Currency 6 41 3 2" xfId="5141" xr:uid="{00000000-0005-0000-0000-000036060000}"/>
    <cellStyle name="Currency 6 41 3 3" xfId="6745" xr:uid="{00000000-0005-0000-0000-000037060000}"/>
    <cellStyle name="Currency 6 41 4" xfId="5139" xr:uid="{00000000-0005-0000-0000-000038060000}"/>
    <cellStyle name="Currency 6 41 5" xfId="6743" xr:uid="{00000000-0005-0000-0000-000039060000}"/>
    <cellStyle name="Currency 6 42" xfId="543" xr:uid="{00000000-0005-0000-0000-00003A060000}"/>
    <cellStyle name="Currency 6 42 2" xfId="544" xr:uid="{00000000-0005-0000-0000-00003B060000}"/>
    <cellStyle name="Currency 6 42 2 2" xfId="5143" xr:uid="{00000000-0005-0000-0000-00003C060000}"/>
    <cellStyle name="Currency 6 42 2 3" xfId="6747" xr:uid="{00000000-0005-0000-0000-00003D060000}"/>
    <cellStyle name="Currency 6 42 3" xfId="545" xr:uid="{00000000-0005-0000-0000-00003E060000}"/>
    <cellStyle name="Currency 6 42 3 2" xfId="5144" xr:uid="{00000000-0005-0000-0000-00003F060000}"/>
    <cellStyle name="Currency 6 42 3 3" xfId="6748" xr:uid="{00000000-0005-0000-0000-000040060000}"/>
    <cellStyle name="Currency 6 42 4" xfId="5142" xr:uid="{00000000-0005-0000-0000-000041060000}"/>
    <cellStyle name="Currency 6 42 5" xfId="6746" xr:uid="{00000000-0005-0000-0000-000042060000}"/>
    <cellStyle name="Currency 6 43" xfId="546" xr:uid="{00000000-0005-0000-0000-000043060000}"/>
    <cellStyle name="Currency 6 43 2" xfId="547" xr:uid="{00000000-0005-0000-0000-000044060000}"/>
    <cellStyle name="Currency 6 43 2 2" xfId="5146" xr:uid="{00000000-0005-0000-0000-000045060000}"/>
    <cellStyle name="Currency 6 43 2 3" xfId="6750" xr:uid="{00000000-0005-0000-0000-000046060000}"/>
    <cellStyle name="Currency 6 43 3" xfId="548" xr:uid="{00000000-0005-0000-0000-000047060000}"/>
    <cellStyle name="Currency 6 43 3 2" xfId="5147" xr:uid="{00000000-0005-0000-0000-000048060000}"/>
    <cellStyle name="Currency 6 43 3 3" xfId="6751" xr:uid="{00000000-0005-0000-0000-000049060000}"/>
    <cellStyle name="Currency 6 43 4" xfId="5145" xr:uid="{00000000-0005-0000-0000-00004A060000}"/>
    <cellStyle name="Currency 6 43 5" xfId="6749" xr:uid="{00000000-0005-0000-0000-00004B060000}"/>
    <cellStyle name="Currency 6 44" xfId="549" xr:uid="{00000000-0005-0000-0000-00004C060000}"/>
    <cellStyle name="Currency 6 44 2" xfId="550" xr:uid="{00000000-0005-0000-0000-00004D060000}"/>
    <cellStyle name="Currency 6 44 2 2" xfId="5149" xr:uid="{00000000-0005-0000-0000-00004E060000}"/>
    <cellStyle name="Currency 6 44 2 3" xfId="6753" xr:uid="{00000000-0005-0000-0000-00004F060000}"/>
    <cellStyle name="Currency 6 44 3" xfId="551" xr:uid="{00000000-0005-0000-0000-000050060000}"/>
    <cellStyle name="Currency 6 44 3 2" xfId="5150" xr:uid="{00000000-0005-0000-0000-000051060000}"/>
    <cellStyle name="Currency 6 44 3 3" xfId="6754" xr:uid="{00000000-0005-0000-0000-000052060000}"/>
    <cellStyle name="Currency 6 44 4" xfId="5148" xr:uid="{00000000-0005-0000-0000-000053060000}"/>
    <cellStyle name="Currency 6 44 5" xfId="6752" xr:uid="{00000000-0005-0000-0000-000054060000}"/>
    <cellStyle name="Currency 6 45" xfId="552" xr:uid="{00000000-0005-0000-0000-000055060000}"/>
    <cellStyle name="Currency 6 45 2" xfId="553" xr:uid="{00000000-0005-0000-0000-000056060000}"/>
    <cellStyle name="Currency 6 45 2 2" xfId="5152" xr:uid="{00000000-0005-0000-0000-000057060000}"/>
    <cellStyle name="Currency 6 45 2 3" xfId="6756" xr:uid="{00000000-0005-0000-0000-000058060000}"/>
    <cellStyle name="Currency 6 45 3" xfId="554" xr:uid="{00000000-0005-0000-0000-000059060000}"/>
    <cellStyle name="Currency 6 45 3 2" xfId="5153" xr:uid="{00000000-0005-0000-0000-00005A060000}"/>
    <cellStyle name="Currency 6 45 3 3" xfId="6757" xr:uid="{00000000-0005-0000-0000-00005B060000}"/>
    <cellStyle name="Currency 6 45 4" xfId="5151" xr:uid="{00000000-0005-0000-0000-00005C060000}"/>
    <cellStyle name="Currency 6 45 5" xfId="6755" xr:uid="{00000000-0005-0000-0000-00005D060000}"/>
    <cellStyle name="Currency 6 46" xfId="555" xr:uid="{00000000-0005-0000-0000-00005E060000}"/>
    <cellStyle name="Currency 6 46 2" xfId="556" xr:uid="{00000000-0005-0000-0000-00005F060000}"/>
    <cellStyle name="Currency 6 46 2 2" xfId="5155" xr:uid="{00000000-0005-0000-0000-000060060000}"/>
    <cellStyle name="Currency 6 46 2 3" xfId="6759" xr:uid="{00000000-0005-0000-0000-000061060000}"/>
    <cellStyle name="Currency 6 46 3" xfId="557" xr:uid="{00000000-0005-0000-0000-000062060000}"/>
    <cellStyle name="Currency 6 46 3 2" xfId="5156" xr:uid="{00000000-0005-0000-0000-000063060000}"/>
    <cellStyle name="Currency 6 46 3 3" xfId="6760" xr:uid="{00000000-0005-0000-0000-000064060000}"/>
    <cellStyle name="Currency 6 46 4" xfId="5154" xr:uid="{00000000-0005-0000-0000-000065060000}"/>
    <cellStyle name="Currency 6 46 5" xfId="6758" xr:uid="{00000000-0005-0000-0000-000066060000}"/>
    <cellStyle name="Currency 6 47" xfId="558" xr:uid="{00000000-0005-0000-0000-000067060000}"/>
    <cellStyle name="Currency 6 47 2" xfId="559" xr:uid="{00000000-0005-0000-0000-000068060000}"/>
    <cellStyle name="Currency 6 47 2 2" xfId="5158" xr:uid="{00000000-0005-0000-0000-000069060000}"/>
    <cellStyle name="Currency 6 47 2 3" xfId="6762" xr:uid="{00000000-0005-0000-0000-00006A060000}"/>
    <cellStyle name="Currency 6 47 3" xfId="560" xr:uid="{00000000-0005-0000-0000-00006B060000}"/>
    <cellStyle name="Currency 6 47 3 2" xfId="5159" xr:uid="{00000000-0005-0000-0000-00006C060000}"/>
    <cellStyle name="Currency 6 47 3 3" xfId="6763" xr:uid="{00000000-0005-0000-0000-00006D060000}"/>
    <cellStyle name="Currency 6 47 4" xfId="5157" xr:uid="{00000000-0005-0000-0000-00006E060000}"/>
    <cellStyle name="Currency 6 47 5" xfId="6761" xr:uid="{00000000-0005-0000-0000-00006F060000}"/>
    <cellStyle name="Currency 6 48" xfId="561" xr:uid="{00000000-0005-0000-0000-000070060000}"/>
    <cellStyle name="Currency 6 48 2" xfId="562" xr:uid="{00000000-0005-0000-0000-000071060000}"/>
    <cellStyle name="Currency 6 48 2 2" xfId="5161" xr:uid="{00000000-0005-0000-0000-000072060000}"/>
    <cellStyle name="Currency 6 48 2 3" xfId="6765" xr:uid="{00000000-0005-0000-0000-000073060000}"/>
    <cellStyle name="Currency 6 48 3" xfId="563" xr:uid="{00000000-0005-0000-0000-000074060000}"/>
    <cellStyle name="Currency 6 48 3 2" xfId="5162" xr:uid="{00000000-0005-0000-0000-000075060000}"/>
    <cellStyle name="Currency 6 48 3 3" xfId="6766" xr:uid="{00000000-0005-0000-0000-000076060000}"/>
    <cellStyle name="Currency 6 48 4" xfId="5160" xr:uid="{00000000-0005-0000-0000-000077060000}"/>
    <cellStyle name="Currency 6 48 5" xfId="6764" xr:uid="{00000000-0005-0000-0000-000078060000}"/>
    <cellStyle name="Currency 6 49" xfId="564" xr:uid="{00000000-0005-0000-0000-000079060000}"/>
    <cellStyle name="Currency 6 49 2" xfId="565" xr:uid="{00000000-0005-0000-0000-00007A060000}"/>
    <cellStyle name="Currency 6 49 2 2" xfId="5164" xr:uid="{00000000-0005-0000-0000-00007B060000}"/>
    <cellStyle name="Currency 6 49 2 3" xfId="6768" xr:uid="{00000000-0005-0000-0000-00007C060000}"/>
    <cellStyle name="Currency 6 49 3" xfId="566" xr:uid="{00000000-0005-0000-0000-00007D060000}"/>
    <cellStyle name="Currency 6 49 3 2" xfId="5165" xr:uid="{00000000-0005-0000-0000-00007E060000}"/>
    <cellStyle name="Currency 6 49 3 3" xfId="6769" xr:uid="{00000000-0005-0000-0000-00007F060000}"/>
    <cellStyle name="Currency 6 49 4" xfId="5163" xr:uid="{00000000-0005-0000-0000-000080060000}"/>
    <cellStyle name="Currency 6 49 5" xfId="6767" xr:uid="{00000000-0005-0000-0000-000081060000}"/>
    <cellStyle name="Currency 6 5" xfId="567" xr:uid="{00000000-0005-0000-0000-000082060000}"/>
    <cellStyle name="Currency 6 5 2" xfId="568" xr:uid="{00000000-0005-0000-0000-000083060000}"/>
    <cellStyle name="Currency 6 5 2 2" xfId="5167" xr:uid="{00000000-0005-0000-0000-000084060000}"/>
    <cellStyle name="Currency 6 5 2 3" xfId="6771" xr:uid="{00000000-0005-0000-0000-000085060000}"/>
    <cellStyle name="Currency 6 5 3" xfId="569" xr:uid="{00000000-0005-0000-0000-000086060000}"/>
    <cellStyle name="Currency 6 5 3 2" xfId="5168" xr:uid="{00000000-0005-0000-0000-000087060000}"/>
    <cellStyle name="Currency 6 5 3 3" xfId="6772" xr:uid="{00000000-0005-0000-0000-000088060000}"/>
    <cellStyle name="Currency 6 5 4" xfId="5166" xr:uid="{00000000-0005-0000-0000-000089060000}"/>
    <cellStyle name="Currency 6 5 5" xfId="6770" xr:uid="{00000000-0005-0000-0000-00008A060000}"/>
    <cellStyle name="Currency 6 50" xfId="570" xr:uid="{00000000-0005-0000-0000-00008B060000}"/>
    <cellStyle name="Currency 6 50 2" xfId="571" xr:uid="{00000000-0005-0000-0000-00008C060000}"/>
    <cellStyle name="Currency 6 50 2 2" xfId="5170" xr:uid="{00000000-0005-0000-0000-00008D060000}"/>
    <cellStyle name="Currency 6 50 2 3" xfId="6774" xr:uid="{00000000-0005-0000-0000-00008E060000}"/>
    <cellStyle name="Currency 6 50 3" xfId="572" xr:uid="{00000000-0005-0000-0000-00008F060000}"/>
    <cellStyle name="Currency 6 50 3 2" xfId="5171" xr:uid="{00000000-0005-0000-0000-000090060000}"/>
    <cellStyle name="Currency 6 50 3 3" xfId="6775" xr:uid="{00000000-0005-0000-0000-000091060000}"/>
    <cellStyle name="Currency 6 50 4" xfId="5169" xr:uid="{00000000-0005-0000-0000-000092060000}"/>
    <cellStyle name="Currency 6 50 5" xfId="6773" xr:uid="{00000000-0005-0000-0000-000093060000}"/>
    <cellStyle name="Currency 6 51" xfId="573" xr:uid="{00000000-0005-0000-0000-000094060000}"/>
    <cellStyle name="Currency 6 51 2" xfId="574" xr:uid="{00000000-0005-0000-0000-000095060000}"/>
    <cellStyle name="Currency 6 51 2 2" xfId="5173" xr:uid="{00000000-0005-0000-0000-000096060000}"/>
    <cellStyle name="Currency 6 51 2 3" xfId="6777" xr:uid="{00000000-0005-0000-0000-000097060000}"/>
    <cellStyle name="Currency 6 51 3" xfId="575" xr:uid="{00000000-0005-0000-0000-000098060000}"/>
    <cellStyle name="Currency 6 51 3 2" xfId="5174" xr:uid="{00000000-0005-0000-0000-000099060000}"/>
    <cellStyle name="Currency 6 51 3 3" xfId="6778" xr:uid="{00000000-0005-0000-0000-00009A060000}"/>
    <cellStyle name="Currency 6 51 4" xfId="5172" xr:uid="{00000000-0005-0000-0000-00009B060000}"/>
    <cellStyle name="Currency 6 51 5" xfId="6776" xr:uid="{00000000-0005-0000-0000-00009C060000}"/>
    <cellStyle name="Currency 6 52" xfId="576" xr:uid="{00000000-0005-0000-0000-00009D060000}"/>
    <cellStyle name="Currency 6 52 2" xfId="577" xr:uid="{00000000-0005-0000-0000-00009E060000}"/>
    <cellStyle name="Currency 6 52 2 2" xfId="5176" xr:uid="{00000000-0005-0000-0000-00009F060000}"/>
    <cellStyle name="Currency 6 52 2 3" xfId="6780" xr:uid="{00000000-0005-0000-0000-0000A0060000}"/>
    <cellStyle name="Currency 6 52 3" xfId="578" xr:uid="{00000000-0005-0000-0000-0000A1060000}"/>
    <cellStyle name="Currency 6 52 3 2" xfId="5177" xr:uid="{00000000-0005-0000-0000-0000A2060000}"/>
    <cellStyle name="Currency 6 52 3 3" xfId="6781" xr:uid="{00000000-0005-0000-0000-0000A3060000}"/>
    <cellStyle name="Currency 6 52 4" xfId="5175" xr:uid="{00000000-0005-0000-0000-0000A4060000}"/>
    <cellStyle name="Currency 6 52 5" xfId="6779" xr:uid="{00000000-0005-0000-0000-0000A5060000}"/>
    <cellStyle name="Currency 6 53" xfId="579" xr:uid="{00000000-0005-0000-0000-0000A6060000}"/>
    <cellStyle name="Currency 6 53 2" xfId="580" xr:uid="{00000000-0005-0000-0000-0000A7060000}"/>
    <cellStyle name="Currency 6 53 2 2" xfId="5179" xr:uid="{00000000-0005-0000-0000-0000A8060000}"/>
    <cellStyle name="Currency 6 53 2 3" xfId="6783" xr:uid="{00000000-0005-0000-0000-0000A9060000}"/>
    <cellStyle name="Currency 6 53 3" xfId="581" xr:uid="{00000000-0005-0000-0000-0000AA060000}"/>
    <cellStyle name="Currency 6 53 3 2" xfId="5180" xr:uid="{00000000-0005-0000-0000-0000AB060000}"/>
    <cellStyle name="Currency 6 53 3 3" xfId="6784" xr:uid="{00000000-0005-0000-0000-0000AC060000}"/>
    <cellStyle name="Currency 6 53 4" xfId="5178" xr:uid="{00000000-0005-0000-0000-0000AD060000}"/>
    <cellStyle name="Currency 6 53 5" xfId="6782" xr:uid="{00000000-0005-0000-0000-0000AE060000}"/>
    <cellStyle name="Currency 6 54" xfId="582" xr:uid="{00000000-0005-0000-0000-0000AF060000}"/>
    <cellStyle name="Currency 6 54 2" xfId="583" xr:uid="{00000000-0005-0000-0000-0000B0060000}"/>
    <cellStyle name="Currency 6 54 2 2" xfId="5182" xr:uid="{00000000-0005-0000-0000-0000B1060000}"/>
    <cellStyle name="Currency 6 54 2 3" xfId="6786" xr:uid="{00000000-0005-0000-0000-0000B2060000}"/>
    <cellStyle name="Currency 6 54 3" xfId="584" xr:uid="{00000000-0005-0000-0000-0000B3060000}"/>
    <cellStyle name="Currency 6 54 3 2" xfId="5183" xr:uid="{00000000-0005-0000-0000-0000B4060000}"/>
    <cellStyle name="Currency 6 54 3 3" xfId="6787" xr:uid="{00000000-0005-0000-0000-0000B5060000}"/>
    <cellStyle name="Currency 6 54 4" xfId="5181" xr:uid="{00000000-0005-0000-0000-0000B6060000}"/>
    <cellStyle name="Currency 6 54 5" xfId="6785" xr:uid="{00000000-0005-0000-0000-0000B7060000}"/>
    <cellStyle name="Currency 6 55" xfId="585" xr:uid="{00000000-0005-0000-0000-0000B8060000}"/>
    <cellStyle name="Currency 6 55 2" xfId="586" xr:uid="{00000000-0005-0000-0000-0000B9060000}"/>
    <cellStyle name="Currency 6 55 2 2" xfId="5185" xr:uid="{00000000-0005-0000-0000-0000BA060000}"/>
    <cellStyle name="Currency 6 55 2 3" xfId="6789" xr:uid="{00000000-0005-0000-0000-0000BB060000}"/>
    <cellStyle name="Currency 6 55 3" xfId="587" xr:uid="{00000000-0005-0000-0000-0000BC060000}"/>
    <cellStyle name="Currency 6 55 3 2" xfId="5186" xr:uid="{00000000-0005-0000-0000-0000BD060000}"/>
    <cellStyle name="Currency 6 55 3 3" xfId="6790" xr:uid="{00000000-0005-0000-0000-0000BE060000}"/>
    <cellStyle name="Currency 6 55 4" xfId="5184" xr:uid="{00000000-0005-0000-0000-0000BF060000}"/>
    <cellStyle name="Currency 6 55 5" xfId="6788" xr:uid="{00000000-0005-0000-0000-0000C0060000}"/>
    <cellStyle name="Currency 6 56" xfId="588" xr:uid="{00000000-0005-0000-0000-0000C1060000}"/>
    <cellStyle name="Currency 6 56 2" xfId="589" xr:uid="{00000000-0005-0000-0000-0000C2060000}"/>
    <cellStyle name="Currency 6 56 2 2" xfId="5188" xr:uid="{00000000-0005-0000-0000-0000C3060000}"/>
    <cellStyle name="Currency 6 56 2 3" xfId="6792" xr:uid="{00000000-0005-0000-0000-0000C4060000}"/>
    <cellStyle name="Currency 6 56 3" xfId="590" xr:uid="{00000000-0005-0000-0000-0000C5060000}"/>
    <cellStyle name="Currency 6 56 3 2" xfId="5189" xr:uid="{00000000-0005-0000-0000-0000C6060000}"/>
    <cellStyle name="Currency 6 56 3 3" xfId="6793" xr:uid="{00000000-0005-0000-0000-0000C7060000}"/>
    <cellStyle name="Currency 6 56 4" xfId="5187" xr:uid="{00000000-0005-0000-0000-0000C8060000}"/>
    <cellStyle name="Currency 6 56 5" xfId="6791" xr:uid="{00000000-0005-0000-0000-0000C9060000}"/>
    <cellStyle name="Currency 6 57" xfId="591" xr:uid="{00000000-0005-0000-0000-0000CA060000}"/>
    <cellStyle name="Currency 6 57 2" xfId="592" xr:uid="{00000000-0005-0000-0000-0000CB060000}"/>
    <cellStyle name="Currency 6 57 2 2" xfId="5191" xr:uid="{00000000-0005-0000-0000-0000CC060000}"/>
    <cellStyle name="Currency 6 57 2 3" xfId="6795" xr:uid="{00000000-0005-0000-0000-0000CD060000}"/>
    <cellStyle name="Currency 6 57 3" xfId="593" xr:uid="{00000000-0005-0000-0000-0000CE060000}"/>
    <cellStyle name="Currency 6 57 3 2" xfId="5192" xr:uid="{00000000-0005-0000-0000-0000CF060000}"/>
    <cellStyle name="Currency 6 57 3 3" xfId="6796" xr:uid="{00000000-0005-0000-0000-0000D0060000}"/>
    <cellStyle name="Currency 6 57 4" xfId="5190" xr:uid="{00000000-0005-0000-0000-0000D1060000}"/>
    <cellStyle name="Currency 6 57 5" xfId="6794" xr:uid="{00000000-0005-0000-0000-0000D2060000}"/>
    <cellStyle name="Currency 6 58" xfId="594" xr:uid="{00000000-0005-0000-0000-0000D3060000}"/>
    <cellStyle name="Currency 6 58 2" xfId="595" xr:uid="{00000000-0005-0000-0000-0000D4060000}"/>
    <cellStyle name="Currency 6 58 2 2" xfId="5194" xr:uid="{00000000-0005-0000-0000-0000D5060000}"/>
    <cellStyle name="Currency 6 58 2 3" xfId="6798" xr:uid="{00000000-0005-0000-0000-0000D6060000}"/>
    <cellStyle name="Currency 6 58 3" xfId="596" xr:uid="{00000000-0005-0000-0000-0000D7060000}"/>
    <cellStyle name="Currency 6 58 3 2" xfId="5195" xr:uid="{00000000-0005-0000-0000-0000D8060000}"/>
    <cellStyle name="Currency 6 58 3 3" xfId="6799" xr:uid="{00000000-0005-0000-0000-0000D9060000}"/>
    <cellStyle name="Currency 6 58 4" xfId="5193" xr:uid="{00000000-0005-0000-0000-0000DA060000}"/>
    <cellStyle name="Currency 6 58 5" xfId="6797" xr:uid="{00000000-0005-0000-0000-0000DB060000}"/>
    <cellStyle name="Currency 6 59" xfId="597" xr:uid="{00000000-0005-0000-0000-0000DC060000}"/>
    <cellStyle name="Currency 6 59 2" xfId="598" xr:uid="{00000000-0005-0000-0000-0000DD060000}"/>
    <cellStyle name="Currency 6 59 2 2" xfId="5197" xr:uid="{00000000-0005-0000-0000-0000DE060000}"/>
    <cellStyle name="Currency 6 59 2 3" xfId="6801" xr:uid="{00000000-0005-0000-0000-0000DF060000}"/>
    <cellStyle name="Currency 6 59 3" xfId="599" xr:uid="{00000000-0005-0000-0000-0000E0060000}"/>
    <cellStyle name="Currency 6 59 3 2" xfId="5198" xr:uid="{00000000-0005-0000-0000-0000E1060000}"/>
    <cellStyle name="Currency 6 59 3 3" xfId="6802" xr:uid="{00000000-0005-0000-0000-0000E2060000}"/>
    <cellStyle name="Currency 6 59 4" xfId="5196" xr:uid="{00000000-0005-0000-0000-0000E3060000}"/>
    <cellStyle name="Currency 6 59 5" xfId="6800" xr:uid="{00000000-0005-0000-0000-0000E4060000}"/>
    <cellStyle name="Currency 6 6" xfId="600" xr:uid="{00000000-0005-0000-0000-0000E5060000}"/>
    <cellStyle name="Currency 6 6 2" xfId="601" xr:uid="{00000000-0005-0000-0000-0000E6060000}"/>
    <cellStyle name="Currency 6 6 2 2" xfId="5200" xr:uid="{00000000-0005-0000-0000-0000E7060000}"/>
    <cellStyle name="Currency 6 6 2 3" xfId="6804" xr:uid="{00000000-0005-0000-0000-0000E8060000}"/>
    <cellStyle name="Currency 6 6 3" xfId="602" xr:uid="{00000000-0005-0000-0000-0000E9060000}"/>
    <cellStyle name="Currency 6 6 3 2" xfId="5201" xr:uid="{00000000-0005-0000-0000-0000EA060000}"/>
    <cellStyle name="Currency 6 6 3 3" xfId="6805" xr:uid="{00000000-0005-0000-0000-0000EB060000}"/>
    <cellStyle name="Currency 6 6 4" xfId="5199" xr:uid="{00000000-0005-0000-0000-0000EC060000}"/>
    <cellStyle name="Currency 6 6 5" xfId="6803" xr:uid="{00000000-0005-0000-0000-0000ED060000}"/>
    <cellStyle name="Currency 6 60" xfId="603" xr:uid="{00000000-0005-0000-0000-0000EE060000}"/>
    <cellStyle name="Currency 6 60 2" xfId="604" xr:uid="{00000000-0005-0000-0000-0000EF060000}"/>
    <cellStyle name="Currency 6 60 2 2" xfId="5203" xr:uid="{00000000-0005-0000-0000-0000F0060000}"/>
    <cellStyle name="Currency 6 60 2 3" xfId="6807" xr:uid="{00000000-0005-0000-0000-0000F1060000}"/>
    <cellStyle name="Currency 6 60 3" xfId="605" xr:uid="{00000000-0005-0000-0000-0000F2060000}"/>
    <cellStyle name="Currency 6 60 3 2" xfId="5204" xr:uid="{00000000-0005-0000-0000-0000F3060000}"/>
    <cellStyle name="Currency 6 60 3 3" xfId="6808" xr:uid="{00000000-0005-0000-0000-0000F4060000}"/>
    <cellStyle name="Currency 6 60 4" xfId="5202" xr:uid="{00000000-0005-0000-0000-0000F5060000}"/>
    <cellStyle name="Currency 6 60 5" xfId="6806" xr:uid="{00000000-0005-0000-0000-0000F6060000}"/>
    <cellStyle name="Currency 6 61" xfId="606" xr:uid="{00000000-0005-0000-0000-0000F7060000}"/>
    <cellStyle name="Currency 6 61 2" xfId="607" xr:uid="{00000000-0005-0000-0000-0000F8060000}"/>
    <cellStyle name="Currency 6 61 2 2" xfId="5206" xr:uid="{00000000-0005-0000-0000-0000F9060000}"/>
    <cellStyle name="Currency 6 61 2 3" xfId="6810" xr:uid="{00000000-0005-0000-0000-0000FA060000}"/>
    <cellStyle name="Currency 6 61 3" xfId="608" xr:uid="{00000000-0005-0000-0000-0000FB060000}"/>
    <cellStyle name="Currency 6 61 3 2" xfId="5207" xr:uid="{00000000-0005-0000-0000-0000FC060000}"/>
    <cellStyle name="Currency 6 61 3 3" xfId="6811" xr:uid="{00000000-0005-0000-0000-0000FD060000}"/>
    <cellStyle name="Currency 6 61 4" xfId="5205" xr:uid="{00000000-0005-0000-0000-0000FE060000}"/>
    <cellStyle name="Currency 6 61 5" xfId="6809" xr:uid="{00000000-0005-0000-0000-0000FF060000}"/>
    <cellStyle name="Currency 6 62" xfId="609" xr:uid="{00000000-0005-0000-0000-000000070000}"/>
    <cellStyle name="Currency 6 62 2" xfId="610" xr:uid="{00000000-0005-0000-0000-000001070000}"/>
    <cellStyle name="Currency 6 62 2 2" xfId="5209" xr:uid="{00000000-0005-0000-0000-000002070000}"/>
    <cellStyle name="Currency 6 62 2 3" xfId="6813" xr:uid="{00000000-0005-0000-0000-000003070000}"/>
    <cellStyle name="Currency 6 62 3" xfId="611" xr:uid="{00000000-0005-0000-0000-000004070000}"/>
    <cellStyle name="Currency 6 62 3 2" xfId="5210" xr:uid="{00000000-0005-0000-0000-000005070000}"/>
    <cellStyle name="Currency 6 62 3 3" xfId="6814" xr:uid="{00000000-0005-0000-0000-000006070000}"/>
    <cellStyle name="Currency 6 62 4" xfId="5208" xr:uid="{00000000-0005-0000-0000-000007070000}"/>
    <cellStyle name="Currency 6 62 5" xfId="6812" xr:uid="{00000000-0005-0000-0000-000008070000}"/>
    <cellStyle name="Currency 6 63" xfId="612" xr:uid="{00000000-0005-0000-0000-000009070000}"/>
    <cellStyle name="Currency 6 63 2" xfId="613" xr:uid="{00000000-0005-0000-0000-00000A070000}"/>
    <cellStyle name="Currency 6 63 2 2" xfId="5212" xr:uid="{00000000-0005-0000-0000-00000B070000}"/>
    <cellStyle name="Currency 6 63 2 3" xfId="6816" xr:uid="{00000000-0005-0000-0000-00000C070000}"/>
    <cellStyle name="Currency 6 63 3" xfId="614" xr:uid="{00000000-0005-0000-0000-00000D070000}"/>
    <cellStyle name="Currency 6 63 3 2" xfId="5213" xr:uid="{00000000-0005-0000-0000-00000E070000}"/>
    <cellStyle name="Currency 6 63 3 3" xfId="6817" xr:uid="{00000000-0005-0000-0000-00000F070000}"/>
    <cellStyle name="Currency 6 63 4" xfId="5211" xr:uid="{00000000-0005-0000-0000-000010070000}"/>
    <cellStyle name="Currency 6 63 5" xfId="6815" xr:uid="{00000000-0005-0000-0000-000011070000}"/>
    <cellStyle name="Currency 6 64" xfId="615" xr:uid="{00000000-0005-0000-0000-000012070000}"/>
    <cellStyle name="Currency 6 64 2" xfId="616" xr:uid="{00000000-0005-0000-0000-000013070000}"/>
    <cellStyle name="Currency 6 64 2 2" xfId="5215" xr:uid="{00000000-0005-0000-0000-000014070000}"/>
    <cellStyle name="Currency 6 64 2 3" xfId="6819" xr:uid="{00000000-0005-0000-0000-000015070000}"/>
    <cellStyle name="Currency 6 64 3" xfId="617" xr:uid="{00000000-0005-0000-0000-000016070000}"/>
    <cellStyle name="Currency 6 64 3 2" xfId="5216" xr:uid="{00000000-0005-0000-0000-000017070000}"/>
    <cellStyle name="Currency 6 64 3 3" xfId="6820" xr:uid="{00000000-0005-0000-0000-000018070000}"/>
    <cellStyle name="Currency 6 64 4" xfId="5214" xr:uid="{00000000-0005-0000-0000-000019070000}"/>
    <cellStyle name="Currency 6 64 5" xfId="6818" xr:uid="{00000000-0005-0000-0000-00001A070000}"/>
    <cellStyle name="Currency 6 65" xfId="618" xr:uid="{00000000-0005-0000-0000-00001B070000}"/>
    <cellStyle name="Currency 6 65 2" xfId="619" xr:uid="{00000000-0005-0000-0000-00001C070000}"/>
    <cellStyle name="Currency 6 65 2 2" xfId="5218" xr:uid="{00000000-0005-0000-0000-00001D070000}"/>
    <cellStyle name="Currency 6 65 2 3" xfId="6822" xr:uid="{00000000-0005-0000-0000-00001E070000}"/>
    <cellStyle name="Currency 6 65 3" xfId="620" xr:uid="{00000000-0005-0000-0000-00001F070000}"/>
    <cellStyle name="Currency 6 65 3 2" xfId="5219" xr:uid="{00000000-0005-0000-0000-000020070000}"/>
    <cellStyle name="Currency 6 65 3 3" xfId="6823" xr:uid="{00000000-0005-0000-0000-000021070000}"/>
    <cellStyle name="Currency 6 65 4" xfId="5217" xr:uid="{00000000-0005-0000-0000-000022070000}"/>
    <cellStyle name="Currency 6 65 5" xfId="6821" xr:uid="{00000000-0005-0000-0000-000023070000}"/>
    <cellStyle name="Currency 6 66" xfId="621" xr:uid="{00000000-0005-0000-0000-000024070000}"/>
    <cellStyle name="Currency 6 66 2" xfId="622" xr:uid="{00000000-0005-0000-0000-000025070000}"/>
    <cellStyle name="Currency 6 66 2 2" xfId="5221" xr:uid="{00000000-0005-0000-0000-000026070000}"/>
    <cellStyle name="Currency 6 66 2 3" xfId="6825" xr:uid="{00000000-0005-0000-0000-000027070000}"/>
    <cellStyle name="Currency 6 66 3" xfId="623" xr:uid="{00000000-0005-0000-0000-000028070000}"/>
    <cellStyle name="Currency 6 66 3 2" xfId="5222" xr:uid="{00000000-0005-0000-0000-000029070000}"/>
    <cellStyle name="Currency 6 66 3 3" xfId="6826" xr:uid="{00000000-0005-0000-0000-00002A070000}"/>
    <cellStyle name="Currency 6 66 4" xfId="5220" xr:uid="{00000000-0005-0000-0000-00002B070000}"/>
    <cellStyle name="Currency 6 66 5" xfId="6824" xr:uid="{00000000-0005-0000-0000-00002C070000}"/>
    <cellStyle name="Currency 6 67" xfId="624" xr:uid="{00000000-0005-0000-0000-00002D070000}"/>
    <cellStyle name="Currency 6 67 2" xfId="625" xr:uid="{00000000-0005-0000-0000-00002E070000}"/>
    <cellStyle name="Currency 6 67 2 2" xfId="5224" xr:uid="{00000000-0005-0000-0000-00002F070000}"/>
    <cellStyle name="Currency 6 67 2 3" xfId="6828" xr:uid="{00000000-0005-0000-0000-000030070000}"/>
    <cellStyle name="Currency 6 67 3" xfId="626" xr:uid="{00000000-0005-0000-0000-000031070000}"/>
    <cellStyle name="Currency 6 67 3 2" xfId="5225" xr:uid="{00000000-0005-0000-0000-000032070000}"/>
    <cellStyle name="Currency 6 67 3 3" xfId="6829" xr:uid="{00000000-0005-0000-0000-000033070000}"/>
    <cellStyle name="Currency 6 67 4" xfId="5223" xr:uid="{00000000-0005-0000-0000-000034070000}"/>
    <cellStyle name="Currency 6 67 5" xfId="6827" xr:uid="{00000000-0005-0000-0000-000035070000}"/>
    <cellStyle name="Currency 6 68" xfId="627" xr:uid="{00000000-0005-0000-0000-000036070000}"/>
    <cellStyle name="Currency 6 68 2" xfId="628" xr:uid="{00000000-0005-0000-0000-000037070000}"/>
    <cellStyle name="Currency 6 68 2 2" xfId="5227" xr:uid="{00000000-0005-0000-0000-000038070000}"/>
    <cellStyle name="Currency 6 68 2 3" xfId="6831" xr:uid="{00000000-0005-0000-0000-000039070000}"/>
    <cellStyle name="Currency 6 68 3" xfId="629" xr:uid="{00000000-0005-0000-0000-00003A070000}"/>
    <cellStyle name="Currency 6 68 3 2" xfId="5228" xr:uid="{00000000-0005-0000-0000-00003B070000}"/>
    <cellStyle name="Currency 6 68 3 3" xfId="6832" xr:uid="{00000000-0005-0000-0000-00003C070000}"/>
    <cellStyle name="Currency 6 68 4" xfId="5226" xr:uid="{00000000-0005-0000-0000-00003D070000}"/>
    <cellStyle name="Currency 6 68 5" xfId="6830" xr:uid="{00000000-0005-0000-0000-00003E070000}"/>
    <cellStyle name="Currency 6 69" xfId="630" xr:uid="{00000000-0005-0000-0000-00003F070000}"/>
    <cellStyle name="Currency 6 69 2" xfId="631" xr:uid="{00000000-0005-0000-0000-000040070000}"/>
    <cellStyle name="Currency 6 69 2 2" xfId="5230" xr:uid="{00000000-0005-0000-0000-000041070000}"/>
    <cellStyle name="Currency 6 69 2 3" xfId="6834" xr:uid="{00000000-0005-0000-0000-000042070000}"/>
    <cellStyle name="Currency 6 69 3" xfId="632" xr:uid="{00000000-0005-0000-0000-000043070000}"/>
    <cellStyle name="Currency 6 69 3 2" xfId="5231" xr:uid="{00000000-0005-0000-0000-000044070000}"/>
    <cellStyle name="Currency 6 69 3 3" xfId="6835" xr:uid="{00000000-0005-0000-0000-000045070000}"/>
    <cellStyle name="Currency 6 69 4" xfId="5229" xr:uid="{00000000-0005-0000-0000-000046070000}"/>
    <cellStyle name="Currency 6 69 5" xfId="6833" xr:uid="{00000000-0005-0000-0000-000047070000}"/>
    <cellStyle name="Currency 6 7" xfId="633" xr:uid="{00000000-0005-0000-0000-000048070000}"/>
    <cellStyle name="Currency 6 7 2" xfId="634" xr:uid="{00000000-0005-0000-0000-000049070000}"/>
    <cellStyle name="Currency 6 7 2 2" xfId="5233" xr:uid="{00000000-0005-0000-0000-00004A070000}"/>
    <cellStyle name="Currency 6 7 2 3" xfId="6837" xr:uid="{00000000-0005-0000-0000-00004B070000}"/>
    <cellStyle name="Currency 6 7 3" xfId="635" xr:uid="{00000000-0005-0000-0000-00004C070000}"/>
    <cellStyle name="Currency 6 7 3 2" xfId="5234" xr:uid="{00000000-0005-0000-0000-00004D070000}"/>
    <cellStyle name="Currency 6 7 3 3" xfId="6838" xr:uid="{00000000-0005-0000-0000-00004E070000}"/>
    <cellStyle name="Currency 6 7 4" xfId="5232" xr:uid="{00000000-0005-0000-0000-00004F070000}"/>
    <cellStyle name="Currency 6 7 5" xfId="6836" xr:uid="{00000000-0005-0000-0000-000050070000}"/>
    <cellStyle name="Currency 6 70" xfId="636" xr:uid="{00000000-0005-0000-0000-000051070000}"/>
    <cellStyle name="Currency 6 70 2" xfId="637" xr:uid="{00000000-0005-0000-0000-000052070000}"/>
    <cellStyle name="Currency 6 70 2 2" xfId="5236" xr:uid="{00000000-0005-0000-0000-000053070000}"/>
    <cellStyle name="Currency 6 70 2 3" xfId="6840" xr:uid="{00000000-0005-0000-0000-000054070000}"/>
    <cellStyle name="Currency 6 70 3" xfId="638" xr:uid="{00000000-0005-0000-0000-000055070000}"/>
    <cellStyle name="Currency 6 70 3 2" xfId="5237" xr:uid="{00000000-0005-0000-0000-000056070000}"/>
    <cellStyle name="Currency 6 70 3 3" xfId="6841" xr:uid="{00000000-0005-0000-0000-000057070000}"/>
    <cellStyle name="Currency 6 70 4" xfId="5235" xr:uid="{00000000-0005-0000-0000-000058070000}"/>
    <cellStyle name="Currency 6 70 5" xfId="6839" xr:uid="{00000000-0005-0000-0000-000059070000}"/>
    <cellStyle name="Currency 6 71" xfId="639" xr:uid="{00000000-0005-0000-0000-00005A070000}"/>
    <cellStyle name="Currency 6 71 2" xfId="640" xr:uid="{00000000-0005-0000-0000-00005B070000}"/>
    <cellStyle name="Currency 6 71 2 2" xfId="5239" xr:uid="{00000000-0005-0000-0000-00005C070000}"/>
    <cellStyle name="Currency 6 71 2 3" xfId="6843" xr:uid="{00000000-0005-0000-0000-00005D070000}"/>
    <cellStyle name="Currency 6 71 3" xfId="641" xr:uid="{00000000-0005-0000-0000-00005E070000}"/>
    <cellStyle name="Currency 6 71 3 2" xfId="5240" xr:uid="{00000000-0005-0000-0000-00005F070000}"/>
    <cellStyle name="Currency 6 71 3 3" xfId="6844" xr:uid="{00000000-0005-0000-0000-000060070000}"/>
    <cellStyle name="Currency 6 71 4" xfId="5238" xr:uid="{00000000-0005-0000-0000-000061070000}"/>
    <cellStyle name="Currency 6 71 5" xfId="6842" xr:uid="{00000000-0005-0000-0000-000062070000}"/>
    <cellStyle name="Currency 6 72" xfId="642" xr:uid="{00000000-0005-0000-0000-000063070000}"/>
    <cellStyle name="Currency 6 72 2" xfId="643" xr:uid="{00000000-0005-0000-0000-000064070000}"/>
    <cellStyle name="Currency 6 72 2 2" xfId="5242" xr:uid="{00000000-0005-0000-0000-000065070000}"/>
    <cellStyle name="Currency 6 72 2 3" xfId="6846" xr:uid="{00000000-0005-0000-0000-000066070000}"/>
    <cellStyle name="Currency 6 72 3" xfId="644" xr:uid="{00000000-0005-0000-0000-000067070000}"/>
    <cellStyle name="Currency 6 72 3 2" xfId="5243" xr:uid="{00000000-0005-0000-0000-000068070000}"/>
    <cellStyle name="Currency 6 72 3 3" xfId="6847" xr:uid="{00000000-0005-0000-0000-000069070000}"/>
    <cellStyle name="Currency 6 72 4" xfId="5241" xr:uid="{00000000-0005-0000-0000-00006A070000}"/>
    <cellStyle name="Currency 6 72 5" xfId="6845" xr:uid="{00000000-0005-0000-0000-00006B070000}"/>
    <cellStyle name="Currency 6 73" xfId="645" xr:uid="{00000000-0005-0000-0000-00006C070000}"/>
    <cellStyle name="Currency 6 73 2" xfId="646" xr:uid="{00000000-0005-0000-0000-00006D070000}"/>
    <cellStyle name="Currency 6 73 2 2" xfId="5245" xr:uid="{00000000-0005-0000-0000-00006E070000}"/>
    <cellStyle name="Currency 6 73 2 3" xfId="6849" xr:uid="{00000000-0005-0000-0000-00006F070000}"/>
    <cellStyle name="Currency 6 73 3" xfId="647" xr:uid="{00000000-0005-0000-0000-000070070000}"/>
    <cellStyle name="Currency 6 73 3 2" xfId="5246" xr:uid="{00000000-0005-0000-0000-000071070000}"/>
    <cellStyle name="Currency 6 73 3 3" xfId="6850" xr:uid="{00000000-0005-0000-0000-000072070000}"/>
    <cellStyle name="Currency 6 73 4" xfId="5244" xr:uid="{00000000-0005-0000-0000-000073070000}"/>
    <cellStyle name="Currency 6 73 5" xfId="6848" xr:uid="{00000000-0005-0000-0000-000074070000}"/>
    <cellStyle name="Currency 6 74" xfId="648" xr:uid="{00000000-0005-0000-0000-000075070000}"/>
    <cellStyle name="Currency 6 74 2" xfId="649" xr:uid="{00000000-0005-0000-0000-000076070000}"/>
    <cellStyle name="Currency 6 74 2 2" xfId="5248" xr:uid="{00000000-0005-0000-0000-000077070000}"/>
    <cellStyle name="Currency 6 74 2 3" xfId="6852" xr:uid="{00000000-0005-0000-0000-000078070000}"/>
    <cellStyle name="Currency 6 74 3" xfId="650" xr:uid="{00000000-0005-0000-0000-000079070000}"/>
    <cellStyle name="Currency 6 74 3 2" xfId="5249" xr:uid="{00000000-0005-0000-0000-00007A070000}"/>
    <cellStyle name="Currency 6 74 3 3" xfId="6853" xr:uid="{00000000-0005-0000-0000-00007B070000}"/>
    <cellStyle name="Currency 6 74 4" xfId="5247" xr:uid="{00000000-0005-0000-0000-00007C070000}"/>
    <cellStyle name="Currency 6 74 5" xfId="6851" xr:uid="{00000000-0005-0000-0000-00007D070000}"/>
    <cellStyle name="Currency 6 75" xfId="651" xr:uid="{00000000-0005-0000-0000-00007E070000}"/>
    <cellStyle name="Currency 6 75 2" xfId="652" xr:uid="{00000000-0005-0000-0000-00007F070000}"/>
    <cellStyle name="Currency 6 75 2 2" xfId="5251" xr:uid="{00000000-0005-0000-0000-000080070000}"/>
    <cellStyle name="Currency 6 75 2 3" xfId="6855" xr:uid="{00000000-0005-0000-0000-000081070000}"/>
    <cellStyle name="Currency 6 75 3" xfId="653" xr:uid="{00000000-0005-0000-0000-000082070000}"/>
    <cellStyle name="Currency 6 75 3 2" xfId="5252" xr:uid="{00000000-0005-0000-0000-000083070000}"/>
    <cellStyle name="Currency 6 75 3 3" xfId="6856" xr:uid="{00000000-0005-0000-0000-000084070000}"/>
    <cellStyle name="Currency 6 75 4" xfId="5250" xr:uid="{00000000-0005-0000-0000-000085070000}"/>
    <cellStyle name="Currency 6 75 5" xfId="6854" xr:uid="{00000000-0005-0000-0000-000086070000}"/>
    <cellStyle name="Currency 6 76" xfId="654" xr:uid="{00000000-0005-0000-0000-000087070000}"/>
    <cellStyle name="Currency 6 76 2" xfId="655" xr:uid="{00000000-0005-0000-0000-000088070000}"/>
    <cellStyle name="Currency 6 76 2 2" xfId="5254" xr:uid="{00000000-0005-0000-0000-000089070000}"/>
    <cellStyle name="Currency 6 76 2 3" xfId="6858" xr:uid="{00000000-0005-0000-0000-00008A070000}"/>
    <cellStyle name="Currency 6 76 3" xfId="656" xr:uid="{00000000-0005-0000-0000-00008B070000}"/>
    <cellStyle name="Currency 6 76 3 2" xfId="5255" xr:uid="{00000000-0005-0000-0000-00008C070000}"/>
    <cellStyle name="Currency 6 76 3 3" xfId="6859" xr:uid="{00000000-0005-0000-0000-00008D070000}"/>
    <cellStyle name="Currency 6 76 4" xfId="5253" xr:uid="{00000000-0005-0000-0000-00008E070000}"/>
    <cellStyle name="Currency 6 76 5" xfId="6857" xr:uid="{00000000-0005-0000-0000-00008F070000}"/>
    <cellStyle name="Currency 6 77" xfId="657" xr:uid="{00000000-0005-0000-0000-000090070000}"/>
    <cellStyle name="Currency 6 77 2" xfId="658" xr:uid="{00000000-0005-0000-0000-000091070000}"/>
    <cellStyle name="Currency 6 77 2 2" xfId="5257" xr:uid="{00000000-0005-0000-0000-000092070000}"/>
    <cellStyle name="Currency 6 77 2 3" xfId="6861" xr:uid="{00000000-0005-0000-0000-000093070000}"/>
    <cellStyle name="Currency 6 77 3" xfId="659" xr:uid="{00000000-0005-0000-0000-000094070000}"/>
    <cellStyle name="Currency 6 77 3 2" xfId="5258" xr:uid="{00000000-0005-0000-0000-000095070000}"/>
    <cellStyle name="Currency 6 77 3 3" xfId="6862" xr:uid="{00000000-0005-0000-0000-000096070000}"/>
    <cellStyle name="Currency 6 77 4" xfId="5256" xr:uid="{00000000-0005-0000-0000-000097070000}"/>
    <cellStyle name="Currency 6 77 5" xfId="6860" xr:uid="{00000000-0005-0000-0000-000098070000}"/>
    <cellStyle name="Currency 6 78" xfId="660" xr:uid="{00000000-0005-0000-0000-000099070000}"/>
    <cellStyle name="Currency 6 78 2" xfId="661" xr:uid="{00000000-0005-0000-0000-00009A070000}"/>
    <cellStyle name="Currency 6 78 2 2" xfId="5260" xr:uid="{00000000-0005-0000-0000-00009B070000}"/>
    <cellStyle name="Currency 6 78 2 3" xfId="6864" xr:uid="{00000000-0005-0000-0000-00009C070000}"/>
    <cellStyle name="Currency 6 78 3" xfId="662" xr:uid="{00000000-0005-0000-0000-00009D070000}"/>
    <cellStyle name="Currency 6 78 3 2" xfId="5261" xr:uid="{00000000-0005-0000-0000-00009E070000}"/>
    <cellStyle name="Currency 6 78 3 3" xfId="6865" xr:uid="{00000000-0005-0000-0000-00009F070000}"/>
    <cellStyle name="Currency 6 78 4" xfId="5259" xr:uid="{00000000-0005-0000-0000-0000A0070000}"/>
    <cellStyle name="Currency 6 78 5" xfId="6863" xr:uid="{00000000-0005-0000-0000-0000A1070000}"/>
    <cellStyle name="Currency 6 79" xfId="663" xr:uid="{00000000-0005-0000-0000-0000A2070000}"/>
    <cellStyle name="Currency 6 79 2" xfId="664" xr:uid="{00000000-0005-0000-0000-0000A3070000}"/>
    <cellStyle name="Currency 6 79 2 2" xfId="5263" xr:uid="{00000000-0005-0000-0000-0000A4070000}"/>
    <cellStyle name="Currency 6 79 2 3" xfId="6867" xr:uid="{00000000-0005-0000-0000-0000A5070000}"/>
    <cellStyle name="Currency 6 79 3" xfId="665" xr:uid="{00000000-0005-0000-0000-0000A6070000}"/>
    <cellStyle name="Currency 6 79 3 2" xfId="5264" xr:uid="{00000000-0005-0000-0000-0000A7070000}"/>
    <cellStyle name="Currency 6 79 3 3" xfId="6868" xr:uid="{00000000-0005-0000-0000-0000A8070000}"/>
    <cellStyle name="Currency 6 79 4" xfId="5262" xr:uid="{00000000-0005-0000-0000-0000A9070000}"/>
    <cellStyle name="Currency 6 79 5" xfId="6866" xr:uid="{00000000-0005-0000-0000-0000AA070000}"/>
    <cellStyle name="Currency 6 8" xfId="666" xr:uid="{00000000-0005-0000-0000-0000AB070000}"/>
    <cellStyle name="Currency 6 8 2" xfId="667" xr:uid="{00000000-0005-0000-0000-0000AC070000}"/>
    <cellStyle name="Currency 6 8 2 2" xfId="5266" xr:uid="{00000000-0005-0000-0000-0000AD070000}"/>
    <cellStyle name="Currency 6 8 2 3" xfId="6870" xr:uid="{00000000-0005-0000-0000-0000AE070000}"/>
    <cellStyle name="Currency 6 8 3" xfId="668" xr:uid="{00000000-0005-0000-0000-0000AF070000}"/>
    <cellStyle name="Currency 6 8 3 2" xfId="5267" xr:uid="{00000000-0005-0000-0000-0000B0070000}"/>
    <cellStyle name="Currency 6 8 3 3" xfId="6871" xr:uid="{00000000-0005-0000-0000-0000B1070000}"/>
    <cellStyle name="Currency 6 8 4" xfId="5265" xr:uid="{00000000-0005-0000-0000-0000B2070000}"/>
    <cellStyle name="Currency 6 8 5" xfId="6869" xr:uid="{00000000-0005-0000-0000-0000B3070000}"/>
    <cellStyle name="Currency 6 80" xfId="669" xr:uid="{00000000-0005-0000-0000-0000B4070000}"/>
    <cellStyle name="Currency 6 80 2" xfId="670" xr:uid="{00000000-0005-0000-0000-0000B5070000}"/>
    <cellStyle name="Currency 6 80 2 2" xfId="5269" xr:uid="{00000000-0005-0000-0000-0000B6070000}"/>
    <cellStyle name="Currency 6 80 2 3" xfId="6873" xr:uid="{00000000-0005-0000-0000-0000B7070000}"/>
    <cellStyle name="Currency 6 80 3" xfId="671" xr:uid="{00000000-0005-0000-0000-0000B8070000}"/>
    <cellStyle name="Currency 6 80 3 2" xfId="5270" xr:uid="{00000000-0005-0000-0000-0000B9070000}"/>
    <cellStyle name="Currency 6 80 3 3" xfId="6874" xr:uid="{00000000-0005-0000-0000-0000BA070000}"/>
    <cellStyle name="Currency 6 80 4" xfId="5268" xr:uid="{00000000-0005-0000-0000-0000BB070000}"/>
    <cellStyle name="Currency 6 80 5" xfId="6872" xr:uid="{00000000-0005-0000-0000-0000BC070000}"/>
    <cellStyle name="Currency 6 81" xfId="672" xr:uid="{00000000-0005-0000-0000-0000BD070000}"/>
    <cellStyle name="Currency 6 81 2" xfId="673" xr:uid="{00000000-0005-0000-0000-0000BE070000}"/>
    <cellStyle name="Currency 6 81 2 2" xfId="5272" xr:uid="{00000000-0005-0000-0000-0000BF070000}"/>
    <cellStyle name="Currency 6 81 2 3" xfId="6876" xr:uid="{00000000-0005-0000-0000-0000C0070000}"/>
    <cellStyle name="Currency 6 81 3" xfId="674" xr:uid="{00000000-0005-0000-0000-0000C1070000}"/>
    <cellStyle name="Currency 6 81 3 2" xfId="5273" xr:uid="{00000000-0005-0000-0000-0000C2070000}"/>
    <cellStyle name="Currency 6 81 3 3" xfId="6877" xr:uid="{00000000-0005-0000-0000-0000C3070000}"/>
    <cellStyle name="Currency 6 81 4" xfId="5271" xr:uid="{00000000-0005-0000-0000-0000C4070000}"/>
    <cellStyle name="Currency 6 81 5" xfId="6875" xr:uid="{00000000-0005-0000-0000-0000C5070000}"/>
    <cellStyle name="Currency 6 82" xfId="675" xr:uid="{00000000-0005-0000-0000-0000C6070000}"/>
    <cellStyle name="Currency 6 82 2" xfId="676" xr:uid="{00000000-0005-0000-0000-0000C7070000}"/>
    <cellStyle name="Currency 6 82 2 2" xfId="5275" xr:uid="{00000000-0005-0000-0000-0000C8070000}"/>
    <cellStyle name="Currency 6 82 2 3" xfId="6879" xr:uid="{00000000-0005-0000-0000-0000C9070000}"/>
    <cellStyle name="Currency 6 82 3" xfId="677" xr:uid="{00000000-0005-0000-0000-0000CA070000}"/>
    <cellStyle name="Currency 6 82 3 2" xfId="5276" xr:uid="{00000000-0005-0000-0000-0000CB070000}"/>
    <cellStyle name="Currency 6 82 3 3" xfId="6880" xr:uid="{00000000-0005-0000-0000-0000CC070000}"/>
    <cellStyle name="Currency 6 82 4" xfId="5274" xr:uid="{00000000-0005-0000-0000-0000CD070000}"/>
    <cellStyle name="Currency 6 82 5" xfId="6878" xr:uid="{00000000-0005-0000-0000-0000CE070000}"/>
    <cellStyle name="Currency 6 83" xfId="678" xr:uid="{00000000-0005-0000-0000-0000CF070000}"/>
    <cellStyle name="Currency 6 83 2" xfId="679" xr:uid="{00000000-0005-0000-0000-0000D0070000}"/>
    <cellStyle name="Currency 6 83 2 2" xfId="5278" xr:uid="{00000000-0005-0000-0000-0000D1070000}"/>
    <cellStyle name="Currency 6 83 2 3" xfId="6882" xr:uid="{00000000-0005-0000-0000-0000D2070000}"/>
    <cellStyle name="Currency 6 83 3" xfId="680" xr:uid="{00000000-0005-0000-0000-0000D3070000}"/>
    <cellStyle name="Currency 6 83 3 2" xfId="5279" xr:uid="{00000000-0005-0000-0000-0000D4070000}"/>
    <cellStyle name="Currency 6 83 3 3" xfId="6883" xr:uid="{00000000-0005-0000-0000-0000D5070000}"/>
    <cellStyle name="Currency 6 83 4" xfId="5277" xr:uid="{00000000-0005-0000-0000-0000D6070000}"/>
    <cellStyle name="Currency 6 83 5" xfId="6881" xr:uid="{00000000-0005-0000-0000-0000D7070000}"/>
    <cellStyle name="Currency 6 84" xfId="681" xr:uid="{00000000-0005-0000-0000-0000D8070000}"/>
    <cellStyle name="Currency 6 84 2" xfId="682" xr:uid="{00000000-0005-0000-0000-0000D9070000}"/>
    <cellStyle name="Currency 6 84 2 2" xfId="5281" xr:uid="{00000000-0005-0000-0000-0000DA070000}"/>
    <cellStyle name="Currency 6 84 2 3" xfId="6885" xr:uid="{00000000-0005-0000-0000-0000DB070000}"/>
    <cellStyle name="Currency 6 84 3" xfId="683" xr:uid="{00000000-0005-0000-0000-0000DC070000}"/>
    <cellStyle name="Currency 6 84 3 2" xfId="5282" xr:uid="{00000000-0005-0000-0000-0000DD070000}"/>
    <cellStyle name="Currency 6 84 3 3" xfId="6886" xr:uid="{00000000-0005-0000-0000-0000DE070000}"/>
    <cellStyle name="Currency 6 84 4" xfId="5280" xr:uid="{00000000-0005-0000-0000-0000DF070000}"/>
    <cellStyle name="Currency 6 84 5" xfId="6884" xr:uid="{00000000-0005-0000-0000-0000E0070000}"/>
    <cellStyle name="Currency 6 85" xfId="684" xr:uid="{00000000-0005-0000-0000-0000E1070000}"/>
    <cellStyle name="Currency 6 85 2" xfId="685" xr:uid="{00000000-0005-0000-0000-0000E2070000}"/>
    <cellStyle name="Currency 6 85 2 2" xfId="5284" xr:uid="{00000000-0005-0000-0000-0000E3070000}"/>
    <cellStyle name="Currency 6 85 2 3" xfId="6888" xr:uid="{00000000-0005-0000-0000-0000E4070000}"/>
    <cellStyle name="Currency 6 85 3" xfId="686" xr:uid="{00000000-0005-0000-0000-0000E5070000}"/>
    <cellStyle name="Currency 6 85 3 2" xfId="5285" xr:uid="{00000000-0005-0000-0000-0000E6070000}"/>
    <cellStyle name="Currency 6 85 3 3" xfId="6889" xr:uid="{00000000-0005-0000-0000-0000E7070000}"/>
    <cellStyle name="Currency 6 85 4" xfId="5283" xr:uid="{00000000-0005-0000-0000-0000E8070000}"/>
    <cellStyle name="Currency 6 85 5" xfId="6887" xr:uid="{00000000-0005-0000-0000-0000E9070000}"/>
    <cellStyle name="Currency 6 86" xfId="687" xr:uid="{00000000-0005-0000-0000-0000EA070000}"/>
    <cellStyle name="Currency 6 86 2" xfId="688" xr:uid="{00000000-0005-0000-0000-0000EB070000}"/>
    <cellStyle name="Currency 6 86 2 2" xfId="5287" xr:uid="{00000000-0005-0000-0000-0000EC070000}"/>
    <cellStyle name="Currency 6 86 2 3" xfId="6891" xr:uid="{00000000-0005-0000-0000-0000ED070000}"/>
    <cellStyle name="Currency 6 86 3" xfId="689" xr:uid="{00000000-0005-0000-0000-0000EE070000}"/>
    <cellStyle name="Currency 6 86 3 2" xfId="5288" xr:uid="{00000000-0005-0000-0000-0000EF070000}"/>
    <cellStyle name="Currency 6 86 3 3" xfId="6892" xr:uid="{00000000-0005-0000-0000-0000F0070000}"/>
    <cellStyle name="Currency 6 86 4" xfId="5286" xr:uid="{00000000-0005-0000-0000-0000F1070000}"/>
    <cellStyle name="Currency 6 86 5" xfId="6890" xr:uid="{00000000-0005-0000-0000-0000F2070000}"/>
    <cellStyle name="Currency 6 87" xfId="690" xr:uid="{00000000-0005-0000-0000-0000F3070000}"/>
    <cellStyle name="Currency 6 87 2" xfId="691" xr:uid="{00000000-0005-0000-0000-0000F4070000}"/>
    <cellStyle name="Currency 6 87 2 2" xfId="5290" xr:uid="{00000000-0005-0000-0000-0000F5070000}"/>
    <cellStyle name="Currency 6 87 2 3" xfId="6894" xr:uid="{00000000-0005-0000-0000-0000F6070000}"/>
    <cellStyle name="Currency 6 87 3" xfId="692" xr:uid="{00000000-0005-0000-0000-0000F7070000}"/>
    <cellStyle name="Currency 6 87 3 2" xfId="5291" xr:uid="{00000000-0005-0000-0000-0000F8070000}"/>
    <cellStyle name="Currency 6 87 3 3" xfId="6895" xr:uid="{00000000-0005-0000-0000-0000F9070000}"/>
    <cellStyle name="Currency 6 87 4" xfId="5289" xr:uid="{00000000-0005-0000-0000-0000FA070000}"/>
    <cellStyle name="Currency 6 87 5" xfId="6893" xr:uid="{00000000-0005-0000-0000-0000FB070000}"/>
    <cellStyle name="Currency 6 88" xfId="693" xr:uid="{00000000-0005-0000-0000-0000FC070000}"/>
    <cellStyle name="Currency 6 88 2" xfId="694" xr:uid="{00000000-0005-0000-0000-0000FD070000}"/>
    <cellStyle name="Currency 6 88 2 2" xfId="5293" xr:uid="{00000000-0005-0000-0000-0000FE070000}"/>
    <cellStyle name="Currency 6 88 2 3" xfId="6897" xr:uid="{00000000-0005-0000-0000-0000FF070000}"/>
    <cellStyle name="Currency 6 88 3" xfId="695" xr:uid="{00000000-0005-0000-0000-000000080000}"/>
    <cellStyle name="Currency 6 88 3 2" xfId="5294" xr:uid="{00000000-0005-0000-0000-000001080000}"/>
    <cellStyle name="Currency 6 88 3 3" xfId="6898" xr:uid="{00000000-0005-0000-0000-000002080000}"/>
    <cellStyle name="Currency 6 88 4" xfId="5292" xr:uid="{00000000-0005-0000-0000-000003080000}"/>
    <cellStyle name="Currency 6 88 5" xfId="6896" xr:uid="{00000000-0005-0000-0000-000004080000}"/>
    <cellStyle name="Currency 6 89" xfId="696" xr:uid="{00000000-0005-0000-0000-000005080000}"/>
    <cellStyle name="Currency 6 89 2" xfId="697" xr:uid="{00000000-0005-0000-0000-000006080000}"/>
    <cellStyle name="Currency 6 89 2 2" xfId="5296" xr:uid="{00000000-0005-0000-0000-000007080000}"/>
    <cellStyle name="Currency 6 89 2 3" xfId="6900" xr:uid="{00000000-0005-0000-0000-000008080000}"/>
    <cellStyle name="Currency 6 89 3" xfId="698" xr:uid="{00000000-0005-0000-0000-000009080000}"/>
    <cellStyle name="Currency 6 89 3 2" xfId="5297" xr:uid="{00000000-0005-0000-0000-00000A080000}"/>
    <cellStyle name="Currency 6 89 3 3" xfId="6901" xr:uid="{00000000-0005-0000-0000-00000B080000}"/>
    <cellStyle name="Currency 6 89 4" xfId="5295" xr:uid="{00000000-0005-0000-0000-00000C080000}"/>
    <cellStyle name="Currency 6 89 5" xfId="6899" xr:uid="{00000000-0005-0000-0000-00000D080000}"/>
    <cellStyle name="Currency 6 9" xfId="699" xr:uid="{00000000-0005-0000-0000-00000E080000}"/>
    <cellStyle name="Currency 6 9 2" xfId="700" xr:uid="{00000000-0005-0000-0000-00000F080000}"/>
    <cellStyle name="Currency 6 9 2 2" xfId="5299" xr:uid="{00000000-0005-0000-0000-000010080000}"/>
    <cellStyle name="Currency 6 9 2 3" xfId="6903" xr:uid="{00000000-0005-0000-0000-000011080000}"/>
    <cellStyle name="Currency 6 9 3" xfId="701" xr:uid="{00000000-0005-0000-0000-000012080000}"/>
    <cellStyle name="Currency 6 9 3 2" xfId="5300" xr:uid="{00000000-0005-0000-0000-000013080000}"/>
    <cellStyle name="Currency 6 9 3 3" xfId="6904" xr:uid="{00000000-0005-0000-0000-000014080000}"/>
    <cellStyle name="Currency 6 9 4" xfId="5298" xr:uid="{00000000-0005-0000-0000-000015080000}"/>
    <cellStyle name="Currency 6 9 5" xfId="6902" xr:uid="{00000000-0005-0000-0000-000016080000}"/>
    <cellStyle name="Currency 6 90" xfId="702" xr:uid="{00000000-0005-0000-0000-000017080000}"/>
    <cellStyle name="Currency 6 90 2" xfId="703" xr:uid="{00000000-0005-0000-0000-000018080000}"/>
    <cellStyle name="Currency 6 90 2 2" xfId="5302" xr:uid="{00000000-0005-0000-0000-000019080000}"/>
    <cellStyle name="Currency 6 90 2 3" xfId="6906" xr:uid="{00000000-0005-0000-0000-00001A080000}"/>
    <cellStyle name="Currency 6 90 3" xfId="704" xr:uid="{00000000-0005-0000-0000-00001B080000}"/>
    <cellStyle name="Currency 6 90 3 2" xfId="5303" xr:uid="{00000000-0005-0000-0000-00001C080000}"/>
    <cellStyle name="Currency 6 90 3 3" xfId="6907" xr:uid="{00000000-0005-0000-0000-00001D080000}"/>
    <cellStyle name="Currency 6 90 4" xfId="5301" xr:uid="{00000000-0005-0000-0000-00001E080000}"/>
    <cellStyle name="Currency 6 90 5" xfId="6905" xr:uid="{00000000-0005-0000-0000-00001F080000}"/>
    <cellStyle name="Currency 6 91" xfId="705" xr:uid="{00000000-0005-0000-0000-000020080000}"/>
    <cellStyle name="Currency 6 91 2" xfId="706" xr:uid="{00000000-0005-0000-0000-000021080000}"/>
    <cellStyle name="Currency 6 91 2 2" xfId="5305" xr:uid="{00000000-0005-0000-0000-000022080000}"/>
    <cellStyle name="Currency 6 91 2 3" xfId="6909" xr:uid="{00000000-0005-0000-0000-000023080000}"/>
    <cellStyle name="Currency 6 91 3" xfId="707" xr:uid="{00000000-0005-0000-0000-000024080000}"/>
    <cellStyle name="Currency 6 91 3 2" xfId="5306" xr:uid="{00000000-0005-0000-0000-000025080000}"/>
    <cellStyle name="Currency 6 91 3 3" xfId="6910" xr:uid="{00000000-0005-0000-0000-000026080000}"/>
    <cellStyle name="Currency 6 91 4" xfId="5304" xr:uid="{00000000-0005-0000-0000-000027080000}"/>
    <cellStyle name="Currency 6 91 5" xfId="6908" xr:uid="{00000000-0005-0000-0000-000028080000}"/>
    <cellStyle name="Currency 6 92" xfId="708" xr:uid="{00000000-0005-0000-0000-000029080000}"/>
    <cellStyle name="Currency 6 92 2" xfId="709" xr:uid="{00000000-0005-0000-0000-00002A080000}"/>
    <cellStyle name="Currency 6 92 2 2" xfId="5308" xr:uid="{00000000-0005-0000-0000-00002B080000}"/>
    <cellStyle name="Currency 6 92 2 3" xfId="6912" xr:uid="{00000000-0005-0000-0000-00002C080000}"/>
    <cellStyle name="Currency 6 92 3" xfId="710" xr:uid="{00000000-0005-0000-0000-00002D080000}"/>
    <cellStyle name="Currency 6 92 3 2" xfId="5309" xr:uid="{00000000-0005-0000-0000-00002E080000}"/>
    <cellStyle name="Currency 6 92 3 3" xfId="6913" xr:uid="{00000000-0005-0000-0000-00002F080000}"/>
    <cellStyle name="Currency 6 92 4" xfId="5307" xr:uid="{00000000-0005-0000-0000-000030080000}"/>
    <cellStyle name="Currency 6 92 5" xfId="6911" xr:uid="{00000000-0005-0000-0000-000031080000}"/>
    <cellStyle name="Currency 6 93" xfId="711" xr:uid="{00000000-0005-0000-0000-000032080000}"/>
    <cellStyle name="Currency 6 93 2" xfId="712" xr:uid="{00000000-0005-0000-0000-000033080000}"/>
    <cellStyle name="Currency 6 93 2 2" xfId="5311" xr:uid="{00000000-0005-0000-0000-000034080000}"/>
    <cellStyle name="Currency 6 93 2 3" xfId="6915" xr:uid="{00000000-0005-0000-0000-000035080000}"/>
    <cellStyle name="Currency 6 93 3" xfId="713" xr:uid="{00000000-0005-0000-0000-000036080000}"/>
    <cellStyle name="Currency 6 93 3 2" xfId="5312" xr:uid="{00000000-0005-0000-0000-000037080000}"/>
    <cellStyle name="Currency 6 93 3 3" xfId="6916" xr:uid="{00000000-0005-0000-0000-000038080000}"/>
    <cellStyle name="Currency 6 93 4" xfId="5310" xr:uid="{00000000-0005-0000-0000-000039080000}"/>
    <cellStyle name="Currency 6 93 5" xfId="6914" xr:uid="{00000000-0005-0000-0000-00003A080000}"/>
    <cellStyle name="Currency 6 94" xfId="714" xr:uid="{00000000-0005-0000-0000-00003B080000}"/>
    <cellStyle name="Currency 6 94 2" xfId="715" xr:uid="{00000000-0005-0000-0000-00003C080000}"/>
    <cellStyle name="Currency 6 94 2 2" xfId="5314" xr:uid="{00000000-0005-0000-0000-00003D080000}"/>
    <cellStyle name="Currency 6 94 2 3" xfId="6918" xr:uid="{00000000-0005-0000-0000-00003E080000}"/>
    <cellStyle name="Currency 6 94 3" xfId="716" xr:uid="{00000000-0005-0000-0000-00003F080000}"/>
    <cellStyle name="Currency 6 94 3 2" xfId="5315" xr:uid="{00000000-0005-0000-0000-000040080000}"/>
    <cellStyle name="Currency 6 94 3 3" xfId="6919" xr:uid="{00000000-0005-0000-0000-000041080000}"/>
    <cellStyle name="Currency 6 94 4" xfId="5313" xr:uid="{00000000-0005-0000-0000-000042080000}"/>
    <cellStyle name="Currency 6 94 5" xfId="6917" xr:uid="{00000000-0005-0000-0000-000043080000}"/>
    <cellStyle name="Currency 6 95" xfId="717" xr:uid="{00000000-0005-0000-0000-000044080000}"/>
    <cellStyle name="Currency 6 95 2" xfId="718" xr:uid="{00000000-0005-0000-0000-000045080000}"/>
    <cellStyle name="Currency 6 95 2 2" xfId="5317" xr:uid="{00000000-0005-0000-0000-000046080000}"/>
    <cellStyle name="Currency 6 95 2 3" xfId="6921" xr:uid="{00000000-0005-0000-0000-000047080000}"/>
    <cellStyle name="Currency 6 95 3" xfId="719" xr:uid="{00000000-0005-0000-0000-000048080000}"/>
    <cellStyle name="Currency 6 95 3 2" xfId="5318" xr:uid="{00000000-0005-0000-0000-000049080000}"/>
    <cellStyle name="Currency 6 95 3 3" xfId="6922" xr:uid="{00000000-0005-0000-0000-00004A080000}"/>
    <cellStyle name="Currency 6 95 4" xfId="5316" xr:uid="{00000000-0005-0000-0000-00004B080000}"/>
    <cellStyle name="Currency 6 95 5" xfId="6920" xr:uid="{00000000-0005-0000-0000-00004C080000}"/>
    <cellStyle name="Currency 6 96" xfId="720" xr:uid="{00000000-0005-0000-0000-00004D080000}"/>
    <cellStyle name="Currency 6 96 2" xfId="721" xr:uid="{00000000-0005-0000-0000-00004E080000}"/>
    <cellStyle name="Currency 6 96 2 2" xfId="5320" xr:uid="{00000000-0005-0000-0000-00004F080000}"/>
    <cellStyle name="Currency 6 96 2 3" xfId="6924" xr:uid="{00000000-0005-0000-0000-000050080000}"/>
    <cellStyle name="Currency 6 96 3" xfId="722" xr:uid="{00000000-0005-0000-0000-000051080000}"/>
    <cellStyle name="Currency 6 96 3 2" xfId="5321" xr:uid="{00000000-0005-0000-0000-000052080000}"/>
    <cellStyle name="Currency 6 96 3 3" xfId="6925" xr:uid="{00000000-0005-0000-0000-000053080000}"/>
    <cellStyle name="Currency 6 96 4" xfId="5319" xr:uid="{00000000-0005-0000-0000-000054080000}"/>
    <cellStyle name="Currency 6 96 5" xfId="6923" xr:uid="{00000000-0005-0000-0000-000055080000}"/>
    <cellStyle name="Currency 6 97" xfId="723" xr:uid="{00000000-0005-0000-0000-000056080000}"/>
    <cellStyle name="Currency 6 97 2" xfId="724" xr:uid="{00000000-0005-0000-0000-000057080000}"/>
    <cellStyle name="Currency 6 97 2 2" xfId="5323" xr:uid="{00000000-0005-0000-0000-000058080000}"/>
    <cellStyle name="Currency 6 97 2 3" xfId="6927" xr:uid="{00000000-0005-0000-0000-000059080000}"/>
    <cellStyle name="Currency 6 97 3" xfId="725" xr:uid="{00000000-0005-0000-0000-00005A080000}"/>
    <cellStyle name="Currency 6 97 3 2" xfId="5324" xr:uid="{00000000-0005-0000-0000-00005B080000}"/>
    <cellStyle name="Currency 6 97 3 3" xfId="6928" xr:uid="{00000000-0005-0000-0000-00005C080000}"/>
    <cellStyle name="Currency 6 97 4" xfId="5322" xr:uid="{00000000-0005-0000-0000-00005D080000}"/>
    <cellStyle name="Currency 6 97 5" xfId="6926" xr:uid="{00000000-0005-0000-0000-00005E080000}"/>
    <cellStyle name="Currency 6 98" xfId="726" xr:uid="{00000000-0005-0000-0000-00005F080000}"/>
    <cellStyle name="Currency 6 98 2" xfId="727" xr:uid="{00000000-0005-0000-0000-000060080000}"/>
    <cellStyle name="Currency 6 98 2 2" xfId="5326" xr:uid="{00000000-0005-0000-0000-000061080000}"/>
    <cellStyle name="Currency 6 98 2 3" xfId="6930" xr:uid="{00000000-0005-0000-0000-000062080000}"/>
    <cellStyle name="Currency 6 98 3" xfId="728" xr:uid="{00000000-0005-0000-0000-000063080000}"/>
    <cellStyle name="Currency 6 98 3 2" xfId="5327" xr:uid="{00000000-0005-0000-0000-000064080000}"/>
    <cellStyle name="Currency 6 98 3 3" xfId="6931" xr:uid="{00000000-0005-0000-0000-000065080000}"/>
    <cellStyle name="Currency 6 98 4" xfId="5325" xr:uid="{00000000-0005-0000-0000-000066080000}"/>
    <cellStyle name="Currency 6 98 5" xfId="6929" xr:uid="{00000000-0005-0000-0000-000067080000}"/>
    <cellStyle name="Currency 6 99" xfId="729" xr:uid="{00000000-0005-0000-0000-000068080000}"/>
    <cellStyle name="Currency 6 99 2" xfId="730" xr:uid="{00000000-0005-0000-0000-000069080000}"/>
    <cellStyle name="Currency 6 99 2 2" xfId="5329" xr:uid="{00000000-0005-0000-0000-00006A080000}"/>
    <cellStyle name="Currency 6 99 2 3" xfId="6933" xr:uid="{00000000-0005-0000-0000-00006B080000}"/>
    <cellStyle name="Currency 6 99 3" xfId="731" xr:uid="{00000000-0005-0000-0000-00006C080000}"/>
    <cellStyle name="Currency 6 99 3 2" xfId="5330" xr:uid="{00000000-0005-0000-0000-00006D080000}"/>
    <cellStyle name="Currency 6 99 3 3" xfId="6934" xr:uid="{00000000-0005-0000-0000-00006E080000}"/>
    <cellStyle name="Currency 6 99 4" xfId="5328" xr:uid="{00000000-0005-0000-0000-00006F080000}"/>
    <cellStyle name="Currency 6 99 5" xfId="6932" xr:uid="{00000000-0005-0000-0000-000070080000}"/>
    <cellStyle name="Currency 8" xfId="732" xr:uid="{00000000-0005-0000-0000-000071080000}"/>
    <cellStyle name="Currency 8 2" xfId="733" xr:uid="{00000000-0005-0000-0000-000072080000}"/>
    <cellStyle name="Currency 8 2 2" xfId="734" xr:uid="{00000000-0005-0000-0000-000073080000}"/>
    <cellStyle name="Currency 8 2 2 2" xfId="5333" xr:uid="{00000000-0005-0000-0000-000074080000}"/>
    <cellStyle name="Currency 8 2 2 3" xfId="6937" xr:uid="{00000000-0005-0000-0000-000075080000}"/>
    <cellStyle name="Currency 8 2 3" xfId="735" xr:uid="{00000000-0005-0000-0000-000076080000}"/>
    <cellStyle name="Currency 8 2 3 2" xfId="5334" xr:uid="{00000000-0005-0000-0000-000077080000}"/>
    <cellStyle name="Currency 8 2 3 3" xfId="6938" xr:uid="{00000000-0005-0000-0000-000078080000}"/>
    <cellStyle name="Currency 8 2 4" xfId="5332" xr:uid="{00000000-0005-0000-0000-000079080000}"/>
    <cellStyle name="Currency 8 2 5" xfId="6936" xr:uid="{00000000-0005-0000-0000-00007A080000}"/>
    <cellStyle name="Currency 8 3" xfId="736" xr:uid="{00000000-0005-0000-0000-00007B080000}"/>
    <cellStyle name="Currency 8 3 2" xfId="737" xr:uid="{00000000-0005-0000-0000-00007C080000}"/>
    <cellStyle name="Currency 8 3 2 2" xfId="5336" xr:uid="{00000000-0005-0000-0000-00007D080000}"/>
    <cellStyle name="Currency 8 3 2 3" xfId="6940" xr:uid="{00000000-0005-0000-0000-00007E080000}"/>
    <cellStyle name="Currency 8 3 3" xfId="738" xr:uid="{00000000-0005-0000-0000-00007F080000}"/>
    <cellStyle name="Currency 8 3 3 2" xfId="5337" xr:uid="{00000000-0005-0000-0000-000080080000}"/>
    <cellStyle name="Currency 8 3 3 3" xfId="6941" xr:uid="{00000000-0005-0000-0000-000081080000}"/>
    <cellStyle name="Currency 8 3 4" xfId="5335" xr:uid="{00000000-0005-0000-0000-000082080000}"/>
    <cellStyle name="Currency 8 3 5" xfId="6939" xr:uid="{00000000-0005-0000-0000-000083080000}"/>
    <cellStyle name="Currency 8 4" xfId="739" xr:uid="{00000000-0005-0000-0000-000084080000}"/>
    <cellStyle name="Currency 8 4 2" xfId="740" xr:uid="{00000000-0005-0000-0000-000085080000}"/>
    <cellStyle name="Currency 8 4 2 2" xfId="5339" xr:uid="{00000000-0005-0000-0000-000086080000}"/>
    <cellStyle name="Currency 8 4 2 3" xfId="6943" xr:uid="{00000000-0005-0000-0000-000087080000}"/>
    <cellStyle name="Currency 8 4 3" xfId="741" xr:uid="{00000000-0005-0000-0000-000088080000}"/>
    <cellStyle name="Currency 8 4 3 2" xfId="5340" xr:uid="{00000000-0005-0000-0000-000089080000}"/>
    <cellStyle name="Currency 8 4 3 3" xfId="6944" xr:uid="{00000000-0005-0000-0000-00008A080000}"/>
    <cellStyle name="Currency 8 4 4" xfId="5338" xr:uid="{00000000-0005-0000-0000-00008B080000}"/>
    <cellStyle name="Currency 8 4 5" xfId="6942" xr:uid="{00000000-0005-0000-0000-00008C080000}"/>
    <cellStyle name="Currency 8 5" xfId="742" xr:uid="{00000000-0005-0000-0000-00008D080000}"/>
    <cellStyle name="Currency 8 5 2" xfId="743" xr:uid="{00000000-0005-0000-0000-00008E080000}"/>
    <cellStyle name="Currency 8 5 2 2" xfId="5342" xr:uid="{00000000-0005-0000-0000-00008F080000}"/>
    <cellStyle name="Currency 8 5 2 3" xfId="6946" xr:uid="{00000000-0005-0000-0000-000090080000}"/>
    <cellStyle name="Currency 8 5 3" xfId="744" xr:uid="{00000000-0005-0000-0000-000091080000}"/>
    <cellStyle name="Currency 8 5 3 2" xfId="5343" xr:uid="{00000000-0005-0000-0000-000092080000}"/>
    <cellStyle name="Currency 8 5 3 3" xfId="6947" xr:uid="{00000000-0005-0000-0000-000093080000}"/>
    <cellStyle name="Currency 8 5 4" xfId="5341" xr:uid="{00000000-0005-0000-0000-000094080000}"/>
    <cellStyle name="Currency 8 5 5" xfId="6945" xr:uid="{00000000-0005-0000-0000-000095080000}"/>
    <cellStyle name="Currency 8 6" xfId="5331" xr:uid="{00000000-0005-0000-0000-000096080000}"/>
    <cellStyle name="Currency 8 7" xfId="6935" xr:uid="{00000000-0005-0000-0000-000097080000}"/>
    <cellStyle name="Hyperlink" xfId="7820" builtinId="8"/>
    <cellStyle name="Hyperlink 2" xfId="4610" xr:uid="{00000000-0005-0000-0000-000099080000}"/>
    <cellStyle name="Normal" xfId="0" builtinId="0"/>
    <cellStyle name="Normal 10" xfId="745" xr:uid="{00000000-0005-0000-0000-00009B080000}"/>
    <cellStyle name="Normal 10 2" xfId="746" xr:uid="{00000000-0005-0000-0000-00009C080000}"/>
    <cellStyle name="Normal 10 2 2" xfId="747" xr:uid="{00000000-0005-0000-0000-00009D080000}"/>
    <cellStyle name="Normal 10 2 2 2" xfId="5346" xr:uid="{00000000-0005-0000-0000-00009E080000}"/>
    <cellStyle name="Normal 10 2 2 3" xfId="6950" xr:uid="{00000000-0005-0000-0000-00009F080000}"/>
    <cellStyle name="Normal 10 2 3" xfId="748" xr:uid="{00000000-0005-0000-0000-0000A0080000}"/>
    <cellStyle name="Normal 10 2 3 2" xfId="5347" xr:uid="{00000000-0005-0000-0000-0000A1080000}"/>
    <cellStyle name="Normal 10 2 3 3" xfId="6951" xr:uid="{00000000-0005-0000-0000-0000A2080000}"/>
    <cellStyle name="Normal 10 2 4" xfId="5345" xr:uid="{00000000-0005-0000-0000-0000A3080000}"/>
    <cellStyle name="Normal 10 2 5" xfId="6949" xr:uid="{00000000-0005-0000-0000-0000A4080000}"/>
    <cellStyle name="Normal 10 3" xfId="749" xr:uid="{00000000-0005-0000-0000-0000A5080000}"/>
    <cellStyle name="Normal 10 3 2" xfId="750" xr:uid="{00000000-0005-0000-0000-0000A6080000}"/>
    <cellStyle name="Normal 10 3 2 2" xfId="5349" xr:uid="{00000000-0005-0000-0000-0000A7080000}"/>
    <cellStyle name="Normal 10 3 2 3" xfId="6953" xr:uid="{00000000-0005-0000-0000-0000A8080000}"/>
    <cellStyle name="Normal 10 3 3" xfId="751" xr:uid="{00000000-0005-0000-0000-0000A9080000}"/>
    <cellStyle name="Normal 10 3 3 2" xfId="5350" xr:uid="{00000000-0005-0000-0000-0000AA080000}"/>
    <cellStyle name="Normal 10 3 3 3" xfId="6954" xr:uid="{00000000-0005-0000-0000-0000AB080000}"/>
    <cellStyle name="Normal 10 3 4" xfId="5348" xr:uid="{00000000-0005-0000-0000-0000AC080000}"/>
    <cellStyle name="Normal 10 3 5" xfId="6952" xr:uid="{00000000-0005-0000-0000-0000AD080000}"/>
    <cellStyle name="Normal 10 4" xfId="752" xr:uid="{00000000-0005-0000-0000-0000AE080000}"/>
    <cellStyle name="Normal 10 4 2" xfId="753" xr:uid="{00000000-0005-0000-0000-0000AF080000}"/>
    <cellStyle name="Normal 10 4 2 2" xfId="5352" xr:uid="{00000000-0005-0000-0000-0000B0080000}"/>
    <cellStyle name="Normal 10 4 2 3" xfId="6956" xr:uid="{00000000-0005-0000-0000-0000B1080000}"/>
    <cellStyle name="Normal 10 4 3" xfId="754" xr:uid="{00000000-0005-0000-0000-0000B2080000}"/>
    <cellStyle name="Normal 10 4 3 2" xfId="5353" xr:uid="{00000000-0005-0000-0000-0000B3080000}"/>
    <cellStyle name="Normal 10 4 3 3" xfId="6957" xr:uid="{00000000-0005-0000-0000-0000B4080000}"/>
    <cellStyle name="Normal 10 4 4" xfId="5351" xr:uid="{00000000-0005-0000-0000-0000B5080000}"/>
    <cellStyle name="Normal 10 4 5" xfId="6955" xr:uid="{00000000-0005-0000-0000-0000B6080000}"/>
    <cellStyle name="Normal 10 5" xfId="755" xr:uid="{00000000-0005-0000-0000-0000B7080000}"/>
    <cellStyle name="Normal 10 5 2" xfId="756" xr:uid="{00000000-0005-0000-0000-0000B8080000}"/>
    <cellStyle name="Normal 10 5 2 2" xfId="5355" xr:uid="{00000000-0005-0000-0000-0000B9080000}"/>
    <cellStyle name="Normal 10 5 2 3" xfId="6959" xr:uid="{00000000-0005-0000-0000-0000BA080000}"/>
    <cellStyle name="Normal 10 5 3" xfId="757" xr:uid="{00000000-0005-0000-0000-0000BB080000}"/>
    <cellStyle name="Normal 10 5 3 2" xfId="5356" xr:uid="{00000000-0005-0000-0000-0000BC080000}"/>
    <cellStyle name="Normal 10 5 3 3" xfId="6960" xr:uid="{00000000-0005-0000-0000-0000BD080000}"/>
    <cellStyle name="Normal 10 5 4" xfId="5354" xr:uid="{00000000-0005-0000-0000-0000BE080000}"/>
    <cellStyle name="Normal 10 5 5" xfId="6958" xr:uid="{00000000-0005-0000-0000-0000BF080000}"/>
    <cellStyle name="Normal 10 6" xfId="758" xr:uid="{00000000-0005-0000-0000-0000C0080000}"/>
    <cellStyle name="Normal 10 6 2" xfId="759" xr:uid="{00000000-0005-0000-0000-0000C1080000}"/>
    <cellStyle name="Normal 10 6 2 2" xfId="5358" xr:uid="{00000000-0005-0000-0000-0000C2080000}"/>
    <cellStyle name="Normal 10 6 2 3" xfId="6962" xr:uid="{00000000-0005-0000-0000-0000C3080000}"/>
    <cellStyle name="Normal 10 6 3" xfId="760" xr:uid="{00000000-0005-0000-0000-0000C4080000}"/>
    <cellStyle name="Normal 10 6 3 2" xfId="5359" xr:uid="{00000000-0005-0000-0000-0000C5080000}"/>
    <cellStyle name="Normal 10 6 3 3" xfId="6963" xr:uid="{00000000-0005-0000-0000-0000C6080000}"/>
    <cellStyle name="Normal 10 6 4" xfId="5357" xr:uid="{00000000-0005-0000-0000-0000C7080000}"/>
    <cellStyle name="Normal 10 6 5" xfId="6961" xr:uid="{00000000-0005-0000-0000-0000C8080000}"/>
    <cellStyle name="Normal 10 7" xfId="5344" xr:uid="{00000000-0005-0000-0000-0000C9080000}"/>
    <cellStyle name="Normal 10 8" xfId="6948" xr:uid="{00000000-0005-0000-0000-0000CA080000}"/>
    <cellStyle name="Normal 100" xfId="761" xr:uid="{00000000-0005-0000-0000-0000CB080000}"/>
    <cellStyle name="Normal 101" xfId="762" xr:uid="{00000000-0005-0000-0000-0000CC080000}"/>
    <cellStyle name="Normal 102" xfId="763" xr:uid="{00000000-0005-0000-0000-0000CD080000}"/>
    <cellStyle name="Normal 103" xfId="764" xr:uid="{00000000-0005-0000-0000-0000CE080000}"/>
    <cellStyle name="Normal 104" xfId="765" xr:uid="{00000000-0005-0000-0000-0000CF080000}"/>
    <cellStyle name="Normal 105" xfId="766" xr:uid="{00000000-0005-0000-0000-0000D0080000}"/>
    <cellStyle name="Normal 106" xfId="767" xr:uid="{00000000-0005-0000-0000-0000D1080000}"/>
    <cellStyle name="Normal 107" xfId="768" xr:uid="{00000000-0005-0000-0000-0000D2080000}"/>
    <cellStyle name="Normal 108" xfId="769" xr:uid="{00000000-0005-0000-0000-0000D3080000}"/>
    <cellStyle name="Normal 109" xfId="770" xr:uid="{00000000-0005-0000-0000-0000D4080000}"/>
    <cellStyle name="Normal 11" xfId="771" xr:uid="{00000000-0005-0000-0000-0000D5080000}"/>
    <cellStyle name="Normal 11 2" xfId="772" xr:uid="{00000000-0005-0000-0000-0000D6080000}"/>
    <cellStyle name="Normal 11 3" xfId="773" xr:uid="{00000000-0005-0000-0000-0000D7080000}"/>
    <cellStyle name="Normal 11 4" xfId="774" xr:uid="{00000000-0005-0000-0000-0000D8080000}"/>
    <cellStyle name="Normal 11 5" xfId="775" xr:uid="{00000000-0005-0000-0000-0000D9080000}"/>
    <cellStyle name="Normal 11 6" xfId="776" xr:uid="{00000000-0005-0000-0000-0000DA080000}"/>
    <cellStyle name="Normal 110" xfId="777" xr:uid="{00000000-0005-0000-0000-0000DB080000}"/>
    <cellStyle name="Normal 111" xfId="778" xr:uid="{00000000-0005-0000-0000-0000DC080000}"/>
    <cellStyle name="Normal 112" xfId="779" xr:uid="{00000000-0005-0000-0000-0000DD080000}"/>
    <cellStyle name="Normal 113" xfId="780" xr:uid="{00000000-0005-0000-0000-0000DE080000}"/>
    <cellStyle name="Normal 114" xfId="781" xr:uid="{00000000-0005-0000-0000-0000DF080000}"/>
    <cellStyle name="Normal 115" xfId="782" xr:uid="{00000000-0005-0000-0000-0000E0080000}"/>
    <cellStyle name="Normal 116" xfId="783" xr:uid="{00000000-0005-0000-0000-0000E1080000}"/>
    <cellStyle name="Normal 117" xfId="784" xr:uid="{00000000-0005-0000-0000-0000E2080000}"/>
    <cellStyle name="Normal 118" xfId="785" xr:uid="{00000000-0005-0000-0000-0000E3080000}"/>
    <cellStyle name="Normal 119" xfId="786" xr:uid="{00000000-0005-0000-0000-0000E4080000}"/>
    <cellStyle name="Normal 12" xfId="787" xr:uid="{00000000-0005-0000-0000-0000E5080000}"/>
    <cellStyle name="Normal 12 2" xfId="788" xr:uid="{00000000-0005-0000-0000-0000E6080000}"/>
    <cellStyle name="Normal 12 2 2" xfId="789" xr:uid="{00000000-0005-0000-0000-0000E7080000}"/>
    <cellStyle name="Normal 12 2 2 2" xfId="5362" xr:uid="{00000000-0005-0000-0000-0000E8080000}"/>
    <cellStyle name="Normal 12 2 2 3" xfId="6966" xr:uid="{00000000-0005-0000-0000-0000E9080000}"/>
    <cellStyle name="Normal 12 2 3" xfId="790" xr:uid="{00000000-0005-0000-0000-0000EA080000}"/>
    <cellStyle name="Normal 12 2 3 2" xfId="5363" xr:uid="{00000000-0005-0000-0000-0000EB080000}"/>
    <cellStyle name="Normal 12 2 3 3" xfId="6967" xr:uid="{00000000-0005-0000-0000-0000EC080000}"/>
    <cellStyle name="Normal 12 2 4" xfId="5361" xr:uid="{00000000-0005-0000-0000-0000ED080000}"/>
    <cellStyle name="Normal 12 2 5" xfId="6965" xr:uid="{00000000-0005-0000-0000-0000EE080000}"/>
    <cellStyle name="Normal 12 3" xfId="791" xr:uid="{00000000-0005-0000-0000-0000EF080000}"/>
    <cellStyle name="Normal 12 3 2" xfId="792" xr:uid="{00000000-0005-0000-0000-0000F0080000}"/>
    <cellStyle name="Normal 12 3 2 2" xfId="5365" xr:uid="{00000000-0005-0000-0000-0000F1080000}"/>
    <cellStyle name="Normal 12 3 2 3" xfId="6969" xr:uid="{00000000-0005-0000-0000-0000F2080000}"/>
    <cellStyle name="Normal 12 3 3" xfId="793" xr:uid="{00000000-0005-0000-0000-0000F3080000}"/>
    <cellStyle name="Normal 12 3 3 2" xfId="5366" xr:uid="{00000000-0005-0000-0000-0000F4080000}"/>
    <cellStyle name="Normal 12 3 3 3" xfId="6970" xr:uid="{00000000-0005-0000-0000-0000F5080000}"/>
    <cellStyle name="Normal 12 3 4" xfId="5364" xr:uid="{00000000-0005-0000-0000-0000F6080000}"/>
    <cellStyle name="Normal 12 3 5" xfId="6968" xr:uid="{00000000-0005-0000-0000-0000F7080000}"/>
    <cellStyle name="Normal 12 4" xfId="794" xr:uid="{00000000-0005-0000-0000-0000F8080000}"/>
    <cellStyle name="Normal 12 4 2" xfId="795" xr:uid="{00000000-0005-0000-0000-0000F9080000}"/>
    <cellStyle name="Normal 12 4 2 2" xfId="5368" xr:uid="{00000000-0005-0000-0000-0000FA080000}"/>
    <cellStyle name="Normal 12 4 2 3" xfId="6972" xr:uid="{00000000-0005-0000-0000-0000FB080000}"/>
    <cellStyle name="Normal 12 4 3" xfId="796" xr:uid="{00000000-0005-0000-0000-0000FC080000}"/>
    <cellStyle name="Normal 12 4 3 2" xfId="5369" xr:uid="{00000000-0005-0000-0000-0000FD080000}"/>
    <cellStyle name="Normal 12 4 3 3" xfId="6973" xr:uid="{00000000-0005-0000-0000-0000FE080000}"/>
    <cellStyle name="Normal 12 4 4" xfId="5367" xr:uid="{00000000-0005-0000-0000-0000FF080000}"/>
    <cellStyle name="Normal 12 4 5" xfId="6971" xr:uid="{00000000-0005-0000-0000-000000090000}"/>
    <cellStyle name="Normal 12 5" xfId="797" xr:uid="{00000000-0005-0000-0000-000001090000}"/>
    <cellStyle name="Normal 12 5 2" xfId="798" xr:uid="{00000000-0005-0000-0000-000002090000}"/>
    <cellStyle name="Normal 12 5 2 2" xfId="5371" xr:uid="{00000000-0005-0000-0000-000003090000}"/>
    <cellStyle name="Normal 12 5 2 3" xfId="6975" xr:uid="{00000000-0005-0000-0000-000004090000}"/>
    <cellStyle name="Normal 12 5 3" xfId="799" xr:uid="{00000000-0005-0000-0000-000005090000}"/>
    <cellStyle name="Normal 12 5 3 2" xfId="5372" xr:uid="{00000000-0005-0000-0000-000006090000}"/>
    <cellStyle name="Normal 12 5 3 3" xfId="6976" xr:uid="{00000000-0005-0000-0000-000007090000}"/>
    <cellStyle name="Normal 12 5 4" xfId="5370" xr:uid="{00000000-0005-0000-0000-000008090000}"/>
    <cellStyle name="Normal 12 5 5" xfId="6974" xr:uid="{00000000-0005-0000-0000-000009090000}"/>
    <cellStyle name="Normal 12 6" xfId="5360" xr:uid="{00000000-0005-0000-0000-00000A090000}"/>
    <cellStyle name="Normal 12 7" xfId="6964" xr:uid="{00000000-0005-0000-0000-00000B090000}"/>
    <cellStyle name="Normal 120" xfId="800" xr:uid="{00000000-0005-0000-0000-00000C090000}"/>
    <cellStyle name="Normal 121" xfId="801" xr:uid="{00000000-0005-0000-0000-00000D090000}"/>
    <cellStyle name="Normal 122" xfId="802" xr:uid="{00000000-0005-0000-0000-00000E090000}"/>
    <cellStyle name="Normal 123" xfId="803" xr:uid="{00000000-0005-0000-0000-00000F090000}"/>
    <cellStyle name="Normal 124" xfId="804" xr:uid="{00000000-0005-0000-0000-000010090000}"/>
    <cellStyle name="Normal 126" xfId="805" xr:uid="{00000000-0005-0000-0000-000011090000}"/>
    <cellStyle name="Normal 127" xfId="806" xr:uid="{00000000-0005-0000-0000-000012090000}"/>
    <cellStyle name="Normal 128" xfId="807" xr:uid="{00000000-0005-0000-0000-000013090000}"/>
    <cellStyle name="Normal 129" xfId="808" xr:uid="{00000000-0005-0000-0000-000014090000}"/>
    <cellStyle name="Normal 129 2" xfId="5373" xr:uid="{00000000-0005-0000-0000-000015090000}"/>
    <cellStyle name="Normal 129 3" xfId="6977" xr:uid="{00000000-0005-0000-0000-000016090000}"/>
    <cellStyle name="Normal 13" xfId="809" xr:uid="{00000000-0005-0000-0000-000017090000}"/>
    <cellStyle name="Normal 13 2" xfId="810" xr:uid="{00000000-0005-0000-0000-000018090000}"/>
    <cellStyle name="Normal 13 2 2" xfId="811" xr:uid="{00000000-0005-0000-0000-000019090000}"/>
    <cellStyle name="Normal 13 2 2 2" xfId="5376" xr:uid="{00000000-0005-0000-0000-00001A090000}"/>
    <cellStyle name="Normal 13 2 2 3" xfId="6980" xr:uid="{00000000-0005-0000-0000-00001B090000}"/>
    <cellStyle name="Normal 13 2 3" xfId="812" xr:uid="{00000000-0005-0000-0000-00001C090000}"/>
    <cellStyle name="Normal 13 2 3 2" xfId="5377" xr:uid="{00000000-0005-0000-0000-00001D090000}"/>
    <cellStyle name="Normal 13 2 3 3" xfId="6981" xr:uid="{00000000-0005-0000-0000-00001E090000}"/>
    <cellStyle name="Normal 13 2 4" xfId="5375" xr:uid="{00000000-0005-0000-0000-00001F090000}"/>
    <cellStyle name="Normal 13 2 5" xfId="6979" xr:uid="{00000000-0005-0000-0000-000020090000}"/>
    <cellStyle name="Normal 13 3" xfId="813" xr:uid="{00000000-0005-0000-0000-000021090000}"/>
    <cellStyle name="Normal 13 3 2" xfId="814" xr:uid="{00000000-0005-0000-0000-000022090000}"/>
    <cellStyle name="Normal 13 3 2 2" xfId="5379" xr:uid="{00000000-0005-0000-0000-000023090000}"/>
    <cellStyle name="Normal 13 3 2 3" xfId="6983" xr:uid="{00000000-0005-0000-0000-000024090000}"/>
    <cellStyle name="Normal 13 3 3" xfId="815" xr:uid="{00000000-0005-0000-0000-000025090000}"/>
    <cellStyle name="Normal 13 3 3 2" xfId="5380" xr:uid="{00000000-0005-0000-0000-000026090000}"/>
    <cellStyle name="Normal 13 3 3 3" xfId="6984" xr:uid="{00000000-0005-0000-0000-000027090000}"/>
    <cellStyle name="Normal 13 3 4" xfId="5378" xr:uid="{00000000-0005-0000-0000-000028090000}"/>
    <cellStyle name="Normal 13 3 5" xfId="6982" xr:uid="{00000000-0005-0000-0000-000029090000}"/>
    <cellStyle name="Normal 13 4" xfId="816" xr:uid="{00000000-0005-0000-0000-00002A090000}"/>
    <cellStyle name="Normal 13 4 2" xfId="817" xr:uid="{00000000-0005-0000-0000-00002B090000}"/>
    <cellStyle name="Normal 13 4 2 2" xfId="5382" xr:uid="{00000000-0005-0000-0000-00002C090000}"/>
    <cellStyle name="Normal 13 4 2 3" xfId="6986" xr:uid="{00000000-0005-0000-0000-00002D090000}"/>
    <cellStyle name="Normal 13 4 3" xfId="818" xr:uid="{00000000-0005-0000-0000-00002E090000}"/>
    <cellStyle name="Normal 13 4 3 2" xfId="5383" xr:uid="{00000000-0005-0000-0000-00002F090000}"/>
    <cellStyle name="Normal 13 4 3 3" xfId="6987" xr:uid="{00000000-0005-0000-0000-000030090000}"/>
    <cellStyle name="Normal 13 4 4" xfId="5381" xr:uid="{00000000-0005-0000-0000-000031090000}"/>
    <cellStyle name="Normal 13 4 5" xfId="6985" xr:uid="{00000000-0005-0000-0000-000032090000}"/>
    <cellStyle name="Normal 13 5" xfId="5374" xr:uid="{00000000-0005-0000-0000-000033090000}"/>
    <cellStyle name="Normal 13 6" xfId="6978" xr:uid="{00000000-0005-0000-0000-000034090000}"/>
    <cellStyle name="Normal 131" xfId="819" xr:uid="{00000000-0005-0000-0000-000035090000}"/>
    <cellStyle name="Normal 14" xfId="4603" xr:uid="{00000000-0005-0000-0000-000036090000}"/>
    <cellStyle name="Normal 14 2" xfId="6214" xr:uid="{00000000-0005-0000-0000-000037090000}"/>
    <cellStyle name="Normal 14 3" xfId="7818" xr:uid="{00000000-0005-0000-0000-000038090000}"/>
    <cellStyle name="Normal 15" xfId="820" xr:uid="{00000000-0005-0000-0000-000039090000}"/>
    <cellStyle name="Normal 15 2" xfId="821" xr:uid="{00000000-0005-0000-0000-00003A090000}"/>
    <cellStyle name="Normal 15 2 2" xfId="822" xr:uid="{00000000-0005-0000-0000-00003B090000}"/>
    <cellStyle name="Normal 15 2 2 2" xfId="5385" xr:uid="{00000000-0005-0000-0000-00003C090000}"/>
    <cellStyle name="Normal 15 2 2 3" xfId="6989" xr:uid="{00000000-0005-0000-0000-00003D090000}"/>
    <cellStyle name="Normal 15 2 3" xfId="823" xr:uid="{00000000-0005-0000-0000-00003E090000}"/>
    <cellStyle name="Normal 15 2 3 2" xfId="5386" xr:uid="{00000000-0005-0000-0000-00003F090000}"/>
    <cellStyle name="Normal 15 2 3 3" xfId="6990" xr:uid="{00000000-0005-0000-0000-000040090000}"/>
    <cellStyle name="Normal 15 2 4" xfId="5384" xr:uid="{00000000-0005-0000-0000-000041090000}"/>
    <cellStyle name="Normal 15 2 5" xfId="6988" xr:uid="{00000000-0005-0000-0000-000042090000}"/>
    <cellStyle name="Normal 15 3" xfId="824" xr:uid="{00000000-0005-0000-0000-000043090000}"/>
    <cellStyle name="Normal 15 3 2" xfId="825" xr:uid="{00000000-0005-0000-0000-000044090000}"/>
    <cellStyle name="Normal 15 3 2 2" xfId="5388" xr:uid="{00000000-0005-0000-0000-000045090000}"/>
    <cellStyle name="Normal 15 3 2 3" xfId="6992" xr:uid="{00000000-0005-0000-0000-000046090000}"/>
    <cellStyle name="Normal 15 3 3" xfId="826" xr:uid="{00000000-0005-0000-0000-000047090000}"/>
    <cellStyle name="Normal 15 3 3 2" xfId="5389" xr:uid="{00000000-0005-0000-0000-000048090000}"/>
    <cellStyle name="Normal 15 3 3 3" xfId="6993" xr:uid="{00000000-0005-0000-0000-000049090000}"/>
    <cellStyle name="Normal 15 3 4" xfId="5387" xr:uid="{00000000-0005-0000-0000-00004A090000}"/>
    <cellStyle name="Normal 15 3 5" xfId="6991" xr:uid="{00000000-0005-0000-0000-00004B090000}"/>
    <cellStyle name="Normal 150" xfId="827" xr:uid="{00000000-0005-0000-0000-00004C090000}"/>
    <cellStyle name="Normal 16" xfId="828" xr:uid="{00000000-0005-0000-0000-00004D090000}"/>
    <cellStyle name="Normal 16 2" xfId="829" xr:uid="{00000000-0005-0000-0000-00004E090000}"/>
    <cellStyle name="Normal 16 2 2" xfId="830" xr:uid="{00000000-0005-0000-0000-00004F090000}"/>
    <cellStyle name="Normal 16 2 2 2" xfId="5392" xr:uid="{00000000-0005-0000-0000-000050090000}"/>
    <cellStyle name="Normal 16 2 2 3" xfId="6996" xr:uid="{00000000-0005-0000-0000-000051090000}"/>
    <cellStyle name="Normal 16 2 3" xfId="831" xr:uid="{00000000-0005-0000-0000-000052090000}"/>
    <cellStyle name="Normal 16 2 3 2" xfId="5393" xr:uid="{00000000-0005-0000-0000-000053090000}"/>
    <cellStyle name="Normal 16 2 3 3" xfId="6997" xr:uid="{00000000-0005-0000-0000-000054090000}"/>
    <cellStyle name="Normal 16 2 4" xfId="5391" xr:uid="{00000000-0005-0000-0000-000055090000}"/>
    <cellStyle name="Normal 16 2 5" xfId="6995" xr:uid="{00000000-0005-0000-0000-000056090000}"/>
    <cellStyle name="Normal 16 3" xfId="832" xr:uid="{00000000-0005-0000-0000-000057090000}"/>
    <cellStyle name="Normal 16 3 2" xfId="833" xr:uid="{00000000-0005-0000-0000-000058090000}"/>
    <cellStyle name="Normal 16 3 2 2" xfId="5395" xr:uid="{00000000-0005-0000-0000-000059090000}"/>
    <cellStyle name="Normal 16 3 2 3" xfId="6999" xr:uid="{00000000-0005-0000-0000-00005A090000}"/>
    <cellStyle name="Normal 16 3 3" xfId="834" xr:uid="{00000000-0005-0000-0000-00005B090000}"/>
    <cellStyle name="Normal 16 3 3 2" xfId="5396" xr:uid="{00000000-0005-0000-0000-00005C090000}"/>
    <cellStyle name="Normal 16 3 3 3" xfId="7000" xr:uid="{00000000-0005-0000-0000-00005D090000}"/>
    <cellStyle name="Normal 16 3 4" xfId="5394" xr:uid="{00000000-0005-0000-0000-00005E090000}"/>
    <cellStyle name="Normal 16 3 5" xfId="6998" xr:uid="{00000000-0005-0000-0000-00005F090000}"/>
    <cellStyle name="Normal 16 4" xfId="5390" xr:uid="{00000000-0005-0000-0000-000060090000}"/>
    <cellStyle name="Normal 16 5" xfId="6994" xr:uid="{00000000-0005-0000-0000-000061090000}"/>
    <cellStyle name="Normal 17" xfId="835" xr:uid="{00000000-0005-0000-0000-000062090000}"/>
    <cellStyle name="Normal 17 2" xfId="836" xr:uid="{00000000-0005-0000-0000-000063090000}"/>
    <cellStyle name="Normal 17 2 2" xfId="837" xr:uid="{00000000-0005-0000-0000-000064090000}"/>
    <cellStyle name="Normal 17 2 2 2" xfId="5399" xr:uid="{00000000-0005-0000-0000-000065090000}"/>
    <cellStyle name="Normal 17 2 2 3" xfId="7003" xr:uid="{00000000-0005-0000-0000-000066090000}"/>
    <cellStyle name="Normal 17 2 3" xfId="838" xr:uid="{00000000-0005-0000-0000-000067090000}"/>
    <cellStyle name="Normal 17 2 3 2" xfId="5400" xr:uid="{00000000-0005-0000-0000-000068090000}"/>
    <cellStyle name="Normal 17 2 3 3" xfId="7004" xr:uid="{00000000-0005-0000-0000-000069090000}"/>
    <cellStyle name="Normal 17 2 4" xfId="5398" xr:uid="{00000000-0005-0000-0000-00006A090000}"/>
    <cellStyle name="Normal 17 2 5" xfId="7002" xr:uid="{00000000-0005-0000-0000-00006B090000}"/>
    <cellStyle name="Normal 17 3" xfId="5397" xr:uid="{00000000-0005-0000-0000-00006C090000}"/>
    <cellStyle name="Normal 17 4" xfId="7001" xr:uid="{00000000-0005-0000-0000-00006D090000}"/>
    <cellStyle name="Normal 172" xfId="12" xr:uid="{00000000-0005-0000-0000-00006E090000}"/>
    <cellStyle name="Normal 18" xfId="4609" xr:uid="{00000000-0005-0000-0000-00006F090000}"/>
    <cellStyle name="Normal 19" xfId="7" xr:uid="{00000000-0005-0000-0000-000070090000}"/>
    <cellStyle name="Normal 2" xfId="6" xr:uid="{00000000-0005-0000-0000-000071090000}"/>
    <cellStyle name="Normal 2 10" xfId="839" xr:uid="{00000000-0005-0000-0000-000072090000}"/>
    <cellStyle name="Normal 2 11" xfId="840" xr:uid="{00000000-0005-0000-0000-000073090000}"/>
    <cellStyle name="Normal 2 12" xfId="841" xr:uid="{00000000-0005-0000-0000-000074090000}"/>
    <cellStyle name="Normal 2 13" xfId="842" xr:uid="{00000000-0005-0000-0000-000075090000}"/>
    <cellStyle name="Normal 2 14" xfId="843" xr:uid="{00000000-0005-0000-0000-000076090000}"/>
    <cellStyle name="Normal 2 15" xfId="844" xr:uid="{00000000-0005-0000-0000-000077090000}"/>
    <cellStyle name="Normal 2 16" xfId="845" xr:uid="{00000000-0005-0000-0000-000078090000}"/>
    <cellStyle name="Normal 2 17" xfId="846" xr:uid="{00000000-0005-0000-0000-000079090000}"/>
    <cellStyle name="Normal 2 18" xfId="847" xr:uid="{00000000-0005-0000-0000-00007A090000}"/>
    <cellStyle name="Normal 2 19" xfId="848" xr:uid="{00000000-0005-0000-0000-00007B090000}"/>
    <cellStyle name="Normal 2 2" xfId="849" xr:uid="{00000000-0005-0000-0000-00007C090000}"/>
    <cellStyle name="Normal 2 2 10" xfId="850" xr:uid="{00000000-0005-0000-0000-00007D090000}"/>
    <cellStyle name="Normal 2 2 100" xfId="851" xr:uid="{00000000-0005-0000-0000-00007E090000}"/>
    <cellStyle name="Normal 2 2 101" xfId="852" xr:uid="{00000000-0005-0000-0000-00007F090000}"/>
    <cellStyle name="Normal 2 2 102" xfId="853" xr:uid="{00000000-0005-0000-0000-000080090000}"/>
    <cellStyle name="Normal 2 2 103" xfId="854" xr:uid="{00000000-0005-0000-0000-000081090000}"/>
    <cellStyle name="Normal 2 2 104" xfId="855" xr:uid="{00000000-0005-0000-0000-000082090000}"/>
    <cellStyle name="Normal 2 2 105" xfId="856" xr:uid="{00000000-0005-0000-0000-000083090000}"/>
    <cellStyle name="Normal 2 2 106" xfId="857" xr:uid="{00000000-0005-0000-0000-000084090000}"/>
    <cellStyle name="Normal 2 2 107" xfId="858" xr:uid="{00000000-0005-0000-0000-000085090000}"/>
    <cellStyle name="Normal 2 2 108" xfId="859" xr:uid="{00000000-0005-0000-0000-000086090000}"/>
    <cellStyle name="Normal 2 2 109" xfId="860" xr:uid="{00000000-0005-0000-0000-000087090000}"/>
    <cellStyle name="Normal 2 2 11" xfId="861" xr:uid="{00000000-0005-0000-0000-000088090000}"/>
    <cellStyle name="Normal 2 2 110" xfId="862" xr:uid="{00000000-0005-0000-0000-000089090000}"/>
    <cellStyle name="Normal 2 2 111" xfId="863" xr:uid="{00000000-0005-0000-0000-00008A090000}"/>
    <cellStyle name="Normal 2 2 112" xfId="864" xr:uid="{00000000-0005-0000-0000-00008B090000}"/>
    <cellStyle name="Normal 2 2 113" xfId="865" xr:uid="{00000000-0005-0000-0000-00008C090000}"/>
    <cellStyle name="Normal 2 2 114" xfId="866" xr:uid="{00000000-0005-0000-0000-00008D090000}"/>
    <cellStyle name="Normal 2 2 115" xfId="867" xr:uid="{00000000-0005-0000-0000-00008E090000}"/>
    <cellStyle name="Normal 2 2 12" xfId="868" xr:uid="{00000000-0005-0000-0000-00008F090000}"/>
    <cellStyle name="Normal 2 2 13" xfId="869" xr:uid="{00000000-0005-0000-0000-000090090000}"/>
    <cellStyle name="Normal 2 2 14" xfId="870" xr:uid="{00000000-0005-0000-0000-000091090000}"/>
    <cellStyle name="Normal 2 2 15" xfId="871" xr:uid="{00000000-0005-0000-0000-000092090000}"/>
    <cellStyle name="Normal 2 2 16" xfId="872" xr:uid="{00000000-0005-0000-0000-000093090000}"/>
    <cellStyle name="Normal 2 2 17" xfId="873" xr:uid="{00000000-0005-0000-0000-000094090000}"/>
    <cellStyle name="Normal 2 2 18" xfId="874" xr:uid="{00000000-0005-0000-0000-000095090000}"/>
    <cellStyle name="Normal 2 2 19" xfId="875" xr:uid="{00000000-0005-0000-0000-000096090000}"/>
    <cellStyle name="Normal 2 2 2" xfId="876" xr:uid="{00000000-0005-0000-0000-000097090000}"/>
    <cellStyle name="Normal 2 2 2 10" xfId="877" xr:uid="{00000000-0005-0000-0000-000098090000}"/>
    <cellStyle name="Normal 2 2 2 100" xfId="878" xr:uid="{00000000-0005-0000-0000-000099090000}"/>
    <cellStyle name="Normal 2 2 2 101" xfId="879" xr:uid="{00000000-0005-0000-0000-00009A090000}"/>
    <cellStyle name="Normal 2 2 2 102" xfId="880" xr:uid="{00000000-0005-0000-0000-00009B090000}"/>
    <cellStyle name="Normal 2 2 2 103" xfId="881" xr:uid="{00000000-0005-0000-0000-00009C090000}"/>
    <cellStyle name="Normal 2 2 2 104" xfId="882" xr:uid="{00000000-0005-0000-0000-00009D090000}"/>
    <cellStyle name="Normal 2 2 2 105" xfId="883" xr:uid="{00000000-0005-0000-0000-00009E090000}"/>
    <cellStyle name="Normal 2 2 2 106" xfId="884" xr:uid="{00000000-0005-0000-0000-00009F090000}"/>
    <cellStyle name="Normal 2 2 2 107" xfId="885" xr:uid="{00000000-0005-0000-0000-0000A0090000}"/>
    <cellStyle name="Normal 2 2 2 108" xfId="886" xr:uid="{00000000-0005-0000-0000-0000A1090000}"/>
    <cellStyle name="Normal 2 2 2 109" xfId="887" xr:uid="{00000000-0005-0000-0000-0000A2090000}"/>
    <cellStyle name="Normal 2 2 2 11" xfId="888" xr:uid="{00000000-0005-0000-0000-0000A3090000}"/>
    <cellStyle name="Normal 2 2 2 110" xfId="889" xr:uid="{00000000-0005-0000-0000-0000A4090000}"/>
    <cellStyle name="Normal 2 2 2 111" xfId="890" xr:uid="{00000000-0005-0000-0000-0000A5090000}"/>
    <cellStyle name="Normal 2 2 2 112" xfId="891" xr:uid="{00000000-0005-0000-0000-0000A6090000}"/>
    <cellStyle name="Normal 2 2 2 113" xfId="892" xr:uid="{00000000-0005-0000-0000-0000A7090000}"/>
    <cellStyle name="Normal 2 2 2 114" xfId="893" xr:uid="{00000000-0005-0000-0000-0000A8090000}"/>
    <cellStyle name="Normal 2 2 2 12" xfId="894" xr:uid="{00000000-0005-0000-0000-0000A9090000}"/>
    <cellStyle name="Normal 2 2 2 13" xfId="895" xr:uid="{00000000-0005-0000-0000-0000AA090000}"/>
    <cellStyle name="Normal 2 2 2 14" xfId="896" xr:uid="{00000000-0005-0000-0000-0000AB090000}"/>
    <cellStyle name="Normal 2 2 2 15" xfId="897" xr:uid="{00000000-0005-0000-0000-0000AC090000}"/>
    <cellStyle name="Normal 2 2 2 16" xfId="898" xr:uid="{00000000-0005-0000-0000-0000AD090000}"/>
    <cellStyle name="Normal 2 2 2 17" xfId="899" xr:uid="{00000000-0005-0000-0000-0000AE090000}"/>
    <cellStyle name="Normal 2 2 2 18" xfId="900" xr:uid="{00000000-0005-0000-0000-0000AF090000}"/>
    <cellStyle name="Normal 2 2 2 19" xfId="901" xr:uid="{00000000-0005-0000-0000-0000B0090000}"/>
    <cellStyle name="Normal 2 2 2 2" xfId="902" xr:uid="{00000000-0005-0000-0000-0000B1090000}"/>
    <cellStyle name="Normal 2 2 2 2 10" xfId="903" xr:uid="{00000000-0005-0000-0000-0000B2090000}"/>
    <cellStyle name="Normal 2 2 2 2 100" xfId="904" xr:uid="{00000000-0005-0000-0000-0000B3090000}"/>
    <cellStyle name="Normal 2 2 2 2 101" xfId="905" xr:uid="{00000000-0005-0000-0000-0000B4090000}"/>
    <cellStyle name="Normal 2 2 2 2 102" xfId="906" xr:uid="{00000000-0005-0000-0000-0000B5090000}"/>
    <cellStyle name="Normal 2 2 2 2 103" xfId="907" xr:uid="{00000000-0005-0000-0000-0000B6090000}"/>
    <cellStyle name="Normal 2 2 2 2 104" xfId="908" xr:uid="{00000000-0005-0000-0000-0000B7090000}"/>
    <cellStyle name="Normal 2 2 2 2 105" xfId="909" xr:uid="{00000000-0005-0000-0000-0000B8090000}"/>
    <cellStyle name="Normal 2 2 2 2 106" xfId="910" xr:uid="{00000000-0005-0000-0000-0000B9090000}"/>
    <cellStyle name="Normal 2 2 2 2 107" xfId="911" xr:uid="{00000000-0005-0000-0000-0000BA090000}"/>
    <cellStyle name="Normal 2 2 2 2 108" xfId="912" xr:uid="{00000000-0005-0000-0000-0000BB090000}"/>
    <cellStyle name="Normal 2 2 2 2 109" xfId="913" xr:uid="{00000000-0005-0000-0000-0000BC090000}"/>
    <cellStyle name="Normal 2 2 2 2 11" xfId="914" xr:uid="{00000000-0005-0000-0000-0000BD090000}"/>
    <cellStyle name="Normal 2 2 2 2 110" xfId="915" xr:uid="{00000000-0005-0000-0000-0000BE090000}"/>
    <cellStyle name="Normal 2 2 2 2 111" xfId="916" xr:uid="{00000000-0005-0000-0000-0000BF090000}"/>
    <cellStyle name="Normal 2 2 2 2 112" xfId="917" xr:uid="{00000000-0005-0000-0000-0000C0090000}"/>
    <cellStyle name="Normal 2 2 2 2 113" xfId="918" xr:uid="{00000000-0005-0000-0000-0000C1090000}"/>
    <cellStyle name="Normal 2 2 2 2 114" xfId="919" xr:uid="{00000000-0005-0000-0000-0000C2090000}"/>
    <cellStyle name="Normal 2 2 2 2 12" xfId="920" xr:uid="{00000000-0005-0000-0000-0000C3090000}"/>
    <cellStyle name="Normal 2 2 2 2 13" xfId="921" xr:uid="{00000000-0005-0000-0000-0000C4090000}"/>
    <cellStyle name="Normal 2 2 2 2 14" xfId="922" xr:uid="{00000000-0005-0000-0000-0000C5090000}"/>
    <cellStyle name="Normal 2 2 2 2 15" xfId="923" xr:uid="{00000000-0005-0000-0000-0000C6090000}"/>
    <cellStyle name="Normal 2 2 2 2 16" xfId="924" xr:uid="{00000000-0005-0000-0000-0000C7090000}"/>
    <cellStyle name="Normal 2 2 2 2 17" xfId="925" xr:uid="{00000000-0005-0000-0000-0000C8090000}"/>
    <cellStyle name="Normal 2 2 2 2 18" xfId="926" xr:uid="{00000000-0005-0000-0000-0000C9090000}"/>
    <cellStyle name="Normal 2 2 2 2 19" xfId="927" xr:uid="{00000000-0005-0000-0000-0000CA090000}"/>
    <cellStyle name="Normal 2 2 2 2 2" xfId="928" xr:uid="{00000000-0005-0000-0000-0000CB090000}"/>
    <cellStyle name="Normal 2 2 2 2 2 10" xfId="929" xr:uid="{00000000-0005-0000-0000-0000CC090000}"/>
    <cellStyle name="Normal 2 2 2 2 2 100" xfId="930" xr:uid="{00000000-0005-0000-0000-0000CD090000}"/>
    <cellStyle name="Normal 2 2 2 2 2 101" xfId="931" xr:uid="{00000000-0005-0000-0000-0000CE090000}"/>
    <cellStyle name="Normal 2 2 2 2 2 102" xfId="932" xr:uid="{00000000-0005-0000-0000-0000CF090000}"/>
    <cellStyle name="Normal 2 2 2 2 2 103" xfId="933" xr:uid="{00000000-0005-0000-0000-0000D0090000}"/>
    <cellStyle name="Normal 2 2 2 2 2 104" xfId="934" xr:uid="{00000000-0005-0000-0000-0000D1090000}"/>
    <cellStyle name="Normal 2 2 2 2 2 105" xfId="935" xr:uid="{00000000-0005-0000-0000-0000D2090000}"/>
    <cellStyle name="Normal 2 2 2 2 2 106" xfId="936" xr:uid="{00000000-0005-0000-0000-0000D3090000}"/>
    <cellStyle name="Normal 2 2 2 2 2 107" xfId="937" xr:uid="{00000000-0005-0000-0000-0000D4090000}"/>
    <cellStyle name="Normal 2 2 2 2 2 108" xfId="938" xr:uid="{00000000-0005-0000-0000-0000D5090000}"/>
    <cellStyle name="Normal 2 2 2 2 2 109" xfId="939" xr:uid="{00000000-0005-0000-0000-0000D6090000}"/>
    <cellStyle name="Normal 2 2 2 2 2 11" xfId="940" xr:uid="{00000000-0005-0000-0000-0000D7090000}"/>
    <cellStyle name="Normal 2 2 2 2 2 110" xfId="941" xr:uid="{00000000-0005-0000-0000-0000D8090000}"/>
    <cellStyle name="Normal 2 2 2 2 2 111" xfId="942" xr:uid="{00000000-0005-0000-0000-0000D9090000}"/>
    <cellStyle name="Normal 2 2 2 2 2 112" xfId="943" xr:uid="{00000000-0005-0000-0000-0000DA090000}"/>
    <cellStyle name="Normal 2 2 2 2 2 113" xfId="944" xr:uid="{00000000-0005-0000-0000-0000DB090000}"/>
    <cellStyle name="Normal 2 2 2 2 2 12" xfId="945" xr:uid="{00000000-0005-0000-0000-0000DC090000}"/>
    <cellStyle name="Normal 2 2 2 2 2 13" xfId="946" xr:uid="{00000000-0005-0000-0000-0000DD090000}"/>
    <cellStyle name="Normal 2 2 2 2 2 14" xfId="947" xr:uid="{00000000-0005-0000-0000-0000DE090000}"/>
    <cellStyle name="Normal 2 2 2 2 2 15" xfId="948" xr:uid="{00000000-0005-0000-0000-0000DF090000}"/>
    <cellStyle name="Normal 2 2 2 2 2 16" xfId="949" xr:uid="{00000000-0005-0000-0000-0000E0090000}"/>
    <cellStyle name="Normal 2 2 2 2 2 17" xfId="950" xr:uid="{00000000-0005-0000-0000-0000E1090000}"/>
    <cellStyle name="Normal 2 2 2 2 2 18" xfId="951" xr:uid="{00000000-0005-0000-0000-0000E2090000}"/>
    <cellStyle name="Normal 2 2 2 2 2 19" xfId="952" xr:uid="{00000000-0005-0000-0000-0000E3090000}"/>
    <cellStyle name="Normal 2 2 2 2 2 2" xfId="953" xr:uid="{00000000-0005-0000-0000-0000E4090000}"/>
    <cellStyle name="Normal 2 2 2 2 2 2 10" xfId="954" xr:uid="{00000000-0005-0000-0000-0000E5090000}"/>
    <cellStyle name="Normal 2 2 2 2 2 2 100" xfId="955" xr:uid="{00000000-0005-0000-0000-0000E6090000}"/>
    <cellStyle name="Normal 2 2 2 2 2 2 101" xfId="956" xr:uid="{00000000-0005-0000-0000-0000E7090000}"/>
    <cellStyle name="Normal 2 2 2 2 2 2 102" xfId="957" xr:uid="{00000000-0005-0000-0000-0000E8090000}"/>
    <cellStyle name="Normal 2 2 2 2 2 2 103" xfId="958" xr:uid="{00000000-0005-0000-0000-0000E9090000}"/>
    <cellStyle name="Normal 2 2 2 2 2 2 104" xfId="959" xr:uid="{00000000-0005-0000-0000-0000EA090000}"/>
    <cellStyle name="Normal 2 2 2 2 2 2 105" xfId="960" xr:uid="{00000000-0005-0000-0000-0000EB090000}"/>
    <cellStyle name="Normal 2 2 2 2 2 2 106" xfId="961" xr:uid="{00000000-0005-0000-0000-0000EC090000}"/>
    <cellStyle name="Normal 2 2 2 2 2 2 107" xfId="962" xr:uid="{00000000-0005-0000-0000-0000ED090000}"/>
    <cellStyle name="Normal 2 2 2 2 2 2 108" xfId="963" xr:uid="{00000000-0005-0000-0000-0000EE090000}"/>
    <cellStyle name="Normal 2 2 2 2 2 2 109" xfId="964" xr:uid="{00000000-0005-0000-0000-0000EF090000}"/>
    <cellStyle name="Normal 2 2 2 2 2 2 11" xfId="965" xr:uid="{00000000-0005-0000-0000-0000F0090000}"/>
    <cellStyle name="Normal 2 2 2 2 2 2 110" xfId="966" xr:uid="{00000000-0005-0000-0000-0000F1090000}"/>
    <cellStyle name="Normal 2 2 2 2 2 2 111" xfId="967" xr:uid="{00000000-0005-0000-0000-0000F2090000}"/>
    <cellStyle name="Normal 2 2 2 2 2 2 112" xfId="968" xr:uid="{00000000-0005-0000-0000-0000F3090000}"/>
    <cellStyle name="Normal 2 2 2 2 2 2 12" xfId="969" xr:uid="{00000000-0005-0000-0000-0000F4090000}"/>
    <cellStyle name="Normal 2 2 2 2 2 2 13" xfId="970" xr:uid="{00000000-0005-0000-0000-0000F5090000}"/>
    <cellStyle name="Normal 2 2 2 2 2 2 14" xfId="971" xr:uid="{00000000-0005-0000-0000-0000F6090000}"/>
    <cellStyle name="Normal 2 2 2 2 2 2 15" xfId="972" xr:uid="{00000000-0005-0000-0000-0000F7090000}"/>
    <cellStyle name="Normal 2 2 2 2 2 2 16" xfId="973" xr:uid="{00000000-0005-0000-0000-0000F8090000}"/>
    <cellStyle name="Normal 2 2 2 2 2 2 17" xfId="974" xr:uid="{00000000-0005-0000-0000-0000F9090000}"/>
    <cellStyle name="Normal 2 2 2 2 2 2 18" xfId="975" xr:uid="{00000000-0005-0000-0000-0000FA090000}"/>
    <cellStyle name="Normal 2 2 2 2 2 2 19" xfId="976" xr:uid="{00000000-0005-0000-0000-0000FB090000}"/>
    <cellStyle name="Normal 2 2 2 2 2 2 2" xfId="977" xr:uid="{00000000-0005-0000-0000-0000FC090000}"/>
    <cellStyle name="Normal 2 2 2 2 2 2 2 10" xfId="978" xr:uid="{00000000-0005-0000-0000-0000FD090000}"/>
    <cellStyle name="Normal 2 2 2 2 2 2 2 100" xfId="979" xr:uid="{00000000-0005-0000-0000-0000FE090000}"/>
    <cellStyle name="Normal 2 2 2 2 2 2 2 101" xfId="980" xr:uid="{00000000-0005-0000-0000-0000FF090000}"/>
    <cellStyle name="Normal 2 2 2 2 2 2 2 102" xfId="981" xr:uid="{00000000-0005-0000-0000-0000000A0000}"/>
    <cellStyle name="Normal 2 2 2 2 2 2 2 103" xfId="982" xr:uid="{00000000-0005-0000-0000-0000010A0000}"/>
    <cellStyle name="Normal 2 2 2 2 2 2 2 104" xfId="983" xr:uid="{00000000-0005-0000-0000-0000020A0000}"/>
    <cellStyle name="Normal 2 2 2 2 2 2 2 105" xfId="984" xr:uid="{00000000-0005-0000-0000-0000030A0000}"/>
    <cellStyle name="Normal 2 2 2 2 2 2 2 106" xfId="985" xr:uid="{00000000-0005-0000-0000-0000040A0000}"/>
    <cellStyle name="Normal 2 2 2 2 2 2 2 107" xfId="986" xr:uid="{00000000-0005-0000-0000-0000050A0000}"/>
    <cellStyle name="Normal 2 2 2 2 2 2 2 108" xfId="987" xr:uid="{00000000-0005-0000-0000-0000060A0000}"/>
    <cellStyle name="Normal 2 2 2 2 2 2 2 109" xfId="988" xr:uid="{00000000-0005-0000-0000-0000070A0000}"/>
    <cellStyle name="Normal 2 2 2 2 2 2 2 11" xfId="989" xr:uid="{00000000-0005-0000-0000-0000080A0000}"/>
    <cellStyle name="Normal 2 2 2 2 2 2 2 110" xfId="990" xr:uid="{00000000-0005-0000-0000-0000090A0000}"/>
    <cellStyle name="Normal 2 2 2 2 2 2 2 111" xfId="991" xr:uid="{00000000-0005-0000-0000-00000A0A0000}"/>
    <cellStyle name="Normal 2 2 2 2 2 2 2 112" xfId="992" xr:uid="{00000000-0005-0000-0000-00000B0A0000}"/>
    <cellStyle name="Normal 2 2 2 2 2 2 2 12" xfId="993" xr:uid="{00000000-0005-0000-0000-00000C0A0000}"/>
    <cellStyle name="Normal 2 2 2 2 2 2 2 13" xfId="994" xr:uid="{00000000-0005-0000-0000-00000D0A0000}"/>
    <cellStyle name="Normal 2 2 2 2 2 2 2 14" xfId="995" xr:uid="{00000000-0005-0000-0000-00000E0A0000}"/>
    <cellStyle name="Normal 2 2 2 2 2 2 2 15" xfId="996" xr:uid="{00000000-0005-0000-0000-00000F0A0000}"/>
    <cellStyle name="Normal 2 2 2 2 2 2 2 16" xfId="997" xr:uid="{00000000-0005-0000-0000-0000100A0000}"/>
    <cellStyle name="Normal 2 2 2 2 2 2 2 17" xfId="998" xr:uid="{00000000-0005-0000-0000-0000110A0000}"/>
    <cellStyle name="Normal 2 2 2 2 2 2 2 18" xfId="999" xr:uid="{00000000-0005-0000-0000-0000120A0000}"/>
    <cellStyle name="Normal 2 2 2 2 2 2 2 19" xfId="1000" xr:uid="{00000000-0005-0000-0000-0000130A0000}"/>
    <cellStyle name="Normal 2 2 2 2 2 2 2 2" xfId="1001" xr:uid="{00000000-0005-0000-0000-0000140A0000}"/>
    <cellStyle name="Normal 2 2 2 2 2 2 2 2 10" xfId="1002" xr:uid="{00000000-0005-0000-0000-0000150A0000}"/>
    <cellStyle name="Normal 2 2 2 2 2 2 2 2 100" xfId="1003" xr:uid="{00000000-0005-0000-0000-0000160A0000}"/>
    <cellStyle name="Normal 2 2 2 2 2 2 2 2 101" xfId="1004" xr:uid="{00000000-0005-0000-0000-0000170A0000}"/>
    <cellStyle name="Normal 2 2 2 2 2 2 2 2 102" xfId="1005" xr:uid="{00000000-0005-0000-0000-0000180A0000}"/>
    <cellStyle name="Normal 2 2 2 2 2 2 2 2 103" xfId="1006" xr:uid="{00000000-0005-0000-0000-0000190A0000}"/>
    <cellStyle name="Normal 2 2 2 2 2 2 2 2 104" xfId="1007" xr:uid="{00000000-0005-0000-0000-00001A0A0000}"/>
    <cellStyle name="Normal 2 2 2 2 2 2 2 2 105" xfId="1008" xr:uid="{00000000-0005-0000-0000-00001B0A0000}"/>
    <cellStyle name="Normal 2 2 2 2 2 2 2 2 106" xfId="1009" xr:uid="{00000000-0005-0000-0000-00001C0A0000}"/>
    <cellStyle name="Normal 2 2 2 2 2 2 2 2 107" xfId="1010" xr:uid="{00000000-0005-0000-0000-00001D0A0000}"/>
    <cellStyle name="Normal 2 2 2 2 2 2 2 2 108" xfId="1011" xr:uid="{00000000-0005-0000-0000-00001E0A0000}"/>
    <cellStyle name="Normal 2 2 2 2 2 2 2 2 109" xfId="1012" xr:uid="{00000000-0005-0000-0000-00001F0A0000}"/>
    <cellStyle name="Normal 2 2 2 2 2 2 2 2 11" xfId="1013" xr:uid="{00000000-0005-0000-0000-0000200A0000}"/>
    <cellStyle name="Normal 2 2 2 2 2 2 2 2 110" xfId="1014" xr:uid="{00000000-0005-0000-0000-0000210A0000}"/>
    <cellStyle name="Normal 2 2 2 2 2 2 2 2 111" xfId="1015" xr:uid="{00000000-0005-0000-0000-0000220A0000}"/>
    <cellStyle name="Normal 2 2 2 2 2 2 2 2 112" xfId="1016" xr:uid="{00000000-0005-0000-0000-0000230A0000}"/>
    <cellStyle name="Normal 2 2 2 2 2 2 2 2 12" xfId="1017" xr:uid="{00000000-0005-0000-0000-0000240A0000}"/>
    <cellStyle name="Normal 2 2 2 2 2 2 2 2 13" xfId="1018" xr:uid="{00000000-0005-0000-0000-0000250A0000}"/>
    <cellStyle name="Normal 2 2 2 2 2 2 2 2 14" xfId="1019" xr:uid="{00000000-0005-0000-0000-0000260A0000}"/>
    <cellStyle name="Normal 2 2 2 2 2 2 2 2 15" xfId="1020" xr:uid="{00000000-0005-0000-0000-0000270A0000}"/>
    <cellStyle name="Normal 2 2 2 2 2 2 2 2 16" xfId="1021" xr:uid="{00000000-0005-0000-0000-0000280A0000}"/>
    <cellStyle name="Normal 2 2 2 2 2 2 2 2 17" xfId="1022" xr:uid="{00000000-0005-0000-0000-0000290A0000}"/>
    <cellStyle name="Normal 2 2 2 2 2 2 2 2 18" xfId="1023" xr:uid="{00000000-0005-0000-0000-00002A0A0000}"/>
    <cellStyle name="Normal 2 2 2 2 2 2 2 2 19" xfId="1024" xr:uid="{00000000-0005-0000-0000-00002B0A0000}"/>
    <cellStyle name="Normal 2 2 2 2 2 2 2 2 2" xfId="1025" xr:uid="{00000000-0005-0000-0000-00002C0A0000}"/>
    <cellStyle name="Normal 2 2 2 2 2 2 2 2 2 10" xfId="1026" xr:uid="{00000000-0005-0000-0000-00002D0A0000}"/>
    <cellStyle name="Normal 2 2 2 2 2 2 2 2 2 100" xfId="1027" xr:uid="{00000000-0005-0000-0000-00002E0A0000}"/>
    <cellStyle name="Normal 2 2 2 2 2 2 2 2 2 101" xfId="1028" xr:uid="{00000000-0005-0000-0000-00002F0A0000}"/>
    <cellStyle name="Normal 2 2 2 2 2 2 2 2 2 102" xfId="1029" xr:uid="{00000000-0005-0000-0000-0000300A0000}"/>
    <cellStyle name="Normal 2 2 2 2 2 2 2 2 2 103" xfId="1030" xr:uid="{00000000-0005-0000-0000-0000310A0000}"/>
    <cellStyle name="Normal 2 2 2 2 2 2 2 2 2 104" xfId="1031" xr:uid="{00000000-0005-0000-0000-0000320A0000}"/>
    <cellStyle name="Normal 2 2 2 2 2 2 2 2 2 105" xfId="1032" xr:uid="{00000000-0005-0000-0000-0000330A0000}"/>
    <cellStyle name="Normal 2 2 2 2 2 2 2 2 2 106" xfId="1033" xr:uid="{00000000-0005-0000-0000-0000340A0000}"/>
    <cellStyle name="Normal 2 2 2 2 2 2 2 2 2 107" xfId="1034" xr:uid="{00000000-0005-0000-0000-0000350A0000}"/>
    <cellStyle name="Normal 2 2 2 2 2 2 2 2 2 108" xfId="1035" xr:uid="{00000000-0005-0000-0000-0000360A0000}"/>
    <cellStyle name="Normal 2 2 2 2 2 2 2 2 2 109" xfId="1036" xr:uid="{00000000-0005-0000-0000-0000370A0000}"/>
    <cellStyle name="Normal 2 2 2 2 2 2 2 2 2 11" xfId="1037" xr:uid="{00000000-0005-0000-0000-0000380A0000}"/>
    <cellStyle name="Normal 2 2 2 2 2 2 2 2 2 110" xfId="1038" xr:uid="{00000000-0005-0000-0000-0000390A0000}"/>
    <cellStyle name="Normal 2 2 2 2 2 2 2 2 2 12" xfId="1039" xr:uid="{00000000-0005-0000-0000-00003A0A0000}"/>
    <cellStyle name="Normal 2 2 2 2 2 2 2 2 2 13" xfId="1040" xr:uid="{00000000-0005-0000-0000-00003B0A0000}"/>
    <cellStyle name="Normal 2 2 2 2 2 2 2 2 2 14" xfId="1041" xr:uid="{00000000-0005-0000-0000-00003C0A0000}"/>
    <cellStyle name="Normal 2 2 2 2 2 2 2 2 2 15" xfId="1042" xr:uid="{00000000-0005-0000-0000-00003D0A0000}"/>
    <cellStyle name="Normal 2 2 2 2 2 2 2 2 2 16" xfId="1043" xr:uid="{00000000-0005-0000-0000-00003E0A0000}"/>
    <cellStyle name="Normal 2 2 2 2 2 2 2 2 2 17" xfId="1044" xr:uid="{00000000-0005-0000-0000-00003F0A0000}"/>
    <cellStyle name="Normal 2 2 2 2 2 2 2 2 2 18" xfId="1045" xr:uid="{00000000-0005-0000-0000-0000400A0000}"/>
    <cellStyle name="Normal 2 2 2 2 2 2 2 2 2 19" xfId="1046" xr:uid="{00000000-0005-0000-0000-0000410A0000}"/>
    <cellStyle name="Normal 2 2 2 2 2 2 2 2 2 2" xfId="1047" xr:uid="{00000000-0005-0000-0000-0000420A0000}"/>
    <cellStyle name="Normal 2 2 2 2 2 2 2 2 2 20" xfId="1048" xr:uid="{00000000-0005-0000-0000-0000430A0000}"/>
    <cellStyle name="Normal 2 2 2 2 2 2 2 2 2 21" xfId="1049" xr:uid="{00000000-0005-0000-0000-0000440A0000}"/>
    <cellStyle name="Normal 2 2 2 2 2 2 2 2 2 22" xfId="1050" xr:uid="{00000000-0005-0000-0000-0000450A0000}"/>
    <cellStyle name="Normal 2 2 2 2 2 2 2 2 2 23" xfId="1051" xr:uid="{00000000-0005-0000-0000-0000460A0000}"/>
    <cellStyle name="Normal 2 2 2 2 2 2 2 2 2 24" xfId="1052" xr:uid="{00000000-0005-0000-0000-0000470A0000}"/>
    <cellStyle name="Normal 2 2 2 2 2 2 2 2 2 25" xfId="1053" xr:uid="{00000000-0005-0000-0000-0000480A0000}"/>
    <cellStyle name="Normal 2 2 2 2 2 2 2 2 2 26" xfId="1054" xr:uid="{00000000-0005-0000-0000-0000490A0000}"/>
    <cellStyle name="Normal 2 2 2 2 2 2 2 2 2 27" xfId="1055" xr:uid="{00000000-0005-0000-0000-00004A0A0000}"/>
    <cellStyle name="Normal 2 2 2 2 2 2 2 2 2 28" xfId="1056" xr:uid="{00000000-0005-0000-0000-00004B0A0000}"/>
    <cellStyle name="Normal 2 2 2 2 2 2 2 2 2 29" xfId="1057" xr:uid="{00000000-0005-0000-0000-00004C0A0000}"/>
    <cellStyle name="Normal 2 2 2 2 2 2 2 2 2 3" xfId="1058" xr:uid="{00000000-0005-0000-0000-00004D0A0000}"/>
    <cellStyle name="Normal 2 2 2 2 2 2 2 2 2 30" xfId="1059" xr:uid="{00000000-0005-0000-0000-00004E0A0000}"/>
    <cellStyle name="Normal 2 2 2 2 2 2 2 2 2 31" xfId="1060" xr:uid="{00000000-0005-0000-0000-00004F0A0000}"/>
    <cellStyle name="Normal 2 2 2 2 2 2 2 2 2 32" xfId="1061" xr:uid="{00000000-0005-0000-0000-0000500A0000}"/>
    <cellStyle name="Normal 2 2 2 2 2 2 2 2 2 33" xfId="1062" xr:uid="{00000000-0005-0000-0000-0000510A0000}"/>
    <cellStyle name="Normal 2 2 2 2 2 2 2 2 2 34" xfId="1063" xr:uid="{00000000-0005-0000-0000-0000520A0000}"/>
    <cellStyle name="Normal 2 2 2 2 2 2 2 2 2 35" xfId="1064" xr:uid="{00000000-0005-0000-0000-0000530A0000}"/>
    <cellStyle name="Normal 2 2 2 2 2 2 2 2 2 36" xfId="1065" xr:uid="{00000000-0005-0000-0000-0000540A0000}"/>
    <cellStyle name="Normal 2 2 2 2 2 2 2 2 2 37" xfId="1066" xr:uid="{00000000-0005-0000-0000-0000550A0000}"/>
    <cellStyle name="Normal 2 2 2 2 2 2 2 2 2 38" xfId="1067" xr:uid="{00000000-0005-0000-0000-0000560A0000}"/>
    <cellStyle name="Normal 2 2 2 2 2 2 2 2 2 39" xfId="1068" xr:uid="{00000000-0005-0000-0000-0000570A0000}"/>
    <cellStyle name="Normal 2 2 2 2 2 2 2 2 2 4" xfId="1069" xr:uid="{00000000-0005-0000-0000-0000580A0000}"/>
    <cellStyle name="Normal 2 2 2 2 2 2 2 2 2 40" xfId="1070" xr:uid="{00000000-0005-0000-0000-0000590A0000}"/>
    <cellStyle name="Normal 2 2 2 2 2 2 2 2 2 41" xfId="1071" xr:uid="{00000000-0005-0000-0000-00005A0A0000}"/>
    <cellStyle name="Normal 2 2 2 2 2 2 2 2 2 42" xfId="1072" xr:uid="{00000000-0005-0000-0000-00005B0A0000}"/>
    <cellStyle name="Normal 2 2 2 2 2 2 2 2 2 43" xfId="1073" xr:uid="{00000000-0005-0000-0000-00005C0A0000}"/>
    <cellStyle name="Normal 2 2 2 2 2 2 2 2 2 44" xfId="1074" xr:uid="{00000000-0005-0000-0000-00005D0A0000}"/>
    <cellStyle name="Normal 2 2 2 2 2 2 2 2 2 45" xfId="1075" xr:uid="{00000000-0005-0000-0000-00005E0A0000}"/>
    <cellStyle name="Normal 2 2 2 2 2 2 2 2 2 46" xfId="1076" xr:uid="{00000000-0005-0000-0000-00005F0A0000}"/>
    <cellStyle name="Normal 2 2 2 2 2 2 2 2 2 47" xfId="1077" xr:uid="{00000000-0005-0000-0000-0000600A0000}"/>
    <cellStyle name="Normal 2 2 2 2 2 2 2 2 2 48" xfId="1078" xr:uid="{00000000-0005-0000-0000-0000610A0000}"/>
    <cellStyle name="Normal 2 2 2 2 2 2 2 2 2 49" xfId="1079" xr:uid="{00000000-0005-0000-0000-0000620A0000}"/>
    <cellStyle name="Normal 2 2 2 2 2 2 2 2 2 5" xfId="1080" xr:uid="{00000000-0005-0000-0000-0000630A0000}"/>
    <cellStyle name="Normal 2 2 2 2 2 2 2 2 2 50" xfId="1081" xr:uid="{00000000-0005-0000-0000-0000640A0000}"/>
    <cellStyle name="Normal 2 2 2 2 2 2 2 2 2 51" xfId="1082" xr:uid="{00000000-0005-0000-0000-0000650A0000}"/>
    <cellStyle name="Normal 2 2 2 2 2 2 2 2 2 52" xfId="1083" xr:uid="{00000000-0005-0000-0000-0000660A0000}"/>
    <cellStyle name="Normal 2 2 2 2 2 2 2 2 2 53" xfId="1084" xr:uid="{00000000-0005-0000-0000-0000670A0000}"/>
    <cellStyle name="Normal 2 2 2 2 2 2 2 2 2 54" xfId="1085" xr:uid="{00000000-0005-0000-0000-0000680A0000}"/>
    <cellStyle name="Normal 2 2 2 2 2 2 2 2 2 55" xfId="1086" xr:uid="{00000000-0005-0000-0000-0000690A0000}"/>
    <cellStyle name="Normal 2 2 2 2 2 2 2 2 2 56" xfId="1087" xr:uid="{00000000-0005-0000-0000-00006A0A0000}"/>
    <cellStyle name="Normal 2 2 2 2 2 2 2 2 2 57" xfId="1088" xr:uid="{00000000-0005-0000-0000-00006B0A0000}"/>
    <cellStyle name="Normal 2 2 2 2 2 2 2 2 2 58" xfId="1089" xr:uid="{00000000-0005-0000-0000-00006C0A0000}"/>
    <cellStyle name="Normal 2 2 2 2 2 2 2 2 2 59" xfId="1090" xr:uid="{00000000-0005-0000-0000-00006D0A0000}"/>
    <cellStyle name="Normal 2 2 2 2 2 2 2 2 2 6" xfId="1091" xr:uid="{00000000-0005-0000-0000-00006E0A0000}"/>
    <cellStyle name="Normal 2 2 2 2 2 2 2 2 2 60" xfId="1092" xr:uid="{00000000-0005-0000-0000-00006F0A0000}"/>
    <cellStyle name="Normal 2 2 2 2 2 2 2 2 2 61" xfId="1093" xr:uid="{00000000-0005-0000-0000-0000700A0000}"/>
    <cellStyle name="Normal 2 2 2 2 2 2 2 2 2 62" xfId="1094" xr:uid="{00000000-0005-0000-0000-0000710A0000}"/>
    <cellStyle name="Normal 2 2 2 2 2 2 2 2 2 63" xfId="1095" xr:uid="{00000000-0005-0000-0000-0000720A0000}"/>
    <cellStyle name="Normal 2 2 2 2 2 2 2 2 2 64" xfId="1096" xr:uid="{00000000-0005-0000-0000-0000730A0000}"/>
    <cellStyle name="Normal 2 2 2 2 2 2 2 2 2 65" xfId="1097" xr:uid="{00000000-0005-0000-0000-0000740A0000}"/>
    <cellStyle name="Normal 2 2 2 2 2 2 2 2 2 66" xfId="1098" xr:uid="{00000000-0005-0000-0000-0000750A0000}"/>
    <cellStyle name="Normal 2 2 2 2 2 2 2 2 2 67" xfId="1099" xr:uid="{00000000-0005-0000-0000-0000760A0000}"/>
    <cellStyle name="Normal 2 2 2 2 2 2 2 2 2 68" xfId="1100" xr:uid="{00000000-0005-0000-0000-0000770A0000}"/>
    <cellStyle name="Normal 2 2 2 2 2 2 2 2 2 69" xfId="1101" xr:uid="{00000000-0005-0000-0000-0000780A0000}"/>
    <cellStyle name="Normal 2 2 2 2 2 2 2 2 2 7" xfId="1102" xr:uid="{00000000-0005-0000-0000-0000790A0000}"/>
    <cellStyle name="Normal 2 2 2 2 2 2 2 2 2 70" xfId="1103" xr:uid="{00000000-0005-0000-0000-00007A0A0000}"/>
    <cellStyle name="Normal 2 2 2 2 2 2 2 2 2 71" xfId="1104" xr:uid="{00000000-0005-0000-0000-00007B0A0000}"/>
    <cellStyle name="Normal 2 2 2 2 2 2 2 2 2 72" xfId="1105" xr:uid="{00000000-0005-0000-0000-00007C0A0000}"/>
    <cellStyle name="Normal 2 2 2 2 2 2 2 2 2 73" xfId="1106" xr:uid="{00000000-0005-0000-0000-00007D0A0000}"/>
    <cellStyle name="Normal 2 2 2 2 2 2 2 2 2 74" xfId="1107" xr:uid="{00000000-0005-0000-0000-00007E0A0000}"/>
    <cellStyle name="Normal 2 2 2 2 2 2 2 2 2 75" xfId="1108" xr:uid="{00000000-0005-0000-0000-00007F0A0000}"/>
    <cellStyle name="Normal 2 2 2 2 2 2 2 2 2 76" xfId="1109" xr:uid="{00000000-0005-0000-0000-0000800A0000}"/>
    <cellStyle name="Normal 2 2 2 2 2 2 2 2 2 77" xfId="1110" xr:uid="{00000000-0005-0000-0000-0000810A0000}"/>
    <cellStyle name="Normal 2 2 2 2 2 2 2 2 2 78" xfId="1111" xr:uid="{00000000-0005-0000-0000-0000820A0000}"/>
    <cellStyle name="Normal 2 2 2 2 2 2 2 2 2 79" xfId="1112" xr:uid="{00000000-0005-0000-0000-0000830A0000}"/>
    <cellStyle name="Normal 2 2 2 2 2 2 2 2 2 8" xfId="1113" xr:uid="{00000000-0005-0000-0000-0000840A0000}"/>
    <cellStyle name="Normal 2 2 2 2 2 2 2 2 2 80" xfId="1114" xr:uid="{00000000-0005-0000-0000-0000850A0000}"/>
    <cellStyle name="Normal 2 2 2 2 2 2 2 2 2 81" xfId="1115" xr:uid="{00000000-0005-0000-0000-0000860A0000}"/>
    <cellStyle name="Normal 2 2 2 2 2 2 2 2 2 82" xfId="1116" xr:uid="{00000000-0005-0000-0000-0000870A0000}"/>
    <cellStyle name="Normal 2 2 2 2 2 2 2 2 2 83" xfId="1117" xr:uid="{00000000-0005-0000-0000-0000880A0000}"/>
    <cellStyle name="Normal 2 2 2 2 2 2 2 2 2 84" xfId="1118" xr:uid="{00000000-0005-0000-0000-0000890A0000}"/>
    <cellStyle name="Normal 2 2 2 2 2 2 2 2 2 85" xfId="1119" xr:uid="{00000000-0005-0000-0000-00008A0A0000}"/>
    <cellStyle name="Normal 2 2 2 2 2 2 2 2 2 86" xfId="1120" xr:uid="{00000000-0005-0000-0000-00008B0A0000}"/>
    <cellStyle name="Normal 2 2 2 2 2 2 2 2 2 87" xfId="1121" xr:uid="{00000000-0005-0000-0000-00008C0A0000}"/>
    <cellStyle name="Normal 2 2 2 2 2 2 2 2 2 88" xfId="1122" xr:uid="{00000000-0005-0000-0000-00008D0A0000}"/>
    <cellStyle name="Normal 2 2 2 2 2 2 2 2 2 89" xfId="1123" xr:uid="{00000000-0005-0000-0000-00008E0A0000}"/>
    <cellStyle name="Normal 2 2 2 2 2 2 2 2 2 9" xfId="1124" xr:uid="{00000000-0005-0000-0000-00008F0A0000}"/>
    <cellStyle name="Normal 2 2 2 2 2 2 2 2 2 90" xfId="1125" xr:uid="{00000000-0005-0000-0000-0000900A0000}"/>
    <cellStyle name="Normal 2 2 2 2 2 2 2 2 2 91" xfId="1126" xr:uid="{00000000-0005-0000-0000-0000910A0000}"/>
    <cellStyle name="Normal 2 2 2 2 2 2 2 2 2 92" xfId="1127" xr:uid="{00000000-0005-0000-0000-0000920A0000}"/>
    <cellStyle name="Normal 2 2 2 2 2 2 2 2 2 93" xfId="1128" xr:uid="{00000000-0005-0000-0000-0000930A0000}"/>
    <cellStyle name="Normal 2 2 2 2 2 2 2 2 2 94" xfId="1129" xr:uid="{00000000-0005-0000-0000-0000940A0000}"/>
    <cellStyle name="Normal 2 2 2 2 2 2 2 2 2 95" xfId="1130" xr:uid="{00000000-0005-0000-0000-0000950A0000}"/>
    <cellStyle name="Normal 2 2 2 2 2 2 2 2 2 96" xfId="1131" xr:uid="{00000000-0005-0000-0000-0000960A0000}"/>
    <cellStyle name="Normal 2 2 2 2 2 2 2 2 2 97" xfId="1132" xr:uid="{00000000-0005-0000-0000-0000970A0000}"/>
    <cellStyle name="Normal 2 2 2 2 2 2 2 2 2 98" xfId="1133" xr:uid="{00000000-0005-0000-0000-0000980A0000}"/>
    <cellStyle name="Normal 2 2 2 2 2 2 2 2 2 99" xfId="1134" xr:uid="{00000000-0005-0000-0000-0000990A0000}"/>
    <cellStyle name="Normal 2 2 2 2 2 2 2 2 20" xfId="1135" xr:uid="{00000000-0005-0000-0000-00009A0A0000}"/>
    <cellStyle name="Normal 2 2 2 2 2 2 2 2 21" xfId="1136" xr:uid="{00000000-0005-0000-0000-00009B0A0000}"/>
    <cellStyle name="Normal 2 2 2 2 2 2 2 2 22" xfId="1137" xr:uid="{00000000-0005-0000-0000-00009C0A0000}"/>
    <cellStyle name="Normal 2 2 2 2 2 2 2 2 23" xfId="1138" xr:uid="{00000000-0005-0000-0000-00009D0A0000}"/>
    <cellStyle name="Normal 2 2 2 2 2 2 2 2 24" xfId="1139" xr:uid="{00000000-0005-0000-0000-00009E0A0000}"/>
    <cellStyle name="Normal 2 2 2 2 2 2 2 2 25" xfId="1140" xr:uid="{00000000-0005-0000-0000-00009F0A0000}"/>
    <cellStyle name="Normal 2 2 2 2 2 2 2 2 26" xfId="1141" xr:uid="{00000000-0005-0000-0000-0000A00A0000}"/>
    <cellStyle name="Normal 2 2 2 2 2 2 2 2 27" xfId="1142" xr:uid="{00000000-0005-0000-0000-0000A10A0000}"/>
    <cellStyle name="Normal 2 2 2 2 2 2 2 2 28" xfId="1143" xr:uid="{00000000-0005-0000-0000-0000A20A0000}"/>
    <cellStyle name="Normal 2 2 2 2 2 2 2 2 29" xfId="1144" xr:uid="{00000000-0005-0000-0000-0000A30A0000}"/>
    <cellStyle name="Normal 2 2 2 2 2 2 2 2 3" xfId="1145" xr:uid="{00000000-0005-0000-0000-0000A40A0000}"/>
    <cellStyle name="Normal 2 2 2 2 2 2 2 2 30" xfId="1146" xr:uid="{00000000-0005-0000-0000-0000A50A0000}"/>
    <cellStyle name="Normal 2 2 2 2 2 2 2 2 31" xfId="1147" xr:uid="{00000000-0005-0000-0000-0000A60A0000}"/>
    <cellStyle name="Normal 2 2 2 2 2 2 2 2 32" xfId="1148" xr:uid="{00000000-0005-0000-0000-0000A70A0000}"/>
    <cellStyle name="Normal 2 2 2 2 2 2 2 2 33" xfId="1149" xr:uid="{00000000-0005-0000-0000-0000A80A0000}"/>
    <cellStyle name="Normal 2 2 2 2 2 2 2 2 34" xfId="1150" xr:uid="{00000000-0005-0000-0000-0000A90A0000}"/>
    <cellStyle name="Normal 2 2 2 2 2 2 2 2 35" xfId="1151" xr:uid="{00000000-0005-0000-0000-0000AA0A0000}"/>
    <cellStyle name="Normal 2 2 2 2 2 2 2 2 36" xfId="1152" xr:uid="{00000000-0005-0000-0000-0000AB0A0000}"/>
    <cellStyle name="Normal 2 2 2 2 2 2 2 2 37" xfId="1153" xr:uid="{00000000-0005-0000-0000-0000AC0A0000}"/>
    <cellStyle name="Normal 2 2 2 2 2 2 2 2 38" xfId="1154" xr:uid="{00000000-0005-0000-0000-0000AD0A0000}"/>
    <cellStyle name="Normal 2 2 2 2 2 2 2 2 39" xfId="1155" xr:uid="{00000000-0005-0000-0000-0000AE0A0000}"/>
    <cellStyle name="Normal 2 2 2 2 2 2 2 2 4" xfId="1156" xr:uid="{00000000-0005-0000-0000-0000AF0A0000}"/>
    <cellStyle name="Normal 2 2 2 2 2 2 2 2 40" xfId="1157" xr:uid="{00000000-0005-0000-0000-0000B00A0000}"/>
    <cellStyle name="Normal 2 2 2 2 2 2 2 2 41" xfId="1158" xr:uid="{00000000-0005-0000-0000-0000B10A0000}"/>
    <cellStyle name="Normal 2 2 2 2 2 2 2 2 42" xfId="1159" xr:uid="{00000000-0005-0000-0000-0000B20A0000}"/>
    <cellStyle name="Normal 2 2 2 2 2 2 2 2 43" xfId="1160" xr:uid="{00000000-0005-0000-0000-0000B30A0000}"/>
    <cellStyle name="Normal 2 2 2 2 2 2 2 2 44" xfId="1161" xr:uid="{00000000-0005-0000-0000-0000B40A0000}"/>
    <cellStyle name="Normal 2 2 2 2 2 2 2 2 45" xfId="1162" xr:uid="{00000000-0005-0000-0000-0000B50A0000}"/>
    <cellStyle name="Normal 2 2 2 2 2 2 2 2 46" xfId="1163" xr:uid="{00000000-0005-0000-0000-0000B60A0000}"/>
    <cellStyle name="Normal 2 2 2 2 2 2 2 2 47" xfId="1164" xr:uid="{00000000-0005-0000-0000-0000B70A0000}"/>
    <cellStyle name="Normal 2 2 2 2 2 2 2 2 48" xfId="1165" xr:uid="{00000000-0005-0000-0000-0000B80A0000}"/>
    <cellStyle name="Normal 2 2 2 2 2 2 2 2 49" xfId="1166" xr:uid="{00000000-0005-0000-0000-0000B90A0000}"/>
    <cellStyle name="Normal 2 2 2 2 2 2 2 2 5" xfId="1167" xr:uid="{00000000-0005-0000-0000-0000BA0A0000}"/>
    <cellStyle name="Normal 2 2 2 2 2 2 2 2 50" xfId="1168" xr:uid="{00000000-0005-0000-0000-0000BB0A0000}"/>
    <cellStyle name="Normal 2 2 2 2 2 2 2 2 51" xfId="1169" xr:uid="{00000000-0005-0000-0000-0000BC0A0000}"/>
    <cellStyle name="Normal 2 2 2 2 2 2 2 2 52" xfId="1170" xr:uid="{00000000-0005-0000-0000-0000BD0A0000}"/>
    <cellStyle name="Normal 2 2 2 2 2 2 2 2 53" xfId="1171" xr:uid="{00000000-0005-0000-0000-0000BE0A0000}"/>
    <cellStyle name="Normal 2 2 2 2 2 2 2 2 54" xfId="1172" xr:uid="{00000000-0005-0000-0000-0000BF0A0000}"/>
    <cellStyle name="Normal 2 2 2 2 2 2 2 2 55" xfId="1173" xr:uid="{00000000-0005-0000-0000-0000C00A0000}"/>
    <cellStyle name="Normal 2 2 2 2 2 2 2 2 56" xfId="1174" xr:uid="{00000000-0005-0000-0000-0000C10A0000}"/>
    <cellStyle name="Normal 2 2 2 2 2 2 2 2 57" xfId="1175" xr:uid="{00000000-0005-0000-0000-0000C20A0000}"/>
    <cellStyle name="Normal 2 2 2 2 2 2 2 2 58" xfId="1176" xr:uid="{00000000-0005-0000-0000-0000C30A0000}"/>
    <cellStyle name="Normal 2 2 2 2 2 2 2 2 59" xfId="1177" xr:uid="{00000000-0005-0000-0000-0000C40A0000}"/>
    <cellStyle name="Normal 2 2 2 2 2 2 2 2 6" xfId="1178" xr:uid="{00000000-0005-0000-0000-0000C50A0000}"/>
    <cellStyle name="Normal 2 2 2 2 2 2 2 2 60" xfId="1179" xr:uid="{00000000-0005-0000-0000-0000C60A0000}"/>
    <cellStyle name="Normal 2 2 2 2 2 2 2 2 61" xfId="1180" xr:uid="{00000000-0005-0000-0000-0000C70A0000}"/>
    <cellStyle name="Normal 2 2 2 2 2 2 2 2 62" xfId="1181" xr:uid="{00000000-0005-0000-0000-0000C80A0000}"/>
    <cellStyle name="Normal 2 2 2 2 2 2 2 2 63" xfId="1182" xr:uid="{00000000-0005-0000-0000-0000C90A0000}"/>
    <cellStyle name="Normal 2 2 2 2 2 2 2 2 64" xfId="1183" xr:uid="{00000000-0005-0000-0000-0000CA0A0000}"/>
    <cellStyle name="Normal 2 2 2 2 2 2 2 2 65" xfId="1184" xr:uid="{00000000-0005-0000-0000-0000CB0A0000}"/>
    <cellStyle name="Normal 2 2 2 2 2 2 2 2 66" xfId="1185" xr:uid="{00000000-0005-0000-0000-0000CC0A0000}"/>
    <cellStyle name="Normal 2 2 2 2 2 2 2 2 67" xfId="1186" xr:uid="{00000000-0005-0000-0000-0000CD0A0000}"/>
    <cellStyle name="Normal 2 2 2 2 2 2 2 2 68" xfId="1187" xr:uid="{00000000-0005-0000-0000-0000CE0A0000}"/>
    <cellStyle name="Normal 2 2 2 2 2 2 2 2 69" xfId="1188" xr:uid="{00000000-0005-0000-0000-0000CF0A0000}"/>
    <cellStyle name="Normal 2 2 2 2 2 2 2 2 7" xfId="1189" xr:uid="{00000000-0005-0000-0000-0000D00A0000}"/>
    <cellStyle name="Normal 2 2 2 2 2 2 2 2 70" xfId="1190" xr:uid="{00000000-0005-0000-0000-0000D10A0000}"/>
    <cellStyle name="Normal 2 2 2 2 2 2 2 2 71" xfId="1191" xr:uid="{00000000-0005-0000-0000-0000D20A0000}"/>
    <cellStyle name="Normal 2 2 2 2 2 2 2 2 72" xfId="1192" xr:uid="{00000000-0005-0000-0000-0000D30A0000}"/>
    <cellStyle name="Normal 2 2 2 2 2 2 2 2 73" xfId="1193" xr:uid="{00000000-0005-0000-0000-0000D40A0000}"/>
    <cellStyle name="Normal 2 2 2 2 2 2 2 2 74" xfId="1194" xr:uid="{00000000-0005-0000-0000-0000D50A0000}"/>
    <cellStyle name="Normal 2 2 2 2 2 2 2 2 75" xfId="1195" xr:uid="{00000000-0005-0000-0000-0000D60A0000}"/>
    <cellStyle name="Normal 2 2 2 2 2 2 2 2 76" xfId="1196" xr:uid="{00000000-0005-0000-0000-0000D70A0000}"/>
    <cellStyle name="Normal 2 2 2 2 2 2 2 2 77" xfId="1197" xr:uid="{00000000-0005-0000-0000-0000D80A0000}"/>
    <cellStyle name="Normal 2 2 2 2 2 2 2 2 78" xfId="1198" xr:uid="{00000000-0005-0000-0000-0000D90A0000}"/>
    <cellStyle name="Normal 2 2 2 2 2 2 2 2 79" xfId="1199" xr:uid="{00000000-0005-0000-0000-0000DA0A0000}"/>
    <cellStyle name="Normal 2 2 2 2 2 2 2 2 8" xfId="1200" xr:uid="{00000000-0005-0000-0000-0000DB0A0000}"/>
    <cellStyle name="Normal 2 2 2 2 2 2 2 2 80" xfId="1201" xr:uid="{00000000-0005-0000-0000-0000DC0A0000}"/>
    <cellStyle name="Normal 2 2 2 2 2 2 2 2 81" xfId="1202" xr:uid="{00000000-0005-0000-0000-0000DD0A0000}"/>
    <cellStyle name="Normal 2 2 2 2 2 2 2 2 82" xfId="1203" xr:uid="{00000000-0005-0000-0000-0000DE0A0000}"/>
    <cellStyle name="Normal 2 2 2 2 2 2 2 2 83" xfId="1204" xr:uid="{00000000-0005-0000-0000-0000DF0A0000}"/>
    <cellStyle name="Normal 2 2 2 2 2 2 2 2 84" xfId="1205" xr:uid="{00000000-0005-0000-0000-0000E00A0000}"/>
    <cellStyle name="Normal 2 2 2 2 2 2 2 2 85" xfId="1206" xr:uid="{00000000-0005-0000-0000-0000E10A0000}"/>
    <cellStyle name="Normal 2 2 2 2 2 2 2 2 86" xfId="1207" xr:uid="{00000000-0005-0000-0000-0000E20A0000}"/>
    <cellStyle name="Normal 2 2 2 2 2 2 2 2 87" xfId="1208" xr:uid="{00000000-0005-0000-0000-0000E30A0000}"/>
    <cellStyle name="Normal 2 2 2 2 2 2 2 2 88" xfId="1209" xr:uid="{00000000-0005-0000-0000-0000E40A0000}"/>
    <cellStyle name="Normal 2 2 2 2 2 2 2 2 89" xfId="1210" xr:uid="{00000000-0005-0000-0000-0000E50A0000}"/>
    <cellStyle name="Normal 2 2 2 2 2 2 2 2 9" xfId="1211" xr:uid="{00000000-0005-0000-0000-0000E60A0000}"/>
    <cellStyle name="Normal 2 2 2 2 2 2 2 2 90" xfId="1212" xr:uid="{00000000-0005-0000-0000-0000E70A0000}"/>
    <cellStyle name="Normal 2 2 2 2 2 2 2 2 91" xfId="1213" xr:uid="{00000000-0005-0000-0000-0000E80A0000}"/>
    <cellStyle name="Normal 2 2 2 2 2 2 2 2 92" xfId="1214" xr:uid="{00000000-0005-0000-0000-0000E90A0000}"/>
    <cellStyle name="Normal 2 2 2 2 2 2 2 2 93" xfId="1215" xr:uid="{00000000-0005-0000-0000-0000EA0A0000}"/>
    <cellStyle name="Normal 2 2 2 2 2 2 2 2 94" xfId="1216" xr:uid="{00000000-0005-0000-0000-0000EB0A0000}"/>
    <cellStyle name="Normal 2 2 2 2 2 2 2 2 95" xfId="1217" xr:uid="{00000000-0005-0000-0000-0000EC0A0000}"/>
    <cellStyle name="Normal 2 2 2 2 2 2 2 2 96" xfId="1218" xr:uid="{00000000-0005-0000-0000-0000ED0A0000}"/>
    <cellStyle name="Normal 2 2 2 2 2 2 2 2 97" xfId="1219" xr:uid="{00000000-0005-0000-0000-0000EE0A0000}"/>
    <cellStyle name="Normal 2 2 2 2 2 2 2 2 98" xfId="1220" xr:uid="{00000000-0005-0000-0000-0000EF0A0000}"/>
    <cellStyle name="Normal 2 2 2 2 2 2 2 2 99" xfId="1221" xr:uid="{00000000-0005-0000-0000-0000F00A0000}"/>
    <cellStyle name="Normal 2 2 2 2 2 2 2 20" xfId="1222" xr:uid="{00000000-0005-0000-0000-0000F10A0000}"/>
    <cellStyle name="Normal 2 2 2 2 2 2 2 21" xfId="1223" xr:uid="{00000000-0005-0000-0000-0000F20A0000}"/>
    <cellStyle name="Normal 2 2 2 2 2 2 2 22" xfId="1224" xr:uid="{00000000-0005-0000-0000-0000F30A0000}"/>
    <cellStyle name="Normal 2 2 2 2 2 2 2 23" xfId="1225" xr:uid="{00000000-0005-0000-0000-0000F40A0000}"/>
    <cellStyle name="Normal 2 2 2 2 2 2 2 24" xfId="1226" xr:uid="{00000000-0005-0000-0000-0000F50A0000}"/>
    <cellStyle name="Normal 2 2 2 2 2 2 2 25" xfId="1227" xr:uid="{00000000-0005-0000-0000-0000F60A0000}"/>
    <cellStyle name="Normal 2 2 2 2 2 2 2 26" xfId="1228" xr:uid="{00000000-0005-0000-0000-0000F70A0000}"/>
    <cellStyle name="Normal 2 2 2 2 2 2 2 27" xfId="1229" xr:uid="{00000000-0005-0000-0000-0000F80A0000}"/>
    <cellStyle name="Normal 2 2 2 2 2 2 2 28" xfId="1230" xr:uid="{00000000-0005-0000-0000-0000F90A0000}"/>
    <cellStyle name="Normal 2 2 2 2 2 2 2 29" xfId="1231" xr:uid="{00000000-0005-0000-0000-0000FA0A0000}"/>
    <cellStyle name="Normal 2 2 2 2 2 2 2 3" xfId="1232" xr:uid="{00000000-0005-0000-0000-0000FB0A0000}"/>
    <cellStyle name="Normal 2 2 2 2 2 2 2 3 10" xfId="1233" xr:uid="{00000000-0005-0000-0000-0000FC0A0000}"/>
    <cellStyle name="Normal 2 2 2 2 2 2 2 3 100" xfId="1234" xr:uid="{00000000-0005-0000-0000-0000FD0A0000}"/>
    <cellStyle name="Normal 2 2 2 2 2 2 2 3 101" xfId="1235" xr:uid="{00000000-0005-0000-0000-0000FE0A0000}"/>
    <cellStyle name="Normal 2 2 2 2 2 2 2 3 102" xfId="1236" xr:uid="{00000000-0005-0000-0000-0000FF0A0000}"/>
    <cellStyle name="Normal 2 2 2 2 2 2 2 3 103" xfId="1237" xr:uid="{00000000-0005-0000-0000-0000000B0000}"/>
    <cellStyle name="Normal 2 2 2 2 2 2 2 3 104" xfId="1238" xr:uid="{00000000-0005-0000-0000-0000010B0000}"/>
    <cellStyle name="Normal 2 2 2 2 2 2 2 3 105" xfId="1239" xr:uid="{00000000-0005-0000-0000-0000020B0000}"/>
    <cellStyle name="Normal 2 2 2 2 2 2 2 3 106" xfId="1240" xr:uid="{00000000-0005-0000-0000-0000030B0000}"/>
    <cellStyle name="Normal 2 2 2 2 2 2 2 3 107" xfId="1241" xr:uid="{00000000-0005-0000-0000-0000040B0000}"/>
    <cellStyle name="Normal 2 2 2 2 2 2 2 3 108" xfId="1242" xr:uid="{00000000-0005-0000-0000-0000050B0000}"/>
    <cellStyle name="Normal 2 2 2 2 2 2 2 3 109" xfId="1243" xr:uid="{00000000-0005-0000-0000-0000060B0000}"/>
    <cellStyle name="Normal 2 2 2 2 2 2 2 3 11" xfId="1244" xr:uid="{00000000-0005-0000-0000-0000070B0000}"/>
    <cellStyle name="Normal 2 2 2 2 2 2 2 3 110" xfId="1245" xr:uid="{00000000-0005-0000-0000-0000080B0000}"/>
    <cellStyle name="Normal 2 2 2 2 2 2 2 3 12" xfId="1246" xr:uid="{00000000-0005-0000-0000-0000090B0000}"/>
    <cellStyle name="Normal 2 2 2 2 2 2 2 3 13" xfId="1247" xr:uid="{00000000-0005-0000-0000-00000A0B0000}"/>
    <cellStyle name="Normal 2 2 2 2 2 2 2 3 14" xfId="1248" xr:uid="{00000000-0005-0000-0000-00000B0B0000}"/>
    <cellStyle name="Normal 2 2 2 2 2 2 2 3 15" xfId="1249" xr:uid="{00000000-0005-0000-0000-00000C0B0000}"/>
    <cellStyle name="Normal 2 2 2 2 2 2 2 3 16" xfId="1250" xr:uid="{00000000-0005-0000-0000-00000D0B0000}"/>
    <cellStyle name="Normal 2 2 2 2 2 2 2 3 17" xfId="1251" xr:uid="{00000000-0005-0000-0000-00000E0B0000}"/>
    <cellStyle name="Normal 2 2 2 2 2 2 2 3 18" xfId="1252" xr:uid="{00000000-0005-0000-0000-00000F0B0000}"/>
    <cellStyle name="Normal 2 2 2 2 2 2 2 3 19" xfId="1253" xr:uid="{00000000-0005-0000-0000-0000100B0000}"/>
    <cellStyle name="Normal 2 2 2 2 2 2 2 3 2" xfId="1254" xr:uid="{00000000-0005-0000-0000-0000110B0000}"/>
    <cellStyle name="Normal 2 2 2 2 2 2 2 3 20" xfId="1255" xr:uid="{00000000-0005-0000-0000-0000120B0000}"/>
    <cellStyle name="Normal 2 2 2 2 2 2 2 3 21" xfId="1256" xr:uid="{00000000-0005-0000-0000-0000130B0000}"/>
    <cellStyle name="Normal 2 2 2 2 2 2 2 3 22" xfId="1257" xr:uid="{00000000-0005-0000-0000-0000140B0000}"/>
    <cellStyle name="Normal 2 2 2 2 2 2 2 3 23" xfId="1258" xr:uid="{00000000-0005-0000-0000-0000150B0000}"/>
    <cellStyle name="Normal 2 2 2 2 2 2 2 3 24" xfId="1259" xr:uid="{00000000-0005-0000-0000-0000160B0000}"/>
    <cellStyle name="Normal 2 2 2 2 2 2 2 3 25" xfId="1260" xr:uid="{00000000-0005-0000-0000-0000170B0000}"/>
    <cellStyle name="Normal 2 2 2 2 2 2 2 3 26" xfId="1261" xr:uid="{00000000-0005-0000-0000-0000180B0000}"/>
    <cellStyle name="Normal 2 2 2 2 2 2 2 3 27" xfId="1262" xr:uid="{00000000-0005-0000-0000-0000190B0000}"/>
    <cellStyle name="Normal 2 2 2 2 2 2 2 3 28" xfId="1263" xr:uid="{00000000-0005-0000-0000-00001A0B0000}"/>
    <cellStyle name="Normal 2 2 2 2 2 2 2 3 29" xfId="1264" xr:uid="{00000000-0005-0000-0000-00001B0B0000}"/>
    <cellStyle name="Normal 2 2 2 2 2 2 2 3 3" xfId="1265" xr:uid="{00000000-0005-0000-0000-00001C0B0000}"/>
    <cellStyle name="Normal 2 2 2 2 2 2 2 3 30" xfId="1266" xr:uid="{00000000-0005-0000-0000-00001D0B0000}"/>
    <cellStyle name="Normal 2 2 2 2 2 2 2 3 31" xfId="1267" xr:uid="{00000000-0005-0000-0000-00001E0B0000}"/>
    <cellStyle name="Normal 2 2 2 2 2 2 2 3 32" xfId="1268" xr:uid="{00000000-0005-0000-0000-00001F0B0000}"/>
    <cellStyle name="Normal 2 2 2 2 2 2 2 3 33" xfId="1269" xr:uid="{00000000-0005-0000-0000-0000200B0000}"/>
    <cellStyle name="Normal 2 2 2 2 2 2 2 3 34" xfId="1270" xr:uid="{00000000-0005-0000-0000-0000210B0000}"/>
    <cellStyle name="Normal 2 2 2 2 2 2 2 3 35" xfId="1271" xr:uid="{00000000-0005-0000-0000-0000220B0000}"/>
    <cellStyle name="Normal 2 2 2 2 2 2 2 3 36" xfId="1272" xr:uid="{00000000-0005-0000-0000-0000230B0000}"/>
    <cellStyle name="Normal 2 2 2 2 2 2 2 3 37" xfId="1273" xr:uid="{00000000-0005-0000-0000-0000240B0000}"/>
    <cellStyle name="Normal 2 2 2 2 2 2 2 3 38" xfId="1274" xr:uid="{00000000-0005-0000-0000-0000250B0000}"/>
    <cellStyle name="Normal 2 2 2 2 2 2 2 3 39" xfId="1275" xr:uid="{00000000-0005-0000-0000-0000260B0000}"/>
    <cellStyle name="Normal 2 2 2 2 2 2 2 3 4" xfId="1276" xr:uid="{00000000-0005-0000-0000-0000270B0000}"/>
    <cellStyle name="Normal 2 2 2 2 2 2 2 3 40" xfId="1277" xr:uid="{00000000-0005-0000-0000-0000280B0000}"/>
    <cellStyle name="Normal 2 2 2 2 2 2 2 3 41" xfId="1278" xr:uid="{00000000-0005-0000-0000-0000290B0000}"/>
    <cellStyle name="Normal 2 2 2 2 2 2 2 3 42" xfId="1279" xr:uid="{00000000-0005-0000-0000-00002A0B0000}"/>
    <cellStyle name="Normal 2 2 2 2 2 2 2 3 43" xfId="1280" xr:uid="{00000000-0005-0000-0000-00002B0B0000}"/>
    <cellStyle name="Normal 2 2 2 2 2 2 2 3 44" xfId="1281" xr:uid="{00000000-0005-0000-0000-00002C0B0000}"/>
    <cellStyle name="Normal 2 2 2 2 2 2 2 3 45" xfId="1282" xr:uid="{00000000-0005-0000-0000-00002D0B0000}"/>
    <cellStyle name="Normal 2 2 2 2 2 2 2 3 46" xfId="1283" xr:uid="{00000000-0005-0000-0000-00002E0B0000}"/>
    <cellStyle name="Normal 2 2 2 2 2 2 2 3 47" xfId="1284" xr:uid="{00000000-0005-0000-0000-00002F0B0000}"/>
    <cellStyle name="Normal 2 2 2 2 2 2 2 3 48" xfId="1285" xr:uid="{00000000-0005-0000-0000-0000300B0000}"/>
    <cellStyle name="Normal 2 2 2 2 2 2 2 3 49" xfId="1286" xr:uid="{00000000-0005-0000-0000-0000310B0000}"/>
    <cellStyle name="Normal 2 2 2 2 2 2 2 3 5" xfId="1287" xr:uid="{00000000-0005-0000-0000-0000320B0000}"/>
    <cellStyle name="Normal 2 2 2 2 2 2 2 3 50" xfId="1288" xr:uid="{00000000-0005-0000-0000-0000330B0000}"/>
    <cellStyle name="Normal 2 2 2 2 2 2 2 3 51" xfId="1289" xr:uid="{00000000-0005-0000-0000-0000340B0000}"/>
    <cellStyle name="Normal 2 2 2 2 2 2 2 3 52" xfId="1290" xr:uid="{00000000-0005-0000-0000-0000350B0000}"/>
    <cellStyle name="Normal 2 2 2 2 2 2 2 3 53" xfId="1291" xr:uid="{00000000-0005-0000-0000-0000360B0000}"/>
    <cellStyle name="Normal 2 2 2 2 2 2 2 3 54" xfId="1292" xr:uid="{00000000-0005-0000-0000-0000370B0000}"/>
    <cellStyle name="Normal 2 2 2 2 2 2 2 3 55" xfId="1293" xr:uid="{00000000-0005-0000-0000-0000380B0000}"/>
    <cellStyle name="Normal 2 2 2 2 2 2 2 3 56" xfId="1294" xr:uid="{00000000-0005-0000-0000-0000390B0000}"/>
    <cellStyle name="Normal 2 2 2 2 2 2 2 3 57" xfId="1295" xr:uid="{00000000-0005-0000-0000-00003A0B0000}"/>
    <cellStyle name="Normal 2 2 2 2 2 2 2 3 58" xfId="1296" xr:uid="{00000000-0005-0000-0000-00003B0B0000}"/>
    <cellStyle name="Normal 2 2 2 2 2 2 2 3 59" xfId="1297" xr:uid="{00000000-0005-0000-0000-00003C0B0000}"/>
    <cellStyle name="Normal 2 2 2 2 2 2 2 3 6" xfId="1298" xr:uid="{00000000-0005-0000-0000-00003D0B0000}"/>
    <cellStyle name="Normal 2 2 2 2 2 2 2 3 60" xfId="1299" xr:uid="{00000000-0005-0000-0000-00003E0B0000}"/>
    <cellStyle name="Normal 2 2 2 2 2 2 2 3 61" xfId="1300" xr:uid="{00000000-0005-0000-0000-00003F0B0000}"/>
    <cellStyle name="Normal 2 2 2 2 2 2 2 3 62" xfId="1301" xr:uid="{00000000-0005-0000-0000-0000400B0000}"/>
    <cellStyle name="Normal 2 2 2 2 2 2 2 3 63" xfId="1302" xr:uid="{00000000-0005-0000-0000-0000410B0000}"/>
    <cellStyle name="Normal 2 2 2 2 2 2 2 3 64" xfId="1303" xr:uid="{00000000-0005-0000-0000-0000420B0000}"/>
    <cellStyle name="Normal 2 2 2 2 2 2 2 3 65" xfId="1304" xr:uid="{00000000-0005-0000-0000-0000430B0000}"/>
    <cellStyle name="Normal 2 2 2 2 2 2 2 3 66" xfId="1305" xr:uid="{00000000-0005-0000-0000-0000440B0000}"/>
    <cellStyle name="Normal 2 2 2 2 2 2 2 3 67" xfId="1306" xr:uid="{00000000-0005-0000-0000-0000450B0000}"/>
    <cellStyle name="Normal 2 2 2 2 2 2 2 3 68" xfId="1307" xr:uid="{00000000-0005-0000-0000-0000460B0000}"/>
    <cellStyle name="Normal 2 2 2 2 2 2 2 3 69" xfId="1308" xr:uid="{00000000-0005-0000-0000-0000470B0000}"/>
    <cellStyle name="Normal 2 2 2 2 2 2 2 3 7" xfId="1309" xr:uid="{00000000-0005-0000-0000-0000480B0000}"/>
    <cellStyle name="Normal 2 2 2 2 2 2 2 3 70" xfId="1310" xr:uid="{00000000-0005-0000-0000-0000490B0000}"/>
    <cellStyle name="Normal 2 2 2 2 2 2 2 3 71" xfId="1311" xr:uid="{00000000-0005-0000-0000-00004A0B0000}"/>
    <cellStyle name="Normal 2 2 2 2 2 2 2 3 72" xfId="1312" xr:uid="{00000000-0005-0000-0000-00004B0B0000}"/>
    <cellStyle name="Normal 2 2 2 2 2 2 2 3 73" xfId="1313" xr:uid="{00000000-0005-0000-0000-00004C0B0000}"/>
    <cellStyle name="Normal 2 2 2 2 2 2 2 3 74" xfId="1314" xr:uid="{00000000-0005-0000-0000-00004D0B0000}"/>
    <cellStyle name="Normal 2 2 2 2 2 2 2 3 75" xfId="1315" xr:uid="{00000000-0005-0000-0000-00004E0B0000}"/>
    <cellStyle name="Normal 2 2 2 2 2 2 2 3 76" xfId="1316" xr:uid="{00000000-0005-0000-0000-00004F0B0000}"/>
    <cellStyle name="Normal 2 2 2 2 2 2 2 3 77" xfId="1317" xr:uid="{00000000-0005-0000-0000-0000500B0000}"/>
    <cellStyle name="Normal 2 2 2 2 2 2 2 3 78" xfId="1318" xr:uid="{00000000-0005-0000-0000-0000510B0000}"/>
    <cellStyle name="Normal 2 2 2 2 2 2 2 3 79" xfId="1319" xr:uid="{00000000-0005-0000-0000-0000520B0000}"/>
    <cellStyle name="Normal 2 2 2 2 2 2 2 3 8" xfId="1320" xr:uid="{00000000-0005-0000-0000-0000530B0000}"/>
    <cellStyle name="Normal 2 2 2 2 2 2 2 3 80" xfId="1321" xr:uid="{00000000-0005-0000-0000-0000540B0000}"/>
    <cellStyle name="Normal 2 2 2 2 2 2 2 3 81" xfId="1322" xr:uid="{00000000-0005-0000-0000-0000550B0000}"/>
    <cellStyle name="Normal 2 2 2 2 2 2 2 3 82" xfId="1323" xr:uid="{00000000-0005-0000-0000-0000560B0000}"/>
    <cellStyle name="Normal 2 2 2 2 2 2 2 3 83" xfId="1324" xr:uid="{00000000-0005-0000-0000-0000570B0000}"/>
    <cellStyle name="Normal 2 2 2 2 2 2 2 3 84" xfId="1325" xr:uid="{00000000-0005-0000-0000-0000580B0000}"/>
    <cellStyle name="Normal 2 2 2 2 2 2 2 3 85" xfId="1326" xr:uid="{00000000-0005-0000-0000-0000590B0000}"/>
    <cellStyle name="Normal 2 2 2 2 2 2 2 3 86" xfId="1327" xr:uid="{00000000-0005-0000-0000-00005A0B0000}"/>
    <cellStyle name="Normal 2 2 2 2 2 2 2 3 87" xfId="1328" xr:uid="{00000000-0005-0000-0000-00005B0B0000}"/>
    <cellStyle name="Normal 2 2 2 2 2 2 2 3 88" xfId="1329" xr:uid="{00000000-0005-0000-0000-00005C0B0000}"/>
    <cellStyle name="Normal 2 2 2 2 2 2 2 3 89" xfId="1330" xr:uid="{00000000-0005-0000-0000-00005D0B0000}"/>
    <cellStyle name="Normal 2 2 2 2 2 2 2 3 9" xfId="1331" xr:uid="{00000000-0005-0000-0000-00005E0B0000}"/>
    <cellStyle name="Normal 2 2 2 2 2 2 2 3 90" xfId="1332" xr:uid="{00000000-0005-0000-0000-00005F0B0000}"/>
    <cellStyle name="Normal 2 2 2 2 2 2 2 3 91" xfId="1333" xr:uid="{00000000-0005-0000-0000-0000600B0000}"/>
    <cellStyle name="Normal 2 2 2 2 2 2 2 3 92" xfId="1334" xr:uid="{00000000-0005-0000-0000-0000610B0000}"/>
    <cellStyle name="Normal 2 2 2 2 2 2 2 3 93" xfId="1335" xr:uid="{00000000-0005-0000-0000-0000620B0000}"/>
    <cellStyle name="Normal 2 2 2 2 2 2 2 3 94" xfId="1336" xr:uid="{00000000-0005-0000-0000-0000630B0000}"/>
    <cellStyle name="Normal 2 2 2 2 2 2 2 3 95" xfId="1337" xr:uid="{00000000-0005-0000-0000-0000640B0000}"/>
    <cellStyle name="Normal 2 2 2 2 2 2 2 3 96" xfId="1338" xr:uid="{00000000-0005-0000-0000-0000650B0000}"/>
    <cellStyle name="Normal 2 2 2 2 2 2 2 3 97" xfId="1339" xr:uid="{00000000-0005-0000-0000-0000660B0000}"/>
    <cellStyle name="Normal 2 2 2 2 2 2 2 3 98" xfId="1340" xr:uid="{00000000-0005-0000-0000-0000670B0000}"/>
    <cellStyle name="Normal 2 2 2 2 2 2 2 3 99" xfId="1341" xr:uid="{00000000-0005-0000-0000-0000680B0000}"/>
    <cellStyle name="Normal 2 2 2 2 2 2 2 30" xfId="1342" xr:uid="{00000000-0005-0000-0000-0000690B0000}"/>
    <cellStyle name="Normal 2 2 2 2 2 2 2 31" xfId="1343" xr:uid="{00000000-0005-0000-0000-00006A0B0000}"/>
    <cellStyle name="Normal 2 2 2 2 2 2 2 32" xfId="1344" xr:uid="{00000000-0005-0000-0000-00006B0B0000}"/>
    <cellStyle name="Normal 2 2 2 2 2 2 2 33" xfId="1345" xr:uid="{00000000-0005-0000-0000-00006C0B0000}"/>
    <cellStyle name="Normal 2 2 2 2 2 2 2 34" xfId="1346" xr:uid="{00000000-0005-0000-0000-00006D0B0000}"/>
    <cellStyle name="Normal 2 2 2 2 2 2 2 35" xfId="1347" xr:uid="{00000000-0005-0000-0000-00006E0B0000}"/>
    <cellStyle name="Normal 2 2 2 2 2 2 2 36" xfId="1348" xr:uid="{00000000-0005-0000-0000-00006F0B0000}"/>
    <cellStyle name="Normal 2 2 2 2 2 2 2 37" xfId="1349" xr:uid="{00000000-0005-0000-0000-0000700B0000}"/>
    <cellStyle name="Normal 2 2 2 2 2 2 2 38" xfId="1350" xr:uid="{00000000-0005-0000-0000-0000710B0000}"/>
    <cellStyle name="Normal 2 2 2 2 2 2 2 39" xfId="1351" xr:uid="{00000000-0005-0000-0000-0000720B0000}"/>
    <cellStyle name="Normal 2 2 2 2 2 2 2 4" xfId="1352" xr:uid="{00000000-0005-0000-0000-0000730B0000}"/>
    <cellStyle name="Normal 2 2 2 2 2 2 2 40" xfId="1353" xr:uid="{00000000-0005-0000-0000-0000740B0000}"/>
    <cellStyle name="Normal 2 2 2 2 2 2 2 41" xfId="1354" xr:uid="{00000000-0005-0000-0000-0000750B0000}"/>
    <cellStyle name="Normal 2 2 2 2 2 2 2 42" xfId="1355" xr:uid="{00000000-0005-0000-0000-0000760B0000}"/>
    <cellStyle name="Normal 2 2 2 2 2 2 2 43" xfId="1356" xr:uid="{00000000-0005-0000-0000-0000770B0000}"/>
    <cellStyle name="Normal 2 2 2 2 2 2 2 44" xfId="1357" xr:uid="{00000000-0005-0000-0000-0000780B0000}"/>
    <cellStyle name="Normal 2 2 2 2 2 2 2 45" xfId="1358" xr:uid="{00000000-0005-0000-0000-0000790B0000}"/>
    <cellStyle name="Normal 2 2 2 2 2 2 2 46" xfId="1359" xr:uid="{00000000-0005-0000-0000-00007A0B0000}"/>
    <cellStyle name="Normal 2 2 2 2 2 2 2 47" xfId="1360" xr:uid="{00000000-0005-0000-0000-00007B0B0000}"/>
    <cellStyle name="Normal 2 2 2 2 2 2 2 48" xfId="1361" xr:uid="{00000000-0005-0000-0000-00007C0B0000}"/>
    <cellStyle name="Normal 2 2 2 2 2 2 2 49" xfId="1362" xr:uid="{00000000-0005-0000-0000-00007D0B0000}"/>
    <cellStyle name="Normal 2 2 2 2 2 2 2 5" xfId="1363" xr:uid="{00000000-0005-0000-0000-00007E0B0000}"/>
    <cellStyle name="Normal 2 2 2 2 2 2 2 50" xfId="1364" xr:uid="{00000000-0005-0000-0000-00007F0B0000}"/>
    <cellStyle name="Normal 2 2 2 2 2 2 2 51" xfId="1365" xr:uid="{00000000-0005-0000-0000-0000800B0000}"/>
    <cellStyle name="Normal 2 2 2 2 2 2 2 52" xfId="1366" xr:uid="{00000000-0005-0000-0000-0000810B0000}"/>
    <cellStyle name="Normal 2 2 2 2 2 2 2 53" xfId="1367" xr:uid="{00000000-0005-0000-0000-0000820B0000}"/>
    <cellStyle name="Normal 2 2 2 2 2 2 2 54" xfId="1368" xr:uid="{00000000-0005-0000-0000-0000830B0000}"/>
    <cellStyle name="Normal 2 2 2 2 2 2 2 55" xfId="1369" xr:uid="{00000000-0005-0000-0000-0000840B0000}"/>
    <cellStyle name="Normal 2 2 2 2 2 2 2 56" xfId="1370" xr:uid="{00000000-0005-0000-0000-0000850B0000}"/>
    <cellStyle name="Normal 2 2 2 2 2 2 2 57" xfId="1371" xr:uid="{00000000-0005-0000-0000-0000860B0000}"/>
    <cellStyle name="Normal 2 2 2 2 2 2 2 58" xfId="1372" xr:uid="{00000000-0005-0000-0000-0000870B0000}"/>
    <cellStyle name="Normal 2 2 2 2 2 2 2 59" xfId="1373" xr:uid="{00000000-0005-0000-0000-0000880B0000}"/>
    <cellStyle name="Normal 2 2 2 2 2 2 2 6" xfId="1374" xr:uid="{00000000-0005-0000-0000-0000890B0000}"/>
    <cellStyle name="Normal 2 2 2 2 2 2 2 60" xfId="1375" xr:uid="{00000000-0005-0000-0000-00008A0B0000}"/>
    <cellStyle name="Normal 2 2 2 2 2 2 2 61" xfId="1376" xr:uid="{00000000-0005-0000-0000-00008B0B0000}"/>
    <cellStyle name="Normal 2 2 2 2 2 2 2 62" xfId="1377" xr:uid="{00000000-0005-0000-0000-00008C0B0000}"/>
    <cellStyle name="Normal 2 2 2 2 2 2 2 63" xfId="1378" xr:uid="{00000000-0005-0000-0000-00008D0B0000}"/>
    <cellStyle name="Normal 2 2 2 2 2 2 2 64" xfId="1379" xr:uid="{00000000-0005-0000-0000-00008E0B0000}"/>
    <cellStyle name="Normal 2 2 2 2 2 2 2 65" xfId="1380" xr:uid="{00000000-0005-0000-0000-00008F0B0000}"/>
    <cellStyle name="Normal 2 2 2 2 2 2 2 66" xfId="1381" xr:uid="{00000000-0005-0000-0000-0000900B0000}"/>
    <cellStyle name="Normal 2 2 2 2 2 2 2 67" xfId="1382" xr:uid="{00000000-0005-0000-0000-0000910B0000}"/>
    <cellStyle name="Normal 2 2 2 2 2 2 2 68" xfId="1383" xr:uid="{00000000-0005-0000-0000-0000920B0000}"/>
    <cellStyle name="Normal 2 2 2 2 2 2 2 69" xfId="1384" xr:uid="{00000000-0005-0000-0000-0000930B0000}"/>
    <cellStyle name="Normal 2 2 2 2 2 2 2 7" xfId="1385" xr:uid="{00000000-0005-0000-0000-0000940B0000}"/>
    <cellStyle name="Normal 2 2 2 2 2 2 2 70" xfId="1386" xr:uid="{00000000-0005-0000-0000-0000950B0000}"/>
    <cellStyle name="Normal 2 2 2 2 2 2 2 71" xfId="1387" xr:uid="{00000000-0005-0000-0000-0000960B0000}"/>
    <cellStyle name="Normal 2 2 2 2 2 2 2 72" xfId="1388" xr:uid="{00000000-0005-0000-0000-0000970B0000}"/>
    <cellStyle name="Normal 2 2 2 2 2 2 2 73" xfId="1389" xr:uid="{00000000-0005-0000-0000-0000980B0000}"/>
    <cellStyle name="Normal 2 2 2 2 2 2 2 74" xfId="1390" xr:uid="{00000000-0005-0000-0000-0000990B0000}"/>
    <cellStyle name="Normal 2 2 2 2 2 2 2 75" xfId="1391" xr:uid="{00000000-0005-0000-0000-00009A0B0000}"/>
    <cellStyle name="Normal 2 2 2 2 2 2 2 76" xfId="1392" xr:uid="{00000000-0005-0000-0000-00009B0B0000}"/>
    <cellStyle name="Normal 2 2 2 2 2 2 2 77" xfId="1393" xr:uid="{00000000-0005-0000-0000-00009C0B0000}"/>
    <cellStyle name="Normal 2 2 2 2 2 2 2 78" xfId="1394" xr:uid="{00000000-0005-0000-0000-00009D0B0000}"/>
    <cellStyle name="Normal 2 2 2 2 2 2 2 79" xfId="1395" xr:uid="{00000000-0005-0000-0000-00009E0B0000}"/>
    <cellStyle name="Normal 2 2 2 2 2 2 2 8" xfId="1396" xr:uid="{00000000-0005-0000-0000-00009F0B0000}"/>
    <cellStyle name="Normal 2 2 2 2 2 2 2 80" xfId="1397" xr:uid="{00000000-0005-0000-0000-0000A00B0000}"/>
    <cellStyle name="Normal 2 2 2 2 2 2 2 81" xfId="1398" xr:uid="{00000000-0005-0000-0000-0000A10B0000}"/>
    <cellStyle name="Normal 2 2 2 2 2 2 2 82" xfId="1399" xr:uid="{00000000-0005-0000-0000-0000A20B0000}"/>
    <cellStyle name="Normal 2 2 2 2 2 2 2 83" xfId="1400" xr:uid="{00000000-0005-0000-0000-0000A30B0000}"/>
    <cellStyle name="Normal 2 2 2 2 2 2 2 84" xfId="1401" xr:uid="{00000000-0005-0000-0000-0000A40B0000}"/>
    <cellStyle name="Normal 2 2 2 2 2 2 2 85" xfId="1402" xr:uid="{00000000-0005-0000-0000-0000A50B0000}"/>
    <cellStyle name="Normal 2 2 2 2 2 2 2 86" xfId="1403" xr:uid="{00000000-0005-0000-0000-0000A60B0000}"/>
    <cellStyle name="Normal 2 2 2 2 2 2 2 87" xfId="1404" xr:uid="{00000000-0005-0000-0000-0000A70B0000}"/>
    <cellStyle name="Normal 2 2 2 2 2 2 2 88" xfId="1405" xr:uid="{00000000-0005-0000-0000-0000A80B0000}"/>
    <cellStyle name="Normal 2 2 2 2 2 2 2 89" xfId="1406" xr:uid="{00000000-0005-0000-0000-0000A90B0000}"/>
    <cellStyle name="Normal 2 2 2 2 2 2 2 9" xfId="1407" xr:uid="{00000000-0005-0000-0000-0000AA0B0000}"/>
    <cellStyle name="Normal 2 2 2 2 2 2 2 90" xfId="1408" xr:uid="{00000000-0005-0000-0000-0000AB0B0000}"/>
    <cellStyle name="Normal 2 2 2 2 2 2 2 91" xfId="1409" xr:uid="{00000000-0005-0000-0000-0000AC0B0000}"/>
    <cellStyle name="Normal 2 2 2 2 2 2 2 92" xfId="1410" xr:uid="{00000000-0005-0000-0000-0000AD0B0000}"/>
    <cellStyle name="Normal 2 2 2 2 2 2 2 93" xfId="1411" xr:uid="{00000000-0005-0000-0000-0000AE0B0000}"/>
    <cellStyle name="Normal 2 2 2 2 2 2 2 94" xfId="1412" xr:uid="{00000000-0005-0000-0000-0000AF0B0000}"/>
    <cellStyle name="Normal 2 2 2 2 2 2 2 95" xfId="1413" xr:uid="{00000000-0005-0000-0000-0000B00B0000}"/>
    <cellStyle name="Normal 2 2 2 2 2 2 2 96" xfId="1414" xr:uid="{00000000-0005-0000-0000-0000B10B0000}"/>
    <cellStyle name="Normal 2 2 2 2 2 2 2 97" xfId="1415" xr:uid="{00000000-0005-0000-0000-0000B20B0000}"/>
    <cellStyle name="Normal 2 2 2 2 2 2 2 98" xfId="1416" xr:uid="{00000000-0005-0000-0000-0000B30B0000}"/>
    <cellStyle name="Normal 2 2 2 2 2 2 2 99" xfId="1417" xr:uid="{00000000-0005-0000-0000-0000B40B0000}"/>
    <cellStyle name="Normal 2 2 2 2 2 2 20" xfId="1418" xr:uid="{00000000-0005-0000-0000-0000B50B0000}"/>
    <cellStyle name="Normal 2 2 2 2 2 2 21" xfId="1419" xr:uid="{00000000-0005-0000-0000-0000B60B0000}"/>
    <cellStyle name="Normal 2 2 2 2 2 2 22" xfId="1420" xr:uid="{00000000-0005-0000-0000-0000B70B0000}"/>
    <cellStyle name="Normal 2 2 2 2 2 2 23" xfId="1421" xr:uid="{00000000-0005-0000-0000-0000B80B0000}"/>
    <cellStyle name="Normal 2 2 2 2 2 2 24" xfId="1422" xr:uid="{00000000-0005-0000-0000-0000B90B0000}"/>
    <cellStyle name="Normal 2 2 2 2 2 2 25" xfId="1423" xr:uid="{00000000-0005-0000-0000-0000BA0B0000}"/>
    <cellStyle name="Normal 2 2 2 2 2 2 26" xfId="1424" xr:uid="{00000000-0005-0000-0000-0000BB0B0000}"/>
    <cellStyle name="Normal 2 2 2 2 2 2 27" xfId="1425" xr:uid="{00000000-0005-0000-0000-0000BC0B0000}"/>
    <cellStyle name="Normal 2 2 2 2 2 2 28" xfId="1426" xr:uid="{00000000-0005-0000-0000-0000BD0B0000}"/>
    <cellStyle name="Normal 2 2 2 2 2 2 29" xfId="1427" xr:uid="{00000000-0005-0000-0000-0000BE0B0000}"/>
    <cellStyle name="Normal 2 2 2 2 2 2 3" xfId="1428" xr:uid="{00000000-0005-0000-0000-0000BF0B0000}"/>
    <cellStyle name="Normal 2 2 2 2 2 2 3 10" xfId="1429" xr:uid="{00000000-0005-0000-0000-0000C00B0000}"/>
    <cellStyle name="Normal 2 2 2 2 2 2 3 100" xfId="1430" xr:uid="{00000000-0005-0000-0000-0000C10B0000}"/>
    <cellStyle name="Normal 2 2 2 2 2 2 3 101" xfId="1431" xr:uid="{00000000-0005-0000-0000-0000C20B0000}"/>
    <cellStyle name="Normal 2 2 2 2 2 2 3 102" xfId="1432" xr:uid="{00000000-0005-0000-0000-0000C30B0000}"/>
    <cellStyle name="Normal 2 2 2 2 2 2 3 103" xfId="1433" xr:uid="{00000000-0005-0000-0000-0000C40B0000}"/>
    <cellStyle name="Normal 2 2 2 2 2 2 3 104" xfId="1434" xr:uid="{00000000-0005-0000-0000-0000C50B0000}"/>
    <cellStyle name="Normal 2 2 2 2 2 2 3 105" xfId="1435" xr:uid="{00000000-0005-0000-0000-0000C60B0000}"/>
    <cellStyle name="Normal 2 2 2 2 2 2 3 106" xfId="1436" xr:uid="{00000000-0005-0000-0000-0000C70B0000}"/>
    <cellStyle name="Normal 2 2 2 2 2 2 3 107" xfId="1437" xr:uid="{00000000-0005-0000-0000-0000C80B0000}"/>
    <cellStyle name="Normal 2 2 2 2 2 2 3 108" xfId="1438" xr:uid="{00000000-0005-0000-0000-0000C90B0000}"/>
    <cellStyle name="Normal 2 2 2 2 2 2 3 109" xfId="1439" xr:uid="{00000000-0005-0000-0000-0000CA0B0000}"/>
    <cellStyle name="Normal 2 2 2 2 2 2 3 11" xfId="1440" xr:uid="{00000000-0005-0000-0000-0000CB0B0000}"/>
    <cellStyle name="Normal 2 2 2 2 2 2 3 110" xfId="1441" xr:uid="{00000000-0005-0000-0000-0000CC0B0000}"/>
    <cellStyle name="Normal 2 2 2 2 2 2 3 12" xfId="1442" xr:uid="{00000000-0005-0000-0000-0000CD0B0000}"/>
    <cellStyle name="Normal 2 2 2 2 2 2 3 13" xfId="1443" xr:uid="{00000000-0005-0000-0000-0000CE0B0000}"/>
    <cellStyle name="Normal 2 2 2 2 2 2 3 14" xfId="1444" xr:uid="{00000000-0005-0000-0000-0000CF0B0000}"/>
    <cellStyle name="Normal 2 2 2 2 2 2 3 15" xfId="1445" xr:uid="{00000000-0005-0000-0000-0000D00B0000}"/>
    <cellStyle name="Normal 2 2 2 2 2 2 3 16" xfId="1446" xr:uid="{00000000-0005-0000-0000-0000D10B0000}"/>
    <cellStyle name="Normal 2 2 2 2 2 2 3 17" xfId="1447" xr:uid="{00000000-0005-0000-0000-0000D20B0000}"/>
    <cellStyle name="Normal 2 2 2 2 2 2 3 18" xfId="1448" xr:uid="{00000000-0005-0000-0000-0000D30B0000}"/>
    <cellStyle name="Normal 2 2 2 2 2 2 3 19" xfId="1449" xr:uid="{00000000-0005-0000-0000-0000D40B0000}"/>
    <cellStyle name="Normal 2 2 2 2 2 2 3 2" xfId="1450" xr:uid="{00000000-0005-0000-0000-0000D50B0000}"/>
    <cellStyle name="Normal 2 2 2 2 2 2 3 20" xfId="1451" xr:uid="{00000000-0005-0000-0000-0000D60B0000}"/>
    <cellStyle name="Normal 2 2 2 2 2 2 3 21" xfId="1452" xr:uid="{00000000-0005-0000-0000-0000D70B0000}"/>
    <cellStyle name="Normal 2 2 2 2 2 2 3 22" xfId="1453" xr:uid="{00000000-0005-0000-0000-0000D80B0000}"/>
    <cellStyle name="Normal 2 2 2 2 2 2 3 23" xfId="1454" xr:uid="{00000000-0005-0000-0000-0000D90B0000}"/>
    <cellStyle name="Normal 2 2 2 2 2 2 3 24" xfId="1455" xr:uid="{00000000-0005-0000-0000-0000DA0B0000}"/>
    <cellStyle name="Normal 2 2 2 2 2 2 3 25" xfId="1456" xr:uid="{00000000-0005-0000-0000-0000DB0B0000}"/>
    <cellStyle name="Normal 2 2 2 2 2 2 3 26" xfId="1457" xr:uid="{00000000-0005-0000-0000-0000DC0B0000}"/>
    <cellStyle name="Normal 2 2 2 2 2 2 3 27" xfId="1458" xr:uid="{00000000-0005-0000-0000-0000DD0B0000}"/>
    <cellStyle name="Normal 2 2 2 2 2 2 3 28" xfId="1459" xr:uid="{00000000-0005-0000-0000-0000DE0B0000}"/>
    <cellStyle name="Normal 2 2 2 2 2 2 3 29" xfId="1460" xr:uid="{00000000-0005-0000-0000-0000DF0B0000}"/>
    <cellStyle name="Normal 2 2 2 2 2 2 3 3" xfId="1461" xr:uid="{00000000-0005-0000-0000-0000E00B0000}"/>
    <cellStyle name="Normal 2 2 2 2 2 2 3 30" xfId="1462" xr:uid="{00000000-0005-0000-0000-0000E10B0000}"/>
    <cellStyle name="Normal 2 2 2 2 2 2 3 31" xfId="1463" xr:uid="{00000000-0005-0000-0000-0000E20B0000}"/>
    <cellStyle name="Normal 2 2 2 2 2 2 3 32" xfId="1464" xr:uid="{00000000-0005-0000-0000-0000E30B0000}"/>
    <cellStyle name="Normal 2 2 2 2 2 2 3 33" xfId="1465" xr:uid="{00000000-0005-0000-0000-0000E40B0000}"/>
    <cellStyle name="Normal 2 2 2 2 2 2 3 34" xfId="1466" xr:uid="{00000000-0005-0000-0000-0000E50B0000}"/>
    <cellStyle name="Normal 2 2 2 2 2 2 3 35" xfId="1467" xr:uid="{00000000-0005-0000-0000-0000E60B0000}"/>
    <cellStyle name="Normal 2 2 2 2 2 2 3 36" xfId="1468" xr:uid="{00000000-0005-0000-0000-0000E70B0000}"/>
    <cellStyle name="Normal 2 2 2 2 2 2 3 37" xfId="1469" xr:uid="{00000000-0005-0000-0000-0000E80B0000}"/>
    <cellStyle name="Normal 2 2 2 2 2 2 3 38" xfId="1470" xr:uid="{00000000-0005-0000-0000-0000E90B0000}"/>
    <cellStyle name="Normal 2 2 2 2 2 2 3 39" xfId="1471" xr:uid="{00000000-0005-0000-0000-0000EA0B0000}"/>
    <cellStyle name="Normal 2 2 2 2 2 2 3 4" xfId="1472" xr:uid="{00000000-0005-0000-0000-0000EB0B0000}"/>
    <cellStyle name="Normal 2 2 2 2 2 2 3 40" xfId="1473" xr:uid="{00000000-0005-0000-0000-0000EC0B0000}"/>
    <cellStyle name="Normal 2 2 2 2 2 2 3 41" xfId="1474" xr:uid="{00000000-0005-0000-0000-0000ED0B0000}"/>
    <cellStyle name="Normal 2 2 2 2 2 2 3 42" xfId="1475" xr:uid="{00000000-0005-0000-0000-0000EE0B0000}"/>
    <cellStyle name="Normal 2 2 2 2 2 2 3 43" xfId="1476" xr:uid="{00000000-0005-0000-0000-0000EF0B0000}"/>
    <cellStyle name="Normal 2 2 2 2 2 2 3 44" xfId="1477" xr:uid="{00000000-0005-0000-0000-0000F00B0000}"/>
    <cellStyle name="Normal 2 2 2 2 2 2 3 45" xfId="1478" xr:uid="{00000000-0005-0000-0000-0000F10B0000}"/>
    <cellStyle name="Normal 2 2 2 2 2 2 3 46" xfId="1479" xr:uid="{00000000-0005-0000-0000-0000F20B0000}"/>
    <cellStyle name="Normal 2 2 2 2 2 2 3 47" xfId="1480" xr:uid="{00000000-0005-0000-0000-0000F30B0000}"/>
    <cellStyle name="Normal 2 2 2 2 2 2 3 48" xfId="1481" xr:uid="{00000000-0005-0000-0000-0000F40B0000}"/>
    <cellStyle name="Normal 2 2 2 2 2 2 3 49" xfId="1482" xr:uid="{00000000-0005-0000-0000-0000F50B0000}"/>
    <cellStyle name="Normal 2 2 2 2 2 2 3 5" xfId="1483" xr:uid="{00000000-0005-0000-0000-0000F60B0000}"/>
    <cellStyle name="Normal 2 2 2 2 2 2 3 50" xfId="1484" xr:uid="{00000000-0005-0000-0000-0000F70B0000}"/>
    <cellStyle name="Normal 2 2 2 2 2 2 3 51" xfId="1485" xr:uid="{00000000-0005-0000-0000-0000F80B0000}"/>
    <cellStyle name="Normal 2 2 2 2 2 2 3 52" xfId="1486" xr:uid="{00000000-0005-0000-0000-0000F90B0000}"/>
    <cellStyle name="Normal 2 2 2 2 2 2 3 53" xfId="1487" xr:uid="{00000000-0005-0000-0000-0000FA0B0000}"/>
    <cellStyle name="Normal 2 2 2 2 2 2 3 54" xfId="1488" xr:uid="{00000000-0005-0000-0000-0000FB0B0000}"/>
    <cellStyle name="Normal 2 2 2 2 2 2 3 55" xfId="1489" xr:uid="{00000000-0005-0000-0000-0000FC0B0000}"/>
    <cellStyle name="Normal 2 2 2 2 2 2 3 56" xfId="1490" xr:uid="{00000000-0005-0000-0000-0000FD0B0000}"/>
    <cellStyle name="Normal 2 2 2 2 2 2 3 57" xfId="1491" xr:uid="{00000000-0005-0000-0000-0000FE0B0000}"/>
    <cellStyle name="Normal 2 2 2 2 2 2 3 58" xfId="1492" xr:uid="{00000000-0005-0000-0000-0000FF0B0000}"/>
    <cellStyle name="Normal 2 2 2 2 2 2 3 59" xfId="1493" xr:uid="{00000000-0005-0000-0000-0000000C0000}"/>
    <cellStyle name="Normal 2 2 2 2 2 2 3 6" xfId="1494" xr:uid="{00000000-0005-0000-0000-0000010C0000}"/>
    <cellStyle name="Normal 2 2 2 2 2 2 3 60" xfId="1495" xr:uid="{00000000-0005-0000-0000-0000020C0000}"/>
    <cellStyle name="Normal 2 2 2 2 2 2 3 61" xfId="1496" xr:uid="{00000000-0005-0000-0000-0000030C0000}"/>
    <cellStyle name="Normal 2 2 2 2 2 2 3 62" xfId="1497" xr:uid="{00000000-0005-0000-0000-0000040C0000}"/>
    <cellStyle name="Normal 2 2 2 2 2 2 3 63" xfId="1498" xr:uid="{00000000-0005-0000-0000-0000050C0000}"/>
    <cellStyle name="Normal 2 2 2 2 2 2 3 64" xfId="1499" xr:uid="{00000000-0005-0000-0000-0000060C0000}"/>
    <cellStyle name="Normal 2 2 2 2 2 2 3 65" xfId="1500" xr:uid="{00000000-0005-0000-0000-0000070C0000}"/>
    <cellStyle name="Normal 2 2 2 2 2 2 3 66" xfId="1501" xr:uid="{00000000-0005-0000-0000-0000080C0000}"/>
    <cellStyle name="Normal 2 2 2 2 2 2 3 67" xfId="1502" xr:uid="{00000000-0005-0000-0000-0000090C0000}"/>
    <cellStyle name="Normal 2 2 2 2 2 2 3 68" xfId="1503" xr:uid="{00000000-0005-0000-0000-00000A0C0000}"/>
    <cellStyle name="Normal 2 2 2 2 2 2 3 69" xfId="1504" xr:uid="{00000000-0005-0000-0000-00000B0C0000}"/>
    <cellStyle name="Normal 2 2 2 2 2 2 3 7" xfId="1505" xr:uid="{00000000-0005-0000-0000-00000C0C0000}"/>
    <cellStyle name="Normal 2 2 2 2 2 2 3 70" xfId="1506" xr:uid="{00000000-0005-0000-0000-00000D0C0000}"/>
    <cellStyle name="Normal 2 2 2 2 2 2 3 71" xfId="1507" xr:uid="{00000000-0005-0000-0000-00000E0C0000}"/>
    <cellStyle name="Normal 2 2 2 2 2 2 3 72" xfId="1508" xr:uid="{00000000-0005-0000-0000-00000F0C0000}"/>
    <cellStyle name="Normal 2 2 2 2 2 2 3 73" xfId="1509" xr:uid="{00000000-0005-0000-0000-0000100C0000}"/>
    <cellStyle name="Normal 2 2 2 2 2 2 3 74" xfId="1510" xr:uid="{00000000-0005-0000-0000-0000110C0000}"/>
    <cellStyle name="Normal 2 2 2 2 2 2 3 75" xfId="1511" xr:uid="{00000000-0005-0000-0000-0000120C0000}"/>
    <cellStyle name="Normal 2 2 2 2 2 2 3 76" xfId="1512" xr:uid="{00000000-0005-0000-0000-0000130C0000}"/>
    <cellStyle name="Normal 2 2 2 2 2 2 3 77" xfId="1513" xr:uid="{00000000-0005-0000-0000-0000140C0000}"/>
    <cellStyle name="Normal 2 2 2 2 2 2 3 78" xfId="1514" xr:uid="{00000000-0005-0000-0000-0000150C0000}"/>
    <cellStyle name="Normal 2 2 2 2 2 2 3 79" xfId="1515" xr:uid="{00000000-0005-0000-0000-0000160C0000}"/>
    <cellStyle name="Normal 2 2 2 2 2 2 3 8" xfId="1516" xr:uid="{00000000-0005-0000-0000-0000170C0000}"/>
    <cellStyle name="Normal 2 2 2 2 2 2 3 80" xfId="1517" xr:uid="{00000000-0005-0000-0000-0000180C0000}"/>
    <cellStyle name="Normal 2 2 2 2 2 2 3 81" xfId="1518" xr:uid="{00000000-0005-0000-0000-0000190C0000}"/>
    <cellStyle name="Normal 2 2 2 2 2 2 3 82" xfId="1519" xr:uid="{00000000-0005-0000-0000-00001A0C0000}"/>
    <cellStyle name="Normal 2 2 2 2 2 2 3 83" xfId="1520" xr:uid="{00000000-0005-0000-0000-00001B0C0000}"/>
    <cellStyle name="Normal 2 2 2 2 2 2 3 84" xfId="1521" xr:uid="{00000000-0005-0000-0000-00001C0C0000}"/>
    <cellStyle name="Normal 2 2 2 2 2 2 3 85" xfId="1522" xr:uid="{00000000-0005-0000-0000-00001D0C0000}"/>
    <cellStyle name="Normal 2 2 2 2 2 2 3 86" xfId="1523" xr:uid="{00000000-0005-0000-0000-00001E0C0000}"/>
    <cellStyle name="Normal 2 2 2 2 2 2 3 87" xfId="1524" xr:uid="{00000000-0005-0000-0000-00001F0C0000}"/>
    <cellStyle name="Normal 2 2 2 2 2 2 3 88" xfId="1525" xr:uid="{00000000-0005-0000-0000-0000200C0000}"/>
    <cellStyle name="Normal 2 2 2 2 2 2 3 89" xfId="1526" xr:uid="{00000000-0005-0000-0000-0000210C0000}"/>
    <cellStyle name="Normal 2 2 2 2 2 2 3 9" xfId="1527" xr:uid="{00000000-0005-0000-0000-0000220C0000}"/>
    <cellStyle name="Normal 2 2 2 2 2 2 3 90" xfId="1528" xr:uid="{00000000-0005-0000-0000-0000230C0000}"/>
    <cellStyle name="Normal 2 2 2 2 2 2 3 91" xfId="1529" xr:uid="{00000000-0005-0000-0000-0000240C0000}"/>
    <cellStyle name="Normal 2 2 2 2 2 2 3 92" xfId="1530" xr:uid="{00000000-0005-0000-0000-0000250C0000}"/>
    <cellStyle name="Normal 2 2 2 2 2 2 3 93" xfId="1531" xr:uid="{00000000-0005-0000-0000-0000260C0000}"/>
    <cellStyle name="Normal 2 2 2 2 2 2 3 94" xfId="1532" xr:uid="{00000000-0005-0000-0000-0000270C0000}"/>
    <cellStyle name="Normal 2 2 2 2 2 2 3 95" xfId="1533" xr:uid="{00000000-0005-0000-0000-0000280C0000}"/>
    <cellStyle name="Normal 2 2 2 2 2 2 3 96" xfId="1534" xr:uid="{00000000-0005-0000-0000-0000290C0000}"/>
    <cellStyle name="Normal 2 2 2 2 2 2 3 97" xfId="1535" xr:uid="{00000000-0005-0000-0000-00002A0C0000}"/>
    <cellStyle name="Normal 2 2 2 2 2 2 3 98" xfId="1536" xr:uid="{00000000-0005-0000-0000-00002B0C0000}"/>
    <cellStyle name="Normal 2 2 2 2 2 2 3 99" xfId="1537" xr:uid="{00000000-0005-0000-0000-00002C0C0000}"/>
    <cellStyle name="Normal 2 2 2 2 2 2 30" xfId="1538" xr:uid="{00000000-0005-0000-0000-00002D0C0000}"/>
    <cellStyle name="Normal 2 2 2 2 2 2 31" xfId="1539" xr:uid="{00000000-0005-0000-0000-00002E0C0000}"/>
    <cellStyle name="Normal 2 2 2 2 2 2 32" xfId="1540" xr:uid="{00000000-0005-0000-0000-00002F0C0000}"/>
    <cellStyle name="Normal 2 2 2 2 2 2 33" xfId="1541" xr:uid="{00000000-0005-0000-0000-0000300C0000}"/>
    <cellStyle name="Normal 2 2 2 2 2 2 34" xfId="1542" xr:uid="{00000000-0005-0000-0000-0000310C0000}"/>
    <cellStyle name="Normal 2 2 2 2 2 2 35" xfId="1543" xr:uid="{00000000-0005-0000-0000-0000320C0000}"/>
    <cellStyle name="Normal 2 2 2 2 2 2 36" xfId="1544" xr:uid="{00000000-0005-0000-0000-0000330C0000}"/>
    <cellStyle name="Normal 2 2 2 2 2 2 37" xfId="1545" xr:uid="{00000000-0005-0000-0000-0000340C0000}"/>
    <cellStyle name="Normal 2 2 2 2 2 2 38" xfId="1546" xr:uid="{00000000-0005-0000-0000-0000350C0000}"/>
    <cellStyle name="Normal 2 2 2 2 2 2 39" xfId="1547" xr:uid="{00000000-0005-0000-0000-0000360C0000}"/>
    <cellStyle name="Normal 2 2 2 2 2 2 4" xfId="1548" xr:uid="{00000000-0005-0000-0000-0000370C0000}"/>
    <cellStyle name="Normal 2 2 2 2 2 2 40" xfId="1549" xr:uid="{00000000-0005-0000-0000-0000380C0000}"/>
    <cellStyle name="Normal 2 2 2 2 2 2 41" xfId="1550" xr:uid="{00000000-0005-0000-0000-0000390C0000}"/>
    <cellStyle name="Normal 2 2 2 2 2 2 42" xfId="1551" xr:uid="{00000000-0005-0000-0000-00003A0C0000}"/>
    <cellStyle name="Normal 2 2 2 2 2 2 43" xfId="1552" xr:uid="{00000000-0005-0000-0000-00003B0C0000}"/>
    <cellStyle name="Normal 2 2 2 2 2 2 44" xfId="1553" xr:uid="{00000000-0005-0000-0000-00003C0C0000}"/>
    <cellStyle name="Normal 2 2 2 2 2 2 45" xfId="1554" xr:uid="{00000000-0005-0000-0000-00003D0C0000}"/>
    <cellStyle name="Normal 2 2 2 2 2 2 46" xfId="1555" xr:uid="{00000000-0005-0000-0000-00003E0C0000}"/>
    <cellStyle name="Normal 2 2 2 2 2 2 47" xfId="1556" xr:uid="{00000000-0005-0000-0000-00003F0C0000}"/>
    <cellStyle name="Normal 2 2 2 2 2 2 48" xfId="1557" xr:uid="{00000000-0005-0000-0000-0000400C0000}"/>
    <cellStyle name="Normal 2 2 2 2 2 2 49" xfId="1558" xr:uid="{00000000-0005-0000-0000-0000410C0000}"/>
    <cellStyle name="Normal 2 2 2 2 2 2 5" xfId="1559" xr:uid="{00000000-0005-0000-0000-0000420C0000}"/>
    <cellStyle name="Normal 2 2 2 2 2 2 50" xfId="1560" xr:uid="{00000000-0005-0000-0000-0000430C0000}"/>
    <cellStyle name="Normal 2 2 2 2 2 2 51" xfId="1561" xr:uid="{00000000-0005-0000-0000-0000440C0000}"/>
    <cellStyle name="Normal 2 2 2 2 2 2 52" xfId="1562" xr:uid="{00000000-0005-0000-0000-0000450C0000}"/>
    <cellStyle name="Normal 2 2 2 2 2 2 53" xfId="1563" xr:uid="{00000000-0005-0000-0000-0000460C0000}"/>
    <cellStyle name="Normal 2 2 2 2 2 2 54" xfId="1564" xr:uid="{00000000-0005-0000-0000-0000470C0000}"/>
    <cellStyle name="Normal 2 2 2 2 2 2 55" xfId="1565" xr:uid="{00000000-0005-0000-0000-0000480C0000}"/>
    <cellStyle name="Normal 2 2 2 2 2 2 56" xfId="1566" xr:uid="{00000000-0005-0000-0000-0000490C0000}"/>
    <cellStyle name="Normal 2 2 2 2 2 2 57" xfId="1567" xr:uid="{00000000-0005-0000-0000-00004A0C0000}"/>
    <cellStyle name="Normal 2 2 2 2 2 2 58" xfId="1568" xr:uid="{00000000-0005-0000-0000-00004B0C0000}"/>
    <cellStyle name="Normal 2 2 2 2 2 2 59" xfId="1569" xr:uid="{00000000-0005-0000-0000-00004C0C0000}"/>
    <cellStyle name="Normal 2 2 2 2 2 2 6" xfId="1570" xr:uid="{00000000-0005-0000-0000-00004D0C0000}"/>
    <cellStyle name="Normal 2 2 2 2 2 2 60" xfId="1571" xr:uid="{00000000-0005-0000-0000-00004E0C0000}"/>
    <cellStyle name="Normal 2 2 2 2 2 2 61" xfId="1572" xr:uid="{00000000-0005-0000-0000-00004F0C0000}"/>
    <cellStyle name="Normal 2 2 2 2 2 2 62" xfId="1573" xr:uid="{00000000-0005-0000-0000-0000500C0000}"/>
    <cellStyle name="Normal 2 2 2 2 2 2 63" xfId="1574" xr:uid="{00000000-0005-0000-0000-0000510C0000}"/>
    <cellStyle name="Normal 2 2 2 2 2 2 64" xfId="1575" xr:uid="{00000000-0005-0000-0000-0000520C0000}"/>
    <cellStyle name="Normal 2 2 2 2 2 2 65" xfId="1576" xr:uid="{00000000-0005-0000-0000-0000530C0000}"/>
    <cellStyle name="Normal 2 2 2 2 2 2 66" xfId="1577" xr:uid="{00000000-0005-0000-0000-0000540C0000}"/>
    <cellStyle name="Normal 2 2 2 2 2 2 67" xfId="1578" xr:uid="{00000000-0005-0000-0000-0000550C0000}"/>
    <cellStyle name="Normal 2 2 2 2 2 2 68" xfId="1579" xr:uid="{00000000-0005-0000-0000-0000560C0000}"/>
    <cellStyle name="Normal 2 2 2 2 2 2 69" xfId="1580" xr:uid="{00000000-0005-0000-0000-0000570C0000}"/>
    <cellStyle name="Normal 2 2 2 2 2 2 7" xfId="1581" xr:uid="{00000000-0005-0000-0000-0000580C0000}"/>
    <cellStyle name="Normal 2 2 2 2 2 2 70" xfId="1582" xr:uid="{00000000-0005-0000-0000-0000590C0000}"/>
    <cellStyle name="Normal 2 2 2 2 2 2 71" xfId="1583" xr:uid="{00000000-0005-0000-0000-00005A0C0000}"/>
    <cellStyle name="Normal 2 2 2 2 2 2 72" xfId="1584" xr:uid="{00000000-0005-0000-0000-00005B0C0000}"/>
    <cellStyle name="Normal 2 2 2 2 2 2 73" xfId="1585" xr:uid="{00000000-0005-0000-0000-00005C0C0000}"/>
    <cellStyle name="Normal 2 2 2 2 2 2 74" xfId="1586" xr:uid="{00000000-0005-0000-0000-00005D0C0000}"/>
    <cellStyle name="Normal 2 2 2 2 2 2 75" xfId="1587" xr:uid="{00000000-0005-0000-0000-00005E0C0000}"/>
    <cellStyle name="Normal 2 2 2 2 2 2 76" xfId="1588" xr:uid="{00000000-0005-0000-0000-00005F0C0000}"/>
    <cellStyle name="Normal 2 2 2 2 2 2 77" xfId="1589" xr:uid="{00000000-0005-0000-0000-0000600C0000}"/>
    <cellStyle name="Normal 2 2 2 2 2 2 78" xfId="1590" xr:uid="{00000000-0005-0000-0000-0000610C0000}"/>
    <cellStyle name="Normal 2 2 2 2 2 2 79" xfId="1591" xr:uid="{00000000-0005-0000-0000-0000620C0000}"/>
    <cellStyle name="Normal 2 2 2 2 2 2 8" xfId="1592" xr:uid="{00000000-0005-0000-0000-0000630C0000}"/>
    <cellStyle name="Normal 2 2 2 2 2 2 80" xfId="1593" xr:uid="{00000000-0005-0000-0000-0000640C0000}"/>
    <cellStyle name="Normal 2 2 2 2 2 2 81" xfId="1594" xr:uid="{00000000-0005-0000-0000-0000650C0000}"/>
    <cellStyle name="Normal 2 2 2 2 2 2 82" xfId="1595" xr:uid="{00000000-0005-0000-0000-0000660C0000}"/>
    <cellStyle name="Normal 2 2 2 2 2 2 83" xfId="1596" xr:uid="{00000000-0005-0000-0000-0000670C0000}"/>
    <cellStyle name="Normal 2 2 2 2 2 2 84" xfId="1597" xr:uid="{00000000-0005-0000-0000-0000680C0000}"/>
    <cellStyle name="Normal 2 2 2 2 2 2 85" xfId="1598" xr:uid="{00000000-0005-0000-0000-0000690C0000}"/>
    <cellStyle name="Normal 2 2 2 2 2 2 86" xfId="1599" xr:uid="{00000000-0005-0000-0000-00006A0C0000}"/>
    <cellStyle name="Normal 2 2 2 2 2 2 87" xfId="1600" xr:uid="{00000000-0005-0000-0000-00006B0C0000}"/>
    <cellStyle name="Normal 2 2 2 2 2 2 88" xfId="1601" xr:uid="{00000000-0005-0000-0000-00006C0C0000}"/>
    <cellStyle name="Normal 2 2 2 2 2 2 89" xfId="1602" xr:uid="{00000000-0005-0000-0000-00006D0C0000}"/>
    <cellStyle name="Normal 2 2 2 2 2 2 9" xfId="1603" xr:uid="{00000000-0005-0000-0000-00006E0C0000}"/>
    <cellStyle name="Normal 2 2 2 2 2 2 90" xfId="1604" xr:uid="{00000000-0005-0000-0000-00006F0C0000}"/>
    <cellStyle name="Normal 2 2 2 2 2 2 91" xfId="1605" xr:uid="{00000000-0005-0000-0000-0000700C0000}"/>
    <cellStyle name="Normal 2 2 2 2 2 2 92" xfId="1606" xr:uid="{00000000-0005-0000-0000-0000710C0000}"/>
    <cellStyle name="Normal 2 2 2 2 2 2 93" xfId="1607" xr:uid="{00000000-0005-0000-0000-0000720C0000}"/>
    <cellStyle name="Normal 2 2 2 2 2 2 94" xfId="1608" xr:uid="{00000000-0005-0000-0000-0000730C0000}"/>
    <cellStyle name="Normal 2 2 2 2 2 2 95" xfId="1609" xr:uid="{00000000-0005-0000-0000-0000740C0000}"/>
    <cellStyle name="Normal 2 2 2 2 2 2 96" xfId="1610" xr:uid="{00000000-0005-0000-0000-0000750C0000}"/>
    <cellStyle name="Normal 2 2 2 2 2 2 97" xfId="1611" xr:uid="{00000000-0005-0000-0000-0000760C0000}"/>
    <cellStyle name="Normal 2 2 2 2 2 2 98" xfId="1612" xr:uid="{00000000-0005-0000-0000-0000770C0000}"/>
    <cellStyle name="Normal 2 2 2 2 2 2 99" xfId="1613" xr:uid="{00000000-0005-0000-0000-0000780C0000}"/>
    <cellStyle name="Normal 2 2 2 2 2 20" xfId="1614" xr:uid="{00000000-0005-0000-0000-0000790C0000}"/>
    <cellStyle name="Normal 2 2 2 2 2 21" xfId="1615" xr:uid="{00000000-0005-0000-0000-00007A0C0000}"/>
    <cellStyle name="Normal 2 2 2 2 2 22" xfId="1616" xr:uid="{00000000-0005-0000-0000-00007B0C0000}"/>
    <cellStyle name="Normal 2 2 2 2 2 23" xfId="1617" xr:uid="{00000000-0005-0000-0000-00007C0C0000}"/>
    <cellStyle name="Normal 2 2 2 2 2 24" xfId="1618" xr:uid="{00000000-0005-0000-0000-00007D0C0000}"/>
    <cellStyle name="Normal 2 2 2 2 2 25" xfId="1619" xr:uid="{00000000-0005-0000-0000-00007E0C0000}"/>
    <cellStyle name="Normal 2 2 2 2 2 26" xfId="1620" xr:uid="{00000000-0005-0000-0000-00007F0C0000}"/>
    <cellStyle name="Normal 2 2 2 2 2 27" xfId="1621" xr:uid="{00000000-0005-0000-0000-0000800C0000}"/>
    <cellStyle name="Normal 2 2 2 2 2 28" xfId="1622" xr:uid="{00000000-0005-0000-0000-0000810C0000}"/>
    <cellStyle name="Normal 2 2 2 2 2 29" xfId="1623" xr:uid="{00000000-0005-0000-0000-0000820C0000}"/>
    <cellStyle name="Normal 2 2 2 2 2 3" xfId="1624" xr:uid="{00000000-0005-0000-0000-0000830C0000}"/>
    <cellStyle name="Normal 2 2 2 2 2 30" xfId="1625" xr:uid="{00000000-0005-0000-0000-0000840C0000}"/>
    <cellStyle name="Normal 2 2 2 2 2 31" xfId="1626" xr:uid="{00000000-0005-0000-0000-0000850C0000}"/>
    <cellStyle name="Normal 2 2 2 2 2 32" xfId="1627" xr:uid="{00000000-0005-0000-0000-0000860C0000}"/>
    <cellStyle name="Normal 2 2 2 2 2 33" xfId="1628" xr:uid="{00000000-0005-0000-0000-0000870C0000}"/>
    <cellStyle name="Normal 2 2 2 2 2 34" xfId="1629" xr:uid="{00000000-0005-0000-0000-0000880C0000}"/>
    <cellStyle name="Normal 2 2 2 2 2 35" xfId="1630" xr:uid="{00000000-0005-0000-0000-0000890C0000}"/>
    <cellStyle name="Normal 2 2 2 2 2 36" xfId="1631" xr:uid="{00000000-0005-0000-0000-00008A0C0000}"/>
    <cellStyle name="Normal 2 2 2 2 2 37" xfId="1632" xr:uid="{00000000-0005-0000-0000-00008B0C0000}"/>
    <cellStyle name="Normal 2 2 2 2 2 38" xfId="1633" xr:uid="{00000000-0005-0000-0000-00008C0C0000}"/>
    <cellStyle name="Normal 2 2 2 2 2 39" xfId="1634" xr:uid="{00000000-0005-0000-0000-00008D0C0000}"/>
    <cellStyle name="Normal 2 2 2 2 2 4" xfId="1635" xr:uid="{00000000-0005-0000-0000-00008E0C0000}"/>
    <cellStyle name="Normal 2 2 2 2 2 4 10" xfId="1636" xr:uid="{00000000-0005-0000-0000-00008F0C0000}"/>
    <cellStyle name="Normal 2 2 2 2 2 4 100" xfId="1637" xr:uid="{00000000-0005-0000-0000-0000900C0000}"/>
    <cellStyle name="Normal 2 2 2 2 2 4 101" xfId="1638" xr:uid="{00000000-0005-0000-0000-0000910C0000}"/>
    <cellStyle name="Normal 2 2 2 2 2 4 102" xfId="1639" xr:uid="{00000000-0005-0000-0000-0000920C0000}"/>
    <cellStyle name="Normal 2 2 2 2 2 4 103" xfId="1640" xr:uid="{00000000-0005-0000-0000-0000930C0000}"/>
    <cellStyle name="Normal 2 2 2 2 2 4 104" xfId="1641" xr:uid="{00000000-0005-0000-0000-0000940C0000}"/>
    <cellStyle name="Normal 2 2 2 2 2 4 105" xfId="1642" xr:uid="{00000000-0005-0000-0000-0000950C0000}"/>
    <cellStyle name="Normal 2 2 2 2 2 4 106" xfId="1643" xr:uid="{00000000-0005-0000-0000-0000960C0000}"/>
    <cellStyle name="Normal 2 2 2 2 2 4 107" xfId="1644" xr:uid="{00000000-0005-0000-0000-0000970C0000}"/>
    <cellStyle name="Normal 2 2 2 2 2 4 108" xfId="1645" xr:uid="{00000000-0005-0000-0000-0000980C0000}"/>
    <cellStyle name="Normal 2 2 2 2 2 4 109" xfId="1646" xr:uid="{00000000-0005-0000-0000-0000990C0000}"/>
    <cellStyle name="Normal 2 2 2 2 2 4 11" xfId="1647" xr:uid="{00000000-0005-0000-0000-00009A0C0000}"/>
    <cellStyle name="Normal 2 2 2 2 2 4 110" xfId="1648" xr:uid="{00000000-0005-0000-0000-00009B0C0000}"/>
    <cellStyle name="Normal 2 2 2 2 2 4 12" xfId="1649" xr:uid="{00000000-0005-0000-0000-00009C0C0000}"/>
    <cellStyle name="Normal 2 2 2 2 2 4 13" xfId="1650" xr:uid="{00000000-0005-0000-0000-00009D0C0000}"/>
    <cellStyle name="Normal 2 2 2 2 2 4 14" xfId="1651" xr:uid="{00000000-0005-0000-0000-00009E0C0000}"/>
    <cellStyle name="Normal 2 2 2 2 2 4 15" xfId="1652" xr:uid="{00000000-0005-0000-0000-00009F0C0000}"/>
    <cellStyle name="Normal 2 2 2 2 2 4 16" xfId="1653" xr:uid="{00000000-0005-0000-0000-0000A00C0000}"/>
    <cellStyle name="Normal 2 2 2 2 2 4 17" xfId="1654" xr:uid="{00000000-0005-0000-0000-0000A10C0000}"/>
    <cellStyle name="Normal 2 2 2 2 2 4 18" xfId="1655" xr:uid="{00000000-0005-0000-0000-0000A20C0000}"/>
    <cellStyle name="Normal 2 2 2 2 2 4 19" xfId="1656" xr:uid="{00000000-0005-0000-0000-0000A30C0000}"/>
    <cellStyle name="Normal 2 2 2 2 2 4 2" xfId="1657" xr:uid="{00000000-0005-0000-0000-0000A40C0000}"/>
    <cellStyle name="Normal 2 2 2 2 2 4 20" xfId="1658" xr:uid="{00000000-0005-0000-0000-0000A50C0000}"/>
    <cellStyle name="Normal 2 2 2 2 2 4 21" xfId="1659" xr:uid="{00000000-0005-0000-0000-0000A60C0000}"/>
    <cellStyle name="Normal 2 2 2 2 2 4 22" xfId="1660" xr:uid="{00000000-0005-0000-0000-0000A70C0000}"/>
    <cellStyle name="Normal 2 2 2 2 2 4 23" xfId="1661" xr:uid="{00000000-0005-0000-0000-0000A80C0000}"/>
    <cellStyle name="Normal 2 2 2 2 2 4 24" xfId="1662" xr:uid="{00000000-0005-0000-0000-0000A90C0000}"/>
    <cellStyle name="Normal 2 2 2 2 2 4 25" xfId="1663" xr:uid="{00000000-0005-0000-0000-0000AA0C0000}"/>
    <cellStyle name="Normal 2 2 2 2 2 4 26" xfId="1664" xr:uid="{00000000-0005-0000-0000-0000AB0C0000}"/>
    <cellStyle name="Normal 2 2 2 2 2 4 27" xfId="1665" xr:uid="{00000000-0005-0000-0000-0000AC0C0000}"/>
    <cellStyle name="Normal 2 2 2 2 2 4 28" xfId="1666" xr:uid="{00000000-0005-0000-0000-0000AD0C0000}"/>
    <cellStyle name="Normal 2 2 2 2 2 4 29" xfId="1667" xr:uid="{00000000-0005-0000-0000-0000AE0C0000}"/>
    <cellStyle name="Normal 2 2 2 2 2 4 3" xfId="1668" xr:uid="{00000000-0005-0000-0000-0000AF0C0000}"/>
    <cellStyle name="Normal 2 2 2 2 2 4 30" xfId="1669" xr:uid="{00000000-0005-0000-0000-0000B00C0000}"/>
    <cellStyle name="Normal 2 2 2 2 2 4 31" xfId="1670" xr:uid="{00000000-0005-0000-0000-0000B10C0000}"/>
    <cellStyle name="Normal 2 2 2 2 2 4 32" xfId="1671" xr:uid="{00000000-0005-0000-0000-0000B20C0000}"/>
    <cellStyle name="Normal 2 2 2 2 2 4 33" xfId="1672" xr:uid="{00000000-0005-0000-0000-0000B30C0000}"/>
    <cellStyle name="Normal 2 2 2 2 2 4 34" xfId="1673" xr:uid="{00000000-0005-0000-0000-0000B40C0000}"/>
    <cellStyle name="Normal 2 2 2 2 2 4 35" xfId="1674" xr:uid="{00000000-0005-0000-0000-0000B50C0000}"/>
    <cellStyle name="Normal 2 2 2 2 2 4 36" xfId="1675" xr:uid="{00000000-0005-0000-0000-0000B60C0000}"/>
    <cellStyle name="Normal 2 2 2 2 2 4 37" xfId="1676" xr:uid="{00000000-0005-0000-0000-0000B70C0000}"/>
    <cellStyle name="Normal 2 2 2 2 2 4 38" xfId="1677" xr:uid="{00000000-0005-0000-0000-0000B80C0000}"/>
    <cellStyle name="Normal 2 2 2 2 2 4 39" xfId="1678" xr:uid="{00000000-0005-0000-0000-0000B90C0000}"/>
    <cellStyle name="Normal 2 2 2 2 2 4 4" xfId="1679" xr:uid="{00000000-0005-0000-0000-0000BA0C0000}"/>
    <cellStyle name="Normal 2 2 2 2 2 4 40" xfId="1680" xr:uid="{00000000-0005-0000-0000-0000BB0C0000}"/>
    <cellStyle name="Normal 2 2 2 2 2 4 41" xfId="1681" xr:uid="{00000000-0005-0000-0000-0000BC0C0000}"/>
    <cellStyle name="Normal 2 2 2 2 2 4 42" xfId="1682" xr:uid="{00000000-0005-0000-0000-0000BD0C0000}"/>
    <cellStyle name="Normal 2 2 2 2 2 4 43" xfId="1683" xr:uid="{00000000-0005-0000-0000-0000BE0C0000}"/>
    <cellStyle name="Normal 2 2 2 2 2 4 44" xfId="1684" xr:uid="{00000000-0005-0000-0000-0000BF0C0000}"/>
    <cellStyle name="Normal 2 2 2 2 2 4 45" xfId="1685" xr:uid="{00000000-0005-0000-0000-0000C00C0000}"/>
    <cellStyle name="Normal 2 2 2 2 2 4 46" xfId="1686" xr:uid="{00000000-0005-0000-0000-0000C10C0000}"/>
    <cellStyle name="Normal 2 2 2 2 2 4 47" xfId="1687" xr:uid="{00000000-0005-0000-0000-0000C20C0000}"/>
    <cellStyle name="Normal 2 2 2 2 2 4 48" xfId="1688" xr:uid="{00000000-0005-0000-0000-0000C30C0000}"/>
    <cellStyle name="Normal 2 2 2 2 2 4 49" xfId="1689" xr:uid="{00000000-0005-0000-0000-0000C40C0000}"/>
    <cellStyle name="Normal 2 2 2 2 2 4 5" xfId="1690" xr:uid="{00000000-0005-0000-0000-0000C50C0000}"/>
    <cellStyle name="Normal 2 2 2 2 2 4 50" xfId="1691" xr:uid="{00000000-0005-0000-0000-0000C60C0000}"/>
    <cellStyle name="Normal 2 2 2 2 2 4 51" xfId="1692" xr:uid="{00000000-0005-0000-0000-0000C70C0000}"/>
    <cellStyle name="Normal 2 2 2 2 2 4 52" xfId="1693" xr:uid="{00000000-0005-0000-0000-0000C80C0000}"/>
    <cellStyle name="Normal 2 2 2 2 2 4 53" xfId="1694" xr:uid="{00000000-0005-0000-0000-0000C90C0000}"/>
    <cellStyle name="Normal 2 2 2 2 2 4 54" xfId="1695" xr:uid="{00000000-0005-0000-0000-0000CA0C0000}"/>
    <cellStyle name="Normal 2 2 2 2 2 4 55" xfId="1696" xr:uid="{00000000-0005-0000-0000-0000CB0C0000}"/>
    <cellStyle name="Normal 2 2 2 2 2 4 56" xfId="1697" xr:uid="{00000000-0005-0000-0000-0000CC0C0000}"/>
    <cellStyle name="Normal 2 2 2 2 2 4 57" xfId="1698" xr:uid="{00000000-0005-0000-0000-0000CD0C0000}"/>
    <cellStyle name="Normal 2 2 2 2 2 4 58" xfId="1699" xr:uid="{00000000-0005-0000-0000-0000CE0C0000}"/>
    <cellStyle name="Normal 2 2 2 2 2 4 59" xfId="1700" xr:uid="{00000000-0005-0000-0000-0000CF0C0000}"/>
    <cellStyle name="Normal 2 2 2 2 2 4 6" xfId="1701" xr:uid="{00000000-0005-0000-0000-0000D00C0000}"/>
    <cellStyle name="Normal 2 2 2 2 2 4 60" xfId="1702" xr:uid="{00000000-0005-0000-0000-0000D10C0000}"/>
    <cellStyle name="Normal 2 2 2 2 2 4 61" xfId="1703" xr:uid="{00000000-0005-0000-0000-0000D20C0000}"/>
    <cellStyle name="Normal 2 2 2 2 2 4 62" xfId="1704" xr:uid="{00000000-0005-0000-0000-0000D30C0000}"/>
    <cellStyle name="Normal 2 2 2 2 2 4 63" xfId="1705" xr:uid="{00000000-0005-0000-0000-0000D40C0000}"/>
    <cellStyle name="Normal 2 2 2 2 2 4 64" xfId="1706" xr:uid="{00000000-0005-0000-0000-0000D50C0000}"/>
    <cellStyle name="Normal 2 2 2 2 2 4 65" xfId="1707" xr:uid="{00000000-0005-0000-0000-0000D60C0000}"/>
    <cellStyle name="Normal 2 2 2 2 2 4 66" xfId="1708" xr:uid="{00000000-0005-0000-0000-0000D70C0000}"/>
    <cellStyle name="Normal 2 2 2 2 2 4 67" xfId="1709" xr:uid="{00000000-0005-0000-0000-0000D80C0000}"/>
    <cellStyle name="Normal 2 2 2 2 2 4 68" xfId="1710" xr:uid="{00000000-0005-0000-0000-0000D90C0000}"/>
    <cellStyle name="Normal 2 2 2 2 2 4 69" xfId="1711" xr:uid="{00000000-0005-0000-0000-0000DA0C0000}"/>
    <cellStyle name="Normal 2 2 2 2 2 4 7" xfId="1712" xr:uid="{00000000-0005-0000-0000-0000DB0C0000}"/>
    <cellStyle name="Normal 2 2 2 2 2 4 70" xfId="1713" xr:uid="{00000000-0005-0000-0000-0000DC0C0000}"/>
    <cellStyle name="Normal 2 2 2 2 2 4 71" xfId="1714" xr:uid="{00000000-0005-0000-0000-0000DD0C0000}"/>
    <cellStyle name="Normal 2 2 2 2 2 4 72" xfId="1715" xr:uid="{00000000-0005-0000-0000-0000DE0C0000}"/>
    <cellStyle name="Normal 2 2 2 2 2 4 73" xfId="1716" xr:uid="{00000000-0005-0000-0000-0000DF0C0000}"/>
    <cellStyle name="Normal 2 2 2 2 2 4 74" xfId="1717" xr:uid="{00000000-0005-0000-0000-0000E00C0000}"/>
    <cellStyle name="Normal 2 2 2 2 2 4 75" xfId="1718" xr:uid="{00000000-0005-0000-0000-0000E10C0000}"/>
    <cellStyle name="Normal 2 2 2 2 2 4 76" xfId="1719" xr:uid="{00000000-0005-0000-0000-0000E20C0000}"/>
    <cellStyle name="Normal 2 2 2 2 2 4 77" xfId="1720" xr:uid="{00000000-0005-0000-0000-0000E30C0000}"/>
    <cellStyle name="Normal 2 2 2 2 2 4 78" xfId="1721" xr:uid="{00000000-0005-0000-0000-0000E40C0000}"/>
    <cellStyle name="Normal 2 2 2 2 2 4 79" xfId="1722" xr:uid="{00000000-0005-0000-0000-0000E50C0000}"/>
    <cellStyle name="Normal 2 2 2 2 2 4 8" xfId="1723" xr:uid="{00000000-0005-0000-0000-0000E60C0000}"/>
    <cellStyle name="Normal 2 2 2 2 2 4 80" xfId="1724" xr:uid="{00000000-0005-0000-0000-0000E70C0000}"/>
    <cellStyle name="Normal 2 2 2 2 2 4 81" xfId="1725" xr:uid="{00000000-0005-0000-0000-0000E80C0000}"/>
    <cellStyle name="Normal 2 2 2 2 2 4 82" xfId="1726" xr:uid="{00000000-0005-0000-0000-0000E90C0000}"/>
    <cellStyle name="Normal 2 2 2 2 2 4 83" xfId="1727" xr:uid="{00000000-0005-0000-0000-0000EA0C0000}"/>
    <cellStyle name="Normal 2 2 2 2 2 4 84" xfId="1728" xr:uid="{00000000-0005-0000-0000-0000EB0C0000}"/>
    <cellStyle name="Normal 2 2 2 2 2 4 85" xfId="1729" xr:uid="{00000000-0005-0000-0000-0000EC0C0000}"/>
    <cellStyle name="Normal 2 2 2 2 2 4 86" xfId="1730" xr:uid="{00000000-0005-0000-0000-0000ED0C0000}"/>
    <cellStyle name="Normal 2 2 2 2 2 4 87" xfId="1731" xr:uid="{00000000-0005-0000-0000-0000EE0C0000}"/>
    <cellStyle name="Normal 2 2 2 2 2 4 88" xfId="1732" xr:uid="{00000000-0005-0000-0000-0000EF0C0000}"/>
    <cellStyle name="Normal 2 2 2 2 2 4 89" xfId="1733" xr:uid="{00000000-0005-0000-0000-0000F00C0000}"/>
    <cellStyle name="Normal 2 2 2 2 2 4 9" xfId="1734" xr:uid="{00000000-0005-0000-0000-0000F10C0000}"/>
    <cellStyle name="Normal 2 2 2 2 2 4 90" xfId="1735" xr:uid="{00000000-0005-0000-0000-0000F20C0000}"/>
    <cellStyle name="Normal 2 2 2 2 2 4 91" xfId="1736" xr:uid="{00000000-0005-0000-0000-0000F30C0000}"/>
    <cellStyle name="Normal 2 2 2 2 2 4 92" xfId="1737" xr:uid="{00000000-0005-0000-0000-0000F40C0000}"/>
    <cellStyle name="Normal 2 2 2 2 2 4 93" xfId="1738" xr:uid="{00000000-0005-0000-0000-0000F50C0000}"/>
    <cellStyle name="Normal 2 2 2 2 2 4 94" xfId="1739" xr:uid="{00000000-0005-0000-0000-0000F60C0000}"/>
    <cellStyle name="Normal 2 2 2 2 2 4 95" xfId="1740" xr:uid="{00000000-0005-0000-0000-0000F70C0000}"/>
    <cellStyle name="Normal 2 2 2 2 2 4 96" xfId="1741" xr:uid="{00000000-0005-0000-0000-0000F80C0000}"/>
    <cellStyle name="Normal 2 2 2 2 2 4 97" xfId="1742" xr:uid="{00000000-0005-0000-0000-0000F90C0000}"/>
    <cellStyle name="Normal 2 2 2 2 2 4 98" xfId="1743" xr:uid="{00000000-0005-0000-0000-0000FA0C0000}"/>
    <cellStyle name="Normal 2 2 2 2 2 4 99" xfId="1744" xr:uid="{00000000-0005-0000-0000-0000FB0C0000}"/>
    <cellStyle name="Normal 2 2 2 2 2 40" xfId="1745" xr:uid="{00000000-0005-0000-0000-0000FC0C0000}"/>
    <cellStyle name="Normal 2 2 2 2 2 41" xfId="1746" xr:uid="{00000000-0005-0000-0000-0000FD0C0000}"/>
    <cellStyle name="Normal 2 2 2 2 2 42" xfId="1747" xr:uid="{00000000-0005-0000-0000-0000FE0C0000}"/>
    <cellStyle name="Normal 2 2 2 2 2 43" xfId="1748" xr:uid="{00000000-0005-0000-0000-0000FF0C0000}"/>
    <cellStyle name="Normal 2 2 2 2 2 44" xfId="1749" xr:uid="{00000000-0005-0000-0000-0000000D0000}"/>
    <cellStyle name="Normal 2 2 2 2 2 45" xfId="1750" xr:uid="{00000000-0005-0000-0000-0000010D0000}"/>
    <cellStyle name="Normal 2 2 2 2 2 46" xfId="1751" xr:uid="{00000000-0005-0000-0000-0000020D0000}"/>
    <cellStyle name="Normal 2 2 2 2 2 47" xfId="1752" xr:uid="{00000000-0005-0000-0000-0000030D0000}"/>
    <cellStyle name="Normal 2 2 2 2 2 48" xfId="1753" xr:uid="{00000000-0005-0000-0000-0000040D0000}"/>
    <cellStyle name="Normal 2 2 2 2 2 49" xfId="1754" xr:uid="{00000000-0005-0000-0000-0000050D0000}"/>
    <cellStyle name="Normal 2 2 2 2 2 5" xfId="1755" xr:uid="{00000000-0005-0000-0000-0000060D0000}"/>
    <cellStyle name="Normal 2 2 2 2 2 50" xfId="1756" xr:uid="{00000000-0005-0000-0000-0000070D0000}"/>
    <cellStyle name="Normal 2 2 2 2 2 51" xfId="1757" xr:uid="{00000000-0005-0000-0000-0000080D0000}"/>
    <cellStyle name="Normal 2 2 2 2 2 52" xfId="1758" xr:uid="{00000000-0005-0000-0000-0000090D0000}"/>
    <cellStyle name="Normal 2 2 2 2 2 53" xfId="1759" xr:uid="{00000000-0005-0000-0000-00000A0D0000}"/>
    <cellStyle name="Normal 2 2 2 2 2 54" xfId="1760" xr:uid="{00000000-0005-0000-0000-00000B0D0000}"/>
    <cellStyle name="Normal 2 2 2 2 2 55" xfId="1761" xr:uid="{00000000-0005-0000-0000-00000C0D0000}"/>
    <cellStyle name="Normal 2 2 2 2 2 56" xfId="1762" xr:uid="{00000000-0005-0000-0000-00000D0D0000}"/>
    <cellStyle name="Normal 2 2 2 2 2 57" xfId="1763" xr:uid="{00000000-0005-0000-0000-00000E0D0000}"/>
    <cellStyle name="Normal 2 2 2 2 2 58" xfId="1764" xr:uid="{00000000-0005-0000-0000-00000F0D0000}"/>
    <cellStyle name="Normal 2 2 2 2 2 59" xfId="1765" xr:uid="{00000000-0005-0000-0000-0000100D0000}"/>
    <cellStyle name="Normal 2 2 2 2 2 6" xfId="1766" xr:uid="{00000000-0005-0000-0000-0000110D0000}"/>
    <cellStyle name="Normal 2 2 2 2 2 60" xfId="1767" xr:uid="{00000000-0005-0000-0000-0000120D0000}"/>
    <cellStyle name="Normal 2 2 2 2 2 61" xfId="1768" xr:uid="{00000000-0005-0000-0000-0000130D0000}"/>
    <cellStyle name="Normal 2 2 2 2 2 62" xfId="1769" xr:uid="{00000000-0005-0000-0000-0000140D0000}"/>
    <cellStyle name="Normal 2 2 2 2 2 63" xfId="1770" xr:uid="{00000000-0005-0000-0000-0000150D0000}"/>
    <cellStyle name="Normal 2 2 2 2 2 64" xfId="1771" xr:uid="{00000000-0005-0000-0000-0000160D0000}"/>
    <cellStyle name="Normal 2 2 2 2 2 65" xfId="1772" xr:uid="{00000000-0005-0000-0000-0000170D0000}"/>
    <cellStyle name="Normal 2 2 2 2 2 66" xfId="1773" xr:uid="{00000000-0005-0000-0000-0000180D0000}"/>
    <cellStyle name="Normal 2 2 2 2 2 67" xfId="1774" xr:uid="{00000000-0005-0000-0000-0000190D0000}"/>
    <cellStyle name="Normal 2 2 2 2 2 68" xfId="1775" xr:uid="{00000000-0005-0000-0000-00001A0D0000}"/>
    <cellStyle name="Normal 2 2 2 2 2 69" xfId="1776" xr:uid="{00000000-0005-0000-0000-00001B0D0000}"/>
    <cellStyle name="Normal 2 2 2 2 2 7" xfId="1777" xr:uid="{00000000-0005-0000-0000-00001C0D0000}"/>
    <cellStyle name="Normal 2 2 2 2 2 70" xfId="1778" xr:uid="{00000000-0005-0000-0000-00001D0D0000}"/>
    <cellStyle name="Normal 2 2 2 2 2 71" xfId="1779" xr:uid="{00000000-0005-0000-0000-00001E0D0000}"/>
    <cellStyle name="Normal 2 2 2 2 2 72" xfId="1780" xr:uid="{00000000-0005-0000-0000-00001F0D0000}"/>
    <cellStyle name="Normal 2 2 2 2 2 73" xfId="1781" xr:uid="{00000000-0005-0000-0000-0000200D0000}"/>
    <cellStyle name="Normal 2 2 2 2 2 74" xfId="1782" xr:uid="{00000000-0005-0000-0000-0000210D0000}"/>
    <cellStyle name="Normal 2 2 2 2 2 75" xfId="1783" xr:uid="{00000000-0005-0000-0000-0000220D0000}"/>
    <cellStyle name="Normal 2 2 2 2 2 76" xfId="1784" xr:uid="{00000000-0005-0000-0000-0000230D0000}"/>
    <cellStyle name="Normal 2 2 2 2 2 77" xfId="1785" xr:uid="{00000000-0005-0000-0000-0000240D0000}"/>
    <cellStyle name="Normal 2 2 2 2 2 78" xfId="1786" xr:uid="{00000000-0005-0000-0000-0000250D0000}"/>
    <cellStyle name="Normal 2 2 2 2 2 79" xfId="1787" xr:uid="{00000000-0005-0000-0000-0000260D0000}"/>
    <cellStyle name="Normal 2 2 2 2 2 8" xfId="1788" xr:uid="{00000000-0005-0000-0000-0000270D0000}"/>
    <cellStyle name="Normal 2 2 2 2 2 80" xfId="1789" xr:uid="{00000000-0005-0000-0000-0000280D0000}"/>
    <cellStyle name="Normal 2 2 2 2 2 81" xfId="1790" xr:uid="{00000000-0005-0000-0000-0000290D0000}"/>
    <cellStyle name="Normal 2 2 2 2 2 82" xfId="1791" xr:uid="{00000000-0005-0000-0000-00002A0D0000}"/>
    <cellStyle name="Normal 2 2 2 2 2 83" xfId="1792" xr:uid="{00000000-0005-0000-0000-00002B0D0000}"/>
    <cellStyle name="Normal 2 2 2 2 2 84" xfId="1793" xr:uid="{00000000-0005-0000-0000-00002C0D0000}"/>
    <cellStyle name="Normal 2 2 2 2 2 85" xfId="1794" xr:uid="{00000000-0005-0000-0000-00002D0D0000}"/>
    <cellStyle name="Normal 2 2 2 2 2 86" xfId="1795" xr:uid="{00000000-0005-0000-0000-00002E0D0000}"/>
    <cellStyle name="Normal 2 2 2 2 2 87" xfId="1796" xr:uid="{00000000-0005-0000-0000-00002F0D0000}"/>
    <cellStyle name="Normal 2 2 2 2 2 88" xfId="1797" xr:uid="{00000000-0005-0000-0000-0000300D0000}"/>
    <cellStyle name="Normal 2 2 2 2 2 89" xfId="1798" xr:uid="{00000000-0005-0000-0000-0000310D0000}"/>
    <cellStyle name="Normal 2 2 2 2 2 9" xfId="1799" xr:uid="{00000000-0005-0000-0000-0000320D0000}"/>
    <cellStyle name="Normal 2 2 2 2 2 90" xfId="1800" xr:uid="{00000000-0005-0000-0000-0000330D0000}"/>
    <cellStyle name="Normal 2 2 2 2 2 91" xfId="1801" xr:uid="{00000000-0005-0000-0000-0000340D0000}"/>
    <cellStyle name="Normal 2 2 2 2 2 92" xfId="1802" xr:uid="{00000000-0005-0000-0000-0000350D0000}"/>
    <cellStyle name="Normal 2 2 2 2 2 93" xfId="1803" xr:uid="{00000000-0005-0000-0000-0000360D0000}"/>
    <cellStyle name="Normal 2 2 2 2 2 94" xfId="1804" xr:uid="{00000000-0005-0000-0000-0000370D0000}"/>
    <cellStyle name="Normal 2 2 2 2 2 95" xfId="1805" xr:uid="{00000000-0005-0000-0000-0000380D0000}"/>
    <cellStyle name="Normal 2 2 2 2 2 96" xfId="1806" xr:uid="{00000000-0005-0000-0000-0000390D0000}"/>
    <cellStyle name="Normal 2 2 2 2 2 97" xfId="1807" xr:uid="{00000000-0005-0000-0000-00003A0D0000}"/>
    <cellStyle name="Normal 2 2 2 2 2 98" xfId="1808" xr:uid="{00000000-0005-0000-0000-00003B0D0000}"/>
    <cellStyle name="Normal 2 2 2 2 2 99" xfId="1809" xr:uid="{00000000-0005-0000-0000-00003C0D0000}"/>
    <cellStyle name="Normal 2 2 2 2 20" xfId="1810" xr:uid="{00000000-0005-0000-0000-00003D0D0000}"/>
    <cellStyle name="Normal 2 2 2 2 21" xfId="1811" xr:uid="{00000000-0005-0000-0000-00003E0D0000}"/>
    <cellStyle name="Normal 2 2 2 2 22" xfId="1812" xr:uid="{00000000-0005-0000-0000-00003F0D0000}"/>
    <cellStyle name="Normal 2 2 2 2 23" xfId="1813" xr:uid="{00000000-0005-0000-0000-0000400D0000}"/>
    <cellStyle name="Normal 2 2 2 2 24" xfId="1814" xr:uid="{00000000-0005-0000-0000-0000410D0000}"/>
    <cellStyle name="Normal 2 2 2 2 25" xfId="1815" xr:uid="{00000000-0005-0000-0000-0000420D0000}"/>
    <cellStyle name="Normal 2 2 2 2 26" xfId="1816" xr:uid="{00000000-0005-0000-0000-0000430D0000}"/>
    <cellStyle name="Normal 2 2 2 2 27" xfId="1817" xr:uid="{00000000-0005-0000-0000-0000440D0000}"/>
    <cellStyle name="Normal 2 2 2 2 28" xfId="1818" xr:uid="{00000000-0005-0000-0000-0000450D0000}"/>
    <cellStyle name="Normal 2 2 2 2 29" xfId="1819" xr:uid="{00000000-0005-0000-0000-0000460D0000}"/>
    <cellStyle name="Normal 2 2 2 2 3" xfId="1820" xr:uid="{00000000-0005-0000-0000-0000470D0000}"/>
    <cellStyle name="Normal 2 2 2 2 30" xfId="1821" xr:uid="{00000000-0005-0000-0000-0000480D0000}"/>
    <cellStyle name="Normal 2 2 2 2 31" xfId="1822" xr:uid="{00000000-0005-0000-0000-0000490D0000}"/>
    <cellStyle name="Normal 2 2 2 2 32" xfId="1823" xr:uid="{00000000-0005-0000-0000-00004A0D0000}"/>
    <cellStyle name="Normal 2 2 2 2 33" xfId="1824" xr:uid="{00000000-0005-0000-0000-00004B0D0000}"/>
    <cellStyle name="Normal 2 2 2 2 34" xfId="1825" xr:uid="{00000000-0005-0000-0000-00004C0D0000}"/>
    <cellStyle name="Normal 2 2 2 2 35" xfId="1826" xr:uid="{00000000-0005-0000-0000-00004D0D0000}"/>
    <cellStyle name="Normal 2 2 2 2 36" xfId="1827" xr:uid="{00000000-0005-0000-0000-00004E0D0000}"/>
    <cellStyle name="Normal 2 2 2 2 37" xfId="1828" xr:uid="{00000000-0005-0000-0000-00004F0D0000}"/>
    <cellStyle name="Normal 2 2 2 2 38" xfId="1829" xr:uid="{00000000-0005-0000-0000-0000500D0000}"/>
    <cellStyle name="Normal 2 2 2 2 39" xfId="1830" xr:uid="{00000000-0005-0000-0000-0000510D0000}"/>
    <cellStyle name="Normal 2 2 2 2 4" xfId="1831" xr:uid="{00000000-0005-0000-0000-0000520D0000}"/>
    <cellStyle name="Normal 2 2 2 2 40" xfId="1832" xr:uid="{00000000-0005-0000-0000-0000530D0000}"/>
    <cellStyle name="Normal 2 2 2 2 41" xfId="1833" xr:uid="{00000000-0005-0000-0000-0000540D0000}"/>
    <cellStyle name="Normal 2 2 2 2 42" xfId="1834" xr:uid="{00000000-0005-0000-0000-0000550D0000}"/>
    <cellStyle name="Normal 2 2 2 2 43" xfId="1835" xr:uid="{00000000-0005-0000-0000-0000560D0000}"/>
    <cellStyle name="Normal 2 2 2 2 44" xfId="1836" xr:uid="{00000000-0005-0000-0000-0000570D0000}"/>
    <cellStyle name="Normal 2 2 2 2 45" xfId="1837" xr:uid="{00000000-0005-0000-0000-0000580D0000}"/>
    <cellStyle name="Normal 2 2 2 2 46" xfId="1838" xr:uid="{00000000-0005-0000-0000-0000590D0000}"/>
    <cellStyle name="Normal 2 2 2 2 47" xfId="1839" xr:uid="{00000000-0005-0000-0000-00005A0D0000}"/>
    <cellStyle name="Normal 2 2 2 2 48" xfId="1840" xr:uid="{00000000-0005-0000-0000-00005B0D0000}"/>
    <cellStyle name="Normal 2 2 2 2 49" xfId="1841" xr:uid="{00000000-0005-0000-0000-00005C0D0000}"/>
    <cellStyle name="Normal 2 2 2 2 5" xfId="1842" xr:uid="{00000000-0005-0000-0000-00005D0D0000}"/>
    <cellStyle name="Normal 2 2 2 2 5 10" xfId="1843" xr:uid="{00000000-0005-0000-0000-00005E0D0000}"/>
    <cellStyle name="Normal 2 2 2 2 5 100" xfId="1844" xr:uid="{00000000-0005-0000-0000-00005F0D0000}"/>
    <cellStyle name="Normal 2 2 2 2 5 101" xfId="1845" xr:uid="{00000000-0005-0000-0000-0000600D0000}"/>
    <cellStyle name="Normal 2 2 2 2 5 102" xfId="1846" xr:uid="{00000000-0005-0000-0000-0000610D0000}"/>
    <cellStyle name="Normal 2 2 2 2 5 103" xfId="1847" xr:uid="{00000000-0005-0000-0000-0000620D0000}"/>
    <cellStyle name="Normal 2 2 2 2 5 104" xfId="1848" xr:uid="{00000000-0005-0000-0000-0000630D0000}"/>
    <cellStyle name="Normal 2 2 2 2 5 105" xfId="1849" xr:uid="{00000000-0005-0000-0000-0000640D0000}"/>
    <cellStyle name="Normal 2 2 2 2 5 106" xfId="1850" xr:uid="{00000000-0005-0000-0000-0000650D0000}"/>
    <cellStyle name="Normal 2 2 2 2 5 107" xfId="1851" xr:uid="{00000000-0005-0000-0000-0000660D0000}"/>
    <cellStyle name="Normal 2 2 2 2 5 108" xfId="1852" xr:uid="{00000000-0005-0000-0000-0000670D0000}"/>
    <cellStyle name="Normal 2 2 2 2 5 109" xfId="1853" xr:uid="{00000000-0005-0000-0000-0000680D0000}"/>
    <cellStyle name="Normal 2 2 2 2 5 11" xfId="1854" xr:uid="{00000000-0005-0000-0000-0000690D0000}"/>
    <cellStyle name="Normal 2 2 2 2 5 110" xfId="1855" xr:uid="{00000000-0005-0000-0000-00006A0D0000}"/>
    <cellStyle name="Normal 2 2 2 2 5 12" xfId="1856" xr:uid="{00000000-0005-0000-0000-00006B0D0000}"/>
    <cellStyle name="Normal 2 2 2 2 5 13" xfId="1857" xr:uid="{00000000-0005-0000-0000-00006C0D0000}"/>
    <cellStyle name="Normal 2 2 2 2 5 14" xfId="1858" xr:uid="{00000000-0005-0000-0000-00006D0D0000}"/>
    <cellStyle name="Normal 2 2 2 2 5 15" xfId="1859" xr:uid="{00000000-0005-0000-0000-00006E0D0000}"/>
    <cellStyle name="Normal 2 2 2 2 5 16" xfId="1860" xr:uid="{00000000-0005-0000-0000-00006F0D0000}"/>
    <cellStyle name="Normal 2 2 2 2 5 17" xfId="1861" xr:uid="{00000000-0005-0000-0000-0000700D0000}"/>
    <cellStyle name="Normal 2 2 2 2 5 18" xfId="1862" xr:uid="{00000000-0005-0000-0000-0000710D0000}"/>
    <cellStyle name="Normal 2 2 2 2 5 19" xfId="1863" xr:uid="{00000000-0005-0000-0000-0000720D0000}"/>
    <cellStyle name="Normal 2 2 2 2 5 2" xfId="1864" xr:uid="{00000000-0005-0000-0000-0000730D0000}"/>
    <cellStyle name="Normal 2 2 2 2 5 20" xfId="1865" xr:uid="{00000000-0005-0000-0000-0000740D0000}"/>
    <cellStyle name="Normal 2 2 2 2 5 21" xfId="1866" xr:uid="{00000000-0005-0000-0000-0000750D0000}"/>
    <cellStyle name="Normal 2 2 2 2 5 22" xfId="1867" xr:uid="{00000000-0005-0000-0000-0000760D0000}"/>
    <cellStyle name="Normal 2 2 2 2 5 23" xfId="1868" xr:uid="{00000000-0005-0000-0000-0000770D0000}"/>
    <cellStyle name="Normal 2 2 2 2 5 24" xfId="1869" xr:uid="{00000000-0005-0000-0000-0000780D0000}"/>
    <cellStyle name="Normal 2 2 2 2 5 25" xfId="1870" xr:uid="{00000000-0005-0000-0000-0000790D0000}"/>
    <cellStyle name="Normal 2 2 2 2 5 26" xfId="1871" xr:uid="{00000000-0005-0000-0000-00007A0D0000}"/>
    <cellStyle name="Normal 2 2 2 2 5 27" xfId="1872" xr:uid="{00000000-0005-0000-0000-00007B0D0000}"/>
    <cellStyle name="Normal 2 2 2 2 5 28" xfId="1873" xr:uid="{00000000-0005-0000-0000-00007C0D0000}"/>
    <cellStyle name="Normal 2 2 2 2 5 29" xfId="1874" xr:uid="{00000000-0005-0000-0000-00007D0D0000}"/>
    <cellStyle name="Normal 2 2 2 2 5 3" xfId="1875" xr:uid="{00000000-0005-0000-0000-00007E0D0000}"/>
    <cellStyle name="Normal 2 2 2 2 5 30" xfId="1876" xr:uid="{00000000-0005-0000-0000-00007F0D0000}"/>
    <cellStyle name="Normal 2 2 2 2 5 31" xfId="1877" xr:uid="{00000000-0005-0000-0000-0000800D0000}"/>
    <cellStyle name="Normal 2 2 2 2 5 32" xfId="1878" xr:uid="{00000000-0005-0000-0000-0000810D0000}"/>
    <cellStyle name="Normal 2 2 2 2 5 33" xfId="1879" xr:uid="{00000000-0005-0000-0000-0000820D0000}"/>
    <cellStyle name="Normal 2 2 2 2 5 34" xfId="1880" xr:uid="{00000000-0005-0000-0000-0000830D0000}"/>
    <cellStyle name="Normal 2 2 2 2 5 35" xfId="1881" xr:uid="{00000000-0005-0000-0000-0000840D0000}"/>
    <cellStyle name="Normal 2 2 2 2 5 36" xfId="1882" xr:uid="{00000000-0005-0000-0000-0000850D0000}"/>
    <cellStyle name="Normal 2 2 2 2 5 37" xfId="1883" xr:uid="{00000000-0005-0000-0000-0000860D0000}"/>
    <cellStyle name="Normal 2 2 2 2 5 38" xfId="1884" xr:uid="{00000000-0005-0000-0000-0000870D0000}"/>
    <cellStyle name="Normal 2 2 2 2 5 39" xfId="1885" xr:uid="{00000000-0005-0000-0000-0000880D0000}"/>
    <cellStyle name="Normal 2 2 2 2 5 4" xfId="1886" xr:uid="{00000000-0005-0000-0000-0000890D0000}"/>
    <cellStyle name="Normal 2 2 2 2 5 40" xfId="1887" xr:uid="{00000000-0005-0000-0000-00008A0D0000}"/>
    <cellStyle name="Normal 2 2 2 2 5 41" xfId="1888" xr:uid="{00000000-0005-0000-0000-00008B0D0000}"/>
    <cellStyle name="Normal 2 2 2 2 5 42" xfId="1889" xr:uid="{00000000-0005-0000-0000-00008C0D0000}"/>
    <cellStyle name="Normal 2 2 2 2 5 43" xfId="1890" xr:uid="{00000000-0005-0000-0000-00008D0D0000}"/>
    <cellStyle name="Normal 2 2 2 2 5 44" xfId="1891" xr:uid="{00000000-0005-0000-0000-00008E0D0000}"/>
    <cellStyle name="Normal 2 2 2 2 5 45" xfId="1892" xr:uid="{00000000-0005-0000-0000-00008F0D0000}"/>
    <cellStyle name="Normal 2 2 2 2 5 46" xfId="1893" xr:uid="{00000000-0005-0000-0000-0000900D0000}"/>
    <cellStyle name="Normal 2 2 2 2 5 47" xfId="1894" xr:uid="{00000000-0005-0000-0000-0000910D0000}"/>
    <cellStyle name="Normal 2 2 2 2 5 48" xfId="1895" xr:uid="{00000000-0005-0000-0000-0000920D0000}"/>
    <cellStyle name="Normal 2 2 2 2 5 49" xfId="1896" xr:uid="{00000000-0005-0000-0000-0000930D0000}"/>
    <cellStyle name="Normal 2 2 2 2 5 5" xfId="1897" xr:uid="{00000000-0005-0000-0000-0000940D0000}"/>
    <cellStyle name="Normal 2 2 2 2 5 50" xfId="1898" xr:uid="{00000000-0005-0000-0000-0000950D0000}"/>
    <cellStyle name="Normal 2 2 2 2 5 51" xfId="1899" xr:uid="{00000000-0005-0000-0000-0000960D0000}"/>
    <cellStyle name="Normal 2 2 2 2 5 52" xfId="1900" xr:uid="{00000000-0005-0000-0000-0000970D0000}"/>
    <cellStyle name="Normal 2 2 2 2 5 53" xfId="1901" xr:uid="{00000000-0005-0000-0000-0000980D0000}"/>
    <cellStyle name="Normal 2 2 2 2 5 54" xfId="1902" xr:uid="{00000000-0005-0000-0000-0000990D0000}"/>
    <cellStyle name="Normal 2 2 2 2 5 55" xfId="1903" xr:uid="{00000000-0005-0000-0000-00009A0D0000}"/>
    <cellStyle name="Normal 2 2 2 2 5 56" xfId="1904" xr:uid="{00000000-0005-0000-0000-00009B0D0000}"/>
    <cellStyle name="Normal 2 2 2 2 5 57" xfId="1905" xr:uid="{00000000-0005-0000-0000-00009C0D0000}"/>
    <cellStyle name="Normal 2 2 2 2 5 58" xfId="1906" xr:uid="{00000000-0005-0000-0000-00009D0D0000}"/>
    <cellStyle name="Normal 2 2 2 2 5 59" xfId="1907" xr:uid="{00000000-0005-0000-0000-00009E0D0000}"/>
    <cellStyle name="Normal 2 2 2 2 5 6" xfId="1908" xr:uid="{00000000-0005-0000-0000-00009F0D0000}"/>
    <cellStyle name="Normal 2 2 2 2 5 60" xfId="1909" xr:uid="{00000000-0005-0000-0000-0000A00D0000}"/>
    <cellStyle name="Normal 2 2 2 2 5 61" xfId="1910" xr:uid="{00000000-0005-0000-0000-0000A10D0000}"/>
    <cellStyle name="Normal 2 2 2 2 5 62" xfId="1911" xr:uid="{00000000-0005-0000-0000-0000A20D0000}"/>
    <cellStyle name="Normal 2 2 2 2 5 63" xfId="1912" xr:uid="{00000000-0005-0000-0000-0000A30D0000}"/>
    <cellStyle name="Normal 2 2 2 2 5 64" xfId="1913" xr:uid="{00000000-0005-0000-0000-0000A40D0000}"/>
    <cellStyle name="Normal 2 2 2 2 5 65" xfId="1914" xr:uid="{00000000-0005-0000-0000-0000A50D0000}"/>
    <cellStyle name="Normal 2 2 2 2 5 66" xfId="1915" xr:uid="{00000000-0005-0000-0000-0000A60D0000}"/>
    <cellStyle name="Normal 2 2 2 2 5 67" xfId="1916" xr:uid="{00000000-0005-0000-0000-0000A70D0000}"/>
    <cellStyle name="Normal 2 2 2 2 5 68" xfId="1917" xr:uid="{00000000-0005-0000-0000-0000A80D0000}"/>
    <cellStyle name="Normal 2 2 2 2 5 69" xfId="1918" xr:uid="{00000000-0005-0000-0000-0000A90D0000}"/>
    <cellStyle name="Normal 2 2 2 2 5 7" xfId="1919" xr:uid="{00000000-0005-0000-0000-0000AA0D0000}"/>
    <cellStyle name="Normal 2 2 2 2 5 70" xfId="1920" xr:uid="{00000000-0005-0000-0000-0000AB0D0000}"/>
    <cellStyle name="Normal 2 2 2 2 5 71" xfId="1921" xr:uid="{00000000-0005-0000-0000-0000AC0D0000}"/>
    <cellStyle name="Normal 2 2 2 2 5 72" xfId="1922" xr:uid="{00000000-0005-0000-0000-0000AD0D0000}"/>
    <cellStyle name="Normal 2 2 2 2 5 73" xfId="1923" xr:uid="{00000000-0005-0000-0000-0000AE0D0000}"/>
    <cellStyle name="Normal 2 2 2 2 5 74" xfId="1924" xr:uid="{00000000-0005-0000-0000-0000AF0D0000}"/>
    <cellStyle name="Normal 2 2 2 2 5 75" xfId="1925" xr:uid="{00000000-0005-0000-0000-0000B00D0000}"/>
    <cellStyle name="Normal 2 2 2 2 5 76" xfId="1926" xr:uid="{00000000-0005-0000-0000-0000B10D0000}"/>
    <cellStyle name="Normal 2 2 2 2 5 77" xfId="1927" xr:uid="{00000000-0005-0000-0000-0000B20D0000}"/>
    <cellStyle name="Normal 2 2 2 2 5 78" xfId="1928" xr:uid="{00000000-0005-0000-0000-0000B30D0000}"/>
    <cellStyle name="Normal 2 2 2 2 5 79" xfId="1929" xr:uid="{00000000-0005-0000-0000-0000B40D0000}"/>
    <cellStyle name="Normal 2 2 2 2 5 8" xfId="1930" xr:uid="{00000000-0005-0000-0000-0000B50D0000}"/>
    <cellStyle name="Normal 2 2 2 2 5 80" xfId="1931" xr:uid="{00000000-0005-0000-0000-0000B60D0000}"/>
    <cellStyle name="Normal 2 2 2 2 5 81" xfId="1932" xr:uid="{00000000-0005-0000-0000-0000B70D0000}"/>
    <cellStyle name="Normal 2 2 2 2 5 82" xfId="1933" xr:uid="{00000000-0005-0000-0000-0000B80D0000}"/>
    <cellStyle name="Normal 2 2 2 2 5 83" xfId="1934" xr:uid="{00000000-0005-0000-0000-0000B90D0000}"/>
    <cellStyle name="Normal 2 2 2 2 5 84" xfId="1935" xr:uid="{00000000-0005-0000-0000-0000BA0D0000}"/>
    <cellStyle name="Normal 2 2 2 2 5 85" xfId="1936" xr:uid="{00000000-0005-0000-0000-0000BB0D0000}"/>
    <cellStyle name="Normal 2 2 2 2 5 86" xfId="1937" xr:uid="{00000000-0005-0000-0000-0000BC0D0000}"/>
    <cellStyle name="Normal 2 2 2 2 5 87" xfId="1938" xr:uid="{00000000-0005-0000-0000-0000BD0D0000}"/>
    <cellStyle name="Normal 2 2 2 2 5 88" xfId="1939" xr:uid="{00000000-0005-0000-0000-0000BE0D0000}"/>
    <cellStyle name="Normal 2 2 2 2 5 89" xfId="1940" xr:uid="{00000000-0005-0000-0000-0000BF0D0000}"/>
    <cellStyle name="Normal 2 2 2 2 5 9" xfId="1941" xr:uid="{00000000-0005-0000-0000-0000C00D0000}"/>
    <cellStyle name="Normal 2 2 2 2 5 90" xfId="1942" xr:uid="{00000000-0005-0000-0000-0000C10D0000}"/>
    <cellStyle name="Normal 2 2 2 2 5 91" xfId="1943" xr:uid="{00000000-0005-0000-0000-0000C20D0000}"/>
    <cellStyle name="Normal 2 2 2 2 5 92" xfId="1944" xr:uid="{00000000-0005-0000-0000-0000C30D0000}"/>
    <cellStyle name="Normal 2 2 2 2 5 93" xfId="1945" xr:uid="{00000000-0005-0000-0000-0000C40D0000}"/>
    <cellStyle name="Normal 2 2 2 2 5 94" xfId="1946" xr:uid="{00000000-0005-0000-0000-0000C50D0000}"/>
    <cellStyle name="Normal 2 2 2 2 5 95" xfId="1947" xr:uid="{00000000-0005-0000-0000-0000C60D0000}"/>
    <cellStyle name="Normal 2 2 2 2 5 96" xfId="1948" xr:uid="{00000000-0005-0000-0000-0000C70D0000}"/>
    <cellStyle name="Normal 2 2 2 2 5 97" xfId="1949" xr:uid="{00000000-0005-0000-0000-0000C80D0000}"/>
    <cellStyle name="Normal 2 2 2 2 5 98" xfId="1950" xr:uid="{00000000-0005-0000-0000-0000C90D0000}"/>
    <cellStyle name="Normal 2 2 2 2 5 99" xfId="1951" xr:uid="{00000000-0005-0000-0000-0000CA0D0000}"/>
    <cellStyle name="Normal 2 2 2 2 50" xfId="1952" xr:uid="{00000000-0005-0000-0000-0000CB0D0000}"/>
    <cellStyle name="Normal 2 2 2 2 51" xfId="1953" xr:uid="{00000000-0005-0000-0000-0000CC0D0000}"/>
    <cellStyle name="Normal 2 2 2 2 52" xfId="1954" xr:uid="{00000000-0005-0000-0000-0000CD0D0000}"/>
    <cellStyle name="Normal 2 2 2 2 53" xfId="1955" xr:uid="{00000000-0005-0000-0000-0000CE0D0000}"/>
    <cellStyle name="Normal 2 2 2 2 54" xfId="1956" xr:uid="{00000000-0005-0000-0000-0000CF0D0000}"/>
    <cellStyle name="Normal 2 2 2 2 55" xfId="1957" xr:uid="{00000000-0005-0000-0000-0000D00D0000}"/>
    <cellStyle name="Normal 2 2 2 2 56" xfId="1958" xr:uid="{00000000-0005-0000-0000-0000D10D0000}"/>
    <cellStyle name="Normal 2 2 2 2 57" xfId="1959" xr:uid="{00000000-0005-0000-0000-0000D20D0000}"/>
    <cellStyle name="Normal 2 2 2 2 58" xfId="1960" xr:uid="{00000000-0005-0000-0000-0000D30D0000}"/>
    <cellStyle name="Normal 2 2 2 2 59" xfId="1961" xr:uid="{00000000-0005-0000-0000-0000D40D0000}"/>
    <cellStyle name="Normal 2 2 2 2 6" xfId="1962" xr:uid="{00000000-0005-0000-0000-0000D50D0000}"/>
    <cellStyle name="Normal 2 2 2 2 60" xfId="1963" xr:uid="{00000000-0005-0000-0000-0000D60D0000}"/>
    <cellStyle name="Normal 2 2 2 2 61" xfId="1964" xr:uid="{00000000-0005-0000-0000-0000D70D0000}"/>
    <cellStyle name="Normal 2 2 2 2 62" xfId="1965" xr:uid="{00000000-0005-0000-0000-0000D80D0000}"/>
    <cellStyle name="Normal 2 2 2 2 63" xfId="1966" xr:uid="{00000000-0005-0000-0000-0000D90D0000}"/>
    <cellStyle name="Normal 2 2 2 2 64" xfId="1967" xr:uid="{00000000-0005-0000-0000-0000DA0D0000}"/>
    <cellStyle name="Normal 2 2 2 2 65" xfId="1968" xr:uid="{00000000-0005-0000-0000-0000DB0D0000}"/>
    <cellStyle name="Normal 2 2 2 2 66" xfId="1969" xr:uid="{00000000-0005-0000-0000-0000DC0D0000}"/>
    <cellStyle name="Normal 2 2 2 2 67" xfId="1970" xr:uid="{00000000-0005-0000-0000-0000DD0D0000}"/>
    <cellStyle name="Normal 2 2 2 2 68" xfId="1971" xr:uid="{00000000-0005-0000-0000-0000DE0D0000}"/>
    <cellStyle name="Normal 2 2 2 2 69" xfId="1972" xr:uid="{00000000-0005-0000-0000-0000DF0D0000}"/>
    <cellStyle name="Normal 2 2 2 2 7" xfId="1973" xr:uid="{00000000-0005-0000-0000-0000E00D0000}"/>
    <cellStyle name="Normal 2 2 2 2 70" xfId="1974" xr:uid="{00000000-0005-0000-0000-0000E10D0000}"/>
    <cellStyle name="Normal 2 2 2 2 71" xfId="1975" xr:uid="{00000000-0005-0000-0000-0000E20D0000}"/>
    <cellStyle name="Normal 2 2 2 2 72" xfId="1976" xr:uid="{00000000-0005-0000-0000-0000E30D0000}"/>
    <cellStyle name="Normal 2 2 2 2 73" xfId="1977" xr:uid="{00000000-0005-0000-0000-0000E40D0000}"/>
    <cellStyle name="Normal 2 2 2 2 74" xfId="1978" xr:uid="{00000000-0005-0000-0000-0000E50D0000}"/>
    <cellStyle name="Normal 2 2 2 2 75" xfId="1979" xr:uid="{00000000-0005-0000-0000-0000E60D0000}"/>
    <cellStyle name="Normal 2 2 2 2 76" xfId="1980" xr:uid="{00000000-0005-0000-0000-0000E70D0000}"/>
    <cellStyle name="Normal 2 2 2 2 77" xfId="1981" xr:uid="{00000000-0005-0000-0000-0000E80D0000}"/>
    <cellStyle name="Normal 2 2 2 2 78" xfId="1982" xr:uid="{00000000-0005-0000-0000-0000E90D0000}"/>
    <cellStyle name="Normal 2 2 2 2 79" xfId="1983" xr:uid="{00000000-0005-0000-0000-0000EA0D0000}"/>
    <cellStyle name="Normal 2 2 2 2 8" xfId="1984" xr:uid="{00000000-0005-0000-0000-0000EB0D0000}"/>
    <cellStyle name="Normal 2 2 2 2 80" xfId="1985" xr:uid="{00000000-0005-0000-0000-0000EC0D0000}"/>
    <cellStyle name="Normal 2 2 2 2 81" xfId="1986" xr:uid="{00000000-0005-0000-0000-0000ED0D0000}"/>
    <cellStyle name="Normal 2 2 2 2 82" xfId="1987" xr:uid="{00000000-0005-0000-0000-0000EE0D0000}"/>
    <cellStyle name="Normal 2 2 2 2 83" xfId="1988" xr:uid="{00000000-0005-0000-0000-0000EF0D0000}"/>
    <cellStyle name="Normal 2 2 2 2 84" xfId="1989" xr:uid="{00000000-0005-0000-0000-0000F00D0000}"/>
    <cellStyle name="Normal 2 2 2 2 85" xfId="1990" xr:uid="{00000000-0005-0000-0000-0000F10D0000}"/>
    <cellStyle name="Normal 2 2 2 2 86" xfId="1991" xr:uid="{00000000-0005-0000-0000-0000F20D0000}"/>
    <cellStyle name="Normal 2 2 2 2 87" xfId="1992" xr:uid="{00000000-0005-0000-0000-0000F30D0000}"/>
    <cellStyle name="Normal 2 2 2 2 88" xfId="1993" xr:uid="{00000000-0005-0000-0000-0000F40D0000}"/>
    <cellStyle name="Normal 2 2 2 2 89" xfId="1994" xr:uid="{00000000-0005-0000-0000-0000F50D0000}"/>
    <cellStyle name="Normal 2 2 2 2 9" xfId="1995" xr:uid="{00000000-0005-0000-0000-0000F60D0000}"/>
    <cellStyle name="Normal 2 2 2 2 90" xfId="1996" xr:uid="{00000000-0005-0000-0000-0000F70D0000}"/>
    <cellStyle name="Normal 2 2 2 2 91" xfId="1997" xr:uid="{00000000-0005-0000-0000-0000F80D0000}"/>
    <cellStyle name="Normal 2 2 2 2 92" xfId="1998" xr:uid="{00000000-0005-0000-0000-0000F90D0000}"/>
    <cellStyle name="Normal 2 2 2 2 93" xfId="1999" xr:uid="{00000000-0005-0000-0000-0000FA0D0000}"/>
    <cellStyle name="Normal 2 2 2 2 94" xfId="2000" xr:uid="{00000000-0005-0000-0000-0000FB0D0000}"/>
    <cellStyle name="Normal 2 2 2 2 95" xfId="2001" xr:uid="{00000000-0005-0000-0000-0000FC0D0000}"/>
    <cellStyle name="Normal 2 2 2 2 96" xfId="2002" xr:uid="{00000000-0005-0000-0000-0000FD0D0000}"/>
    <cellStyle name="Normal 2 2 2 2 97" xfId="2003" xr:uid="{00000000-0005-0000-0000-0000FE0D0000}"/>
    <cellStyle name="Normal 2 2 2 2 98" xfId="2004" xr:uid="{00000000-0005-0000-0000-0000FF0D0000}"/>
    <cellStyle name="Normal 2 2 2 2 99" xfId="2005" xr:uid="{00000000-0005-0000-0000-0000000E0000}"/>
    <cellStyle name="Normal 2 2 2 20" xfId="2006" xr:uid="{00000000-0005-0000-0000-0000010E0000}"/>
    <cellStyle name="Normal 2 2 2 21" xfId="2007" xr:uid="{00000000-0005-0000-0000-0000020E0000}"/>
    <cellStyle name="Normal 2 2 2 22" xfId="2008" xr:uid="{00000000-0005-0000-0000-0000030E0000}"/>
    <cellStyle name="Normal 2 2 2 23" xfId="2009" xr:uid="{00000000-0005-0000-0000-0000040E0000}"/>
    <cellStyle name="Normal 2 2 2 24" xfId="2010" xr:uid="{00000000-0005-0000-0000-0000050E0000}"/>
    <cellStyle name="Normal 2 2 2 25" xfId="2011" xr:uid="{00000000-0005-0000-0000-0000060E0000}"/>
    <cellStyle name="Normal 2 2 2 26" xfId="2012" xr:uid="{00000000-0005-0000-0000-0000070E0000}"/>
    <cellStyle name="Normal 2 2 2 27" xfId="2013" xr:uid="{00000000-0005-0000-0000-0000080E0000}"/>
    <cellStyle name="Normal 2 2 2 28" xfId="2014" xr:uid="{00000000-0005-0000-0000-0000090E0000}"/>
    <cellStyle name="Normal 2 2 2 29" xfId="2015" xr:uid="{00000000-0005-0000-0000-00000A0E0000}"/>
    <cellStyle name="Normal 2 2 2 3" xfId="2016" xr:uid="{00000000-0005-0000-0000-00000B0E0000}"/>
    <cellStyle name="Normal 2 2 2 3 2" xfId="2017" xr:uid="{00000000-0005-0000-0000-00000C0E0000}"/>
    <cellStyle name="Normal 2 2 2 30" xfId="2018" xr:uid="{00000000-0005-0000-0000-00000D0E0000}"/>
    <cellStyle name="Normal 2 2 2 31" xfId="2019" xr:uid="{00000000-0005-0000-0000-00000E0E0000}"/>
    <cellStyle name="Normal 2 2 2 32" xfId="2020" xr:uid="{00000000-0005-0000-0000-00000F0E0000}"/>
    <cellStyle name="Normal 2 2 2 33" xfId="2021" xr:uid="{00000000-0005-0000-0000-0000100E0000}"/>
    <cellStyle name="Normal 2 2 2 34" xfId="2022" xr:uid="{00000000-0005-0000-0000-0000110E0000}"/>
    <cellStyle name="Normal 2 2 2 35" xfId="2023" xr:uid="{00000000-0005-0000-0000-0000120E0000}"/>
    <cellStyle name="Normal 2 2 2 36" xfId="2024" xr:uid="{00000000-0005-0000-0000-0000130E0000}"/>
    <cellStyle name="Normal 2 2 2 37" xfId="2025" xr:uid="{00000000-0005-0000-0000-0000140E0000}"/>
    <cellStyle name="Normal 2 2 2 38" xfId="2026" xr:uid="{00000000-0005-0000-0000-0000150E0000}"/>
    <cellStyle name="Normal 2 2 2 39" xfId="2027" xr:uid="{00000000-0005-0000-0000-0000160E0000}"/>
    <cellStyle name="Normal 2 2 2 4" xfId="2028" xr:uid="{00000000-0005-0000-0000-0000170E0000}"/>
    <cellStyle name="Normal 2 2 2 40" xfId="2029" xr:uid="{00000000-0005-0000-0000-0000180E0000}"/>
    <cellStyle name="Normal 2 2 2 41" xfId="2030" xr:uid="{00000000-0005-0000-0000-0000190E0000}"/>
    <cellStyle name="Normal 2 2 2 42" xfId="2031" xr:uid="{00000000-0005-0000-0000-00001A0E0000}"/>
    <cellStyle name="Normal 2 2 2 43" xfId="2032" xr:uid="{00000000-0005-0000-0000-00001B0E0000}"/>
    <cellStyle name="Normal 2 2 2 44" xfId="2033" xr:uid="{00000000-0005-0000-0000-00001C0E0000}"/>
    <cellStyle name="Normal 2 2 2 45" xfId="2034" xr:uid="{00000000-0005-0000-0000-00001D0E0000}"/>
    <cellStyle name="Normal 2 2 2 46" xfId="2035" xr:uid="{00000000-0005-0000-0000-00001E0E0000}"/>
    <cellStyle name="Normal 2 2 2 47" xfId="2036" xr:uid="{00000000-0005-0000-0000-00001F0E0000}"/>
    <cellStyle name="Normal 2 2 2 48" xfId="2037" xr:uid="{00000000-0005-0000-0000-0000200E0000}"/>
    <cellStyle name="Normal 2 2 2 49" xfId="2038" xr:uid="{00000000-0005-0000-0000-0000210E0000}"/>
    <cellStyle name="Normal 2 2 2 5" xfId="2039" xr:uid="{00000000-0005-0000-0000-0000220E0000}"/>
    <cellStyle name="Normal 2 2 2 5 10" xfId="2040" xr:uid="{00000000-0005-0000-0000-0000230E0000}"/>
    <cellStyle name="Normal 2 2 2 5 100" xfId="2041" xr:uid="{00000000-0005-0000-0000-0000240E0000}"/>
    <cellStyle name="Normal 2 2 2 5 101" xfId="2042" xr:uid="{00000000-0005-0000-0000-0000250E0000}"/>
    <cellStyle name="Normal 2 2 2 5 102" xfId="2043" xr:uid="{00000000-0005-0000-0000-0000260E0000}"/>
    <cellStyle name="Normal 2 2 2 5 103" xfId="2044" xr:uid="{00000000-0005-0000-0000-0000270E0000}"/>
    <cellStyle name="Normal 2 2 2 5 104" xfId="2045" xr:uid="{00000000-0005-0000-0000-0000280E0000}"/>
    <cellStyle name="Normal 2 2 2 5 105" xfId="2046" xr:uid="{00000000-0005-0000-0000-0000290E0000}"/>
    <cellStyle name="Normal 2 2 2 5 106" xfId="2047" xr:uid="{00000000-0005-0000-0000-00002A0E0000}"/>
    <cellStyle name="Normal 2 2 2 5 107" xfId="2048" xr:uid="{00000000-0005-0000-0000-00002B0E0000}"/>
    <cellStyle name="Normal 2 2 2 5 108" xfId="2049" xr:uid="{00000000-0005-0000-0000-00002C0E0000}"/>
    <cellStyle name="Normal 2 2 2 5 109" xfId="2050" xr:uid="{00000000-0005-0000-0000-00002D0E0000}"/>
    <cellStyle name="Normal 2 2 2 5 11" xfId="2051" xr:uid="{00000000-0005-0000-0000-00002E0E0000}"/>
    <cellStyle name="Normal 2 2 2 5 110" xfId="2052" xr:uid="{00000000-0005-0000-0000-00002F0E0000}"/>
    <cellStyle name="Normal 2 2 2 5 12" xfId="2053" xr:uid="{00000000-0005-0000-0000-0000300E0000}"/>
    <cellStyle name="Normal 2 2 2 5 13" xfId="2054" xr:uid="{00000000-0005-0000-0000-0000310E0000}"/>
    <cellStyle name="Normal 2 2 2 5 14" xfId="2055" xr:uid="{00000000-0005-0000-0000-0000320E0000}"/>
    <cellStyle name="Normal 2 2 2 5 15" xfId="2056" xr:uid="{00000000-0005-0000-0000-0000330E0000}"/>
    <cellStyle name="Normal 2 2 2 5 16" xfId="2057" xr:uid="{00000000-0005-0000-0000-0000340E0000}"/>
    <cellStyle name="Normal 2 2 2 5 17" xfId="2058" xr:uid="{00000000-0005-0000-0000-0000350E0000}"/>
    <cellStyle name="Normal 2 2 2 5 18" xfId="2059" xr:uid="{00000000-0005-0000-0000-0000360E0000}"/>
    <cellStyle name="Normal 2 2 2 5 19" xfId="2060" xr:uid="{00000000-0005-0000-0000-0000370E0000}"/>
    <cellStyle name="Normal 2 2 2 5 2" xfId="2061" xr:uid="{00000000-0005-0000-0000-0000380E0000}"/>
    <cellStyle name="Normal 2 2 2 5 20" xfId="2062" xr:uid="{00000000-0005-0000-0000-0000390E0000}"/>
    <cellStyle name="Normal 2 2 2 5 21" xfId="2063" xr:uid="{00000000-0005-0000-0000-00003A0E0000}"/>
    <cellStyle name="Normal 2 2 2 5 22" xfId="2064" xr:uid="{00000000-0005-0000-0000-00003B0E0000}"/>
    <cellStyle name="Normal 2 2 2 5 23" xfId="2065" xr:uid="{00000000-0005-0000-0000-00003C0E0000}"/>
    <cellStyle name="Normal 2 2 2 5 24" xfId="2066" xr:uid="{00000000-0005-0000-0000-00003D0E0000}"/>
    <cellStyle name="Normal 2 2 2 5 25" xfId="2067" xr:uid="{00000000-0005-0000-0000-00003E0E0000}"/>
    <cellStyle name="Normal 2 2 2 5 26" xfId="2068" xr:uid="{00000000-0005-0000-0000-00003F0E0000}"/>
    <cellStyle name="Normal 2 2 2 5 27" xfId="2069" xr:uid="{00000000-0005-0000-0000-0000400E0000}"/>
    <cellStyle name="Normal 2 2 2 5 28" xfId="2070" xr:uid="{00000000-0005-0000-0000-0000410E0000}"/>
    <cellStyle name="Normal 2 2 2 5 29" xfId="2071" xr:uid="{00000000-0005-0000-0000-0000420E0000}"/>
    <cellStyle name="Normal 2 2 2 5 3" xfId="2072" xr:uid="{00000000-0005-0000-0000-0000430E0000}"/>
    <cellStyle name="Normal 2 2 2 5 30" xfId="2073" xr:uid="{00000000-0005-0000-0000-0000440E0000}"/>
    <cellStyle name="Normal 2 2 2 5 31" xfId="2074" xr:uid="{00000000-0005-0000-0000-0000450E0000}"/>
    <cellStyle name="Normal 2 2 2 5 32" xfId="2075" xr:uid="{00000000-0005-0000-0000-0000460E0000}"/>
    <cellStyle name="Normal 2 2 2 5 33" xfId="2076" xr:uid="{00000000-0005-0000-0000-0000470E0000}"/>
    <cellStyle name="Normal 2 2 2 5 34" xfId="2077" xr:uid="{00000000-0005-0000-0000-0000480E0000}"/>
    <cellStyle name="Normal 2 2 2 5 35" xfId="2078" xr:uid="{00000000-0005-0000-0000-0000490E0000}"/>
    <cellStyle name="Normal 2 2 2 5 36" xfId="2079" xr:uid="{00000000-0005-0000-0000-00004A0E0000}"/>
    <cellStyle name="Normal 2 2 2 5 37" xfId="2080" xr:uid="{00000000-0005-0000-0000-00004B0E0000}"/>
    <cellStyle name="Normal 2 2 2 5 38" xfId="2081" xr:uid="{00000000-0005-0000-0000-00004C0E0000}"/>
    <cellStyle name="Normal 2 2 2 5 39" xfId="2082" xr:uid="{00000000-0005-0000-0000-00004D0E0000}"/>
    <cellStyle name="Normal 2 2 2 5 4" xfId="2083" xr:uid="{00000000-0005-0000-0000-00004E0E0000}"/>
    <cellStyle name="Normal 2 2 2 5 40" xfId="2084" xr:uid="{00000000-0005-0000-0000-00004F0E0000}"/>
    <cellStyle name="Normal 2 2 2 5 41" xfId="2085" xr:uid="{00000000-0005-0000-0000-0000500E0000}"/>
    <cellStyle name="Normal 2 2 2 5 42" xfId="2086" xr:uid="{00000000-0005-0000-0000-0000510E0000}"/>
    <cellStyle name="Normal 2 2 2 5 43" xfId="2087" xr:uid="{00000000-0005-0000-0000-0000520E0000}"/>
    <cellStyle name="Normal 2 2 2 5 44" xfId="2088" xr:uid="{00000000-0005-0000-0000-0000530E0000}"/>
    <cellStyle name="Normal 2 2 2 5 45" xfId="2089" xr:uid="{00000000-0005-0000-0000-0000540E0000}"/>
    <cellStyle name="Normal 2 2 2 5 46" xfId="2090" xr:uid="{00000000-0005-0000-0000-0000550E0000}"/>
    <cellStyle name="Normal 2 2 2 5 47" xfId="2091" xr:uid="{00000000-0005-0000-0000-0000560E0000}"/>
    <cellStyle name="Normal 2 2 2 5 48" xfId="2092" xr:uid="{00000000-0005-0000-0000-0000570E0000}"/>
    <cellStyle name="Normal 2 2 2 5 49" xfId="2093" xr:uid="{00000000-0005-0000-0000-0000580E0000}"/>
    <cellStyle name="Normal 2 2 2 5 5" xfId="2094" xr:uid="{00000000-0005-0000-0000-0000590E0000}"/>
    <cellStyle name="Normal 2 2 2 5 50" xfId="2095" xr:uid="{00000000-0005-0000-0000-00005A0E0000}"/>
    <cellStyle name="Normal 2 2 2 5 51" xfId="2096" xr:uid="{00000000-0005-0000-0000-00005B0E0000}"/>
    <cellStyle name="Normal 2 2 2 5 52" xfId="2097" xr:uid="{00000000-0005-0000-0000-00005C0E0000}"/>
    <cellStyle name="Normal 2 2 2 5 53" xfId="2098" xr:uid="{00000000-0005-0000-0000-00005D0E0000}"/>
    <cellStyle name="Normal 2 2 2 5 54" xfId="2099" xr:uid="{00000000-0005-0000-0000-00005E0E0000}"/>
    <cellStyle name="Normal 2 2 2 5 55" xfId="2100" xr:uid="{00000000-0005-0000-0000-00005F0E0000}"/>
    <cellStyle name="Normal 2 2 2 5 56" xfId="2101" xr:uid="{00000000-0005-0000-0000-0000600E0000}"/>
    <cellStyle name="Normal 2 2 2 5 57" xfId="2102" xr:uid="{00000000-0005-0000-0000-0000610E0000}"/>
    <cellStyle name="Normal 2 2 2 5 58" xfId="2103" xr:uid="{00000000-0005-0000-0000-0000620E0000}"/>
    <cellStyle name="Normal 2 2 2 5 59" xfId="2104" xr:uid="{00000000-0005-0000-0000-0000630E0000}"/>
    <cellStyle name="Normal 2 2 2 5 6" xfId="2105" xr:uid="{00000000-0005-0000-0000-0000640E0000}"/>
    <cellStyle name="Normal 2 2 2 5 60" xfId="2106" xr:uid="{00000000-0005-0000-0000-0000650E0000}"/>
    <cellStyle name="Normal 2 2 2 5 61" xfId="2107" xr:uid="{00000000-0005-0000-0000-0000660E0000}"/>
    <cellStyle name="Normal 2 2 2 5 62" xfId="2108" xr:uid="{00000000-0005-0000-0000-0000670E0000}"/>
    <cellStyle name="Normal 2 2 2 5 63" xfId="2109" xr:uid="{00000000-0005-0000-0000-0000680E0000}"/>
    <cellStyle name="Normal 2 2 2 5 64" xfId="2110" xr:uid="{00000000-0005-0000-0000-0000690E0000}"/>
    <cellStyle name="Normal 2 2 2 5 65" xfId="2111" xr:uid="{00000000-0005-0000-0000-00006A0E0000}"/>
    <cellStyle name="Normal 2 2 2 5 66" xfId="2112" xr:uid="{00000000-0005-0000-0000-00006B0E0000}"/>
    <cellStyle name="Normal 2 2 2 5 67" xfId="2113" xr:uid="{00000000-0005-0000-0000-00006C0E0000}"/>
    <cellStyle name="Normal 2 2 2 5 68" xfId="2114" xr:uid="{00000000-0005-0000-0000-00006D0E0000}"/>
    <cellStyle name="Normal 2 2 2 5 69" xfId="2115" xr:uid="{00000000-0005-0000-0000-00006E0E0000}"/>
    <cellStyle name="Normal 2 2 2 5 7" xfId="2116" xr:uid="{00000000-0005-0000-0000-00006F0E0000}"/>
    <cellStyle name="Normal 2 2 2 5 70" xfId="2117" xr:uid="{00000000-0005-0000-0000-0000700E0000}"/>
    <cellStyle name="Normal 2 2 2 5 71" xfId="2118" xr:uid="{00000000-0005-0000-0000-0000710E0000}"/>
    <cellStyle name="Normal 2 2 2 5 72" xfId="2119" xr:uid="{00000000-0005-0000-0000-0000720E0000}"/>
    <cellStyle name="Normal 2 2 2 5 73" xfId="2120" xr:uid="{00000000-0005-0000-0000-0000730E0000}"/>
    <cellStyle name="Normal 2 2 2 5 74" xfId="2121" xr:uid="{00000000-0005-0000-0000-0000740E0000}"/>
    <cellStyle name="Normal 2 2 2 5 75" xfId="2122" xr:uid="{00000000-0005-0000-0000-0000750E0000}"/>
    <cellStyle name="Normal 2 2 2 5 76" xfId="2123" xr:uid="{00000000-0005-0000-0000-0000760E0000}"/>
    <cellStyle name="Normal 2 2 2 5 77" xfId="2124" xr:uid="{00000000-0005-0000-0000-0000770E0000}"/>
    <cellStyle name="Normal 2 2 2 5 78" xfId="2125" xr:uid="{00000000-0005-0000-0000-0000780E0000}"/>
    <cellStyle name="Normal 2 2 2 5 79" xfId="2126" xr:uid="{00000000-0005-0000-0000-0000790E0000}"/>
    <cellStyle name="Normal 2 2 2 5 8" xfId="2127" xr:uid="{00000000-0005-0000-0000-00007A0E0000}"/>
    <cellStyle name="Normal 2 2 2 5 80" xfId="2128" xr:uid="{00000000-0005-0000-0000-00007B0E0000}"/>
    <cellStyle name="Normal 2 2 2 5 81" xfId="2129" xr:uid="{00000000-0005-0000-0000-00007C0E0000}"/>
    <cellStyle name="Normal 2 2 2 5 82" xfId="2130" xr:uid="{00000000-0005-0000-0000-00007D0E0000}"/>
    <cellStyle name="Normal 2 2 2 5 83" xfId="2131" xr:uid="{00000000-0005-0000-0000-00007E0E0000}"/>
    <cellStyle name="Normal 2 2 2 5 84" xfId="2132" xr:uid="{00000000-0005-0000-0000-00007F0E0000}"/>
    <cellStyle name="Normal 2 2 2 5 85" xfId="2133" xr:uid="{00000000-0005-0000-0000-0000800E0000}"/>
    <cellStyle name="Normal 2 2 2 5 86" xfId="2134" xr:uid="{00000000-0005-0000-0000-0000810E0000}"/>
    <cellStyle name="Normal 2 2 2 5 87" xfId="2135" xr:uid="{00000000-0005-0000-0000-0000820E0000}"/>
    <cellStyle name="Normal 2 2 2 5 88" xfId="2136" xr:uid="{00000000-0005-0000-0000-0000830E0000}"/>
    <cellStyle name="Normal 2 2 2 5 89" xfId="2137" xr:uid="{00000000-0005-0000-0000-0000840E0000}"/>
    <cellStyle name="Normal 2 2 2 5 9" xfId="2138" xr:uid="{00000000-0005-0000-0000-0000850E0000}"/>
    <cellStyle name="Normal 2 2 2 5 90" xfId="2139" xr:uid="{00000000-0005-0000-0000-0000860E0000}"/>
    <cellStyle name="Normal 2 2 2 5 91" xfId="2140" xr:uid="{00000000-0005-0000-0000-0000870E0000}"/>
    <cellStyle name="Normal 2 2 2 5 92" xfId="2141" xr:uid="{00000000-0005-0000-0000-0000880E0000}"/>
    <cellStyle name="Normal 2 2 2 5 93" xfId="2142" xr:uid="{00000000-0005-0000-0000-0000890E0000}"/>
    <cellStyle name="Normal 2 2 2 5 94" xfId="2143" xr:uid="{00000000-0005-0000-0000-00008A0E0000}"/>
    <cellStyle name="Normal 2 2 2 5 95" xfId="2144" xr:uid="{00000000-0005-0000-0000-00008B0E0000}"/>
    <cellStyle name="Normal 2 2 2 5 96" xfId="2145" xr:uid="{00000000-0005-0000-0000-00008C0E0000}"/>
    <cellStyle name="Normal 2 2 2 5 97" xfId="2146" xr:uid="{00000000-0005-0000-0000-00008D0E0000}"/>
    <cellStyle name="Normal 2 2 2 5 98" xfId="2147" xr:uid="{00000000-0005-0000-0000-00008E0E0000}"/>
    <cellStyle name="Normal 2 2 2 5 99" xfId="2148" xr:uid="{00000000-0005-0000-0000-00008F0E0000}"/>
    <cellStyle name="Normal 2 2 2 50" xfId="2149" xr:uid="{00000000-0005-0000-0000-0000900E0000}"/>
    <cellStyle name="Normal 2 2 2 51" xfId="2150" xr:uid="{00000000-0005-0000-0000-0000910E0000}"/>
    <cellStyle name="Normal 2 2 2 52" xfId="2151" xr:uid="{00000000-0005-0000-0000-0000920E0000}"/>
    <cellStyle name="Normal 2 2 2 53" xfId="2152" xr:uid="{00000000-0005-0000-0000-0000930E0000}"/>
    <cellStyle name="Normal 2 2 2 54" xfId="2153" xr:uid="{00000000-0005-0000-0000-0000940E0000}"/>
    <cellStyle name="Normal 2 2 2 55" xfId="2154" xr:uid="{00000000-0005-0000-0000-0000950E0000}"/>
    <cellStyle name="Normal 2 2 2 56" xfId="2155" xr:uid="{00000000-0005-0000-0000-0000960E0000}"/>
    <cellStyle name="Normal 2 2 2 57" xfId="2156" xr:uid="{00000000-0005-0000-0000-0000970E0000}"/>
    <cellStyle name="Normal 2 2 2 58" xfId="2157" xr:uid="{00000000-0005-0000-0000-0000980E0000}"/>
    <cellStyle name="Normal 2 2 2 59" xfId="2158" xr:uid="{00000000-0005-0000-0000-0000990E0000}"/>
    <cellStyle name="Normal 2 2 2 6" xfId="2159" xr:uid="{00000000-0005-0000-0000-00009A0E0000}"/>
    <cellStyle name="Normal 2 2 2 60" xfId="2160" xr:uid="{00000000-0005-0000-0000-00009B0E0000}"/>
    <cellStyle name="Normal 2 2 2 61" xfId="2161" xr:uid="{00000000-0005-0000-0000-00009C0E0000}"/>
    <cellStyle name="Normal 2 2 2 62" xfId="2162" xr:uid="{00000000-0005-0000-0000-00009D0E0000}"/>
    <cellStyle name="Normal 2 2 2 63" xfId="2163" xr:uid="{00000000-0005-0000-0000-00009E0E0000}"/>
    <cellStyle name="Normal 2 2 2 64" xfId="2164" xr:uid="{00000000-0005-0000-0000-00009F0E0000}"/>
    <cellStyle name="Normal 2 2 2 65" xfId="2165" xr:uid="{00000000-0005-0000-0000-0000A00E0000}"/>
    <cellStyle name="Normal 2 2 2 66" xfId="2166" xr:uid="{00000000-0005-0000-0000-0000A10E0000}"/>
    <cellStyle name="Normal 2 2 2 67" xfId="2167" xr:uid="{00000000-0005-0000-0000-0000A20E0000}"/>
    <cellStyle name="Normal 2 2 2 68" xfId="2168" xr:uid="{00000000-0005-0000-0000-0000A30E0000}"/>
    <cellStyle name="Normal 2 2 2 69" xfId="2169" xr:uid="{00000000-0005-0000-0000-0000A40E0000}"/>
    <cellStyle name="Normal 2 2 2 7" xfId="2170" xr:uid="{00000000-0005-0000-0000-0000A50E0000}"/>
    <cellStyle name="Normal 2 2 2 70" xfId="2171" xr:uid="{00000000-0005-0000-0000-0000A60E0000}"/>
    <cellStyle name="Normal 2 2 2 71" xfId="2172" xr:uid="{00000000-0005-0000-0000-0000A70E0000}"/>
    <cellStyle name="Normal 2 2 2 72" xfId="2173" xr:uid="{00000000-0005-0000-0000-0000A80E0000}"/>
    <cellStyle name="Normal 2 2 2 73" xfId="2174" xr:uid="{00000000-0005-0000-0000-0000A90E0000}"/>
    <cellStyle name="Normal 2 2 2 74" xfId="2175" xr:uid="{00000000-0005-0000-0000-0000AA0E0000}"/>
    <cellStyle name="Normal 2 2 2 75" xfId="2176" xr:uid="{00000000-0005-0000-0000-0000AB0E0000}"/>
    <cellStyle name="Normal 2 2 2 76" xfId="2177" xr:uid="{00000000-0005-0000-0000-0000AC0E0000}"/>
    <cellStyle name="Normal 2 2 2 77" xfId="2178" xr:uid="{00000000-0005-0000-0000-0000AD0E0000}"/>
    <cellStyle name="Normal 2 2 2 78" xfId="2179" xr:uid="{00000000-0005-0000-0000-0000AE0E0000}"/>
    <cellStyle name="Normal 2 2 2 79" xfId="2180" xr:uid="{00000000-0005-0000-0000-0000AF0E0000}"/>
    <cellStyle name="Normal 2 2 2 8" xfId="2181" xr:uid="{00000000-0005-0000-0000-0000B00E0000}"/>
    <cellStyle name="Normal 2 2 2 80" xfId="2182" xr:uid="{00000000-0005-0000-0000-0000B10E0000}"/>
    <cellStyle name="Normal 2 2 2 81" xfId="2183" xr:uid="{00000000-0005-0000-0000-0000B20E0000}"/>
    <cellStyle name="Normal 2 2 2 82" xfId="2184" xr:uid="{00000000-0005-0000-0000-0000B30E0000}"/>
    <cellStyle name="Normal 2 2 2 83" xfId="2185" xr:uid="{00000000-0005-0000-0000-0000B40E0000}"/>
    <cellStyle name="Normal 2 2 2 84" xfId="2186" xr:uid="{00000000-0005-0000-0000-0000B50E0000}"/>
    <cellStyle name="Normal 2 2 2 85" xfId="2187" xr:uid="{00000000-0005-0000-0000-0000B60E0000}"/>
    <cellStyle name="Normal 2 2 2 86" xfId="2188" xr:uid="{00000000-0005-0000-0000-0000B70E0000}"/>
    <cellStyle name="Normal 2 2 2 87" xfId="2189" xr:uid="{00000000-0005-0000-0000-0000B80E0000}"/>
    <cellStyle name="Normal 2 2 2 88" xfId="2190" xr:uid="{00000000-0005-0000-0000-0000B90E0000}"/>
    <cellStyle name="Normal 2 2 2 89" xfId="2191" xr:uid="{00000000-0005-0000-0000-0000BA0E0000}"/>
    <cellStyle name="Normal 2 2 2 9" xfId="2192" xr:uid="{00000000-0005-0000-0000-0000BB0E0000}"/>
    <cellStyle name="Normal 2 2 2 90" xfId="2193" xr:uid="{00000000-0005-0000-0000-0000BC0E0000}"/>
    <cellStyle name="Normal 2 2 2 91" xfId="2194" xr:uid="{00000000-0005-0000-0000-0000BD0E0000}"/>
    <cellStyle name="Normal 2 2 2 92" xfId="2195" xr:uid="{00000000-0005-0000-0000-0000BE0E0000}"/>
    <cellStyle name="Normal 2 2 2 93" xfId="2196" xr:uid="{00000000-0005-0000-0000-0000BF0E0000}"/>
    <cellStyle name="Normal 2 2 2 94" xfId="2197" xr:uid="{00000000-0005-0000-0000-0000C00E0000}"/>
    <cellStyle name="Normal 2 2 2 95" xfId="2198" xr:uid="{00000000-0005-0000-0000-0000C10E0000}"/>
    <cellStyle name="Normal 2 2 2 96" xfId="2199" xr:uid="{00000000-0005-0000-0000-0000C20E0000}"/>
    <cellStyle name="Normal 2 2 2 97" xfId="2200" xr:uid="{00000000-0005-0000-0000-0000C30E0000}"/>
    <cellStyle name="Normal 2 2 2 98" xfId="2201" xr:uid="{00000000-0005-0000-0000-0000C40E0000}"/>
    <cellStyle name="Normal 2 2 2 99" xfId="2202" xr:uid="{00000000-0005-0000-0000-0000C50E0000}"/>
    <cellStyle name="Normal 2 2 20" xfId="2203" xr:uid="{00000000-0005-0000-0000-0000C60E0000}"/>
    <cellStyle name="Normal 2 2 21" xfId="2204" xr:uid="{00000000-0005-0000-0000-0000C70E0000}"/>
    <cellStyle name="Normal 2 2 22" xfId="2205" xr:uid="{00000000-0005-0000-0000-0000C80E0000}"/>
    <cellStyle name="Normal 2 2 23" xfId="2206" xr:uid="{00000000-0005-0000-0000-0000C90E0000}"/>
    <cellStyle name="Normal 2 2 24" xfId="2207" xr:uid="{00000000-0005-0000-0000-0000CA0E0000}"/>
    <cellStyle name="Normal 2 2 25" xfId="2208" xr:uid="{00000000-0005-0000-0000-0000CB0E0000}"/>
    <cellStyle name="Normal 2 2 26" xfId="2209" xr:uid="{00000000-0005-0000-0000-0000CC0E0000}"/>
    <cellStyle name="Normal 2 2 27" xfId="2210" xr:uid="{00000000-0005-0000-0000-0000CD0E0000}"/>
    <cellStyle name="Normal 2 2 28" xfId="2211" xr:uid="{00000000-0005-0000-0000-0000CE0E0000}"/>
    <cellStyle name="Normal 2 2 29" xfId="2212" xr:uid="{00000000-0005-0000-0000-0000CF0E0000}"/>
    <cellStyle name="Normal 2 2 3" xfId="2213" xr:uid="{00000000-0005-0000-0000-0000D00E0000}"/>
    <cellStyle name="Normal 2 2 30" xfId="2214" xr:uid="{00000000-0005-0000-0000-0000D10E0000}"/>
    <cellStyle name="Normal 2 2 31" xfId="2215" xr:uid="{00000000-0005-0000-0000-0000D20E0000}"/>
    <cellStyle name="Normal 2 2 32" xfId="2216" xr:uid="{00000000-0005-0000-0000-0000D30E0000}"/>
    <cellStyle name="Normal 2 2 33" xfId="2217" xr:uid="{00000000-0005-0000-0000-0000D40E0000}"/>
    <cellStyle name="Normal 2 2 34" xfId="2218" xr:uid="{00000000-0005-0000-0000-0000D50E0000}"/>
    <cellStyle name="Normal 2 2 35" xfId="2219" xr:uid="{00000000-0005-0000-0000-0000D60E0000}"/>
    <cellStyle name="Normal 2 2 36" xfId="2220" xr:uid="{00000000-0005-0000-0000-0000D70E0000}"/>
    <cellStyle name="Normal 2 2 37" xfId="2221" xr:uid="{00000000-0005-0000-0000-0000D80E0000}"/>
    <cellStyle name="Normal 2 2 38" xfId="2222" xr:uid="{00000000-0005-0000-0000-0000D90E0000}"/>
    <cellStyle name="Normal 2 2 39" xfId="2223" xr:uid="{00000000-0005-0000-0000-0000DA0E0000}"/>
    <cellStyle name="Normal 2 2 4" xfId="2224" xr:uid="{00000000-0005-0000-0000-0000DB0E0000}"/>
    <cellStyle name="Normal 2 2 4 2" xfId="2225" xr:uid="{00000000-0005-0000-0000-0000DC0E0000}"/>
    <cellStyle name="Normal 2 2 40" xfId="2226" xr:uid="{00000000-0005-0000-0000-0000DD0E0000}"/>
    <cellStyle name="Normal 2 2 41" xfId="2227" xr:uid="{00000000-0005-0000-0000-0000DE0E0000}"/>
    <cellStyle name="Normal 2 2 42" xfId="2228" xr:uid="{00000000-0005-0000-0000-0000DF0E0000}"/>
    <cellStyle name="Normal 2 2 43" xfId="2229" xr:uid="{00000000-0005-0000-0000-0000E00E0000}"/>
    <cellStyle name="Normal 2 2 44" xfId="2230" xr:uid="{00000000-0005-0000-0000-0000E10E0000}"/>
    <cellStyle name="Normal 2 2 45" xfId="2231" xr:uid="{00000000-0005-0000-0000-0000E20E0000}"/>
    <cellStyle name="Normal 2 2 46" xfId="2232" xr:uid="{00000000-0005-0000-0000-0000E30E0000}"/>
    <cellStyle name="Normal 2 2 47" xfId="2233" xr:uid="{00000000-0005-0000-0000-0000E40E0000}"/>
    <cellStyle name="Normal 2 2 48" xfId="2234" xr:uid="{00000000-0005-0000-0000-0000E50E0000}"/>
    <cellStyle name="Normal 2 2 49" xfId="2235" xr:uid="{00000000-0005-0000-0000-0000E60E0000}"/>
    <cellStyle name="Normal 2 2 5" xfId="2236" xr:uid="{00000000-0005-0000-0000-0000E70E0000}"/>
    <cellStyle name="Normal 2 2 50" xfId="2237" xr:uid="{00000000-0005-0000-0000-0000E80E0000}"/>
    <cellStyle name="Normal 2 2 51" xfId="2238" xr:uid="{00000000-0005-0000-0000-0000E90E0000}"/>
    <cellStyle name="Normal 2 2 52" xfId="2239" xr:uid="{00000000-0005-0000-0000-0000EA0E0000}"/>
    <cellStyle name="Normal 2 2 53" xfId="2240" xr:uid="{00000000-0005-0000-0000-0000EB0E0000}"/>
    <cellStyle name="Normal 2 2 54" xfId="2241" xr:uid="{00000000-0005-0000-0000-0000EC0E0000}"/>
    <cellStyle name="Normal 2 2 55" xfId="2242" xr:uid="{00000000-0005-0000-0000-0000ED0E0000}"/>
    <cellStyle name="Normal 2 2 56" xfId="2243" xr:uid="{00000000-0005-0000-0000-0000EE0E0000}"/>
    <cellStyle name="Normal 2 2 57" xfId="2244" xr:uid="{00000000-0005-0000-0000-0000EF0E0000}"/>
    <cellStyle name="Normal 2 2 58" xfId="2245" xr:uid="{00000000-0005-0000-0000-0000F00E0000}"/>
    <cellStyle name="Normal 2 2 59" xfId="2246" xr:uid="{00000000-0005-0000-0000-0000F10E0000}"/>
    <cellStyle name="Normal 2 2 6" xfId="2247" xr:uid="{00000000-0005-0000-0000-0000F20E0000}"/>
    <cellStyle name="Normal 2 2 6 10" xfId="2248" xr:uid="{00000000-0005-0000-0000-0000F30E0000}"/>
    <cellStyle name="Normal 2 2 6 100" xfId="2249" xr:uid="{00000000-0005-0000-0000-0000F40E0000}"/>
    <cellStyle name="Normal 2 2 6 101" xfId="2250" xr:uid="{00000000-0005-0000-0000-0000F50E0000}"/>
    <cellStyle name="Normal 2 2 6 102" xfId="2251" xr:uid="{00000000-0005-0000-0000-0000F60E0000}"/>
    <cellStyle name="Normal 2 2 6 103" xfId="2252" xr:uid="{00000000-0005-0000-0000-0000F70E0000}"/>
    <cellStyle name="Normal 2 2 6 104" xfId="2253" xr:uid="{00000000-0005-0000-0000-0000F80E0000}"/>
    <cellStyle name="Normal 2 2 6 105" xfId="2254" xr:uid="{00000000-0005-0000-0000-0000F90E0000}"/>
    <cellStyle name="Normal 2 2 6 106" xfId="2255" xr:uid="{00000000-0005-0000-0000-0000FA0E0000}"/>
    <cellStyle name="Normal 2 2 6 107" xfId="2256" xr:uid="{00000000-0005-0000-0000-0000FB0E0000}"/>
    <cellStyle name="Normal 2 2 6 108" xfId="2257" xr:uid="{00000000-0005-0000-0000-0000FC0E0000}"/>
    <cellStyle name="Normal 2 2 6 109" xfId="2258" xr:uid="{00000000-0005-0000-0000-0000FD0E0000}"/>
    <cellStyle name="Normal 2 2 6 11" xfId="2259" xr:uid="{00000000-0005-0000-0000-0000FE0E0000}"/>
    <cellStyle name="Normal 2 2 6 110" xfId="2260" xr:uid="{00000000-0005-0000-0000-0000FF0E0000}"/>
    <cellStyle name="Normal 2 2 6 12" xfId="2261" xr:uid="{00000000-0005-0000-0000-0000000F0000}"/>
    <cellStyle name="Normal 2 2 6 13" xfId="2262" xr:uid="{00000000-0005-0000-0000-0000010F0000}"/>
    <cellStyle name="Normal 2 2 6 14" xfId="2263" xr:uid="{00000000-0005-0000-0000-0000020F0000}"/>
    <cellStyle name="Normal 2 2 6 15" xfId="2264" xr:uid="{00000000-0005-0000-0000-0000030F0000}"/>
    <cellStyle name="Normal 2 2 6 16" xfId="2265" xr:uid="{00000000-0005-0000-0000-0000040F0000}"/>
    <cellStyle name="Normal 2 2 6 17" xfId="2266" xr:uid="{00000000-0005-0000-0000-0000050F0000}"/>
    <cellStyle name="Normal 2 2 6 18" xfId="2267" xr:uid="{00000000-0005-0000-0000-0000060F0000}"/>
    <cellStyle name="Normal 2 2 6 19" xfId="2268" xr:uid="{00000000-0005-0000-0000-0000070F0000}"/>
    <cellStyle name="Normal 2 2 6 2" xfId="2269" xr:uid="{00000000-0005-0000-0000-0000080F0000}"/>
    <cellStyle name="Normal 2 2 6 20" xfId="2270" xr:uid="{00000000-0005-0000-0000-0000090F0000}"/>
    <cellStyle name="Normal 2 2 6 21" xfId="2271" xr:uid="{00000000-0005-0000-0000-00000A0F0000}"/>
    <cellStyle name="Normal 2 2 6 22" xfId="2272" xr:uid="{00000000-0005-0000-0000-00000B0F0000}"/>
    <cellStyle name="Normal 2 2 6 23" xfId="2273" xr:uid="{00000000-0005-0000-0000-00000C0F0000}"/>
    <cellStyle name="Normal 2 2 6 24" xfId="2274" xr:uid="{00000000-0005-0000-0000-00000D0F0000}"/>
    <cellStyle name="Normal 2 2 6 25" xfId="2275" xr:uid="{00000000-0005-0000-0000-00000E0F0000}"/>
    <cellStyle name="Normal 2 2 6 26" xfId="2276" xr:uid="{00000000-0005-0000-0000-00000F0F0000}"/>
    <cellStyle name="Normal 2 2 6 27" xfId="2277" xr:uid="{00000000-0005-0000-0000-0000100F0000}"/>
    <cellStyle name="Normal 2 2 6 28" xfId="2278" xr:uid="{00000000-0005-0000-0000-0000110F0000}"/>
    <cellStyle name="Normal 2 2 6 29" xfId="2279" xr:uid="{00000000-0005-0000-0000-0000120F0000}"/>
    <cellStyle name="Normal 2 2 6 3" xfId="2280" xr:uid="{00000000-0005-0000-0000-0000130F0000}"/>
    <cellStyle name="Normal 2 2 6 30" xfId="2281" xr:uid="{00000000-0005-0000-0000-0000140F0000}"/>
    <cellStyle name="Normal 2 2 6 31" xfId="2282" xr:uid="{00000000-0005-0000-0000-0000150F0000}"/>
    <cellStyle name="Normal 2 2 6 32" xfId="2283" xr:uid="{00000000-0005-0000-0000-0000160F0000}"/>
    <cellStyle name="Normal 2 2 6 33" xfId="2284" xr:uid="{00000000-0005-0000-0000-0000170F0000}"/>
    <cellStyle name="Normal 2 2 6 34" xfId="2285" xr:uid="{00000000-0005-0000-0000-0000180F0000}"/>
    <cellStyle name="Normal 2 2 6 35" xfId="2286" xr:uid="{00000000-0005-0000-0000-0000190F0000}"/>
    <cellStyle name="Normal 2 2 6 36" xfId="2287" xr:uid="{00000000-0005-0000-0000-00001A0F0000}"/>
    <cellStyle name="Normal 2 2 6 37" xfId="2288" xr:uid="{00000000-0005-0000-0000-00001B0F0000}"/>
    <cellStyle name="Normal 2 2 6 38" xfId="2289" xr:uid="{00000000-0005-0000-0000-00001C0F0000}"/>
    <cellStyle name="Normal 2 2 6 39" xfId="2290" xr:uid="{00000000-0005-0000-0000-00001D0F0000}"/>
    <cellStyle name="Normal 2 2 6 4" xfId="2291" xr:uid="{00000000-0005-0000-0000-00001E0F0000}"/>
    <cellStyle name="Normal 2 2 6 40" xfId="2292" xr:uid="{00000000-0005-0000-0000-00001F0F0000}"/>
    <cellStyle name="Normal 2 2 6 41" xfId="2293" xr:uid="{00000000-0005-0000-0000-0000200F0000}"/>
    <cellStyle name="Normal 2 2 6 42" xfId="2294" xr:uid="{00000000-0005-0000-0000-0000210F0000}"/>
    <cellStyle name="Normal 2 2 6 43" xfId="2295" xr:uid="{00000000-0005-0000-0000-0000220F0000}"/>
    <cellStyle name="Normal 2 2 6 44" xfId="2296" xr:uid="{00000000-0005-0000-0000-0000230F0000}"/>
    <cellStyle name="Normal 2 2 6 45" xfId="2297" xr:uid="{00000000-0005-0000-0000-0000240F0000}"/>
    <cellStyle name="Normal 2 2 6 46" xfId="2298" xr:uid="{00000000-0005-0000-0000-0000250F0000}"/>
    <cellStyle name="Normal 2 2 6 47" xfId="2299" xr:uid="{00000000-0005-0000-0000-0000260F0000}"/>
    <cellStyle name="Normal 2 2 6 48" xfId="2300" xr:uid="{00000000-0005-0000-0000-0000270F0000}"/>
    <cellStyle name="Normal 2 2 6 49" xfId="2301" xr:uid="{00000000-0005-0000-0000-0000280F0000}"/>
    <cellStyle name="Normal 2 2 6 5" xfId="2302" xr:uid="{00000000-0005-0000-0000-0000290F0000}"/>
    <cellStyle name="Normal 2 2 6 50" xfId="2303" xr:uid="{00000000-0005-0000-0000-00002A0F0000}"/>
    <cellStyle name="Normal 2 2 6 51" xfId="2304" xr:uid="{00000000-0005-0000-0000-00002B0F0000}"/>
    <cellStyle name="Normal 2 2 6 52" xfId="2305" xr:uid="{00000000-0005-0000-0000-00002C0F0000}"/>
    <cellStyle name="Normal 2 2 6 53" xfId="2306" xr:uid="{00000000-0005-0000-0000-00002D0F0000}"/>
    <cellStyle name="Normal 2 2 6 54" xfId="2307" xr:uid="{00000000-0005-0000-0000-00002E0F0000}"/>
    <cellStyle name="Normal 2 2 6 55" xfId="2308" xr:uid="{00000000-0005-0000-0000-00002F0F0000}"/>
    <cellStyle name="Normal 2 2 6 56" xfId="2309" xr:uid="{00000000-0005-0000-0000-0000300F0000}"/>
    <cellStyle name="Normal 2 2 6 57" xfId="2310" xr:uid="{00000000-0005-0000-0000-0000310F0000}"/>
    <cellStyle name="Normal 2 2 6 58" xfId="2311" xr:uid="{00000000-0005-0000-0000-0000320F0000}"/>
    <cellStyle name="Normal 2 2 6 59" xfId="2312" xr:uid="{00000000-0005-0000-0000-0000330F0000}"/>
    <cellStyle name="Normal 2 2 6 6" xfId="2313" xr:uid="{00000000-0005-0000-0000-0000340F0000}"/>
    <cellStyle name="Normal 2 2 6 60" xfId="2314" xr:uid="{00000000-0005-0000-0000-0000350F0000}"/>
    <cellStyle name="Normal 2 2 6 61" xfId="2315" xr:uid="{00000000-0005-0000-0000-0000360F0000}"/>
    <cellStyle name="Normal 2 2 6 62" xfId="2316" xr:uid="{00000000-0005-0000-0000-0000370F0000}"/>
    <cellStyle name="Normal 2 2 6 63" xfId="2317" xr:uid="{00000000-0005-0000-0000-0000380F0000}"/>
    <cellStyle name="Normal 2 2 6 64" xfId="2318" xr:uid="{00000000-0005-0000-0000-0000390F0000}"/>
    <cellStyle name="Normal 2 2 6 65" xfId="2319" xr:uid="{00000000-0005-0000-0000-00003A0F0000}"/>
    <cellStyle name="Normal 2 2 6 66" xfId="2320" xr:uid="{00000000-0005-0000-0000-00003B0F0000}"/>
    <cellStyle name="Normal 2 2 6 67" xfId="2321" xr:uid="{00000000-0005-0000-0000-00003C0F0000}"/>
    <cellStyle name="Normal 2 2 6 68" xfId="2322" xr:uid="{00000000-0005-0000-0000-00003D0F0000}"/>
    <cellStyle name="Normal 2 2 6 69" xfId="2323" xr:uid="{00000000-0005-0000-0000-00003E0F0000}"/>
    <cellStyle name="Normal 2 2 6 7" xfId="2324" xr:uid="{00000000-0005-0000-0000-00003F0F0000}"/>
    <cellStyle name="Normal 2 2 6 70" xfId="2325" xr:uid="{00000000-0005-0000-0000-0000400F0000}"/>
    <cellStyle name="Normal 2 2 6 71" xfId="2326" xr:uid="{00000000-0005-0000-0000-0000410F0000}"/>
    <cellStyle name="Normal 2 2 6 72" xfId="2327" xr:uid="{00000000-0005-0000-0000-0000420F0000}"/>
    <cellStyle name="Normal 2 2 6 73" xfId="2328" xr:uid="{00000000-0005-0000-0000-0000430F0000}"/>
    <cellStyle name="Normal 2 2 6 74" xfId="2329" xr:uid="{00000000-0005-0000-0000-0000440F0000}"/>
    <cellStyle name="Normal 2 2 6 75" xfId="2330" xr:uid="{00000000-0005-0000-0000-0000450F0000}"/>
    <cellStyle name="Normal 2 2 6 76" xfId="2331" xr:uid="{00000000-0005-0000-0000-0000460F0000}"/>
    <cellStyle name="Normal 2 2 6 77" xfId="2332" xr:uid="{00000000-0005-0000-0000-0000470F0000}"/>
    <cellStyle name="Normal 2 2 6 78" xfId="2333" xr:uid="{00000000-0005-0000-0000-0000480F0000}"/>
    <cellStyle name="Normal 2 2 6 79" xfId="2334" xr:uid="{00000000-0005-0000-0000-0000490F0000}"/>
    <cellStyle name="Normal 2 2 6 8" xfId="2335" xr:uid="{00000000-0005-0000-0000-00004A0F0000}"/>
    <cellStyle name="Normal 2 2 6 80" xfId="2336" xr:uid="{00000000-0005-0000-0000-00004B0F0000}"/>
    <cellStyle name="Normal 2 2 6 81" xfId="2337" xr:uid="{00000000-0005-0000-0000-00004C0F0000}"/>
    <cellStyle name="Normal 2 2 6 82" xfId="2338" xr:uid="{00000000-0005-0000-0000-00004D0F0000}"/>
    <cellStyle name="Normal 2 2 6 83" xfId="2339" xr:uid="{00000000-0005-0000-0000-00004E0F0000}"/>
    <cellStyle name="Normal 2 2 6 84" xfId="2340" xr:uid="{00000000-0005-0000-0000-00004F0F0000}"/>
    <cellStyle name="Normal 2 2 6 85" xfId="2341" xr:uid="{00000000-0005-0000-0000-0000500F0000}"/>
    <cellStyle name="Normal 2 2 6 86" xfId="2342" xr:uid="{00000000-0005-0000-0000-0000510F0000}"/>
    <cellStyle name="Normal 2 2 6 87" xfId="2343" xr:uid="{00000000-0005-0000-0000-0000520F0000}"/>
    <cellStyle name="Normal 2 2 6 88" xfId="2344" xr:uid="{00000000-0005-0000-0000-0000530F0000}"/>
    <cellStyle name="Normal 2 2 6 89" xfId="2345" xr:uid="{00000000-0005-0000-0000-0000540F0000}"/>
    <cellStyle name="Normal 2 2 6 9" xfId="2346" xr:uid="{00000000-0005-0000-0000-0000550F0000}"/>
    <cellStyle name="Normal 2 2 6 90" xfId="2347" xr:uid="{00000000-0005-0000-0000-0000560F0000}"/>
    <cellStyle name="Normal 2 2 6 91" xfId="2348" xr:uid="{00000000-0005-0000-0000-0000570F0000}"/>
    <cellStyle name="Normal 2 2 6 92" xfId="2349" xr:uid="{00000000-0005-0000-0000-0000580F0000}"/>
    <cellStyle name="Normal 2 2 6 93" xfId="2350" xr:uid="{00000000-0005-0000-0000-0000590F0000}"/>
    <cellStyle name="Normal 2 2 6 94" xfId="2351" xr:uid="{00000000-0005-0000-0000-00005A0F0000}"/>
    <cellStyle name="Normal 2 2 6 95" xfId="2352" xr:uid="{00000000-0005-0000-0000-00005B0F0000}"/>
    <cellStyle name="Normal 2 2 6 96" xfId="2353" xr:uid="{00000000-0005-0000-0000-00005C0F0000}"/>
    <cellStyle name="Normal 2 2 6 97" xfId="2354" xr:uid="{00000000-0005-0000-0000-00005D0F0000}"/>
    <cellStyle name="Normal 2 2 6 98" xfId="2355" xr:uid="{00000000-0005-0000-0000-00005E0F0000}"/>
    <cellStyle name="Normal 2 2 6 99" xfId="2356" xr:uid="{00000000-0005-0000-0000-00005F0F0000}"/>
    <cellStyle name="Normal 2 2 60" xfId="2357" xr:uid="{00000000-0005-0000-0000-0000600F0000}"/>
    <cellStyle name="Normal 2 2 61" xfId="2358" xr:uid="{00000000-0005-0000-0000-0000610F0000}"/>
    <cellStyle name="Normal 2 2 62" xfId="2359" xr:uid="{00000000-0005-0000-0000-0000620F0000}"/>
    <cellStyle name="Normal 2 2 63" xfId="2360" xr:uid="{00000000-0005-0000-0000-0000630F0000}"/>
    <cellStyle name="Normal 2 2 64" xfId="2361" xr:uid="{00000000-0005-0000-0000-0000640F0000}"/>
    <cellStyle name="Normal 2 2 65" xfId="2362" xr:uid="{00000000-0005-0000-0000-0000650F0000}"/>
    <cellStyle name="Normal 2 2 66" xfId="2363" xr:uid="{00000000-0005-0000-0000-0000660F0000}"/>
    <cellStyle name="Normal 2 2 67" xfId="2364" xr:uid="{00000000-0005-0000-0000-0000670F0000}"/>
    <cellStyle name="Normal 2 2 68" xfId="2365" xr:uid="{00000000-0005-0000-0000-0000680F0000}"/>
    <cellStyle name="Normal 2 2 69" xfId="2366" xr:uid="{00000000-0005-0000-0000-0000690F0000}"/>
    <cellStyle name="Normal 2 2 7" xfId="2367" xr:uid="{00000000-0005-0000-0000-00006A0F0000}"/>
    <cellStyle name="Normal 2 2 70" xfId="2368" xr:uid="{00000000-0005-0000-0000-00006B0F0000}"/>
    <cellStyle name="Normal 2 2 71" xfId="2369" xr:uid="{00000000-0005-0000-0000-00006C0F0000}"/>
    <cellStyle name="Normal 2 2 72" xfId="2370" xr:uid="{00000000-0005-0000-0000-00006D0F0000}"/>
    <cellStyle name="Normal 2 2 73" xfId="2371" xr:uid="{00000000-0005-0000-0000-00006E0F0000}"/>
    <cellStyle name="Normal 2 2 74" xfId="2372" xr:uid="{00000000-0005-0000-0000-00006F0F0000}"/>
    <cellStyle name="Normal 2 2 75" xfId="2373" xr:uid="{00000000-0005-0000-0000-0000700F0000}"/>
    <cellStyle name="Normal 2 2 76" xfId="2374" xr:uid="{00000000-0005-0000-0000-0000710F0000}"/>
    <cellStyle name="Normal 2 2 77" xfId="2375" xr:uid="{00000000-0005-0000-0000-0000720F0000}"/>
    <cellStyle name="Normal 2 2 78" xfId="2376" xr:uid="{00000000-0005-0000-0000-0000730F0000}"/>
    <cellStyle name="Normal 2 2 79" xfId="2377" xr:uid="{00000000-0005-0000-0000-0000740F0000}"/>
    <cellStyle name="Normal 2 2 8" xfId="2378" xr:uid="{00000000-0005-0000-0000-0000750F0000}"/>
    <cellStyle name="Normal 2 2 80" xfId="2379" xr:uid="{00000000-0005-0000-0000-0000760F0000}"/>
    <cellStyle name="Normal 2 2 81" xfId="2380" xr:uid="{00000000-0005-0000-0000-0000770F0000}"/>
    <cellStyle name="Normal 2 2 82" xfId="2381" xr:uid="{00000000-0005-0000-0000-0000780F0000}"/>
    <cellStyle name="Normal 2 2 83" xfId="2382" xr:uid="{00000000-0005-0000-0000-0000790F0000}"/>
    <cellStyle name="Normal 2 2 84" xfId="2383" xr:uid="{00000000-0005-0000-0000-00007A0F0000}"/>
    <cellStyle name="Normal 2 2 85" xfId="2384" xr:uid="{00000000-0005-0000-0000-00007B0F0000}"/>
    <cellStyle name="Normal 2 2 86" xfId="2385" xr:uid="{00000000-0005-0000-0000-00007C0F0000}"/>
    <cellStyle name="Normal 2 2 87" xfId="2386" xr:uid="{00000000-0005-0000-0000-00007D0F0000}"/>
    <cellStyle name="Normal 2 2 88" xfId="2387" xr:uid="{00000000-0005-0000-0000-00007E0F0000}"/>
    <cellStyle name="Normal 2 2 89" xfId="2388" xr:uid="{00000000-0005-0000-0000-00007F0F0000}"/>
    <cellStyle name="Normal 2 2 9" xfId="2389" xr:uid="{00000000-0005-0000-0000-0000800F0000}"/>
    <cellStyle name="Normal 2 2 90" xfId="2390" xr:uid="{00000000-0005-0000-0000-0000810F0000}"/>
    <cellStyle name="Normal 2 2 91" xfId="2391" xr:uid="{00000000-0005-0000-0000-0000820F0000}"/>
    <cellStyle name="Normal 2 2 92" xfId="2392" xr:uid="{00000000-0005-0000-0000-0000830F0000}"/>
    <cellStyle name="Normal 2 2 93" xfId="2393" xr:uid="{00000000-0005-0000-0000-0000840F0000}"/>
    <cellStyle name="Normal 2 2 94" xfId="2394" xr:uid="{00000000-0005-0000-0000-0000850F0000}"/>
    <cellStyle name="Normal 2 2 95" xfId="2395" xr:uid="{00000000-0005-0000-0000-0000860F0000}"/>
    <cellStyle name="Normal 2 2 96" xfId="2396" xr:uid="{00000000-0005-0000-0000-0000870F0000}"/>
    <cellStyle name="Normal 2 2 97" xfId="2397" xr:uid="{00000000-0005-0000-0000-0000880F0000}"/>
    <cellStyle name="Normal 2 2 98" xfId="2398" xr:uid="{00000000-0005-0000-0000-0000890F0000}"/>
    <cellStyle name="Normal 2 2 99" xfId="2399" xr:uid="{00000000-0005-0000-0000-00008A0F0000}"/>
    <cellStyle name="Normal 2 20" xfId="2400" xr:uid="{00000000-0005-0000-0000-00008B0F0000}"/>
    <cellStyle name="Normal 2 21" xfId="2401" xr:uid="{00000000-0005-0000-0000-00008C0F0000}"/>
    <cellStyle name="Normal 2 22" xfId="2402" xr:uid="{00000000-0005-0000-0000-00008D0F0000}"/>
    <cellStyle name="Normal 2 23" xfId="2403" xr:uid="{00000000-0005-0000-0000-00008E0F0000}"/>
    <cellStyle name="Normal 2 24" xfId="2404" xr:uid="{00000000-0005-0000-0000-00008F0F0000}"/>
    <cellStyle name="Normal 2 25" xfId="2405" xr:uid="{00000000-0005-0000-0000-0000900F0000}"/>
    <cellStyle name="Normal 2 26" xfId="2406" xr:uid="{00000000-0005-0000-0000-0000910F0000}"/>
    <cellStyle name="Normal 2 27" xfId="2407" xr:uid="{00000000-0005-0000-0000-0000920F0000}"/>
    <cellStyle name="Normal 2 28" xfId="2408" xr:uid="{00000000-0005-0000-0000-0000930F0000}"/>
    <cellStyle name="Normal 2 29" xfId="2409" xr:uid="{00000000-0005-0000-0000-0000940F0000}"/>
    <cellStyle name="Normal 2 3" xfId="2410" xr:uid="{00000000-0005-0000-0000-0000950F0000}"/>
    <cellStyle name="Normal 2 30" xfId="2411" xr:uid="{00000000-0005-0000-0000-0000960F0000}"/>
    <cellStyle name="Normal 2 31" xfId="2412" xr:uid="{00000000-0005-0000-0000-0000970F0000}"/>
    <cellStyle name="Normal 2 32" xfId="2413" xr:uid="{00000000-0005-0000-0000-0000980F0000}"/>
    <cellStyle name="Normal 2 33" xfId="2414" xr:uid="{00000000-0005-0000-0000-0000990F0000}"/>
    <cellStyle name="Normal 2 34" xfId="2415" xr:uid="{00000000-0005-0000-0000-00009A0F0000}"/>
    <cellStyle name="Normal 2 35" xfId="2416" xr:uid="{00000000-0005-0000-0000-00009B0F0000}"/>
    <cellStyle name="Normal 2 36" xfId="2417" xr:uid="{00000000-0005-0000-0000-00009C0F0000}"/>
    <cellStyle name="Normal 2 37" xfId="2418" xr:uid="{00000000-0005-0000-0000-00009D0F0000}"/>
    <cellStyle name="Normal 2 37 10" xfId="2419" xr:uid="{00000000-0005-0000-0000-00009E0F0000}"/>
    <cellStyle name="Normal 2 37 100" xfId="2420" xr:uid="{00000000-0005-0000-0000-00009F0F0000}"/>
    <cellStyle name="Normal 2 37 101" xfId="2421" xr:uid="{00000000-0005-0000-0000-0000A00F0000}"/>
    <cellStyle name="Normal 2 37 102" xfId="2422" xr:uid="{00000000-0005-0000-0000-0000A10F0000}"/>
    <cellStyle name="Normal 2 37 103" xfId="2423" xr:uid="{00000000-0005-0000-0000-0000A20F0000}"/>
    <cellStyle name="Normal 2 37 104" xfId="2424" xr:uid="{00000000-0005-0000-0000-0000A30F0000}"/>
    <cellStyle name="Normal 2 37 105" xfId="2425" xr:uid="{00000000-0005-0000-0000-0000A40F0000}"/>
    <cellStyle name="Normal 2 37 106" xfId="2426" xr:uid="{00000000-0005-0000-0000-0000A50F0000}"/>
    <cellStyle name="Normal 2 37 107" xfId="2427" xr:uid="{00000000-0005-0000-0000-0000A60F0000}"/>
    <cellStyle name="Normal 2 37 108" xfId="2428" xr:uid="{00000000-0005-0000-0000-0000A70F0000}"/>
    <cellStyle name="Normal 2 37 109" xfId="2429" xr:uid="{00000000-0005-0000-0000-0000A80F0000}"/>
    <cellStyle name="Normal 2 37 11" xfId="2430" xr:uid="{00000000-0005-0000-0000-0000A90F0000}"/>
    <cellStyle name="Normal 2 37 110" xfId="2431" xr:uid="{00000000-0005-0000-0000-0000AA0F0000}"/>
    <cellStyle name="Normal 2 37 111" xfId="2432" xr:uid="{00000000-0005-0000-0000-0000AB0F0000}"/>
    <cellStyle name="Normal 2 37 112" xfId="2433" xr:uid="{00000000-0005-0000-0000-0000AC0F0000}"/>
    <cellStyle name="Normal 2 37 113" xfId="2434" xr:uid="{00000000-0005-0000-0000-0000AD0F0000}"/>
    <cellStyle name="Normal 2 37 114" xfId="2435" xr:uid="{00000000-0005-0000-0000-0000AE0F0000}"/>
    <cellStyle name="Normal 2 37 115" xfId="2436" xr:uid="{00000000-0005-0000-0000-0000AF0F0000}"/>
    <cellStyle name="Normal 2 37 116" xfId="2437" xr:uid="{00000000-0005-0000-0000-0000B00F0000}"/>
    <cellStyle name="Normal 2 37 117" xfId="2438" xr:uid="{00000000-0005-0000-0000-0000B10F0000}"/>
    <cellStyle name="Normal 2 37 118" xfId="2439" xr:uid="{00000000-0005-0000-0000-0000B20F0000}"/>
    <cellStyle name="Normal 2 37 119" xfId="2440" xr:uid="{00000000-0005-0000-0000-0000B30F0000}"/>
    <cellStyle name="Normal 2 37 12" xfId="2441" xr:uid="{00000000-0005-0000-0000-0000B40F0000}"/>
    <cellStyle name="Normal 2 37 120" xfId="2442" xr:uid="{00000000-0005-0000-0000-0000B50F0000}"/>
    <cellStyle name="Normal 2 37 121" xfId="2443" xr:uid="{00000000-0005-0000-0000-0000B60F0000}"/>
    <cellStyle name="Normal 2 37 122" xfId="2444" xr:uid="{00000000-0005-0000-0000-0000B70F0000}"/>
    <cellStyle name="Normal 2 37 123" xfId="2445" xr:uid="{00000000-0005-0000-0000-0000B80F0000}"/>
    <cellStyle name="Normal 2 37 124" xfId="2446" xr:uid="{00000000-0005-0000-0000-0000B90F0000}"/>
    <cellStyle name="Normal 2 37 125" xfId="2447" xr:uid="{00000000-0005-0000-0000-0000BA0F0000}"/>
    <cellStyle name="Normal 2 37 126" xfId="2448" xr:uid="{00000000-0005-0000-0000-0000BB0F0000}"/>
    <cellStyle name="Normal 2 37 127" xfId="2449" xr:uid="{00000000-0005-0000-0000-0000BC0F0000}"/>
    <cellStyle name="Normal 2 37 128" xfId="2450" xr:uid="{00000000-0005-0000-0000-0000BD0F0000}"/>
    <cellStyle name="Normal 2 37 129" xfId="2451" xr:uid="{00000000-0005-0000-0000-0000BE0F0000}"/>
    <cellStyle name="Normal 2 37 13" xfId="2452" xr:uid="{00000000-0005-0000-0000-0000BF0F0000}"/>
    <cellStyle name="Normal 2 37 130" xfId="2453" xr:uid="{00000000-0005-0000-0000-0000C00F0000}"/>
    <cellStyle name="Normal 2 37 131" xfId="2454" xr:uid="{00000000-0005-0000-0000-0000C10F0000}"/>
    <cellStyle name="Normal 2 37 132" xfId="2455" xr:uid="{00000000-0005-0000-0000-0000C20F0000}"/>
    <cellStyle name="Normal 2 37 133" xfId="2456" xr:uid="{00000000-0005-0000-0000-0000C30F0000}"/>
    <cellStyle name="Normal 2 37 134" xfId="2457" xr:uid="{00000000-0005-0000-0000-0000C40F0000}"/>
    <cellStyle name="Normal 2 37 135" xfId="2458" xr:uid="{00000000-0005-0000-0000-0000C50F0000}"/>
    <cellStyle name="Normal 2 37 136" xfId="2459" xr:uid="{00000000-0005-0000-0000-0000C60F0000}"/>
    <cellStyle name="Normal 2 37 137" xfId="2460" xr:uid="{00000000-0005-0000-0000-0000C70F0000}"/>
    <cellStyle name="Normal 2 37 138" xfId="2461" xr:uid="{00000000-0005-0000-0000-0000C80F0000}"/>
    <cellStyle name="Normal 2 37 139" xfId="2462" xr:uid="{00000000-0005-0000-0000-0000C90F0000}"/>
    <cellStyle name="Normal 2 37 14" xfId="2463" xr:uid="{00000000-0005-0000-0000-0000CA0F0000}"/>
    <cellStyle name="Normal 2 37 140" xfId="2464" xr:uid="{00000000-0005-0000-0000-0000CB0F0000}"/>
    <cellStyle name="Normal 2 37 141" xfId="2465" xr:uid="{00000000-0005-0000-0000-0000CC0F0000}"/>
    <cellStyle name="Normal 2 37 142" xfId="2466" xr:uid="{00000000-0005-0000-0000-0000CD0F0000}"/>
    <cellStyle name="Normal 2 37 143" xfId="2467" xr:uid="{00000000-0005-0000-0000-0000CE0F0000}"/>
    <cellStyle name="Normal 2 37 144" xfId="2468" xr:uid="{00000000-0005-0000-0000-0000CF0F0000}"/>
    <cellStyle name="Normal 2 37 145" xfId="2469" xr:uid="{00000000-0005-0000-0000-0000D00F0000}"/>
    <cellStyle name="Normal 2 37 146" xfId="2470" xr:uid="{00000000-0005-0000-0000-0000D10F0000}"/>
    <cellStyle name="Normal 2 37 147" xfId="2471" xr:uid="{00000000-0005-0000-0000-0000D20F0000}"/>
    <cellStyle name="Normal 2 37 148" xfId="2472" xr:uid="{00000000-0005-0000-0000-0000D30F0000}"/>
    <cellStyle name="Normal 2 37 149" xfId="2473" xr:uid="{00000000-0005-0000-0000-0000D40F0000}"/>
    <cellStyle name="Normal 2 37 15" xfId="2474" xr:uid="{00000000-0005-0000-0000-0000D50F0000}"/>
    <cellStyle name="Normal 2 37 150" xfId="2475" xr:uid="{00000000-0005-0000-0000-0000D60F0000}"/>
    <cellStyle name="Normal 2 37 151" xfId="2476" xr:uid="{00000000-0005-0000-0000-0000D70F0000}"/>
    <cellStyle name="Normal 2 37 152" xfId="2477" xr:uid="{00000000-0005-0000-0000-0000D80F0000}"/>
    <cellStyle name="Normal 2 37 16" xfId="2478" xr:uid="{00000000-0005-0000-0000-0000D90F0000}"/>
    <cellStyle name="Normal 2 37 17" xfId="2479" xr:uid="{00000000-0005-0000-0000-0000DA0F0000}"/>
    <cellStyle name="Normal 2 37 18" xfId="2480" xr:uid="{00000000-0005-0000-0000-0000DB0F0000}"/>
    <cellStyle name="Normal 2 37 19" xfId="2481" xr:uid="{00000000-0005-0000-0000-0000DC0F0000}"/>
    <cellStyle name="Normal 2 37 2" xfId="2482" xr:uid="{00000000-0005-0000-0000-0000DD0F0000}"/>
    <cellStyle name="Normal 2 37 20" xfId="2483" xr:uid="{00000000-0005-0000-0000-0000DE0F0000}"/>
    <cellStyle name="Normal 2 37 21" xfId="2484" xr:uid="{00000000-0005-0000-0000-0000DF0F0000}"/>
    <cellStyle name="Normal 2 37 22" xfId="2485" xr:uid="{00000000-0005-0000-0000-0000E00F0000}"/>
    <cellStyle name="Normal 2 37 23" xfId="2486" xr:uid="{00000000-0005-0000-0000-0000E10F0000}"/>
    <cellStyle name="Normal 2 37 24" xfId="2487" xr:uid="{00000000-0005-0000-0000-0000E20F0000}"/>
    <cellStyle name="Normal 2 37 25" xfId="2488" xr:uid="{00000000-0005-0000-0000-0000E30F0000}"/>
    <cellStyle name="Normal 2 37 26" xfId="2489" xr:uid="{00000000-0005-0000-0000-0000E40F0000}"/>
    <cellStyle name="Normal 2 37 27" xfId="2490" xr:uid="{00000000-0005-0000-0000-0000E50F0000}"/>
    <cellStyle name="Normal 2 37 28" xfId="2491" xr:uid="{00000000-0005-0000-0000-0000E60F0000}"/>
    <cellStyle name="Normal 2 37 29" xfId="2492" xr:uid="{00000000-0005-0000-0000-0000E70F0000}"/>
    <cellStyle name="Normal 2 37 3" xfId="2493" xr:uid="{00000000-0005-0000-0000-0000E80F0000}"/>
    <cellStyle name="Normal 2 37 30" xfId="2494" xr:uid="{00000000-0005-0000-0000-0000E90F0000}"/>
    <cellStyle name="Normal 2 37 31" xfId="2495" xr:uid="{00000000-0005-0000-0000-0000EA0F0000}"/>
    <cellStyle name="Normal 2 37 32" xfId="2496" xr:uid="{00000000-0005-0000-0000-0000EB0F0000}"/>
    <cellStyle name="Normal 2 37 33" xfId="2497" xr:uid="{00000000-0005-0000-0000-0000EC0F0000}"/>
    <cellStyle name="Normal 2 37 34" xfId="2498" xr:uid="{00000000-0005-0000-0000-0000ED0F0000}"/>
    <cellStyle name="Normal 2 37 35" xfId="2499" xr:uid="{00000000-0005-0000-0000-0000EE0F0000}"/>
    <cellStyle name="Normal 2 37 36" xfId="2500" xr:uid="{00000000-0005-0000-0000-0000EF0F0000}"/>
    <cellStyle name="Normal 2 37 37" xfId="2501" xr:uid="{00000000-0005-0000-0000-0000F00F0000}"/>
    <cellStyle name="Normal 2 37 38" xfId="2502" xr:uid="{00000000-0005-0000-0000-0000F10F0000}"/>
    <cellStyle name="Normal 2 37 39" xfId="2503" xr:uid="{00000000-0005-0000-0000-0000F20F0000}"/>
    <cellStyle name="Normal 2 37 4" xfId="2504" xr:uid="{00000000-0005-0000-0000-0000F30F0000}"/>
    <cellStyle name="Normal 2 37 40" xfId="2505" xr:uid="{00000000-0005-0000-0000-0000F40F0000}"/>
    <cellStyle name="Normal 2 37 41" xfId="2506" xr:uid="{00000000-0005-0000-0000-0000F50F0000}"/>
    <cellStyle name="Normal 2 37 42" xfId="2507" xr:uid="{00000000-0005-0000-0000-0000F60F0000}"/>
    <cellStyle name="Normal 2 37 43" xfId="2508" xr:uid="{00000000-0005-0000-0000-0000F70F0000}"/>
    <cellStyle name="Normal 2 37 44" xfId="2509" xr:uid="{00000000-0005-0000-0000-0000F80F0000}"/>
    <cellStyle name="Normal 2 37 45" xfId="2510" xr:uid="{00000000-0005-0000-0000-0000F90F0000}"/>
    <cellStyle name="Normal 2 37 46" xfId="2511" xr:uid="{00000000-0005-0000-0000-0000FA0F0000}"/>
    <cellStyle name="Normal 2 37 47" xfId="2512" xr:uid="{00000000-0005-0000-0000-0000FB0F0000}"/>
    <cellStyle name="Normal 2 37 48" xfId="2513" xr:uid="{00000000-0005-0000-0000-0000FC0F0000}"/>
    <cellStyle name="Normal 2 37 49" xfId="2514" xr:uid="{00000000-0005-0000-0000-0000FD0F0000}"/>
    <cellStyle name="Normal 2 37 5" xfId="2515" xr:uid="{00000000-0005-0000-0000-0000FE0F0000}"/>
    <cellStyle name="Normal 2 37 50" xfId="2516" xr:uid="{00000000-0005-0000-0000-0000FF0F0000}"/>
    <cellStyle name="Normal 2 37 51" xfId="2517" xr:uid="{00000000-0005-0000-0000-000000100000}"/>
    <cellStyle name="Normal 2 37 52" xfId="2518" xr:uid="{00000000-0005-0000-0000-000001100000}"/>
    <cellStyle name="Normal 2 37 53" xfId="2519" xr:uid="{00000000-0005-0000-0000-000002100000}"/>
    <cellStyle name="Normal 2 37 54" xfId="2520" xr:uid="{00000000-0005-0000-0000-000003100000}"/>
    <cellStyle name="Normal 2 37 55" xfId="2521" xr:uid="{00000000-0005-0000-0000-000004100000}"/>
    <cellStyle name="Normal 2 37 56" xfId="2522" xr:uid="{00000000-0005-0000-0000-000005100000}"/>
    <cellStyle name="Normal 2 37 57" xfId="2523" xr:uid="{00000000-0005-0000-0000-000006100000}"/>
    <cellStyle name="Normal 2 37 58" xfId="2524" xr:uid="{00000000-0005-0000-0000-000007100000}"/>
    <cellStyle name="Normal 2 37 59" xfId="2525" xr:uid="{00000000-0005-0000-0000-000008100000}"/>
    <cellStyle name="Normal 2 37 6" xfId="2526" xr:uid="{00000000-0005-0000-0000-000009100000}"/>
    <cellStyle name="Normal 2 37 60" xfId="2527" xr:uid="{00000000-0005-0000-0000-00000A100000}"/>
    <cellStyle name="Normal 2 37 61" xfId="2528" xr:uid="{00000000-0005-0000-0000-00000B100000}"/>
    <cellStyle name="Normal 2 37 62" xfId="2529" xr:uid="{00000000-0005-0000-0000-00000C100000}"/>
    <cellStyle name="Normal 2 37 63" xfId="2530" xr:uid="{00000000-0005-0000-0000-00000D100000}"/>
    <cellStyle name="Normal 2 37 64" xfId="2531" xr:uid="{00000000-0005-0000-0000-00000E100000}"/>
    <cellStyle name="Normal 2 37 65" xfId="2532" xr:uid="{00000000-0005-0000-0000-00000F100000}"/>
    <cellStyle name="Normal 2 37 66" xfId="2533" xr:uid="{00000000-0005-0000-0000-000010100000}"/>
    <cellStyle name="Normal 2 37 67" xfId="2534" xr:uid="{00000000-0005-0000-0000-000011100000}"/>
    <cellStyle name="Normal 2 37 68" xfId="2535" xr:uid="{00000000-0005-0000-0000-000012100000}"/>
    <cellStyle name="Normal 2 37 69" xfId="2536" xr:uid="{00000000-0005-0000-0000-000013100000}"/>
    <cellStyle name="Normal 2 37 7" xfId="2537" xr:uid="{00000000-0005-0000-0000-000014100000}"/>
    <cellStyle name="Normal 2 37 70" xfId="2538" xr:uid="{00000000-0005-0000-0000-000015100000}"/>
    <cellStyle name="Normal 2 37 71" xfId="2539" xr:uid="{00000000-0005-0000-0000-000016100000}"/>
    <cellStyle name="Normal 2 37 72" xfId="2540" xr:uid="{00000000-0005-0000-0000-000017100000}"/>
    <cellStyle name="Normal 2 37 73" xfId="2541" xr:uid="{00000000-0005-0000-0000-000018100000}"/>
    <cellStyle name="Normal 2 37 74" xfId="2542" xr:uid="{00000000-0005-0000-0000-000019100000}"/>
    <cellStyle name="Normal 2 37 75" xfId="2543" xr:uid="{00000000-0005-0000-0000-00001A100000}"/>
    <cellStyle name="Normal 2 37 76" xfId="2544" xr:uid="{00000000-0005-0000-0000-00001B100000}"/>
    <cellStyle name="Normal 2 37 77" xfId="2545" xr:uid="{00000000-0005-0000-0000-00001C100000}"/>
    <cellStyle name="Normal 2 37 78" xfId="2546" xr:uid="{00000000-0005-0000-0000-00001D100000}"/>
    <cellStyle name="Normal 2 37 79" xfId="2547" xr:uid="{00000000-0005-0000-0000-00001E100000}"/>
    <cellStyle name="Normal 2 37 8" xfId="2548" xr:uid="{00000000-0005-0000-0000-00001F100000}"/>
    <cellStyle name="Normal 2 37 80" xfId="2549" xr:uid="{00000000-0005-0000-0000-000020100000}"/>
    <cellStyle name="Normal 2 37 81" xfId="2550" xr:uid="{00000000-0005-0000-0000-000021100000}"/>
    <cellStyle name="Normal 2 37 82" xfId="2551" xr:uid="{00000000-0005-0000-0000-000022100000}"/>
    <cellStyle name="Normal 2 37 83" xfId="2552" xr:uid="{00000000-0005-0000-0000-000023100000}"/>
    <cellStyle name="Normal 2 37 84" xfId="2553" xr:uid="{00000000-0005-0000-0000-000024100000}"/>
    <cellStyle name="Normal 2 37 85" xfId="2554" xr:uid="{00000000-0005-0000-0000-000025100000}"/>
    <cellStyle name="Normal 2 37 86" xfId="2555" xr:uid="{00000000-0005-0000-0000-000026100000}"/>
    <cellStyle name="Normal 2 37 87" xfId="2556" xr:uid="{00000000-0005-0000-0000-000027100000}"/>
    <cellStyle name="Normal 2 37 88" xfId="2557" xr:uid="{00000000-0005-0000-0000-000028100000}"/>
    <cellStyle name="Normal 2 37 89" xfId="2558" xr:uid="{00000000-0005-0000-0000-000029100000}"/>
    <cellStyle name="Normal 2 37 9" xfId="2559" xr:uid="{00000000-0005-0000-0000-00002A100000}"/>
    <cellStyle name="Normal 2 37 90" xfId="2560" xr:uid="{00000000-0005-0000-0000-00002B100000}"/>
    <cellStyle name="Normal 2 37 91" xfId="2561" xr:uid="{00000000-0005-0000-0000-00002C100000}"/>
    <cellStyle name="Normal 2 37 92" xfId="2562" xr:uid="{00000000-0005-0000-0000-00002D100000}"/>
    <cellStyle name="Normal 2 37 93" xfId="2563" xr:uid="{00000000-0005-0000-0000-00002E100000}"/>
    <cellStyle name="Normal 2 37 94" xfId="2564" xr:uid="{00000000-0005-0000-0000-00002F100000}"/>
    <cellStyle name="Normal 2 37 95" xfId="2565" xr:uid="{00000000-0005-0000-0000-000030100000}"/>
    <cellStyle name="Normal 2 37 96" xfId="2566" xr:uid="{00000000-0005-0000-0000-000031100000}"/>
    <cellStyle name="Normal 2 37 97" xfId="2567" xr:uid="{00000000-0005-0000-0000-000032100000}"/>
    <cellStyle name="Normal 2 37 98" xfId="2568" xr:uid="{00000000-0005-0000-0000-000033100000}"/>
    <cellStyle name="Normal 2 37 99" xfId="2569" xr:uid="{00000000-0005-0000-0000-000034100000}"/>
    <cellStyle name="Normal 2 38" xfId="2570" xr:uid="{00000000-0005-0000-0000-000035100000}"/>
    <cellStyle name="Normal 2 38 2" xfId="2571" xr:uid="{00000000-0005-0000-0000-000036100000}"/>
    <cellStyle name="Normal 2 38 2 2" xfId="5402" xr:uid="{00000000-0005-0000-0000-000037100000}"/>
    <cellStyle name="Normal 2 38 2 3" xfId="7006" xr:uid="{00000000-0005-0000-0000-000038100000}"/>
    <cellStyle name="Normal 2 38 3" xfId="2572" xr:uid="{00000000-0005-0000-0000-000039100000}"/>
    <cellStyle name="Normal 2 38 3 2" xfId="5403" xr:uid="{00000000-0005-0000-0000-00003A100000}"/>
    <cellStyle name="Normal 2 38 3 3" xfId="7007" xr:uid="{00000000-0005-0000-0000-00003B100000}"/>
    <cellStyle name="Normal 2 38 4" xfId="5401" xr:uid="{00000000-0005-0000-0000-00003C100000}"/>
    <cellStyle name="Normal 2 38 5" xfId="7005" xr:uid="{00000000-0005-0000-0000-00003D100000}"/>
    <cellStyle name="Normal 2 39" xfId="2573" xr:uid="{00000000-0005-0000-0000-00003E100000}"/>
    <cellStyle name="Normal 2 39 10" xfId="2574" xr:uid="{00000000-0005-0000-0000-00003F100000}"/>
    <cellStyle name="Normal 2 39 100" xfId="2575" xr:uid="{00000000-0005-0000-0000-000040100000}"/>
    <cellStyle name="Normal 2 39 101" xfId="2576" xr:uid="{00000000-0005-0000-0000-000041100000}"/>
    <cellStyle name="Normal 2 39 102" xfId="2577" xr:uid="{00000000-0005-0000-0000-000042100000}"/>
    <cellStyle name="Normal 2 39 103" xfId="2578" xr:uid="{00000000-0005-0000-0000-000043100000}"/>
    <cellStyle name="Normal 2 39 104" xfId="2579" xr:uid="{00000000-0005-0000-0000-000044100000}"/>
    <cellStyle name="Normal 2 39 105" xfId="2580" xr:uid="{00000000-0005-0000-0000-000045100000}"/>
    <cellStyle name="Normal 2 39 106" xfId="2581" xr:uid="{00000000-0005-0000-0000-000046100000}"/>
    <cellStyle name="Normal 2 39 107" xfId="2582" xr:uid="{00000000-0005-0000-0000-000047100000}"/>
    <cellStyle name="Normal 2 39 108" xfId="2583" xr:uid="{00000000-0005-0000-0000-000048100000}"/>
    <cellStyle name="Normal 2 39 109" xfId="2584" xr:uid="{00000000-0005-0000-0000-000049100000}"/>
    <cellStyle name="Normal 2 39 11" xfId="2585" xr:uid="{00000000-0005-0000-0000-00004A100000}"/>
    <cellStyle name="Normal 2 39 110" xfId="2586" xr:uid="{00000000-0005-0000-0000-00004B100000}"/>
    <cellStyle name="Normal 2 39 111" xfId="2587" xr:uid="{00000000-0005-0000-0000-00004C100000}"/>
    <cellStyle name="Normal 2 39 112" xfId="2588" xr:uid="{00000000-0005-0000-0000-00004D100000}"/>
    <cellStyle name="Normal 2 39 113" xfId="2589" xr:uid="{00000000-0005-0000-0000-00004E100000}"/>
    <cellStyle name="Normal 2 39 114" xfId="2590" xr:uid="{00000000-0005-0000-0000-00004F100000}"/>
    <cellStyle name="Normal 2 39 115" xfId="2591" xr:uid="{00000000-0005-0000-0000-000050100000}"/>
    <cellStyle name="Normal 2 39 116" xfId="2592" xr:uid="{00000000-0005-0000-0000-000051100000}"/>
    <cellStyle name="Normal 2 39 117" xfId="2593" xr:uid="{00000000-0005-0000-0000-000052100000}"/>
    <cellStyle name="Normal 2 39 118" xfId="2594" xr:uid="{00000000-0005-0000-0000-000053100000}"/>
    <cellStyle name="Normal 2 39 119" xfId="2595" xr:uid="{00000000-0005-0000-0000-000054100000}"/>
    <cellStyle name="Normal 2 39 12" xfId="2596" xr:uid="{00000000-0005-0000-0000-000055100000}"/>
    <cellStyle name="Normal 2 39 120" xfId="2597" xr:uid="{00000000-0005-0000-0000-000056100000}"/>
    <cellStyle name="Normal 2 39 121" xfId="2598" xr:uid="{00000000-0005-0000-0000-000057100000}"/>
    <cellStyle name="Normal 2 39 122" xfId="2599" xr:uid="{00000000-0005-0000-0000-000058100000}"/>
    <cellStyle name="Normal 2 39 123" xfId="2600" xr:uid="{00000000-0005-0000-0000-000059100000}"/>
    <cellStyle name="Normal 2 39 124" xfId="2601" xr:uid="{00000000-0005-0000-0000-00005A100000}"/>
    <cellStyle name="Normal 2 39 125" xfId="2602" xr:uid="{00000000-0005-0000-0000-00005B100000}"/>
    <cellStyle name="Normal 2 39 126" xfId="2603" xr:uid="{00000000-0005-0000-0000-00005C100000}"/>
    <cellStyle name="Normal 2 39 127" xfId="2604" xr:uid="{00000000-0005-0000-0000-00005D100000}"/>
    <cellStyle name="Normal 2 39 128" xfId="2605" xr:uid="{00000000-0005-0000-0000-00005E100000}"/>
    <cellStyle name="Normal 2 39 129" xfId="2606" xr:uid="{00000000-0005-0000-0000-00005F100000}"/>
    <cellStyle name="Normal 2 39 13" xfId="2607" xr:uid="{00000000-0005-0000-0000-000060100000}"/>
    <cellStyle name="Normal 2 39 130" xfId="2608" xr:uid="{00000000-0005-0000-0000-000061100000}"/>
    <cellStyle name="Normal 2 39 131" xfId="2609" xr:uid="{00000000-0005-0000-0000-000062100000}"/>
    <cellStyle name="Normal 2 39 132" xfId="2610" xr:uid="{00000000-0005-0000-0000-000063100000}"/>
    <cellStyle name="Normal 2 39 133" xfId="2611" xr:uid="{00000000-0005-0000-0000-000064100000}"/>
    <cellStyle name="Normal 2 39 134" xfId="2612" xr:uid="{00000000-0005-0000-0000-000065100000}"/>
    <cellStyle name="Normal 2 39 135" xfId="2613" xr:uid="{00000000-0005-0000-0000-000066100000}"/>
    <cellStyle name="Normal 2 39 136" xfId="2614" xr:uid="{00000000-0005-0000-0000-000067100000}"/>
    <cellStyle name="Normal 2 39 137" xfId="2615" xr:uid="{00000000-0005-0000-0000-000068100000}"/>
    <cellStyle name="Normal 2 39 138" xfId="2616" xr:uid="{00000000-0005-0000-0000-000069100000}"/>
    <cellStyle name="Normal 2 39 139" xfId="2617" xr:uid="{00000000-0005-0000-0000-00006A100000}"/>
    <cellStyle name="Normal 2 39 14" xfId="2618" xr:uid="{00000000-0005-0000-0000-00006B100000}"/>
    <cellStyle name="Normal 2 39 140" xfId="2619" xr:uid="{00000000-0005-0000-0000-00006C100000}"/>
    <cellStyle name="Normal 2 39 141" xfId="2620" xr:uid="{00000000-0005-0000-0000-00006D100000}"/>
    <cellStyle name="Normal 2 39 142" xfId="2621" xr:uid="{00000000-0005-0000-0000-00006E100000}"/>
    <cellStyle name="Normal 2 39 143" xfId="2622" xr:uid="{00000000-0005-0000-0000-00006F100000}"/>
    <cellStyle name="Normal 2 39 144" xfId="2623" xr:uid="{00000000-0005-0000-0000-000070100000}"/>
    <cellStyle name="Normal 2 39 145" xfId="2624" xr:uid="{00000000-0005-0000-0000-000071100000}"/>
    <cellStyle name="Normal 2 39 146" xfId="2625" xr:uid="{00000000-0005-0000-0000-000072100000}"/>
    <cellStyle name="Normal 2 39 147" xfId="2626" xr:uid="{00000000-0005-0000-0000-000073100000}"/>
    <cellStyle name="Normal 2 39 148" xfId="2627" xr:uid="{00000000-0005-0000-0000-000074100000}"/>
    <cellStyle name="Normal 2 39 149" xfId="2628" xr:uid="{00000000-0005-0000-0000-000075100000}"/>
    <cellStyle name="Normal 2 39 15" xfId="2629" xr:uid="{00000000-0005-0000-0000-000076100000}"/>
    <cellStyle name="Normal 2 39 150" xfId="2630" xr:uid="{00000000-0005-0000-0000-000077100000}"/>
    <cellStyle name="Normal 2 39 151" xfId="2631" xr:uid="{00000000-0005-0000-0000-000078100000}"/>
    <cellStyle name="Normal 2 39 16" xfId="2632" xr:uid="{00000000-0005-0000-0000-000079100000}"/>
    <cellStyle name="Normal 2 39 17" xfId="2633" xr:uid="{00000000-0005-0000-0000-00007A100000}"/>
    <cellStyle name="Normal 2 39 18" xfId="2634" xr:uid="{00000000-0005-0000-0000-00007B100000}"/>
    <cellStyle name="Normal 2 39 19" xfId="2635" xr:uid="{00000000-0005-0000-0000-00007C100000}"/>
    <cellStyle name="Normal 2 39 2" xfId="2636" xr:uid="{00000000-0005-0000-0000-00007D100000}"/>
    <cellStyle name="Normal 2 39 20" xfId="2637" xr:uid="{00000000-0005-0000-0000-00007E100000}"/>
    <cellStyle name="Normal 2 39 21" xfId="2638" xr:uid="{00000000-0005-0000-0000-00007F100000}"/>
    <cellStyle name="Normal 2 39 22" xfId="2639" xr:uid="{00000000-0005-0000-0000-000080100000}"/>
    <cellStyle name="Normal 2 39 23" xfId="2640" xr:uid="{00000000-0005-0000-0000-000081100000}"/>
    <cellStyle name="Normal 2 39 24" xfId="2641" xr:uid="{00000000-0005-0000-0000-000082100000}"/>
    <cellStyle name="Normal 2 39 25" xfId="2642" xr:uid="{00000000-0005-0000-0000-000083100000}"/>
    <cellStyle name="Normal 2 39 26" xfId="2643" xr:uid="{00000000-0005-0000-0000-000084100000}"/>
    <cellStyle name="Normal 2 39 27" xfId="2644" xr:uid="{00000000-0005-0000-0000-000085100000}"/>
    <cellStyle name="Normal 2 39 28" xfId="2645" xr:uid="{00000000-0005-0000-0000-000086100000}"/>
    <cellStyle name="Normal 2 39 29" xfId="2646" xr:uid="{00000000-0005-0000-0000-000087100000}"/>
    <cellStyle name="Normal 2 39 3" xfId="2647" xr:uid="{00000000-0005-0000-0000-000088100000}"/>
    <cellStyle name="Normal 2 39 30" xfId="2648" xr:uid="{00000000-0005-0000-0000-000089100000}"/>
    <cellStyle name="Normal 2 39 31" xfId="2649" xr:uid="{00000000-0005-0000-0000-00008A100000}"/>
    <cellStyle name="Normal 2 39 32" xfId="2650" xr:uid="{00000000-0005-0000-0000-00008B100000}"/>
    <cellStyle name="Normal 2 39 33" xfId="2651" xr:uid="{00000000-0005-0000-0000-00008C100000}"/>
    <cellStyle name="Normal 2 39 34" xfId="2652" xr:uid="{00000000-0005-0000-0000-00008D100000}"/>
    <cellStyle name="Normal 2 39 35" xfId="2653" xr:uid="{00000000-0005-0000-0000-00008E100000}"/>
    <cellStyle name="Normal 2 39 36" xfId="2654" xr:uid="{00000000-0005-0000-0000-00008F100000}"/>
    <cellStyle name="Normal 2 39 37" xfId="2655" xr:uid="{00000000-0005-0000-0000-000090100000}"/>
    <cellStyle name="Normal 2 39 38" xfId="2656" xr:uid="{00000000-0005-0000-0000-000091100000}"/>
    <cellStyle name="Normal 2 39 39" xfId="2657" xr:uid="{00000000-0005-0000-0000-000092100000}"/>
    <cellStyle name="Normal 2 39 4" xfId="2658" xr:uid="{00000000-0005-0000-0000-000093100000}"/>
    <cellStyle name="Normal 2 39 40" xfId="2659" xr:uid="{00000000-0005-0000-0000-000094100000}"/>
    <cellStyle name="Normal 2 39 41" xfId="2660" xr:uid="{00000000-0005-0000-0000-000095100000}"/>
    <cellStyle name="Normal 2 39 42" xfId="2661" xr:uid="{00000000-0005-0000-0000-000096100000}"/>
    <cellStyle name="Normal 2 39 43" xfId="2662" xr:uid="{00000000-0005-0000-0000-000097100000}"/>
    <cellStyle name="Normal 2 39 44" xfId="2663" xr:uid="{00000000-0005-0000-0000-000098100000}"/>
    <cellStyle name="Normal 2 39 45" xfId="2664" xr:uid="{00000000-0005-0000-0000-000099100000}"/>
    <cellStyle name="Normal 2 39 46" xfId="2665" xr:uid="{00000000-0005-0000-0000-00009A100000}"/>
    <cellStyle name="Normal 2 39 47" xfId="2666" xr:uid="{00000000-0005-0000-0000-00009B100000}"/>
    <cellStyle name="Normal 2 39 48" xfId="2667" xr:uid="{00000000-0005-0000-0000-00009C100000}"/>
    <cellStyle name="Normal 2 39 49" xfId="2668" xr:uid="{00000000-0005-0000-0000-00009D100000}"/>
    <cellStyle name="Normal 2 39 5" xfId="2669" xr:uid="{00000000-0005-0000-0000-00009E100000}"/>
    <cellStyle name="Normal 2 39 50" xfId="2670" xr:uid="{00000000-0005-0000-0000-00009F100000}"/>
    <cellStyle name="Normal 2 39 51" xfId="2671" xr:uid="{00000000-0005-0000-0000-0000A0100000}"/>
    <cellStyle name="Normal 2 39 52" xfId="2672" xr:uid="{00000000-0005-0000-0000-0000A1100000}"/>
    <cellStyle name="Normal 2 39 53" xfId="2673" xr:uid="{00000000-0005-0000-0000-0000A2100000}"/>
    <cellStyle name="Normal 2 39 54" xfId="2674" xr:uid="{00000000-0005-0000-0000-0000A3100000}"/>
    <cellStyle name="Normal 2 39 55" xfId="2675" xr:uid="{00000000-0005-0000-0000-0000A4100000}"/>
    <cellStyle name="Normal 2 39 56" xfId="2676" xr:uid="{00000000-0005-0000-0000-0000A5100000}"/>
    <cellStyle name="Normal 2 39 57" xfId="2677" xr:uid="{00000000-0005-0000-0000-0000A6100000}"/>
    <cellStyle name="Normal 2 39 58" xfId="2678" xr:uid="{00000000-0005-0000-0000-0000A7100000}"/>
    <cellStyle name="Normal 2 39 59" xfId="2679" xr:uid="{00000000-0005-0000-0000-0000A8100000}"/>
    <cellStyle name="Normal 2 39 6" xfId="2680" xr:uid="{00000000-0005-0000-0000-0000A9100000}"/>
    <cellStyle name="Normal 2 39 60" xfId="2681" xr:uid="{00000000-0005-0000-0000-0000AA100000}"/>
    <cellStyle name="Normal 2 39 61" xfId="2682" xr:uid="{00000000-0005-0000-0000-0000AB100000}"/>
    <cellStyle name="Normal 2 39 62" xfId="2683" xr:uid="{00000000-0005-0000-0000-0000AC100000}"/>
    <cellStyle name="Normal 2 39 63" xfId="2684" xr:uid="{00000000-0005-0000-0000-0000AD100000}"/>
    <cellStyle name="Normal 2 39 64" xfId="2685" xr:uid="{00000000-0005-0000-0000-0000AE100000}"/>
    <cellStyle name="Normal 2 39 65" xfId="2686" xr:uid="{00000000-0005-0000-0000-0000AF100000}"/>
    <cellStyle name="Normal 2 39 66" xfId="2687" xr:uid="{00000000-0005-0000-0000-0000B0100000}"/>
    <cellStyle name="Normal 2 39 67" xfId="2688" xr:uid="{00000000-0005-0000-0000-0000B1100000}"/>
    <cellStyle name="Normal 2 39 68" xfId="2689" xr:uid="{00000000-0005-0000-0000-0000B2100000}"/>
    <cellStyle name="Normal 2 39 69" xfId="2690" xr:uid="{00000000-0005-0000-0000-0000B3100000}"/>
    <cellStyle name="Normal 2 39 7" xfId="2691" xr:uid="{00000000-0005-0000-0000-0000B4100000}"/>
    <cellStyle name="Normal 2 39 70" xfId="2692" xr:uid="{00000000-0005-0000-0000-0000B5100000}"/>
    <cellStyle name="Normal 2 39 71" xfId="2693" xr:uid="{00000000-0005-0000-0000-0000B6100000}"/>
    <cellStyle name="Normal 2 39 72" xfId="2694" xr:uid="{00000000-0005-0000-0000-0000B7100000}"/>
    <cellStyle name="Normal 2 39 73" xfId="2695" xr:uid="{00000000-0005-0000-0000-0000B8100000}"/>
    <cellStyle name="Normal 2 39 74" xfId="2696" xr:uid="{00000000-0005-0000-0000-0000B9100000}"/>
    <cellStyle name="Normal 2 39 75" xfId="2697" xr:uid="{00000000-0005-0000-0000-0000BA100000}"/>
    <cellStyle name="Normal 2 39 76" xfId="2698" xr:uid="{00000000-0005-0000-0000-0000BB100000}"/>
    <cellStyle name="Normal 2 39 77" xfId="2699" xr:uid="{00000000-0005-0000-0000-0000BC100000}"/>
    <cellStyle name="Normal 2 39 78" xfId="2700" xr:uid="{00000000-0005-0000-0000-0000BD100000}"/>
    <cellStyle name="Normal 2 39 79" xfId="2701" xr:uid="{00000000-0005-0000-0000-0000BE100000}"/>
    <cellStyle name="Normal 2 39 8" xfId="2702" xr:uid="{00000000-0005-0000-0000-0000BF100000}"/>
    <cellStyle name="Normal 2 39 80" xfId="2703" xr:uid="{00000000-0005-0000-0000-0000C0100000}"/>
    <cellStyle name="Normal 2 39 81" xfId="2704" xr:uid="{00000000-0005-0000-0000-0000C1100000}"/>
    <cellStyle name="Normal 2 39 82" xfId="2705" xr:uid="{00000000-0005-0000-0000-0000C2100000}"/>
    <cellStyle name="Normal 2 39 83" xfId="2706" xr:uid="{00000000-0005-0000-0000-0000C3100000}"/>
    <cellStyle name="Normal 2 39 84" xfId="2707" xr:uid="{00000000-0005-0000-0000-0000C4100000}"/>
    <cellStyle name="Normal 2 39 85" xfId="2708" xr:uid="{00000000-0005-0000-0000-0000C5100000}"/>
    <cellStyle name="Normal 2 39 86" xfId="2709" xr:uid="{00000000-0005-0000-0000-0000C6100000}"/>
    <cellStyle name="Normal 2 39 87" xfId="2710" xr:uid="{00000000-0005-0000-0000-0000C7100000}"/>
    <cellStyle name="Normal 2 39 88" xfId="2711" xr:uid="{00000000-0005-0000-0000-0000C8100000}"/>
    <cellStyle name="Normal 2 39 89" xfId="2712" xr:uid="{00000000-0005-0000-0000-0000C9100000}"/>
    <cellStyle name="Normal 2 39 9" xfId="2713" xr:uid="{00000000-0005-0000-0000-0000CA100000}"/>
    <cellStyle name="Normal 2 39 90" xfId="2714" xr:uid="{00000000-0005-0000-0000-0000CB100000}"/>
    <cellStyle name="Normal 2 39 91" xfId="2715" xr:uid="{00000000-0005-0000-0000-0000CC100000}"/>
    <cellStyle name="Normal 2 39 92" xfId="2716" xr:uid="{00000000-0005-0000-0000-0000CD100000}"/>
    <cellStyle name="Normal 2 39 93" xfId="2717" xr:uid="{00000000-0005-0000-0000-0000CE100000}"/>
    <cellStyle name="Normal 2 39 94" xfId="2718" xr:uid="{00000000-0005-0000-0000-0000CF100000}"/>
    <cellStyle name="Normal 2 39 95" xfId="2719" xr:uid="{00000000-0005-0000-0000-0000D0100000}"/>
    <cellStyle name="Normal 2 39 96" xfId="2720" xr:uid="{00000000-0005-0000-0000-0000D1100000}"/>
    <cellStyle name="Normal 2 39 97" xfId="2721" xr:uid="{00000000-0005-0000-0000-0000D2100000}"/>
    <cellStyle name="Normal 2 39 98" xfId="2722" xr:uid="{00000000-0005-0000-0000-0000D3100000}"/>
    <cellStyle name="Normal 2 39 99" xfId="2723" xr:uid="{00000000-0005-0000-0000-0000D4100000}"/>
    <cellStyle name="Normal 2 4" xfId="2724" xr:uid="{00000000-0005-0000-0000-0000D5100000}"/>
    <cellStyle name="Normal 2 40" xfId="2725" xr:uid="{00000000-0005-0000-0000-0000D6100000}"/>
    <cellStyle name="Normal 2 41" xfId="2726" xr:uid="{00000000-0005-0000-0000-0000D7100000}"/>
    <cellStyle name="Normal 2 42" xfId="2727" xr:uid="{00000000-0005-0000-0000-0000D8100000}"/>
    <cellStyle name="Normal 2 43" xfId="2728" xr:uid="{00000000-0005-0000-0000-0000D9100000}"/>
    <cellStyle name="Normal 2 5" xfId="2729" xr:uid="{00000000-0005-0000-0000-0000DA100000}"/>
    <cellStyle name="Normal 2 6" xfId="2730" xr:uid="{00000000-0005-0000-0000-0000DB100000}"/>
    <cellStyle name="Normal 2 7" xfId="2731" xr:uid="{00000000-0005-0000-0000-0000DC100000}"/>
    <cellStyle name="Normal 2 8" xfId="2732" xr:uid="{00000000-0005-0000-0000-0000DD100000}"/>
    <cellStyle name="Normal 2 9" xfId="2733" xr:uid="{00000000-0005-0000-0000-0000DE100000}"/>
    <cellStyle name="Normal 20" xfId="2734" xr:uid="{00000000-0005-0000-0000-0000DF100000}"/>
    <cellStyle name="Normal 21" xfId="2735" xr:uid="{00000000-0005-0000-0000-0000E0100000}"/>
    <cellStyle name="Normal 21 2" xfId="5404" xr:uid="{00000000-0005-0000-0000-0000E1100000}"/>
    <cellStyle name="Normal 21 3" xfId="7008" xr:uid="{00000000-0005-0000-0000-0000E2100000}"/>
    <cellStyle name="Normal 22" xfId="2736" xr:uid="{00000000-0005-0000-0000-0000E3100000}"/>
    <cellStyle name="Normal 23" xfId="2737" xr:uid="{00000000-0005-0000-0000-0000E4100000}"/>
    <cellStyle name="Normal 24" xfId="2738" xr:uid="{00000000-0005-0000-0000-0000E5100000}"/>
    <cellStyle name="Normal 25" xfId="2739" xr:uid="{00000000-0005-0000-0000-0000E6100000}"/>
    <cellStyle name="Normal 26" xfId="2740" xr:uid="{00000000-0005-0000-0000-0000E7100000}"/>
    <cellStyle name="Normal 27" xfId="2741" xr:uid="{00000000-0005-0000-0000-0000E8100000}"/>
    <cellStyle name="Normal 28" xfId="2742" xr:uid="{00000000-0005-0000-0000-0000E9100000}"/>
    <cellStyle name="Normal 29" xfId="2743" xr:uid="{00000000-0005-0000-0000-0000EA100000}"/>
    <cellStyle name="Normal 3" xfId="10" xr:uid="{00000000-0005-0000-0000-0000EB100000}"/>
    <cellStyle name="Normal 3 10" xfId="2744" xr:uid="{00000000-0005-0000-0000-0000EC100000}"/>
    <cellStyle name="Normal 3 10 2" xfId="2745" xr:uid="{00000000-0005-0000-0000-0000ED100000}"/>
    <cellStyle name="Normal 3 10 2 2" xfId="5406" xr:uid="{00000000-0005-0000-0000-0000EE100000}"/>
    <cellStyle name="Normal 3 10 2 3" xfId="7010" xr:uid="{00000000-0005-0000-0000-0000EF100000}"/>
    <cellStyle name="Normal 3 10 3" xfId="2746" xr:uid="{00000000-0005-0000-0000-0000F0100000}"/>
    <cellStyle name="Normal 3 10 3 2" xfId="5407" xr:uid="{00000000-0005-0000-0000-0000F1100000}"/>
    <cellStyle name="Normal 3 10 3 3" xfId="7011" xr:uid="{00000000-0005-0000-0000-0000F2100000}"/>
    <cellStyle name="Normal 3 10 4" xfId="5405" xr:uid="{00000000-0005-0000-0000-0000F3100000}"/>
    <cellStyle name="Normal 3 10 5" xfId="7009" xr:uid="{00000000-0005-0000-0000-0000F4100000}"/>
    <cellStyle name="Normal 3 100" xfId="2747" xr:uid="{00000000-0005-0000-0000-0000F5100000}"/>
    <cellStyle name="Normal 3 101" xfId="2748" xr:uid="{00000000-0005-0000-0000-0000F6100000}"/>
    <cellStyle name="Normal 3 102" xfId="2749" xr:uid="{00000000-0005-0000-0000-0000F7100000}"/>
    <cellStyle name="Normal 3 103" xfId="2750" xr:uid="{00000000-0005-0000-0000-0000F8100000}"/>
    <cellStyle name="Normal 3 104" xfId="2751" xr:uid="{00000000-0005-0000-0000-0000F9100000}"/>
    <cellStyle name="Normal 3 105" xfId="2752" xr:uid="{00000000-0005-0000-0000-0000FA100000}"/>
    <cellStyle name="Normal 3 106" xfId="2753" xr:uid="{00000000-0005-0000-0000-0000FB100000}"/>
    <cellStyle name="Normal 3 107" xfId="2754" xr:uid="{00000000-0005-0000-0000-0000FC100000}"/>
    <cellStyle name="Normal 3 108" xfId="2755" xr:uid="{00000000-0005-0000-0000-0000FD100000}"/>
    <cellStyle name="Normal 3 109" xfId="2756" xr:uid="{00000000-0005-0000-0000-0000FE100000}"/>
    <cellStyle name="Normal 3 11" xfId="2757" xr:uid="{00000000-0005-0000-0000-0000FF100000}"/>
    <cellStyle name="Normal 3 11 10" xfId="2758" xr:uid="{00000000-0005-0000-0000-000000110000}"/>
    <cellStyle name="Normal 3 11 100" xfId="2759" xr:uid="{00000000-0005-0000-0000-000001110000}"/>
    <cellStyle name="Normal 3 11 101" xfId="2760" xr:uid="{00000000-0005-0000-0000-000002110000}"/>
    <cellStyle name="Normal 3 11 102" xfId="2761" xr:uid="{00000000-0005-0000-0000-000003110000}"/>
    <cellStyle name="Normal 3 11 103" xfId="2762" xr:uid="{00000000-0005-0000-0000-000004110000}"/>
    <cellStyle name="Normal 3 11 104" xfId="2763" xr:uid="{00000000-0005-0000-0000-000005110000}"/>
    <cellStyle name="Normal 3 11 105" xfId="2764" xr:uid="{00000000-0005-0000-0000-000006110000}"/>
    <cellStyle name="Normal 3 11 106" xfId="2765" xr:uid="{00000000-0005-0000-0000-000007110000}"/>
    <cellStyle name="Normal 3 11 107" xfId="2766" xr:uid="{00000000-0005-0000-0000-000008110000}"/>
    <cellStyle name="Normal 3 11 108" xfId="2767" xr:uid="{00000000-0005-0000-0000-000009110000}"/>
    <cellStyle name="Normal 3 11 109" xfId="2768" xr:uid="{00000000-0005-0000-0000-00000A110000}"/>
    <cellStyle name="Normal 3 11 11" xfId="2769" xr:uid="{00000000-0005-0000-0000-00000B110000}"/>
    <cellStyle name="Normal 3 11 110" xfId="2770" xr:uid="{00000000-0005-0000-0000-00000C110000}"/>
    <cellStyle name="Normal 3 11 111" xfId="2771" xr:uid="{00000000-0005-0000-0000-00000D110000}"/>
    <cellStyle name="Normal 3 11 112" xfId="2772" xr:uid="{00000000-0005-0000-0000-00000E110000}"/>
    <cellStyle name="Normal 3 11 113" xfId="2773" xr:uid="{00000000-0005-0000-0000-00000F110000}"/>
    <cellStyle name="Normal 3 11 114" xfId="2774" xr:uid="{00000000-0005-0000-0000-000010110000}"/>
    <cellStyle name="Normal 3 11 115" xfId="2775" xr:uid="{00000000-0005-0000-0000-000011110000}"/>
    <cellStyle name="Normal 3 11 116" xfId="2776" xr:uid="{00000000-0005-0000-0000-000012110000}"/>
    <cellStyle name="Normal 3 11 117" xfId="2777" xr:uid="{00000000-0005-0000-0000-000013110000}"/>
    <cellStyle name="Normal 3 11 118" xfId="2778" xr:uid="{00000000-0005-0000-0000-000014110000}"/>
    <cellStyle name="Normal 3 11 119" xfId="2779" xr:uid="{00000000-0005-0000-0000-000015110000}"/>
    <cellStyle name="Normal 3 11 12" xfId="2780" xr:uid="{00000000-0005-0000-0000-000016110000}"/>
    <cellStyle name="Normal 3 11 120" xfId="2781" xr:uid="{00000000-0005-0000-0000-000017110000}"/>
    <cellStyle name="Normal 3 11 121" xfId="2782" xr:uid="{00000000-0005-0000-0000-000018110000}"/>
    <cellStyle name="Normal 3 11 122" xfId="2783" xr:uid="{00000000-0005-0000-0000-000019110000}"/>
    <cellStyle name="Normal 3 11 123" xfId="2784" xr:uid="{00000000-0005-0000-0000-00001A110000}"/>
    <cellStyle name="Normal 3 11 124" xfId="2785" xr:uid="{00000000-0005-0000-0000-00001B110000}"/>
    <cellStyle name="Normal 3 11 125" xfId="2786" xr:uid="{00000000-0005-0000-0000-00001C110000}"/>
    <cellStyle name="Normal 3 11 126" xfId="2787" xr:uid="{00000000-0005-0000-0000-00001D110000}"/>
    <cellStyle name="Normal 3 11 127" xfId="2788" xr:uid="{00000000-0005-0000-0000-00001E110000}"/>
    <cellStyle name="Normal 3 11 128" xfId="2789" xr:uid="{00000000-0005-0000-0000-00001F110000}"/>
    <cellStyle name="Normal 3 11 129" xfId="2790" xr:uid="{00000000-0005-0000-0000-000020110000}"/>
    <cellStyle name="Normal 3 11 13" xfId="2791" xr:uid="{00000000-0005-0000-0000-000021110000}"/>
    <cellStyle name="Normal 3 11 130" xfId="2792" xr:uid="{00000000-0005-0000-0000-000022110000}"/>
    <cellStyle name="Normal 3 11 131" xfId="2793" xr:uid="{00000000-0005-0000-0000-000023110000}"/>
    <cellStyle name="Normal 3 11 132" xfId="2794" xr:uid="{00000000-0005-0000-0000-000024110000}"/>
    <cellStyle name="Normal 3 11 133" xfId="2795" xr:uid="{00000000-0005-0000-0000-000025110000}"/>
    <cellStyle name="Normal 3 11 134" xfId="2796" xr:uid="{00000000-0005-0000-0000-000026110000}"/>
    <cellStyle name="Normal 3 11 135" xfId="2797" xr:uid="{00000000-0005-0000-0000-000027110000}"/>
    <cellStyle name="Normal 3 11 136" xfId="2798" xr:uid="{00000000-0005-0000-0000-000028110000}"/>
    <cellStyle name="Normal 3 11 137" xfId="2799" xr:uid="{00000000-0005-0000-0000-000029110000}"/>
    <cellStyle name="Normal 3 11 138" xfId="2800" xr:uid="{00000000-0005-0000-0000-00002A110000}"/>
    <cellStyle name="Normal 3 11 139" xfId="2801" xr:uid="{00000000-0005-0000-0000-00002B110000}"/>
    <cellStyle name="Normal 3 11 14" xfId="2802" xr:uid="{00000000-0005-0000-0000-00002C110000}"/>
    <cellStyle name="Normal 3 11 140" xfId="2803" xr:uid="{00000000-0005-0000-0000-00002D110000}"/>
    <cellStyle name="Normal 3 11 141" xfId="2804" xr:uid="{00000000-0005-0000-0000-00002E110000}"/>
    <cellStyle name="Normal 3 11 142" xfId="2805" xr:uid="{00000000-0005-0000-0000-00002F110000}"/>
    <cellStyle name="Normal 3 11 143" xfId="2806" xr:uid="{00000000-0005-0000-0000-000030110000}"/>
    <cellStyle name="Normal 3 11 144" xfId="2807" xr:uid="{00000000-0005-0000-0000-000031110000}"/>
    <cellStyle name="Normal 3 11 145" xfId="2808" xr:uid="{00000000-0005-0000-0000-000032110000}"/>
    <cellStyle name="Normal 3 11 146" xfId="2809" xr:uid="{00000000-0005-0000-0000-000033110000}"/>
    <cellStyle name="Normal 3 11 147" xfId="2810" xr:uid="{00000000-0005-0000-0000-000034110000}"/>
    <cellStyle name="Normal 3 11 148" xfId="2811" xr:uid="{00000000-0005-0000-0000-000035110000}"/>
    <cellStyle name="Normal 3 11 149" xfId="2812" xr:uid="{00000000-0005-0000-0000-000036110000}"/>
    <cellStyle name="Normal 3 11 15" xfId="2813" xr:uid="{00000000-0005-0000-0000-000037110000}"/>
    <cellStyle name="Normal 3 11 150" xfId="2814" xr:uid="{00000000-0005-0000-0000-000038110000}"/>
    <cellStyle name="Normal 3 11 151" xfId="2815" xr:uid="{00000000-0005-0000-0000-000039110000}"/>
    <cellStyle name="Normal 3 11 16" xfId="2816" xr:uid="{00000000-0005-0000-0000-00003A110000}"/>
    <cellStyle name="Normal 3 11 17" xfId="2817" xr:uid="{00000000-0005-0000-0000-00003B110000}"/>
    <cellStyle name="Normal 3 11 18" xfId="2818" xr:uid="{00000000-0005-0000-0000-00003C110000}"/>
    <cellStyle name="Normal 3 11 19" xfId="2819" xr:uid="{00000000-0005-0000-0000-00003D110000}"/>
    <cellStyle name="Normal 3 11 2" xfId="2820" xr:uid="{00000000-0005-0000-0000-00003E110000}"/>
    <cellStyle name="Normal 3 11 20" xfId="2821" xr:uid="{00000000-0005-0000-0000-00003F110000}"/>
    <cellStyle name="Normal 3 11 21" xfId="2822" xr:uid="{00000000-0005-0000-0000-000040110000}"/>
    <cellStyle name="Normal 3 11 22" xfId="2823" xr:uid="{00000000-0005-0000-0000-000041110000}"/>
    <cellStyle name="Normal 3 11 23" xfId="2824" xr:uid="{00000000-0005-0000-0000-000042110000}"/>
    <cellStyle name="Normal 3 11 24" xfId="2825" xr:uid="{00000000-0005-0000-0000-000043110000}"/>
    <cellStyle name="Normal 3 11 25" xfId="2826" xr:uid="{00000000-0005-0000-0000-000044110000}"/>
    <cellStyle name="Normal 3 11 26" xfId="2827" xr:uid="{00000000-0005-0000-0000-000045110000}"/>
    <cellStyle name="Normal 3 11 27" xfId="2828" xr:uid="{00000000-0005-0000-0000-000046110000}"/>
    <cellStyle name="Normal 3 11 28" xfId="2829" xr:uid="{00000000-0005-0000-0000-000047110000}"/>
    <cellStyle name="Normal 3 11 29" xfId="2830" xr:uid="{00000000-0005-0000-0000-000048110000}"/>
    <cellStyle name="Normal 3 11 3" xfId="2831" xr:uid="{00000000-0005-0000-0000-000049110000}"/>
    <cellStyle name="Normal 3 11 30" xfId="2832" xr:uid="{00000000-0005-0000-0000-00004A110000}"/>
    <cellStyle name="Normal 3 11 31" xfId="2833" xr:uid="{00000000-0005-0000-0000-00004B110000}"/>
    <cellStyle name="Normal 3 11 32" xfId="2834" xr:uid="{00000000-0005-0000-0000-00004C110000}"/>
    <cellStyle name="Normal 3 11 33" xfId="2835" xr:uid="{00000000-0005-0000-0000-00004D110000}"/>
    <cellStyle name="Normal 3 11 34" xfId="2836" xr:uid="{00000000-0005-0000-0000-00004E110000}"/>
    <cellStyle name="Normal 3 11 35" xfId="2837" xr:uid="{00000000-0005-0000-0000-00004F110000}"/>
    <cellStyle name="Normal 3 11 36" xfId="2838" xr:uid="{00000000-0005-0000-0000-000050110000}"/>
    <cellStyle name="Normal 3 11 37" xfId="2839" xr:uid="{00000000-0005-0000-0000-000051110000}"/>
    <cellStyle name="Normal 3 11 38" xfId="2840" xr:uid="{00000000-0005-0000-0000-000052110000}"/>
    <cellStyle name="Normal 3 11 39" xfId="2841" xr:uid="{00000000-0005-0000-0000-000053110000}"/>
    <cellStyle name="Normal 3 11 4" xfId="2842" xr:uid="{00000000-0005-0000-0000-000054110000}"/>
    <cellStyle name="Normal 3 11 40" xfId="2843" xr:uid="{00000000-0005-0000-0000-000055110000}"/>
    <cellStyle name="Normal 3 11 41" xfId="2844" xr:uid="{00000000-0005-0000-0000-000056110000}"/>
    <cellStyle name="Normal 3 11 42" xfId="2845" xr:uid="{00000000-0005-0000-0000-000057110000}"/>
    <cellStyle name="Normal 3 11 43" xfId="2846" xr:uid="{00000000-0005-0000-0000-000058110000}"/>
    <cellStyle name="Normal 3 11 44" xfId="2847" xr:uid="{00000000-0005-0000-0000-000059110000}"/>
    <cellStyle name="Normal 3 11 45" xfId="2848" xr:uid="{00000000-0005-0000-0000-00005A110000}"/>
    <cellStyle name="Normal 3 11 46" xfId="2849" xr:uid="{00000000-0005-0000-0000-00005B110000}"/>
    <cellStyle name="Normal 3 11 47" xfId="2850" xr:uid="{00000000-0005-0000-0000-00005C110000}"/>
    <cellStyle name="Normal 3 11 48" xfId="2851" xr:uid="{00000000-0005-0000-0000-00005D110000}"/>
    <cellStyle name="Normal 3 11 49" xfId="2852" xr:uid="{00000000-0005-0000-0000-00005E110000}"/>
    <cellStyle name="Normal 3 11 5" xfId="2853" xr:uid="{00000000-0005-0000-0000-00005F110000}"/>
    <cellStyle name="Normal 3 11 50" xfId="2854" xr:uid="{00000000-0005-0000-0000-000060110000}"/>
    <cellStyle name="Normal 3 11 51" xfId="2855" xr:uid="{00000000-0005-0000-0000-000061110000}"/>
    <cellStyle name="Normal 3 11 52" xfId="2856" xr:uid="{00000000-0005-0000-0000-000062110000}"/>
    <cellStyle name="Normal 3 11 53" xfId="2857" xr:uid="{00000000-0005-0000-0000-000063110000}"/>
    <cellStyle name="Normal 3 11 54" xfId="2858" xr:uid="{00000000-0005-0000-0000-000064110000}"/>
    <cellStyle name="Normal 3 11 55" xfId="2859" xr:uid="{00000000-0005-0000-0000-000065110000}"/>
    <cellStyle name="Normal 3 11 56" xfId="2860" xr:uid="{00000000-0005-0000-0000-000066110000}"/>
    <cellStyle name="Normal 3 11 57" xfId="2861" xr:uid="{00000000-0005-0000-0000-000067110000}"/>
    <cellStyle name="Normal 3 11 58" xfId="2862" xr:uid="{00000000-0005-0000-0000-000068110000}"/>
    <cellStyle name="Normal 3 11 59" xfId="2863" xr:uid="{00000000-0005-0000-0000-000069110000}"/>
    <cellStyle name="Normal 3 11 6" xfId="2864" xr:uid="{00000000-0005-0000-0000-00006A110000}"/>
    <cellStyle name="Normal 3 11 60" xfId="2865" xr:uid="{00000000-0005-0000-0000-00006B110000}"/>
    <cellStyle name="Normal 3 11 61" xfId="2866" xr:uid="{00000000-0005-0000-0000-00006C110000}"/>
    <cellStyle name="Normal 3 11 62" xfId="2867" xr:uid="{00000000-0005-0000-0000-00006D110000}"/>
    <cellStyle name="Normal 3 11 63" xfId="2868" xr:uid="{00000000-0005-0000-0000-00006E110000}"/>
    <cellStyle name="Normal 3 11 64" xfId="2869" xr:uid="{00000000-0005-0000-0000-00006F110000}"/>
    <cellStyle name="Normal 3 11 65" xfId="2870" xr:uid="{00000000-0005-0000-0000-000070110000}"/>
    <cellStyle name="Normal 3 11 66" xfId="2871" xr:uid="{00000000-0005-0000-0000-000071110000}"/>
    <cellStyle name="Normal 3 11 67" xfId="2872" xr:uid="{00000000-0005-0000-0000-000072110000}"/>
    <cellStyle name="Normal 3 11 68" xfId="2873" xr:uid="{00000000-0005-0000-0000-000073110000}"/>
    <cellStyle name="Normal 3 11 69" xfId="2874" xr:uid="{00000000-0005-0000-0000-000074110000}"/>
    <cellStyle name="Normal 3 11 7" xfId="2875" xr:uid="{00000000-0005-0000-0000-000075110000}"/>
    <cellStyle name="Normal 3 11 70" xfId="2876" xr:uid="{00000000-0005-0000-0000-000076110000}"/>
    <cellStyle name="Normal 3 11 71" xfId="2877" xr:uid="{00000000-0005-0000-0000-000077110000}"/>
    <cellStyle name="Normal 3 11 72" xfId="2878" xr:uid="{00000000-0005-0000-0000-000078110000}"/>
    <cellStyle name="Normal 3 11 73" xfId="2879" xr:uid="{00000000-0005-0000-0000-000079110000}"/>
    <cellStyle name="Normal 3 11 74" xfId="2880" xr:uid="{00000000-0005-0000-0000-00007A110000}"/>
    <cellStyle name="Normal 3 11 75" xfId="2881" xr:uid="{00000000-0005-0000-0000-00007B110000}"/>
    <cellStyle name="Normal 3 11 76" xfId="2882" xr:uid="{00000000-0005-0000-0000-00007C110000}"/>
    <cellStyle name="Normal 3 11 77" xfId="2883" xr:uid="{00000000-0005-0000-0000-00007D110000}"/>
    <cellStyle name="Normal 3 11 78" xfId="2884" xr:uid="{00000000-0005-0000-0000-00007E110000}"/>
    <cellStyle name="Normal 3 11 79" xfId="2885" xr:uid="{00000000-0005-0000-0000-00007F110000}"/>
    <cellStyle name="Normal 3 11 8" xfId="2886" xr:uid="{00000000-0005-0000-0000-000080110000}"/>
    <cellStyle name="Normal 3 11 80" xfId="2887" xr:uid="{00000000-0005-0000-0000-000081110000}"/>
    <cellStyle name="Normal 3 11 81" xfId="2888" xr:uid="{00000000-0005-0000-0000-000082110000}"/>
    <cellStyle name="Normal 3 11 82" xfId="2889" xr:uid="{00000000-0005-0000-0000-000083110000}"/>
    <cellStyle name="Normal 3 11 83" xfId="2890" xr:uid="{00000000-0005-0000-0000-000084110000}"/>
    <cellStyle name="Normal 3 11 84" xfId="2891" xr:uid="{00000000-0005-0000-0000-000085110000}"/>
    <cellStyle name="Normal 3 11 85" xfId="2892" xr:uid="{00000000-0005-0000-0000-000086110000}"/>
    <cellStyle name="Normal 3 11 86" xfId="2893" xr:uid="{00000000-0005-0000-0000-000087110000}"/>
    <cellStyle name="Normal 3 11 87" xfId="2894" xr:uid="{00000000-0005-0000-0000-000088110000}"/>
    <cellStyle name="Normal 3 11 88" xfId="2895" xr:uid="{00000000-0005-0000-0000-000089110000}"/>
    <cellStyle name="Normal 3 11 89" xfId="2896" xr:uid="{00000000-0005-0000-0000-00008A110000}"/>
    <cellStyle name="Normal 3 11 9" xfId="2897" xr:uid="{00000000-0005-0000-0000-00008B110000}"/>
    <cellStyle name="Normal 3 11 90" xfId="2898" xr:uid="{00000000-0005-0000-0000-00008C110000}"/>
    <cellStyle name="Normal 3 11 91" xfId="2899" xr:uid="{00000000-0005-0000-0000-00008D110000}"/>
    <cellStyle name="Normal 3 11 92" xfId="2900" xr:uid="{00000000-0005-0000-0000-00008E110000}"/>
    <cellStyle name="Normal 3 11 93" xfId="2901" xr:uid="{00000000-0005-0000-0000-00008F110000}"/>
    <cellStyle name="Normal 3 11 94" xfId="2902" xr:uid="{00000000-0005-0000-0000-000090110000}"/>
    <cellStyle name="Normal 3 11 95" xfId="2903" xr:uid="{00000000-0005-0000-0000-000091110000}"/>
    <cellStyle name="Normal 3 11 96" xfId="2904" xr:uid="{00000000-0005-0000-0000-000092110000}"/>
    <cellStyle name="Normal 3 11 97" xfId="2905" xr:uid="{00000000-0005-0000-0000-000093110000}"/>
    <cellStyle name="Normal 3 11 98" xfId="2906" xr:uid="{00000000-0005-0000-0000-000094110000}"/>
    <cellStyle name="Normal 3 11 99" xfId="2907" xr:uid="{00000000-0005-0000-0000-000095110000}"/>
    <cellStyle name="Normal 3 110" xfId="2908" xr:uid="{00000000-0005-0000-0000-000096110000}"/>
    <cellStyle name="Normal 3 111" xfId="2909" xr:uid="{00000000-0005-0000-0000-000097110000}"/>
    <cellStyle name="Normal 3 112" xfId="2910" xr:uid="{00000000-0005-0000-0000-000098110000}"/>
    <cellStyle name="Normal 3 113" xfId="2911" xr:uid="{00000000-0005-0000-0000-000099110000}"/>
    <cellStyle name="Normal 3 114" xfId="2912" xr:uid="{00000000-0005-0000-0000-00009A110000}"/>
    <cellStyle name="Normal 3 115" xfId="2913" xr:uid="{00000000-0005-0000-0000-00009B110000}"/>
    <cellStyle name="Normal 3 116" xfId="2914" xr:uid="{00000000-0005-0000-0000-00009C110000}"/>
    <cellStyle name="Normal 3 117" xfId="2915" xr:uid="{00000000-0005-0000-0000-00009D110000}"/>
    <cellStyle name="Normal 3 118" xfId="2916" xr:uid="{00000000-0005-0000-0000-00009E110000}"/>
    <cellStyle name="Normal 3 119" xfId="2917" xr:uid="{00000000-0005-0000-0000-00009F110000}"/>
    <cellStyle name="Normal 3 12" xfId="2918" xr:uid="{00000000-0005-0000-0000-0000A0110000}"/>
    <cellStyle name="Normal 3 120" xfId="2919" xr:uid="{00000000-0005-0000-0000-0000A1110000}"/>
    <cellStyle name="Normal 3 13" xfId="2920" xr:uid="{00000000-0005-0000-0000-0000A2110000}"/>
    <cellStyle name="Normal 3 14" xfId="2921" xr:uid="{00000000-0005-0000-0000-0000A3110000}"/>
    <cellStyle name="Normal 3 15" xfId="2922" xr:uid="{00000000-0005-0000-0000-0000A4110000}"/>
    <cellStyle name="Normal 3 16" xfId="2923" xr:uid="{00000000-0005-0000-0000-0000A5110000}"/>
    <cellStyle name="Normal 3 17" xfId="2924" xr:uid="{00000000-0005-0000-0000-0000A6110000}"/>
    <cellStyle name="Normal 3 18" xfId="2925" xr:uid="{00000000-0005-0000-0000-0000A7110000}"/>
    <cellStyle name="Normal 3 19" xfId="2926" xr:uid="{00000000-0005-0000-0000-0000A8110000}"/>
    <cellStyle name="Normal 3 2" xfId="2927" xr:uid="{00000000-0005-0000-0000-0000A9110000}"/>
    <cellStyle name="Normal 3 2 2" xfId="2928" xr:uid="{00000000-0005-0000-0000-0000AA110000}"/>
    <cellStyle name="Normal 3 2 2 2" xfId="2929" xr:uid="{00000000-0005-0000-0000-0000AB110000}"/>
    <cellStyle name="Normal 3 2 2 2 2" xfId="2930" xr:uid="{00000000-0005-0000-0000-0000AC110000}"/>
    <cellStyle name="Normal 3 2 2 2 2 2" xfId="2931" xr:uid="{00000000-0005-0000-0000-0000AD110000}"/>
    <cellStyle name="Normal 3 2 2 2 2 3" xfId="2932" xr:uid="{00000000-0005-0000-0000-0000AE110000}"/>
    <cellStyle name="Normal 3 2 2 2 2 3 2" xfId="5410" xr:uid="{00000000-0005-0000-0000-0000AF110000}"/>
    <cellStyle name="Normal 3 2 2 2 2 3 3" xfId="7014" xr:uid="{00000000-0005-0000-0000-0000B0110000}"/>
    <cellStyle name="Normal 3 2 2 2 2 4" xfId="2933" xr:uid="{00000000-0005-0000-0000-0000B1110000}"/>
    <cellStyle name="Normal 3 2 2 2 2 4 2" xfId="5411" xr:uid="{00000000-0005-0000-0000-0000B2110000}"/>
    <cellStyle name="Normal 3 2 2 2 2 4 3" xfId="7015" xr:uid="{00000000-0005-0000-0000-0000B3110000}"/>
    <cellStyle name="Normal 3 2 2 2 2 5" xfId="5409" xr:uid="{00000000-0005-0000-0000-0000B4110000}"/>
    <cellStyle name="Normal 3 2 2 2 2 6" xfId="7013" xr:uid="{00000000-0005-0000-0000-0000B5110000}"/>
    <cellStyle name="Normal 3 2 2 3" xfId="2934" xr:uid="{00000000-0005-0000-0000-0000B6110000}"/>
    <cellStyle name="Normal 3 2 2 4" xfId="2935" xr:uid="{00000000-0005-0000-0000-0000B7110000}"/>
    <cellStyle name="Normal 3 2 2 4 2" xfId="5412" xr:uid="{00000000-0005-0000-0000-0000B8110000}"/>
    <cellStyle name="Normal 3 2 2 4 3" xfId="7016" xr:uid="{00000000-0005-0000-0000-0000B9110000}"/>
    <cellStyle name="Normal 3 2 2 5" xfId="2936" xr:uid="{00000000-0005-0000-0000-0000BA110000}"/>
    <cellStyle name="Normal 3 2 2 5 2" xfId="5413" xr:uid="{00000000-0005-0000-0000-0000BB110000}"/>
    <cellStyle name="Normal 3 2 2 5 3" xfId="7017" xr:uid="{00000000-0005-0000-0000-0000BC110000}"/>
    <cellStyle name="Normal 3 2 2 6" xfId="5408" xr:uid="{00000000-0005-0000-0000-0000BD110000}"/>
    <cellStyle name="Normal 3 2 2 7" xfId="7012" xr:uid="{00000000-0005-0000-0000-0000BE110000}"/>
    <cellStyle name="Normal 3 2 3" xfId="2937" xr:uid="{00000000-0005-0000-0000-0000BF110000}"/>
    <cellStyle name="Normal 3 2 3 2" xfId="2938" xr:uid="{00000000-0005-0000-0000-0000C0110000}"/>
    <cellStyle name="Normal 3 2 3 3" xfId="2939" xr:uid="{00000000-0005-0000-0000-0000C1110000}"/>
    <cellStyle name="Normal 3 2 3 3 2" xfId="5415" xr:uid="{00000000-0005-0000-0000-0000C2110000}"/>
    <cellStyle name="Normal 3 2 3 3 3" xfId="7019" xr:uid="{00000000-0005-0000-0000-0000C3110000}"/>
    <cellStyle name="Normal 3 2 3 4" xfId="2940" xr:uid="{00000000-0005-0000-0000-0000C4110000}"/>
    <cellStyle name="Normal 3 2 3 4 2" xfId="5416" xr:uid="{00000000-0005-0000-0000-0000C5110000}"/>
    <cellStyle name="Normal 3 2 3 4 3" xfId="7020" xr:uid="{00000000-0005-0000-0000-0000C6110000}"/>
    <cellStyle name="Normal 3 2 3 5" xfId="5414" xr:uid="{00000000-0005-0000-0000-0000C7110000}"/>
    <cellStyle name="Normal 3 2 3 6" xfId="7018" xr:uid="{00000000-0005-0000-0000-0000C8110000}"/>
    <cellStyle name="Normal 3 20" xfId="2941" xr:uid="{00000000-0005-0000-0000-0000C9110000}"/>
    <cellStyle name="Normal 3 21" xfId="2942" xr:uid="{00000000-0005-0000-0000-0000CA110000}"/>
    <cellStyle name="Normal 3 22" xfId="2943" xr:uid="{00000000-0005-0000-0000-0000CB110000}"/>
    <cellStyle name="Normal 3 23" xfId="2944" xr:uid="{00000000-0005-0000-0000-0000CC110000}"/>
    <cellStyle name="Normal 3 24" xfId="2945" xr:uid="{00000000-0005-0000-0000-0000CD110000}"/>
    <cellStyle name="Normal 3 25" xfId="2946" xr:uid="{00000000-0005-0000-0000-0000CE110000}"/>
    <cellStyle name="Normal 3 26" xfId="2947" xr:uid="{00000000-0005-0000-0000-0000CF110000}"/>
    <cellStyle name="Normal 3 27" xfId="2948" xr:uid="{00000000-0005-0000-0000-0000D0110000}"/>
    <cellStyle name="Normal 3 28" xfId="2949" xr:uid="{00000000-0005-0000-0000-0000D1110000}"/>
    <cellStyle name="Normal 3 29" xfId="2950" xr:uid="{00000000-0005-0000-0000-0000D2110000}"/>
    <cellStyle name="Normal 3 3" xfId="2951" xr:uid="{00000000-0005-0000-0000-0000D3110000}"/>
    <cellStyle name="Normal 3 30" xfId="2952" xr:uid="{00000000-0005-0000-0000-0000D4110000}"/>
    <cellStyle name="Normal 3 31" xfId="2953" xr:uid="{00000000-0005-0000-0000-0000D5110000}"/>
    <cellStyle name="Normal 3 32" xfId="2954" xr:uid="{00000000-0005-0000-0000-0000D6110000}"/>
    <cellStyle name="Normal 3 33" xfId="2955" xr:uid="{00000000-0005-0000-0000-0000D7110000}"/>
    <cellStyle name="Normal 3 34" xfId="2956" xr:uid="{00000000-0005-0000-0000-0000D8110000}"/>
    <cellStyle name="Normal 3 35" xfId="2957" xr:uid="{00000000-0005-0000-0000-0000D9110000}"/>
    <cellStyle name="Normal 3 36" xfId="2958" xr:uid="{00000000-0005-0000-0000-0000DA110000}"/>
    <cellStyle name="Normal 3 37" xfId="2959" xr:uid="{00000000-0005-0000-0000-0000DB110000}"/>
    <cellStyle name="Normal 3 38" xfId="2960" xr:uid="{00000000-0005-0000-0000-0000DC110000}"/>
    <cellStyle name="Normal 3 39" xfId="2961" xr:uid="{00000000-0005-0000-0000-0000DD110000}"/>
    <cellStyle name="Normal 3 4" xfId="2962" xr:uid="{00000000-0005-0000-0000-0000DE110000}"/>
    <cellStyle name="Normal 3 40" xfId="2963" xr:uid="{00000000-0005-0000-0000-0000DF110000}"/>
    <cellStyle name="Normal 3 41" xfId="2964" xr:uid="{00000000-0005-0000-0000-0000E0110000}"/>
    <cellStyle name="Normal 3 42" xfId="2965" xr:uid="{00000000-0005-0000-0000-0000E1110000}"/>
    <cellStyle name="Normal 3 43" xfId="2966" xr:uid="{00000000-0005-0000-0000-0000E2110000}"/>
    <cellStyle name="Normal 3 44" xfId="2967" xr:uid="{00000000-0005-0000-0000-0000E3110000}"/>
    <cellStyle name="Normal 3 45" xfId="2968" xr:uid="{00000000-0005-0000-0000-0000E4110000}"/>
    <cellStyle name="Normal 3 46" xfId="2969" xr:uid="{00000000-0005-0000-0000-0000E5110000}"/>
    <cellStyle name="Normal 3 47" xfId="2970" xr:uid="{00000000-0005-0000-0000-0000E6110000}"/>
    <cellStyle name="Normal 3 48" xfId="2971" xr:uid="{00000000-0005-0000-0000-0000E7110000}"/>
    <cellStyle name="Normal 3 49" xfId="2972" xr:uid="{00000000-0005-0000-0000-0000E8110000}"/>
    <cellStyle name="Normal 3 5" xfId="2973" xr:uid="{00000000-0005-0000-0000-0000E9110000}"/>
    <cellStyle name="Normal 3 50" xfId="2974" xr:uid="{00000000-0005-0000-0000-0000EA110000}"/>
    <cellStyle name="Normal 3 51" xfId="2975" xr:uid="{00000000-0005-0000-0000-0000EB110000}"/>
    <cellStyle name="Normal 3 52" xfId="2976" xr:uid="{00000000-0005-0000-0000-0000EC110000}"/>
    <cellStyle name="Normal 3 53" xfId="2977" xr:uid="{00000000-0005-0000-0000-0000ED110000}"/>
    <cellStyle name="Normal 3 54" xfId="2978" xr:uid="{00000000-0005-0000-0000-0000EE110000}"/>
    <cellStyle name="Normal 3 55" xfId="2979" xr:uid="{00000000-0005-0000-0000-0000EF110000}"/>
    <cellStyle name="Normal 3 56" xfId="2980" xr:uid="{00000000-0005-0000-0000-0000F0110000}"/>
    <cellStyle name="Normal 3 57" xfId="2981" xr:uid="{00000000-0005-0000-0000-0000F1110000}"/>
    <cellStyle name="Normal 3 58" xfId="2982" xr:uid="{00000000-0005-0000-0000-0000F2110000}"/>
    <cellStyle name="Normal 3 59" xfId="2983" xr:uid="{00000000-0005-0000-0000-0000F3110000}"/>
    <cellStyle name="Normal 3 6" xfId="2984" xr:uid="{00000000-0005-0000-0000-0000F4110000}"/>
    <cellStyle name="Normal 3 60" xfId="2985" xr:uid="{00000000-0005-0000-0000-0000F5110000}"/>
    <cellStyle name="Normal 3 61" xfId="2986" xr:uid="{00000000-0005-0000-0000-0000F6110000}"/>
    <cellStyle name="Normal 3 62" xfId="2987" xr:uid="{00000000-0005-0000-0000-0000F7110000}"/>
    <cellStyle name="Normal 3 63" xfId="2988" xr:uid="{00000000-0005-0000-0000-0000F8110000}"/>
    <cellStyle name="Normal 3 64" xfId="2989" xr:uid="{00000000-0005-0000-0000-0000F9110000}"/>
    <cellStyle name="Normal 3 65" xfId="2990" xr:uid="{00000000-0005-0000-0000-0000FA110000}"/>
    <cellStyle name="Normal 3 66" xfId="2991" xr:uid="{00000000-0005-0000-0000-0000FB110000}"/>
    <cellStyle name="Normal 3 67" xfId="2992" xr:uid="{00000000-0005-0000-0000-0000FC110000}"/>
    <cellStyle name="Normal 3 68" xfId="2993" xr:uid="{00000000-0005-0000-0000-0000FD110000}"/>
    <cellStyle name="Normal 3 69" xfId="2994" xr:uid="{00000000-0005-0000-0000-0000FE110000}"/>
    <cellStyle name="Normal 3 7" xfId="2995" xr:uid="{00000000-0005-0000-0000-0000FF110000}"/>
    <cellStyle name="Normal 3 7 2" xfId="2996" xr:uid="{00000000-0005-0000-0000-000000120000}"/>
    <cellStyle name="Normal 3 7 2 2" xfId="5418" xr:uid="{00000000-0005-0000-0000-000001120000}"/>
    <cellStyle name="Normal 3 7 2 3" xfId="7022" xr:uid="{00000000-0005-0000-0000-000002120000}"/>
    <cellStyle name="Normal 3 7 3" xfId="2997" xr:uid="{00000000-0005-0000-0000-000003120000}"/>
    <cellStyle name="Normal 3 7 3 2" xfId="5419" xr:uid="{00000000-0005-0000-0000-000004120000}"/>
    <cellStyle name="Normal 3 7 3 3" xfId="7023" xr:uid="{00000000-0005-0000-0000-000005120000}"/>
    <cellStyle name="Normal 3 7 4" xfId="5417" xr:uid="{00000000-0005-0000-0000-000006120000}"/>
    <cellStyle name="Normal 3 7 5" xfId="7021" xr:uid="{00000000-0005-0000-0000-000007120000}"/>
    <cellStyle name="Normal 3 70" xfId="2998" xr:uid="{00000000-0005-0000-0000-000008120000}"/>
    <cellStyle name="Normal 3 71" xfId="2999" xr:uid="{00000000-0005-0000-0000-000009120000}"/>
    <cellStyle name="Normal 3 72" xfId="3000" xr:uid="{00000000-0005-0000-0000-00000A120000}"/>
    <cellStyle name="Normal 3 73" xfId="3001" xr:uid="{00000000-0005-0000-0000-00000B120000}"/>
    <cellStyle name="Normal 3 74" xfId="3002" xr:uid="{00000000-0005-0000-0000-00000C120000}"/>
    <cellStyle name="Normal 3 75" xfId="3003" xr:uid="{00000000-0005-0000-0000-00000D120000}"/>
    <cellStyle name="Normal 3 76" xfId="3004" xr:uid="{00000000-0005-0000-0000-00000E120000}"/>
    <cellStyle name="Normal 3 77" xfId="3005" xr:uid="{00000000-0005-0000-0000-00000F120000}"/>
    <cellStyle name="Normal 3 78" xfId="3006" xr:uid="{00000000-0005-0000-0000-000010120000}"/>
    <cellStyle name="Normal 3 79" xfId="3007" xr:uid="{00000000-0005-0000-0000-000011120000}"/>
    <cellStyle name="Normal 3 8" xfId="3008" xr:uid="{00000000-0005-0000-0000-000012120000}"/>
    <cellStyle name="Normal 3 8 2" xfId="3009" xr:uid="{00000000-0005-0000-0000-000013120000}"/>
    <cellStyle name="Normal 3 8 2 2" xfId="5421" xr:uid="{00000000-0005-0000-0000-000014120000}"/>
    <cellStyle name="Normal 3 8 2 3" xfId="7025" xr:uid="{00000000-0005-0000-0000-000015120000}"/>
    <cellStyle name="Normal 3 8 3" xfId="3010" xr:uid="{00000000-0005-0000-0000-000016120000}"/>
    <cellStyle name="Normal 3 8 3 2" xfId="5422" xr:uid="{00000000-0005-0000-0000-000017120000}"/>
    <cellStyle name="Normal 3 8 3 3" xfId="7026" xr:uid="{00000000-0005-0000-0000-000018120000}"/>
    <cellStyle name="Normal 3 8 4" xfId="5420" xr:uid="{00000000-0005-0000-0000-000019120000}"/>
    <cellStyle name="Normal 3 8 5" xfId="7024" xr:uid="{00000000-0005-0000-0000-00001A120000}"/>
    <cellStyle name="Normal 3 80" xfId="3011" xr:uid="{00000000-0005-0000-0000-00001B120000}"/>
    <cellStyle name="Normal 3 81" xfId="3012" xr:uid="{00000000-0005-0000-0000-00001C120000}"/>
    <cellStyle name="Normal 3 82" xfId="3013" xr:uid="{00000000-0005-0000-0000-00001D120000}"/>
    <cellStyle name="Normal 3 83" xfId="3014" xr:uid="{00000000-0005-0000-0000-00001E120000}"/>
    <cellStyle name="Normal 3 84" xfId="3015" xr:uid="{00000000-0005-0000-0000-00001F120000}"/>
    <cellStyle name="Normal 3 85" xfId="3016" xr:uid="{00000000-0005-0000-0000-000020120000}"/>
    <cellStyle name="Normal 3 86" xfId="3017" xr:uid="{00000000-0005-0000-0000-000021120000}"/>
    <cellStyle name="Normal 3 87" xfId="3018" xr:uid="{00000000-0005-0000-0000-000022120000}"/>
    <cellStyle name="Normal 3 88" xfId="3019" xr:uid="{00000000-0005-0000-0000-000023120000}"/>
    <cellStyle name="Normal 3 89" xfId="3020" xr:uid="{00000000-0005-0000-0000-000024120000}"/>
    <cellStyle name="Normal 3 9" xfId="3021" xr:uid="{00000000-0005-0000-0000-000025120000}"/>
    <cellStyle name="Normal 3 9 10" xfId="3022" xr:uid="{00000000-0005-0000-0000-000026120000}"/>
    <cellStyle name="Normal 3 9 100" xfId="3023" xr:uid="{00000000-0005-0000-0000-000027120000}"/>
    <cellStyle name="Normal 3 9 101" xfId="3024" xr:uid="{00000000-0005-0000-0000-000028120000}"/>
    <cellStyle name="Normal 3 9 102" xfId="3025" xr:uid="{00000000-0005-0000-0000-000029120000}"/>
    <cellStyle name="Normal 3 9 103" xfId="3026" xr:uid="{00000000-0005-0000-0000-00002A120000}"/>
    <cellStyle name="Normal 3 9 104" xfId="3027" xr:uid="{00000000-0005-0000-0000-00002B120000}"/>
    <cellStyle name="Normal 3 9 105" xfId="3028" xr:uid="{00000000-0005-0000-0000-00002C120000}"/>
    <cellStyle name="Normal 3 9 106" xfId="3029" xr:uid="{00000000-0005-0000-0000-00002D120000}"/>
    <cellStyle name="Normal 3 9 107" xfId="3030" xr:uid="{00000000-0005-0000-0000-00002E120000}"/>
    <cellStyle name="Normal 3 9 108" xfId="3031" xr:uid="{00000000-0005-0000-0000-00002F120000}"/>
    <cellStyle name="Normal 3 9 109" xfId="3032" xr:uid="{00000000-0005-0000-0000-000030120000}"/>
    <cellStyle name="Normal 3 9 11" xfId="3033" xr:uid="{00000000-0005-0000-0000-000031120000}"/>
    <cellStyle name="Normal 3 9 110" xfId="3034" xr:uid="{00000000-0005-0000-0000-000032120000}"/>
    <cellStyle name="Normal 3 9 111" xfId="3035" xr:uid="{00000000-0005-0000-0000-000033120000}"/>
    <cellStyle name="Normal 3 9 112" xfId="3036" xr:uid="{00000000-0005-0000-0000-000034120000}"/>
    <cellStyle name="Normal 3 9 113" xfId="3037" xr:uid="{00000000-0005-0000-0000-000035120000}"/>
    <cellStyle name="Normal 3 9 114" xfId="3038" xr:uid="{00000000-0005-0000-0000-000036120000}"/>
    <cellStyle name="Normal 3 9 115" xfId="3039" xr:uid="{00000000-0005-0000-0000-000037120000}"/>
    <cellStyle name="Normal 3 9 116" xfId="3040" xr:uid="{00000000-0005-0000-0000-000038120000}"/>
    <cellStyle name="Normal 3 9 117" xfId="3041" xr:uid="{00000000-0005-0000-0000-000039120000}"/>
    <cellStyle name="Normal 3 9 118" xfId="3042" xr:uid="{00000000-0005-0000-0000-00003A120000}"/>
    <cellStyle name="Normal 3 9 119" xfId="3043" xr:uid="{00000000-0005-0000-0000-00003B120000}"/>
    <cellStyle name="Normal 3 9 12" xfId="3044" xr:uid="{00000000-0005-0000-0000-00003C120000}"/>
    <cellStyle name="Normal 3 9 120" xfId="3045" xr:uid="{00000000-0005-0000-0000-00003D120000}"/>
    <cellStyle name="Normal 3 9 121" xfId="3046" xr:uid="{00000000-0005-0000-0000-00003E120000}"/>
    <cellStyle name="Normal 3 9 122" xfId="3047" xr:uid="{00000000-0005-0000-0000-00003F120000}"/>
    <cellStyle name="Normal 3 9 123" xfId="3048" xr:uid="{00000000-0005-0000-0000-000040120000}"/>
    <cellStyle name="Normal 3 9 124" xfId="3049" xr:uid="{00000000-0005-0000-0000-000041120000}"/>
    <cellStyle name="Normal 3 9 125" xfId="3050" xr:uid="{00000000-0005-0000-0000-000042120000}"/>
    <cellStyle name="Normal 3 9 126" xfId="3051" xr:uid="{00000000-0005-0000-0000-000043120000}"/>
    <cellStyle name="Normal 3 9 127" xfId="3052" xr:uid="{00000000-0005-0000-0000-000044120000}"/>
    <cellStyle name="Normal 3 9 128" xfId="3053" xr:uid="{00000000-0005-0000-0000-000045120000}"/>
    <cellStyle name="Normal 3 9 129" xfId="3054" xr:uid="{00000000-0005-0000-0000-000046120000}"/>
    <cellStyle name="Normal 3 9 13" xfId="3055" xr:uid="{00000000-0005-0000-0000-000047120000}"/>
    <cellStyle name="Normal 3 9 130" xfId="3056" xr:uid="{00000000-0005-0000-0000-000048120000}"/>
    <cellStyle name="Normal 3 9 131" xfId="3057" xr:uid="{00000000-0005-0000-0000-000049120000}"/>
    <cellStyle name="Normal 3 9 132" xfId="3058" xr:uid="{00000000-0005-0000-0000-00004A120000}"/>
    <cellStyle name="Normal 3 9 133" xfId="3059" xr:uid="{00000000-0005-0000-0000-00004B120000}"/>
    <cellStyle name="Normal 3 9 134" xfId="3060" xr:uid="{00000000-0005-0000-0000-00004C120000}"/>
    <cellStyle name="Normal 3 9 135" xfId="3061" xr:uid="{00000000-0005-0000-0000-00004D120000}"/>
    <cellStyle name="Normal 3 9 136" xfId="3062" xr:uid="{00000000-0005-0000-0000-00004E120000}"/>
    <cellStyle name="Normal 3 9 137" xfId="3063" xr:uid="{00000000-0005-0000-0000-00004F120000}"/>
    <cellStyle name="Normal 3 9 138" xfId="3064" xr:uid="{00000000-0005-0000-0000-000050120000}"/>
    <cellStyle name="Normal 3 9 139" xfId="3065" xr:uid="{00000000-0005-0000-0000-000051120000}"/>
    <cellStyle name="Normal 3 9 14" xfId="3066" xr:uid="{00000000-0005-0000-0000-000052120000}"/>
    <cellStyle name="Normal 3 9 140" xfId="3067" xr:uid="{00000000-0005-0000-0000-000053120000}"/>
    <cellStyle name="Normal 3 9 141" xfId="3068" xr:uid="{00000000-0005-0000-0000-000054120000}"/>
    <cellStyle name="Normal 3 9 142" xfId="3069" xr:uid="{00000000-0005-0000-0000-000055120000}"/>
    <cellStyle name="Normal 3 9 143" xfId="3070" xr:uid="{00000000-0005-0000-0000-000056120000}"/>
    <cellStyle name="Normal 3 9 144" xfId="3071" xr:uid="{00000000-0005-0000-0000-000057120000}"/>
    <cellStyle name="Normal 3 9 145" xfId="3072" xr:uid="{00000000-0005-0000-0000-000058120000}"/>
    <cellStyle name="Normal 3 9 146" xfId="3073" xr:uid="{00000000-0005-0000-0000-000059120000}"/>
    <cellStyle name="Normal 3 9 147" xfId="3074" xr:uid="{00000000-0005-0000-0000-00005A120000}"/>
    <cellStyle name="Normal 3 9 148" xfId="3075" xr:uid="{00000000-0005-0000-0000-00005B120000}"/>
    <cellStyle name="Normal 3 9 149" xfId="3076" xr:uid="{00000000-0005-0000-0000-00005C120000}"/>
    <cellStyle name="Normal 3 9 15" xfId="3077" xr:uid="{00000000-0005-0000-0000-00005D120000}"/>
    <cellStyle name="Normal 3 9 150" xfId="3078" xr:uid="{00000000-0005-0000-0000-00005E120000}"/>
    <cellStyle name="Normal 3 9 151" xfId="3079" xr:uid="{00000000-0005-0000-0000-00005F120000}"/>
    <cellStyle name="Normal 3 9 152" xfId="3080" xr:uid="{00000000-0005-0000-0000-000060120000}"/>
    <cellStyle name="Normal 3 9 16" xfId="3081" xr:uid="{00000000-0005-0000-0000-000061120000}"/>
    <cellStyle name="Normal 3 9 17" xfId="3082" xr:uid="{00000000-0005-0000-0000-000062120000}"/>
    <cellStyle name="Normal 3 9 18" xfId="3083" xr:uid="{00000000-0005-0000-0000-000063120000}"/>
    <cellStyle name="Normal 3 9 19" xfId="3084" xr:uid="{00000000-0005-0000-0000-000064120000}"/>
    <cellStyle name="Normal 3 9 2" xfId="3085" xr:uid="{00000000-0005-0000-0000-000065120000}"/>
    <cellStyle name="Normal 3 9 2 2" xfId="3086" xr:uid="{00000000-0005-0000-0000-000066120000}"/>
    <cellStyle name="Normal 3 9 2 2 10" xfId="3087" xr:uid="{00000000-0005-0000-0000-000067120000}"/>
    <cellStyle name="Normal 3 9 2 2 100" xfId="3088" xr:uid="{00000000-0005-0000-0000-000068120000}"/>
    <cellStyle name="Normal 3 9 2 2 101" xfId="3089" xr:uid="{00000000-0005-0000-0000-000069120000}"/>
    <cellStyle name="Normal 3 9 2 2 102" xfId="3090" xr:uid="{00000000-0005-0000-0000-00006A120000}"/>
    <cellStyle name="Normal 3 9 2 2 103" xfId="3091" xr:uid="{00000000-0005-0000-0000-00006B120000}"/>
    <cellStyle name="Normal 3 9 2 2 104" xfId="3092" xr:uid="{00000000-0005-0000-0000-00006C120000}"/>
    <cellStyle name="Normal 3 9 2 2 105" xfId="3093" xr:uid="{00000000-0005-0000-0000-00006D120000}"/>
    <cellStyle name="Normal 3 9 2 2 106" xfId="3094" xr:uid="{00000000-0005-0000-0000-00006E120000}"/>
    <cellStyle name="Normal 3 9 2 2 107" xfId="3095" xr:uid="{00000000-0005-0000-0000-00006F120000}"/>
    <cellStyle name="Normal 3 9 2 2 108" xfId="3096" xr:uid="{00000000-0005-0000-0000-000070120000}"/>
    <cellStyle name="Normal 3 9 2 2 109" xfId="3097" xr:uid="{00000000-0005-0000-0000-000071120000}"/>
    <cellStyle name="Normal 3 9 2 2 11" xfId="3098" xr:uid="{00000000-0005-0000-0000-000072120000}"/>
    <cellStyle name="Normal 3 9 2 2 110" xfId="3099" xr:uid="{00000000-0005-0000-0000-000073120000}"/>
    <cellStyle name="Normal 3 9 2 2 111" xfId="3100" xr:uid="{00000000-0005-0000-0000-000074120000}"/>
    <cellStyle name="Normal 3 9 2 2 112" xfId="3101" xr:uid="{00000000-0005-0000-0000-000075120000}"/>
    <cellStyle name="Normal 3 9 2 2 113" xfId="3102" xr:uid="{00000000-0005-0000-0000-000076120000}"/>
    <cellStyle name="Normal 3 9 2 2 114" xfId="3103" xr:uid="{00000000-0005-0000-0000-000077120000}"/>
    <cellStyle name="Normal 3 9 2 2 115" xfId="3104" xr:uid="{00000000-0005-0000-0000-000078120000}"/>
    <cellStyle name="Normal 3 9 2 2 116" xfId="3105" xr:uid="{00000000-0005-0000-0000-000079120000}"/>
    <cellStyle name="Normal 3 9 2 2 117" xfId="3106" xr:uid="{00000000-0005-0000-0000-00007A120000}"/>
    <cellStyle name="Normal 3 9 2 2 118" xfId="3107" xr:uid="{00000000-0005-0000-0000-00007B120000}"/>
    <cellStyle name="Normal 3 9 2 2 119" xfId="3108" xr:uid="{00000000-0005-0000-0000-00007C120000}"/>
    <cellStyle name="Normal 3 9 2 2 12" xfId="3109" xr:uid="{00000000-0005-0000-0000-00007D120000}"/>
    <cellStyle name="Normal 3 9 2 2 120" xfId="3110" xr:uid="{00000000-0005-0000-0000-00007E120000}"/>
    <cellStyle name="Normal 3 9 2 2 121" xfId="3111" xr:uid="{00000000-0005-0000-0000-00007F120000}"/>
    <cellStyle name="Normal 3 9 2 2 122" xfId="3112" xr:uid="{00000000-0005-0000-0000-000080120000}"/>
    <cellStyle name="Normal 3 9 2 2 123" xfId="3113" xr:uid="{00000000-0005-0000-0000-000081120000}"/>
    <cellStyle name="Normal 3 9 2 2 124" xfId="3114" xr:uid="{00000000-0005-0000-0000-000082120000}"/>
    <cellStyle name="Normal 3 9 2 2 125" xfId="3115" xr:uid="{00000000-0005-0000-0000-000083120000}"/>
    <cellStyle name="Normal 3 9 2 2 126" xfId="3116" xr:uid="{00000000-0005-0000-0000-000084120000}"/>
    <cellStyle name="Normal 3 9 2 2 127" xfId="3117" xr:uid="{00000000-0005-0000-0000-000085120000}"/>
    <cellStyle name="Normal 3 9 2 2 128" xfId="3118" xr:uid="{00000000-0005-0000-0000-000086120000}"/>
    <cellStyle name="Normal 3 9 2 2 129" xfId="3119" xr:uid="{00000000-0005-0000-0000-000087120000}"/>
    <cellStyle name="Normal 3 9 2 2 13" xfId="3120" xr:uid="{00000000-0005-0000-0000-000088120000}"/>
    <cellStyle name="Normal 3 9 2 2 130" xfId="3121" xr:uid="{00000000-0005-0000-0000-000089120000}"/>
    <cellStyle name="Normal 3 9 2 2 131" xfId="3122" xr:uid="{00000000-0005-0000-0000-00008A120000}"/>
    <cellStyle name="Normal 3 9 2 2 132" xfId="3123" xr:uid="{00000000-0005-0000-0000-00008B120000}"/>
    <cellStyle name="Normal 3 9 2 2 133" xfId="3124" xr:uid="{00000000-0005-0000-0000-00008C120000}"/>
    <cellStyle name="Normal 3 9 2 2 134" xfId="3125" xr:uid="{00000000-0005-0000-0000-00008D120000}"/>
    <cellStyle name="Normal 3 9 2 2 135" xfId="3126" xr:uid="{00000000-0005-0000-0000-00008E120000}"/>
    <cellStyle name="Normal 3 9 2 2 136" xfId="3127" xr:uid="{00000000-0005-0000-0000-00008F120000}"/>
    <cellStyle name="Normal 3 9 2 2 137" xfId="3128" xr:uid="{00000000-0005-0000-0000-000090120000}"/>
    <cellStyle name="Normal 3 9 2 2 138" xfId="3129" xr:uid="{00000000-0005-0000-0000-000091120000}"/>
    <cellStyle name="Normal 3 9 2 2 139" xfId="3130" xr:uid="{00000000-0005-0000-0000-000092120000}"/>
    <cellStyle name="Normal 3 9 2 2 14" xfId="3131" xr:uid="{00000000-0005-0000-0000-000093120000}"/>
    <cellStyle name="Normal 3 9 2 2 140" xfId="3132" xr:uid="{00000000-0005-0000-0000-000094120000}"/>
    <cellStyle name="Normal 3 9 2 2 141" xfId="3133" xr:uid="{00000000-0005-0000-0000-000095120000}"/>
    <cellStyle name="Normal 3 9 2 2 142" xfId="3134" xr:uid="{00000000-0005-0000-0000-000096120000}"/>
    <cellStyle name="Normal 3 9 2 2 143" xfId="3135" xr:uid="{00000000-0005-0000-0000-000097120000}"/>
    <cellStyle name="Normal 3 9 2 2 144" xfId="3136" xr:uid="{00000000-0005-0000-0000-000098120000}"/>
    <cellStyle name="Normal 3 9 2 2 145" xfId="3137" xr:uid="{00000000-0005-0000-0000-000099120000}"/>
    <cellStyle name="Normal 3 9 2 2 146" xfId="3138" xr:uid="{00000000-0005-0000-0000-00009A120000}"/>
    <cellStyle name="Normal 3 9 2 2 147" xfId="3139" xr:uid="{00000000-0005-0000-0000-00009B120000}"/>
    <cellStyle name="Normal 3 9 2 2 148" xfId="3140" xr:uid="{00000000-0005-0000-0000-00009C120000}"/>
    <cellStyle name="Normal 3 9 2 2 149" xfId="3141" xr:uid="{00000000-0005-0000-0000-00009D120000}"/>
    <cellStyle name="Normal 3 9 2 2 15" xfId="3142" xr:uid="{00000000-0005-0000-0000-00009E120000}"/>
    <cellStyle name="Normal 3 9 2 2 150" xfId="3143" xr:uid="{00000000-0005-0000-0000-00009F120000}"/>
    <cellStyle name="Normal 3 9 2 2 151" xfId="3144" xr:uid="{00000000-0005-0000-0000-0000A0120000}"/>
    <cellStyle name="Normal 3 9 2 2 16" xfId="3145" xr:uid="{00000000-0005-0000-0000-0000A1120000}"/>
    <cellStyle name="Normal 3 9 2 2 17" xfId="3146" xr:uid="{00000000-0005-0000-0000-0000A2120000}"/>
    <cellStyle name="Normal 3 9 2 2 18" xfId="3147" xr:uid="{00000000-0005-0000-0000-0000A3120000}"/>
    <cellStyle name="Normal 3 9 2 2 19" xfId="3148" xr:uid="{00000000-0005-0000-0000-0000A4120000}"/>
    <cellStyle name="Normal 3 9 2 2 2" xfId="3149" xr:uid="{00000000-0005-0000-0000-0000A5120000}"/>
    <cellStyle name="Normal 3 9 2 2 20" xfId="3150" xr:uid="{00000000-0005-0000-0000-0000A6120000}"/>
    <cellStyle name="Normal 3 9 2 2 21" xfId="3151" xr:uid="{00000000-0005-0000-0000-0000A7120000}"/>
    <cellStyle name="Normal 3 9 2 2 22" xfId="3152" xr:uid="{00000000-0005-0000-0000-0000A8120000}"/>
    <cellStyle name="Normal 3 9 2 2 23" xfId="3153" xr:uid="{00000000-0005-0000-0000-0000A9120000}"/>
    <cellStyle name="Normal 3 9 2 2 24" xfId="3154" xr:uid="{00000000-0005-0000-0000-0000AA120000}"/>
    <cellStyle name="Normal 3 9 2 2 25" xfId="3155" xr:uid="{00000000-0005-0000-0000-0000AB120000}"/>
    <cellStyle name="Normal 3 9 2 2 26" xfId="3156" xr:uid="{00000000-0005-0000-0000-0000AC120000}"/>
    <cellStyle name="Normal 3 9 2 2 27" xfId="3157" xr:uid="{00000000-0005-0000-0000-0000AD120000}"/>
    <cellStyle name="Normal 3 9 2 2 28" xfId="3158" xr:uid="{00000000-0005-0000-0000-0000AE120000}"/>
    <cellStyle name="Normal 3 9 2 2 29" xfId="3159" xr:uid="{00000000-0005-0000-0000-0000AF120000}"/>
    <cellStyle name="Normal 3 9 2 2 3" xfId="3160" xr:uid="{00000000-0005-0000-0000-0000B0120000}"/>
    <cellStyle name="Normal 3 9 2 2 30" xfId="3161" xr:uid="{00000000-0005-0000-0000-0000B1120000}"/>
    <cellStyle name="Normal 3 9 2 2 31" xfId="3162" xr:uid="{00000000-0005-0000-0000-0000B2120000}"/>
    <cellStyle name="Normal 3 9 2 2 32" xfId="3163" xr:uid="{00000000-0005-0000-0000-0000B3120000}"/>
    <cellStyle name="Normal 3 9 2 2 33" xfId="3164" xr:uid="{00000000-0005-0000-0000-0000B4120000}"/>
    <cellStyle name="Normal 3 9 2 2 34" xfId="3165" xr:uid="{00000000-0005-0000-0000-0000B5120000}"/>
    <cellStyle name="Normal 3 9 2 2 35" xfId="3166" xr:uid="{00000000-0005-0000-0000-0000B6120000}"/>
    <cellStyle name="Normal 3 9 2 2 36" xfId="3167" xr:uid="{00000000-0005-0000-0000-0000B7120000}"/>
    <cellStyle name="Normal 3 9 2 2 37" xfId="3168" xr:uid="{00000000-0005-0000-0000-0000B8120000}"/>
    <cellStyle name="Normal 3 9 2 2 38" xfId="3169" xr:uid="{00000000-0005-0000-0000-0000B9120000}"/>
    <cellStyle name="Normal 3 9 2 2 39" xfId="3170" xr:uid="{00000000-0005-0000-0000-0000BA120000}"/>
    <cellStyle name="Normal 3 9 2 2 4" xfId="3171" xr:uid="{00000000-0005-0000-0000-0000BB120000}"/>
    <cellStyle name="Normal 3 9 2 2 40" xfId="3172" xr:uid="{00000000-0005-0000-0000-0000BC120000}"/>
    <cellStyle name="Normal 3 9 2 2 41" xfId="3173" xr:uid="{00000000-0005-0000-0000-0000BD120000}"/>
    <cellStyle name="Normal 3 9 2 2 42" xfId="3174" xr:uid="{00000000-0005-0000-0000-0000BE120000}"/>
    <cellStyle name="Normal 3 9 2 2 43" xfId="3175" xr:uid="{00000000-0005-0000-0000-0000BF120000}"/>
    <cellStyle name="Normal 3 9 2 2 44" xfId="3176" xr:uid="{00000000-0005-0000-0000-0000C0120000}"/>
    <cellStyle name="Normal 3 9 2 2 45" xfId="3177" xr:uid="{00000000-0005-0000-0000-0000C1120000}"/>
    <cellStyle name="Normal 3 9 2 2 46" xfId="3178" xr:uid="{00000000-0005-0000-0000-0000C2120000}"/>
    <cellStyle name="Normal 3 9 2 2 47" xfId="3179" xr:uid="{00000000-0005-0000-0000-0000C3120000}"/>
    <cellStyle name="Normal 3 9 2 2 48" xfId="3180" xr:uid="{00000000-0005-0000-0000-0000C4120000}"/>
    <cellStyle name="Normal 3 9 2 2 49" xfId="3181" xr:uid="{00000000-0005-0000-0000-0000C5120000}"/>
    <cellStyle name="Normal 3 9 2 2 5" xfId="3182" xr:uid="{00000000-0005-0000-0000-0000C6120000}"/>
    <cellStyle name="Normal 3 9 2 2 50" xfId="3183" xr:uid="{00000000-0005-0000-0000-0000C7120000}"/>
    <cellStyle name="Normal 3 9 2 2 51" xfId="3184" xr:uid="{00000000-0005-0000-0000-0000C8120000}"/>
    <cellStyle name="Normal 3 9 2 2 52" xfId="3185" xr:uid="{00000000-0005-0000-0000-0000C9120000}"/>
    <cellStyle name="Normal 3 9 2 2 53" xfId="3186" xr:uid="{00000000-0005-0000-0000-0000CA120000}"/>
    <cellStyle name="Normal 3 9 2 2 54" xfId="3187" xr:uid="{00000000-0005-0000-0000-0000CB120000}"/>
    <cellStyle name="Normal 3 9 2 2 55" xfId="3188" xr:uid="{00000000-0005-0000-0000-0000CC120000}"/>
    <cellStyle name="Normal 3 9 2 2 56" xfId="3189" xr:uid="{00000000-0005-0000-0000-0000CD120000}"/>
    <cellStyle name="Normal 3 9 2 2 57" xfId="3190" xr:uid="{00000000-0005-0000-0000-0000CE120000}"/>
    <cellStyle name="Normal 3 9 2 2 58" xfId="3191" xr:uid="{00000000-0005-0000-0000-0000CF120000}"/>
    <cellStyle name="Normal 3 9 2 2 59" xfId="3192" xr:uid="{00000000-0005-0000-0000-0000D0120000}"/>
    <cellStyle name="Normal 3 9 2 2 6" xfId="3193" xr:uid="{00000000-0005-0000-0000-0000D1120000}"/>
    <cellStyle name="Normal 3 9 2 2 60" xfId="3194" xr:uid="{00000000-0005-0000-0000-0000D2120000}"/>
    <cellStyle name="Normal 3 9 2 2 61" xfId="3195" xr:uid="{00000000-0005-0000-0000-0000D3120000}"/>
    <cellStyle name="Normal 3 9 2 2 62" xfId="3196" xr:uid="{00000000-0005-0000-0000-0000D4120000}"/>
    <cellStyle name="Normal 3 9 2 2 63" xfId="3197" xr:uid="{00000000-0005-0000-0000-0000D5120000}"/>
    <cellStyle name="Normal 3 9 2 2 64" xfId="3198" xr:uid="{00000000-0005-0000-0000-0000D6120000}"/>
    <cellStyle name="Normal 3 9 2 2 65" xfId="3199" xr:uid="{00000000-0005-0000-0000-0000D7120000}"/>
    <cellStyle name="Normal 3 9 2 2 66" xfId="3200" xr:uid="{00000000-0005-0000-0000-0000D8120000}"/>
    <cellStyle name="Normal 3 9 2 2 67" xfId="3201" xr:uid="{00000000-0005-0000-0000-0000D9120000}"/>
    <cellStyle name="Normal 3 9 2 2 68" xfId="3202" xr:uid="{00000000-0005-0000-0000-0000DA120000}"/>
    <cellStyle name="Normal 3 9 2 2 69" xfId="3203" xr:uid="{00000000-0005-0000-0000-0000DB120000}"/>
    <cellStyle name="Normal 3 9 2 2 7" xfId="3204" xr:uid="{00000000-0005-0000-0000-0000DC120000}"/>
    <cellStyle name="Normal 3 9 2 2 70" xfId="3205" xr:uid="{00000000-0005-0000-0000-0000DD120000}"/>
    <cellStyle name="Normal 3 9 2 2 71" xfId="3206" xr:uid="{00000000-0005-0000-0000-0000DE120000}"/>
    <cellStyle name="Normal 3 9 2 2 72" xfId="3207" xr:uid="{00000000-0005-0000-0000-0000DF120000}"/>
    <cellStyle name="Normal 3 9 2 2 73" xfId="3208" xr:uid="{00000000-0005-0000-0000-0000E0120000}"/>
    <cellStyle name="Normal 3 9 2 2 74" xfId="3209" xr:uid="{00000000-0005-0000-0000-0000E1120000}"/>
    <cellStyle name="Normal 3 9 2 2 75" xfId="3210" xr:uid="{00000000-0005-0000-0000-0000E2120000}"/>
    <cellStyle name="Normal 3 9 2 2 76" xfId="3211" xr:uid="{00000000-0005-0000-0000-0000E3120000}"/>
    <cellStyle name="Normal 3 9 2 2 77" xfId="3212" xr:uid="{00000000-0005-0000-0000-0000E4120000}"/>
    <cellStyle name="Normal 3 9 2 2 78" xfId="3213" xr:uid="{00000000-0005-0000-0000-0000E5120000}"/>
    <cellStyle name="Normal 3 9 2 2 79" xfId="3214" xr:uid="{00000000-0005-0000-0000-0000E6120000}"/>
    <cellStyle name="Normal 3 9 2 2 8" xfId="3215" xr:uid="{00000000-0005-0000-0000-0000E7120000}"/>
    <cellStyle name="Normal 3 9 2 2 80" xfId="3216" xr:uid="{00000000-0005-0000-0000-0000E8120000}"/>
    <cellStyle name="Normal 3 9 2 2 81" xfId="3217" xr:uid="{00000000-0005-0000-0000-0000E9120000}"/>
    <cellStyle name="Normal 3 9 2 2 82" xfId="3218" xr:uid="{00000000-0005-0000-0000-0000EA120000}"/>
    <cellStyle name="Normal 3 9 2 2 83" xfId="3219" xr:uid="{00000000-0005-0000-0000-0000EB120000}"/>
    <cellStyle name="Normal 3 9 2 2 84" xfId="3220" xr:uid="{00000000-0005-0000-0000-0000EC120000}"/>
    <cellStyle name="Normal 3 9 2 2 85" xfId="3221" xr:uid="{00000000-0005-0000-0000-0000ED120000}"/>
    <cellStyle name="Normal 3 9 2 2 86" xfId="3222" xr:uid="{00000000-0005-0000-0000-0000EE120000}"/>
    <cellStyle name="Normal 3 9 2 2 87" xfId="3223" xr:uid="{00000000-0005-0000-0000-0000EF120000}"/>
    <cellStyle name="Normal 3 9 2 2 88" xfId="3224" xr:uid="{00000000-0005-0000-0000-0000F0120000}"/>
    <cellStyle name="Normal 3 9 2 2 89" xfId="3225" xr:uid="{00000000-0005-0000-0000-0000F1120000}"/>
    <cellStyle name="Normal 3 9 2 2 9" xfId="3226" xr:uid="{00000000-0005-0000-0000-0000F2120000}"/>
    <cellStyle name="Normal 3 9 2 2 90" xfId="3227" xr:uid="{00000000-0005-0000-0000-0000F3120000}"/>
    <cellStyle name="Normal 3 9 2 2 91" xfId="3228" xr:uid="{00000000-0005-0000-0000-0000F4120000}"/>
    <cellStyle name="Normal 3 9 2 2 92" xfId="3229" xr:uid="{00000000-0005-0000-0000-0000F5120000}"/>
    <cellStyle name="Normal 3 9 2 2 93" xfId="3230" xr:uid="{00000000-0005-0000-0000-0000F6120000}"/>
    <cellStyle name="Normal 3 9 2 2 94" xfId="3231" xr:uid="{00000000-0005-0000-0000-0000F7120000}"/>
    <cellStyle name="Normal 3 9 2 2 95" xfId="3232" xr:uid="{00000000-0005-0000-0000-0000F8120000}"/>
    <cellStyle name="Normal 3 9 2 2 96" xfId="3233" xr:uid="{00000000-0005-0000-0000-0000F9120000}"/>
    <cellStyle name="Normal 3 9 2 2 97" xfId="3234" xr:uid="{00000000-0005-0000-0000-0000FA120000}"/>
    <cellStyle name="Normal 3 9 2 2 98" xfId="3235" xr:uid="{00000000-0005-0000-0000-0000FB120000}"/>
    <cellStyle name="Normal 3 9 2 2 99" xfId="3236" xr:uid="{00000000-0005-0000-0000-0000FC120000}"/>
    <cellStyle name="Normal 3 9 2 3" xfId="3237" xr:uid="{00000000-0005-0000-0000-0000FD120000}"/>
    <cellStyle name="Normal 3 9 2 3 2" xfId="5424" xr:uid="{00000000-0005-0000-0000-0000FE120000}"/>
    <cellStyle name="Normal 3 9 2 3 3" xfId="7028" xr:uid="{00000000-0005-0000-0000-0000FF120000}"/>
    <cellStyle name="Normal 3 9 2 4" xfId="3238" xr:uid="{00000000-0005-0000-0000-000000130000}"/>
    <cellStyle name="Normal 3 9 2 4 2" xfId="5425" xr:uid="{00000000-0005-0000-0000-000001130000}"/>
    <cellStyle name="Normal 3 9 2 4 3" xfId="7029" xr:uid="{00000000-0005-0000-0000-000002130000}"/>
    <cellStyle name="Normal 3 9 2 5" xfId="5423" xr:uid="{00000000-0005-0000-0000-000003130000}"/>
    <cellStyle name="Normal 3 9 2 6" xfId="7027" xr:uid="{00000000-0005-0000-0000-000004130000}"/>
    <cellStyle name="Normal 3 9 20" xfId="3239" xr:uid="{00000000-0005-0000-0000-000005130000}"/>
    <cellStyle name="Normal 3 9 21" xfId="3240" xr:uid="{00000000-0005-0000-0000-000006130000}"/>
    <cellStyle name="Normal 3 9 22" xfId="3241" xr:uid="{00000000-0005-0000-0000-000007130000}"/>
    <cellStyle name="Normal 3 9 23" xfId="3242" xr:uid="{00000000-0005-0000-0000-000008130000}"/>
    <cellStyle name="Normal 3 9 24" xfId="3243" xr:uid="{00000000-0005-0000-0000-000009130000}"/>
    <cellStyle name="Normal 3 9 25" xfId="3244" xr:uid="{00000000-0005-0000-0000-00000A130000}"/>
    <cellStyle name="Normal 3 9 26" xfId="3245" xr:uid="{00000000-0005-0000-0000-00000B130000}"/>
    <cellStyle name="Normal 3 9 27" xfId="3246" xr:uid="{00000000-0005-0000-0000-00000C130000}"/>
    <cellStyle name="Normal 3 9 28" xfId="3247" xr:uid="{00000000-0005-0000-0000-00000D130000}"/>
    <cellStyle name="Normal 3 9 29" xfId="3248" xr:uid="{00000000-0005-0000-0000-00000E130000}"/>
    <cellStyle name="Normal 3 9 3" xfId="3249" xr:uid="{00000000-0005-0000-0000-00000F130000}"/>
    <cellStyle name="Normal 3 9 30" xfId="3250" xr:uid="{00000000-0005-0000-0000-000010130000}"/>
    <cellStyle name="Normal 3 9 31" xfId="3251" xr:uid="{00000000-0005-0000-0000-000011130000}"/>
    <cellStyle name="Normal 3 9 32" xfId="3252" xr:uid="{00000000-0005-0000-0000-000012130000}"/>
    <cellStyle name="Normal 3 9 33" xfId="3253" xr:uid="{00000000-0005-0000-0000-000013130000}"/>
    <cellStyle name="Normal 3 9 34" xfId="3254" xr:uid="{00000000-0005-0000-0000-000014130000}"/>
    <cellStyle name="Normal 3 9 35" xfId="3255" xr:uid="{00000000-0005-0000-0000-000015130000}"/>
    <cellStyle name="Normal 3 9 36" xfId="3256" xr:uid="{00000000-0005-0000-0000-000016130000}"/>
    <cellStyle name="Normal 3 9 37" xfId="3257" xr:uid="{00000000-0005-0000-0000-000017130000}"/>
    <cellStyle name="Normal 3 9 38" xfId="3258" xr:uid="{00000000-0005-0000-0000-000018130000}"/>
    <cellStyle name="Normal 3 9 39" xfId="3259" xr:uid="{00000000-0005-0000-0000-000019130000}"/>
    <cellStyle name="Normal 3 9 4" xfId="3260" xr:uid="{00000000-0005-0000-0000-00001A130000}"/>
    <cellStyle name="Normal 3 9 40" xfId="3261" xr:uid="{00000000-0005-0000-0000-00001B130000}"/>
    <cellStyle name="Normal 3 9 41" xfId="3262" xr:uid="{00000000-0005-0000-0000-00001C130000}"/>
    <cellStyle name="Normal 3 9 42" xfId="3263" xr:uid="{00000000-0005-0000-0000-00001D130000}"/>
    <cellStyle name="Normal 3 9 43" xfId="3264" xr:uid="{00000000-0005-0000-0000-00001E130000}"/>
    <cellStyle name="Normal 3 9 44" xfId="3265" xr:uid="{00000000-0005-0000-0000-00001F130000}"/>
    <cellStyle name="Normal 3 9 45" xfId="3266" xr:uid="{00000000-0005-0000-0000-000020130000}"/>
    <cellStyle name="Normal 3 9 46" xfId="3267" xr:uid="{00000000-0005-0000-0000-000021130000}"/>
    <cellStyle name="Normal 3 9 47" xfId="3268" xr:uid="{00000000-0005-0000-0000-000022130000}"/>
    <cellStyle name="Normal 3 9 48" xfId="3269" xr:uid="{00000000-0005-0000-0000-000023130000}"/>
    <cellStyle name="Normal 3 9 49" xfId="3270" xr:uid="{00000000-0005-0000-0000-000024130000}"/>
    <cellStyle name="Normal 3 9 5" xfId="3271" xr:uid="{00000000-0005-0000-0000-000025130000}"/>
    <cellStyle name="Normal 3 9 50" xfId="3272" xr:uid="{00000000-0005-0000-0000-000026130000}"/>
    <cellStyle name="Normal 3 9 51" xfId="3273" xr:uid="{00000000-0005-0000-0000-000027130000}"/>
    <cellStyle name="Normal 3 9 52" xfId="3274" xr:uid="{00000000-0005-0000-0000-000028130000}"/>
    <cellStyle name="Normal 3 9 53" xfId="3275" xr:uid="{00000000-0005-0000-0000-000029130000}"/>
    <cellStyle name="Normal 3 9 54" xfId="3276" xr:uid="{00000000-0005-0000-0000-00002A130000}"/>
    <cellStyle name="Normal 3 9 55" xfId="3277" xr:uid="{00000000-0005-0000-0000-00002B130000}"/>
    <cellStyle name="Normal 3 9 56" xfId="3278" xr:uid="{00000000-0005-0000-0000-00002C130000}"/>
    <cellStyle name="Normal 3 9 57" xfId="3279" xr:uid="{00000000-0005-0000-0000-00002D130000}"/>
    <cellStyle name="Normal 3 9 58" xfId="3280" xr:uid="{00000000-0005-0000-0000-00002E130000}"/>
    <cellStyle name="Normal 3 9 59" xfId="3281" xr:uid="{00000000-0005-0000-0000-00002F130000}"/>
    <cellStyle name="Normal 3 9 6" xfId="3282" xr:uid="{00000000-0005-0000-0000-000030130000}"/>
    <cellStyle name="Normal 3 9 60" xfId="3283" xr:uid="{00000000-0005-0000-0000-000031130000}"/>
    <cellStyle name="Normal 3 9 61" xfId="3284" xr:uid="{00000000-0005-0000-0000-000032130000}"/>
    <cellStyle name="Normal 3 9 62" xfId="3285" xr:uid="{00000000-0005-0000-0000-000033130000}"/>
    <cellStyle name="Normal 3 9 63" xfId="3286" xr:uid="{00000000-0005-0000-0000-000034130000}"/>
    <cellStyle name="Normal 3 9 64" xfId="3287" xr:uid="{00000000-0005-0000-0000-000035130000}"/>
    <cellStyle name="Normal 3 9 65" xfId="3288" xr:uid="{00000000-0005-0000-0000-000036130000}"/>
    <cellStyle name="Normal 3 9 66" xfId="3289" xr:uid="{00000000-0005-0000-0000-000037130000}"/>
    <cellStyle name="Normal 3 9 67" xfId="3290" xr:uid="{00000000-0005-0000-0000-000038130000}"/>
    <cellStyle name="Normal 3 9 68" xfId="3291" xr:uid="{00000000-0005-0000-0000-000039130000}"/>
    <cellStyle name="Normal 3 9 69" xfId="3292" xr:uid="{00000000-0005-0000-0000-00003A130000}"/>
    <cellStyle name="Normal 3 9 7" xfId="3293" xr:uid="{00000000-0005-0000-0000-00003B130000}"/>
    <cellStyle name="Normal 3 9 70" xfId="3294" xr:uid="{00000000-0005-0000-0000-00003C130000}"/>
    <cellStyle name="Normal 3 9 71" xfId="3295" xr:uid="{00000000-0005-0000-0000-00003D130000}"/>
    <cellStyle name="Normal 3 9 72" xfId="3296" xr:uid="{00000000-0005-0000-0000-00003E130000}"/>
    <cellStyle name="Normal 3 9 73" xfId="3297" xr:uid="{00000000-0005-0000-0000-00003F130000}"/>
    <cellStyle name="Normal 3 9 74" xfId="3298" xr:uid="{00000000-0005-0000-0000-000040130000}"/>
    <cellStyle name="Normal 3 9 75" xfId="3299" xr:uid="{00000000-0005-0000-0000-000041130000}"/>
    <cellStyle name="Normal 3 9 76" xfId="3300" xr:uid="{00000000-0005-0000-0000-000042130000}"/>
    <cellStyle name="Normal 3 9 77" xfId="3301" xr:uid="{00000000-0005-0000-0000-000043130000}"/>
    <cellStyle name="Normal 3 9 78" xfId="3302" xr:uid="{00000000-0005-0000-0000-000044130000}"/>
    <cellStyle name="Normal 3 9 79" xfId="3303" xr:uid="{00000000-0005-0000-0000-000045130000}"/>
    <cellStyle name="Normal 3 9 8" xfId="3304" xr:uid="{00000000-0005-0000-0000-000046130000}"/>
    <cellStyle name="Normal 3 9 80" xfId="3305" xr:uid="{00000000-0005-0000-0000-000047130000}"/>
    <cellStyle name="Normal 3 9 81" xfId="3306" xr:uid="{00000000-0005-0000-0000-000048130000}"/>
    <cellStyle name="Normal 3 9 82" xfId="3307" xr:uid="{00000000-0005-0000-0000-000049130000}"/>
    <cellStyle name="Normal 3 9 83" xfId="3308" xr:uid="{00000000-0005-0000-0000-00004A130000}"/>
    <cellStyle name="Normal 3 9 84" xfId="3309" xr:uid="{00000000-0005-0000-0000-00004B130000}"/>
    <cellStyle name="Normal 3 9 85" xfId="3310" xr:uid="{00000000-0005-0000-0000-00004C130000}"/>
    <cellStyle name="Normal 3 9 86" xfId="3311" xr:uid="{00000000-0005-0000-0000-00004D130000}"/>
    <cellStyle name="Normal 3 9 87" xfId="3312" xr:uid="{00000000-0005-0000-0000-00004E130000}"/>
    <cellStyle name="Normal 3 9 88" xfId="3313" xr:uid="{00000000-0005-0000-0000-00004F130000}"/>
    <cellStyle name="Normal 3 9 89" xfId="3314" xr:uid="{00000000-0005-0000-0000-000050130000}"/>
    <cellStyle name="Normal 3 9 9" xfId="3315" xr:uid="{00000000-0005-0000-0000-000051130000}"/>
    <cellStyle name="Normal 3 9 90" xfId="3316" xr:uid="{00000000-0005-0000-0000-000052130000}"/>
    <cellStyle name="Normal 3 9 91" xfId="3317" xr:uid="{00000000-0005-0000-0000-000053130000}"/>
    <cellStyle name="Normal 3 9 92" xfId="3318" xr:uid="{00000000-0005-0000-0000-000054130000}"/>
    <cellStyle name="Normal 3 9 93" xfId="3319" xr:uid="{00000000-0005-0000-0000-000055130000}"/>
    <cellStyle name="Normal 3 9 94" xfId="3320" xr:uid="{00000000-0005-0000-0000-000056130000}"/>
    <cellStyle name="Normal 3 9 95" xfId="3321" xr:uid="{00000000-0005-0000-0000-000057130000}"/>
    <cellStyle name="Normal 3 9 96" xfId="3322" xr:uid="{00000000-0005-0000-0000-000058130000}"/>
    <cellStyle name="Normal 3 9 97" xfId="3323" xr:uid="{00000000-0005-0000-0000-000059130000}"/>
    <cellStyle name="Normal 3 9 98" xfId="3324" xr:uid="{00000000-0005-0000-0000-00005A130000}"/>
    <cellStyle name="Normal 3 9 99" xfId="3325" xr:uid="{00000000-0005-0000-0000-00005B130000}"/>
    <cellStyle name="Normal 3 90" xfId="3326" xr:uid="{00000000-0005-0000-0000-00005C130000}"/>
    <cellStyle name="Normal 3 91" xfId="3327" xr:uid="{00000000-0005-0000-0000-00005D130000}"/>
    <cellStyle name="Normal 3 92" xfId="3328" xr:uid="{00000000-0005-0000-0000-00005E130000}"/>
    <cellStyle name="Normal 3 93" xfId="3329" xr:uid="{00000000-0005-0000-0000-00005F130000}"/>
    <cellStyle name="Normal 3 94" xfId="3330" xr:uid="{00000000-0005-0000-0000-000060130000}"/>
    <cellStyle name="Normal 3 95" xfId="3331" xr:uid="{00000000-0005-0000-0000-000061130000}"/>
    <cellStyle name="Normal 3 96" xfId="3332" xr:uid="{00000000-0005-0000-0000-000062130000}"/>
    <cellStyle name="Normal 3 97" xfId="3333" xr:uid="{00000000-0005-0000-0000-000063130000}"/>
    <cellStyle name="Normal 3 98" xfId="3334" xr:uid="{00000000-0005-0000-0000-000064130000}"/>
    <cellStyle name="Normal 3 99" xfId="3335" xr:uid="{00000000-0005-0000-0000-000065130000}"/>
    <cellStyle name="Normal 30" xfId="3336" xr:uid="{00000000-0005-0000-0000-000066130000}"/>
    <cellStyle name="Normal 31" xfId="3337" xr:uid="{00000000-0005-0000-0000-000067130000}"/>
    <cellStyle name="Normal 32" xfId="3338" xr:uid="{00000000-0005-0000-0000-000068130000}"/>
    <cellStyle name="Normal 33" xfId="3339" xr:uid="{00000000-0005-0000-0000-000069130000}"/>
    <cellStyle name="Normal 34" xfId="3340" xr:uid="{00000000-0005-0000-0000-00006A130000}"/>
    <cellStyle name="Normal 35" xfId="3341" xr:uid="{00000000-0005-0000-0000-00006B130000}"/>
    <cellStyle name="Normal 36" xfId="3342" xr:uid="{00000000-0005-0000-0000-00006C130000}"/>
    <cellStyle name="Normal 37" xfId="3343" xr:uid="{00000000-0005-0000-0000-00006D130000}"/>
    <cellStyle name="Normal 38" xfId="3344" xr:uid="{00000000-0005-0000-0000-00006E130000}"/>
    <cellStyle name="Normal 39" xfId="3345" xr:uid="{00000000-0005-0000-0000-00006F130000}"/>
    <cellStyle name="Normal 4" xfId="9" xr:uid="{00000000-0005-0000-0000-000070130000}"/>
    <cellStyle name="Normal 4 10" xfId="3346" xr:uid="{00000000-0005-0000-0000-000071130000}"/>
    <cellStyle name="Normal 4 100" xfId="3347" xr:uid="{00000000-0005-0000-0000-000072130000}"/>
    <cellStyle name="Normal 4 101" xfId="3348" xr:uid="{00000000-0005-0000-0000-000073130000}"/>
    <cellStyle name="Normal 4 102" xfId="3349" xr:uid="{00000000-0005-0000-0000-000074130000}"/>
    <cellStyle name="Normal 4 103" xfId="3350" xr:uid="{00000000-0005-0000-0000-000075130000}"/>
    <cellStyle name="Normal 4 104" xfId="3351" xr:uid="{00000000-0005-0000-0000-000076130000}"/>
    <cellStyle name="Normal 4 105" xfId="3352" xr:uid="{00000000-0005-0000-0000-000077130000}"/>
    <cellStyle name="Normal 4 106" xfId="3353" xr:uid="{00000000-0005-0000-0000-000078130000}"/>
    <cellStyle name="Normal 4 107" xfId="3354" xr:uid="{00000000-0005-0000-0000-000079130000}"/>
    <cellStyle name="Normal 4 108" xfId="3355" xr:uid="{00000000-0005-0000-0000-00007A130000}"/>
    <cellStyle name="Normal 4 109" xfId="3356" xr:uid="{00000000-0005-0000-0000-00007B130000}"/>
    <cellStyle name="Normal 4 11" xfId="3357" xr:uid="{00000000-0005-0000-0000-00007C130000}"/>
    <cellStyle name="Normal 4 110" xfId="3358" xr:uid="{00000000-0005-0000-0000-00007D130000}"/>
    <cellStyle name="Normal 4 111" xfId="3359" xr:uid="{00000000-0005-0000-0000-00007E130000}"/>
    <cellStyle name="Normal 4 112" xfId="3360" xr:uid="{00000000-0005-0000-0000-00007F130000}"/>
    <cellStyle name="Normal 4 113" xfId="4612" xr:uid="{00000000-0005-0000-0000-000080130000}"/>
    <cellStyle name="Normal 4 114" xfId="6216" xr:uid="{00000000-0005-0000-0000-000081130000}"/>
    <cellStyle name="Normal 4 12" xfId="3361" xr:uid="{00000000-0005-0000-0000-000082130000}"/>
    <cellStyle name="Normal 4 13" xfId="3362" xr:uid="{00000000-0005-0000-0000-000083130000}"/>
    <cellStyle name="Normal 4 14" xfId="3363" xr:uid="{00000000-0005-0000-0000-000084130000}"/>
    <cellStyle name="Normal 4 15" xfId="3364" xr:uid="{00000000-0005-0000-0000-000085130000}"/>
    <cellStyle name="Normal 4 16" xfId="3365" xr:uid="{00000000-0005-0000-0000-000086130000}"/>
    <cellStyle name="Normal 4 17" xfId="3366" xr:uid="{00000000-0005-0000-0000-000087130000}"/>
    <cellStyle name="Normal 4 18" xfId="3367" xr:uid="{00000000-0005-0000-0000-000088130000}"/>
    <cellStyle name="Normal 4 19" xfId="3368" xr:uid="{00000000-0005-0000-0000-000089130000}"/>
    <cellStyle name="Normal 4 2" xfId="3369" xr:uid="{00000000-0005-0000-0000-00008A130000}"/>
    <cellStyle name="Normal 4 2 10" xfId="3370" xr:uid="{00000000-0005-0000-0000-00008B130000}"/>
    <cellStyle name="Normal 4 2 100" xfId="3371" xr:uid="{00000000-0005-0000-0000-00008C130000}"/>
    <cellStyle name="Normal 4 2 101" xfId="3372" xr:uid="{00000000-0005-0000-0000-00008D130000}"/>
    <cellStyle name="Normal 4 2 102" xfId="3373" xr:uid="{00000000-0005-0000-0000-00008E130000}"/>
    <cellStyle name="Normal 4 2 103" xfId="3374" xr:uid="{00000000-0005-0000-0000-00008F130000}"/>
    <cellStyle name="Normal 4 2 104" xfId="3375" xr:uid="{00000000-0005-0000-0000-000090130000}"/>
    <cellStyle name="Normal 4 2 105" xfId="3376" xr:uid="{00000000-0005-0000-0000-000091130000}"/>
    <cellStyle name="Normal 4 2 106" xfId="3377" xr:uid="{00000000-0005-0000-0000-000092130000}"/>
    <cellStyle name="Normal 4 2 107" xfId="3378" xr:uid="{00000000-0005-0000-0000-000093130000}"/>
    <cellStyle name="Normal 4 2 108" xfId="3379" xr:uid="{00000000-0005-0000-0000-000094130000}"/>
    <cellStyle name="Normal 4 2 109" xfId="3380" xr:uid="{00000000-0005-0000-0000-000095130000}"/>
    <cellStyle name="Normal 4 2 11" xfId="3381" xr:uid="{00000000-0005-0000-0000-000096130000}"/>
    <cellStyle name="Normal 4 2 110" xfId="3382" xr:uid="{00000000-0005-0000-0000-000097130000}"/>
    <cellStyle name="Normal 4 2 111" xfId="3383" xr:uid="{00000000-0005-0000-0000-000098130000}"/>
    <cellStyle name="Normal 4 2 112" xfId="3384" xr:uid="{00000000-0005-0000-0000-000099130000}"/>
    <cellStyle name="Normal 4 2 113" xfId="3385" xr:uid="{00000000-0005-0000-0000-00009A130000}"/>
    <cellStyle name="Normal 4 2 114" xfId="3386" xr:uid="{00000000-0005-0000-0000-00009B130000}"/>
    <cellStyle name="Normal 4 2 115" xfId="3387" xr:uid="{00000000-0005-0000-0000-00009C130000}"/>
    <cellStyle name="Normal 4 2 116" xfId="3388" xr:uid="{00000000-0005-0000-0000-00009D130000}"/>
    <cellStyle name="Normal 4 2 117" xfId="3389" xr:uid="{00000000-0005-0000-0000-00009E130000}"/>
    <cellStyle name="Normal 4 2 118" xfId="3390" xr:uid="{00000000-0005-0000-0000-00009F130000}"/>
    <cellStyle name="Normal 4 2 119" xfId="3391" xr:uid="{00000000-0005-0000-0000-0000A0130000}"/>
    <cellStyle name="Normal 4 2 12" xfId="3392" xr:uid="{00000000-0005-0000-0000-0000A1130000}"/>
    <cellStyle name="Normal 4 2 120" xfId="3393" xr:uid="{00000000-0005-0000-0000-0000A2130000}"/>
    <cellStyle name="Normal 4 2 121" xfId="3394" xr:uid="{00000000-0005-0000-0000-0000A3130000}"/>
    <cellStyle name="Normal 4 2 122" xfId="3395" xr:uid="{00000000-0005-0000-0000-0000A4130000}"/>
    <cellStyle name="Normal 4 2 123" xfId="3396" xr:uid="{00000000-0005-0000-0000-0000A5130000}"/>
    <cellStyle name="Normal 4 2 124" xfId="3397" xr:uid="{00000000-0005-0000-0000-0000A6130000}"/>
    <cellStyle name="Normal 4 2 125" xfId="3398" xr:uid="{00000000-0005-0000-0000-0000A7130000}"/>
    <cellStyle name="Normal 4 2 126" xfId="3399" xr:uid="{00000000-0005-0000-0000-0000A8130000}"/>
    <cellStyle name="Normal 4 2 127" xfId="3400" xr:uid="{00000000-0005-0000-0000-0000A9130000}"/>
    <cellStyle name="Normal 4 2 128" xfId="3401" xr:uid="{00000000-0005-0000-0000-0000AA130000}"/>
    <cellStyle name="Normal 4 2 129" xfId="3402" xr:uid="{00000000-0005-0000-0000-0000AB130000}"/>
    <cellStyle name="Normal 4 2 13" xfId="3403" xr:uid="{00000000-0005-0000-0000-0000AC130000}"/>
    <cellStyle name="Normal 4 2 130" xfId="3404" xr:uid="{00000000-0005-0000-0000-0000AD130000}"/>
    <cellStyle name="Normal 4 2 131" xfId="3405" xr:uid="{00000000-0005-0000-0000-0000AE130000}"/>
    <cellStyle name="Normal 4 2 132" xfId="3406" xr:uid="{00000000-0005-0000-0000-0000AF130000}"/>
    <cellStyle name="Normal 4 2 133" xfId="3407" xr:uid="{00000000-0005-0000-0000-0000B0130000}"/>
    <cellStyle name="Normal 4 2 134" xfId="3408" xr:uid="{00000000-0005-0000-0000-0000B1130000}"/>
    <cellStyle name="Normal 4 2 135" xfId="3409" xr:uid="{00000000-0005-0000-0000-0000B2130000}"/>
    <cellStyle name="Normal 4 2 136" xfId="3410" xr:uid="{00000000-0005-0000-0000-0000B3130000}"/>
    <cellStyle name="Normal 4 2 137" xfId="3411" xr:uid="{00000000-0005-0000-0000-0000B4130000}"/>
    <cellStyle name="Normal 4 2 138" xfId="3412" xr:uid="{00000000-0005-0000-0000-0000B5130000}"/>
    <cellStyle name="Normal 4 2 139" xfId="3413" xr:uid="{00000000-0005-0000-0000-0000B6130000}"/>
    <cellStyle name="Normal 4 2 14" xfId="3414" xr:uid="{00000000-0005-0000-0000-0000B7130000}"/>
    <cellStyle name="Normal 4 2 140" xfId="3415" xr:uid="{00000000-0005-0000-0000-0000B8130000}"/>
    <cellStyle name="Normal 4 2 141" xfId="3416" xr:uid="{00000000-0005-0000-0000-0000B9130000}"/>
    <cellStyle name="Normal 4 2 142" xfId="3417" xr:uid="{00000000-0005-0000-0000-0000BA130000}"/>
    <cellStyle name="Normal 4 2 143" xfId="3418" xr:uid="{00000000-0005-0000-0000-0000BB130000}"/>
    <cellStyle name="Normal 4 2 144" xfId="3419" xr:uid="{00000000-0005-0000-0000-0000BC130000}"/>
    <cellStyle name="Normal 4 2 145" xfId="3420" xr:uid="{00000000-0005-0000-0000-0000BD130000}"/>
    <cellStyle name="Normal 4 2 146" xfId="3421" xr:uid="{00000000-0005-0000-0000-0000BE130000}"/>
    <cellStyle name="Normal 4 2 147" xfId="3422" xr:uid="{00000000-0005-0000-0000-0000BF130000}"/>
    <cellStyle name="Normal 4 2 148" xfId="3423" xr:uid="{00000000-0005-0000-0000-0000C0130000}"/>
    <cellStyle name="Normal 4 2 149" xfId="3424" xr:uid="{00000000-0005-0000-0000-0000C1130000}"/>
    <cellStyle name="Normal 4 2 15" xfId="3425" xr:uid="{00000000-0005-0000-0000-0000C2130000}"/>
    <cellStyle name="Normal 4 2 150" xfId="3426" xr:uid="{00000000-0005-0000-0000-0000C3130000}"/>
    <cellStyle name="Normal 4 2 151" xfId="3427" xr:uid="{00000000-0005-0000-0000-0000C4130000}"/>
    <cellStyle name="Normal 4 2 16" xfId="3428" xr:uid="{00000000-0005-0000-0000-0000C5130000}"/>
    <cellStyle name="Normal 4 2 17" xfId="3429" xr:uid="{00000000-0005-0000-0000-0000C6130000}"/>
    <cellStyle name="Normal 4 2 18" xfId="3430" xr:uid="{00000000-0005-0000-0000-0000C7130000}"/>
    <cellStyle name="Normal 4 2 19" xfId="3431" xr:uid="{00000000-0005-0000-0000-0000C8130000}"/>
    <cellStyle name="Normal 4 2 2" xfId="3432" xr:uid="{00000000-0005-0000-0000-0000C9130000}"/>
    <cellStyle name="Normal 4 2 20" xfId="3433" xr:uid="{00000000-0005-0000-0000-0000CA130000}"/>
    <cellStyle name="Normal 4 2 21" xfId="3434" xr:uid="{00000000-0005-0000-0000-0000CB130000}"/>
    <cellStyle name="Normal 4 2 22" xfId="3435" xr:uid="{00000000-0005-0000-0000-0000CC130000}"/>
    <cellStyle name="Normal 4 2 23" xfId="3436" xr:uid="{00000000-0005-0000-0000-0000CD130000}"/>
    <cellStyle name="Normal 4 2 24" xfId="3437" xr:uid="{00000000-0005-0000-0000-0000CE130000}"/>
    <cellStyle name="Normal 4 2 25" xfId="3438" xr:uid="{00000000-0005-0000-0000-0000CF130000}"/>
    <cellStyle name="Normal 4 2 26" xfId="3439" xr:uid="{00000000-0005-0000-0000-0000D0130000}"/>
    <cellStyle name="Normal 4 2 27" xfId="3440" xr:uid="{00000000-0005-0000-0000-0000D1130000}"/>
    <cellStyle name="Normal 4 2 28" xfId="3441" xr:uid="{00000000-0005-0000-0000-0000D2130000}"/>
    <cellStyle name="Normal 4 2 29" xfId="3442" xr:uid="{00000000-0005-0000-0000-0000D3130000}"/>
    <cellStyle name="Normal 4 2 3" xfId="3443" xr:uid="{00000000-0005-0000-0000-0000D4130000}"/>
    <cellStyle name="Normal 4 2 30" xfId="3444" xr:uid="{00000000-0005-0000-0000-0000D5130000}"/>
    <cellStyle name="Normal 4 2 31" xfId="3445" xr:uid="{00000000-0005-0000-0000-0000D6130000}"/>
    <cellStyle name="Normal 4 2 32" xfId="3446" xr:uid="{00000000-0005-0000-0000-0000D7130000}"/>
    <cellStyle name="Normal 4 2 33" xfId="3447" xr:uid="{00000000-0005-0000-0000-0000D8130000}"/>
    <cellStyle name="Normal 4 2 34" xfId="3448" xr:uid="{00000000-0005-0000-0000-0000D9130000}"/>
    <cellStyle name="Normal 4 2 35" xfId="3449" xr:uid="{00000000-0005-0000-0000-0000DA130000}"/>
    <cellStyle name="Normal 4 2 36" xfId="3450" xr:uid="{00000000-0005-0000-0000-0000DB130000}"/>
    <cellStyle name="Normal 4 2 37" xfId="3451" xr:uid="{00000000-0005-0000-0000-0000DC130000}"/>
    <cellStyle name="Normal 4 2 38" xfId="3452" xr:uid="{00000000-0005-0000-0000-0000DD130000}"/>
    <cellStyle name="Normal 4 2 39" xfId="3453" xr:uid="{00000000-0005-0000-0000-0000DE130000}"/>
    <cellStyle name="Normal 4 2 4" xfId="3454" xr:uid="{00000000-0005-0000-0000-0000DF130000}"/>
    <cellStyle name="Normal 4 2 40" xfId="3455" xr:uid="{00000000-0005-0000-0000-0000E0130000}"/>
    <cellStyle name="Normal 4 2 41" xfId="3456" xr:uid="{00000000-0005-0000-0000-0000E1130000}"/>
    <cellStyle name="Normal 4 2 42" xfId="3457" xr:uid="{00000000-0005-0000-0000-0000E2130000}"/>
    <cellStyle name="Normal 4 2 43" xfId="3458" xr:uid="{00000000-0005-0000-0000-0000E3130000}"/>
    <cellStyle name="Normal 4 2 44" xfId="3459" xr:uid="{00000000-0005-0000-0000-0000E4130000}"/>
    <cellStyle name="Normal 4 2 45" xfId="3460" xr:uid="{00000000-0005-0000-0000-0000E5130000}"/>
    <cellStyle name="Normal 4 2 46" xfId="3461" xr:uid="{00000000-0005-0000-0000-0000E6130000}"/>
    <cellStyle name="Normal 4 2 47" xfId="3462" xr:uid="{00000000-0005-0000-0000-0000E7130000}"/>
    <cellStyle name="Normal 4 2 48" xfId="3463" xr:uid="{00000000-0005-0000-0000-0000E8130000}"/>
    <cellStyle name="Normal 4 2 49" xfId="3464" xr:uid="{00000000-0005-0000-0000-0000E9130000}"/>
    <cellStyle name="Normal 4 2 5" xfId="3465" xr:uid="{00000000-0005-0000-0000-0000EA130000}"/>
    <cellStyle name="Normal 4 2 50" xfId="3466" xr:uid="{00000000-0005-0000-0000-0000EB130000}"/>
    <cellStyle name="Normal 4 2 51" xfId="3467" xr:uid="{00000000-0005-0000-0000-0000EC130000}"/>
    <cellStyle name="Normal 4 2 52" xfId="3468" xr:uid="{00000000-0005-0000-0000-0000ED130000}"/>
    <cellStyle name="Normal 4 2 53" xfId="3469" xr:uid="{00000000-0005-0000-0000-0000EE130000}"/>
    <cellStyle name="Normal 4 2 54" xfId="3470" xr:uid="{00000000-0005-0000-0000-0000EF130000}"/>
    <cellStyle name="Normal 4 2 55" xfId="3471" xr:uid="{00000000-0005-0000-0000-0000F0130000}"/>
    <cellStyle name="Normal 4 2 56" xfId="3472" xr:uid="{00000000-0005-0000-0000-0000F1130000}"/>
    <cellStyle name="Normal 4 2 57" xfId="3473" xr:uid="{00000000-0005-0000-0000-0000F2130000}"/>
    <cellStyle name="Normal 4 2 58" xfId="3474" xr:uid="{00000000-0005-0000-0000-0000F3130000}"/>
    <cellStyle name="Normal 4 2 59" xfId="3475" xr:uid="{00000000-0005-0000-0000-0000F4130000}"/>
    <cellStyle name="Normal 4 2 6" xfId="3476" xr:uid="{00000000-0005-0000-0000-0000F5130000}"/>
    <cellStyle name="Normal 4 2 60" xfId="3477" xr:uid="{00000000-0005-0000-0000-0000F6130000}"/>
    <cellStyle name="Normal 4 2 61" xfId="3478" xr:uid="{00000000-0005-0000-0000-0000F7130000}"/>
    <cellStyle name="Normal 4 2 62" xfId="3479" xr:uid="{00000000-0005-0000-0000-0000F8130000}"/>
    <cellStyle name="Normal 4 2 63" xfId="3480" xr:uid="{00000000-0005-0000-0000-0000F9130000}"/>
    <cellStyle name="Normal 4 2 64" xfId="3481" xr:uid="{00000000-0005-0000-0000-0000FA130000}"/>
    <cellStyle name="Normal 4 2 65" xfId="3482" xr:uid="{00000000-0005-0000-0000-0000FB130000}"/>
    <cellStyle name="Normal 4 2 66" xfId="3483" xr:uid="{00000000-0005-0000-0000-0000FC130000}"/>
    <cellStyle name="Normal 4 2 67" xfId="3484" xr:uid="{00000000-0005-0000-0000-0000FD130000}"/>
    <cellStyle name="Normal 4 2 68" xfId="3485" xr:uid="{00000000-0005-0000-0000-0000FE130000}"/>
    <cellStyle name="Normal 4 2 69" xfId="3486" xr:uid="{00000000-0005-0000-0000-0000FF130000}"/>
    <cellStyle name="Normal 4 2 7" xfId="3487" xr:uid="{00000000-0005-0000-0000-000000140000}"/>
    <cellStyle name="Normal 4 2 70" xfId="3488" xr:uid="{00000000-0005-0000-0000-000001140000}"/>
    <cellStyle name="Normal 4 2 71" xfId="3489" xr:uid="{00000000-0005-0000-0000-000002140000}"/>
    <cellStyle name="Normal 4 2 72" xfId="3490" xr:uid="{00000000-0005-0000-0000-000003140000}"/>
    <cellStyle name="Normal 4 2 73" xfId="3491" xr:uid="{00000000-0005-0000-0000-000004140000}"/>
    <cellStyle name="Normal 4 2 74" xfId="3492" xr:uid="{00000000-0005-0000-0000-000005140000}"/>
    <cellStyle name="Normal 4 2 75" xfId="3493" xr:uid="{00000000-0005-0000-0000-000006140000}"/>
    <cellStyle name="Normal 4 2 76" xfId="3494" xr:uid="{00000000-0005-0000-0000-000007140000}"/>
    <cellStyle name="Normal 4 2 77" xfId="3495" xr:uid="{00000000-0005-0000-0000-000008140000}"/>
    <cellStyle name="Normal 4 2 78" xfId="3496" xr:uid="{00000000-0005-0000-0000-000009140000}"/>
    <cellStyle name="Normal 4 2 79" xfId="3497" xr:uid="{00000000-0005-0000-0000-00000A140000}"/>
    <cellStyle name="Normal 4 2 8" xfId="3498" xr:uid="{00000000-0005-0000-0000-00000B140000}"/>
    <cellStyle name="Normal 4 2 80" xfId="3499" xr:uid="{00000000-0005-0000-0000-00000C140000}"/>
    <cellStyle name="Normal 4 2 81" xfId="3500" xr:uid="{00000000-0005-0000-0000-00000D140000}"/>
    <cellStyle name="Normal 4 2 82" xfId="3501" xr:uid="{00000000-0005-0000-0000-00000E140000}"/>
    <cellStyle name="Normal 4 2 83" xfId="3502" xr:uid="{00000000-0005-0000-0000-00000F140000}"/>
    <cellStyle name="Normal 4 2 84" xfId="3503" xr:uid="{00000000-0005-0000-0000-000010140000}"/>
    <cellStyle name="Normal 4 2 85" xfId="3504" xr:uid="{00000000-0005-0000-0000-000011140000}"/>
    <cellStyle name="Normal 4 2 86" xfId="3505" xr:uid="{00000000-0005-0000-0000-000012140000}"/>
    <cellStyle name="Normal 4 2 87" xfId="3506" xr:uid="{00000000-0005-0000-0000-000013140000}"/>
    <cellStyle name="Normal 4 2 88" xfId="3507" xr:uid="{00000000-0005-0000-0000-000014140000}"/>
    <cellStyle name="Normal 4 2 89" xfId="3508" xr:uid="{00000000-0005-0000-0000-000015140000}"/>
    <cellStyle name="Normal 4 2 9" xfId="3509" xr:uid="{00000000-0005-0000-0000-000016140000}"/>
    <cellStyle name="Normal 4 2 90" xfId="3510" xr:uid="{00000000-0005-0000-0000-000017140000}"/>
    <cellStyle name="Normal 4 2 91" xfId="3511" xr:uid="{00000000-0005-0000-0000-000018140000}"/>
    <cellStyle name="Normal 4 2 92" xfId="3512" xr:uid="{00000000-0005-0000-0000-000019140000}"/>
    <cellStyle name="Normal 4 2 93" xfId="3513" xr:uid="{00000000-0005-0000-0000-00001A140000}"/>
    <cellStyle name="Normal 4 2 94" xfId="3514" xr:uid="{00000000-0005-0000-0000-00001B140000}"/>
    <cellStyle name="Normal 4 2 95" xfId="3515" xr:uid="{00000000-0005-0000-0000-00001C140000}"/>
    <cellStyle name="Normal 4 2 96" xfId="3516" xr:uid="{00000000-0005-0000-0000-00001D140000}"/>
    <cellStyle name="Normal 4 2 97" xfId="3517" xr:uid="{00000000-0005-0000-0000-00001E140000}"/>
    <cellStyle name="Normal 4 2 98" xfId="3518" xr:uid="{00000000-0005-0000-0000-00001F140000}"/>
    <cellStyle name="Normal 4 2 99" xfId="3519" xr:uid="{00000000-0005-0000-0000-000020140000}"/>
    <cellStyle name="Normal 4 20" xfId="3520" xr:uid="{00000000-0005-0000-0000-000021140000}"/>
    <cellStyle name="Normal 4 21" xfId="3521" xr:uid="{00000000-0005-0000-0000-000022140000}"/>
    <cellStyle name="Normal 4 22" xfId="3522" xr:uid="{00000000-0005-0000-0000-000023140000}"/>
    <cellStyle name="Normal 4 23" xfId="3523" xr:uid="{00000000-0005-0000-0000-000024140000}"/>
    <cellStyle name="Normal 4 24" xfId="3524" xr:uid="{00000000-0005-0000-0000-000025140000}"/>
    <cellStyle name="Normal 4 25" xfId="3525" xr:uid="{00000000-0005-0000-0000-000026140000}"/>
    <cellStyle name="Normal 4 26" xfId="3526" xr:uid="{00000000-0005-0000-0000-000027140000}"/>
    <cellStyle name="Normal 4 27" xfId="3527" xr:uid="{00000000-0005-0000-0000-000028140000}"/>
    <cellStyle name="Normal 4 28" xfId="3528" xr:uid="{00000000-0005-0000-0000-000029140000}"/>
    <cellStyle name="Normal 4 29" xfId="3529" xr:uid="{00000000-0005-0000-0000-00002A140000}"/>
    <cellStyle name="Normal 4 3" xfId="3530" xr:uid="{00000000-0005-0000-0000-00002B140000}"/>
    <cellStyle name="Normal 4 3 10" xfId="3531" xr:uid="{00000000-0005-0000-0000-00002C140000}"/>
    <cellStyle name="Normal 4 3 100" xfId="3532" xr:uid="{00000000-0005-0000-0000-00002D140000}"/>
    <cellStyle name="Normal 4 3 101" xfId="3533" xr:uid="{00000000-0005-0000-0000-00002E140000}"/>
    <cellStyle name="Normal 4 3 102" xfId="3534" xr:uid="{00000000-0005-0000-0000-00002F140000}"/>
    <cellStyle name="Normal 4 3 103" xfId="3535" xr:uid="{00000000-0005-0000-0000-000030140000}"/>
    <cellStyle name="Normal 4 3 104" xfId="3536" xr:uid="{00000000-0005-0000-0000-000031140000}"/>
    <cellStyle name="Normal 4 3 105" xfId="3537" xr:uid="{00000000-0005-0000-0000-000032140000}"/>
    <cellStyle name="Normal 4 3 106" xfId="3538" xr:uid="{00000000-0005-0000-0000-000033140000}"/>
    <cellStyle name="Normal 4 3 107" xfId="3539" xr:uid="{00000000-0005-0000-0000-000034140000}"/>
    <cellStyle name="Normal 4 3 108" xfId="3540" xr:uid="{00000000-0005-0000-0000-000035140000}"/>
    <cellStyle name="Normal 4 3 109" xfId="3541" xr:uid="{00000000-0005-0000-0000-000036140000}"/>
    <cellStyle name="Normal 4 3 11" xfId="3542" xr:uid="{00000000-0005-0000-0000-000037140000}"/>
    <cellStyle name="Normal 4 3 110" xfId="3543" xr:uid="{00000000-0005-0000-0000-000038140000}"/>
    <cellStyle name="Normal 4 3 111" xfId="3544" xr:uid="{00000000-0005-0000-0000-000039140000}"/>
    <cellStyle name="Normal 4 3 112" xfId="3545" xr:uid="{00000000-0005-0000-0000-00003A140000}"/>
    <cellStyle name="Normal 4 3 113" xfId="3546" xr:uid="{00000000-0005-0000-0000-00003B140000}"/>
    <cellStyle name="Normal 4 3 114" xfId="3547" xr:uid="{00000000-0005-0000-0000-00003C140000}"/>
    <cellStyle name="Normal 4 3 115" xfId="3548" xr:uid="{00000000-0005-0000-0000-00003D140000}"/>
    <cellStyle name="Normal 4 3 116" xfId="3549" xr:uid="{00000000-0005-0000-0000-00003E140000}"/>
    <cellStyle name="Normal 4 3 117" xfId="3550" xr:uid="{00000000-0005-0000-0000-00003F140000}"/>
    <cellStyle name="Normal 4 3 118" xfId="3551" xr:uid="{00000000-0005-0000-0000-000040140000}"/>
    <cellStyle name="Normal 4 3 119" xfId="3552" xr:uid="{00000000-0005-0000-0000-000041140000}"/>
    <cellStyle name="Normal 4 3 12" xfId="3553" xr:uid="{00000000-0005-0000-0000-000042140000}"/>
    <cellStyle name="Normal 4 3 120" xfId="3554" xr:uid="{00000000-0005-0000-0000-000043140000}"/>
    <cellStyle name="Normal 4 3 121" xfId="3555" xr:uid="{00000000-0005-0000-0000-000044140000}"/>
    <cellStyle name="Normal 4 3 122" xfId="3556" xr:uid="{00000000-0005-0000-0000-000045140000}"/>
    <cellStyle name="Normal 4 3 123" xfId="3557" xr:uid="{00000000-0005-0000-0000-000046140000}"/>
    <cellStyle name="Normal 4 3 124" xfId="3558" xr:uid="{00000000-0005-0000-0000-000047140000}"/>
    <cellStyle name="Normal 4 3 125" xfId="3559" xr:uid="{00000000-0005-0000-0000-000048140000}"/>
    <cellStyle name="Normal 4 3 126" xfId="3560" xr:uid="{00000000-0005-0000-0000-000049140000}"/>
    <cellStyle name="Normal 4 3 127" xfId="3561" xr:uid="{00000000-0005-0000-0000-00004A140000}"/>
    <cellStyle name="Normal 4 3 128" xfId="3562" xr:uid="{00000000-0005-0000-0000-00004B140000}"/>
    <cellStyle name="Normal 4 3 129" xfId="3563" xr:uid="{00000000-0005-0000-0000-00004C140000}"/>
    <cellStyle name="Normal 4 3 13" xfId="3564" xr:uid="{00000000-0005-0000-0000-00004D140000}"/>
    <cellStyle name="Normal 4 3 130" xfId="3565" xr:uid="{00000000-0005-0000-0000-00004E140000}"/>
    <cellStyle name="Normal 4 3 131" xfId="3566" xr:uid="{00000000-0005-0000-0000-00004F140000}"/>
    <cellStyle name="Normal 4 3 132" xfId="3567" xr:uid="{00000000-0005-0000-0000-000050140000}"/>
    <cellStyle name="Normal 4 3 133" xfId="3568" xr:uid="{00000000-0005-0000-0000-000051140000}"/>
    <cellStyle name="Normal 4 3 134" xfId="3569" xr:uid="{00000000-0005-0000-0000-000052140000}"/>
    <cellStyle name="Normal 4 3 135" xfId="3570" xr:uid="{00000000-0005-0000-0000-000053140000}"/>
    <cellStyle name="Normal 4 3 136" xfId="3571" xr:uid="{00000000-0005-0000-0000-000054140000}"/>
    <cellStyle name="Normal 4 3 137" xfId="3572" xr:uid="{00000000-0005-0000-0000-000055140000}"/>
    <cellStyle name="Normal 4 3 138" xfId="3573" xr:uid="{00000000-0005-0000-0000-000056140000}"/>
    <cellStyle name="Normal 4 3 139" xfId="3574" xr:uid="{00000000-0005-0000-0000-000057140000}"/>
    <cellStyle name="Normal 4 3 14" xfId="3575" xr:uid="{00000000-0005-0000-0000-000058140000}"/>
    <cellStyle name="Normal 4 3 140" xfId="3576" xr:uid="{00000000-0005-0000-0000-000059140000}"/>
    <cellStyle name="Normal 4 3 141" xfId="3577" xr:uid="{00000000-0005-0000-0000-00005A140000}"/>
    <cellStyle name="Normal 4 3 142" xfId="3578" xr:uid="{00000000-0005-0000-0000-00005B140000}"/>
    <cellStyle name="Normal 4 3 143" xfId="3579" xr:uid="{00000000-0005-0000-0000-00005C140000}"/>
    <cellStyle name="Normal 4 3 144" xfId="3580" xr:uid="{00000000-0005-0000-0000-00005D140000}"/>
    <cellStyle name="Normal 4 3 145" xfId="3581" xr:uid="{00000000-0005-0000-0000-00005E140000}"/>
    <cellStyle name="Normal 4 3 146" xfId="3582" xr:uid="{00000000-0005-0000-0000-00005F140000}"/>
    <cellStyle name="Normal 4 3 147" xfId="3583" xr:uid="{00000000-0005-0000-0000-000060140000}"/>
    <cellStyle name="Normal 4 3 148" xfId="3584" xr:uid="{00000000-0005-0000-0000-000061140000}"/>
    <cellStyle name="Normal 4 3 149" xfId="3585" xr:uid="{00000000-0005-0000-0000-000062140000}"/>
    <cellStyle name="Normal 4 3 15" xfId="3586" xr:uid="{00000000-0005-0000-0000-000063140000}"/>
    <cellStyle name="Normal 4 3 150" xfId="3587" xr:uid="{00000000-0005-0000-0000-000064140000}"/>
    <cellStyle name="Normal 4 3 151" xfId="3588" xr:uid="{00000000-0005-0000-0000-000065140000}"/>
    <cellStyle name="Normal 4 3 16" xfId="3589" xr:uid="{00000000-0005-0000-0000-000066140000}"/>
    <cellStyle name="Normal 4 3 17" xfId="3590" xr:uid="{00000000-0005-0000-0000-000067140000}"/>
    <cellStyle name="Normal 4 3 18" xfId="3591" xr:uid="{00000000-0005-0000-0000-000068140000}"/>
    <cellStyle name="Normal 4 3 19" xfId="3592" xr:uid="{00000000-0005-0000-0000-000069140000}"/>
    <cellStyle name="Normal 4 3 2" xfId="3593" xr:uid="{00000000-0005-0000-0000-00006A140000}"/>
    <cellStyle name="Normal 4 3 20" xfId="3594" xr:uid="{00000000-0005-0000-0000-00006B140000}"/>
    <cellStyle name="Normal 4 3 21" xfId="3595" xr:uid="{00000000-0005-0000-0000-00006C140000}"/>
    <cellStyle name="Normal 4 3 22" xfId="3596" xr:uid="{00000000-0005-0000-0000-00006D140000}"/>
    <cellStyle name="Normal 4 3 23" xfId="3597" xr:uid="{00000000-0005-0000-0000-00006E140000}"/>
    <cellStyle name="Normal 4 3 24" xfId="3598" xr:uid="{00000000-0005-0000-0000-00006F140000}"/>
    <cellStyle name="Normal 4 3 25" xfId="3599" xr:uid="{00000000-0005-0000-0000-000070140000}"/>
    <cellStyle name="Normal 4 3 26" xfId="3600" xr:uid="{00000000-0005-0000-0000-000071140000}"/>
    <cellStyle name="Normal 4 3 27" xfId="3601" xr:uid="{00000000-0005-0000-0000-000072140000}"/>
    <cellStyle name="Normal 4 3 28" xfId="3602" xr:uid="{00000000-0005-0000-0000-000073140000}"/>
    <cellStyle name="Normal 4 3 29" xfId="3603" xr:uid="{00000000-0005-0000-0000-000074140000}"/>
    <cellStyle name="Normal 4 3 3" xfId="3604" xr:uid="{00000000-0005-0000-0000-000075140000}"/>
    <cellStyle name="Normal 4 3 30" xfId="3605" xr:uid="{00000000-0005-0000-0000-000076140000}"/>
    <cellStyle name="Normal 4 3 31" xfId="3606" xr:uid="{00000000-0005-0000-0000-000077140000}"/>
    <cellStyle name="Normal 4 3 32" xfId="3607" xr:uid="{00000000-0005-0000-0000-000078140000}"/>
    <cellStyle name="Normal 4 3 33" xfId="3608" xr:uid="{00000000-0005-0000-0000-000079140000}"/>
    <cellStyle name="Normal 4 3 34" xfId="3609" xr:uid="{00000000-0005-0000-0000-00007A140000}"/>
    <cellStyle name="Normal 4 3 35" xfId="3610" xr:uid="{00000000-0005-0000-0000-00007B140000}"/>
    <cellStyle name="Normal 4 3 36" xfId="3611" xr:uid="{00000000-0005-0000-0000-00007C140000}"/>
    <cellStyle name="Normal 4 3 37" xfId="3612" xr:uid="{00000000-0005-0000-0000-00007D140000}"/>
    <cellStyle name="Normal 4 3 38" xfId="3613" xr:uid="{00000000-0005-0000-0000-00007E140000}"/>
    <cellStyle name="Normal 4 3 39" xfId="3614" xr:uid="{00000000-0005-0000-0000-00007F140000}"/>
    <cellStyle name="Normal 4 3 4" xfId="3615" xr:uid="{00000000-0005-0000-0000-000080140000}"/>
    <cellStyle name="Normal 4 3 40" xfId="3616" xr:uid="{00000000-0005-0000-0000-000081140000}"/>
    <cellStyle name="Normal 4 3 41" xfId="3617" xr:uid="{00000000-0005-0000-0000-000082140000}"/>
    <cellStyle name="Normal 4 3 42" xfId="3618" xr:uid="{00000000-0005-0000-0000-000083140000}"/>
    <cellStyle name="Normal 4 3 43" xfId="3619" xr:uid="{00000000-0005-0000-0000-000084140000}"/>
    <cellStyle name="Normal 4 3 44" xfId="3620" xr:uid="{00000000-0005-0000-0000-000085140000}"/>
    <cellStyle name="Normal 4 3 45" xfId="3621" xr:uid="{00000000-0005-0000-0000-000086140000}"/>
    <cellStyle name="Normal 4 3 46" xfId="3622" xr:uid="{00000000-0005-0000-0000-000087140000}"/>
    <cellStyle name="Normal 4 3 47" xfId="3623" xr:uid="{00000000-0005-0000-0000-000088140000}"/>
    <cellStyle name="Normal 4 3 48" xfId="3624" xr:uid="{00000000-0005-0000-0000-000089140000}"/>
    <cellStyle name="Normal 4 3 49" xfId="3625" xr:uid="{00000000-0005-0000-0000-00008A140000}"/>
    <cellStyle name="Normal 4 3 5" xfId="3626" xr:uid="{00000000-0005-0000-0000-00008B140000}"/>
    <cellStyle name="Normal 4 3 50" xfId="3627" xr:uid="{00000000-0005-0000-0000-00008C140000}"/>
    <cellStyle name="Normal 4 3 51" xfId="3628" xr:uid="{00000000-0005-0000-0000-00008D140000}"/>
    <cellStyle name="Normal 4 3 52" xfId="3629" xr:uid="{00000000-0005-0000-0000-00008E140000}"/>
    <cellStyle name="Normal 4 3 53" xfId="3630" xr:uid="{00000000-0005-0000-0000-00008F140000}"/>
    <cellStyle name="Normal 4 3 54" xfId="3631" xr:uid="{00000000-0005-0000-0000-000090140000}"/>
    <cellStyle name="Normal 4 3 55" xfId="3632" xr:uid="{00000000-0005-0000-0000-000091140000}"/>
    <cellStyle name="Normal 4 3 56" xfId="3633" xr:uid="{00000000-0005-0000-0000-000092140000}"/>
    <cellStyle name="Normal 4 3 57" xfId="3634" xr:uid="{00000000-0005-0000-0000-000093140000}"/>
    <cellStyle name="Normal 4 3 58" xfId="3635" xr:uid="{00000000-0005-0000-0000-000094140000}"/>
    <cellStyle name="Normal 4 3 59" xfId="3636" xr:uid="{00000000-0005-0000-0000-000095140000}"/>
    <cellStyle name="Normal 4 3 6" xfId="3637" xr:uid="{00000000-0005-0000-0000-000096140000}"/>
    <cellStyle name="Normal 4 3 60" xfId="3638" xr:uid="{00000000-0005-0000-0000-000097140000}"/>
    <cellStyle name="Normal 4 3 61" xfId="3639" xr:uid="{00000000-0005-0000-0000-000098140000}"/>
    <cellStyle name="Normal 4 3 62" xfId="3640" xr:uid="{00000000-0005-0000-0000-000099140000}"/>
    <cellStyle name="Normal 4 3 63" xfId="3641" xr:uid="{00000000-0005-0000-0000-00009A140000}"/>
    <cellStyle name="Normal 4 3 64" xfId="3642" xr:uid="{00000000-0005-0000-0000-00009B140000}"/>
    <cellStyle name="Normal 4 3 65" xfId="3643" xr:uid="{00000000-0005-0000-0000-00009C140000}"/>
    <cellStyle name="Normal 4 3 66" xfId="3644" xr:uid="{00000000-0005-0000-0000-00009D140000}"/>
    <cellStyle name="Normal 4 3 67" xfId="3645" xr:uid="{00000000-0005-0000-0000-00009E140000}"/>
    <cellStyle name="Normal 4 3 68" xfId="3646" xr:uid="{00000000-0005-0000-0000-00009F140000}"/>
    <cellStyle name="Normal 4 3 69" xfId="3647" xr:uid="{00000000-0005-0000-0000-0000A0140000}"/>
    <cellStyle name="Normal 4 3 7" xfId="3648" xr:uid="{00000000-0005-0000-0000-0000A1140000}"/>
    <cellStyle name="Normal 4 3 70" xfId="3649" xr:uid="{00000000-0005-0000-0000-0000A2140000}"/>
    <cellStyle name="Normal 4 3 71" xfId="3650" xr:uid="{00000000-0005-0000-0000-0000A3140000}"/>
    <cellStyle name="Normal 4 3 72" xfId="3651" xr:uid="{00000000-0005-0000-0000-0000A4140000}"/>
    <cellStyle name="Normal 4 3 73" xfId="3652" xr:uid="{00000000-0005-0000-0000-0000A5140000}"/>
    <cellStyle name="Normal 4 3 74" xfId="3653" xr:uid="{00000000-0005-0000-0000-0000A6140000}"/>
    <cellStyle name="Normal 4 3 75" xfId="3654" xr:uid="{00000000-0005-0000-0000-0000A7140000}"/>
    <cellStyle name="Normal 4 3 76" xfId="3655" xr:uid="{00000000-0005-0000-0000-0000A8140000}"/>
    <cellStyle name="Normal 4 3 77" xfId="3656" xr:uid="{00000000-0005-0000-0000-0000A9140000}"/>
    <cellStyle name="Normal 4 3 78" xfId="3657" xr:uid="{00000000-0005-0000-0000-0000AA140000}"/>
    <cellStyle name="Normal 4 3 79" xfId="3658" xr:uid="{00000000-0005-0000-0000-0000AB140000}"/>
    <cellStyle name="Normal 4 3 8" xfId="3659" xr:uid="{00000000-0005-0000-0000-0000AC140000}"/>
    <cellStyle name="Normal 4 3 80" xfId="3660" xr:uid="{00000000-0005-0000-0000-0000AD140000}"/>
    <cellStyle name="Normal 4 3 81" xfId="3661" xr:uid="{00000000-0005-0000-0000-0000AE140000}"/>
    <cellStyle name="Normal 4 3 82" xfId="3662" xr:uid="{00000000-0005-0000-0000-0000AF140000}"/>
    <cellStyle name="Normal 4 3 83" xfId="3663" xr:uid="{00000000-0005-0000-0000-0000B0140000}"/>
    <cellStyle name="Normal 4 3 84" xfId="3664" xr:uid="{00000000-0005-0000-0000-0000B1140000}"/>
    <cellStyle name="Normal 4 3 85" xfId="3665" xr:uid="{00000000-0005-0000-0000-0000B2140000}"/>
    <cellStyle name="Normal 4 3 86" xfId="3666" xr:uid="{00000000-0005-0000-0000-0000B3140000}"/>
    <cellStyle name="Normal 4 3 87" xfId="3667" xr:uid="{00000000-0005-0000-0000-0000B4140000}"/>
    <cellStyle name="Normal 4 3 88" xfId="3668" xr:uid="{00000000-0005-0000-0000-0000B5140000}"/>
    <cellStyle name="Normal 4 3 89" xfId="3669" xr:uid="{00000000-0005-0000-0000-0000B6140000}"/>
    <cellStyle name="Normal 4 3 9" xfId="3670" xr:uid="{00000000-0005-0000-0000-0000B7140000}"/>
    <cellStyle name="Normal 4 3 90" xfId="3671" xr:uid="{00000000-0005-0000-0000-0000B8140000}"/>
    <cellStyle name="Normal 4 3 91" xfId="3672" xr:uid="{00000000-0005-0000-0000-0000B9140000}"/>
    <cellStyle name="Normal 4 3 92" xfId="3673" xr:uid="{00000000-0005-0000-0000-0000BA140000}"/>
    <cellStyle name="Normal 4 3 93" xfId="3674" xr:uid="{00000000-0005-0000-0000-0000BB140000}"/>
    <cellStyle name="Normal 4 3 94" xfId="3675" xr:uid="{00000000-0005-0000-0000-0000BC140000}"/>
    <cellStyle name="Normal 4 3 95" xfId="3676" xr:uid="{00000000-0005-0000-0000-0000BD140000}"/>
    <cellStyle name="Normal 4 3 96" xfId="3677" xr:uid="{00000000-0005-0000-0000-0000BE140000}"/>
    <cellStyle name="Normal 4 3 97" xfId="3678" xr:uid="{00000000-0005-0000-0000-0000BF140000}"/>
    <cellStyle name="Normal 4 3 98" xfId="3679" xr:uid="{00000000-0005-0000-0000-0000C0140000}"/>
    <cellStyle name="Normal 4 3 99" xfId="3680" xr:uid="{00000000-0005-0000-0000-0000C1140000}"/>
    <cellStyle name="Normal 4 30" xfId="3681" xr:uid="{00000000-0005-0000-0000-0000C2140000}"/>
    <cellStyle name="Normal 4 31" xfId="3682" xr:uid="{00000000-0005-0000-0000-0000C3140000}"/>
    <cellStyle name="Normal 4 32" xfId="3683" xr:uid="{00000000-0005-0000-0000-0000C4140000}"/>
    <cellStyle name="Normal 4 33" xfId="3684" xr:uid="{00000000-0005-0000-0000-0000C5140000}"/>
    <cellStyle name="Normal 4 34" xfId="3685" xr:uid="{00000000-0005-0000-0000-0000C6140000}"/>
    <cellStyle name="Normal 4 35" xfId="3686" xr:uid="{00000000-0005-0000-0000-0000C7140000}"/>
    <cellStyle name="Normal 4 36" xfId="3687" xr:uid="{00000000-0005-0000-0000-0000C8140000}"/>
    <cellStyle name="Normal 4 37" xfId="3688" xr:uid="{00000000-0005-0000-0000-0000C9140000}"/>
    <cellStyle name="Normal 4 38" xfId="3689" xr:uid="{00000000-0005-0000-0000-0000CA140000}"/>
    <cellStyle name="Normal 4 39" xfId="3690" xr:uid="{00000000-0005-0000-0000-0000CB140000}"/>
    <cellStyle name="Normal 4 4" xfId="3691" xr:uid="{00000000-0005-0000-0000-0000CC140000}"/>
    <cellStyle name="Normal 4 40" xfId="3692" xr:uid="{00000000-0005-0000-0000-0000CD140000}"/>
    <cellStyle name="Normal 4 41" xfId="3693" xr:uid="{00000000-0005-0000-0000-0000CE140000}"/>
    <cellStyle name="Normal 4 42" xfId="3694" xr:uid="{00000000-0005-0000-0000-0000CF140000}"/>
    <cellStyle name="Normal 4 43" xfId="3695" xr:uid="{00000000-0005-0000-0000-0000D0140000}"/>
    <cellStyle name="Normal 4 44" xfId="3696" xr:uid="{00000000-0005-0000-0000-0000D1140000}"/>
    <cellStyle name="Normal 4 45" xfId="3697" xr:uid="{00000000-0005-0000-0000-0000D2140000}"/>
    <cellStyle name="Normal 4 46" xfId="3698" xr:uid="{00000000-0005-0000-0000-0000D3140000}"/>
    <cellStyle name="Normal 4 47" xfId="3699" xr:uid="{00000000-0005-0000-0000-0000D4140000}"/>
    <cellStyle name="Normal 4 48" xfId="3700" xr:uid="{00000000-0005-0000-0000-0000D5140000}"/>
    <cellStyle name="Normal 4 49" xfId="3701" xr:uid="{00000000-0005-0000-0000-0000D6140000}"/>
    <cellStyle name="Normal 4 5" xfId="3702" xr:uid="{00000000-0005-0000-0000-0000D7140000}"/>
    <cellStyle name="Normal 4 50" xfId="3703" xr:uid="{00000000-0005-0000-0000-0000D8140000}"/>
    <cellStyle name="Normal 4 51" xfId="3704" xr:uid="{00000000-0005-0000-0000-0000D9140000}"/>
    <cellStyle name="Normal 4 52" xfId="3705" xr:uid="{00000000-0005-0000-0000-0000DA140000}"/>
    <cellStyle name="Normal 4 53" xfId="3706" xr:uid="{00000000-0005-0000-0000-0000DB140000}"/>
    <cellStyle name="Normal 4 54" xfId="3707" xr:uid="{00000000-0005-0000-0000-0000DC140000}"/>
    <cellStyle name="Normal 4 55" xfId="3708" xr:uid="{00000000-0005-0000-0000-0000DD140000}"/>
    <cellStyle name="Normal 4 56" xfId="3709" xr:uid="{00000000-0005-0000-0000-0000DE140000}"/>
    <cellStyle name="Normal 4 57" xfId="3710" xr:uid="{00000000-0005-0000-0000-0000DF140000}"/>
    <cellStyle name="Normal 4 58" xfId="3711" xr:uid="{00000000-0005-0000-0000-0000E0140000}"/>
    <cellStyle name="Normal 4 59" xfId="3712" xr:uid="{00000000-0005-0000-0000-0000E1140000}"/>
    <cellStyle name="Normal 4 6" xfId="3713" xr:uid="{00000000-0005-0000-0000-0000E2140000}"/>
    <cellStyle name="Normal 4 60" xfId="3714" xr:uid="{00000000-0005-0000-0000-0000E3140000}"/>
    <cellStyle name="Normal 4 61" xfId="3715" xr:uid="{00000000-0005-0000-0000-0000E4140000}"/>
    <cellStyle name="Normal 4 62" xfId="3716" xr:uid="{00000000-0005-0000-0000-0000E5140000}"/>
    <cellStyle name="Normal 4 63" xfId="3717" xr:uid="{00000000-0005-0000-0000-0000E6140000}"/>
    <cellStyle name="Normal 4 64" xfId="3718" xr:uid="{00000000-0005-0000-0000-0000E7140000}"/>
    <cellStyle name="Normal 4 65" xfId="3719" xr:uid="{00000000-0005-0000-0000-0000E8140000}"/>
    <cellStyle name="Normal 4 66" xfId="3720" xr:uid="{00000000-0005-0000-0000-0000E9140000}"/>
    <cellStyle name="Normal 4 67" xfId="3721" xr:uid="{00000000-0005-0000-0000-0000EA140000}"/>
    <cellStyle name="Normal 4 68" xfId="3722" xr:uid="{00000000-0005-0000-0000-0000EB140000}"/>
    <cellStyle name="Normal 4 69" xfId="3723" xr:uid="{00000000-0005-0000-0000-0000EC140000}"/>
    <cellStyle name="Normal 4 7" xfId="3724" xr:uid="{00000000-0005-0000-0000-0000ED140000}"/>
    <cellStyle name="Normal 4 70" xfId="3725" xr:uid="{00000000-0005-0000-0000-0000EE140000}"/>
    <cellStyle name="Normal 4 71" xfId="3726" xr:uid="{00000000-0005-0000-0000-0000EF140000}"/>
    <cellStyle name="Normal 4 72" xfId="3727" xr:uid="{00000000-0005-0000-0000-0000F0140000}"/>
    <cellStyle name="Normal 4 73" xfId="3728" xr:uid="{00000000-0005-0000-0000-0000F1140000}"/>
    <cellStyle name="Normal 4 74" xfId="3729" xr:uid="{00000000-0005-0000-0000-0000F2140000}"/>
    <cellStyle name="Normal 4 75" xfId="3730" xr:uid="{00000000-0005-0000-0000-0000F3140000}"/>
    <cellStyle name="Normal 4 76" xfId="3731" xr:uid="{00000000-0005-0000-0000-0000F4140000}"/>
    <cellStyle name="Normal 4 77" xfId="3732" xr:uid="{00000000-0005-0000-0000-0000F5140000}"/>
    <cellStyle name="Normal 4 78" xfId="3733" xr:uid="{00000000-0005-0000-0000-0000F6140000}"/>
    <cellStyle name="Normal 4 79" xfId="3734" xr:uid="{00000000-0005-0000-0000-0000F7140000}"/>
    <cellStyle name="Normal 4 8" xfId="3735" xr:uid="{00000000-0005-0000-0000-0000F8140000}"/>
    <cellStyle name="Normal 4 80" xfId="3736" xr:uid="{00000000-0005-0000-0000-0000F9140000}"/>
    <cellStyle name="Normal 4 81" xfId="3737" xr:uid="{00000000-0005-0000-0000-0000FA140000}"/>
    <cellStyle name="Normal 4 82" xfId="3738" xr:uid="{00000000-0005-0000-0000-0000FB140000}"/>
    <cellStyle name="Normal 4 83" xfId="3739" xr:uid="{00000000-0005-0000-0000-0000FC140000}"/>
    <cellStyle name="Normal 4 84" xfId="3740" xr:uid="{00000000-0005-0000-0000-0000FD140000}"/>
    <cellStyle name="Normal 4 85" xfId="3741" xr:uid="{00000000-0005-0000-0000-0000FE140000}"/>
    <cellStyle name="Normal 4 86" xfId="3742" xr:uid="{00000000-0005-0000-0000-0000FF140000}"/>
    <cellStyle name="Normal 4 87" xfId="3743" xr:uid="{00000000-0005-0000-0000-000000150000}"/>
    <cellStyle name="Normal 4 88" xfId="3744" xr:uid="{00000000-0005-0000-0000-000001150000}"/>
    <cellStyle name="Normal 4 89" xfId="3745" xr:uid="{00000000-0005-0000-0000-000002150000}"/>
    <cellStyle name="Normal 4 9" xfId="3746" xr:uid="{00000000-0005-0000-0000-000003150000}"/>
    <cellStyle name="Normal 4 90" xfId="3747" xr:uid="{00000000-0005-0000-0000-000004150000}"/>
    <cellStyle name="Normal 4 91" xfId="3748" xr:uid="{00000000-0005-0000-0000-000005150000}"/>
    <cellStyle name="Normal 4 92" xfId="3749" xr:uid="{00000000-0005-0000-0000-000006150000}"/>
    <cellStyle name="Normal 4 93" xfId="3750" xr:uid="{00000000-0005-0000-0000-000007150000}"/>
    <cellStyle name="Normal 4 94" xfId="3751" xr:uid="{00000000-0005-0000-0000-000008150000}"/>
    <cellStyle name="Normal 4 95" xfId="3752" xr:uid="{00000000-0005-0000-0000-000009150000}"/>
    <cellStyle name="Normal 4 96" xfId="3753" xr:uid="{00000000-0005-0000-0000-00000A150000}"/>
    <cellStyle name="Normal 4 97" xfId="3754" xr:uid="{00000000-0005-0000-0000-00000B150000}"/>
    <cellStyle name="Normal 4 98" xfId="3755" xr:uid="{00000000-0005-0000-0000-00000C150000}"/>
    <cellStyle name="Normal 4 99" xfId="3756" xr:uid="{00000000-0005-0000-0000-00000D150000}"/>
    <cellStyle name="Normal 40" xfId="3757" xr:uid="{00000000-0005-0000-0000-00000E150000}"/>
    <cellStyle name="Normal 41" xfId="3758" xr:uid="{00000000-0005-0000-0000-00000F150000}"/>
    <cellStyle name="Normal 42" xfId="3759" xr:uid="{00000000-0005-0000-0000-000010150000}"/>
    <cellStyle name="Normal 43" xfId="3760" xr:uid="{00000000-0005-0000-0000-000011150000}"/>
    <cellStyle name="Normal 44" xfId="3761" xr:uid="{00000000-0005-0000-0000-000012150000}"/>
    <cellStyle name="Normal 45" xfId="7822" xr:uid="{4D710BB7-CCB7-4E12-AA2A-0E4F4D790B9C}"/>
    <cellStyle name="Normal 45 2" xfId="7828" xr:uid="{DD1DA0E6-3E83-4330-A5BE-4BB074035F8E}"/>
    <cellStyle name="Normal 46" xfId="7825" xr:uid="{A7ED0D53-F97D-444F-8716-0B70C9575231}"/>
    <cellStyle name="Normal 47" xfId="3762" xr:uid="{00000000-0005-0000-0000-000013150000}"/>
    <cellStyle name="Normal 48" xfId="3763" xr:uid="{00000000-0005-0000-0000-000014150000}"/>
    <cellStyle name="Normal 49" xfId="3764" xr:uid="{00000000-0005-0000-0000-000015150000}"/>
    <cellStyle name="Normal 5" xfId="4604" xr:uid="{00000000-0005-0000-0000-000016150000}"/>
    <cellStyle name="Normal 5 2" xfId="4605" xr:uid="{00000000-0005-0000-0000-000017150000}"/>
    <cellStyle name="Normal 5 2 2" xfId="4606" xr:uid="{00000000-0005-0000-0000-000018150000}"/>
    <cellStyle name="Normal 5 2 3" xfId="6215" xr:uid="{00000000-0005-0000-0000-000019150000}"/>
    <cellStyle name="Normal 5 2 4" xfId="7819" xr:uid="{00000000-0005-0000-0000-00001A150000}"/>
    <cellStyle name="Normal 50" xfId="3765" xr:uid="{00000000-0005-0000-0000-00001B150000}"/>
    <cellStyle name="Normal 51" xfId="3766" xr:uid="{00000000-0005-0000-0000-00001C150000}"/>
    <cellStyle name="Normal 52" xfId="3767" xr:uid="{00000000-0005-0000-0000-00001D150000}"/>
    <cellStyle name="Normal 53" xfId="3768" xr:uid="{00000000-0005-0000-0000-00001E150000}"/>
    <cellStyle name="Normal 54" xfId="3769" xr:uid="{00000000-0005-0000-0000-00001F150000}"/>
    <cellStyle name="Normal 55" xfId="3770" xr:uid="{00000000-0005-0000-0000-000020150000}"/>
    <cellStyle name="Normal 56" xfId="3771" xr:uid="{00000000-0005-0000-0000-000021150000}"/>
    <cellStyle name="Normal 57" xfId="3772" xr:uid="{00000000-0005-0000-0000-000022150000}"/>
    <cellStyle name="Normal 58" xfId="3773" xr:uid="{00000000-0005-0000-0000-000023150000}"/>
    <cellStyle name="Normal 59" xfId="3774" xr:uid="{00000000-0005-0000-0000-000024150000}"/>
    <cellStyle name="Normal 6" xfId="3775" xr:uid="{00000000-0005-0000-0000-000025150000}"/>
    <cellStyle name="Normal 60" xfId="3776" xr:uid="{00000000-0005-0000-0000-000026150000}"/>
    <cellStyle name="Normal 61" xfId="3777" xr:uid="{00000000-0005-0000-0000-000027150000}"/>
    <cellStyle name="Normal 62" xfId="3778" xr:uid="{00000000-0005-0000-0000-000028150000}"/>
    <cellStyle name="Normal 63" xfId="3779" xr:uid="{00000000-0005-0000-0000-000029150000}"/>
    <cellStyle name="Normal 64" xfId="3780" xr:uid="{00000000-0005-0000-0000-00002A150000}"/>
    <cellStyle name="Normal 65" xfId="3781" xr:uid="{00000000-0005-0000-0000-00002B150000}"/>
    <cellStyle name="Normal 66" xfId="3782" xr:uid="{00000000-0005-0000-0000-00002C150000}"/>
    <cellStyle name="Normal 67" xfId="3783" xr:uid="{00000000-0005-0000-0000-00002D150000}"/>
    <cellStyle name="Normal 68" xfId="3784" xr:uid="{00000000-0005-0000-0000-00002E150000}"/>
    <cellStyle name="Normal 69" xfId="3785" xr:uid="{00000000-0005-0000-0000-00002F150000}"/>
    <cellStyle name="Normal 7" xfId="3786" xr:uid="{00000000-0005-0000-0000-000030150000}"/>
    <cellStyle name="Normal 7 10" xfId="3787" xr:uid="{00000000-0005-0000-0000-000031150000}"/>
    <cellStyle name="Normal 7 10 2" xfId="3788" xr:uid="{00000000-0005-0000-0000-000032150000}"/>
    <cellStyle name="Normal 7 10 2 2" xfId="5428" xr:uid="{00000000-0005-0000-0000-000033150000}"/>
    <cellStyle name="Normal 7 10 2 3" xfId="7032" xr:uid="{00000000-0005-0000-0000-000034150000}"/>
    <cellStyle name="Normal 7 10 3" xfId="3789" xr:uid="{00000000-0005-0000-0000-000035150000}"/>
    <cellStyle name="Normal 7 10 3 2" xfId="5429" xr:uid="{00000000-0005-0000-0000-000036150000}"/>
    <cellStyle name="Normal 7 10 3 3" xfId="7033" xr:uid="{00000000-0005-0000-0000-000037150000}"/>
    <cellStyle name="Normal 7 10 4" xfId="5427" xr:uid="{00000000-0005-0000-0000-000038150000}"/>
    <cellStyle name="Normal 7 10 5" xfId="7031" xr:uid="{00000000-0005-0000-0000-000039150000}"/>
    <cellStyle name="Normal 7 100" xfId="3790" xr:uid="{00000000-0005-0000-0000-00003A150000}"/>
    <cellStyle name="Normal 7 100 2" xfId="3791" xr:uid="{00000000-0005-0000-0000-00003B150000}"/>
    <cellStyle name="Normal 7 100 2 2" xfId="5431" xr:uid="{00000000-0005-0000-0000-00003C150000}"/>
    <cellStyle name="Normal 7 100 2 3" xfId="7035" xr:uid="{00000000-0005-0000-0000-00003D150000}"/>
    <cellStyle name="Normal 7 100 3" xfId="3792" xr:uid="{00000000-0005-0000-0000-00003E150000}"/>
    <cellStyle name="Normal 7 100 3 2" xfId="5432" xr:uid="{00000000-0005-0000-0000-00003F150000}"/>
    <cellStyle name="Normal 7 100 3 3" xfId="7036" xr:uid="{00000000-0005-0000-0000-000040150000}"/>
    <cellStyle name="Normal 7 100 4" xfId="5430" xr:uid="{00000000-0005-0000-0000-000041150000}"/>
    <cellStyle name="Normal 7 100 5" xfId="7034" xr:uid="{00000000-0005-0000-0000-000042150000}"/>
    <cellStyle name="Normal 7 101" xfId="3793" xr:uid="{00000000-0005-0000-0000-000043150000}"/>
    <cellStyle name="Normal 7 101 2" xfId="3794" xr:uid="{00000000-0005-0000-0000-000044150000}"/>
    <cellStyle name="Normal 7 101 2 2" xfId="5434" xr:uid="{00000000-0005-0000-0000-000045150000}"/>
    <cellStyle name="Normal 7 101 2 3" xfId="7038" xr:uid="{00000000-0005-0000-0000-000046150000}"/>
    <cellStyle name="Normal 7 101 3" xfId="3795" xr:uid="{00000000-0005-0000-0000-000047150000}"/>
    <cellStyle name="Normal 7 101 3 2" xfId="5435" xr:uid="{00000000-0005-0000-0000-000048150000}"/>
    <cellStyle name="Normal 7 101 3 3" xfId="7039" xr:uid="{00000000-0005-0000-0000-000049150000}"/>
    <cellStyle name="Normal 7 101 4" xfId="5433" xr:uid="{00000000-0005-0000-0000-00004A150000}"/>
    <cellStyle name="Normal 7 101 5" xfId="7037" xr:uid="{00000000-0005-0000-0000-00004B150000}"/>
    <cellStyle name="Normal 7 102" xfId="3796" xr:uid="{00000000-0005-0000-0000-00004C150000}"/>
    <cellStyle name="Normal 7 102 2" xfId="3797" xr:uid="{00000000-0005-0000-0000-00004D150000}"/>
    <cellStyle name="Normal 7 102 2 2" xfId="5437" xr:uid="{00000000-0005-0000-0000-00004E150000}"/>
    <cellStyle name="Normal 7 102 2 3" xfId="7041" xr:uid="{00000000-0005-0000-0000-00004F150000}"/>
    <cellStyle name="Normal 7 102 3" xfId="3798" xr:uid="{00000000-0005-0000-0000-000050150000}"/>
    <cellStyle name="Normal 7 102 3 2" xfId="5438" xr:uid="{00000000-0005-0000-0000-000051150000}"/>
    <cellStyle name="Normal 7 102 3 3" xfId="7042" xr:uid="{00000000-0005-0000-0000-000052150000}"/>
    <cellStyle name="Normal 7 102 4" xfId="5436" xr:uid="{00000000-0005-0000-0000-000053150000}"/>
    <cellStyle name="Normal 7 102 5" xfId="7040" xr:uid="{00000000-0005-0000-0000-000054150000}"/>
    <cellStyle name="Normal 7 103" xfId="3799" xr:uid="{00000000-0005-0000-0000-000055150000}"/>
    <cellStyle name="Normal 7 103 2" xfId="3800" xr:uid="{00000000-0005-0000-0000-000056150000}"/>
    <cellStyle name="Normal 7 103 2 2" xfId="5440" xr:uid="{00000000-0005-0000-0000-000057150000}"/>
    <cellStyle name="Normal 7 103 2 3" xfId="7044" xr:uid="{00000000-0005-0000-0000-000058150000}"/>
    <cellStyle name="Normal 7 103 3" xfId="3801" xr:uid="{00000000-0005-0000-0000-000059150000}"/>
    <cellStyle name="Normal 7 103 3 2" xfId="5441" xr:uid="{00000000-0005-0000-0000-00005A150000}"/>
    <cellStyle name="Normal 7 103 3 3" xfId="7045" xr:uid="{00000000-0005-0000-0000-00005B150000}"/>
    <cellStyle name="Normal 7 103 4" xfId="5439" xr:uid="{00000000-0005-0000-0000-00005C150000}"/>
    <cellStyle name="Normal 7 103 5" xfId="7043" xr:uid="{00000000-0005-0000-0000-00005D150000}"/>
    <cellStyle name="Normal 7 104" xfId="3802" xr:uid="{00000000-0005-0000-0000-00005E150000}"/>
    <cellStyle name="Normal 7 104 2" xfId="3803" xr:uid="{00000000-0005-0000-0000-00005F150000}"/>
    <cellStyle name="Normal 7 104 2 2" xfId="5443" xr:uid="{00000000-0005-0000-0000-000060150000}"/>
    <cellStyle name="Normal 7 104 2 3" xfId="7047" xr:uid="{00000000-0005-0000-0000-000061150000}"/>
    <cellStyle name="Normal 7 104 3" xfId="3804" xr:uid="{00000000-0005-0000-0000-000062150000}"/>
    <cellStyle name="Normal 7 104 3 2" xfId="5444" xr:uid="{00000000-0005-0000-0000-000063150000}"/>
    <cellStyle name="Normal 7 104 3 3" xfId="7048" xr:uid="{00000000-0005-0000-0000-000064150000}"/>
    <cellStyle name="Normal 7 104 4" xfId="5442" xr:uid="{00000000-0005-0000-0000-000065150000}"/>
    <cellStyle name="Normal 7 104 5" xfId="7046" xr:uid="{00000000-0005-0000-0000-000066150000}"/>
    <cellStyle name="Normal 7 105" xfId="3805" xr:uid="{00000000-0005-0000-0000-000067150000}"/>
    <cellStyle name="Normal 7 105 2" xfId="3806" xr:uid="{00000000-0005-0000-0000-000068150000}"/>
    <cellStyle name="Normal 7 105 2 2" xfId="5446" xr:uid="{00000000-0005-0000-0000-000069150000}"/>
    <cellStyle name="Normal 7 105 2 3" xfId="7050" xr:uid="{00000000-0005-0000-0000-00006A150000}"/>
    <cellStyle name="Normal 7 105 3" xfId="3807" xr:uid="{00000000-0005-0000-0000-00006B150000}"/>
    <cellStyle name="Normal 7 105 3 2" xfId="5447" xr:uid="{00000000-0005-0000-0000-00006C150000}"/>
    <cellStyle name="Normal 7 105 3 3" xfId="7051" xr:uid="{00000000-0005-0000-0000-00006D150000}"/>
    <cellStyle name="Normal 7 105 4" xfId="5445" xr:uid="{00000000-0005-0000-0000-00006E150000}"/>
    <cellStyle name="Normal 7 105 5" xfId="7049" xr:uid="{00000000-0005-0000-0000-00006F150000}"/>
    <cellStyle name="Normal 7 106" xfId="3808" xr:uid="{00000000-0005-0000-0000-000070150000}"/>
    <cellStyle name="Normal 7 106 2" xfId="3809" xr:uid="{00000000-0005-0000-0000-000071150000}"/>
    <cellStyle name="Normal 7 106 2 2" xfId="5449" xr:uid="{00000000-0005-0000-0000-000072150000}"/>
    <cellStyle name="Normal 7 106 2 3" xfId="7053" xr:uid="{00000000-0005-0000-0000-000073150000}"/>
    <cellStyle name="Normal 7 106 3" xfId="3810" xr:uid="{00000000-0005-0000-0000-000074150000}"/>
    <cellStyle name="Normal 7 106 3 2" xfId="5450" xr:uid="{00000000-0005-0000-0000-000075150000}"/>
    <cellStyle name="Normal 7 106 3 3" xfId="7054" xr:uid="{00000000-0005-0000-0000-000076150000}"/>
    <cellStyle name="Normal 7 106 4" xfId="5448" xr:uid="{00000000-0005-0000-0000-000077150000}"/>
    <cellStyle name="Normal 7 106 5" xfId="7052" xr:uid="{00000000-0005-0000-0000-000078150000}"/>
    <cellStyle name="Normal 7 107" xfId="3811" xr:uid="{00000000-0005-0000-0000-000079150000}"/>
    <cellStyle name="Normal 7 107 2" xfId="3812" xr:uid="{00000000-0005-0000-0000-00007A150000}"/>
    <cellStyle name="Normal 7 107 2 2" xfId="5452" xr:uid="{00000000-0005-0000-0000-00007B150000}"/>
    <cellStyle name="Normal 7 107 2 3" xfId="7056" xr:uid="{00000000-0005-0000-0000-00007C150000}"/>
    <cellStyle name="Normal 7 107 3" xfId="3813" xr:uid="{00000000-0005-0000-0000-00007D150000}"/>
    <cellStyle name="Normal 7 107 3 2" xfId="5453" xr:uid="{00000000-0005-0000-0000-00007E150000}"/>
    <cellStyle name="Normal 7 107 3 3" xfId="7057" xr:uid="{00000000-0005-0000-0000-00007F150000}"/>
    <cellStyle name="Normal 7 107 4" xfId="5451" xr:uid="{00000000-0005-0000-0000-000080150000}"/>
    <cellStyle name="Normal 7 107 5" xfId="7055" xr:uid="{00000000-0005-0000-0000-000081150000}"/>
    <cellStyle name="Normal 7 108" xfId="3814" xr:uid="{00000000-0005-0000-0000-000082150000}"/>
    <cellStyle name="Normal 7 108 2" xfId="3815" xr:uid="{00000000-0005-0000-0000-000083150000}"/>
    <cellStyle name="Normal 7 108 2 2" xfId="5455" xr:uid="{00000000-0005-0000-0000-000084150000}"/>
    <cellStyle name="Normal 7 108 2 3" xfId="7059" xr:uid="{00000000-0005-0000-0000-000085150000}"/>
    <cellStyle name="Normal 7 108 3" xfId="3816" xr:uid="{00000000-0005-0000-0000-000086150000}"/>
    <cellStyle name="Normal 7 108 3 2" xfId="5456" xr:uid="{00000000-0005-0000-0000-000087150000}"/>
    <cellStyle name="Normal 7 108 3 3" xfId="7060" xr:uid="{00000000-0005-0000-0000-000088150000}"/>
    <cellStyle name="Normal 7 108 4" xfId="5454" xr:uid="{00000000-0005-0000-0000-000089150000}"/>
    <cellStyle name="Normal 7 108 5" xfId="7058" xr:uid="{00000000-0005-0000-0000-00008A150000}"/>
    <cellStyle name="Normal 7 109" xfId="3817" xr:uid="{00000000-0005-0000-0000-00008B150000}"/>
    <cellStyle name="Normal 7 109 2" xfId="3818" xr:uid="{00000000-0005-0000-0000-00008C150000}"/>
    <cellStyle name="Normal 7 109 2 2" xfId="5458" xr:uid="{00000000-0005-0000-0000-00008D150000}"/>
    <cellStyle name="Normal 7 109 2 3" xfId="7062" xr:uid="{00000000-0005-0000-0000-00008E150000}"/>
    <cellStyle name="Normal 7 109 3" xfId="3819" xr:uid="{00000000-0005-0000-0000-00008F150000}"/>
    <cellStyle name="Normal 7 109 3 2" xfId="5459" xr:uid="{00000000-0005-0000-0000-000090150000}"/>
    <cellStyle name="Normal 7 109 3 3" xfId="7063" xr:uid="{00000000-0005-0000-0000-000091150000}"/>
    <cellStyle name="Normal 7 109 4" xfId="5457" xr:uid="{00000000-0005-0000-0000-000092150000}"/>
    <cellStyle name="Normal 7 109 5" xfId="7061" xr:uid="{00000000-0005-0000-0000-000093150000}"/>
    <cellStyle name="Normal 7 11" xfId="3820" xr:uid="{00000000-0005-0000-0000-000094150000}"/>
    <cellStyle name="Normal 7 11 2" xfId="3821" xr:uid="{00000000-0005-0000-0000-000095150000}"/>
    <cellStyle name="Normal 7 11 2 2" xfId="5461" xr:uid="{00000000-0005-0000-0000-000096150000}"/>
    <cellStyle name="Normal 7 11 2 3" xfId="7065" xr:uid="{00000000-0005-0000-0000-000097150000}"/>
    <cellStyle name="Normal 7 11 3" xfId="3822" xr:uid="{00000000-0005-0000-0000-000098150000}"/>
    <cellStyle name="Normal 7 11 3 2" xfId="5462" xr:uid="{00000000-0005-0000-0000-000099150000}"/>
    <cellStyle name="Normal 7 11 3 3" xfId="7066" xr:uid="{00000000-0005-0000-0000-00009A150000}"/>
    <cellStyle name="Normal 7 11 4" xfId="5460" xr:uid="{00000000-0005-0000-0000-00009B150000}"/>
    <cellStyle name="Normal 7 11 5" xfId="7064" xr:uid="{00000000-0005-0000-0000-00009C150000}"/>
    <cellStyle name="Normal 7 110" xfId="3823" xr:uid="{00000000-0005-0000-0000-00009D150000}"/>
    <cellStyle name="Normal 7 110 2" xfId="3824" xr:uid="{00000000-0005-0000-0000-00009E150000}"/>
    <cellStyle name="Normal 7 110 2 2" xfId="5464" xr:uid="{00000000-0005-0000-0000-00009F150000}"/>
    <cellStyle name="Normal 7 110 2 3" xfId="7068" xr:uid="{00000000-0005-0000-0000-0000A0150000}"/>
    <cellStyle name="Normal 7 110 3" xfId="3825" xr:uid="{00000000-0005-0000-0000-0000A1150000}"/>
    <cellStyle name="Normal 7 110 3 2" xfId="5465" xr:uid="{00000000-0005-0000-0000-0000A2150000}"/>
    <cellStyle name="Normal 7 110 3 3" xfId="7069" xr:uid="{00000000-0005-0000-0000-0000A3150000}"/>
    <cellStyle name="Normal 7 110 4" xfId="5463" xr:uid="{00000000-0005-0000-0000-0000A4150000}"/>
    <cellStyle name="Normal 7 110 5" xfId="7067" xr:uid="{00000000-0005-0000-0000-0000A5150000}"/>
    <cellStyle name="Normal 7 111" xfId="3826" xr:uid="{00000000-0005-0000-0000-0000A6150000}"/>
    <cellStyle name="Normal 7 111 2" xfId="3827" xr:uid="{00000000-0005-0000-0000-0000A7150000}"/>
    <cellStyle name="Normal 7 111 2 2" xfId="5467" xr:uid="{00000000-0005-0000-0000-0000A8150000}"/>
    <cellStyle name="Normal 7 111 2 3" xfId="7071" xr:uid="{00000000-0005-0000-0000-0000A9150000}"/>
    <cellStyle name="Normal 7 111 3" xfId="3828" xr:uid="{00000000-0005-0000-0000-0000AA150000}"/>
    <cellStyle name="Normal 7 111 3 2" xfId="5468" xr:uid="{00000000-0005-0000-0000-0000AB150000}"/>
    <cellStyle name="Normal 7 111 3 3" xfId="7072" xr:uid="{00000000-0005-0000-0000-0000AC150000}"/>
    <cellStyle name="Normal 7 111 4" xfId="5466" xr:uid="{00000000-0005-0000-0000-0000AD150000}"/>
    <cellStyle name="Normal 7 111 5" xfId="7070" xr:uid="{00000000-0005-0000-0000-0000AE150000}"/>
    <cellStyle name="Normal 7 112" xfId="3829" xr:uid="{00000000-0005-0000-0000-0000AF150000}"/>
    <cellStyle name="Normal 7 112 2" xfId="3830" xr:uid="{00000000-0005-0000-0000-0000B0150000}"/>
    <cellStyle name="Normal 7 112 2 2" xfId="5470" xr:uid="{00000000-0005-0000-0000-0000B1150000}"/>
    <cellStyle name="Normal 7 112 2 3" xfId="7074" xr:uid="{00000000-0005-0000-0000-0000B2150000}"/>
    <cellStyle name="Normal 7 112 3" xfId="3831" xr:uid="{00000000-0005-0000-0000-0000B3150000}"/>
    <cellStyle name="Normal 7 112 3 2" xfId="5471" xr:uid="{00000000-0005-0000-0000-0000B4150000}"/>
    <cellStyle name="Normal 7 112 3 3" xfId="7075" xr:uid="{00000000-0005-0000-0000-0000B5150000}"/>
    <cellStyle name="Normal 7 112 4" xfId="5469" xr:uid="{00000000-0005-0000-0000-0000B6150000}"/>
    <cellStyle name="Normal 7 112 5" xfId="7073" xr:uid="{00000000-0005-0000-0000-0000B7150000}"/>
    <cellStyle name="Normal 7 113" xfId="3832" xr:uid="{00000000-0005-0000-0000-0000B8150000}"/>
    <cellStyle name="Normal 7 113 2" xfId="3833" xr:uid="{00000000-0005-0000-0000-0000B9150000}"/>
    <cellStyle name="Normal 7 113 2 2" xfId="5473" xr:uid="{00000000-0005-0000-0000-0000BA150000}"/>
    <cellStyle name="Normal 7 113 2 3" xfId="7077" xr:uid="{00000000-0005-0000-0000-0000BB150000}"/>
    <cellStyle name="Normal 7 113 3" xfId="3834" xr:uid="{00000000-0005-0000-0000-0000BC150000}"/>
    <cellStyle name="Normal 7 113 3 2" xfId="5474" xr:uid="{00000000-0005-0000-0000-0000BD150000}"/>
    <cellStyle name="Normal 7 113 3 3" xfId="7078" xr:uid="{00000000-0005-0000-0000-0000BE150000}"/>
    <cellStyle name="Normal 7 113 4" xfId="5472" xr:uid="{00000000-0005-0000-0000-0000BF150000}"/>
    <cellStyle name="Normal 7 113 5" xfId="7076" xr:uid="{00000000-0005-0000-0000-0000C0150000}"/>
    <cellStyle name="Normal 7 114" xfId="3835" xr:uid="{00000000-0005-0000-0000-0000C1150000}"/>
    <cellStyle name="Normal 7 114 2" xfId="3836" xr:uid="{00000000-0005-0000-0000-0000C2150000}"/>
    <cellStyle name="Normal 7 114 2 2" xfId="5476" xr:uid="{00000000-0005-0000-0000-0000C3150000}"/>
    <cellStyle name="Normal 7 114 2 3" xfId="7080" xr:uid="{00000000-0005-0000-0000-0000C4150000}"/>
    <cellStyle name="Normal 7 114 3" xfId="3837" xr:uid="{00000000-0005-0000-0000-0000C5150000}"/>
    <cellStyle name="Normal 7 114 3 2" xfId="5477" xr:uid="{00000000-0005-0000-0000-0000C6150000}"/>
    <cellStyle name="Normal 7 114 3 3" xfId="7081" xr:uid="{00000000-0005-0000-0000-0000C7150000}"/>
    <cellStyle name="Normal 7 114 4" xfId="5475" xr:uid="{00000000-0005-0000-0000-0000C8150000}"/>
    <cellStyle name="Normal 7 114 5" xfId="7079" xr:uid="{00000000-0005-0000-0000-0000C9150000}"/>
    <cellStyle name="Normal 7 115" xfId="3838" xr:uid="{00000000-0005-0000-0000-0000CA150000}"/>
    <cellStyle name="Normal 7 115 2" xfId="3839" xr:uid="{00000000-0005-0000-0000-0000CB150000}"/>
    <cellStyle name="Normal 7 115 2 2" xfId="5479" xr:uid="{00000000-0005-0000-0000-0000CC150000}"/>
    <cellStyle name="Normal 7 115 2 3" xfId="7083" xr:uid="{00000000-0005-0000-0000-0000CD150000}"/>
    <cellStyle name="Normal 7 115 3" xfId="3840" xr:uid="{00000000-0005-0000-0000-0000CE150000}"/>
    <cellStyle name="Normal 7 115 3 2" xfId="5480" xr:uid="{00000000-0005-0000-0000-0000CF150000}"/>
    <cellStyle name="Normal 7 115 3 3" xfId="7084" xr:uid="{00000000-0005-0000-0000-0000D0150000}"/>
    <cellStyle name="Normal 7 115 4" xfId="5478" xr:uid="{00000000-0005-0000-0000-0000D1150000}"/>
    <cellStyle name="Normal 7 115 5" xfId="7082" xr:uid="{00000000-0005-0000-0000-0000D2150000}"/>
    <cellStyle name="Normal 7 116" xfId="3841" xr:uid="{00000000-0005-0000-0000-0000D3150000}"/>
    <cellStyle name="Normal 7 116 2" xfId="3842" xr:uid="{00000000-0005-0000-0000-0000D4150000}"/>
    <cellStyle name="Normal 7 116 2 2" xfId="5482" xr:uid="{00000000-0005-0000-0000-0000D5150000}"/>
    <cellStyle name="Normal 7 116 2 3" xfId="7086" xr:uid="{00000000-0005-0000-0000-0000D6150000}"/>
    <cellStyle name="Normal 7 116 3" xfId="3843" xr:uid="{00000000-0005-0000-0000-0000D7150000}"/>
    <cellStyle name="Normal 7 116 3 2" xfId="5483" xr:uid="{00000000-0005-0000-0000-0000D8150000}"/>
    <cellStyle name="Normal 7 116 3 3" xfId="7087" xr:uid="{00000000-0005-0000-0000-0000D9150000}"/>
    <cellStyle name="Normal 7 116 4" xfId="5481" xr:uid="{00000000-0005-0000-0000-0000DA150000}"/>
    <cellStyle name="Normal 7 116 5" xfId="7085" xr:uid="{00000000-0005-0000-0000-0000DB150000}"/>
    <cellStyle name="Normal 7 117" xfId="3844" xr:uid="{00000000-0005-0000-0000-0000DC150000}"/>
    <cellStyle name="Normal 7 117 2" xfId="5484" xr:uid="{00000000-0005-0000-0000-0000DD150000}"/>
    <cellStyle name="Normal 7 117 3" xfId="7088" xr:uid="{00000000-0005-0000-0000-0000DE150000}"/>
    <cellStyle name="Normal 7 118" xfId="3845" xr:uid="{00000000-0005-0000-0000-0000DF150000}"/>
    <cellStyle name="Normal 7 118 2" xfId="5485" xr:uid="{00000000-0005-0000-0000-0000E0150000}"/>
    <cellStyle name="Normal 7 118 3" xfId="7089" xr:uid="{00000000-0005-0000-0000-0000E1150000}"/>
    <cellStyle name="Normal 7 119" xfId="5426" xr:uid="{00000000-0005-0000-0000-0000E2150000}"/>
    <cellStyle name="Normal 7 12" xfId="3846" xr:uid="{00000000-0005-0000-0000-0000E3150000}"/>
    <cellStyle name="Normal 7 12 2" xfId="3847" xr:uid="{00000000-0005-0000-0000-0000E4150000}"/>
    <cellStyle name="Normal 7 12 2 2" xfId="5487" xr:uid="{00000000-0005-0000-0000-0000E5150000}"/>
    <cellStyle name="Normal 7 12 2 3" xfId="7091" xr:uid="{00000000-0005-0000-0000-0000E6150000}"/>
    <cellStyle name="Normal 7 12 3" xfId="3848" xr:uid="{00000000-0005-0000-0000-0000E7150000}"/>
    <cellStyle name="Normal 7 12 3 2" xfId="5488" xr:uid="{00000000-0005-0000-0000-0000E8150000}"/>
    <cellStyle name="Normal 7 12 3 3" xfId="7092" xr:uid="{00000000-0005-0000-0000-0000E9150000}"/>
    <cellStyle name="Normal 7 12 4" xfId="5486" xr:uid="{00000000-0005-0000-0000-0000EA150000}"/>
    <cellStyle name="Normal 7 12 5" xfId="7090" xr:uid="{00000000-0005-0000-0000-0000EB150000}"/>
    <cellStyle name="Normal 7 120" xfId="7030" xr:uid="{00000000-0005-0000-0000-0000EC150000}"/>
    <cellStyle name="Normal 7 13" xfId="3849" xr:uid="{00000000-0005-0000-0000-0000ED150000}"/>
    <cellStyle name="Normal 7 13 2" xfId="3850" xr:uid="{00000000-0005-0000-0000-0000EE150000}"/>
    <cellStyle name="Normal 7 13 2 2" xfId="5490" xr:uid="{00000000-0005-0000-0000-0000EF150000}"/>
    <cellStyle name="Normal 7 13 2 3" xfId="7094" xr:uid="{00000000-0005-0000-0000-0000F0150000}"/>
    <cellStyle name="Normal 7 13 3" xfId="3851" xr:uid="{00000000-0005-0000-0000-0000F1150000}"/>
    <cellStyle name="Normal 7 13 3 2" xfId="5491" xr:uid="{00000000-0005-0000-0000-0000F2150000}"/>
    <cellStyle name="Normal 7 13 3 3" xfId="7095" xr:uid="{00000000-0005-0000-0000-0000F3150000}"/>
    <cellStyle name="Normal 7 13 4" xfId="5489" xr:uid="{00000000-0005-0000-0000-0000F4150000}"/>
    <cellStyle name="Normal 7 13 5" xfId="7093" xr:uid="{00000000-0005-0000-0000-0000F5150000}"/>
    <cellStyle name="Normal 7 14" xfId="3852" xr:uid="{00000000-0005-0000-0000-0000F6150000}"/>
    <cellStyle name="Normal 7 14 2" xfId="3853" xr:uid="{00000000-0005-0000-0000-0000F7150000}"/>
    <cellStyle name="Normal 7 14 2 2" xfId="5493" xr:uid="{00000000-0005-0000-0000-0000F8150000}"/>
    <cellStyle name="Normal 7 14 2 3" xfId="7097" xr:uid="{00000000-0005-0000-0000-0000F9150000}"/>
    <cellStyle name="Normal 7 14 3" xfId="3854" xr:uid="{00000000-0005-0000-0000-0000FA150000}"/>
    <cellStyle name="Normal 7 14 3 2" xfId="5494" xr:uid="{00000000-0005-0000-0000-0000FB150000}"/>
    <cellStyle name="Normal 7 14 3 3" xfId="7098" xr:uid="{00000000-0005-0000-0000-0000FC150000}"/>
    <cellStyle name="Normal 7 14 4" xfId="5492" xr:uid="{00000000-0005-0000-0000-0000FD150000}"/>
    <cellStyle name="Normal 7 14 5" xfId="7096" xr:uid="{00000000-0005-0000-0000-0000FE150000}"/>
    <cellStyle name="Normal 7 15" xfId="3855" xr:uid="{00000000-0005-0000-0000-0000FF150000}"/>
    <cellStyle name="Normal 7 15 2" xfId="3856" xr:uid="{00000000-0005-0000-0000-000000160000}"/>
    <cellStyle name="Normal 7 15 2 2" xfId="5496" xr:uid="{00000000-0005-0000-0000-000001160000}"/>
    <cellStyle name="Normal 7 15 2 3" xfId="7100" xr:uid="{00000000-0005-0000-0000-000002160000}"/>
    <cellStyle name="Normal 7 15 3" xfId="3857" xr:uid="{00000000-0005-0000-0000-000003160000}"/>
    <cellStyle name="Normal 7 15 3 2" xfId="5497" xr:uid="{00000000-0005-0000-0000-000004160000}"/>
    <cellStyle name="Normal 7 15 3 3" xfId="7101" xr:uid="{00000000-0005-0000-0000-000005160000}"/>
    <cellStyle name="Normal 7 15 4" xfId="5495" xr:uid="{00000000-0005-0000-0000-000006160000}"/>
    <cellStyle name="Normal 7 15 5" xfId="7099" xr:uid="{00000000-0005-0000-0000-000007160000}"/>
    <cellStyle name="Normal 7 16" xfId="3858" xr:uid="{00000000-0005-0000-0000-000008160000}"/>
    <cellStyle name="Normal 7 16 2" xfId="3859" xr:uid="{00000000-0005-0000-0000-000009160000}"/>
    <cellStyle name="Normal 7 16 2 2" xfId="5499" xr:uid="{00000000-0005-0000-0000-00000A160000}"/>
    <cellStyle name="Normal 7 16 2 3" xfId="7103" xr:uid="{00000000-0005-0000-0000-00000B160000}"/>
    <cellStyle name="Normal 7 16 3" xfId="3860" xr:uid="{00000000-0005-0000-0000-00000C160000}"/>
    <cellStyle name="Normal 7 16 3 2" xfId="5500" xr:uid="{00000000-0005-0000-0000-00000D160000}"/>
    <cellStyle name="Normal 7 16 3 3" xfId="7104" xr:uid="{00000000-0005-0000-0000-00000E160000}"/>
    <cellStyle name="Normal 7 16 4" xfId="5498" xr:uid="{00000000-0005-0000-0000-00000F160000}"/>
    <cellStyle name="Normal 7 16 5" xfId="7102" xr:uid="{00000000-0005-0000-0000-000010160000}"/>
    <cellStyle name="Normal 7 17" xfId="3861" xr:uid="{00000000-0005-0000-0000-000011160000}"/>
    <cellStyle name="Normal 7 17 2" xfId="3862" xr:uid="{00000000-0005-0000-0000-000012160000}"/>
    <cellStyle name="Normal 7 17 2 2" xfId="5502" xr:uid="{00000000-0005-0000-0000-000013160000}"/>
    <cellStyle name="Normal 7 17 2 3" xfId="7106" xr:uid="{00000000-0005-0000-0000-000014160000}"/>
    <cellStyle name="Normal 7 17 3" xfId="3863" xr:uid="{00000000-0005-0000-0000-000015160000}"/>
    <cellStyle name="Normal 7 17 3 2" xfId="5503" xr:uid="{00000000-0005-0000-0000-000016160000}"/>
    <cellStyle name="Normal 7 17 3 3" xfId="7107" xr:uid="{00000000-0005-0000-0000-000017160000}"/>
    <cellStyle name="Normal 7 17 4" xfId="5501" xr:uid="{00000000-0005-0000-0000-000018160000}"/>
    <cellStyle name="Normal 7 17 5" xfId="7105" xr:uid="{00000000-0005-0000-0000-000019160000}"/>
    <cellStyle name="Normal 7 18" xfId="3864" xr:uid="{00000000-0005-0000-0000-00001A160000}"/>
    <cellStyle name="Normal 7 18 2" xfId="3865" xr:uid="{00000000-0005-0000-0000-00001B160000}"/>
    <cellStyle name="Normal 7 18 2 2" xfId="5505" xr:uid="{00000000-0005-0000-0000-00001C160000}"/>
    <cellStyle name="Normal 7 18 2 3" xfId="7109" xr:uid="{00000000-0005-0000-0000-00001D160000}"/>
    <cellStyle name="Normal 7 18 3" xfId="3866" xr:uid="{00000000-0005-0000-0000-00001E160000}"/>
    <cellStyle name="Normal 7 18 3 2" xfId="5506" xr:uid="{00000000-0005-0000-0000-00001F160000}"/>
    <cellStyle name="Normal 7 18 3 3" xfId="7110" xr:uid="{00000000-0005-0000-0000-000020160000}"/>
    <cellStyle name="Normal 7 18 4" xfId="5504" xr:uid="{00000000-0005-0000-0000-000021160000}"/>
    <cellStyle name="Normal 7 18 5" xfId="7108" xr:uid="{00000000-0005-0000-0000-000022160000}"/>
    <cellStyle name="Normal 7 19" xfId="3867" xr:uid="{00000000-0005-0000-0000-000023160000}"/>
    <cellStyle name="Normal 7 19 2" xfId="3868" xr:uid="{00000000-0005-0000-0000-000024160000}"/>
    <cellStyle name="Normal 7 19 2 2" xfId="5508" xr:uid="{00000000-0005-0000-0000-000025160000}"/>
    <cellStyle name="Normal 7 19 2 3" xfId="7112" xr:uid="{00000000-0005-0000-0000-000026160000}"/>
    <cellStyle name="Normal 7 19 3" xfId="3869" xr:uid="{00000000-0005-0000-0000-000027160000}"/>
    <cellStyle name="Normal 7 19 3 2" xfId="5509" xr:uid="{00000000-0005-0000-0000-000028160000}"/>
    <cellStyle name="Normal 7 19 3 3" xfId="7113" xr:uid="{00000000-0005-0000-0000-000029160000}"/>
    <cellStyle name="Normal 7 19 4" xfId="5507" xr:uid="{00000000-0005-0000-0000-00002A160000}"/>
    <cellStyle name="Normal 7 19 5" xfId="7111" xr:uid="{00000000-0005-0000-0000-00002B160000}"/>
    <cellStyle name="Normal 7 2" xfId="3870" xr:uid="{00000000-0005-0000-0000-00002C160000}"/>
    <cellStyle name="Normal 7 2 2" xfId="3871" xr:uid="{00000000-0005-0000-0000-00002D160000}"/>
    <cellStyle name="Normal 7 2 2 2" xfId="5511" xr:uid="{00000000-0005-0000-0000-00002E160000}"/>
    <cellStyle name="Normal 7 2 2 3" xfId="7115" xr:uid="{00000000-0005-0000-0000-00002F160000}"/>
    <cellStyle name="Normal 7 2 3" xfId="3872" xr:uid="{00000000-0005-0000-0000-000030160000}"/>
    <cellStyle name="Normal 7 2 3 2" xfId="5512" xr:uid="{00000000-0005-0000-0000-000031160000}"/>
    <cellStyle name="Normal 7 2 3 3" xfId="7116" xr:uid="{00000000-0005-0000-0000-000032160000}"/>
    <cellStyle name="Normal 7 2 4" xfId="5510" xr:uid="{00000000-0005-0000-0000-000033160000}"/>
    <cellStyle name="Normal 7 2 5" xfId="7114" xr:uid="{00000000-0005-0000-0000-000034160000}"/>
    <cellStyle name="Normal 7 20" xfId="3873" xr:uid="{00000000-0005-0000-0000-000035160000}"/>
    <cellStyle name="Normal 7 20 2" xfId="3874" xr:uid="{00000000-0005-0000-0000-000036160000}"/>
    <cellStyle name="Normal 7 20 2 2" xfId="5514" xr:uid="{00000000-0005-0000-0000-000037160000}"/>
    <cellStyle name="Normal 7 20 2 3" xfId="7118" xr:uid="{00000000-0005-0000-0000-000038160000}"/>
    <cellStyle name="Normal 7 20 3" xfId="3875" xr:uid="{00000000-0005-0000-0000-000039160000}"/>
    <cellStyle name="Normal 7 20 3 2" xfId="5515" xr:uid="{00000000-0005-0000-0000-00003A160000}"/>
    <cellStyle name="Normal 7 20 3 3" xfId="7119" xr:uid="{00000000-0005-0000-0000-00003B160000}"/>
    <cellStyle name="Normal 7 20 4" xfId="5513" xr:uid="{00000000-0005-0000-0000-00003C160000}"/>
    <cellStyle name="Normal 7 20 5" xfId="7117" xr:uid="{00000000-0005-0000-0000-00003D160000}"/>
    <cellStyle name="Normal 7 21" xfId="3876" xr:uid="{00000000-0005-0000-0000-00003E160000}"/>
    <cellStyle name="Normal 7 21 2" xfId="3877" xr:uid="{00000000-0005-0000-0000-00003F160000}"/>
    <cellStyle name="Normal 7 21 2 2" xfId="5517" xr:uid="{00000000-0005-0000-0000-000040160000}"/>
    <cellStyle name="Normal 7 21 2 3" xfId="7121" xr:uid="{00000000-0005-0000-0000-000041160000}"/>
    <cellStyle name="Normal 7 21 3" xfId="3878" xr:uid="{00000000-0005-0000-0000-000042160000}"/>
    <cellStyle name="Normal 7 21 3 2" xfId="5518" xr:uid="{00000000-0005-0000-0000-000043160000}"/>
    <cellStyle name="Normal 7 21 3 3" xfId="7122" xr:uid="{00000000-0005-0000-0000-000044160000}"/>
    <cellStyle name="Normal 7 21 4" xfId="5516" xr:uid="{00000000-0005-0000-0000-000045160000}"/>
    <cellStyle name="Normal 7 21 5" xfId="7120" xr:uid="{00000000-0005-0000-0000-000046160000}"/>
    <cellStyle name="Normal 7 22" xfId="3879" xr:uid="{00000000-0005-0000-0000-000047160000}"/>
    <cellStyle name="Normal 7 22 2" xfId="3880" xr:uid="{00000000-0005-0000-0000-000048160000}"/>
    <cellStyle name="Normal 7 22 2 2" xfId="5520" xr:uid="{00000000-0005-0000-0000-000049160000}"/>
    <cellStyle name="Normal 7 22 2 3" xfId="7124" xr:uid="{00000000-0005-0000-0000-00004A160000}"/>
    <cellStyle name="Normal 7 22 3" xfId="3881" xr:uid="{00000000-0005-0000-0000-00004B160000}"/>
    <cellStyle name="Normal 7 22 3 2" xfId="5521" xr:uid="{00000000-0005-0000-0000-00004C160000}"/>
    <cellStyle name="Normal 7 22 3 3" xfId="7125" xr:uid="{00000000-0005-0000-0000-00004D160000}"/>
    <cellStyle name="Normal 7 22 4" xfId="5519" xr:uid="{00000000-0005-0000-0000-00004E160000}"/>
    <cellStyle name="Normal 7 22 5" xfId="7123" xr:uid="{00000000-0005-0000-0000-00004F160000}"/>
    <cellStyle name="Normal 7 23" xfId="3882" xr:uid="{00000000-0005-0000-0000-000050160000}"/>
    <cellStyle name="Normal 7 23 2" xfId="3883" xr:uid="{00000000-0005-0000-0000-000051160000}"/>
    <cellStyle name="Normal 7 23 2 2" xfId="5523" xr:uid="{00000000-0005-0000-0000-000052160000}"/>
    <cellStyle name="Normal 7 23 2 3" xfId="7127" xr:uid="{00000000-0005-0000-0000-000053160000}"/>
    <cellStyle name="Normal 7 23 3" xfId="3884" xr:uid="{00000000-0005-0000-0000-000054160000}"/>
    <cellStyle name="Normal 7 23 3 2" xfId="5524" xr:uid="{00000000-0005-0000-0000-000055160000}"/>
    <cellStyle name="Normal 7 23 3 3" xfId="7128" xr:uid="{00000000-0005-0000-0000-000056160000}"/>
    <cellStyle name="Normal 7 23 4" xfId="5522" xr:uid="{00000000-0005-0000-0000-000057160000}"/>
    <cellStyle name="Normal 7 23 5" xfId="7126" xr:uid="{00000000-0005-0000-0000-000058160000}"/>
    <cellStyle name="Normal 7 24" xfId="3885" xr:uid="{00000000-0005-0000-0000-000059160000}"/>
    <cellStyle name="Normal 7 24 2" xfId="3886" xr:uid="{00000000-0005-0000-0000-00005A160000}"/>
    <cellStyle name="Normal 7 24 2 2" xfId="5526" xr:uid="{00000000-0005-0000-0000-00005B160000}"/>
    <cellStyle name="Normal 7 24 2 3" xfId="7130" xr:uid="{00000000-0005-0000-0000-00005C160000}"/>
    <cellStyle name="Normal 7 24 3" xfId="3887" xr:uid="{00000000-0005-0000-0000-00005D160000}"/>
    <cellStyle name="Normal 7 24 3 2" xfId="5527" xr:uid="{00000000-0005-0000-0000-00005E160000}"/>
    <cellStyle name="Normal 7 24 3 3" xfId="7131" xr:uid="{00000000-0005-0000-0000-00005F160000}"/>
    <cellStyle name="Normal 7 24 4" xfId="5525" xr:uid="{00000000-0005-0000-0000-000060160000}"/>
    <cellStyle name="Normal 7 24 5" xfId="7129" xr:uid="{00000000-0005-0000-0000-000061160000}"/>
    <cellStyle name="Normal 7 25" xfId="3888" xr:uid="{00000000-0005-0000-0000-000062160000}"/>
    <cellStyle name="Normal 7 25 2" xfId="3889" xr:uid="{00000000-0005-0000-0000-000063160000}"/>
    <cellStyle name="Normal 7 25 2 2" xfId="5529" xr:uid="{00000000-0005-0000-0000-000064160000}"/>
    <cellStyle name="Normal 7 25 2 3" xfId="7133" xr:uid="{00000000-0005-0000-0000-000065160000}"/>
    <cellStyle name="Normal 7 25 3" xfId="3890" xr:uid="{00000000-0005-0000-0000-000066160000}"/>
    <cellStyle name="Normal 7 25 3 2" xfId="5530" xr:uid="{00000000-0005-0000-0000-000067160000}"/>
    <cellStyle name="Normal 7 25 3 3" xfId="7134" xr:uid="{00000000-0005-0000-0000-000068160000}"/>
    <cellStyle name="Normal 7 25 4" xfId="5528" xr:uid="{00000000-0005-0000-0000-000069160000}"/>
    <cellStyle name="Normal 7 25 5" xfId="7132" xr:uid="{00000000-0005-0000-0000-00006A160000}"/>
    <cellStyle name="Normal 7 26" xfId="3891" xr:uid="{00000000-0005-0000-0000-00006B160000}"/>
    <cellStyle name="Normal 7 26 2" xfId="3892" xr:uid="{00000000-0005-0000-0000-00006C160000}"/>
    <cellStyle name="Normal 7 26 2 2" xfId="5532" xr:uid="{00000000-0005-0000-0000-00006D160000}"/>
    <cellStyle name="Normal 7 26 2 3" xfId="7136" xr:uid="{00000000-0005-0000-0000-00006E160000}"/>
    <cellStyle name="Normal 7 26 3" xfId="3893" xr:uid="{00000000-0005-0000-0000-00006F160000}"/>
    <cellStyle name="Normal 7 26 3 2" xfId="5533" xr:uid="{00000000-0005-0000-0000-000070160000}"/>
    <cellStyle name="Normal 7 26 3 3" xfId="7137" xr:uid="{00000000-0005-0000-0000-000071160000}"/>
    <cellStyle name="Normal 7 26 4" xfId="5531" xr:uid="{00000000-0005-0000-0000-000072160000}"/>
    <cellStyle name="Normal 7 26 5" xfId="7135" xr:uid="{00000000-0005-0000-0000-000073160000}"/>
    <cellStyle name="Normal 7 27" xfId="3894" xr:uid="{00000000-0005-0000-0000-000074160000}"/>
    <cellStyle name="Normal 7 27 2" xfId="3895" xr:uid="{00000000-0005-0000-0000-000075160000}"/>
    <cellStyle name="Normal 7 27 2 2" xfId="5535" xr:uid="{00000000-0005-0000-0000-000076160000}"/>
    <cellStyle name="Normal 7 27 2 3" xfId="7139" xr:uid="{00000000-0005-0000-0000-000077160000}"/>
    <cellStyle name="Normal 7 27 3" xfId="3896" xr:uid="{00000000-0005-0000-0000-000078160000}"/>
    <cellStyle name="Normal 7 27 3 2" xfId="5536" xr:uid="{00000000-0005-0000-0000-000079160000}"/>
    <cellStyle name="Normal 7 27 3 3" xfId="7140" xr:uid="{00000000-0005-0000-0000-00007A160000}"/>
    <cellStyle name="Normal 7 27 4" xfId="5534" xr:uid="{00000000-0005-0000-0000-00007B160000}"/>
    <cellStyle name="Normal 7 27 5" xfId="7138" xr:uid="{00000000-0005-0000-0000-00007C160000}"/>
    <cellStyle name="Normal 7 28" xfId="3897" xr:uid="{00000000-0005-0000-0000-00007D160000}"/>
    <cellStyle name="Normal 7 28 2" xfId="3898" xr:uid="{00000000-0005-0000-0000-00007E160000}"/>
    <cellStyle name="Normal 7 28 2 2" xfId="5538" xr:uid="{00000000-0005-0000-0000-00007F160000}"/>
    <cellStyle name="Normal 7 28 2 3" xfId="7142" xr:uid="{00000000-0005-0000-0000-000080160000}"/>
    <cellStyle name="Normal 7 28 3" xfId="3899" xr:uid="{00000000-0005-0000-0000-000081160000}"/>
    <cellStyle name="Normal 7 28 3 2" xfId="5539" xr:uid="{00000000-0005-0000-0000-000082160000}"/>
    <cellStyle name="Normal 7 28 3 3" xfId="7143" xr:uid="{00000000-0005-0000-0000-000083160000}"/>
    <cellStyle name="Normal 7 28 4" xfId="5537" xr:uid="{00000000-0005-0000-0000-000084160000}"/>
    <cellStyle name="Normal 7 28 5" xfId="7141" xr:uid="{00000000-0005-0000-0000-000085160000}"/>
    <cellStyle name="Normal 7 29" xfId="3900" xr:uid="{00000000-0005-0000-0000-000086160000}"/>
    <cellStyle name="Normal 7 29 2" xfId="3901" xr:uid="{00000000-0005-0000-0000-000087160000}"/>
    <cellStyle name="Normal 7 29 2 2" xfId="5541" xr:uid="{00000000-0005-0000-0000-000088160000}"/>
    <cellStyle name="Normal 7 29 2 3" xfId="7145" xr:uid="{00000000-0005-0000-0000-000089160000}"/>
    <cellStyle name="Normal 7 29 3" xfId="3902" xr:uid="{00000000-0005-0000-0000-00008A160000}"/>
    <cellStyle name="Normal 7 29 3 2" xfId="5542" xr:uid="{00000000-0005-0000-0000-00008B160000}"/>
    <cellStyle name="Normal 7 29 3 3" xfId="7146" xr:uid="{00000000-0005-0000-0000-00008C160000}"/>
    <cellStyle name="Normal 7 29 4" xfId="5540" xr:uid="{00000000-0005-0000-0000-00008D160000}"/>
    <cellStyle name="Normal 7 29 5" xfId="7144" xr:uid="{00000000-0005-0000-0000-00008E160000}"/>
    <cellStyle name="Normal 7 3" xfId="3903" xr:uid="{00000000-0005-0000-0000-00008F160000}"/>
    <cellStyle name="Normal 7 3 2" xfId="3904" xr:uid="{00000000-0005-0000-0000-000090160000}"/>
    <cellStyle name="Normal 7 3 2 2" xfId="5544" xr:uid="{00000000-0005-0000-0000-000091160000}"/>
    <cellStyle name="Normal 7 3 2 3" xfId="7148" xr:uid="{00000000-0005-0000-0000-000092160000}"/>
    <cellStyle name="Normal 7 3 3" xfId="3905" xr:uid="{00000000-0005-0000-0000-000093160000}"/>
    <cellStyle name="Normal 7 3 3 2" xfId="5545" xr:uid="{00000000-0005-0000-0000-000094160000}"/>
    <cellStyle name="Normal 7 3 3 3" xfId="7149" xr:uid="{00000000-0005-0000-0000-000095160000}"/>
    <cellStyle name="Normal 7 3 4" xfId="5543" xr:uid="{00000000-0005-0000-0000-000096160000}"/>
    <cellStyle name="Normal 7 3 5" xfId="7147" xr:uid="{00000000-0005-0000-0000-000097160000}"/>
    <cellStyle name="Normal 7 30" xfId="3906" xr:uid="{00000000-0005-0000-0000-000098160000}"/>
    <cellStyle name="Normal 7 30 2" xfId="3907" xr:uid="{00000000-0005-0000-0000-000099160000}"/>
    <cellStyle name="Normal 7 30 2 2" xfId="5547" xr:uid="{00000000-0005-0000-0000-00009A160000}"/>
    <cellStyle name="Normal 7 30 2 3" xfId="7151" xr:uid="{00000000-0005-0000-0000-00009B160000}"/>
    <cellStyle name="Normal 7 30 3" xfId="3908" xr:uid="{00000000-0005-0000-0000-00009C160000}"/>
    <cellStyle name="Normal 7 30 3 2" xfId="5548" xr:uid="{00000000-0005-0000-0000-00009D160000}"/>
    <cellStyle name="Normal 7 30 3 3" xfId="7152" xr:uid="{00000000-0005-0000-0000-00009E160000}"/>
    <cellStyle name="Normal 7 30 4" xfId="5546" xr:uid="{00000000-0005-0000-0000-00009F160000}"/>
    <cellStyle name="Normal 7 30 5" xfId="7150" xr:uid="{00000000-0005-0000-0000-0000A0160000}"/>
    <cellStyle name="Normal 7 31" xfId="3909" xr:uid="{00000000-0005-0000-0000-0000A1160000}"/>
    <cellStyle name="Normal 7 31 2" xfId="3910" xr:uid="{00000000-0005-0000-0000-0000A2160000}"/>
    <cellStyle name="Normal 7 31 2 2" xfId="5550" xr:uid="{00000000-0005-0000-0000-0000A3160000}"/>
    <cellStyle name="Normal 7 31 2 3" xfId="7154" xr:uid="{00000000-0005-0000-0000-0000A4160000}"/>
    <cellStyle name="Normal 7 31 3" xfId="3911" xr:uid="{00000000-0005-0000-0000-0000A5160000}"/>
    <cellStyle name="Normal 7 31 3 2" xfId="5551" xr:uid="{00000000-0005-0000-0000-0000A6160000}"/>
    <cellStyle name="Normal 7 31 3 3" xfId="7155" xr:uid="{00000000-0005-0000-0000-0000A7160000}"/>
    <cellStyle name="Normal 7 31 4" xfId="5549" xr:uid="{00000000-0005-0000-0000-0000A8160000}"/>
    <cellStyle name="Normal 7 31 5" xfId="7153" xr:uid="{00000000-0005-0000-0000-0000A9160000}"/>
    <cellStyle name="Normal 7 32" xfId="3912" xr:uid="{00000000-0005-0000-0000-0000AA160000}"/>
    <cellStyle name="Normal 7 32 2" xfId="3913" xr:uid="{00000000-0005-0000-0000-0000AB160000}"/>
    <cellStyle name="Normal 7 32 2 2" xfId="5553" xr:uid="{00000000-0005-0000-0000-0000AC160000}"/>
    <cellStyle name="Normal 7 32 2 3" xfId="7157" xr:uid="{00000000-0005-0000-0000-0000AD160000}"/>
    <cellStyle name="Normal 7 32 3" xfId="3914" xr:uid="{00000000-0005-0000-0000-0000AE160000}"/>
    <cellStyle name="Normal 7 32 3 2" xfId="5554" xr:uid="{00000000-0005-0000-0000-0000AF160000}"/>
    <cellStyle name="Normal 7 32 3 3" xfId="7158" xr:uid="{00000000-0005-0000-0000-0000B0160000}"/>
    <cellStyle name="Normal 7 32 4" xfId="5552" xr:uid="{00000000-0005-0000-0000-0000B1160000}"/>
    <cellStyle name="Normal 7 32 5" xfId="7156" xr:uid="{00000000-0005-0000-0000-0000B2160000}"/>
    <cellStyle name="Normal 7 33" xfId="3915" xr:uid="{00000000-0005-0000-0000-0000B3160000}"/>
    <cellStyle name="Normal 7 33 2" xfId="3916" xr:uid="{00000000-0005-0000-0000-0000B4160000}"/>
    <cellStyle name="Normal 7 33 2 2" xfId="5556" xr:uid="{00000000-0005-0000-0000-0000B5160000}"/>
    <cellStyle name="Normal 7 33 2 3" xfId="7160" xr:uid="{00000000-0005-0000-0000-0000B6160000}"/>
    <cellStyle name="Normal 7 33 3" xfId="3917" xr:uid="{00000000-0005-0000-0000-0000B7160000}"/>
    <cellStyle name="Normal 7 33 3 2" xfId="5557" xr:uid="{00000000-0005-0000-0000-0000B8160000}"/>
    <cellStyle name="Normal 7 33 3 3" xfId="7161" xr:uid="{00000000-0005-0000-0000-0000B9160000}"/>
    <cellStyle name="Normal 7 33 4" xfId="5555" xr:uid="{00000000-0005-0000-0000-0000BA160000}"/>
    <cellStyle name="Normal 7 33 5" xfId="7159" xr:uid="{00000000-0005-0000-0000-0000BB160000}"/>
    <cellStyle name="Normal 7 34" xfId="3918" xr:uid="{00000000-0005-0000-0000-0000BC160000}"/>
    <cellStyle name="Normal 7 34 2" xfId="3919" xr:uid="{00000000-0005-0000-0000-0000BD160000}"/>
    <cellStyle name="Normal 7 34 2 2" xfId="5559" xr:uid="{00000000-0005-0000-0000-0000BE160000}"/>
    <cellStyle name="Normal 7 34 2 3" xfId="7163" xr:uid="{00000000-0005-0000-0000-0000BF160000}"/>
    <cellStyle name="Normal 7 34 3" xfId="3920" xr:uid="{00000000-0005-0000-0000-0000C0160000}"/>
    <cellStyle name="Normal 7 34 3 2" xfId="5560" xr:uid="{00000000-0005-0000-0000-0000C1160000}"/>
    <cellStyle name="Normal 7 34 3 3" xfId="7164" xr:uid="{00000000-0005-0000-0000-0000C2160000}"/>
    <cellStyle name="Normal 7 34 4" xfId="5558" xr:uid="{00000000-0005-0000-0000-0000C3160000}"/>
    <cellStyle name="Normal 7 34 5" xfId="7162" xr:uid="{00000000-0005-0000-0000-0000C4160000}"/>
    <cellStyle name="Normal 7 35" xfId="3921" xr:uid="{00000000-0005-0000-0000-0000C5160000}"/>
    <cellStyle name="Normal 7 35 2" xfId="3922" xr:uid="{00000000-0005-0000-0000-0000C6160000}"/>
    <cellStyle name="Normal 7 35 2 2" xfId="5562" xr:uid="{00000000-0005-0000-0000-0000C7160000}"/>
    <cellStyle name="Normal 7 35 2 3" xfId="7166" xr:uid="{00000000-0005-0000-0000-0000C8160000}"/>
    <cellStyle name="Normal 7 35 3" xfId="3923" xr:uid="{00000000-0005-0000-0000-0000C9160000}"/>
    <cellStyle name="Normal 7 35 3 2" xfId="5563" xr:uid="{00000000-0005-0000-0000-0000CA160000}"/>
    <cellStyle name="Normal 7 35 3 3" xfId="7167" xr:uid="{00000000-0005-0000-0000-0000CB160000}"/>
    <cellStyle name="Normal 7 35 4" xfId="5561" xr:uid="{00000000-0005-0000-0000-0000CC160000}"/>
    <cellStyle name="Normal 7 35 5" xfId="7165" xr:uid="{00000000-0005-0000-0000-0000CD160000}"/>
    <cellStyle name="Normal 7 36" xfId="3924" xr:uid="{00000000-0005-0000-0000-0000CE160000}"/>
    <cellStyle name="Normal 7 36 2" xfId="3925" xr:uid="{00000000-0005-0000-0000-0000CF160000}"/>
    <cellStyle name="Normal 7 36 2 2" xfId="5565" xr:uid="{00000000-0005-0000-0000-0000D0160000}"/>
    <cellStyle name="Normal 7 36 2 3" xfId="7169" xr:uid="{00000000-0005-0000-0000-0000D1160000}"/>
    <cellStyle name="Normal 7 36 3" xfId="3926" xr:uid="{00000000-0005-0000-0000-0000D2160000}"/>
    <cellStyle name="Normal 7 36 3 2" xfId="5566" xr:uid="{00000000-0005-0000-0000-0000D3160000}"/>
    <cellStyle name="Normal 7 36 3 3" xfId="7170" xr:uid="{00000000-0005-0000-0000-0000D4160000}"/>
    <cellStyle name="Normal 7 36 4" xfId="5564" xr:uid="{00000000-0005-0000-0000-0000D5160000}"/>
    <cellStyle name="Normal 7 36 5" xfId="7168" xr:uid="{00000000-0005-0000-0000-0000D6160000}"/>
    <cellStyle name="Normal 7 37" xfId="3927" xr:uid="{00000000-0005-0000-0000-0000D7160000}"/>
    <cellStyle name="Normal 7 37 2" xfId="3928" xr:uid="{00000000-0005-0000-0000-0000D8160000}"/>
    <cellStyle name="Normal 7 37 2 2" xfId="5568" xr:uid="{00000000-0005-0000-0000-0000D9160000}"/>
    <cellStyle name="Normal 7 37 2 3" xfId="7172" xr:uid="{00000000-0005-0000-0000-0000DA160000}"/>
    <cellStyle name="Normal 7 37 3" xfId="3929" xr:uid="{00000000-0005-0000-0000-0000DB160000}"/>
    <cellStyle name="Normal 7 37 3 2" xfId="5569" xr:uid="{00000000-0005-0000-0000-0000DC160000}"/>
    <cellStyle name="Normal 7 37 3 3" xfId="7173" xr:uid="{00000000-0005-0000-0000-0000DD160000}"/>
    <cellStyle name="Normal 7 37 4" xfId="5567" xr:uid="{00000000-0005-0000-0000-0000DE160000}"/>
    <cellStyle name="Normal 7 37 5" xfId="7171" xr:uid="{00000000-0005-0000-0000-0000DF160000}"/>
    <cellStyle name="Normal 7 38" xfId="3930" xr:uid="{00000000-0005-0000-0000-0000E0160000}"/>
    <cellStyle name="Normal 7 38 2" xfId="3931" xr:uid="{00000000-0005-0000-0000-0000E1160000}"/>
    <cellStyle name="Normal 7 38 2 2" xfId="5571" xr:uid="{00000000-0005-0000-0000-0000E2160000}"/>
    <cellStyle name="Normal 7 38 2 3" xfId="7175" xr:uid="{00000000-0005-0000-0000-0000E3160000}"/>
    <cellStyle name="Normal 7 38 3" xfId="3932" xr:uid="{00000000-0005-0000-0000-0000E4160000}"/>
    <cellStyle name="Normal 7 38 3 2" xfId="5572" xr:uid="{00000000-0005-0000-0000-0000E5160000}"/>
    <cellStyle name="Normal 7 38 3 3" xfId="7176" xr:uid="{00000000-0005-0000-0000-0000E6160000}"/>
    <cellStyle name="Normal 7 38 4" xfId="5570" xr:uid="{00000000-0005-0000-0000-0000E7160000}"/>
    <cellStyle name="Normal 7 38 5" xfId="7174" xr:uid="{00000000-0005-0000-0000-0000E8160000}"/>
    <cellStyle name="Normal 7 39" xfId="3933" xr:uid="{00000000-0005-0000-0000-0000E9160000}"/>
    <cellStyle name="Normal 7 39 2" xfId="3934" xr:uid="{00000000-0005-0000-0000-0000EA160000}"/>
    <cellStyle name="Normal 7 39 2 2" xfId="5574" xr:uid="{00000000-0005-0000-0000-0000EB160000}"/>
    <cellStyle name="Normal 7 39 2 3" xfId="7178" xr:uid="{00000000-0005-0000-0000-0000EC160000}"/>
    <cellStyle name="Normal 7 39 3" xfId="3935" xr:uid="{00000000-0005-0000-0000-0000ED160000}"/>
    <cellStyle name="Normal 7 39 3 2" xfId="5575" xr:uid="{00000000-0005-0000-0000-0000EE160000}"/>
    <cellStyle name="Normal 7 39 3 3" xfId="7179" xr:uid="{00000000-0005-0000-0000-0000EF160000}"/>
    <cellStyle name="Normal 7 39 4" xfId="5573" xr:uid="{00000000-0005-0000-0000-0000F0160000}"/>
    <cellStyle name="Normal 7 39 5" xfId="7177" xr:uid="{00000000-0005-0000-0000-0000F1160000}"/>
    <cellStyle name="Normal 7 4" xfId="3936" xr:uid="{00000000-0005-0000-0000-0000F2160000}"/>
    <cellStyle name="Normal 7 4 2" xfId="3937" xr:uid="{00000000-0005-0000-0000-0000F3160000}"/>
    <cellStyle name="Normal 7 4 2 2" xfId="5577" xr:uid="{00000000-0005-0000-0000-0000F4160000}"/>
    <cellStyle name="Normal 7 4 2 3" xfId="7181" xr:uid="{00000000-0005-0000-0000-0000F5160000}"/>
    <cellStyle name="Normal 7 4 3" xfId="3938" xr:uid="{00000000-0005-0000-0000-0000F6160000}"/>
    <cellStyle name="Normal 7 4 3 2" xfId="5578" xr:uid="{00000000-0005-0000-0000-0000F7160000}"/>
    <cellStyle name="Normal 7 4 3 3" xfId="7182" xr:uid="{00000000-0005-0000-0000-0000F8160000}"/>
    <cellStyle name="Normal 7 4 4" xfId="5576" xr:uid="{00000000-0005-0000-0000-0000F9160000}"/>
    <cellStyle name="Normal 7 4 5" xfId="7180" xr:uid="{00000000-0005-0000-0000-0000FA160000}"/>
    <cellStyle name="Normal 7 40" xfId="3939" xr:uid="{00000000-0005-0000-0000-0000FB160000}"/>
    <cellStyle name="Normal 7 40 2" xfId="3940" xr:uid="{00000000-0005-0000-0000-0000FC160000}"/>
    <cellStyle name="Normal 7 40 2 2" xfId="5580" xr:uid="{00000000-0005-0000-0000-0000FD160000}"/>
    <cellStyle name="Normal 7 40 2 3" xfId="7184" xr:uid="{00000000-0005-0000-0000-0000FE160000}"/>
    <cellStyle name="Normal 7 40 3" xfId="3941" xr:uid="{00000000-0005-0000-0000-0000FF160000}"/>
    <cellStyle name="Normal 7 40 3 2" xfId="5581" xr:uid="{00000000-0005-0000-0000-000000170000}"/>
    <cellStyle name="Normal 7 40 3 3" xfId="7185" xr:uid="{00000000-0005-0000-0000-000001170000}"/>
    <cellStyle name="Normal 7 40 4" xfId="5579" xr:uid="{00000000-0005-0000-0000-000002170000}"/>
    <cellStyle name="Normal 7 40 5" xfId="7183" xr:uid="{00000000-0005-0000-0000-000003170000}"/>
    <cellStyle name="Normal 7 41" xfId="3942" xr:uid="{00000000-0005-0000-0000-000004170000}"/>
    <cellStyle name="Normal 7 41 2" xfId="3943" xr:uid="{00000000-0005-0000-0000-000005170000}"/>
    <cellStyle name="Normal 7 41 2 2" xfId="5583" xr:uid="{00000000-0005-0000-0000-000006170000}"/>
    <cellStyle name="Normal 7 41 2 3" xfId="7187" xr:uid="{00000000-0005-0000-0000-000007170000}"/>
    <cellStyle name="Normal 7 41 3" xfId="3944" xr:uid="{00000000-0005-0000-0000-000008170000}"/>
    <cellStyle name="Normal 7 41 3 2" xfId="5584" xr:uid="{00000000-0005-0000-0000-000009170000}"/>
    <cellStyle name="Normal 7 41 3 3" xfId="7188" xr:uid="{00000000-0005-0000-0000-00000A170000}"/>
    <cellStyle name="Normal 7 41 4" xfId="5582" xr:uid="{00000000-0005-0000-0000-00000B170000}"/>
    <cellStyle name="Normal 7 41 5" xfId="7186" xr:uid="{00000000-0005-0000-0000-00000C170000}"/>
    <cellStyle name="Normal 7 42" xfId="3945" xr:uid="{00000000-0005-0000-0000-00000D170000}"/>
    <cellStyle name="Normal 7 42 2" xfId="3946" xr:uid="{00000000-0005-0000-0000-00000E170000}"/>
    <cellStyle name="Normal 7 42 2 2" xfId="5586" xr:uid="{00000000-0005-0000-0000-00000F170000}"/>
    <cellStyle name="Normal 7 42 2 3" xfId="7190" xr:uid="{00000000-0005-0000-0000-000010170000}"/>
    <cellStyle name="Normal 7 42 3" xfId="3947" xr:uid="{00000000-0005-0000-0000-000011170000}"/>
    <cellStyle name="Normal 7 42 3 2" xfId="5587" xr:uid="{00000000-0005-0000-0000-000012170000}"/>
    <cellStyle name="Normal 7 42 3 3" xfId="7191" xr:uid="{00000000-0005-0000-0000-000013170000}"/>
    <cellStyle name="Normal 7 42 4" xfId="5585" xr:uid="{00000000-0005-0000-0000-000014170000}"/>
    <cellStyle name="Normal 7 42 5" xfId="7189" xr:uid="{00000000-0005-0000-0000-000015170000}"/>
    <cellStyle name="Normal 7 43" xfId="3948" xr:uid="{00000000-0005-0000-0000-000016170000}"/>
    <cellStyle name="Normal 7 43 2" xfId="3949" xr:uid="{00000000-0005-0000-0000-000017170000}"/>
    <cellStyle name="Normal 7 43 2 2" xfId="5589" xr:uid="{00000000-0005-0000-0000-000018170000}"/>
    <cellStyle name="Normal 7 43 2 3" xfId="7193" xr:uid="{00000000-0005-0000-0000-000019170000}"/>
    <cellStyle name="Normal 7 43 3" xfId="3950" xr:uid="{00000000-0005-0000-0000-00001A170000}"/>
    <cellStyle name="Normal 7 43 3 2" xfId="5590" xr:uid="{00000000-0005-0000-0000-00001B170000}"/>
    <cellStyle name="Normal 7 43 3 3" xfId="7194" xr:uid="{00000000-0005-0000-0000-00001C170000}"/>
    <cellStyle name="Normal 7 43 4" xfId="5588" xr:uid="{00000000-0005-0000-0000-00001D170000}"/>
    <cellStyle name="Normal 7 43 5" xfId="7192" xr:uid="{00000000-0005-0000-0000-00001E170000}"/>
    <cellStyle name="Normal 7 44" xfId="3951" xr:uid="{00000000-0005-0000-0000-00001F170000}"/>
    <cellStyle name="Normal 7 44 2" xfId="3952" xr:uid="{00000000-0005-0000-0000-000020170000}"/>
    <cellStyle name="Normal 7 44 2 2" xfId="5592" xr:uid="{00000000-0005-0000-0000-000021170000}"/>
    <cellStyle name="Normal 7 44 2 3" xfId="7196" xr:uid="{00000000-0005-0000-0000-000022170000}"/>
    <cellStyle name="Normal 7 44 3" xfId="3953" xr:uid="{00000000-0005-0000-0000-000023170000}"/>
    <cellStyle name="Normal 7 44 3 2" xfId="5593" xr:uid="{00000000-0005-0000-0000-000024170000}"/>
    <cellStyle name="Normal 7 44 3 3" xfId="7197" xr:uid="{00000000-0005-0000-0000-000025170000}"/>
    <cellStyle name="Normal 7 44 4" xfId="5591" xr:uid="{00000000-0005-0000-0000-000026170000}"/>
    <cellStyle name="Normal 7 44 5" xfId="7195" xr:uid="{00000000-0005-0000-0000-000027170000}"/>
    <cellStyle name="Normal 7 45" xfId="3954" xr:uid="{00000000-0005-0000-0000-000028170000}"/>
    <cellStyle name="Normal 7 45 2" xfId="3955" xr:uid="{00000000-0005-0000-0000-000029170000}"/>
    <cellStyle name="Normal 7 45 2 2" xfId="5595" xr:uid="{00000000-0005-0000-0000-00002A170000}"/>
    <cellStyle name="Normal 7 45 2 3" xfId="7199" xr:uid="{00000000-0005-0000-0000-00002B170000}"/>
    <cellStyle name="Normal 7 45 3" xfId="3956" xr:uid="{00000000-0005-0000-0000-00002C170000}"/>
    <cellStyle name="Normal 7 45 3 2" xfId="5596" xr:uid="{00000000-0005-0000-0000-00002D170000}"/>
    <cellStyle name="Normal 7 45 3 3" xfId="7200" xr:uid="{00000000-0005-0000-0000-00002E170000}"/>
    <cellStyle name="Normal 7 45 4" xfId="5594" xr:uid="{00000000-0005-0000-0000-00002F170000}"/>
    <cellStyle name="Normal 7 45 5" xfId="7198" xr:uid="{00000000-0005-0000-0000-000030170000}"/>
    <cellStyle name="Normal 7 46" xfId="3957" xr:uid="{00000000-0005-0000-0000-000031170000}"/>
    <cellStyle name="Normal 7 46 2" xfId="3958" xr:uid="{00000000-0005-0000-0000-000032170000}"/>
    <cellStyle name="Normal 7 46 2 2" xfId="5598" xr:uid="{00000000-0005-0000-0000-000033170000}"/>
    <cellStyle name="Normal 7 46 2 3" xfId="7202" xr:uid="{00000000-0005-0000-0000-000034170000}"/>
    <cellStyle name="Normal 7 46 3" xfId="3959" xr:uid="{00000000-0005-0000-0000-000035170000}"/>
    <cellStyle name="Normal 7 46 3 2" xfId="5599" xr:uid="{00000000-0005-0000-0000-000036170000}"/>
    <cellStyle name="Normal 7 46 3 3" xfId="7203" xr:uid="{00000000-0005-0000-0000-000037170000}"/>
    <cellStyle name="Normal 7 46 4" xfId="5597" xr:uid="{00000000-0005-0000-0000-000038170000}"/>
    <cellStyle name="Normal 7 46 5" xfId="7201" xr:uid="{00000000-0005-0000-0000-000039170000}"/>
    <cellStyle name="Normal 7 47" xfId="3960" xr:uid="{00000000-0005-0000-0000-00003A170000}"/>
    <cellStyle name="Normal 7 47 2" xfId="3961" xr:uid="{00000000-0005-0000-0000-00003B170000}"/>
    <cellStyle name="Normal 7 47 2 2" xfId="5601" xr:uid="{00000000-0005-0000-0000-00003C170000}"/>
    <cellStyle name="Normal 7 47 2 3" xfId="7205" xr:uid="{00000000-0005-0000-0000-00003D170000}"/>
    <cellStyle name="Normal 7 47 3" xfId="3962" xr:uid="{00000000-0005-0000-0000-00003E170000}"/>
    <cellStyle name="Normal 7 47 3 2" xfId="5602" xr:uid="{00000000-0005-0000-0000-00003F170000}"/>
    <cellStyle name="Normal 7 47 3 3" xfId="7206" xr:uid="{00000000-0005-0000-0000-000040170000}"/>
    <cellStyle name="Normal 7 47 4" xfId="5600" xr:uid="{00000000-0005-0000-0000-000041170000}"/>
    <cellStyle name="Normal 7 47 5" xfId="7204" xr:uid="{00000000-0005-0000-0000-000042170000}"/>
    <cellStyle name="Normal 7 48" xfId="3963" xr:uid="{00000000-0005-0000-0000-000043170000}"/>
    <cellStyle name="Normal 7 48 2" xfId="3964" xr:uid="{00000000-0005-0000-0000-000044170000}"/>
    <cellStyle name="Normal 7 48 2 2" xfId="5604" xr:uid="{00000000-0005-0000-0000-000045170000}"/>
    <cellStyle name="Normal 7 48 2 3" xfId="7208" xr:uid="{00000000-0005-0000-0000-000046170000}"/>
    <cellStyle name="Normal 7 48 3" xfId="3965" xr:uid="{00000000-0005-0000-0000-000047170000}"/>
    <cellStyle name="Normal 7 48 3 2" xfId="5605" xr:uid="{00000000-0005-0000-0000-000048170000}"/>
    <cellStyle name="Normal 7 48 3 3" xfId="7209" xr:uid="{00000000-0005-0000-0000-000049170000}"/>
    <cellStyle name="Normal 7 48 4" xfId="5603" xr:uid="{00000000-0005-0000-0000-00004A170000}"/>
    <cellStyle name="Normal 7 48 5" xfId="7207" xr:uid="{00000000-0005-0000-0000-00004B170000}"/>
    <cellStyle name="Normal 7 49" xfId="3966" xr:uid="{00000000-0005-0000-0000-00004C170000}"/>
    <cellStyle name="Normal 7 49 2" xfId="3967" xr:uid="{00000000-0005-0000-0000-00004D170000}"/>
    <cellStyle name="Normal 7 49 2 2" xfId="5607" xr:uid="{00000000-0005-0000-0000-00004E170000}"/>
    <cellStyle name="Normal 7 49 2 3" xfId="7211" xr:uid="{00000000-0005-0000-0000-00004F170000}"/>
    <cellStyle name="Normal 7 49 3" xfId="3968" xr:uid="{00000000-0005-0000-0000-000050170000}"/>
    <cellStyle name="Normal 7 49 3 2" xfId="5608" xr:uid="{00000000-0005-0000-0000-000051170000}"/>
    <cellStyle name="Normal 7 49 3 3" xfId="7212" xr:uid="{00000000-0005-0000-0000-000052170000}"/>
    <cellStyle name="Normal 7 49 4" xfId="5606" xr:uid="{00000000-0005-0000-0000-000053170000}"/>
    <cellStyle name="Normal 7 49 5" xfId="7210" xr:uid="{00000000-0005-0000-0000-000054170000}"/>
    <cellStyle name="Normal 7 5" xfId="3969" xr:uid="{00000000-0005-0000-0000-000055170000}"/>
    <cellStyle name="Normal 7 5 2" xfId="3970" xr:uid="{00000000-0005-0000-0000-000056170000}"/>
    <cellStyle name="Normal 7 5 2 2" xfId="5610" xr:uid="{00000000-0005-0000-0000-000057170000}"/>
    <cellStyle name="Normal 7 5 2 3" xfId="7214" xr:uid="{00000000-0005-0000-0000-000058170000}"/>
    <cellStyle name="Normal 7 5 3" xfId="3971" xr:uid="{00000000-0005-0000-0000-000059170000}"/>
    <cellStyle name="Normal 7 5 3 2" xfId="5611" xr:uid="{00000000-0005-0000-0000-00005A170000}"/>
    <cellStyle name="Normal 7 5 3 3" xfId="7215" xr:uid="{00000000-0005-0000-0000-00005B170000}"/>
    <cellStyle name="Normal 7 5 4" xfId="5609" xr:uid="{00000000-0005-0000-0000-00005C170000}"/>
    <cellStyle name="Normal 7 5 5" xfId="7213" xr:uid="{00000000-0005-0000-0000-00005D170000}"/>
    <cellStyle name="Normal 7 50" xfId="3972" xr:uid="{00000000-0005-0000-0000-00005E170000}"/>
    <cellStyle name="Normal 7 50 2" xfId="3973" xr:uid="{00000000-0005-0000-0000-00005F170000}"/>
    <cellStyle name="Normal 7 50 2 2" xfId="5613" xr:uid="{00000000-0005-0000-0000-000060170000}"/>
    <cellStyle name="Normal 7 50 2 3" xfId="7217" xr:uid="{00000000-0005-0000-0000-000061170000}"/>
    <cellStyle name="Normal 7 50 3" xfId="3974" xr:uid="{00000000-0005-0000-0000-000062170000}"/>
    <cellStyle name="Normal 7 50 3 2" xfId="5614" xr:uid="{00000000-0005-0000-0000-000063170000}"/>
    <cellStyle name="Normal 7 50 3 3" xfId="7218" xr:uid="{00000000-0005-0000-0000-000064170000}"/>
    <cellStyle name="Normal 7 50 4" xfId="5612" xr:uid="{00000000-0005-0000-0000-000065170000}"/>
    <cellStyle name="Normal 7 50 5" xfId="7216" xr:uid="{00000000-0005-0000-0000-000066170000}"/>
    <cellStyle name="Normal 7 51" xfId="3975" xr:uid="{00000000-0005-0000-0000-000067170000}"/>
    <cellStyle name="Normal 7 51 2" xfId="3976" xr:uid="{00000000-0005-0000-0000-000068170000}"/>
    <cellStyle name="Normal 7 51 2 2" xfId="5616" xr:uid="{00000000-0005-0000-0000-000069170000}"/>
    <cellStyle name="Normal 7 51 2 3" xfId="7220" xr:uid="{00000000-0005-0000-0000-00006A170000}"/>
    <cellStyle name="Normal 7 51 3" xfId="3977" xr:uid="{00000000-0005-0000-0000-00006B170000}"/>
    <cellStyle name="Normal 7 51 3 2" xfId="5617" xr:uid="{00000000-0005-0000-0000-00006C170000}"/>
    <cellStyle name="Normal 7 51 3 3" xfId="7221" xr:uid="{00000000-0005-0000-0000-00006D170000}"/>
    <cellStyle name="Normal 7 51 4" xfId="5615" xr:uid="{00000000-0005-0000-0000-00006E170000}"/>
    <cellStyle name="Normal 7 51 5" xfId="7219" xr:uid="{00000000-0005-0000-0000-00006F170000}"/>
    <cellStyle name="Normal 7 52" xfId="3978" xr:uid="{00000000-0005-0000-0000-000070170000}"/>
    <cellStyle name="Normal 7 52 2" xfId="3979" xr:uid="{00000000-0005-0000-0000-000071170000}"/>
    <cellStyle name="Normal 7 52 2 2" xfId="5619" xr:uid="{00000000-0005-0000-0000-000072170000}"/>
    <cellStyle name="Normal 7 52 2 3" xfId="7223" xr:uid="{00000000-0005-0000-0000-000073170000}"/>
    <cellStyle name="Normal 7 52 3" xfId="3980" xr:uid="{00000000-0005-0000-0000-000074170000}"/>
    <cellStyle name="Normal 7 52 3 2" xfId="5620" xr:uid="{00000000-0005-0000-0000-000075170000}"/>
    <cellStyle name="Normal 7 52 3 3" xfId="7224" xr:uid="{00000000-0005-0000-0000-000076170000}"/>
    <cellStyle name="Normal 7 52 4" xfId="5618" xr:uid="{00000000-0005-0000-0000-000077170000}"/>
    <cellStyle name="Normal 7 52 5" xfId="7222" xr:uid="{00000000-0005-0000-0000-000078170000}"/>
    <cellStyle name="Normal 7 53" xfId="3981" xr:uid="{00000000-0005-0000-0000-000079170000}"/>
    <cellStyle name="Normal 7 53 2" xfId="3982" xr:uid="{00000000-0005-0000-0000-00007A170000}"/>
    <cellStyle name="Normal 7 53 2 2" xfId="5622" xr:uid="{00000000-0005-0000-0000-00007B170000}"/>
    <cellStyle name="Normal 7 53 2 3" xfId="7226" xr:uid="{00000000-0005-0000-0000-00007C170000}"/>
    <cellStyle name="Normal 7 53 3" xfId="3983" xr:uid="{00000000-0005-0000-0000-00007D170000}"/>
    <cellStyle name="Normal 7 53 3 2" xfId="5623" xr:uid="{00000000-0005-0000-0000-00007E170000}"/>
    <cellStyle name="Normal 7 53 3 3" xfId="7227" xr:uid="{00000000-0005-0000-0000-00007F170000}"/>
    <cellStyle name="Normal 7 53 4" xfId="5621" xr:uid="{00000000-0005-0000-0000-000080170000}"/>
    <cellStyle name="Normal 7 53 5" xfId="7225" xr:uid="{00000000-0005-0000-0000-000081170000}"/>
    <cellStyle name="Normal 7 54" xfId="3984" xr:uid="{00000000-0005-0000-0000-000082170000}"/>
    <cellStyle name="Normal 7 54 2" xfId="3985" xr:uid="{00000000-0005-0000-0000-000083170000}"/>
    <cellStyle name="Normal 7 54 2 2" xfId="5625" xr:uid="{00000000-0005-0000-0000-000084170000}"/>
    <cellStyle name="Normal 7 54 2 3" xfId="7229" xr:uid="{00000000-0005-0000-0000-000085170000}"/>
    <cellStyle name="Normal 7 54 3" xfId="3986" xr:uid="{00000000-0005-0000-0000-000086170000}"/>
    <cellStyle name="Normal 7 54 3 2" xfId="5626" xr:uid="{00000000-0005-0000-0000-000087170000}"/>
    <cellStyle name="Normal 7 54 3 3" xfId="7230" xr:uid="{00000000-0005-0000-0000-000088170000}"/>
    <cellStyle name="Normal 7 54 4" xfId="5624" xr:uid="{00000000-0005-0000-0000-000089170000}"/>
    <cellStyle name="Normal 7 54 5" xfId="7228" xr:uid="{00000000-0005-0000-0000-00008A170000}"/>
    <cellStyle name="Normal 7 55" xfId="3987" xr:uid="{00000000-0005-0000-0000-00008B170000}"/>
    <cellStyle name="Normal 7 55 2" xfId="3988" xr:uid="{00000000-0005-0000-0000-00008C170000}"/>
    <cellStyle name="Normal 7 55 2 2" xfId="5628" xr:uid="{00000000-0005-0000-0000-00008D170000}"/>
    <cellStyle name="Normal 7 55 2 3" xfId="7232" xr:uid="{00000000-0005-0000-0000-00008E170000}"/>
    <cellStyle name="Normal 7 55 3" xfId="3989" xr:uid="{00000000-0005-0000-0000-00008F170000}"/>
    <cellStyle name="Normal 7 55 3 2" xfId="5629" xr:uid="{00000000-0005-0000-0000-000090170000}"/>
    <cellStyle name="Normal 7 55 3 3" xfId="7233" xr:uid="{00000000-0005-0000-0000-000091170000}"/>
    <cellStyle name="Normal 7 55 4" xfId="5627" xr:uid="{00000000-0005-0000-0000-000092170000}"/>
    <cellStyle name="Normal 7 55 5" xfId="7231" xr:uid="{00000000-0005-0000-0000-000093170000}"/>
    <cellStyle name="Normal 7 56" xfId="3990" xr:uid="{00000000-0005-0000-0000-000094170000}"/>
    <cellStyle name="Normal 7 56 2" xfId="3991" xr:uid="{00000000-0005-0000-0000-000095170000}"/>
    <cellStyle name="Normal 7 56 2 2" xfId="5631" xr:uid="{00000000-0005-0000-0000-000096170000}"/>
    <cellStyle name="Normal 7 56 2 3" xfId="7235" xr:uid="{00000000-0005-0000-0000-000097170000}"/>
    <cellStyle name="Normal 7 56 3" xfId="3992" xr:uid="{00000000-0005-0000-0000-000098170000}"/>
    <cellStyle name="Normal 7 56 3 2" xfId="5632" xr:uid="{00000000-0005-0000-0000-000099170000}"/>
    <cellStyle name="Normal 7 56 3 3" xfId="7236" xr:uid="{00000000-0005-0000-0000-00009A170000}"/>
    <cellStyle name="Normal 7 56 4" xfId="5630" xr:uid="{00000000-0005-0000-0000-00009B170000}"/>
    <cellStyle name="Normal 7 56 5" xfId="7234" xr:uid="{00000000-0005-0000-0000-00009C170000}"/>
    <cellStyle name="Normal 7 57" xfId="3993" xr:uid="{00000000-0005-0000-0000-00009D170000}"/>
    <cellStyle name="Normal 7 57 2" xfId="3994" xr:uid="{00000000-0005-0000-0000-00009E170000}"/>
    <cellStyle name="Normal 7 57 2 2" xfId="5634" xr:uid="{00000000-0005-0000-0000-00009F170000}"/>
    <cellStyle name="Normal 7 57 2 3" xfId="7238" xr:uid="{00000000-0005-0000-0000-0000A0170000}"/>
    <cellStyle name="Normal 7 57 3" xfId="3995" xr:uid="{00000000-0005-0000-0000-0000A1170000}"/>
    <cellStyle name="Normal 7 57 3 2" xfId="5635" xr:uid="{00000000-0005-0000-0000-0000A2170000}"/>
    <cellStyle name="Normal 7 57 3 3" xfId="7239" xr:uid="{00000000-0005-0000-0000-0000A3170000}"/>
    <cellStyle name="Normal 7 57 4" xfId="5633" xr:uid="{00000000-0005-0000-0000-0000A4170000}"/>
    <cellStyle name="Normal 7 57 5" xfId="7237" xr:uid="{00000000-0005-0000-0000-0000A5170000}"/>
    <cellStyle name="Normal 7 58" xfId="3996" xr:uid="{00000000-0005-0000-0000-0000A6170000}"/>
    <cellStyle name="Normal 7 58 2" xfId="3997" xr:uid="{00000000-0005-0000-0000-0000A7170000}"/>
    <cellStyle name="Normal 7 58 2 2" xfId="5637" xr:uid="{00000000-0005-0000-0000-0000A8170000}"/>
    <cellStyle name="Normal 7 58 2 3" xfId="7241" xr:uid="{00000000-0005-0000-0000-0000A9170000}"/>
    <cellStyle name="Normal 7 58 3" xfId="3998" xr:uid="{00000000-0005-0000-0000-0000AA170000}"/>
    <cellStyle name="Normal 7 58 3 2" xfId="5638" xr:uid="{00000000-0005-0000-0000-0000AB170000}"/>
    <cellStyle name="Normal 7 58 3 3" xfId="7242" xr:uid="{00000000-0005-0000-0000-0000AC170000}"/>
    <cellStyle name="Normal 7 58 4" xfId="5636" xr:uid="{00000000-0005-0000-0000-0000AD170000}"/>
    <cellStyle name="Normal 7 58 5" xfId="7240" xr:uid="{00000000-0005-0000-0000-0000AE170000}"/>
    <cellStyle name="Normal 7 59" xfId="3999" xr:uid="{00000000-0005-0000-0000-0000AF170000}"/>
    <cellStyle name="Normal 7 59 2" xfId="4000" xr:uid="{00000000-0005-0000-0000-0000B0170000}"/>
    <cellStyle name="Normal 7 59 2 2" xfId="5640" xr:uid="{00000000-0005-0000-0000-0000B1170000}"/>
    <cellStyle name="Normal 7 59 2 3" xfId="7244" xr:uid="{00000000-0005-0000-0000-0000B2170000}"/>
    <cellStyle name="Normal 7 59 3" xfId="4001" xr:uid="{00000000-0005-0000-0000-0000B3170000}"/>
    <cellStyle name="Normal 7 59 3 2" xfId="5641" xr:uid="{00000000-0005-0000-0000-0000B4170000}"/>
    <cellStyle name="Normal 7 59 3 3" xfId="7245" xr:uid="{00000000-0005-0000-0000-0000B5170000}"/>
    <cellStyle name="Normal 7 59 4" xfId="5639" xr:uid="{00000000-0005-0000-0000-0000B6170000}"/>
    <cellStyle name="Normal 7 59 5" xfId="7243" xr:uid="{00000000-0005-0000-0000-0000B7170000}"/>
    <cellStyle name="Normal 7 6" xfId="4002" xr:uid="{00000000-0005-0000-0000-0000B8170000}"/>
    <cellStyle name="Normal 7 6 2" xfId="4003" xr:uid="{00000000-0005-0000-0000-0000B9170000}"/>
    <cellStyle name="Normal 7 6 2 2" xfId="5643" xr:uid="{00000000-0005-0000-0000-0000BA170000}"/>
    <cellStyle name="Normal 7 6 2 3" xfId="7247" xr:uid="{00000000-0005-0000-0000-0000BB170000}"/>
    <cellStyle name="Normal 7 6 3" xfId="4004" xr:uid="{00000000-0005-0000-0000-0000BC170000}"/>
    <cellStyle name="Normal 7 6 3 2" xfId="5644" xr:uid="{00000000-0005-0000-0000-0000BD170000}"/>
    <cellStyle name="Normal 7 6 3 3" xfId="7248" xr:uid="{00000000-0005-0000-0000-0000BE170000}"/>
    <cellStyle name="Normal 7 6 4" xfId="5642" xr:uid="{00000000-0005-0000-0000-0000BF170000}"/>
    <cellStyle name="Normal 7 6 5" xfId="7246" xr:uid="{00000000-0005-0000-0000-0000C0170000}"/>
    <cellStyle name="Normal 7 60" xfId="4005" xr:uid="{00000000-0005-0000-0000-0000C1170000}"/>
    <cellStyle name="Normal 7 60 2" xfId="4006" xr:uid="{00000000-0005-0000-0000-0000C2170000}"/>
    <cellStyle name="Normal 7 60 2 2" xfId="5646" xr:uid="{00000000-0005-0000-0000-0000C3170000}"/>
    <cellStyle name="Normal 7 60 2 3" xfId="7250" xr:uid="{00000000-0005-0000-0000-0000C4170000}"/>
    <cellStyle name="Normal 7 60 3" xfId="4007" xr:uid="{00000000-0005-0000-0000-0000C5170000}"/>
    <cellStyle name="Normal 7 60 3 2" xfId="5647" xr:uid="{00000000-0005-0000-0000-0000C6170000}"/>
    <cellStyle name="Normal 7 60 3 3" xfId="7251" xr:uid="{00000000-0005-0000-0000-0000C7170000}"/>
    <cellStyle name="Normal 7 60 4" xfId="5645" xr:uid="{00000000-0005-0000-0000-0000C8170000}"/>
    <cellStyle name="Normal 7 60 5" xfId="7249" xr:uid="{00000000-0005-0000-0000-0000C9170000}"/>
    <cellStyle name="Normal 7 61" xfId="4008" xr:uid="{00000000-0005-0000-0000-0000CA170000}"/>
    <cellStyle name="Normal 7 61 2" xfId="4009" xr:uid="{00000000-0005-0000-0000-0000CB170000}"/>
    <cellStyle name="Normal 7 61 2 2" xfId="5649" xr:uid="{00000000-0005-0000-0000-0000CC170000}"/>
    <cellStyle name="Normal 7 61 2 3" xfId="7253" xr:uid="{00000000-0005-0000-0000-0000CD170000}"/>
    <cellStyle name="Normal 7 61 3" xfId="4010" xr:uid="{00000000-0005-0000-0000-0000CE170000}"/>
    <cellStyle name="Normal 7 61 3 2" xfId="5650" xr:uid="{00000000-0005-0000-0000-0000CF170000}"/>
    <cellStyle name="Normal 7 61 3 3" xfId="7254" xr:uid="{00000000-0005-0000-0000-0000D0170000}"/>
    <cellStyle name="Normal 7 61 4" xfId="5648" xr:uid="{00000000-0005-0000-0000-0000D1170000}"/>
    <cellStyle name="Normal 7 61 5" xfId="7252" xr:uid="{00000000-0005-0000-0000-0000D2170000}"/>
    <cellStyle name="Normal 7 62" xfId="4011" xr:uid="{00000000-0005-0000-0000-0000D3170000}"/>
    <cellStyle name="Normal 7 62 2" xfId="4012" xr:uid="{00000000-0005-0000-0000-0000D4170000}"/>
    <cellStyle name="Normal 7 62 2 2" xfId="5652" xr:uid="{00000000-0005-0000-0000-0000D5170000}"/>
    <cellStyle name="Normal 7 62 2 3" xfId="7256" xr:uid="{00000000-0005-0000-0000-0000D6170000}"/>
    <cellStyle name="Normal 7 62 3" xfId="4013" xr:uid="{00000000-0005-0000-0000-0000D7170000}"/>
    <cellStyle name="Normal 7 62 3 2" xfId="5653" xr:uid="{00000000-0005-0000-0000-0000D8170000}"/>
    <cellStyle name="Normal 7 62 3 3" xfId="7257" xr:uid="{00000000-0005-0000-0000-0000D9170000}"/>
    <cellStyle name="Normal 7 62 4" xfId="5651" xr:uid="{00000000-0005-0000-0000-0000DA170000}"/>
    <cellStyle name="Normal 7 62 5" xfId="7255" xr:uid="{00000000-0005-0000-0000-0000DB170000}"/>
    <cellStyle name="Normal 7 63" xfId="4014" xr:uid="{00000000-0005-0000-0000-0000DC170000}"/>
    <cellStyle name="Normal 7 63 2" xfId="4015" xr:uid="{00000000-0005-0000-0000-0000DD170000}"/>
    <cellStyle name="Normal 7 63 2 2" xfId="5655" xr:uid="{00000000-0005-0000-0000-0000DE170000}"/>
    <cellStyle name="Normal 7 63 2 3" xfId="7259" xr:uid="{00000000-0005-0000-0000-0000DF170000}"/>
    <cellStyle name="Normal 7 63 3" xfId="4016" xr:uid="{00000000-0005-0000-0000-0000E0170000}"/>
    <cellStyle name="Normal 7 63 3 2" xfId="5656" xr:uid="{00000000-0005-0000-0000-0000E1170000}"/>
    <cellStyle name="Normal 7 63 3 3" xfId="7260" xr:uid="{00000000-0005-0000-0000-0000E2170000}"/>
    <cellStyle name="Normal 7 63 4" xfId="5654" xr:uid="{00000000-0005-0000-0000-0000E3170000}"/>
    <cellStyle name="Normal 7 63 5" xfId="7258" xr:uid="{00000000-0005-0000-0000-0000E4170000}"/>
    <cellStyle name="Normal 7 64" xfId="4017" xr:uid="{00000000-0005-0000-0000-0000E5170000}"/>
    <cellStyle name="Normal 7 64 2" xfId="4018" xr:uid="{00000000-0005-0000-0000-0000E6170000}"/>
    <cellStyle name="Normal 7 64 2 2" xfId="5658" xr:uid="{00000000-0005-0000-0000-0000E7170000}"/>
    <cellStyle name="Normal 7 64 2 3" xfId="7262" xr:uid="{00000000-0005-0000-0000-0000E8170000}"/>
    <cellStyle name="Normal 7 64 3" xfId="4019" xr:uid="{00000000-0005-0000-0000-0000E9170000}"/>
    <cellStyle name="Normal 7 64 3 2" xfId="5659" xr:uid="{00000000-0005-0000-0000-0000EA170000}"/>
    <cellStyle name="Normal 7 64 3 3" xfId="7263" xr:uid="{00000000-0005-0000-0000-0000EB170000}"/>
    <cellStyle name="Normal 7 64 4" xfId="5657" xr:uid="{00000000-0005-0000-0000-0000EC170000}"/>
    <cellStyle name="Normal 7 64 5" xfId="7261" xr:uid="{00000000-0005-0000-0000-0000ED170000}"/>
    <cellStyle name="Normal 7 65" xfId="4020" xr:uid="{00000000-0005-0000-0000-0000EE170000}"/>
    <cellStyle name="Normal 7 65 2" xfId="4021" xr:uid="{00000000-0005-0000-0000-0000EF170000}"/>
    <cellStyle name="Normal 7 65 2 2" xfId="5661" xr:uid="{00000000-0005-0000-0000-0000F0170000}"/>
    <cellStyle name="Normal 7 65 2 3" xfId="7265" xr:uid="{00000000-0005-0000-0000-0000F1170000}"/>
    <cellStyle name="Normal 7 65 3" xfId="4022" xr:uid="{00000000-0005-0000-0000-0000F2170000}"/>
    <cellStyle name="Normal 7 65 3 2" xfId="5662" xr:uid="{00000000-0005-0000-0000-0000F3170000}"/>
    <cellStyle name="Normal 7 65 3 3" xfId="7266" xr:uid="{00000000-0005-0000-0000-0000F4170000}"/>
    <cellStyle name="Normal 7 65 4" xfId="5660" xr:uid="{00000000-0005-0000-0000-0000F5170000}"/>
    <cellStyle name="Normal 7 65 5" xfId="7264" xr:uid="{00000000-0005-0000-0000-0000F6170000}"/>
    <cellStyle name="Normal 7 66" xfId="4023" xr:uid="{00000000-0005-0000-0000-0000F7170000}"/>
    <cellStyle name="Normal 7 66 2" xfId="4024" xr:uid="{00000000-0005-0000-0000-0000F8170000}"/>
    <cellStyle name="Normal 7 66 2 2" xfId="5664" xr:uid="{00000000-0005-0000-0000-0000F9170000}"/>
    <cellStyle name="Normal 7 66 2 3" xfId="7268" xr:uid="{00000000-0005-0000-0000-0000FA170000}"/>
    <cellStyle name="Normal 7 66 3" xfId="4025" xr:uid="{00000000-0005-0000-0000-0000FB170000}"/>
    <cellStyle name="Normal 7 66 3 2" xfId="5665" xr:uid="{00000000-0005-0000-0000-0000FC170000}"/>
    <cellStyle name="Normal 7 66 3 3" xfId="7269" xr:uid="{00000000-0005-0000-0000-0000FD170000}"/>
    <cellStyle name="Normal 7 66 4" xfId="5663" xr:uid="{00000000-0005-0000-0000-0000FE170000}"/>
    <cellStyle name="Normal 7 66 5" xfId="7267" xr:uid="{00000000-0005-0000-0000-0000FF170000}"/>
    <cellStyle name="Normal 7 67" xfId="4026" xr:uid="{00000000-0005-0000-0000-000000180000}"/>
    <cellStyle name="Normal 7 67 2" xfId="4027" xr:uid="{00000000-0005-0000-0000-000001180000}"/>
    <cellStyle name="Normal 7 67 2 2" xfId="5667" xr:uid="{00000000-0005-0000-0000-000002180000}"/>
    <cellStyle name="Normal 7 67 2 3" xfId="7271" xr:uid="{00000000-0005-0000-0000-000003180000}"/>
    <cellStyle name="Normal 7 67 3" xfId="4028" xr:uid="{00000000-0005-0000-0000-000004180000}"/>
    <cellStyle name="Normal 7 67 3 2" xfId="5668" xr:uid="{00000000-0005-0000-0000-000005180000}"/>
    <cellStyle name="Normal 7 67 3 3" xfId="7272" xr:uid="{00000000-0005-0000-0000-000006180000}"/>
    <cellStyle name="Normal 7 67 4" xfId="5666" xr:uid="{00000000-0005-0000-0000-000007180000}"/>
    <cellStyle name="Normal 7 67 5" xfId="7270" xr:uid="{00000000-0005-0000-0000-000008180000}"/>
    <cellStyle name="Normal 7 68" xfId="4029" xr:uid="{00000000-0005-0000-0000-000009180000}"/>
    <cellStyle name="Normal 7 68 2" xfId="4030" xr:uid="{00000000-0005-0000-0000-00000A180000}"/>
    <cellStyle name="Normal 7 68 2 2" xfId="5670" xr:uid="{00000000-0005-0000-0000-00000B180000}"/>
    <cellStyle name="Normal 7 68 2 3" xfId="7274" xr:uid="{00000000-0005-0000-0000-00000C180000}"/>
    <cellStyle name="Normal 7 68 3" xfId="4031" xr:uid="{00000000-0005-0000-0000-00000D180000}"/>
    <cellStyle name="Normal 7 68 3 2" xfId="5671" xr:uid="{00000000-0005-0000-0000-00000E180000}"/>
    <cellStyle name="Normal 7 68 3 3" xfId="7275" xr:uid="{00000000-0005-0000-0000-00000F180000}"/>
    <cellStyle name="Normal 7 68 4" xfId="5669" xr:uid="{00000000-0005-0000-0000-000010180000}"/>
    <cellStyle name="Normal 7 68 5" xfId="7273" xr:uid="{00000000-0005-0000-0000-000011180000}"/>
    <cellStyle name="Normal 7 69" xfId="4032" xr:uid="{00000000-0005-0000-0000-000012180000}"/>
    <cellStyle name="Normal 7 69 2" xfId="4033" xr:uid="{00000000-0005-0000-0000-000013180000}"/>
    <cellStyle name="Normal 7 69 2 2" xfId="5673" xr:uid="{00000000-0005-0000-0000-000014180000}"/>
    <cellStyle name="Normal 7 69 2 3" xfId="7277" xr:uid="{00000000-0005-0000-0000-000015180000}"/>
    <cellStyle name="Normal 7 69 3" xfId="4034" xr:uid="{00000000-0005-0000-0000-000016180000}"/>
    <cellStyle name="Normal 7 69 3 2" xfId="5674" xr:uid="{00000000-0005-0000-0000-000017180000}"/>
    <cellStyle name="Normal 7 69 3 3" xfId="7278" xr:uid="{00000000-0005-0000-0000-000018180000}"/>
    <cellStyle name="Normal 7 69 4" xfId="5672" xr:uid="{00000000-0005-0000-0000-000019180000}"/>
    <cellStyle name="Normal 7 69 5" xfId="7276" xr:uid="{00000000-0005-0000-0000-00001A180000}"/>
    <cellStyle name="Normal 7 7" xfId="4035" xr:uid="{00000000-0005-0000-0000-00001B180000}"/>
    <cellStyle name="Normal 7 7 2" xfId="4036" xr:uid="{00000000-0005-0000-0000-00001C180000}"/>
    <cellStyle name="Normal 7 7 2 2" xfId="5676" xr:uid="{00000000-0005-0000-0000-00001D180000}"/>
    <cellStyle name="Normal 7 7 2 3" xfId="7280" xr:uid="{00000000-0005-0000-0000-00001E180000}"/>
    <cellStyle name="Normal 7 7 3" xfId="4037" xr:uid="{00000000-0005-0000-0000-00001F180000}"/>
    <cellStyle name="Normal 7 7 3 2" xfId="5677" xr:uid="{00000000-0005-0000-0000-000020180000}"/>
    <cellStyle name="Normal 7 7 3 3" xfId="7281" xr:uid="{00000000-0005-0000-0000-000021180000}"/>
    <cellStyle name="Normal 7 7 4" xfId="5675" xr:uid="{00000000-0005-0000-0000-000022180000}"/>
    <cellStyle name="Normal 7 7 5" xfId="7279" xr:uid="{00000000-0005-0000-0000-000023180000}"/>
    <cellStyle name="Normal 7 70" xfId="4038" xr:uid="{00000000-0005-0000-0000-000024180000}"/>
    <cellStyle name="Normal 7 70 2" xfId="4039" xr:uid="{00000000-0005-0000-0000-000025180000}"/>
    <cellStyle name="Normal 7 70 2 2" xfId="5679" xr:uid="{00000000-0005-0000-0000-000026180000}"/>
    <cellStyle name="Normal 7 70 2 3" xfId="7283" xr:uid="{00000000-0005-0000-0000-000027180000}"/>
    <cellStyle name="Normal 7 70 3" xfId="4040" xr:uid="{00000000-0005-0000-0000-000028180000}"/>
    <cellStyle name="Normal 7 70 3 2" xfId="5680" xr:uid="{00000000-0005-0000-0000-000029180000}"/>
    <cellStyle name="Normal 7 70 3 3" xfId="7284" xr:uid="{00000000-0005-0000-0000-00002A180000}"/>
    <cellStyle name="Normal 7 70 4" xfId="5678" xr:uid="{00000000-0005-0000-0000-00002B180000}"/>
    <cellStyle name="Normal 7 70 5" xfId="7282" xr:uid="{00000000-0005-0000-0000-00002C180000}"/>
    <cellStyle name="Normal 7 71" xfId="4041" xr:uid="{00000000-0005-0000-0000-00002D180000}"/>
    <cellStyle name="Normal 7 71 2" xfId="4042" xr:uid="{00000000-0005-0000-0000-00002E180000}"/>
    <cellStyle name="Normal 7 71 2 2" xfId="5682" xr:uid="{00000000-0005-0000-0000-00002F180000}"/>
    <cellStyle name="Normal 7 71 2 3" xfId="7286" xr:uid="{00000000-0005-0000-0000-000030180000}"/>
    <cellStyle name="Normal 7 71 3" xfId="4043" xr:uid="{00000000-0005-0000-0000-000031180000}"/>
    <cellStyle name="Normal 7 71 3 2" xfId="5683" xr:uid="{00000000-0005-0000-0000-000032180000}"/>
    <cellStyle name="Normal 7 71 3 3" xfId="7287" xr:uid="{00000000-0005-0000-0000-000033180000}"/>
    <cellStyle name="Normal 7 71 4" xfId="5681" xr:uid="{00000000-0005-0000-0000-000034180000}"/>
    <cellStyle name="Normal 7 71 5" xfId="7285" xr:uid="{00000000-0005-0000-0000-000035180000}"/>
    <cellStyle name="Normal 7 72" xfId="4044" xr:uid="{00000000-0005-0000-0000-000036180000}"/>
    <cellStyle name="Normal 7 72 2" xfId="4045" xr:uid="{00000000-0005-0000-0000-000037180000}"/>
    <cellStyle name="Normal 7 72 2 2" xfId="5685" xr:uid="{00000000-0005-0000-0000-000038180000}"/>
    <cellStyle name="Normal 7 72 2 3" xfId="7289" xr:uid="{00000000-0005-0000-0000-000039180000}"/>
    <cellStyle name="Normal 7 72 3" xfId="4046" xr:uid="{00000000-0005-0000-0000-00003A180000}"/>
    <cellStyle name="Normal 7 72 3 2" xfId="5686" xr:uid="{00000000-0005-0000-0000-00003B180000}"/>
    <cellStyle name="Normal 7 72 3 3" xfId="7290" xr:uid="{00000000-0005-0000-0000-00003C180000}"/>
    <cellStyle name="Normal 7 72 4" xfId="5684" xr:uid="{00000000-0005-0000-0000-00003D180000}"/>
    <cellStyle name="Normal 7 72 5" xfId="7288" xr:uid="{00000000-0005-0000-0000-00003E180000}"/>
    <cellStyle name="Normal 7 73" xfId="4047" xr:uid="{00000000-0005-0000-0000-00003F180000}"/>
    <cellStyle name="Normal 7 73 2" xfId="4048" xr:uid="{00000000-0005-0000-0000-000040180000}"/>
    <cellStyle name="Normal 7 73 2 2" xfId="5688" xr:uid="{00000000-0005-0000-0000-000041180000}"/>
    <cellStyle name="Normal 7 73 2 3" xfId="7292" xr:uid="{00000000-0005-0000-0000-000042180000}"/>
    <cellStyle name="Normal 7 73 3" xfId="4049" xr:uid="{00000000-0005-0000-0000-000043180000}"/>
    <cellStyle name="Normal 7 73 3 2" xfId="5689" xr:uid="{00000000-0005-0000-0000-000044180000}"/>
    <cellStyle name="Normal 7 73 3 3" xfId="7293" xr:uid="{00000000-0005-0000-0000-000045180000}"/>
    <cellStyle name="Normal 7 73 4" xfId="5687" xr:uid="{00000000-0005-0000-0000-000046180000}"/>
    <cellStyle name="Normal 7 73 5" xfId="7291" xr:uid="{00000000-0005-0000-0000-000047180000}"/>
    <cellStyle name="Normal 7 74" xfId="4050" xr:uid="{00000000-0005-0000-0000-000048180000}"/>
    <cellStyle name="Normal 7 74 2" xfId="4051" xr:uid="{00000000-0005-0000-0000-000049180000}"/>
    <cellStyle name="Normal 7 74 2 2" xfId="5691" xr:uid="{00000000-0005-0000-0000-00004A180000}"/>
    <cellStyle name="Normal 7 74 2 3" xfId="7295" xr:uid="{00000000-0005-0000-0000-00004B180000}"/>
    <cellStyle name="Normal 7 74 3" xfId="4052" xr:uid="{00000000-0005-0000-0000-00004C180000}"/>
    <cellStyle name="Normal 7 74 3 2" xfId="5692" xr:uid="{00000000-0005-0000-0000-00004D180000}"/>
    <cellStyle name="Normal 7 74 3 3" xfId="7296" xr:uid="{00000000-0005-0000-0000-00004E180000}"/>
    <cellStyle name="Normal 7 74 4" xfId="5690" xr:uid="{00000000-0005-0000-0000-00004F180000}"/>
    <cellStyle name="Normal 7 74 5" xfId="7294" xr:uid="{00000000-0005-0000-0000-000050180000}"/>
    <cellStyle name="Normal 7 75" xfId="4053" xr:uid="{00000000-0005-0000-0000-000051180000}"/>
    <cellStyle name="Normal 7 75 2" xfId="4054" xr:uid="{00000000-0005-0000-0000-000052180000}"/>
    <cellStyle name="Normal 7 75 2 2" xfId="5694" xr:uid="{00000000-0005-0000-0000-000053180000}"/>
    <cellStyle name="Normal 7 75 2 3" xfId="7298" xr:uid="{00000000-0005-0000-0000-000054180000}"/>
    <cellStyle name="Normal 7 75 3" xfId="4055" xr:uid="{00000000-0005-0000-0000-000055180000}"/>
    <cellStyle name="Normal 7 75 3 2" xfId="5695" xr:uid="{00000000-0005-0000-0000-000056180000}"/>
    <cellStyle name="Normal 7 75 3 3" xfId="7299" xr:uid="{00000000-0005-0000-0000-000057180000}"/>
    <cellStyle name="Normal 7 75 4" xfId="5693" xr:uid="{00000000-0005-0000-0000-000058180000}"/>
    <cellStyle name="Normal 7 75 5" xfId="7297" xr:uid="{00000000-0005-0000-0000-000059180000}"/>
    <cellStyle name="Normal 7 76" xfId="4056" xr:uid="{00000000-0005-0000-0000-00005A180000}"/>
    <cellStyle name="Normal 7 76 2" xfId="4057" xr:uid="{00000000-0005-0000-0000-00005B180000}"/>
    <cellStyle name="Normal 7 76 2 2" xfId="5697" xr:uid="{00000000-0005-0000-0000-00005C180000}"/>
    <cellStyle name="Normal 7 76 2 3" xfId="7301" xr:uid="{00000000-0005-0000-0000-00005D180000}"/>
    <cellStyle name="Normal 7 76 3" xfId="4058" xr:uid="{00000000-0005-0000-0000-00005E180000}"/>
    <cellStyle name="Normal 7 76 3 2" xfId="5698" xr:uid="{00000000-0005-0000-0000-00005F180000}"/>
    <cellStyle name="Normal 7 76 3 3" xfId="7302" xr:uid="{00000000-0005-0000-0000-000060180000}"/>
    <cellStyle name="Normal 7 76 4" xfId="5696" xr:uid="{00000000-0005-0000-0000-000061180000}"/>
    <cellStyle name="Normal 7 76 5" xfId="7300" xr:uid="{00000000-0005-0000-0000-000062180000}"/>
    <cellStyle name="Normal 7 77" xfId="4059" xr:uid="{00000000-0005-0000-0000-000063180000}"/>
    <cellStyle name="Normal 7 77 2" xfId="4060" xr:uid="{00000000-0005-0000-0000-000064180000}"/>
    <cellStyle name="Normal 7 77 2 2" xfId="5700" xr:uid="{00000000-0005-0000-0000-000065180000}"/>
    <cellStyle name="Normal 7 77 2 3" xfId="7304" xr:uid="{00000000-0005-0000-0000-000066180000}"/>
    <cellStyle name="Normal 7 77 3" xfId="4061" xr:uid="{00000000-0005-0000-0000-000067180000}"/>
    <cellStyle name="Normal 7 77 3 2" xfId="5701" xr:uid="{00000000-0005-0000-0000-000068180000}"/>
    <cellStyle name="Normal 7 77 3 3" xfId="7305" xr:uid="{00000000-0005-0000-0000-000069180000}"/>
    <cellStyle name="Normal 7 77 4" xfId="5699" xr:uid="{00000000-0005-0000-0000-00006A180000}"/>
    <cellStyle name="Normal 7 77 5" xfId="7303" xr:uid="{00000000-0005-0000-0000-00006B180000}"/>
    <cellStyle name="Normal 7 78" xfId="4062" xr:uid="{00000000-0005-0000-0000-00006C180000}"/>
    <cellStyle name="Normal 7 78 2" xfId="4063" xr:uid="{00000000-0005-0000-0000-00006D180000}"/>
    <cellStyle name="Normal 7 78 2 2" xfId="5703" xr:uid="{00000000-0005-0000-0000-00006E180000}"/>
    <cellStyle name="Normal 7 78 2 3" xfId="7307" xr:uid="{00000000-0005-0000-0000-00006F180000}"/>
    <cellStyle name="Normal 7 78 3" xfId="4064" xr:uid="{00000000-0005-0000-0000-000070180000}"/>
    <cellStyle name="Normal 7 78 3 2" xfId="5704" xr:uid="{00000000-0005-0000-0000-000071180000}"/>
    <cellStyle name="Normal 7 78 3 3" xfId="7308" xr:uid="{00000000-0005-0000-0000-000072180000}"/>
    <cellStyle name="Normal 7 78 4" xfId="5702" xr:uid="{00000000-0005-0000-0000-000073180000}"/>
    <cellStyle name="Normal 7 78 5" xfId="7306" xr:uid="{00000000-0005-0000-0000-000074180000}"/>
    <cellStyle name="Normal 7 79" xfId="4065" xr:uid="{00000000-0005-0000-0000-000075180000}"/>
    <cellStyle name="Normal 7 79 2" xfId="4066" xr:uid="{00000000-0005-0000-0000-000076180000}"/>
    <cellStyle name="Normal 7 79 2 2" xfId="5706" xr:uid="{00000000-0005-0000-0000-000077180000}"/>
    <cellStyle name="Normal 7 79 2 3" xfId="7310" xr:uid="{00000000-0005-0000-0000-000078180000}"/>
    <cellStyle name="Normal 7 79 3" xfId="4067" xr:uid="{00000000-0005-0000-0000-000079180000}"/>
    <cellStyle name="Normal 7 79 3 2" xfId="5707" xr:uid="{00000000-0005-0000-0000-00007A180000}"/>
    <cellStyle name="Normal 7 79 3 3" xfId="7311" xr:uid="{00000000-0005-0000-0000-00007B180000}"/>
    <cellStyle name="Normal 7 79 4" xfId="5705" xr:uid="{00000000-0005-0000-0000-00007C180000}"/>
    <cellStyle name="Normal 7 79 5" xfId="7309" xr:uid="{00000000-0005-0000-0000-00007D180000}"/>
    <cellStyle name="Normal 7 8" xfId="4068" xr:uid="{00000000-0005-0000-0000-00007E180000}"/>
    <cellStyle name="Normal 7 8 2" xfId="4069" xr:uid="{00000000-0005-0000-0000-00007F180000}"/>
    <cellStyle name="Normal 7 8 2 2" xfId="5709" xr:uid="{00000000-0005-0000-0000-000080180000}"/>
    <cellStyle name="Normal 7 8 2 3" xfId="7313" xr:uid="{00000000-0005-0000-0000-000081180000}"/>
    <cellStyle name="Normal 7 8 3" xfId="4070" xr:uid="{00000000-0005-0000-0000-000082180000}"/>
    <cellStyle name="Normal 7 8 3 2" xfId="5710" xr:uid="{00000000-0005-0000-0000-000083180000}"/>
    <cellStyle name="Normal 7 8 3 3" xfId="7314" xr:uid="{00000000-0005-0000-0000-000084180000}"/>
    <cellStyle name="Normal 7 8 4" xfId="5708" xr:uid="{00000000-0005-0000-0000-000085180000}"/>
    <cellStyle name="Normal 7 8 5" xfId="7312" xr:uid="{00000000-0005-0000-0000-000086180000}"/>
    <cellStyle name="Normal 7 80" xfId="4071" xr:uid="{00000000-0005-0000-0000-000087180000}"/>
    <cellStyle name="Normal 7 80 2" xfId="4072" xr:uid="{00000000-0005-0000-0000-000088180000}"/>
    <cellStyle name="Normal 7 80 2 2" xfId="5712" xr:uid="{00000000-0005-0000-0000-000089180000}"/>
    <cellStyle name="Normal 7 80 2 3" xfId="7316" xr:uid="{00000000-0005-0000-0000-00008A180000}"/>
    <cellStyle name="Normal 7 80 3" xfId="4073" xr:uid="{00000000-0005-0000-0000-00008B180000}"/>
    <cellStyle name="Normal 7 80 3 2" xfId="5713" xr:uid="{00000000-0005-0000-0000-00008C180000}"/>
    <cellStyle name="Normal 7 80 3 3" xfId="7317" xr:uid="{00000000-0005-0000-0000-00008D180000}"/>
    <cellStyle name="Normal 7 80 4" xfId="5711" xr:uid="{00000000-0005-0000-0000-00008E180000}"/>
    <cellStyle name="Normal 7 80 5" xfId="7315" xr:uid="{00000000-0005-0000-0000-00008F180000}"/>
    <cellStyle name="Normal 7 81" xfId="4074" xr:uid="{00000000-0005-0000-0000-000090180000}"/>
    <cellStyle name="Normal 7 81 2" xfId="4075" xr:uid="{00000000-0005-0000-0000-000091180000}"/>
    <cellStyle name="Normal 7 81 2 2" xfId="5715" xr:uid="{00000000-0005-0000-0000-000092180000}"/>
    <cellStyle name="Normal 7 81 2 3" xfId="7319" xr:uid="{00000000-0005-0000-0000-000093180000}"/>
    <cellStyle name="Normal 7 81 3" xfId="4076" xr:uid="{00000000-0005-0000-0000-000094180000}"/>
    <cellStyle name="Normal 7 81 3 2" xfId="5716" xr:uid="{00000000-0005-0000-0000-000095180000}"/>
    <cellStyle name="Normal 7 81 3 3" xfId="7320" xr:uid="{00000000-0005-0000-0000-000096180000}"/>
    <cellStyle name="Normal 7 81 4" xfId="5714" xr:uid="{00000000-0005-0000-0000-000097180000}"/>
    <cellStyle name="Normal 7 81 5" xfId="7318" xr:uid="{00000000-0005-0000-0000-000098180000}"/>
    <cellStyle name="Normal 7 82" xfId="4077" xr:uid="{00000000-0005-0000-0000-000099180000}"/>
    <cellStyle name="Normal 7 82 2" xfId="4078" xr:uid="{00000000-0005-0000-0000-00009A180000}"/>
    <cellStyle name="Normal 7 82 2 2" xfId="5718" xr:uid="{00000000-0005-0000-0000-00009B180000}"/>
    <cellStyle name="Normal 7 82 2 3" xfId="7322" xr:uid="{00000000-0005-0000-0000-00009C180000}"/>
    <cellStyle name="Normal 7 82 3" xfId="4079" xr:uid="{00000000-0005-0000-0000-00009D180000}"/>
    <cellStyle name="Normal 7 82 3 2" xfId="5719" xr:uid="{00000000-0005-0000-0000-00009E180000}"/>
    <cellStyle name="Normal 7 82 3 3" xfId="7323" xr:uid="{00000000-0005-0000-0000-00009F180000}"/>
    <cellStyle name="Normal 7 82 4" xfId="5717" xr:uid="{00000000-0005-0000-0000-0000A0180000}"/>
    <cellStyle name="Normal 7 82 5" xfId="7321" xr:uid="{00000000-0005-0000-0000-0000A1180000}"/>
    <cellStyle name="Normal 7 83" xfId="4080" xr:uid="{00000000-0005-0000-0000-0000A2180000}"/>
    <cellStyle name="Normal 7 83 2" xfId="4081" xr:uid="{00000000-0005-0000-0000-0000A3180000}"/>
    <cellStyle name="Normal 7 83 2 2" xfId="5721" xr:uid="{00000000-0005-0000-0000-0000A4180000}"/>
    <cellStyle name="Normal 7 83 2 3" xfId="7325" xr:uid="{00000000-0005-0000-0000-0000A5180000}"/>
    <cellStyle name="Normal 7 83 3" xfId="4082" xr:uid="{00000000-0005-0000-0000-0000A6180000}"/>
    <cellStyle name="Normal 7 83 3 2" xfId="5722" xr:uid="{00000000-0005-0000-0000-0000A7180000}"/>
    <cellStyle name="Normal 7 83 3 3" xfId="7326" xr:uid="{00000000-0005-0000-0000-0000A8180000}"/>
    <cellStyle name="Normal 7 83 4" xfId="5720" xr:uid="{00000000-0005-0000-0000-0000A9180000}"/>
    <cellStyle name="Normal 7 83 5" xfId="7324" xr:uid="{00000000-0005-0000-0000-0000AA180000}"/>
    <cellStyle name="Normal 7 84" xfId="4083" xr:uid="{00000000-0005-0000-0000-0000AB180000}"/>
    <cellStyle name="Normal 7 84 2" xfId="4084" xr:uid="{00000000-0005-0000-0000-0000AC180000}"/>
    <cellStyle name="Normal 7 84 2 2" xfId="5724" xr:uid="{00000000-0005-0000-0000-0000AD180000}"/>
    <cellStyle name="Normal 7 84 2 3" xfId="7328" xr:uid="{00000000-0005-0000-0000-0000AE180000}"/>
    <cellStyle name="Normal 7 84 3" xfId="4085" xr:uid="{00000000-0005-0000-0000-0000AF180000}"/>
    <cellStyle name="Normal 7 84 3 2" xfId="5725" xr:uid="{00000000-0005-0000-0000-0000B0180000}"/>
    <cellStyle name="Normal 7 84 3 3" xfId="7329" xr:uid="{00000000-0005-0000-0000-0000B1180000}"/>
    <cellStyle name="Normal 7 84 4" xfId="5723" xr:uid="{00000000-0005-0000-0000-0000B2180000}"/>
    <cellStyle name="Normal 7 84 5" xfId="7327" xr:uid="{00000000-0005-0000-0000-0000B3180000}"/>
    <cellStyle name="Normal 7 85" xfId="4086" xr:uid="{00000000-0005-0000-0000-0000B4180000}"/>
    <cellStyle name="Normal 7 85 2" xfId="4087" xr:uid="{00000000-0005-0000-0000-0000B5180000}"/>
    <cellStyle name="Normal 7 85 2 2" xfId="5727" xr:uid="{00000000-0005-0000-0000-0000B6180000}"/>
    <cellStyle name="Normal 7 85 2 3" xfId="7331" xr:uid="{00000000-0005-0000-0000-0000B7180000}"/>
    <cellStyle name="Normal 7 85 3" xfId="4088" xr:uid="{00000000-0005-0000-0000-0000B8180000}"/>
    <cellStyle name="Normal 7 85 3 2" xfId="5728" xr:uid="{00000000-0005-0000-0000-0000B9180000}"/>
    <cellStyle name="Normal 7 85 3 3" xfId="7332" xr:uid="{00000000-0005-0000-0000-0000BA180000}"/>
    <cellStyle name="Normal 7 85 4" xfId="5726" xr:uid="{00000000-0005-0000-0000-0000BB180000}"/>
    <cellStyle name="Normal 7 85 5" xfId="7330" xr:uid="{00000000-0005-0000-0000-0000BC180000}"/>
    <cellStyle name="Normal 7 86" xfId="4089" xr:uid="{00000000-0005-0000-0000-0000BD180000}"/>
    <cellStyle name="Normal 7 86 2" xfId="4090" xr:uid="{00000000-0005-0000-0000-0000BE180000}"/>
    <cellStyle name="Normal 7 86 2 2" xfId="5730" xr:uid="{00000000-0005-0000-0000-0000BF180000}"/>
    <cellStyle name="Normal 7 86 2 3" xfId="7334" xr:uid="{00000000-0005-0000-0000-0000C0180000}"/>
    <cellStyle name="Normal 7 86 3" xfId="4091" xr:uid="{00000000-0005-0000-0000-0000C1180000}"/>
    <cellStyle name="Normal 7 86 3 2" xfId="5731" xr:uid="{00000000-0005-0000-0000-0000C2180000}"/>
    <cellStyle name="Normal 7 86 3 3" xfId="7335" xr:uid="{00000000-0005-0000-0000-0000C3180000}"/>
    <cellStyle name="Normal 7 86 4" xfId="5729" xr:uid="{00000000-0005-0000-0000-0000C4180000}"/>
    <cellStyle name="Normal 7 86 5" xfId="7333" xr:uid="{00000000-0005-0000-0000-0000C5180000}"/>
    <cellStyle name="Normal 7 87" xfId="4092" xr:uid="{00000000-0005-0000-0000-0000C6180000}"/>
    <cellStyle name="Normal 7 87 2" xfId="4093" xr:uid="{00000000-0005-0000-0000-0000C7180000}"/>
    <cellStyle name="Normal 7 87 2 2" xfId="5733" xr:uid="{00000000-0005-0000-0000-0000C8180000}"/>
    <cellStyle name="Normal 7 87 2 3" xfId="7337" xr:uid="{00000000-0005-0000-0000-0000C9180000}"/>
    <cellStyle name="Normal 7 87 3" xfId="4094" xr:uid="{00000000-0005-0000-0000-0000CA180000}"/>
    <cellStyle name="Normal 7 87 3 2" xfId="5734" xr:uid="{00000000-0005-0000-0000-0000CB180000}"/>
    <cellStyle name="Normal 7 87 3 3" xfId="7338" xr:uid="{00000000-0005-0000-0000-0000CC180000}"/>
    <cellStyle name="Normal 7 87 4" xfId="5732" xr:uid="{00000000-0005-0000-0000-0000CD180000}"/>
    <cellStyle name="Normal 7 87 5" xfId="7336" xr:uid="{00000000-0005-0000-0000-0000CE180000}"/>
    <cellStyle name="Normal 7 88" xfId="4095" xr:uid="{00000000-0005-0000-0000-0000CF180000}"/>
    <cellStyle name="Normal 7 88 2" xfId="4096" xr:uid="{00000000-0005-0000-0000-0000D0180000}"/>
    <cellStyle name="Normal 7 88 2 2" xfId="5736" xr:uid="{00000000-0005-0000-0000-0000D1180000}"/>
    <cellStyle name="Normal 7 88 2 3" xfId="7340" xr:uid="{00000000-0005-0000-0000-0000D2180000}"/>
    <cellStyle name="Normal 7 88 3" xfId="4097" xr:uid="{00000000-0005-0000-0000-0000D3180000}"/>
    <cellStyle name="Normal 7 88 3 2" xfId="5737" xr:uid="{00000000-0005-0000-0000-0000D4180000}"/>
    <cellStyle name="Normal 7 88 3 3" xfId="7341" xr:uid="{00000000-0005-0000-0000-0000D5180000}"/>
    <cellStyle name="Normal 7 88 4" xfId="5735" xr:uid="{00000000-0005-0000-0000-0000D6180000}"/>
    <cellStyle name="Normal 7 88 5" xfId="7339" xr:uid="{00000000-0005-0000-0000-0000D7180000}"/>
    <cellStyle name="Normal 7 89" xfId="4098" xr:uid="{00000000-0005-0000-0000-0000D8180000}"/>
    <cellStyle name="Normal 7 89 2" xfId="4099" xr:uid="{00000000-0005-0000-0000-0000D9180000}"/>
    <cellStyle name="Normal 7 89 2 2" xfId="5739" xr:uid="{00000000-0005-0000-0000-0000DA180000}"/>
    <cellStyle name="Normal 7 89 2 3" xfId="7343" xr:uid="{00000000-0005-0000-0000-0000DB180000}"/>
    <cellStyle name="Normal 7 89 3" xfId="4100" xr:uid="{00000000-0005-0000-0000-0000DC180000}"/>
    <cellStyle name="Normal 7 89 3 2" xfId="5740" xr:uid="{00000000-0005-0000-0000-0000DD180000}"/>
    <cellStyle name="Normal 7 89 3 3" xfId="7344" xr:uid="{00000000-0005-0000-0000-0000DE180000}"/>
    <cellStyle name="Normal 7 89 4" xfId="5738" xr:uid="{00000000-0005-0000-0000-0000DF180000}"/>
    <cellStyle name="Normal 7 89 5" xfId="7342" xr:uid="{00000000-0005-0000-0000-0000E0180000}"/>
    <cellStyle name="Normal 7 9" xfId="4101" xr:uid="{00000000-0005-0000-0000-0000E1180000}"/>
    <cellStyle name="Normal 7 9 2" xfId="4102" xr:uid="{00000000-0005-0000-0000-0000E2180000}"/>
    <cellStyle name="Normal 7 9 2 2" xfId="5742" xr:uid="{00000000-0005-0000-0000-0000E3180000}"/>
    <cellStyle name="Normal 7 9 2 3" xfId="7346" xr:uid="{00000000-0005-0000-0000-0000E4180000}"/>
    <cellStyle name="Normal 7 9 3" xfId="4103" xr:uid="{00000000-0005-0000-0000-0000E5180000}"/>
    <cellStyle name="Normal 7 9 3 2" xfId="5743" xr:uid="{00000000-0005-0000-0000-0000E6180000}"/>
    <cellStyle name="Normal 7 9 3 3" xfId="7347" xr:uid="{00000000-0005-0000-0000-0000E7180000}"/>
    <cellStyle name="Normal 7 9 4" xfId="5741" xr:uid="{00000000-0005-0000-0000-0000E8180000}"/>
    <cellStyle name="Normal 7 9 5" xfId="7345" xr:uid="{00000000-0005-0000-0000-0000E9180000}"/>
    <cellStyle name="Normal 7 90" xfId="4104" xr:uid="{00000000-0005-0000-0000-0000EA180000}"/>
    <cellStyle name="Normal 7 90 2" xfId="4105" xr:uid="{00000000-0005-0000-0000-0000EB180000}"/>
    <cellStyle name="Normal 7 90 2 2" xfId="5745" xr:uid="{00000000-0005-0000-0000-0000EC180000}"/>
    <cellStyle name="Normal 7 90 2 3" xfId="7349" xr:uid="{00000000-0005-0000-0000-0000ED180000}"/>
    <cellStyle name="Normal 7 90 3" xfId="4106" xr:uid="{00000000-0005-0000-0000-0000EE180000}"/>
    <cellStyle name="Normal 7 90 3 2" xfId="5746" xr:uid="{00000000-0005-0000-0000-0000EF180000}"/>
    <cellStyle name="Normal 7 90 3 3" xfId="7350" xr:uid="{00000000-0005-0000-0000-0000F0180000}"/>
    <cellStyle name="Normal 7 90 4" xfId="5744" xr:uid="{00000000-0005-0000-0000-0000F1180000}"/>
    <cellStyle name="Normal 7 90 5" xfId="7348" xr:uid="{00000000-0005-0000-0000-0000F2180000}"/>
    <cellStyle name="Normal 7 91" xfId="4107" xr:uid="{00000000-0005-0000-0000-0000F3180000}"/>
    <cellStyle name="Normal 7 91 2" xfId="4108" xr:uid="{00000000-0005-0000-0000-0000F4180000}"/>
    <cellStyle name="Normal 7 91 2 2" xfId="5748" xr:uid="{00000000-0005-0000-0000-0000F5180000}"/>
    <cellStyle name="Normal 7 91 2 3" xfId="7352" xr:uid="{00000000-0005-0000-0000-0000F6180000}"/>
    <cellStyle name="Normal 7 91 3" xfId="4109" xr:uid="{00000000-0005-0000-0000-0000F7180000}"/>
    <cellStyle name="Normal 7 91 3 2" xfId="5749" xr:uid="{00000000-0005-0000-0000-0000F8180000}"/>
    <cellStyle name="Normal 7 91 3 3" xfId="7353" xr:uid="{00000000-0005-0000-0000-0000F9180000}"/>
    <cellStyle name="Normal 7 91 4" xfId="5747" xr:uid="{00000000-0005-0000-0000-0000FA180000}"/>
    <cellStyle name="Normal 7 91 5" xfId="7351" xr:uid="{00000000-0005-0000-0000-0000FB180000}"/>
    <cellStyle name="Normal 7 92" xfId="4110" xr:uid="{00000000-0005-0000-0000-0000FC180000}"/>
    <cellStyle name="Normal 7 92 2" xfId="4111" xr:uid="{00000000-0005-0000-0000-0000FD180000}"/>
    <cellStyle name="Normal 7 92 2 2" xfId="5751" xr:uid="{00000000-0005-0000-0000-0000FE180000}"/>
    <cellStyle name="Normal 7 92 2 3" xfId="7355" xr:uid="{00000000-0005-0000-0000-0000FF180000}"/>
    <cellStyle name="Normal 7 92 3" xfId="4112" xr:uid="{00000000-0005-0000-0000-000000190000}"/>
    <cellStyle name="Normal 7 92 3 2" xfId="5752" xr:uid="{00000000-0005-0000-0000-000001190000}"/>
    <cellStyle name="Normal 7 92 3 3" xfId="7356" xr:uid="{00000000-0005-0000-0000-000002190000}"/>
    <cellStyle name="Normal 7 92 4" xfId="5750" xr:uid="{00000000-0005-0000-0000-000003190000}"/>
    <cellStyle name="Normal 7 92 5" xfId="7354" xr:uid="{00000000-0005-0000-0000-000004190000}"/>
    <cellStyle name="Normal 7 93" xfId="4113" xr:uid="{00000000-0005-0000-0000-000005190000}"/>
    <cellStyle name="Normal 7 93 2" xfId="4114" xr:uid="{00000000-0005-0000-0000-000006190000}"/>
    <cellStyle name="Normal 7 93 2 2" xfId="5754" xr:uid="{00000000-0005-0000-0000-000007190000}"/>
    <cellStyle name="Normal 7 93 2 3" xfId="7358" xr:uid="{00000000-0005-0000-0000-000008190000}"/>
    <cellStyle name="Normal 7 93 3" xfId="4115" xr:uid="{00000000-0005-0000-0000-000009190000}"/>
    <cellStyle name="Normal 7 93 3 2" xfId="5755" xr:uid="{00000000-0005-0000-0000-00000A190000}"/>
    <cellStyle name="Normal 7 93 3 3" xfId="7359" xr:uid="{00000000-0005-0000-0000-00000B190000}"/>
    <cellStyle name="Normal 7 93 4" xfId="5753" xr:uid="{00000000-0005-0000-0000-00000C190000}"/>
    <cellStyle name="Normal 7 93 5" xfId="7357" xr:uid="{00000000-0005-0000-0000-00000D190000}"/>
    <cellStyle name="Normal 7 94" xfId="4116" xr:uid="{00000000-0005-0000-0000-00000E190000}"/>
    <cellStyle name="Normal 7 94 2" xfId="4117" xr:uid="{00000000-0005-0000-0000-00000F190000}"/>
    <cellStyle name="Normal 7 94 2 2" xfId="5757" xr:uid="{00000000-0005-0000-0000-000010190000}"/>
    <cellStyle name="Normal 7 94 2 3" xfId="7361" xr:uid="{00000000-0005-0000-0000-000011190000}"/>
    <cellStyle name="Normal 7 94 3" xfId="4118" xr:uid="{00000000-0005-0000-0000-000012190000}"/>
    <cellStyle name="Normal 7 94 3 2" xfId="5758" xr:uid="{00000000-0005-0000-0000-000013190000}"/>
    <cellStyle name="Normal 7 94 3 3" xfId="7362" xr:uid="{00000000-0005-0000-0000-000014190000}"/>
    <cellStyle name="Normal 7 94 4" xfId="5756" xr:uid="{00000000-0005-0000-0000-000015190000}"/>
    <cellStyle name="Normal 7 94 5" xfId="7360" xr:uid="{00000000-0005-0000-0000-000016190000}"/>
    <cellStyle name="Normal 7 95" xfId="4119" xr:uid="{00000000-0005-0000-0000-000017190000}"/>
    <cellStyle name="Normal 7 95 2" xfId="4120" xr:uid="{00000000-0005-0000-0000-000018190000}"/>
    <cellStyle name="Normal 7 95 2 2" xfId="5760" xr:uid="{00000000-0005-0000-0000-000019190000}"/>
    <cellStyle name="Normal 7 95 2 3" xfId="7364" xr:uid="{00000000-0005-0000-0000-00001A190000}"/>
    <cellStyle name="Normal 7 95 3" xfId="4121" xr:uid="{00000000-0005-0000-0000-00001B190000}"/>
    <cellStyle name="Normal 7 95 3 2" xfId="5761" xr:uid="{00000000-0005-0000-0000-00001C190000}"/>
    <cellStyle name="Normal 7 95 3 3" xfId="7365" xr:uid="{00000000-0005-0000-0000-00001D190000}"/>
    <cellStyle name="Normal 7 95 4" xfId="5759" xr:uid="{00000000-0005-0000-0000-00001E190000}"/>
    <cellStyle name="Normal 7 95 5" xfId="7363" xr:uid="{00000000-0005-0000-0000-00001F190000}"/>
    <cellStyle name="Normal 7 96" xfId="4122" xr:uid="{00000000-0005-0000-0000-000020190000}"/>
    <cellStyle name="Normal 7 96 2" xfId="4123" xr:uid="{00000000-0005-0000-0000-000021190000}"/>
    <cellStyle name="Normal 7 96 2 2" xfId="5763" xr:uid="{00000000-0005-0000-0000-000022190000}"/>
    <cellStyle name="Normal 7 96 2 3" xfId="7367" xr:uid="{00000000-0005-0000-0000-000023190000}"/>
    <cellStyle name="Normal 7 96 3" xfId="4124" xr:uid="{00000000-0005-0000-0000-000024190000}"/>
    <cellStyle name="Normal 7 96 3 2" xfId="5764" xr:uid="{00000000-0005-0000-0000-000025190000}"/>
    <cellStyle name="Normal 7 96 3 3" xfId="7368" xr:uid="{00000000-0005-0000-0000-000026190000}"/>
    <cellStyle name="Normal 7 96 4" xfId="5762" xr:uid="{00000000-0005-0000-0000-000027190000}"/>
    <cellStyle name="Normal 7 96 5" xfId="7366" xr:uid="{00000000-0005-0000-0000-000028190000}"/>
    <cellStyle name="Normal 7 97" xfId="4125" xr:uid="{00000000-0005-0000-0000-000029190000}"/>
    <cellStyle name="Normal 7 97 2" xfId="4126" xr:uid="{00000000-0005-0000-0000-00002A190000}"/>
    <cellStyle name="Normal 7 97 2 2" xfId="5766" xr:uid="{00000000-0005-0000-0000-00002B190000}"/>
    <cellStyle name="Normal 7 97 2 3" xfId="7370" xr:uid="{00000000-0005-0000-0000-00002C190000}"/>
    <cellStyle name="Normal 7 97 3" xfId="4127" xr:uid="{00000000-0005-0000-0000-00002D190000}"/>
    <cellStyle name="Normal 7 97 3 2" xfId="5767" xr:uid="{00000000-0005-0000-0000-00002E190000}"/>
    <cellStyle name="Normal 7 97 3 3" xfId="7371" xr:uid="{00000000-0005-0000-0000-00002F190000}"/>
    <cellStyle name="Normal 7 97 4" xfId="5765" xr:uid="{00000000-0005-0000-0000-000030190000}"/>
    <cellStyle name="Normal 7 97 5" xfId="7369" xr:uid="{00000000-0005-0000-0000-000031190000}"/>
    <cellStyle name="Normal 7 98" xfId="4128" xr:uid="{00000000-0005-0000-0000-000032190000}"/>
    <cellStyle name="Normal 7 98 2" xfId="4129" xr:uid="{00000000-0005-0000-0000-000033190000}"/>
    <cellStyle name="Normal 7 98 2 2" xfId="5769" xr:uid="{00000000-0005-0000-0000-000034190000}"/>
    <cellStyle name="Normal 7 98 2 3" xfId="7373" xr:uid="{00000000-0005-0000-0000-000035190000}"/>
    <cellStyle name="Normal 7 98 3" xfId="4130" xr:uid="{00000000-0005-0000-0000-000036190000}"/>
    <cellStyle name="Normal 7 98 3 2" xfId="5770" xr:uid="{00000000-0005-0000-0000-000037190000}"/>
    <cellStyle name="Normal 7 98 3 3" xfId="7374" xr:uid="{00000000-0005-0000-0000-000038190000}"/>
    <cellStyle name="Normal 7 98 4" xfId="5768" xr:uid="{00000000-0005-0000-0000-000039190000}"/>
    <cellStyle name="Normal 7 98 5" xfId="7372" xr:uid="{00000000-0005-0000-0000-00003A190000}"/>
    <cellStyle name="Normal 7 99" xfId="4131" xr:uid="{00000000-0005-0000-0000-00003B190000}"/>
    <cellStyle name="Normal 7 99 2" xfId="4132" xr:uid="{00000000-0005-0000-0000-00003C190000}"/>
    <cellStyle name="Normal 7 99 2 2" xfId="5772" xr:uid="{00000000-0005-0000-0000-00003D190000}"/>
    <cellStyle name="Normal 7 99 2 3" xfId="7376" xr:uid="{00000000-0005-0000-0000-00003E190000}"/>
    <cellStyle name="Normal 7 99 3" xfId="4133" xr:uid="{00000000-0005-0000-0000-00003F190000}"/>
    <cellStyle name="Normal 7 99 3 2" xfId="5773" xr:uid="{00000000-0005-0000-0000-000040190000}"/>
    <cellStyle name="Normal 7 99 3 3" xfId="7377" xr:uid="{00000000-0005-0000-0000-000041190000}"/>
    <cellStyle name="Normal 7 99 4" xfId="5771" xr:uid="{00000000-0005-0000-0000-000042190000}"/>
    <cellStyle name="Normal 7 99 5" xfId="7375" xr:uid="{00000000-0005-0000-0000-000043190000}"/>
    <cellStyle name="Normal 70" xfId="4134" xr:uid="{00000000-0005-0000-0000-000044190000}"/>
    <cellStyle name="Normal 71" xfId="4135" xr:uid="{00000000-0005-0000-0000-000045190000}"/>
    <cellStyle name="Normal 72" xfId="4136" xr:uid="{00000000-0005-0000-0000-000046190000}"/>
    <cellStyle name="Normal 73" xfId="4137" xr:uid="{00000000-0005-0000-0000-000047190000}"/>
    <cellStyle name="Normal 74" xfId="4138" xr:uid="{00000000-0005-0000-0000-000048190000}"/>
    <cellStyle name="Normal 75" xfId="4139" xr:uid="{00000000-0005-0000-0000-000049190000}"/>
    <cellStyle name="Normal 76" xfId="4140" xr:uid="{00000000-0005-0000-0000-00004A190000}"/>
    <cellStyle name="Normal 78" xfId="4141" xr:uid="{00000000-0005-0000-0000-00004B190000}"/>
    <cellStyle name="Normal 79" xfId="4142" xr:uid="{00000000-0005-0000-0000-00004C190000}"/>
    <cellStyle name="Normal 8" xfId="4607" xr:uid="{00000000-0005-0000-0000-00004D190000}"/>
    <cellStyle name="Normal 80" xfId="4143" xr:uid="{00000000-0005-0000-0000-00004E190000}"/>
    <cellStyle name="Normal 81" xfId="4144" xr:uid="{00000000-0005-0000-0000-00004F190000}"/>
    <cellStyle name="Normal 82" xfId="4145" xr:uid="{00000000-0005-0000-0000-000050190000}"/>
    <cellStyle name="Normal 83" xfId="4146" xr:uid="{00000000-0005-0000-0000-000051190000}"/>
    <cellStyle name="Normal 84" xfId="4147" xr:uid="{00000000-0005-0000-0000-000052190000}"/>
    <cellStyle name="Normal 85" xfId="4148" xr:uid="{00000000-0005-0000-0000-000053190000}"/>
    <cellStyle name="Normal 86" xfId="4149" xr:uid="{00000000-0005-0000-0000-000054190000}"/>
    <cellStyle name="Normal 87" xfId="4150" xr:uid="{00000000-0005-0000-0000-000055190000}"/>
    <cellStyle name="Normal 88" xfId="4151" xr:uid="{00000000-0005-0000-0000-000056190000}"/>
    <cellStyle name="Normal 89" xfId="4152" xr:uid="{00000000-0005-0000-0000-000057190000}"/>
    <cellStyle name="Normal 9" xfId="4153" xr:uid="{00000000-0005-0000-0000-000058190000}"/>
    <cellStyle name="Normal 9 10" xfId="4154" xr:uid="{00000000-0005-0000-0000-000059190000}"/>
    <cellStyle name="Normal 9 10 2" xfId="4155" xr:uid="{00000000-0005-0000-0000-00005A190000}"/>
    <cellStyle name="Normal 9 10 2 2" xfId="5776" xr:uid="{00000000-0005-0000-0000-00005B190000}"/>
    <cellStyle name="Normal 9 10 2 3" xfId="7380" xr:uid="{00000000-0005-0000-0000-00005C190000}"/>
    <cellStyle name="Normal 9 10 3" xfId="4156" xr:uid="{00000000-0005-0000-0000-00005D190000}"/>
    <cellStyle name="Normal 9 10 3 2" xfId="5777" xr:uid="{00000000-0005-0000-0000-00005E190000}"/>
    <cellStyle name="Normal 9 10 3 3" xfId="7381" xr:uid="{00000000-0005-0000-0000-00005F190000}"/>
    <cellStyle name="Normal 9 10 4" xfId="5775" xr:uid="{00000000-0005-0000-0000-000060190000}"/>
    <cellStyle name="Normal 9 10 5" xfId="7379" xr:uid="{00000000-0005-0000-0000-000061190000}"/>
    <cellStyle name="Normal 9 100" xfId="4157" xr:uid="{00000000-0005-0000-0000-000062190000}"/>
    <cellStyle name="Normal 9 100 2" xfId="4158" xr:uid="{00000000-0005-0000-0000-000063190000}"/>
    <cellStyle name="Normal 9 100 2 2" xfId="5779" xr:uid="{00000000-0005-0000-0000-000064190000}"/>
    <cellStyle name="Normal 9 100 2 3" xfId="7383" xr:uid="{00000000-0005-0000-0000-000065190000}"/>
    <cellStyle name="Normal 9 100 3" xfId="4159" xr:uid="{00000000-0005-0000-0000-000066190000}"/>
    <cellStyle name="Normal 9 100 3 2" xfId="5780" xr:uid="{00000000-0005-0000-0000-000067190000}"/>
    <cellStyle name="Normal 9 100 3 3" xfId="7384" xr:uid="{00000000-0005-0000-0000-000068190000}"/>
    <cellStyle name="Normal 9 100 4" xfId="5778" xr:uid="{00000000-0005-0000-0000-000069190000}"/>
    <cellStyle name="Normal 9 100 5" xfId="7382" xr:uid="{00000000-0005-0000-0000-00006A190000}"/>
    <cellStyle name="Normal 9 101" xfId="4160" xr:uid="{00000000-0005-0000-0000-00006B190000}"/>
    <cellStyle name="Normal 9 101 2" xfId="4161" xr:uid="{00000000-0005-0000-0000-00006C190000}"/>
    <cellStyle name="Normal 9 101 2 2" xfId="5782" xr:uid="{00000000-0005-0000-0000-00006D190000}"/>
    <cellStyle name="Normal 9 101 2 3" xfId="7386" xr:uid="{00000000-0005-0000-0000-00006E190000}"/>
    <cellStyle name="Normal 9 101 3" xfId="4162" xr:uid="{00000000-0005-0000-0000-00006F190000}"/>
    <cellStyle name="Normal 9 101 3 2" xfId="5783" xr:uid="{00000000-0005-0000-0000-000070190000}"/>
    <cellStyle name="Normal 9 101 3 3" xfId="7387" xr:uid="{00000000-0005-0000-0000-000071190000}"/>
    <cellStyle name="Normal 9 101 4" xfId="5781" xr:uid="{00000000-0005-0000-0000-000072190000}"/>
    <cellStyle name="Normal 9 101 5" xfId="7385" xr:uid="{00000000-0005-0000-0000-000073190000}"/>
    <cellStyle name="Normal 9 102" xfId="4163" xr:uid="{00000000-0005-0000-0000-000074190000}"/>
    <cellStyle name="Normal 9 102 2" xfId="4164" xr:uid="{00000000-0005-0000-0000-000075190000}"/>
    <cellStyle name="Normal 9 102 2 2" xfId="5785" xr:uid="{00000000-0005-0000-0000-000076190000}"/>
    <cellStyle name="Normal 9 102 2 3" xfId="7389" xr:uid="{00000000-0005-0000-0000-000077190000}"/>
    <cellStyle name="Normal 9 102 3" xfId="4165" xr:uid="{00000000-0005-0000-0000-000078190000}"/>
    <cellStyle name="Normal 9 102 3 2" xfId="5786" xr:uid="{00000000-0005-0000-0000-000079190000}"/>
    <cellStyle name="Normal 9 102 3 3" xfId="7390" xr:uid="{00000000-0005-0000-0000-00007A190000}"/>
    <cellStyle name="Normal 9 102 4" xfId="5784" xr:uid="{00000000-0005-0000-0000-00007B190000}"/>
    <cellStyle name="Normal 9 102 5" xfId="7388" xr:uid="{00000000-0005-0000-0000-00007C190000}"/>
    <cellStyle name="Normal 9 103" xfId="4166" xr:uid="{00000000-0005-0000-0000-00007D190000}"/>
    <cellStyle name="Normal 9 103 2" xfId="4167" xr:uid="{00000000-0005-0000-0000-00007E190000}"/>
    <cellStyle name="Normal 9 103 2 2" xfId="5788" xr:uid="{00000000-0005-0000-0000-00007F190000}"/>
    <cellStyle name="Normal 9 103 2 3" xfId="7392" xr:uid="{00000000-0005-0000-0000-000080190000}"/>
    <cellStyle name="Normal 9 103 3" xfId="4168" xr:uid="{00000000-0005-0000-0000-000081190000}"/>
    <cellStyle name="Normal 9 103 3 2" xfId="5789" xr:uid="{00000000-0005-0000-0000-000082190000}"/>
    <cellStyle name="Normal 9 103 3 3" xfId="7393" xr:uid="{00000000-0005-0000-0000-000083190000}"/>
    <cellStyle name="Normal 9 103 4" xfId="5787" xr:uid="{00000000-0005-0000-0000-000084190000}"/>
    <cellStyle name="Normal 9 103 5" xfId="7391" xr:uid="{00000000-0005-0000-0000-000085190000}"/>
    <cellStyle name="Normal 9 104" xfId="4169" xr:uid="{00000000-0005-0000-0000-000086190000}"/>
    <cellStyle name="Normal 9 104 2" xfId="4170" xr:uid="{00000000-0005-0000-0000-000087190000}"/>
    <cellStyle name="Normal 9 104 2 2" xfId="5791" xr:uid="{00000000-0005-0000-0000-000088190000}"/>
    <cellStyle name="Normal 9 104 2 3" xfId="7395" xr:uid="{00000000-0005-0000-0000-000089190000}"/>
    <cellStyle name="Normal 9 104 3" xfId="4171" xr:uid="{00000000-0005-0000-0000-00008A190000}"/>
    <cellStyle name="Normal 9 104 3 2" xfId="5792" xr:uid="{00000000-0005-0000-0000-00008B190000}"/>
    <cellStyle name="Normal 9 104 3 3" xfId="7396" xr:uid="{00000000-0005-0000-0000-00008C190000}"/>
    <cellStyle name="Normal 9 104 4" xfId="5790" xr:uid="{00000000-0005-0000-0000-00008D190000}"/>
    <cellStyle name="Normal 9 104 5" xfId="7394" xr:uid="{00000000-0005-0000-0000-00008E190000}"/>
    <cellStyle name="Normal 9 105" xfId="4172" xr:uid="{00000000-0005-0000-0000-00008F190000}"/>
    <cellStyle name="Normal 9 105 2" xfId="4173" xr:uid="{00000000-0005-0000-0000-000090190000}"/>
    <cellStyle name="Normal 9 105 2 2" xfId="5794" xr:uid="{00000000-0005-0000-0000-000091190000}"/>
    <cellStyle name="Normal 9 105 2 3" xfId="7398" xr:uid="{00000000-0005-0000-0000-000092190000}"/>
    <cellStyle name="Normal 9 105 3" xfId="4174" xr:uid="{00000000-0005-0000-0000-000093190000}"/>
    <cellStyle name="Normal 9 105 3 2" xfId="5795" xr:uid="{00000000-0005-0000-0000-000094190000}"/>
    <cellStyle name="Normal 9 105 3 3" xfId="7399" xr:uid="{00000000-0005-0000-0000-000095190000}"/>
    <cellStyle name="Normal 9 105 4" xfId="5793" xr:uid="{00000000-0005-0000-0000-000096190000}"/>
    <cellStyle name="Normal 9 105 5" xfId="7397" xr:uid="{00000000-0005-0000-0000-000097190000}"/>
    <cellStyle name="Normal 9 106" xfId="4175" xr:uid="{00000000-0005-0000-0000-000098190000}"/>
    <cellStyle name="Normal 9 106 2" xfId="4176" xr:uid="{00000000-0005-0000-0000-000099190000}"/>
    <cellStyle name="Normal 9 106 2 2" xfId="5797" xr:uid="{00000000-0005-0000-0000-00009A190000}"/>
    <cellStyle name="Normal 9 106 2 3" xfId="7401" xr:uid="{00000000-0005-0000-0000-00009B190000}"/>
    <cellStyle name="Normal 9 106 3" xfId="4177" xr:uid="{00000000-0005-0000-0000-00009C190000}"/>
    <cellStyle name="Normal 9 106 3 2" xfId="5798" xr:uid="{00000000-0005-0000-0000-00009D190000}"/>
    <cellStyle name="Normal 9 106 3 3" xfId="7402" xr:uid="{00000000-0005-0000-0000-00009E190000}"/>
    <cellStyle name="Normal 9 106 4" xfId="5796" xr:uid="{00000000-0005-0000-0000-00009F190000}"/>
    <cellStyle name="Normal 9 106 5" xfId="7400" xr:uid="{00000000-0005-0000-0000-0000A0190000}"/>
    <cellStyle name="Normal 9 107" xfId="4178" xr:uid="{00000000-0005-0000-0000-0000A1190000}"/>
    <cellStyle name="Normal 9 107 2" xfId="4179" xr:uid="{00000000-0005-0000-0000-0000A2190000}"/>
    <cellStyle name="Normal 9 107 2 2" xfId="5800" xr:uid="{00000000-0005-0000-0000-0000A3190000}"/>
    <cellStyle name="Normal 9 107 2 3" xfId="7404" xr:uid="{00000000-0005-0000-0000-0000A4190000}"/>
    <cellStyle name="Normal 9 107 3" xfId="4180" xr:uid="{00000000-0005-0000-0000-0000A5190000}"/>
    <cellStyle name="Normal 9 107 3 2" xfId="5801" xr:uid="{00000000-0005-0000-0000-0000A6190000}"/>
    <cellStyle name="Normal 9 107 3 3" xfId="7405" xr:uid="{00000000-0005-0000-0000-0000A7190000}"/>
    <cellStyle name="Normal 9 107 4" xfId="5799" xr:uid="{00000000-0005-0000-0000-0000A8190000}"/>
    <cellStyle name="Normal 9 107 5" xfId="7403" xr:uid="{00000000-0005-0000-0000-0000A9190000}"/>
    <cellStyle name="Normal 9 108" xfId="4181" xr:uid="{00000000-0005-0000-0000-0000AA190000}"/>
    <cellStyle name="Normal 9 108 2" xfId="4182" xr:uid="{00000000-0005-0000-0000-0000AB190000}"/>
    <cellStyle name="Normal 9 108 2 2" xfId="5803" xr:uid="{00000000-0005-0000-0000-0000AC190000}"/>
    <cellStyle name="Normal 9 108 2 3" xfId="7407" xr:uid="{00000000-0005-0000-0000-0000AD190000}"/>
    <cellStyle name="Normal 9 108 3" xfId="4183" xr:uid="{00000000-0005-0000-0000-0000AE190000}"/>
    <cellStyle name="Normal 9 108 3 2" xfId="5804" xr:uid="{00000000-0005-0000-0000-0000AF190000}"/>
    <cellStyle name="Normal 9 108 3 3" xfId="7408" xr:uid="{00000000-0005-0000-0000-0000B0190000}"/>
    <cellStyle name="Normal 9 108 4" xfId="5802" xr:uid="{00000000-0005-0000-0000-0000B1190000}"/>
    <cellStyle name="Normal 9 108 5" xfId="7406" xr:uid="{00000000-0005-0000-0000-0000B2190000}"/>
    <cellStyle name="Normal 9 109" xfId="4184" xr:uid="{00000000-0005-0000-0000-0000B3190000}"/>
    <cellStyle name="Normal 9 109 2" xfId="4185" xr:uid="{00000000-0005-0000-0000-0000B4190000}"/>
    <cellStyle name="Normal 9 109 2 2" xfId="5806" xr:uid="{00000000-0005-0000-0000-0000B5190000}"/>
    <cellStyle name="Normal 9 109 2 3" xfId="7410" xr:uid="{00000000-0005-0000-0000-0000B6190000}"/>
    <cellStyle name="Normal 9 109 3" xfId="4186" xr:uid="{00000000-0005-0000-0000-0000B7190000}"/>
    <cellStyle name="Normal 9 109 3 2" xfId="5807" xr:uid="{00000000-0005-0000-0000-0000B8190000}"/>
    <cellStyle name="Normal 9 109 3 3" xfId="7411" xr:uid="{00000000-0005-0000-0000-0000B9190000}"/>
    <cellStyle name="Normal 9 109 4" xfId="5805" xr:uid="{00000000-0005-0000-0000-0000BA190000}"/>
    <cellStyle name="Normal 9 109 5" xfId="7409" xr:uid="{00000000-0005-0000-0000-0000BB190000}"/>
    <cellStyle name="Normal 9 11" xfId="4187" xr:uid="{00000000-0005-0000-0000-0000BC190000}"/>
    <cellStyle name="Normal 9 11 2" xfId="4188" xr:uid="{00000000-0005-0000-0000-0000BD190000}"/>
    <cellStyle name="Normal 9 11 2 2" xfId="5809" xr:uid="{00000000-0005-0000-0000-0000BE190000}"/>
    <cellStyle name="Normal 9 11 2 3" xfId="7413" xr:uid="{00000000-0005-0000-0000-0000BF190000}"/>
    <cellStyle name="Normal 9 11 3" xfId="4189" xr:uid="{00000000-0005-0000-0000-0000C0190000}"/>
    <cellStyle name="Normal 9 11 3 2" xfId="5810" xr:uid="{00000000-0005-0000-0000-0000C1190000}"/>
    <cellStyle name="Normal 9 11 3 3" xfId="7414" xr:uid="{00000000-0005-0000-0000-0000C2190000}"/>
    <cellStyle name="Normal 9 11 4" xfId="5808" xr:uid="{00000000-0005-0000-0000-0000C3190000}"/>
    <cellStyle name="Normal 9 11 5" xfId="7412" xr:uid="{00000000-0005-0000-0000-0000C4190000}"/>
    <cellStyle name="Normal 9 110" xfId="4190" xr:uid="{00000000-0005-0000-0000-0000C5190000}"/>
    <cellStyle name="Normal 9 110 2" xfId="4191" xr:uid="{00000000-0005-0000-0000-0000C6190000}"/>
    <cellStyle name="Normal 9 110 2 2" xfId="5812" xr:uid="{00000000-0005-0000-0000-0000C7190000}"/>
    <cellStyle name="Normal 9 110 2 3" xfId="7416" xr:uid="{00000000-0005-0000-0000-0000C8190000}"/>
    <cellStyle name="Normal 9 110 3" xfId="4192" xr:uid="{00000000-0005-0000-0000-0000C9190000}"/>
    <cellStyle name="Normal 9 110 3 2" xfId="5813" xr:uid="{00000000-0005-0000-0000-0000CA190000}"/>
    <cellStyle name="Normal 9 110 3 3" xfId="7417" xr:uid="{00000000-0005-0000-0000-0000CB190000}"/>
    <cellStyle name="Normal 9 110 4" xfId="5811" xr:uid="{00000000-0005-0000-0000-0000CC190000}"/>
    <cellStyle name="Normal 9 110 5" xfId="7415" xr:uid="{00000000-0005-0000-0000-0000CD190000}"/>
    <cellStyle name="Normal 9 111" xfId="4193" xr:uid="{00000000-0005-0000-0000-0000CE190000}"/>
    <cellStyle name="Normal 9 111 2" xfId="4194" xr:uid="{00000000-0005-0000-0000-0000CF190000}"/>
    <cellStyle name="Normal 9 111 2 2" xfId="5815" xr:uid="{00000000-0005-0000-0000-0000D0190000}"/>
    <cellStyle name="Normal 9 111 2 3" xfId="7419" xr:uid="{00000000-0005-0000-0000-0000D1190000}"/>
    <cellStyle name="Normal 9 111 3" xfId="4195" xr:uid="{00000000-0005-0000-0000-0000D2190000}"/>
    <cellStyle name="Normal 9 111 3 2" xfId="5816" xr:uid="{00000000-0005-0000-0000-0000D3190000}"/>
    <cellStyle name="Normal 9 111 3 3" xfId="7420" xr:uid="{00000000-0005-0000-0000-0000D4190000}"/>
    <cellStyle name="Normal 9 111 4" xfId="5814" xr:uid="{00000000-0005-0000-0000-0000D5190000}"/>
    <cellStyle name="Normal 9 111 5" xfId="7418" xr:uid="{00000000-0005-0000-0000-0000D6190000}"/>
    <cellStyle name="Normal 9 112" xfId="4196" xr:uid="{00000000-0005-0000-0000-0000D7190000}"/>
    <cellStyle name="Normal 9 112 2" xfId="4197" xr:uid="{00000000-0005-0000-0000-0000D8190000}"/>
    <cellStyle name="Normal 9 112 2 2" xfId="5818" xr:uid="{00000000-0005-0000-0000-0000D9190000}"/>
    <cellStyle name="Normal 9 112 2 3" xfId="7422" xr:uid="{00000000-0005-0000-0000-0000DA190000}"/>
    <cellStyle name="Normal 9 112 3" xfId="4198" xr:uid="{00000000-0005-0000-0000-0000DB190000}"/>
    <cellStyle name="Normal 9 112 3 2" xfId="5819" xr:uid="{00000000-0005-0000-0000-0000DC190000}"/>
    <cellStyle name="Normal 9 112 3 3" xfId="7423" xr:uid="{00000000-0005-0000-0000-0000DD190000}"/>
    <cellStyle name="Normal 9 112 4" xfId="5817" xr:uid="{00000000-0005-0000-0000-0000DE190000}"/>
    <cellStyle name="Normal 9 112 5" xfId="7421" xr:uid="{00000000-0005-0000-0000-0000DF190000}"/>
    <cellStyle name="Normal 9 113" xfId="4199" xr:uid="{00000000-0005-0000-0000-0000E0190000}"/>
    <cellStyle name="Normal 9 113 2" xfId="4200" xr:uid="{00000000-0005-0000-0000-0000E1190000}"/>
    <cellStyle name="Normal 9 113 2 2" xfId="5821" xr:uid="{00000000-0005-0000-0000-0000E2190000}"/>
    <cellStyle name="Normal 9 113 2 3" xfId="7425" xr:uid="{00000000-0005-0000-0000-0000E3190000}"/>
    <cellStyle name="Normal 9 113 3" xfId="4201" xr:uid="{00000000-0005-0000-0000-0000E4190000}"/>
    <cellStyle name="Normal 9 113 3 2" xfId="5822" xr:uid="{00000000-0005-0000-0000-0000E5190000}"/>
    <cellStyle name="Normal 9 113 3 3" xfId="7426" xr:uid="{00000000-0005-0000-0000-0000E6190000}"/>
    <cellStyle name="Normal 9 113 4" xfId="5820" xr:uid="{00000000-0005-0000-0000-0000E7190000}"/>
    <cellStyle name="Normal 9 113 5" xfId="7424" xr:uid="{00000000-0005-0000-0000-0000E8190000}"/>
    <cellStyle name="Normal 9 114" xfId="4202" xr:uid="{00000000-0005-0000-0000-0000E9190000}"/>
    <cellStyle name="Normal 9 114 2" xfId="4203" xr:uid="{00000000-0005-0000-0000-0000EA190000}"/>
    <cellStyle name="Normal 9 114 2 2" xfId="5824" xr:uid="{00000000-0005-0000-0000-0000EB190000}"/>
    <cellStyle name="Normal 9 114 2 3" xfId="7428" xr:uid="{00000000-0005-0000-0000-0000EC190000}"/>
    <cellStyle name="Normal 9 114 3" xfId="4204" xr:uid="{00000000-0005-0000-0000-0000ED190000}"/>
    <cellStyle name="Normal 9 114 3 2" xfId="5825" xr:uid="{00000000-0005-0000-0000-0000EE190000}"/>
    <cellStyle name="Normal 9 114 3 3" xfId="7429" xr:uid="{00000000-0005-0000-0000-0000EF190000}"/>
    <cellStyle name="Normal 9 114 4" xfId="5823" xr:uid="{00000000-0005-0000-0000-0000F0190000}"/>
    <cellStyle name="Normal 9 114 5" xfId="7427" xr:uid="{00000000-0005-0000-0000-0000F1190000}"/>
    <cellStyle name="Normal 9 115" xfId="4205" xr:uid="{00000000-0005-0000-0000-0000F2190000}"/>
    <cellStyle name="Normal 9 115 2" xfId="4206" xr:uid="{00000000-0005-0000-0000-0000F3190000}"/>
    <cellStyle name="Normal 9 115 2 2" xfId="5827" xr:uid="{00000000-0005-0000-0000-0000F4190000}"/>
    <cellStyle name="Normal 9 115 2 3" xfId="7431" xr:uid="{00000000-0005-0000-0000-0000F5190000}"/>
    <cellStyle name="Normal 9 115 3" xfId="4207" xr:uid="{00000000-0005-0000-0000-0000F6190000}"/>
    <cellStyle name="Normal 9 115 3 2" xfId="5828" xr:uid="{00000000-0005-0000-0000-0000F7190000}"/>
    <cellStyle name="Normal 9 115 3 3" xfId="7432" xr:uid="{00000000-0005-0000-0000-0000F8190000}"/>
    <cellStyle name="Normal 9 115 4" xfId="5826" xr:uid="{00000000-0005-0000-0000-0000F9190000}"/>
    <cellStyle name="Normal 9 115 5" xfId="7430" xr:uid="{00000000-0005-0000-0000-0000FA190000}"/>
    <cellStyle name="Normal 9 116" xfId="4208" xr:uid="{00000000-0005-0000-0000-0000FB190000}"/>
    <cellStyle name="Normal 9 116 2" xfId="4209" xr:uid="{00000000-0005-0000-0000-0000FC190000}"/>
    <cellStyle name="Normal 9 116 2 2" xfId="5830" xr:uid="{00000000-0005-0000-0000-0000FD190000}"/>
    <cellStyle name="Normal 9 116 2 3" xfId="7434" xr:uid="{00000000-0005-0000-0000-0000FE190000}"/>
    <cellStyle name="Normal 9 116 3" xfId="4210" xr:uid="{00000000-0005-0000-0000-0000FF190000}"/>
    <cellStyle name="Normal 9 116 3 2" xfId="5831" xr:uid="{00000000-0005-0000-0000-0000001A0000}"/>
    <cellStyle name="Normal 9 116 3 3" xfId="7435" xr:uid="{00000000-0005-0000-0000-0000011A0000}"/>
    <cellStyle name="Normal 9 116 4" xfId="5829" xr:uid="{00000000-0005-0000-0000-0000021A0000}"/>
    <cellStyle name="Normal 9 116 5" xfId="7433" xr:uid="{00000000-0005-0000-0000-0000031A0000}"/>
    <cellStyle name="Normal 9 117" xfId="5774" xr:uid="{00000000-0005-0000-0000-0000041A0000}"/>
    <cellStyle name="Normal 9 118" xfId="7378" xr:uid="{00000000-0005-0000-0000-0000051A0000}"/>
    <cellStyle name="Normal 9 12" xfId="4211" xr:uid="{00000000-0005-0000-0000-0000061A0000}"/>
    <cellStyle name="Normal 9 12 2" xfId="4212" xr:uid="{00000000-0005-0000-0000-0000071A0000}"/>
    <cellStyle name="Normal 9 12 2 2" xfId="5833" xr:uid="{00000000-0005-0000-0000-0000081A0000}"/>
    <cellStyle name="Normal 9 12 2 3" xfId="7437" xr:uid="{00000000-0005-0000-0000-0000091A0000}"/>
    <cellStyle name="Normal 9 12 3" xfId="4213" xr:uid="{00000000-0005-0000-0000-00000A1A0000}"/>
    <cellStyle name="Normal 9 12 3 2" xfId="5834" xr:uid="{00000000-0005-0000-0000-00000B1A0000}"/>
    <cellStyle name="Normal 9 12 3 3" xfId="7438" xr:uid="{00000000-0005-0000-0000-00000C1A0000}"/>
    <cellStyle name="Normal 9 12 4" xfId="5832" xr:uid="{00000000-0005-0000-0000-00000D1A0000}"/>
    <cellStyle name="Normal 9 12 5" xfId="7436" xr:uid="{00000000-0005-0000-0000-00000E1A0000}"/>
    <cellStyle name="Normal 9 13" xfId="4214" xr:uid="{00000000-0005-0000-0000-00000F1A0000}"/>
    <cellStyle name="Normal 9 13 2" xfId="4215" xr:uid="{00000000-0005-0000-0000-0000101A0000}"/>
    <cellStyle name="Normal 9 13 2 2" xfId="5836" xr:uid="{00000000-0005-0000-0000-0000111A0000}"/>
    <cellStyle name="Normal 9 13 2 3" xfId="7440" xr:uid="{00000000-0005-0000-0000-0000121A0000}"/>
    <cellStyle name="Normal 9 13 3" xfId="4216" xr:uid="{00000000-0005-0000-0000-0000131A0000}"/>
    <cellStyle name="Normal 9 13 3 2" xfId="5837" xr:uid="{00000000-0005-0000-0000-0000141A0000}"/>
    <cellStyle name="Normal 9 13 3 3" xfId="7441" xr:uid="{00000000-0005-0000-0000-0000151A0000}"/>
    <cellStyle name="Normal 9 13 4" xfId="5835" xr:uid="{00000000-0005-0000-0000-0000161A0000}"/>
    <cellStyle name="Normal 9 13 5" xfId="7439" xr:uid="{00000000-0005-0000-0000-0000171A0000}"/>
    <cellStyle name="Normal 9 14" xfId="4217" xr:uid="{00000000-0005-0000-0000-0000181A0000}"/>
    <cellStyle name="Normal 9 14 2" xfId="4218" xr:uid="{00000000-0005-0000-0000-0000191A0000}"/>
    <cellStyle name="Normal 9 14 2 2" xfId="5839" xr:uid="{00000000-0005-0000-0000-00001A1A0000}"/>
    <cellStyle name="Normal 9 14 2 3" xfId="7443" xr:uid="{00000000-0005-0000-0000-00001B1A0000}"/>
    <cellStyle name="Normal 9 14 3" xfId="4219" xr:uid="{00000000-0005-0000-0000-00001C1A0000}"/>
    <cellStyle name="Normal 9 14 3 2" xfId="5840" xr:uid="{00000000-0005-0000-0000-00001D1A0000}"/>
    <cellStyle name="Normal 9 14 3 3" xfId="7444" xr:uid="{00000000-0005-0000-0000-00001E1A0000}"/>
    <cellStyle name="Normal 9 14 4" xfId="5838" xr:uid="{00000000-0005-0000-0000-00001F1A0000}"/>
    <cellStyle name="Normal 9 14 5" xfId="7442" xr:uid="{00000000-0005-0000-0000-0000201A0000}"/>
    <cellStyle name="Normal 9 15" xfId="4220" xr:uid="{00000000-0005-0000-0000-0000211A0000}"/>
    <cellStyle name="Normal 9 15 2" xfId="4221" xr:uid="{00000000-0005-0000-0000-0000221A0000}"/>
    <cellStyle name="Normal 9 15 2 2" xfId="5842" xr:uid="{00000000-0005-0000-0000-0000231A0000}"/>
    <cellStyle name="Normal 9 15 2 3" xfId="7446" xr:uid="{00000000-0005-0000-0000-0000241A0000}"/>
    <cellStyle name="Normal 9 15 3" xfId="4222" xr:uid="{00000000-0005-0000-0000-0000251A0000}"/>
    <cellStyle name="Normal 9 15 3 2" xfId="5843" xr:uid="{00000000-0005-0000-0000-0000261A0000}"/>
    <cellStyle name="Normal 9 15 3 3" xfId="7447" xr:uid="{00000000-0005-0000-0000-0000271A0000}"/>
    <cellStyle name="Normal 9 15 4" xfId="5841" xr:uid="{00000000-0005-0000-0000-0000281A0000}"/>
    <cellStyle name="Normal 9 15 5" xfId="7445" xr:uid="{00000000-0005-0000-0000-0000291A0000}"/>
    <cellStyle name="Normal 9 16" xfId="4223" xr:uid="{00000000-0005-0000-0000-00002A1A0000}"/>
    <cellStyle name="Normal 9 16 2" xfId="4224" xr:uid="{00000000-0005-0000-0000-00002B1A0000}"/>
    <cellStyle name="Normal 9 16 2 2" xfId="5845" xr:uid="{00000000-0005-0000-0000-00002C1A0000}"/>
    <cellStyle name="Normal 9 16 2 3" xfId="7449" xr:uid="{00000000-0005-0000-0000-00002D1A0000}"/>
    <cellStyle name="Normal 9 16 3" xfId="4225" xr:uid="{00000000-0005-0000-0000-00002E1A0000}"/>
    <cellStyle name="Normal 9 16 3 2" xfId="5846" xr:uid="{00000000-0005-0000-0000-00002F1A0000}"/>
    <cellStyle name="Normal 9 16 3 3" xfId="7450" xr:uid="{00000000-0005-0000-0000-0000301A0000}"/>
    <cellStyle name="Normal 9 16 4" xfId="5844" xr:uid="{00000000-0005-0000-0000-0000311A0000}"/>
    <cellStyle name="Normal 9 16 5" xfId="7448" xr:uid="{00000000-0005-0000-0000-0000321A0000}"/>
    <cellStyle name="Normal 9 17" xfId="4226" xr:uid="{00000000-0005-0000-0000-0000331A0000}"/>
    <cellStyle name="Normal 9 17 2" xfId="4227" xr:uid="{00000000-0005-0000-0000-0000341A0000}"/>
    <cellStyle name="Normal 9 17 2 2" xfId="5848" xr:uid="{00000000-0005-0000-0000-0000351A0000}"/>
    <cellStyle name="Normal 9 17 2 3" xfId="7452" xr:uid="{00000000-0005-0000-0000-0000361A0000}"/>
    <cellStyle name="Normal 9 17 3" xfId="4228" xr:uid="{00000000-0005-0000-0000-0000371A0000}"/>
    <cellStyle name="Normal 9 17 3 2" xfId="5849" xr:uid="{00000000-0005-0000-0000-0000381A0000}"/>
    <cellStyle name="Normal 9 17 3 3" xfId="7453" xr:uid="{00000000-0005-0000-0000-0000391A0000}"/>
    <cellStyle name="Normal 9 17 4" xfId="5847" xr:uid="{00000000-0005-0000-0000-00003A1A0000}"/>
    <cellStyle name="Normal 9 17 5" xfId="7451" xr:uid="{00000000-0005-0000-0000-00003B1A0000}"/>
    <cellStyle name="Normal 9 18" xfId="4229" xr:uid="{00000000-0005-0000-0000-00003C1A0000}"/>
    <cellStyle name="Normal 9 18 2" xfId="4230" xr:uid="{00000000-0005-0000-0000-00003D1A0000}"/>
    <cellStyle name="Normal 9 18 2 2" xfId="5851" xr:uid="{00000000-0005-0000-0000-00003E1A0000}"/>
    <cellStyle name="Normal 9 18 2 3" xfId="7455" xr:uid="{00000000-0005-0000-0000-00003F1A0000}"/>
    <cellStyle name="Normal 9 18 3" xfId="4231" xr:uid="{00000000-0005-0000-0000-0000401A0000}"/>
    <cellStyle name="Normal 9 18 3 2" xfId="5852" xr:uid="{00000000-0005-0000-0000-0000411A0000}"/>
    <cellStyle name="Normal 9 18 3 3" xfId="7456" xr:uid="{00000000-0005-0000-0000-0000421A0000}"/>
    <cellStyle name="Normal 9 18 4" xfId="5850" xr:uid="{00000000-0005-0000-0000-0000431A0000}"/>
    <cellStyle name="Normal 9 18 5" xfId="7454" xr:uid="{00000000-0005-0000-0000-0000441A0000}"/>
    <cellStyle name="Normal 9 19" xfId="4232" xr:uid="{00000000-0005-0000-0000-0000451A0000}"/>
    <cellStyle name="Normal 9 19 2" xfId="4233" xr:uid="{00000000-0005-0000-0000-0000461A0000}"/>
    <cellStyle name="Normal 9 19 2 2" xfId="5854" xr:uid="{00000000-0005-0000-0000-0000471A0000}"/>
    <cellStyle name="Normal 9 19 2 3" xfId="7458" xr:uid="{00000000-0005-0000-0000-0000481A0000}"/>
    <cellStyle name="Normal 9 19 3" xfId="4234" xr:uid="{00000000-0005-0000-0000-0000491A0000}"/>
    <cellStyle name="Normal 9 19 3 2" xfId="5855" xr:uid="{00000000-0005-0000-0000-00004A1A0000}"/>
    <cellStyle name="Normal 9 19 3 3" xfId="7459" xr:uid="{00000000-0005-0000-0000-00004B1A0000}"/>
    <cellStyle name="Normal 9 19 4" xfId="5853" xr:uid="{00000000-0005-0000-0000-00004C1A0000}"/>
    <cellStyle name="Normal 9 19 5" xfId="7457" xr:uid="{00000000-0005-0000-0000-00004D1A0000}"/>
    <cellStyle name="Normal 9 2" xfId="4235" xr:uid="{00000000-0005-0000-0000-00004E1A0000}"/>
    <cellStyle name="Normal 9 2 2" xfId="4236" xr:uid="{00000000-0005-0000-0000-00004F1A0000}"/>
    <cellStyle name="Normal 9 2 2 2" xfId="5857" xr:uid="{00000000-0005-0000-0000-0000501A0000}"/>
    <cellStyle name="Normal 9 2 2 3" xfId="7461" xr:uid="{00000000-0005-0000-0000-0000511A0000}"/>
    <cellStyle name="Normal 9 2 3" xfId="4237" xr:uid="{00000000-0005-0000-0000-0000521A0000}"/>
    <cellStyle name="Normal 9 2 3 2" xfId="5858" xr:uid="{00000000-0005-0000-0000-0000531A0000}"/>
    <cellStyle name="Normal 9 2 3 3" xfId="7462" xr:uid="{00000000-0005-0000-0000-0000541A0000}"/>
    <cellStyle name="Normal 9 2 4" xfId="5856" xr:uid="{00000000-0005-0000-0000-0000551A0000}"/>
    <cellStyle name="Normal 9 2 5" xfId="7460" xr:uid="{00000000-0005-0000-0000-0000561A0000}"/>
    <cellStyle name="Normal 9 20" xfId="4238" xr:uid="{00000000-0005-0000-0000-0000571A0000}"/>
    <cellStyle name="Normal 9 20 2" xfId="4239" xr:uid="{00000000-0005-0000-0000-0000581A0000}"/>
    <cellStyle name="Normal 9 20 2 2" xfId="5860" xr:uid="{00000000-0005-0000-0000-0000591A0000}"/>
    <cellStyle name="Normal 9 20 2 3" xfId="7464" xr:uid="{00000000-0005-0000-0000-00005A1A0000}"/>
    <cellStyle name="Normal 9 20 3" xfId="4240" xr:uid="{00000000-0005-0000-0000-00005B1A0000}"/>
    <cellStyle name="Normal 9 20 3 2" xfId="5861" xr:uid="{00000000-0005-0000-0000-00005C1A0000}"/>
    <cellStyle name="Normal 9 20 3 3" xfId="7465" xr:uid="{00000000-0005-0000-0000-00005D1A0000}"/>
    <cellStyle name="Normal 9 20 4" xfId="5859" xr:uid="{00000000-0005-0000-0000-00005E1A0000}"/>
    <cellStyle name="Normal 9 20 5" xfId="7463" xr:uid="{00000000-0005-0000-0000-00005F1A0000}"/>
    <cellStyle name="Normal 9 21" xfId="4241" xr:uid="{00000000-0005-0000-0000-0000601A0000}"/>
    <cellStyle name="Normal 9 21 2" xfId="4242" xr:uid="{00000000-0005-0000-0000-0000611A0000}"/>
    <cellStyle name="Normal 9 21 2 2" xfId="5863" xr:uid="{00000000-0005-0000-0000-0000621A0000}"/>
    <cellStyle name="Normal 9 21 2 3" xfId="7467" xr:uid="{00000000-0005-0000-0000-0000631A0000}"/>
    <cellStyle name="Normal 9 21 3" xfId="4243" xr:uid="{00000000-0005-0000-0000-0000641A0000}"/>
    <cellStyle name="Normal 9 21 3 2" xfId="5864" xr:uid="{00000000-0005-0000-0000-0000651A0000}"/>
    <cellStyle name="Normal 9 21 3 3" xfId="7468" xr:uid="{00000000-0005-0000-0000-0000661A0000}"/>
    <cellStyle name="Normal 9 21 4" xfId="5862" xr:uid="{00000000-0005-0000-0000-0000671A0000}"/>
    <cellStyle name="Normal 9 21 5" xfId="7466" xr:uid="{00000000-0005-0000-0000-0000681A0000}"/>
    <cellStyle name="Normal 9 22" xfId="4244" xr:uid="{00000000-0005-0000-0000-0000691A0000}"/>
    <cellStyle name="Normal 9 22 2" xfId="4245" xr:uid="{00000000-0005-0000-0000-00006A1A0000}"/>
    <cellStyle name="Normal 9 22 2 2" xfId="5866" xr:uid="{00000000-0005-0000-0000-00006B1A0000}"/>
    <cellStyle name="Normal 9 22 2 3" xfId="7470" xr:uid="{00000000-0005-0000-0000-00006C1A0000}"/>
    <cellStyle name="Normal 9 22 3" xfId="4246" xr:uid="{00000000-0005-0000-0000-00006D1A0000}"/>
    <cellStyle name="Normal 9 22 3 2" xfId="5867" xr:uid="{00000000-0005-0000-0000-00006E1A0000}"/>
    <cellStyle name="Normal 9 22 3 3" xfId="7471" xr:uid="{00000000-0005-0000-0000-00006F1A0000}"/>
    <cellStyle name="Normal 9 22 4" xfId="5865" xr:uid="{00000000-0005-0000-0000-0000701A0000}"/>
    <cellStyle name="Normal 9 22 5" xfId="7469" xr:uid="{00000000-0005-0000-0000-0000711A0000}"/>
    <cellStyle name="Normal 9 23" xfId="4247" xr:uid="{00000000-0005-0000-0000-0000721A0000}"/>
    <cellStyle name="Normal 9 23 2" xfId="4248" xr:uid="{00000000-0005-0000-0000-0000731A0000}"/>
    <cellStyle name="Normal 9 23 2 2" xfId="5869" xr:uid="{00000000-0005-0000-0000-0000741A0000}"/>
    <cellStyle name="Normal 9 23 2 3" xfId="7473" xr:uid="{00000000-0005-0000-0000-0000751A0000}"/>
    <cellStyle name="Normal 9 23 3" xfId="4249" xr:uid="{00000000-0005-0000-0000-0000761A0000}"/>
    <cellStyle name="Normal 9 23 3 2" xfId="5870" xr:uid="{00000000-0005-0000-0000-0000771A0000}"/>
    <cellStyle name="Normal 9 23 3 3" xfId="7474" xr:uid="{00000000-0005-0000-0000-0000781A0000}"/>
    <cellStyle name="Normal 9 23 4" xfId="5868" xr:uid="{00000000-0005-0000-0000-0000791A0000}"/>
    <cellStyle name="Normal 9 23 5" xfId="7472" xr:uid="{00000000-0005-0000-0000-00007A1A0000}"/>
    <cellStyle name="Normal 9 24" xfId="4250" xr:uid="{00000000-0005-0000-0000-00007B1A0000}"/>
    <cellStyle name="Normal 9 24 2" xfId="4251" xr:uid="{00000000-0005-0000-0000-00007C1A0000}"/>
    <cellStyle name="Normal 9 24 2 2" xfId="5872" xr:uid="{00000000-0005-0000-0000-00007D1A0000}"/>
    <cellStyle name="Normal 9 24 2 3" xfId="7476" xr:uid="{00000000-0005-0000-0000-00007E1A0000}"/>
    <cellStyle name="Normal 9 24 3" xfId="4252" xr:uid="{00000000-0005-0000-0000-00007F1A0000}"/>
    <cellStyle name="Normal 9 24 3 2" xfId="5873" xr:uid="{00000000-0005-0000-0000-0000801A0000}"/>
    <cellStyle name="Normal 9 24 3 3" xfId="7477" xr:uid="{00000000-0005-0000-0000-0000811A0000}"/>
    <cellStyle name="Normal 9 24 4" xfId="5871" xr:uid="{00000000-0005-0000-0000-0000821A0000}"/>
    <cellStyle name="Normal 9 24 5" xfId="7475" xr:uid="{00000000-0005-0000-0000-0000831A0000}"/>
    <cellStyle name="Normal 9 25" xfId="4253" xr:uid="{00000000-0005-0000-0000-0000841A0000}"/>
    <cellStyle name="Normal 9 25 2" xfId="4254" xr:uid="{00000000-0005-0000-0000-0000851A0000}"/>
    <cellStyle name="Normal 9 25 2 2" xfId="5875" xr:uid="{00000000-0005-0000-0000-0000861A0000}"/>
    <cellStyle name="Normal 9 25 2 3" xfId="7479" xr:uid="{00000000-0005-0000-0000-0000871A0000}"/>
    <cellStyle name="Normal 9 25 3" xfId="4255" xr:uid="{00000000-0005-0000-0000-0000881A0000}"/>
    <cellStyle name="Normal 9 25 3 2" xfId="5876" xr:uid="{00000000-0005-0000-0000-0000891A0000}"/>
    <cellStyle name="Normal 9 25 3 3" xfId="7480" xr:uid="{00000000-0005-0000-0000-00008A1A0000}"/>
    <cellStyle name="Normal 9 25 4" xfId="5874" xr:uid="{00000000-0005-0000-0000-00008B1A0000}"/>
    <cellStyle name="Normal 9 25 5" xfId="7478" xr:uid="{00000000-0005-0000-0000-00008C1A0000}"/>
    <cellStyle name="Normal 9 26" xfId="4256" xr:uid="{00000000-0005-0000-0000-00008D1A0000}"/>
    <cellStyle name="Normal 9 26 2" xfId="4257" xr:uid="{00000000-0005-0000-0000-00008E1A0000}"/>
    <cellStyle name="Normal 9 26 2 2" xfId="5878" xr:uid="{00000000-0005-0000-0000-00008F1A0000}"/>
    <cellStyle name="Normal 9 26 2 3" xfId="7482" xr:uid="{00000000-0005-0000-0000-0000901A0000}"/>
    <cellStyle name="Normal 9 26 3" xfId="4258" xr:uid="{00000000-0005-0000-0000-0000911A0000}"/>
    <cellStyle name="Normal 9 26 3 2" xfId="5879" xr:uid="{00000000-0005-0000-0000-0000921A0000}"/>
    <cellStyle name="Normal 9 26 3 3" xfId="7483" xr:uid="{00000000-0005-0000-0000-0000931A0000}"/>
    <cellStyle name="Normal 9 26 4" xfId="5877" xr:uid="{00000000-0005-0000-0000-0000941A0000}"/>
    <cellStyle name="Normal 9 26 5" xfId="7481" xr:uid="{00000000-0005-0000-0000-0000951A0000}"/>
    <cellStyle name="Normal 9 27" xfId="4259" xr:uid="{00000000-0005-0000-0000-0000961A0000}"/>
    <cellStyle name="Normal 9 27 2" xfId="4260" xr:uid="{00000000-0005-0000-0000-0000971A0000}"/>
    <cellStyle name="Normal 9 27 2 2" xfId="5881" xr:uid="{00000000-0005-0000-0000-0000981A0000}"/>
    <cellStyle name="Normal 9 27 2 3" xfId="7485" xr:uid="{00000000-0005-0000-0000-0000991A0000}"/>
    <cellStyle name="Normal 9 27 3" xfId="4261" xr:uid="{00000000-0005-0000-0000-00009A1A0000}"/>
    <cellStyle name="Normal 9 27 3 2" xfId="5882" xr:uid="{00000000-0005-0000-0000-00009B1A0000}"/>
    <cellStyle name="Normal 9 27 3 3" xfId="7486" xr:uid="{00000000-0005-0000-0000-00009C1A0000}"/>
    <cellStyle name="Normal 9 27 4" xfId="5880" xr:uid="{00000000-0005-0000-0000-00009D1A0000}"/>
    <cellStyle name="Normal 9 27 5" xfId="7484" xr:uid="{00000000-0005-0000-0000-00009E1A0000}"/>
    <cellStyle name="Normal 9 28" xfId="4262" xr:uid="{00000000-0005-0000-0000-00009F1A0000}"/>
    <cellStyle name="Normal 9 28 2" xfId="4263" xr:uid="{00000000-0005-0000-0000-0000A01A0000}"/>
    <cellStyle name="Normal 9 28 2 2" xfId="5884" xr:uid="{00000000-0005-0000-0000-0000A11A0000}"/>
    <cellStyle name="Normal 9 28 2 3" xfId="7488" xr:uid="{00000000-0005-0000-0000-0000A21A0000}"/>
    <cellStyle name="Normal 9 28 3" xfId="4264" xr:uid="{00000000-0005-0000-0000-0000A31A0000}"/>
    <cellStyle name="Normal 9 28 3 2" xfId="5885" xr:uid="{00000000-0005-0000-0000-0000A41A0000}"/>
    <cellStyle name="Normal 9 28 3 3" xfId="7489" xr:uid="{00000000-0005-0000-0000-0000A51A0000}"/>
    <cellStyle name="Normal 9 28 4" xfId="5883" xr:uid="{00000000-0005-0000-0000-0000A61A0000}"/>
    <cellStyle name="Normal 9 28 5" xfId="7487" xr:uid="{00000000-0005-0000-0000-0000A71A0000}"/>
    <cellStyle name="Normal 9 29" xfId="4265" xr:uid="{00000000-0005-0000-0000-0000A81A0000}"/>
    <cellStyle name="Normal 9 29 2" xfId="4266" xr:uid="{00000000-0005-0000-0000-0000A91A0000}"/>
    <cellStyle name="Normal 9 29 2 2" xfId="5887" xr:uid="{00000000-0005-0000-0000-0000AA1A0000}"/>
    <cellStyle name="Normal 9 29 2 3" xfId="7491" xr:uid="{00000000-0005-0000-0000-0000AB1A0000}"/>
    <cellStyle name="Normal 9 29 3" xfId="4267" xr:uid="{00000000-0005-0000-0000-0000AC1A0000}"/>
    <cellStyle name="Normal 9 29 3 2" xfId="5888" xr:uid="{00000000-0005-0000-0000-0000AD1A0000}"/>
    <cellStyle name="Normal 9 29 3 3" xfId="7492" xr:uid="{00000000-0005-0000-0000-0000AE1A0000}"/>
    <cellStyle name="Normal 9 29 4" xfId="5886" xr:uid="{00000000-0005-0000-0000-0000AF1A0000}"/>
    <cellStyle name="Normal 9 29 5" xfId="7490" xr:uid="{00000000-0005-0000-0000-0000B01A0000}"/>
    <cellStyle name="Normal 9 3" xfId="4268" xr:uid="{00000000-0005-0000-0000-0000B11A0000}"/>
    <cellStyle name="Normal 9 3 2" xfId="4269" xr:uid="{00000000-0005-0000-0000-0000B21A0000}"/>
    <cellStyle name="Normal 9 3 2 2" xfId="5890" xr:uid="{00000000-0005-0000-0000-0000B31A0000}"/>
    <cellStyle name="Normal 9 3 2 3" xfId="7494" xr:uid="{00000000-0005-0000-0000-0000B41A0000}"/>
    <cellStyle name="Normal 9 3 3" xfId="4270" xr:uid="{00000000-0005-0000-0000-0000B51A0000}"/>
    <cellStyle name="Normal 9 3 3 2" xfId="5891" xr:uid="{00000000-0005-0000-0000-0000B61A0000}"/>
    <cellStyle name="Normal 9 3 3 3" xfId="7495" xr:uid="{00000000-0005-0000-0000-0000B71A0000}"/>
    <cellStyle name="Normal 9 3 4" xfId="5889" xr:uid="{00000000-0005-0000-0000-0000B81A0000}"/>
    <cellStyle name="Normal 9 3 5" xfId="7493" xr:uid="{00000000-0005-0000-0000-0000B91A0000}"/>
    <cellStyle name="Normal 9 30" xfId="4271" xr:uid="{00000000-0005-0000-0000-0000BA1A0000}"/>
    <cellStyle name="Normal 9 30 2" xfId="4272" xr:uid="{00000000-0005-0000-0000-0000BB1A0000}"/>
    <cellStyle name="Normal 9 30 2 2" xfId="5893" xr:uid="{00000000-0005-0000-0000-0000BC1A0000}"/>
    <cellStyle name="Normal 9 30 2 3" xfId="7497" xr:uid="{00000000-0005-0000-0000-0000BD1A0000}"/>
    <cellStyle name="Normal 9 30 3" xfId="4273" xr:uid="{00000000-0005-0000-0000-0000BE1A0000}"/>
    <cellStyle name="Normal 9 30 3 2" xfId="5894" xr:uid="{00000000-0005-0000-0000-0000BF1A0000}"/>
    <cellStyle name="Normal 9 30 3 3" xfId="7498" xr:uid="{00000000-0005-0000-0000-0000C01A0000}"/>
    <cellStyle name="Normal 9 30 4" xfId="5892" xr:uid="{00000000-0005-0000-0000-0000C11A0000}"/>
    <cellStyle name="Normal 9 30 5" xfId="7496" xr:uid="{00000000-0005-0000-0000-0000C21A0000}"/>
    <cellStyle name="Normal 9 31" xfId="4274" xr:uid="{00000000-0005-0000-0000-0000C31A0000}"/>
    <cellStyle name="Normal 9 31 2" xfId="4275" xr:uid="{00000000-0005-0000-0000-0000C41A0000}"/>
    <cellStyle name="Normal 9 31 2 2" xfId="5896" xr:uid="{00000000-0005-0000-0000-0000C51A0000}"/>
    <cellStyle name="Normal 9 31 2 3" xfId="7500" xr:uid="{00000000-0005-0000-0000-0000C61A0000}"/>
    <cellStyle name="Normal 9 31 3" xfId="4276" xr:uid="{00000000-0005-0000-0000-0000C71A0000}"/>
    <cellStyle name="Normal 9 31 3 2" xfId="5897" xr:uid="{00000000-0005-0000-0000-0000C81A0000}"/>
    <cellStyle name="Normal 9 31 3 3" xfId="7501" xr:uid="{00000000-0005-0000-0000-0000C91A0000}"/>
    <cellStyle name="Normal 9 31 4" xfId="5895" xr:uid="{00000000-0005-0000-0000-0000CA1A0000}"/>
    <cellStyle name="Normal 9 31 5" xfId="7499" xr:uid="{00000000-0005-0000-0000-0000CB1A0000}"/>
    <cellStyle name="Normal 9 32" xfId="4277" xr:uid="{00000000-0005-0000-0000-0000CC1A0000}"/>
    <cellStyle name="Normal 9 32 2" xfId="4278" xr:uid="{00000000-0005-0000-0000-0000CD1A0000}"/>
    <cellStyle name="Normal 9 32 2 2" xfId="5899" xr:uid="{00000000-0005-0000-0000-0000CE1A0000}"/>
    <cellStyle name="Normal 9 32 2 3" xfId="7503" xr:uid="{00000000-0005-0000-0000-0000CF1A0000}"/>
    <cellStyle name="Normal 9 32 3" xfId="4279" xr:uid="{00000000-0005-0000-0000-0000D01A0000}"/>
    <cellStyle name="Normal 9 32 3 2" xfId="5900" xr:uid="{00000000-0005-0000-0000-0000D11A0000}"/>
    <cellStyle name="Normal 9 32 3 3" xfId="7504" xr:uid="{00000000-0005-0000-0000-0000D21A0000}"/>
    <cellStyle name="Normal 9 32 4" xfId="5898" xr:uid="{00000000-0005-0000-0000-0000D31A0000}"/>
    <cellStyle name="Normal 9 32 5" xfId="7502" xr:uid="{00000000-0005-0000-0000-0000D41A0000}"/>
    <cellStyle name="Normal 9 33" xfId="4280" xr:uid="{00000000-0005-0000-0000-0000D51A0000}"/>
    <cellStyle name="Normal 9 33 2" xfId="4281" xr:uid="{00000000-0005-0000-0000-0000D61A0000}"/>
    <cellStyle name="Normal 9 33 2 2" xfId="5902" xr:uid="{00000000-0005-0000-0000-0000D71A0000}"/>
    <cellStyle name="Normal 9 33 2 3" xfId="7506" xr:uid="{00000000-0005-0000-0000-0000D81A0000}"/>
    <cellStyle name="Normal 9 33 3" xfId="4282" xr:uid="{00000000-0005-0000-0000-0000D91A0000}"/>
    <cellStyle name="Normal 9 33 3 2" xfId="5903" xr:uid="{00000000-0005-0000-0000-0000DA1A0000}"/>
    <cellStyle name="Normal 9 33 3 3" xfId="7507" xr:uid="{00000000-0005-0000-0000-0000DB1A0000}"/>
    <cellStyle name="Normal 9 33 4" xfId="5901" xr:uid="{00000000-0005-0000-0000-0000DC1A0000}"/>
    <cellStyle name="Normal 9 33 5" xfId="7505" xr:uid="{00000000-0005-0000-0000-0000DD1A0000}"/>
    <cellStyle name="Normal 9 34" xfId="4283" xr:uid="{00000000-0005-0000-0000-0000DE1A0000}"/>
    <cellStyle name="Normal 9 34 2" xfId="4284" xr:uid="{00000000-0005-0000-0000-0000DF1A0000}"/>
    <cellStyle name="Normal 9 34 2 2" xfId="5905" xr:uid="{00000000-0005-0000-0000-0000E01A0000}"/>
    <cellStyle name="Normal 9 34 2 3" xfId="7509" xr:uid="{00000000-0005-0000-0000-0000E11A0000}"/>
    <cellStyle name="Normal 9 34 3" xfId="4285" xr:uid="{00000000-0005-0000-0000-0000E21A0000}"/>
    <cellStyle name="Normal 9 34 3 2" xfId="5906" xr:uid="{00000000-0005-0000-0000-0000E31A0000}"/>
    <cellStyle name="Normal 9 34 3 3" xfId="7510" xr:uid="{00000000-0005-0000-0000-0000E41A0000}"/>
    <cellStyle name="Normal 9 34 4" xfId="5904" xr:uid="{00000000-0005-0000-0000-0000E51A0000}"/>
    <cellStyle name="Normal 9 34 5" xfId="7508" xr:uid="{00000000-0005-0000-0000-0000E61A0000}"/>
    <cellStyle name="Normal 9 35" xfId="4286" xr:uid="{00000000-0005-0000-0000-0000E71A0000}"/>
    <cellStyle name="Normal 9 35 2" xfId="4287" xr:uid="{00000000-0005-0000-0000-0000E81A0000}"/>
    <cellStyle name="Normal 9 35 2 2" xfId="5908" xr:uid="{00000000-0005-0000-0000-0000E91A0000}"/>
    <cellStyle name="Normal 9 35 2 3" xfId="7512" xr:uid="{00000000-0005-0000-0000-0000EA1A0000}"/>
    <cellStyle name="Normal 9 35 3" xfId="4288" xr:uid="{00000000-0005-0000-0000-0000EB1A0000}"/>
    <cellStyle name="Normal 9 35 3 2" xfId="5909" xr:uid="{00000000-0005-0000-0000-0000EC1A0000}"/>
    <cellStyle name="Normal 9 35 3 3" xfId="7513" xr:uid="{00000000-0005-0000-0000-0000ED1A0000}"/>
    <cellStyle name="Normal 9 35 4" xfId="5907" xr:uid="{00000000-0005-0000-0000-0000EE1A0000}"/>
    <cellStyle name="Normal 9 35 5" xfId="7511" xr:uid="{00000000-0005-0000-0000-0000EF1A0000}"/>
    <cellStyle name="Normal 9 36" xfId="4289" xr:uid="{00000000-0005-0000-0000-0000F01A0000}"/>
    <cellStyle name="Normal 9 36 2" xfId="4290" xr:uid="{00000000-0005-0000-0000-0000F11A0000}"/>
    <cellStyle name="Normal 9 36 2 2" xfId="5911" xr:uid="{00000000-0005-0000-0000-0000F21A0000}"/>
    <cellStyle name="Normal 9 36 2 3" xfId="7515" xr:uid="{00000000-0005-0000-0000-0000F31A0000}"/>
    <cellStyle name="Normal 9 36 3" xfId="4291" xr:uid="{00000000-0005-0000-0000-0000F41A0000}"/>
    <cellStyle name="Normal 9 36 3 2" xfId="5912" xr:uid="{00000000-0005-0000-0000-0000F51A0000}"/>
    <cellStyle name="Normal 9 36 3 3" xfId="7516" xr:uid="{00000000-0005-0000-0000-0000F61A0000}"/>
    <cellStyle name="Normal 9 36 4" xfId="5910" xr:uid="{00000000-0005-0000-0000-0000F71A0000}"/>
    <cellStyle name="Normal 9 36 5" xfId="7514" xr:uid="{00000000-0005-0000-0000-0000F81A0000}"/>
    <cellStyle name="Normal 9 37" xfId="4292" xr:uid="{00000000-0005-0000-0000-0000F91A0000}"/>
    <cellStyle name="Normal 9 37 2" xfId="4293" xr:uid="{00000000-0005-0000-0000-0000FA1A0000}"/>
    <cellStyle name="Normal 9 37 2 2" xfId="5914" xr:uid="{00000000-0005-0000-0000-0000FB1A0000}"/>
    <cellStyle name="Normal 9 37 2 3" xfId="7518" xr:uid="{00000000-0005-0000-0000-0000FC1A0000}"/>
    <cellStyle name="Normal 9 37 3" xfId="4294" xr:uid="{00000000-0005-0000-0000-0000FD1A0000}"/>
    <cellStyle name="Normal 9 37 3 2" xfId="5915" xr:uid="{00000000-0005-0000-0000-0000FE1A0000}"/>
    <cellStyle name="Normal 9 37 3 3" xfId="7519" xr:uid="{00000000-0005-0000-0000-0000FF1A0000}"/>
    <cellStyle name="Normal 9 37 4" xfId="5913" xr:uid="{00000000-0005-0000-0000-0000001B0000}"/>
    <cellStyle name="Normal 9 37 5" xfId="7517" xr:uid="{00000000-0005-0000-0000-0000011B0000}"/>
    <cellStyle name="Normal 9 38" xfId="4295" xr:uid="{00000000-0005-0000-0000-0000021B0000}"/>
    <cellStyle name="Normal 9 38 2" xfId="4296" xr:uid="{00000000-0005-0000-0000-0000031B0000}"/>
    <cellStyle name="Normal 9 38 2 2" xfId="5917" xr:uid="{00000000-0005-0000-0000-0000041B0000}"/>
    <cellStyle name="Normal 9 38 2 3" xfId="7521" xr:uid="{00000000-0005-0000-0000-0000051B0000}"/>
    <cellStyle name="Normal 9 38 3" xfId="4297" xr:uid="{00000000-0005-0000-0000-0000061B0000}"/>
    <cellStyle name="Normal 9 38 3 2" xfId="5918" xr:uid="{00000000-0005-0000-0000-0000071B0000}"/>
    <cellStyle name="Normal 9 38 3 3" xfId="7522" xr:uid="{00000000-0005-0000-0000-0000081B0000}"/>
    <cellStyle name="Normal 9 38 4" xfId="5916" xr:uid="{00000000-0005-0000-0000-0000091B0000}"/>
    <cellStyle name="Normal 9 38 5" xfId="7520" xr:uid="{00000000-0005-0000-0000-00000A1B0000}"/>
    <cellStyle name="Normal 9 39" xfId="4298" xr:uid="{00000000-0005-0000-0000-00000B1B0000}"/>
    <cellStyle name="Normal 9 39 2" xfId="4299" xr:uid="{00000000-0005-0000-0000-00000C1B0000}"/>
    <cellStyle name="Normal 9 39 2 2" xfId="5920" xr:uid="{00000000-0005-0000-0000-00000D1B0000}"/>
    <cellStyle name="Normal 9 39 2 3" xfId="7524" xr:uid="{00000000-0005-0000-0000-00000E1B0000}"/>
    <cellStyle name="Normal 9 39 3" xfId="4300" xr:uid="{00000000-0005-0000-0000-00000F1B0000}"/>
    <cellStyle name="Normal 9 39 3 2" xfId="5921" xr:uid="{00000000-0005-0000-0000-0000101B0000}"/>
    <cellStyle name="Normal 9 39 3 3" xfId="7525" xr:uid="{00000000-0005-0000-0000-0000111B0000}"/>
    <cellStyle name="Normal 9 39 4" xfId="5919" xr:uid="{00000000-0005-0000-0000-0000121B0000}"/>
    <cellStyle name="Normal 9 39 5" xfId="7523" xr:uid="{00000000-0005-0000-0000-0000131B0000}"/>
    <cellStyle name="Normal 9 4" xfId="4301" xr:uid="{00000000-0005-0000-0000-0000141B0000}"/>
    <cellStyle name="Normal 9 4 2" xfId="4302" xr:uid="{00000000-0005-0000-0000-0000151B0000}"/>
    <cellStyle name="Normal 9 4 2 2" xfId="5923" xr:uid="{00000000-0005-0000-0000-0000161B0000}"/>
    <cellStyle name="Normal 9 4 2 3" xfId="7527" xr:uid="{00000000-0005-0000-0000-0000171B0000}"/>
    <cellStyle name="Normal 9 4 3" xfId="4303" xr:uid="{00000000-0005-0000-0000-0000181B0000}"/>
    <cellStyle name="Normal 9 4 3 2" xfId="5924" xr:uid="{00000000-0005-0000-0000-0000191B0000}"/>
    <cellStyle name="Normal 9 4 3 3" xfId="7528" xr:uid="{00000000-0005-0000-0000-00001A1B0000}"/>
    <cellStyle name="Normal 9 4 4" xfId="5922" xr:uid="{00000000-0005-0000-0000-00001B1B0000}"/>
    <cellStyle name="Normal 9 4 5" xfId="7526" xr:uid="{00000000-0005-0000-0000-00001C1B0000}"/>
    <cellStyle name="Normal 9 40" xfId="4304" xr:uid="{00000000-0005-0000-0000-00001D1B0000}"/>
    <cellStyle name="Normal 9 40 2" xfId="4305" xr:uid="{00000000-0005-0000-0000-00001E1B0000}"/>
    <cellStyle name="Normal 9 40 2 2" xfId="5926" xr:uid="{00000000-0005-0000-0000-00001F1B0000}"/>
    <cellStyle name="Normal 9 40 2 3" xfId="7530" xr:uid="{00000000-0005-0000-0000-0000201B0000}"/>
    <cellStyle name="Normal 9 40 3" xfId="4306" xr:uid="{00000000-0005-0000-0000-0000211B0000}"/>
    <cellStyle name="Normal 9 40 3 2" xfId="5927" xr:uid="{00000000-0005-0000-0000-0000221B0000}"/>
    <cellStyle name="Normal 9 40 3 3" xfId="7531" xr:uid="{00000000-0005-0000-0000-0000231B0000}"/>
    <cellStyle name="Normal 9 40 4" xfId="5925" xr:uid="{00000000-0005-0000-0000-0000241B0000}"/>
    <cellStyle name="Normal 9 40 5" xfId="7529" xr:uid="{00000000-0005-0000-0000-0000251B0000}"/>
    <cellStyle name="Normal 9 41" xfId="4307" xr:uid="{00000000-0005-0000-0000-0000261B0000}"/>
    <cellStyle name="Normal 9 41 2" xfId="4308" xr:uid="{00000000-0005-0000-0000-0000271B0000}"/>
    <cellStyle name="Normal 9 41 2 2" xfId="5929" xr:uid="{00000000-0005-0000-0000-0000281B0000}"/>
    <cellStyle name="Normal 9 41 2 3" xfId="7533" xr:uid="{00000000-0005-0000-0000-0000291B0000}"/>
    <cellStyle name="Normal 9 41 3" xfId="4309" xr:uid="{00000000-0005-0000-0000-00002A1B0000}"/>
    <cellStyle name="Normal 9 41 3 2" xfId="5930" xr:uid="{00000000-0005-0000-0000-00002B1B0000}"/>
    <cellStyle name="Normal 9 41 3 3" xfId="7534" xr:uid="{00000000-0005-0000-0000-00002C1B0000}"/>
    <cellStyle name="Normal 9 41 4" xfId="5928" xr:uid="{00000000-0005-0000-0000-00002D1B0000}"/>
    <cellStyle name="Normal 9 41 5" xfId="7532" xr:uid="{00000000-0005-0000-0000-00002E1B0000}"/>
    <cellStyle name="Normal 9 42" xfId="4310" xr:uid="{00000000-0005-0000-0000-00002F1B0000}"/>
    <cellStyle name="Normal 9 42 2" xfId="4311" xr:uid="{00000000-0005-0000-0000-0000301B0000}"/>
    <cellStyle name="Normal 9 42 2 2" xfId="5932" xr:uid="{00000000-0005-0000-0000-0000311B0000}"/>
    <cellStyle name="Normal 9 42 2 3" xfId="7536" xr:uid="{00000000-0005-0000-0000-0000321B0000}"/>
    <cellStyle name="Normal 9 42 3" xfId="4312" xr:uid="{00000000-0005-0000-0000-0000331B0000}"/>
    <cellStyle name="Normal 9 42 3 2" xfId="5933" xr:uid="{00000000-0005-0000-0000-0000341B0000}"/>
    <cellStyle name="Normal 9 42 3 3" xfId="7537" xr:uid="{00000000-0005-0000-0000-0000351B0000}"/>
    <cellStyle name="Normal 9 42 4" xfId="5931" xr:uid="{00000000-0005-0000-0000-0000361B0000}"/>
    <cellStyle name="Normal 9 42 5" xfId="7535" xr:uid="{00000000-0005-0000-0000-0000371B0000}"/>
    <cellStyle name="Normal 9 43" xfId="4313" xr:uid="{00000000-0005-0000-0000-0000381B0000}"/>
    <cellStyle name="Normal 9 43 2" xfId="4314" xr:uid="{00000000-0005-0000-0000-0000391B0000}"/>
    <cellStyle name="Normal 9 43 2 2" xfId="5935" xr:uid="{00000000-0005-0000-0000-00003A1B0000}"/>
    <cellStyle name="Normal 9 43 2 3" xfId="7539" xr:uid="{00000000-0005-0000-0000-00003B1B0000}"/>
    <cellStyle name="Normal 9 43 3" xfId="4315" xr:uid="{00000000-0005-0000-0000-00003C1B0000}"/>
    <cellStyle name="Normal 9 43 3 2" xfId="5936" xr:uid="{00000000-0005-0000-0000-00003D1B0000}"/>
    <cellStyle name="Normal 9 43 3 3" xfId="7540" xr:uid="{00000000-0005-0000-0000-00003E1B0000}"/>
    <cellStyle name="Normal 9 43 4" xfId="5934" xr:uid="{00000000-0005-0000-0000-00003F1B0000}"/>
    <cellStyle name="Normal 9 43 5" xfId="7538" xr:uid="{00000000-0005-0000-0000-0000401B0000}"/>
    <cellStyle name="Normal 9 44" xfId="4316" xr:uid="{00000000-0005-0000-0000-0000411B0000}"/>
    <cellStyle name="Normal 9 44 2" xfId="4317" xr:uid="{00000000-0005-0000-0000-0000421B0000}"/>
    <cellStyle name="Normal 9 44 2 2" xfId="5938" xr:uid="{00000000-0005-0000-0000-0000431B0000}"/>
    <cellStyle name="Normal 9 44 2 3" xfId="7542" xr:uid="{00000000-0005-0000-0000-0000441B0000}"/>
    <cellStyle name="Normal 9 44 3" xfId="4318" xr:uid="{00000000-0005-0000-0000-0000451B0000}"/>
    <cellStyle name="Normal 9 44 3 2" xfId="5939" xr:uid="{00000000-0005-0000-0000-0000461B0000}"/>
    <cellStyle name="Normal 9 44 3 3" xfId="7543" xr:uid="{00000000-0005-0000-0000-0000471B0000}"/>
    <cellStyle name="Normal 9 44 4" xfId="5937" xr:uid="{00000000-0005-0000-0000-0000481B0000}"/>
    <cellStyle name="Normal 9 44 5" xfId="7541" xr:uid="{00000000-0005-0000-0000-0000491B0000}"/>
    <cellStyle name="Normal 9 45" xfId="4319" xr:uid="{00000000-0005-0000-0000-00004A1B0000}"/>
    <cellStyle name="Normal 9 45 2" xfId="4320" xr:uid="{00000000-0005-0000-0000-00004B1B0000}"/>
    <cellStyle name="Normal 9 45 2 2" xfId="5941" xr:uid="{00000000-0005-0000-0000-00004C1B0000}"/>
    <cellStyle name="Normal 9 45 2 3" xfId="7545" xr:uid="{00000000-0005-0000-0000-00004D1B0000}"/>
    <cellStyle name="Normal 9 45 3" xfId="4321" xr:uid="{00000000-0005-0000-0000-00004E1B0000}"/>
    <cellStyle name="Normal 9 45 3 2" xfId="5942" xr:uid="{00000000-0005-0000-0000-00004F1B0000}"/>
    <cellStyle name="Normal 9 45 3 3" xfId="7546" xr:uid="{00000000-0005-0000-0000-0000501B0000}"/>
    <cellStyle name="Normal 9 45 4" xfId="5940" xr:uid="{00000000-0005-0000-0000-0000511B0000}"/>
    <cellStyle name="Normal 9 45 5" xfId="7544" xr:uid="{00000000-0005-0000-0000-0000521B0000}"/>
    <cellStyle name="Normal 9 46" xfId="4322" xr:uid="{00000000-0005-0000-0000-0000531B0000}"/>
    <cellStyle name="Normal 9 46 2" xfId="4323" xr:uid="{00000000-0005-0000-0000-0000541B0000}"/>
    <cellStyle name="Normal 9 46 2 2" xfId="5944" xr:uid="{00000000-0005-0000-0000-0000551B0000}"/>
    <cellStyle name="Normal 9 46 2 3" xfId="7548" xr:uid="{00000000-0005-0000-0000-0000561B0000}"/>
    <cellStyle name="Normal 9 46 3" xfId="4324" xr:uid="{00000000-0005-0000-0000-0000571B0000}"/>
    <cellStyle name="Normal 9 46 3 2" xfId="5945" xr:uid="{00000000-0005-0000-0000-0000581B0000}"/>
    <cellStyle name="Normal 9 46 3 3" xfId="7549" xr:uid="{00000000-0005-0000-0000-0000591B0000}"/>
    <cellStyle name="Normal 9 46 4" xfId="5943" xr:uid="{00000000-0005-0000-0000-00005A1B0000}"/>
    <cellStyle name="Normal 9 46 5" xfId="7547" xr:uid="{00000000-0005-0000-0000-00005B1B0000}"/>
    <cellStyle name="Normal 9 47" xfId="4325" xr:uid="{00000000-0005-0000-0000-00005C1B0000}"/>
    <cellStyle name="Normal 9 47 2" xfId="4326" xr:uid="{00000000-0005-0000-0000-00005D1B0000}"/>
    <cellStyle name="Normal 9 47 2 2" xfId="5947" xr:uid="{00000000-0005-0000-0000-00005E1B0000}"/>
    <cellStyle name="Normal 9 47 2 3" xfId="7551" xr:uid="{00000000-0005-0000-0000-00005F1B0000}"/>
    <cellStyle name="Normal 9 47 3" xfId="4327" xr:uid="{00000000-0005-0000-0000-0000601B0000}"/>
    <cellStyle name="Normal 9 47 3 2" xfId="5948" xr:uid="{00000000-0005-0000-0000-0000611B0000}"/>
    <cellStyle name="Normal 9 47 3 3" xfId="7552" xr:uid="{00000000-0005-0000-0000-0000621B0000}"/>
    <cellStyle name="Normal 9 47 4" xfId="5946" xr:uid="{00000000-0005-0000-0000-0000631B0000}"/>
    <cellStyle name="Normal 9 47 5" xfId="7550" xr:uid="{00000000-0005-0000-0000-0000641B0000}"/>
    <cellStyle name="Normal 9 48" xfId="4328" xr:uid="{00000000-0005-0000-0000-0000651B0000}"/>
    <cellStyle name="Normal 9 48 2" xfId="4329" xr:uid="{00000000-0005-0000-0000-0000661B0000}"/>
    <cellStyle name="Normal 9 48 2 2" xfId="5950" xr:uid="{00000000-0005-0000-0000-0000671B0000}"/>
    <cellStyle name="Normal 9 48 2 3" xfId="7554" xr:uid="{00000000-0005-0000-0000-0000681B0000}"/>
    <cellStyle name="Normal 9 48 3" xfId="4330" xr:uid="{00000000-0005-0000-0000-0000691B0000}"/>
    <cellStyle name="Normal 9 48 3 2" xfId="5951" xr:uid="{00000000-0005-0000-0000-00006A1B0000}"/>
    <cellStyle name="Normal 9 48 3 3" xfId="7555" xr:uid="{00000000-0005-0000-0000-00006B1B0000}"/>
    <cellStyle name="Normal 9 48 4" xfId="5949" xr:uid="{00000000-0005-0000-0000-00006C1B0000}"/>
    <cellStyle name="Normal 9 48 5" xfId="7553" xr:uid="{00000000-0005-0000-0000-00006D1B0000}"/>
    <cellStyle name="Normal 9 49" xfId="4331" xr:uid="{00000000-0005-0000-0000-00006E1B0000}"/>
    <cellStyle name="Normal 9 49 2" xfId="4332" xr:uid="{00000000-0005-0000-0000-00006F1B0000}"/>
    <cellStyle name="Normal 9 49 2 2" xfId="5953" xr:uid="{00000000-0005-0000-0000-0000701B0000}"/>
    <cellStyle name="Normal 9 49 2 3" xfId="7557" xr:uid="{00000000-0005-0000-0000-0000711B0000}"/>
    <cellStyle name="Normal 9 49 3" xfId="4333" xr:uid="{00000000-0005-0000-0000-0000721B0000}"/>
    <cellStyle name="Normal 9 49 3 2" xfId="5954" xr:uid="{00000000-0005-0000-0000-0000731B0000}"/>
    <cellStyle name="Normal 9 49 3 3" xfId="7558" xr:uid="{00000000-0005-0000-0000-0000741B0000}"/>
    <cellStyle name="Normal 9 49 4" xfId="5952" xr:uid="{00000000-0005-0000-0000-0000751B0000}"/>
    <cellStyle name="Normal 9 49 5" xfId="7556" xr:uid="{00000000-0005-0000-0000-0000761B0000}"/>
    <cellStyle name="Normal 9 5" xfId="4334" xr:uid="{00000000-0005-0000-0000-0000771B0000}"/>
    <cellStyle name="Normal 9 5 2" xfId="4335" xr:uid="{00000000-0005-0000-0000-0000781B0000}"/>
    <cellStyle name="Normal 9 5 2 2" xfId="5956" xr:uid="{00000000-0005-0000-0000-0000791B0000}"/>
    <cellStyle name="Normal 9 5 2 3" xfId="7560" xr:uid="{00000000-0005-0000-0000-00007A1B0000}"/>
    <cellStyle name="Normal 9 5 3" xfId="4336" xr:uid="{00000000-0005-0000-0000-00007B1B0000}"/>
    <cellStyle name="Normal 9 5 3 2" xfId="5957" xr:uid="{00000000-0005-0000-0000-00007C1B0000}"/>
    <cellStyle name="Normal 9 5 3 3" xfId="7561" xr:uid="{00000000-0005-0000-0000-00007D1B0000}"/>
    <cellStyle name="Normal 9 5 4" xfId="5955" xr:uid="{00000000-0005-0000-0000-00007E1B0000}"/>
    <cellStyle name="Normal 9 5 5" xfId="7559" xr:uid="{00000000-0005-0000-0000-00007F1B0000}"/>
    <cellStyle name="Normal 9 50" xfId="4337" xr:uid="{00000000-0005-0000-0000-0000801B0000}"/>
    <cellStyle name="Normal 9 50 2" xfId="4338" xr:uid="{00000000-0005-0000-0000-0000811B0000}"/>
    <cellStyle name="Normal 9 50 2 2" xfId="5959" xr:uid="{00000000-0005-0000-0000-0000821B0000}"/>
    <cellStyle name="Normal 9 50 2 3" xfId="7563" xr:uid="{00000000-0005-0000-0000-0000831B0000}"/>
    <cellStyle name="Normal 9 50 3" xfId="4339" xr:uid="{00000000-0005-0000-0000-0000841B0000}"/>
    <cellStyle name="Normal 9 50 3 2" xfId="5960" xr:uid="{00000000-0005-0000-0000-0000851B0000}"/>
    <cellStyle name="Normal 9 50 3 3" xfId="7564" xr:uid="{00000000-0005-0000-0000-0000861B0000}"/>
    <cellStyle name="Normal 9 50 4" xfId="5958" xr:uid="{00000000-0005-0000-0000-0000871B0000}"/>
    <cellStyle name="Normal 9 50 5" xfId="7562" xr:uid="{00000000-0005-0000-0000-0000881B0000}"/>
    <cellStyle name="Normal 9 51" xfId="4340" xr:uid="{00000000-0005-0000-0000-0000891B0000}"/>
    <cellStyle name="Normal 9 51 2" xfId="4341" xr:uid="{00000000-0005-0000-0000-00008A1B0000}"/>
    <cellStyle name="Normal 9 51 2 2" xfId="5962" xr:uid="{00000000-0005-0000-0000-00008B1B0000}"/>
    <cellStyle name="Normal 9 51 2 3" xfId="7566" xr:uid="{00000000-0005-0000-0000-00008C1B0000}"/>
    <cellStyle name="Normal 9 51 3" xfId="4342" xr:uid="{00000000-0005-0000-0000-00008D1B0000}"/>
    <cellStyle name="Normal 9 51 3 2" xfId="5963" xr:uid="{00000000-0005-0000-0000-00008E1B0000}"/>
    <cellStyle name="Normal 9 51 3 3" xfId="7567" xr:uid="{00000000-0005-0000-0000-00008F1B0000}"/>
    <cellStyle name="Normal 9 51 4" xfId="5961" xr:uid="{00000000-0005-0000-0000-0000901B0000}"/>
    <cellStyle name="Normal 9 51 5" xfId="7565" xr:uid="{00000000-0005-0000-0000-0000911B0000}"/>
    <cellStyle name="Normal 9 52" xfId="4343" xr:uid="{00000000-0005-0000-0000-0000921B0000}"/>
    <cellStyle name="Normal 9 52 2" xfId="4344" xr:uid="{00000000-0005-0000-0000-0000931B0000}"/>
    <cellStyle name="Normal 9 52 2 2" xfId="5965" xr:uid="{00000000-0005-0000-0000-0000941B0000}"/>
    <cellStyle name="Normal 9 52 2 3" xfId="7569" xr:uid="{00000000-0005-0000-0000-0000951B0000}"/>
    <cellStyle name="Normal 9 52 3" xfId="4345" xr:uid="{00000000-0005-0000-0000-0000961B0000}"/>
    <cellStyle name="Normal 9 52 3 2" xfId="5966" xr:uid="{00000000-0005-0000-0000-0000971B0000}"/>
    <cellStyle name="Normal 9 52 3 3" xfId="7570" xr:uid="{00000000-0005-0000-0000-0000981B0000}"/>
    <cellStyle name="Normal 9 52 4" xfId="5964" xr:uid="{00000000-0005-0000-0000-0000991B0000}"/>
    <cellStyle name="Normal 9 52 5" xfId="7568" xr:uid="{00000000-0005-0000-0000-00009A1B0000}"/>
    <cellStyle name="Normal 9 53" xfId="4346" xr:uid="{00000000-0005-0000-0000-00009B1B0000}"/>
    <cellStyle name="Normal 9 53 2" xfId="4347" xr:uid="{00000000-0005-0000-0000-00009C1B0000}"/>
    <cellStyle name="Normal 9 53 2 2" xfId="5968" xr:uid="{00000000-0005-0000-0000-00009D1B0000}"/>
    <cellStyle name="Normal 9 53 2 3" xfId="7572" xr:uid="{00000000-0005-0000-0000-00009E1B0000}"/>
    <cellStyle name="Normal 9 53 3" xfId="4348" xr:uid="{00000000-0005-0000-0000-00009F1B0000}"/>
    <cellStyle name="Normal 9 53 3 2" xfId="5969" xr:uid="{00000000-0005-0000-0000-0000A01B0000}"/>
    <cellStyle name="Normal 9 53 3 3" xfId="7573" xr:uid="{00000000-0005-0000-0000-0000A11B0000}"/>
    <cellStyle name="Normal 9 53 4" xfId="5967" xr:uid="{00000000-0005-0000-0000-0000A21B0000}"/>
    <cellStyle name="Normal 9 53 5" xfId="7571" xr:uid="{00000000-0005-0000-0000-0000A31B0000}"/>
    <cellStyle name="Normal 9 54" xfId="4349" xr:uid="{00000000-0005-0000-0000-0000A41B0000}"/>
    <cellStyle name="Normal 9 54 2" xfId="4350" xr:uid="{00000000-0005-0000-0000-0000A51B0000}"/>
    <cellStyle name="Normal 9 54 2 2" xfId="5971" xr:uid="{00000000-0005-0000-0000-0000A61B0000}"/>
    <cellStyle name="Normal 9 54 2 3" xfId="7575" xr:uid="{00000000-0005-0000-0000-0000A71B0000}"/>
    <cellStyle name="Normal 9 54 3" xfId="4351" xr:uid="{00000000-0005-0000-0000-0000A81B0000}"/>
    <cellStyle name="Normal 9 54 3 2" xfId="5972" xr:uid="{00000000-0005-0000-0000-0000A91B0000}"/>
    <cellStyle name="Normal 9 54 3 3" xfId="7576" xr:uid="{00000000-0005-0000-0000-0000AA1B0000}"/>
    <cellStyle name="Normal 9 54 4" xfId="5970" xr:uid="{00000000-0005-0000-0000-0000AB1B0000}"/>
    <cellStyle name="Normal 9 54 5" xfId="7574" xr:uid="{00000000-0005-0000-0000-0000AC1B0000}"/>
    <cellStyle name="Normal 9 55" xfId="4352" xr:uid="{00000000-0005-0000-0000-0000AD1B0000}"/>
    <cellStyle name="Normal 9 55 2" xfId="4353" xr:uid="{00000000-0005-0000-0000-0000AE1B0000}"/>
    <cellStyle name="Normal 9 55 2 2" xfId="5974" xr:uid="{00000000-0005-0000-0000-0000AF1B0000}"/>
    <cellStyle name="Normal 9 55 2 3" xfId="7578" xr:uid="{00000000-0005-0000-0000-0000B01B0000}"/>
    <cellStyle name="Normal 9 55 3" xfId="4354" xr:uid="{00000000-0005-0000-0000-0000B11B0000}"/>
    <cellStyle name="Normal 9 55 3 2" xfId="5975" xr:uid="{00000000-0005-0000-0000-0000B21B0000}"/>
    <cellStyle name="Normal 9 55 3 3" xfId="7579" xr:uid="{00000000-0005-0000-0000-0000B31B0000}"/>
    <cellStyle name="Normal 9 55 4" xfId="5973" xr:uid="{00000000-0005-0000-0000-0000B41B0000}"/>
    <cellStyle name="Normal 9 55 5" xfId="7577" xr:uid="{00000000-0005-0000-0000-0000B51B0000}"/>
    <cellStyle name="Normal 9 56" xfId="4355" xr:uid="{00000000-0005-0000-0000-0000B61B0000}"/>
    <cellStyle name="Normal 9 56 2" xfId="4356" xr:uid="{00000000-0005-0000-0000-0000B71B0000}"/>
    <cellStyle name="Normal 9 56 2 2" xfId="5977" xr:uid="{00000000-0005-0000-0000-0000B81B0000}"/>
    <cellStyle name="Normal 9 56 2 3" xfId="7581" xr:uid="{00000000-0005-0000-0000-0000B91B0000}"/>
    <cellStyle name="Normal 9 56 3" xfId="4357" xr:uid="{00000000-0005-0000-0000-0000BA1B0000}"/>
    <cellStyle name="Normal 9 56 3 2" xfId="5978" xr:uid="{00000000-0005-0000-0000-0000BB1B0000}"/>
    <cellStyle name="Normal 9 56 3 3" xfId="7582" xr:uid="{00000000-0005-0000-0000-0000BC1B0000}"/>
    <cellStyle name="Normal 9 56 4" xfId="5976" xr:uid="{00000000-0005-0000-0000-0000BD1B0000}"/>
    <cellStyle name="Normal 9 56 5" xfId="7580" xr:uid="{00000000-0005-0000-0000-0000BE1B0000}"/>
    <cellStyle name="Normal 9 57" xfId="4358" xr:uid="{00000000-0005-0000-0000-0000BF1B0000}"/>
    <cellStyle name="Normal 9 57 2" xfId="4359" xr:uid="{00000000-0005-0000-0000-0000C01B0000}"/>
    <cellStyle name="Normal 9 57 2 2" xfId="5980" xr:uid="{00000000-0005-0000-0000-0000C11B0000}"/>
    <cellStyle name="Normal 9 57 2 3" xfId="7584" xr:uid="{00000000-0005-0000-0000-0000C21B0000}"/>
    <cellStyle name="Normal 9 57 3" xfId="4360" xr:uid="{00000000-0005-0000-0000-0000C31B0000}"/>
    <cellStyle name="Normal 9 57 3 2" xfId="5981" xr:uid="{00000000-0005-0000-0000-0000C41B0000}"/>
    <cellStyle name="Normal 9 57 3 3" xfId="7585" xr:uid="{00000000-0005-0000-0000-0000C51B0000}"/>
    <cellStyle name="Normal 9 57 4" xfId="5979" xr:uid="{00000000-0005-0000-0000-0000C61B0000}"/>
    <cellStyle name="Normal 9 57 5" xfId="7583" xr:uid="{00000000-0005-0000-0000-0000C71B0000}"/>
    <cellStyle name="Normal 9 58" xfId="4361" xr:uid="{00000000-0005-0000-0000-0000C81B0000}"/>
    <cellStyle name="Normal 9 58 2" xfId="4362" xr:uid="{00000000-0005-0000-0000-0000C91B0000}"/>
    <cellStyle name="Normal 9 58 2 2" xfId="5983" xr:uid="{00000000-0005-0000-0000-0000CA1B0000}"/>
    <cellStyle name="Normal 9 58 2 3" xfId="7587" xr:uid="{00000000-0005-0000-0000-0000CB1B0000}"/>
    <cellStyle name="Normal 9 58 3" xfId="4363" xr:uid="{00000000-0005-0000-0000-0000CC1B0000}"/>
    <cellStyle name="Normal 9 58 3 2" xfId="5984" xr:uid="{00000000-0005-0000-0000-0000CD1B0000}"/>
    <cellStyle name="Normal 9 58 3 3" xfId="7588" xr:uid="{00000000-0005-0000-0000-0000CE1B0000}"/>
    <cellStyle name="Normal 9 58 4" xfId="5982" xr:uid="{00000000-0005-0000-0000-0000CF1B0000}"/>
    <cellStyle name="Normal 9 58 5" xfId="7586" xr:uid="{00000000-0005-0000-0000-0000D01B0000}"/>
    <cellStyle name="Normal 9 59" xfId="4364" xr:uid="{00000000-0005-0000-0000-0000D11B0000}"/>
    <cellStyle name="Normal 9 59 2" xfId="4365" xr:uid="{00000000-0005-0000-0000-0000D21B0000}"/>
    <cellStyle name="Normal 9 59 2 2" xfId="5986" xr:uid="{00000000-0005-0000-0000-0000D31B0000}"/>
    <cellStyle name="Normal 9 59 2 3" xfId="7590" xr:uid="{00000000-0005-0000-0000-0000D41B0000}"/>
    <cellStyle name="Normal 9 59 3" xfId="4366" xr:uid="{00000000-0005-0000-0000-0000D51B0000}"/>
    <cellStyle name="Normal 9 59 3 2" xfId="5987" xr:uid="{00000000-0005-0000-0000-0000D61B0000}"/>
    <cellStyle name="Normal 9 59 3 3" xfId="7591" xr:uid="{00000000-0005-0000-0000-0000D71B0000}"/>
    <cellStyle name="Normal 9 59 4" xfId="5985" xr:uid="{00000000-0005-0000-0000-0000D81B0000}"/>
    <cellStyle name="Normal 9 59 5" xfId="7589" xr:uid="{00000000-0005-0000-0000-0000D91B0000}"/>
    <cellStyle name="Normal 9 6" xfId="4367" xr:uid="{00000000-0005-0000-0000-0000DA1B0000}"/>
    <cellStyle name="Normal 9 6 2" xfId="4368" xr:uid="{00000000-0005-0000-0000-0000DB1B0000}"/>
    <cellStyle name="Normal 9 6 2 2" xfId="5989" xr:uid="{00000000-0005-0000-0000-0000DC1B0000}"/>
    <cellStyle name="Normal 9 6 2 3" xfId="7593" xr:uid="{00000000-0005-0000-0000-0000DD1B0000}"/>
    <cellStyle name="Normal 9 6 3" xfId="4369" xr:uid="{00000000-0005-0000-0000-0000DE1B0000}"/>
    <cellStyle name="Normal 9 6 3 2" xfId="5990" xr:uid="{00000000-0005-0000-0000-0000DF1B0000}"/>
    <cellStyle name="Normal 9 6 3 3" xfId="7594" xr:uid="{00000000-0005-0000-0000-0000E01B0000}"/>
    <cellStyle name="Normal 9 6 4" xfId="5988" xr:uid="{00000000-0005-0000-0000-0000E11B0000}"/>
    <cellStyle name="Normal 9 6 5" xfId="7592" xr:uid="{00000000-0005-0000-0000-0000E21B0000}"/>
    <cellStyle name="Normal 9 60" xfId="4370" xr:uid="{00000000-0005-0000-0000-0000E31B0000}"/>
    <cellStyle name="Normal 9 60 2" xfId="4371" xr:uid="{00000000-0005-0000-0000-0000E41B0000}"/>
    <cellStyle name="Normal 9 60 2 2" xfId="5992" xr:uid="{00000000-0005-0000-0000-0000E51B0000}"/>
    <cellStyle name="Normal 9 60 2 3" xfId="7596" xr:uid="{00000000-0005-0000-0000-0000E61B0000}"/>
    <cellStyle name="Normal 9 60 3" xfId="4372" xr:uid="{00000000-0005-0000-0000-0000E71B0000}"/>
    <cellStyle name="Normal 9 60 3 2" xfId="5993" xr:uid="{00000000-0005-0000-0000-0000E81B0000}"/>
    <cellStyle name="Normal 9 60 3 3" xfId="7597" xr:uid="{00000000-0005-0000-0000-0000E91B0000}"/>
    <cellStyle name="Normal 9 60 4" xfId="5991" xr:uid="{00000000-0005-0000-0000-0000EA1B0000}"/>
    <cellStyle name="Normal 9 60 5" xfId="7595" xr:uid="{00000000-0005-0000-0000-0000EB1B0000}"/>
    <cellStyle name="Normal 9 61" xfId="4373" xr:uid="{00000000-0005-0000-0000-0000EC1B0000}"/>
    <cellStyle name="Normal 9 61 2" xfId="4374" xr:uid="{00000000-0005-0000-0000-0000ED1B0000}"/>
    <cellStyle name="Normal 9 61 2 2" xfId="5995" xr:uid="{00000000-0005-0000-0000-0000EE1B0000}"/>
    <cellStyle name="Normal 9 61 2 3" xfId="7599" xr:uid="{00000000-0005-0000-0000-0000EF1B0000}"/>
    <cellStyle name="Normal 9 61 3" xfId="4375" xr:uid="{00000000-0005-0000-0000-0000F01B0000}"/>
    <cellStyle name="Normal 9 61 3 2" xfId="5996" xr:uid="{00000000-0005-0000-0000-0000F11B0000}"/>
    <cellStyle name="Normal 9 61 3 3" xfId="7600" xr:uid="{00000000-0005-0000-0000-0000F21B0000}"/>
    <cellStyle name="Normal 9 61 4" xfId="5994" xr:uid="{00000000-0005-0000-0000-0000F31B0000}"/>
    <cellStyle name="Normal 9 61 5" xfId="7598" xr:uid="{00000000-0005-0000-0000-0000F41B0000}"/>
    <cellStyle name="Normal 9 62" xfId="4376" xr:uid="{00000000-0005-0000-0000-0000F51B0000}"/>
    <cellStyle name="Normal 9 62 2" xfId="4377" xr:uid="{00000000-0005-0000-0000-0000F61B0000}"/>
    <cellStyle name="Normal 9 62 2 2" xfId="5998" xr:uid="{00000000-0005-0000-0000-0000F71B0000}"/>
    <cellStyle name="Normal 9 62 2 3" xfId="7602" xr:uid="{00000000-0005-0000-0000-0000F81B0000}"/>
    <cellStyle name="Normal 9 62 3" xfId="4378" xr:uid="{00000000-0005-0000-0000-0000F91B0000}"/>
    <cellStyle name="Normal 9 62 3 2" xfId="5999" xr:uid="{00000000-0005-0000-0000-0000FA1B0000}"/>
    <cellStyle name="Normal 9 62 3 3" xfId="7603" xr:uid="{00000000-0005-0000-0000-0000FB1B0000}"/>
    <cellStyle name="Normal 9 62 4" xfId="5997" xr:uid="{00000000-0005-0000-0000-0000FC1B0000}"/>
    <cellStyle name="Normal 9 62 5" xfId="7601" xr:uid="{00000000-0005-0000-0000-0000FD1B0000}"/>
    <cellStyle name="Normal 9 63" xfId="4379" xr:uid="{00000000-0005-0000-0000-0000FE1B0000}"/>
    <cellStyle name="Normal 9 63 2" xfId="4380" xr:uid="{00000000-0005-0000-0000-0000FF1B0000}"/>
    <cellStyle name="Normal 9 63 2 2" xfId="6001" xr:uid="{00000000-0005-0000-0000-0000001C0000}"/>
    <cellStyle name="Normal 9 63 2 3" xfId="7605" xr:uid="{00000000-0005-0000-0000-0000011C0000}"/>
    <cellStyle name="Normal 9 63 3" xfId="4381" xr:uid="{00000000-0005-0000-0000-0000021C0000}"/>
    <cellStyle name="Normal 9 63 3 2" xfId="6002" xr:uid="{00000000-0005-0000-0000-0000031C0000}"/>
    <cellStyle name="Normal 9 63 3 3" xfId="7606" xr:uid="{00000000-0005-0000-0000-0000041C0000}"/>
    <cellStyle name="Normal 9 63 4" xfId="6000" xr:uid="{00000000-0005-0000-0000-0000051C0000}"/>
    <cellStyle name="Normal 9 63 5" xfId="7604" xr:uid="{00000000-0005-0000-0000-0000061C0000}"/>
    <cellStyle name="Normal 9 64" xfId="4382" xr:uid="{00000000-0005-0000-0000-0000071C0000}"/>
    <cellStyle name="Normal 9 64 2" xfId="4383" xr:uid="{00000000-0005-0000-0000-0000081C0000}"/>
    <cellStyle name="Normal 9 64 2 2" xfId="6004" xr:uid="{00000000-0005-0000-0000-0000091C0000}"/>
    <cellStyle name="Normal 9 64 2 3" xfId="7608" xr:uid="{00000000-0005-0000-0000-00000A1C0000}"/>
    <cellStyle name="Normal 9 64 3" xfId="4384" xr:uid="{00000000-0005-0000-0000-00000B1C0000}"/>
    <cellStyle name="Normal 9 64 3 2" xfId="6005" xr:uid="{00000000-0005-0000-0000-00000C1C0000}"/>
    <cellStyle name="Normal 9 64 3 3" xfId="7609" xr:uid="{00000000-0005-0000-0000-00000D1C0000}"/>
    <cellStyle name="Normal 9 64 4" xfId="6003" xr:uid="{00000000-0005-0000-0000-00000E1C0000}"/>
    <cellStyle name="Normal 9 64 5" xfId="7607" xr:uid="{00000000-0005-0000-0000-00000F1C0000}"/>
    <cellStyle name="Normal 9 65" xfId="4385" xr:uid="{00000000-0005-0000-0000-0000101C0000}"/>
    <cellStyle name="Normal 9 65 2" xfId="4386" xr:uid="{00000000-0005-0000-0000-0000111C0000}"/>
    <cellStyle name="Normal 9 65 2 2" xfId="6007" xr:uid="{00000000-0005-0000-0000-0000121C0000}"/>
    <cellStyle name="Normal 9 65 2 3" xfId="7611" xr:uid="{00000000-0005-0000-0000-0000131C0000}"/>
    <cellStyle name="Normal 9 65 3" xfId="4387" xr:uid="{00000000-0005-0000-0000-0000141C0000}"/>
    <cellStyle name="Normal 9 65 3 2" xfId="6008" xr:uid="{00000000-0005-0000-0000-0000151C0000}"/>
    <cellStyle name="Normal 9 65 3 3" xfId="7612" xr:uid="{00000000-0005-0000-0000-0000161C0000}"/>
    <cellStyle name="Normal 9 65 4" xfId="6006" xr:uid="{00000000-0005-0000-0000-0000171C0000}"/>
    <cellStyle name="Normal 9 65 5" xfId="7610" xr:uid="{00000000-0005-0000-0000-0000181C0000}"/>
    <cellStyle name="Normal 9 66" xfId="4388" xr:uid="{00000000-0005-0000-0000-0000191C0000}"/>
    <cellStyle name="Normal 9 66 2" xfId="4389" xr:uid="{00000000-0005-0000-0000-00001A1C0000}"/>
    <cellStyle name="Normal 9 66 2 2" xfId="6010" xr:uid="{00000000-0005-0000-0000-00001B1C0000}"/>
    <cellStyle name="Normal 9 66 2 3" xfId="7614" xr:uid="{00000000-0005-0000-0000-00001C1C0000}"/>
    <cellStyle name="Normal 9 66 3" xfId="4390" xr:uid="{00000000-0005-0000-0000-00001D1C0000}"/>
    <cellStyle name="Normal 9 66 3 2" xfId="6011" xr:uid="{00000000-0005-0000-0000-00001E1C0000}"/>
    <cellStyle name="Normal 9 66 3 3" xfId="7615" xr:uid="{00000000-0005-0000-0000-00001F1C0000}"/>
    <cellStyle name="Normal 9 66 4" xfId="6009" xr:uid="{00000000-0005-0000-0000-0000201C0000}"/>
    <cellStyle name="Normal 9 66 5" xfId="7613" xr:uid="{00000000-0005-0000-0000-0000211C0000}"/>
    <cellStyle name="Normal 9 67" xfId="4391" xr:uid="{00000000-0005-0000-0000-0000221C0000}"/>
    <cellStyle name="Normal 9 67 2" xfId="4392" xr:uid="{00000000-0005-0000-0000-0000231C0000}"/>
    <cellStyle name="Normal 9 67 2 2" xfId="6013" xr:uid="{00000000-0005-0000-0000-0000241C0000}"/>
    <cellStyle name="Normal 9 67 2 3" xfId="7617" xr:uid="{00000000-0005-0000-0000-0000251C0000}"/>
    <cellStyle name="Normal 9 67 3" xfId="4393" xr:uid="{00000000-0005-0000-0000-0000261C0000}"/>
    <cellStyle name="Normal 9 67 3 2" xfId="6014" xr:uid="{00000000-0005-0000-0000-0000271C0000}"/>
    <cellStyle name="Normal 9 67 3 3" xfId="7618" xr:uid="{00000000-0005-0000-0000-0000281C0000}"/>
    <cellStyle name="Normal 9 67 4" xfId="6012" xr:uid="{00000000-0005-0000-0000-0000291C0000}"/>
    <cellStyle name="Normal 9 67 5" xfId="7616" xr:uid="{00000000-0005-0000-0000-00002A1C0000}"/>
    <cellStyle name="Normal 9 68" xfId="4394" xr:uid="{00000000-0005-0000-0000-00002B1C0000}"/>
    <cellStyle name="Normal 9 68 2" xfId="4395" xr:uid="{00000000-0005-0000-0000-00002C1C0000}"/>
    <cellStyle name="Normal 9 68 2 2" xfId="6016" xr:uid="{00000000-0005-0000-0000-00002D1C0000}"/>
    <cellStyle name="Normal 9 68 2 3" xfId="7620" xr:uid="{00000000-0005-0000-0000-00002E1C0000}"/>
    <cellStyle name="Normal 9 68 3" xfId="4396" xr:uid="{00000000-0005-0000-0000-00002F1C0000}"/>
    <cellStyle name="Normal 9 68 3 2" xfId="6017" xr:uid="{00000000-0005-0000-0000-0000301C0000}"/>
    <cellStyle name="Normal 9 68 3 3" xfId="7621" xr:uid="{00000000-0005-0000-0000-0000311C0000}"/>
    <cellStyle name="Normal 9 68 4" xfId="6015" xr:uid="{00000000-0005-0000-0000-0000321C0000}"/>
    <cellStyle name="Normal 9 68 5" xfId="7619" xr:uid="{00000000-0005-0000-0000-0000331C0000}"/>
    <cellStyle name="Normal 9 69" xfId="4397" xr:uid="{00000000-0005-0000-0000-0000341C0000}"/>
    <cellStyle name="Normal 9 69 2" xfId="4398" xr:uid="{00000000-0005-0000-0000-0000351C0000}"/>
    <cellStyle name="Normal 9 69 2 2" xfId="6019" xr:uid="{00000000-0005-0000-0000-0000361C0000}"/>
    <cellStyle name="Normal 9 69 2 3" xfId="7623" xr:uid="{00000000-0005-0000-0000-0000371C0000}"/>
    <cellStyle name="Normal 9 69 3" xfId="4399" xr:uid="{00000000-0005-0000-0000-0000381C0000}"/>
    <cellStyle name="Normal 9 69 3 2" xfId="6020" xr:uid="{00000000-0005-0000-0000-0000391C0000}"/>
    <cellStyle name="Normal 9 69 3 3" xfId="7624" xr:uid="{00000000-0005-0000-0000-00003A1C0000}"/>
    <cellStyle name="Normal 9 69 4" xfId="6018" xr:uid="{00000000-0005-0000-0000-00003B1C0000}"/>
    <cellStyle name="Normal 9 69 5" xfId="7622" xr:uid="{00000000-0005-0000-0000-00003C1C0000}"/>
    <cellStyle name="Normal 9 7" xfId="4400" xr:uid="{00000000-0005-0000-0000-00003D1C0000}"/>
    <cellStyle name="Normal 9 7 2" xfId="4401" xr:uid="{00000000-0005-0000-0000-00003E1C0000}"/>
    <cellStyle name="Normal 9 7 2 2" xfId="6022" xr:uid="{00000000-0005-0000-0000-00003F1C0000}"/>
    <cellStyle name="Normal 9 7 2 3" xfId="7626" xr:uid="{00000000-0005-0000-0000-0000401C0000}"/>
    <cellStyle name="Normal 9 7 3" xfId="4402" xr:uid="{00000000-0005-0000-0000-0000411C0000}"/>
    <cellStyle name="Normal 9 7 3 2" xfId="6023" xr:uid="{00000000-0005-0000-0000-0000421C0000}"/>
    <cellStyle name="Normal 9 7 3 3" xfId="7627" xr:uid="{00000000-0005-0000-0000-0000431C0000}"/>
    <cellStyle name="Normal 9 7 4" xfId="6021" xr:uid="{00000000-0005-0000-0000-0000441C0000}"/>
    <cellStyle name="Normal 9 7 5" xfId="7625" xr:uid="{00000000-0005-0000-0000-0000451C0000}"/>
    <cellStyle name="Normal 9 70" xfId="4403" xr:uid="{00000000-0005-0000-0000-0000461C0000}"/>
    <cellStyle name="Normal 9 70 2" xfId="4404" xr:uid="{00000000-0005-0000-0000-0000471C0000}"/>
    <cellStyle name="Normal 9 70 2 2" xfId="6025" xr:uid="{00000000-0005-0000-0000-0000481C0000}"/>
    <cellStyle name="Normal 9 70 2 3" xfId="7629" xr:uid="{00000000-0005-0000-0000-0000491C0000}"/>
    <cellStyle name="Normal 9 70 3" xfId="4405" xr:uid="{00000000-0005-0000-0000-00004A1C0000}"/>
    <cellStyle name="Normal 9 70 3 2" xfId="6026" xr:uid="{00000000-0005-0000-0000-00004B1C0000}"/>
    <cellStyle name="Normal 9 70 3 3" xfId="7630" xr:uid="{00000000-0005-0000-0000-00004C1C0000}"/>
    <cellStyle name="Normal 9 70 4" xfId="6024" xr:uid="{00000000-0005-0000-0000-00004D1C0000}"/>
    <cellStyle name="Normal 9 70 5" xfId="7628" xr:uid="{00000000-0005-0000-0000-00004E1C0000}"/>
    <cellStyle name="Normal 9 71" xfId="4406" xr:uid="{00000000-0005-0000-0000-00004F1C0000}"/>
    <cellStyle name="Normal 9 71 2" xfId="4407" xr:uid="{00000000-0005-0000-0000-0000501C0000}"/>
    <cellStyle name="Normal 9 71 2 2" xfId="6028" xr:uid="{00000000-0005-0000-0000-0000511C0000}"/>
    <cellStyle name="Normal 9 71 2 3" xfId="7632" xr:uid="{00000000-0005-0000-0000-0000521C0000}"/>
    <cellStyle name="Normal 9 71 3" xfId="4408" xr:uid="{00000000-0005-0000-0000-0000531C0000}"/>
    <cellStyle name="Normal 9 71 3 2" xfId="6029" xr:uid="{00000000-0005-0000-0000-0000541C0000}"/>
    <cellStyle name="Normal 9 71 3 3" xfId="7633" xr:uid="{00000000-0005-0000-0000-0000551C0000}"/>
    <cellStyle name="Normal 9 71 4" xfId="6027" xr:uid="{00000000-0005-0000-0000-0000561C0000}"/>
    <cellStyle name="Normal 9 71 5" xfId="7631" xr:uid="{00000000-0005-0000-0000-0000571C0000}"/>
    <cellStyle name="Normal 9 72" xfId="4409" xr:uid="{00000000-0005-0000-0000-0000581C0000}"/>
    <cellStyle name="Normal 9 72 2" xfId="4410" xr:uid="{00000000-0005-0000-0000-0000591C0000}"/>
    <cellStyle name="Normal 9 72 2 2" xfId="6031" xr:uid="{00000000-0005-0000-0000-00005A1C0000}"/>
    <cellStyle name="Normal 9 72 2 3" xfId="7635" xr:uid="{00000000-0005-0000-0000-00005B1C0000}"/>
    <cellStyle name="Normal 9 72 3" xfId="4411" xr:uid="{00000000-0005-0000-0000-00005C1C0000}"/>
    <cellStyle name="Normal 9 72 3 2" xfId="6032" xr:uid="{00000000-0005-0000-0000-00005D1C0000}"/>
    <cellStyle name="Normal 9 72 3 3" xfId="7636" xr:uid="{00000000-0005-0000-0000-00005E1C0000}"/>
    <cellStyle name="Normal 9 72 4" xfId="6030" xr:uid="{00000000-0005-0000-0000-00005F1C0000}"/>
    <cellStyle name="Normal 9 72 5" xfId="7634" xr:uid="{00000000-0005-0000-0000-0000601C0000}"/>
    <cellStyle name="Normal 9 73" xfId="4412" xr:uid="{00000000-0005-0000-0000-0000611C0000}"/>
    <cellStyle name="Normal 9 73 2" xfId="4413" xr:uid="{00000000-0005-0000-0000-0000621C0000}"/>
    <cellStyle name="Normal 9 73 2 2" xfId="6034" xr:uid="{00000000-0005-0000-0000-0000631C0000}"/>
    <cellStyle name="Normal 9 73 2 3" xfId="7638" xr:uid="{00000000-0005-0000-0000-0000641C0000}"/>
    <cellStyle name="Normal 9 73 3" xfId="4414" xr:uid="{00000000-0005-0000-0000-0000651C0000}"/>
    <cellStyle name="Normal 9 73 3 2" xfId="6035" xr:uid="{00000000-0005-0000-0000-0000661C0000}"/>
    <cellStyle name="Normal 9 73 3 3" xfId="7639" xr:uid="{00000000-0005-0000-0000-0000671C0000}"/>
    <cellStyle name="Normal 9 73 4" xfId="6033" xr:uid="{00000000-0005-0000-0000-0000681C0000}"/>
    <cellStyle name="Normal 9 73 5" xfId="7637" xr:uid="{00000000-0005-0000-0000-0000691C0000}"/>
    <cellStyle name="Normal 9 74" xfId="4415" xr:uid="{00000000-0005-0000-0000-00006A1C0000}"/>
    <cellStyle name="Normal 9 74 2" xfId="4416" xr:uid="{00000000-0005-0000-0000-00006B1C0000}"/>
    <cellStyle name="Normal 9 74 2 2" xfId="6037" xr:uid="{00000000-0005-0000-0000-00006C1C0000}"/>
    <cellStyle name="Normal 9 74 2 3" xfId="7641" xr:uid="{00000000-0005-0000-0000-00006D1C0000}"/>
    <cellStyle name="Normal 9 74 3" xfId="4417" xr:uid="{00000000-0005-0000-0000-00006E1C0000}"/>
    <cellStyle name="Normal 9 74 3 2" xfId="6038" xr:uid="{00000000-0005-0000-0000-00006F1C0000}"/>
    <cellStyle name="Normal 9 74 3 3" xfId="7642" xr:uid="{00000000-0005-0000-0000-0000701C0000}"/>
    <cellStyle name="Normal 9 74 4" xfId="6036" xr:uid="{00000000-0005-0000-0000-0000711C0000}"/>
    <cellStyle name="Normal 9 74 5" xfId="7640" xr:uid="{00000000-0005-0000-0000-0000721C0000}"/>
    <cellStyle name="Normal 9 75" xfId="4418" xr:uid="{00000000-0005-0000-0000-0000731C0000}"/>
    <cellStyle name="Normal 9 75 2" xfId="4419" xr:uid="{00000000-0005-0000-0000-0000741C0000}"/>
    <cellStyle name="Normal 9 75 2 2" xfId="6040" xr:uid="{00000000-0005-0000-0000-0000751C0000}"/>
    <cellStyle name="Normal 9 75 2 3" xfId="7644" xr:uid="{00000000-0005-0000-0000-0000761C0000}"/>
    <cellStyle name="Normal 9 75 3" xfId="4420" xr:uid="{00000000-0005-0000-0000-0000771C0000}"/>
    <cellStyle name="Normal 9 75 3 2" xfId="6041" xr:uid="{00000000-0005-0000-0000-0000781C0000}"/>
    <cellStyle name="Normal 9 75 3 3" xfId="7645" xr:uid="{00000000-0005-0000-0000-0000791C0000}"/>
    <cellStyle name="Normal 9 75 4" xfId="6039" xr:uid="{00000000-0005-0000-0000-00007A1C0000}"/>
    <cellStyle name="Normal 9 75 5" xfId="7643" xr:uid="{00000000-0005-0000-0000-00007B1C0000}"/>
    <cellStyle name="Normal 9 76" xfId="4421" xr:uid="{00000000-0005-0000-0000-00007C1C0000}"/>
    <cellStyle name="Normal 9 76 2" xfId="4422" xr:uid="{00000000-0005-0000-0000-00007D1C0000}"/>
    <cellStyle name="Normal 9 76 2 2" xfId="6043" xr:uid="{00000000-0005-0000-0000-00007E1C0000}"/>
    <cellStyle name="Normal 9 76 2 3" xfId="7647" xr:uid="{00000000-0005-0000-0000-00007F1C0000}"/>
    <cellStyle name="Normal 9 76 3" xfId="4423" xr:uid="{00000000-0005-0000-0000-0000801C0000}"/>
    <cellStyle name="Normal 9 76 3 2" xfId="6044" xr:uid="{00000000-0005-0000-0000-0000811C0000}"/>
    <cellStyle name="Normal 9 76 3 3" xfId="7648" xr:uid="{00000000-0005-0000-0000-0000821C0000}"/>
    <cellStyle name="Normal 9 76 4" xfId="6042" xr:uid="{00000000-0005-0000-0000-0000831C0000}"/>
    <cellStyle name="Normal 9 76 5" xfId="7646" xr:uid="{00000000-0005-0000-0000-0000841C0000}"/>
    <cellStyle name="Normal 9 77" xfId="4424" xr:uid="{00000000-0005-0000-0000-0000851C0000}"/>
    <cellStyle name="Normal 9 77 2" xfId="4425" xr:uid="{00000000-0005-0000-0000-0000861C0000}"/>
    <cellStyle name="Normal 9 77 2 2" xfId="6046" xr:uid="{00000000-0005-0000-0000-0000871C0000}"/>
    <cellStyle name="Normal 9 77 2 3" xfId="7650" xr:uid="{00000000-0005-0000-0000-0000881C0000}"/>
    <cellStyle name="Normal 9 77 3" xfId="4426" xr:uid="{00000000-0005-0000-0000-0000891C0000}"/>
    <cellStyle name="Normal 9 77 3 2" xfId="6047" xr:uid="{00000000-0005-0000-0000-00008A1C0000}"/>
    <cellStyle name="Normal 9 77 3 3" xfId="7651" xr:uid="{00000000-0005-0000-0000-00008B1C0000}"/>
    <cellStyle name="Normal 9 77 4" xfId="6045" xr:uid="{00000000-0005-0000-0000-00008C1C0000}"/>
    <cellStyle name="Normal 9 77 5" xfId="7649" xr:uid="{00000000-0005-0000-0000-00008D1C0000}"/>
    <cellStyle name="Normal 9 78" xfId="4427" xr:uid="{00000000-0005-0000-0000-00008E1C0000}"/>
    <cellStyle name="Normal 9 78 2" xfId="4428" xr:uid="{00000000-0005-0000-0000-00008F1C0000}"/>
    <cellStyle name="Normal 9 78 2 2" xfId="6049" xr:uid="{00000000-0005-0000-0000-0000901C0000}"/>
    <cellStyle name="Normal 9 78 2 3" xfId="7653" xr:uid="{00000000-0005-0000-0000-0000911C0000}"/>
    <cellStyle name="Normal 9 78 3" xfId="4429" xr:uid="{00000000-0005-0000-0000-0000921C0000}"/>
    <cellStyle name="Normal 9 78 3 2" xfId="6050" xr:uid="{00000000-0005-0000-0000-0000931C0000}"/>
    <cellStyle name="Normal 9 78 3 3" xfId="7654" xr:uid="{00000000-0005-0000-0000-0000941C0000}"/>
    <cellStyle name="Normal 9 78 4" xfId="6048" xr:uid="{00000000-0005-0000-0000-0000951C0000}"/>
    <cellStyle name="Normal 9 78 5" xfId="7652" xr:uid="{00000000-0005-0000-0000-0000961C0000}"/>
    <cellStyle name="Normal 9 79" xfId="4430" xr:uid="{00000000-0005-0000-0000-0000971C0000}"/>
    <cellStyle name="Normal 9 79 2" xfId="4431" xr:uid="{00000000-0005-0000-0000-0000981C0000}"/>
    <cellStyle name="Normal 9 79 2 2" xfId="6052" xr:uid="{00000000-0005-0000-0000-0000991C0000}"/>
    <cellStyle name="Normal 9 79 2 3" xfId="7656" xr:uid="{00000000-0005-0000-0000-00009A1C0000}"/>
    <cellStyle name="Normal 9 79 3" xfId="4432" xr:uid="{00000000-0005-0000-0000-00009B1C0000}"/>
    <cellStyle name="Normal 9 79 3 2" xfId="6053" xr:uid="{00000000-0005-0000-0000-00009C1C0000}"/>
    <cellStyle name="Normal 9 79 3 3" xfId="7657" xr:uid="{00000000-0005-0000-0000-00009D1C0000}"/>
    <cellStyle name="Normal 9 79 4" xfId="6051" xr:uid="{00000000-0005-0000-0000-00009E1C0000}"/>
    <cellStyle name="Normal 9 79 5" xfId="7655" xr:uid="{00000000-0005-0000-0000-00009F1C0000}"/>
    <cellStyle name="Normal 9 8" xfId="4433" xr:uid="{00000000-0005-0000-0000-0000A01C0000}"/>
    <cellStyle name="Normal 9 8 2" xfId="4434" xr:uid="{00000000-0005-0000-0000-0000A11C0000}"/>
    <cellStyle name="Normal 9 8 2 2" xfId="6055" xr:uid="{00000000-0005-0000-0000-0000A21C0000}"/>
    <cellStyle name="Normal 9 8 2 3" xfId="7659" xr:uid="{00000000-0005-0000-0000-0000A31C0000}"/>
    <cellStyle name="Normal 9 8 3" xfId="4435" xr:uid="{00000000-0005-0000-0000-0000A41C0000}"/>
    <cellStyle name="Normal 9 8 3 2" xfId="6056" xr:uid="{00000000-0005-0000-0000-0000A51C0000}"/>
    <cellStyle name="Normal 9 8 3 3" xfId="7660" xr:uid="{00000000-0005-0000-0000-0000A61C0000}"/>
    <cellStyle name="Normal 9 8 4" xfId="6054" xr:uid="{00000000-0005-0000-0000-0000A71C0000}"/>
    <cellStyle name="Normal 9 8 5" xfId="7658" xr:uid="{00000000-0005-0000-0000-0000A81C0000}"/>
    <cellStyle name="Normal 9 80" xfId="4436" xr:uid="{00000000-0005-0000-0000-0000A91C0000}"/>
    <cellStyle name="Normal 9 80 2" xfId="4437" xr:uid="{00000000-0005-0000-0000-0000AA1C0000}"/>
    <cellStyle name="Normal 9 80 2 2" xfId="6058" xr:uid="{00000000-0005-0000-0000-0000AB1C0000}"/>
    <cellStyle name="Normal 9 80 2 3" xfId="7662" xr:uid="{00000000-0005-0000-0000-0000AC1C0000}"/>
    <cellStyle name="Normal 9 80 3" xfId="4438" xr:uid="{00000000-0005-0000-0000-0000AD1C0000}"/>
    <cellStyle name="Normal 9 80 3 2" xfId="6059" xr:uid="{00000000-0005-0000-0000-0000AE1C0000}"/>
    <cellStyle name="Normal 9 80 3 3" xfId="7663" xr:uid="{00000000-0005-0000-0000-0000AF1C0000}"/>
    <cellStyle name="Normal 9 80 4" xfId="6057" xr:uid="{00000000-0005-0000-0000-0000B01C0000}"/>
    <cellStyle name="Normal 9 80 5" xfId="7661" xr:uid="{00000000-0005-0000-0000-0000B11C0000}"/>
    <cellStyle name="Normal 9 81" xfId="4439" xr:uid="{00000000-0005-0000-0000-0000B21C0000}"/>
    <cellStyle name="Normal 9 81 2" xfId="4440" xr:uid="{00000000-0005-0000-0000-0000B31C0000}"/>
    <cellStyle name="Normal 9 81 2 2" xfId="6061" xr:uid="{00000000-0005-0000-0000-0000B41C0000}"/>
    <cellStyle name="Normal 9 81 2 3" xfId="7665" xr:uid="{00000000-0005-0000-0000-0000B51C0000}"/>
    <cellStyle name="Normal 9 81 3" xfId="4441" xr:uid="{00000000-0005-0000-0000-0000B61C0000}"/>
    <cellStyle name="Normal 9 81 3 2" xfId="6062" xr:uid="{00000000-0005-0000-0000-0000B71C0000}"/>
    <cellStyle name="Normal 9 81 3 3" xfId="7666" xr:uid="{00000000-0005-0000-0000-0000B81C0000}"/>
    <cellStyle name="Normal 9 81 4" xfId="6060" xr:uid="{00000000-0005-0000-0000-0000B91C0000}"/>
    <cellStyle name="Normal 9 81 5" xfId="7664" xr:uid="{00000000-0005-0000-0000-0000BA1C0000}"/>
    <cellStyle name="Normal 9 82" xfId="4442" xr:uid="{00000000-0005-0000-0000-0000BB1C0000}"/>
    <cellStyle name="Normal 9 82 2" xfId="4443" xr:uid="{00000000-0005-0000-0000-0000BC1C0000}"/>
    <cellStyle name="Normal 9 82 2 2" xfId="6064" xr:uid="{00000000-0005-0000-0000-0000BD1C0000}"/>
    <cellStyle name="Normal 9 82 2 3" xfId="7668" xr:uid="{00000000-0005-0000-0000-0000BE1C0000}"/>
    <cellStyle name="Normal 9 82 3" xfId="4444" xr:uid="{00000000-0005-0000-0000-0000BF1C0000}"/>
    <cellStyle name="Normal 9 82 3 2" xfId="6065" xr:uid="{00000000-0005-0000-0000-0000C01C0000}"/>
    <cellStyle name="Normal 9 82 3 3" xfId="7669" xr:uid="{00000000-0005-0000-0000-0000C11C0000}"/>
    <cellStyle name="Normal 9 82 4" xfId="6063" xr:uid="{00000000-0005-0000-0000-0000C21C0000}"/>
    <cellStyle name="Normal 9 82 5" xfId="7667" xr:uid="{00000000-0005-0000-0000-0000C31C0000}"/>
    <cellStyle name="Normal 9 83" xfId="4445" xr:uid="{00000000-0005-0000-0000-0000C41C0000}"/>
    <cellStyle name="Normal 9 83 2" xfId="4446" xr:uid="{00000000-0005-0000-0000-0000C51C0000}"/>
    <cellStyle name="Normal 9 83 2 2" xfId="6067" xr:uid="{00000000-0005-0000-0000-0000C61C0000}"/>
    <cellStyle name="Normal 9 83 2 3" xfId="7671" xr:uid="{00000000-0005-0000-0000-0000C71C0000}"/>
    <cellStyle name="Normal 9 83 3" xfId="4447" xr:uid="{00000000-0005-0000-0000-0000C81C0000}"/>
    <cellStyle name="Normal 9 83 3 2" xfId="6068" xr:uid="{00000000-0005-0000-0000-0000C91C0000}"/>
    <cellStyle name="Normal 9 83 3 3" xfId="7672" xr:uid="{00000000-0005-0000-0000-0000CA1C0000}"/>
    <cellStyle name="Normal 9 83 4" xfId="6066" xr:uid="{00000000-0005-0000-0000-0000CB1C0000}"/>
    <cellStyle name="Normal 9 83 5" xfId="7670" xr:uid="{00000000-0005-0000-0000-0000CC1C0000}"/>
    <cellStyle name="Normal 9 84" xfId="4448" xr:uid="{00000000-0005-0000-0000-0000CD1C0000}"/>
    <cellStyle name="Normal 9 84 2" xfId="4449" xr:uid="{00000000-0005-0000-0000-0000CE1C0000}"/>
    <cellStyle name="Normal 9 84 2 2" xfId="6070" xr:uid="{00000000-0005-0000-0000-0000CF1C0000}"/>
    <cellStyle name="Normal 9 84 2 3" xfId="7674" xr:uid="{00000000-0005-0000-0000-0000D01C0000}"/>
    <cellStyle name="Normal 9 84 3" xfId="4450" xr:uid="{00000000-0005-0000-0000-0000D11C0000}"/>
    <cellStyle name="Normal 9 84 3 2" xfId="6071" xr:uid="{00000000-0005-0000-0000-0000D21C0000}"/>
    <cellStyle name="Normal 9 84 3 3" xfId="7675" xr:uid="{00000000-0005-0000-0000-0000D31C0000}"/>
    <cellStyle name="Normal 9 84 4" xfId="6069" xr:uid="{00000000-0005-0000-0000-0000D41C0000}"/>
    <cellStyle name="Normal 9 84 5" xfId="7673" xr:uid="{00000000-0005-0000-0000-0000D51C0000}"/>
    <cellStyle name="Normal 9 85" xfId="4451" xr:uid="{00000000-0005-0000-0000-0000D61C0000}"/>
    <cellStyle name="Normal 9 85 2" xfId="4452" xr:uid="{00000000-0005-0000-0000-0000D71C0000}"/>
    <cellStyle name="Normal 9 85 2 2" xfId="6073" xr:uid="{00000000-0005-0000-0000-0000D81C0000}"/>
    <cellStyle name="Normal 9 85 2 3" xfId="7677" xr:uid="{00000000-0005-0000-0000-0000D91C0000}"/>
    <cellStyle name="Normal 9 85 3" xfId="4453" xr:uid="{00000000-0005-0000-0000-0000DA1C0000}"/>
    <cellStyle name="Normal 9 85 3 2" xfId="6074" xr:uid="{00000000-0005-0000-0000-0000DB1C0000}"/>
    <cellStyle name="Normal 9 85 3 3" xfId="7678" xr:uid="{00000000-0005-0000-0000-0000DC1C0000}"/>
    <cellStyle name="Normal 9 85 4" xfId="6072" xr:uid="{00000000-0005-0000-0000-0000DD1C0000}"/>
    <cellStyle name="Normal 9 85 5" xfId="7676" xr:uid="{00000000-0005-0000-0000-0000DE1C0000}"/>
    <cellStyle name="Normal 9 86" xfId="4454" xr:uid="{00000000-0005-0000-0000-0000DF1C0000}"/>
    <cellStyle name="Normal 9 86 2" xfId="4455" xr:uid="{00000000-0005-0000-0000-0000E01C0000}"/>
    <cellStyle name="Normal 9 86 2 2" xfId="6076" xr:uid="{00000000-0005-0000-0000-0000E11C0000}"/>
    <cellStyle name="Normal 9 86 2 3" xfId="7680" xr:uid="{00000000-0005-0000-0000-0000E21C0000}"/>
    <cellStyle name="Normal 9 86 3" xfId="4456" xr:uid="{00000000-0005-0000-0000-0000E31C0000}"/>
    <cellStyle name="Normal 9 86 3 2" xfId="6077" xr:uid="{00000000-0005-0000-0000-0000E41C0000}"/>
    <cellStyle name="Normal 9 86 3 3" xfId="7681" xr:uid="{00000000-0005-0000-0000-0000E51C0000}"/>
    <cellStyle name="Normal 9 86 4" xfId="6075" xr:uid="{00000000-0005-0000-0000-0000E61C0000}"/>
    <cellStyle name="Normal 9 86 5" xfId="7679" xr:uid="{00000000-0005-0000-0000-0000E71C0000}"/>
    <cellStyle name="Normal 9 87" xfId="4457" xr:uid="{00000000-0005-0000-0000-0000E81C0000}"/>
    <cellStyle name="Normal 9 87 2" xfId="4458" xr:uid="{00000000-0005-0000-0000-0000E91C0000}"/>
    <cellStyle name="Normal 9 87 2 2" xfId="6079" xr:uid="{00000000-0005-0000-0000-0000EA1C0000}"/>
    <cellStyle name="Normal 9 87 2 3" xfId="7683" xr:uid="{00000000-0005-0000-0000-0000EB1C0000}"/>
    <cellStyle name="Normal 9 87 3" xfId="4459" xr:uid="{00000000-0005-0000-0000-0000EC1C0000}"/>
    <cellStyle name="Normal 9 87 3 2" xfId="6080" xr:uid="{00000000-0005-0000-0000-0000ED1C0000}"/>
    <cellStyle name="Normal 9 87 3 3" xfId="7684" xr:uid="{00000000-0005-0000-0000-0000EE1C0000}"/>
    <cellStyle name="Normal 9 87 4" xfId="6078" xr:uid="{00000000-0005-0000-0000-0000EF1C0000}"/>
    <cellStyle name="Normal 9 87 5" xfId="7682" xr:uid="{00000000-0005-0000-0000-0000F01C0000}"/>
    <cellStyle name="Normal 9 88" xfId="4460" xr:uid="{00000000-0005-0000-0000-0000F11C0000}"/>
    <cellStyle name="Normal 9 88 2" xfId="4461" xr:uid="{00000000-0005-0000-0000-0000F21C0000}"/>
    <cellStyle name="Normal 9 88 2 2" xfId="6082" xr:uid="{00000000-0005-0000-0000-0000F31C0000}"/>
    <cellStyle name="Normal 9 88 2 3" xfId="7686" xr:uid="{00000000-0005-0000-0000-0000F41C0000}"/>
    <cellStyle name="Normal 9 88 3" xfId="4462" xr:uid="{00000000-0005-0000-0000-0000F51C0000}"/>
    <cellStyle name="Normal 9 88 3 2" xfId="6083" xr:uid="{00000000-0005-0000-0000-0000F61C0000}"/>
    <cellStyle name="Normal 9 88 3 3" xfId="7687" xr:uid="{00000000-0005-0000-0000-0000F71C0000}"/>
    <cellStyle name="Normal 9 88 4" xfId="6081" xr:uid="{00000000-0005-0000-0000-0000F81C0000}"/>
    <cellStyle name="Normal 9 88 5" xfId="7685" xr:uid="{00000000-0005-0000-0000-0000F91C0000}"/>
    <cellStyle name="Normal 9 89" xfId="4463" xr:uid="{00000000-0005-0000-0000-0000FA1C0000}"/>
    <cellStyle name="Normal 9 89 2" xfId="4464" xr:uid="{00000000-0005-0000-0000-0000FB1C0000}"/>
    <cellStyle name="Normal 9 89 2 2" xfId="6085" xr:uid="{00000000-0005-0000-0000-0000FC1C0000}"/>
    <cellStyle name="Normal 9 89 2 3" xfId="7689" xr:uid="{00000000-0005-0000-0000-0000FD1C0000}"/>
    <cellStyle name="Normal 9 89 3" xfId="4465" xr:uid="{00000000-0005-0000-0000-0000FE1C0000}"/>
    <cellStyle name="Normal 9 89 3 2" xfId="6086" xr:uid="{00000000-0005-0000-0000-0000FF1C0000}"/>
    <cellStyle name="Normal 9 89 3 3" xfId="7690" xr:uid="{00000000-0005-0000-0000-0000001D0000}"/>
    <cellStyle name="Normal 9 89 4" xfId="6084" xr:uid="{00000000-0005-0000-0000-0000011D0000}"/>
    <cellStyle name="Normal 9 89 5" xfId="7688" xr:uid="{00000000-0005-0000-0000-0000021D0000}"/>
    <cellStyle name="Normal 9 9" xfId="4466" xr:uid="{00000000-0005-0000-0000-0000031D0000}"/>
    <cellStyle name="Normal 9 9 2" xfId="4467" xr:uid="{00000000-0005-0000-0000-0000041D0000}"/>
    <cellStyle name="Normal 9 9 2 2" xfId="6088" xr:uid="{00000000-0005-0000-0000-0000051D0000}"/>
    <cellStyle name="Normal 9 9 2 3" xfId="7692" xr:uid="{00000000-0005-0000-0000-0000061D0000}"/>
    <cellStyle name="Normal 9 9 3" xfId="4468" xr:uid="{00000000-0005-0000-0000-0000071D0000}"/>
    <cellStyle name="Normal 9 9 3 2" xfId="6089" xr:uid="{00000000-0005-0000-0000-0000081D0000}"/>
    <cellStyle name="Normal 9 9 3 3" xfId="7693" xr:uid="{00000000-0005-0000-0000-0000091D0000}"/>
    <cellStyle name="Normal 9 9 4" xfId="6087" xr:uid="{00000000-0005-0000-0000-00000A1D0000}"/>
    <cellStyle name="Normal 9 9 5" xfId="7691" xr:uid="{00000000-0005-0000-0000-00000B1D0000}"/>
    <cellStyle name="Normal 9 90" xfId="4469" xr:uid="{00000000-0005-0000-0000-00000C1D0000}"/>
    <cellStyle name="Normal 9 90 2" xfId="4470" xr:uid="{00000000-0005-0000-0000-00000D1D0000}"/>
    <cellStyle name="Normal 9 90 2 2" xfId="6091" xr:uid="{00000000-0005-0000-0000-00000E1D0000}"/>
    <cellStyle name="Normal 9 90 2 3" xfId="7695" xr:uid="{00000000-0005-0000-0000-00000F1D0000}"/>
    <cellStyle name="Normal 9 90 3" xfId="4471" xr:uid="{00000000-0005-0000-0000-0000101D0000}"/>
    <cellStyle name="Normal 9 90 3 2" xfId="6092" xr:uid="{00000000-0005-0000-0000-0000111D0000}"/>
    <cellStyle name="Normal 9 90 3 3" xfId="7696" xr:uid="{00000000-0005-0000-0000-0000121D0000}"/>
    <cellStyle name="Normal 9 90 4" xfId="6090" xr:uid="{00000000-0005-0000-0000-0000131D0000}"/>
    <cellStyle name="Normal 9 90 5" xfId="7694" xr:uid="{00000000-0005-0000-0000-0000141D0000}"/>
    <cellStyle name="Normal 9 91" xfId="4472" xr:uid="{00000000-0005-0000-0000-0000151D0000}"/>
    <cellStyle name="Normal 9 91 2" xfId="4473" xr:uid="{00000000-0005-0000-0000-0000161D0000}"/>
    <cellStyle name="Normal 9 91 2 2" xfId="6094" xr:uid="{00000000-0005-0000-0000-0000171D0000}"/>
    <cellStyle name="Normal 9 91 2 3" xfId="7698" xr:uid="{00000000-0005-0000-0000-0000181D0000}"/>
    <cellStyle name="Normal 9 91 3" xfId="4474" xr:uid="{00000000-0005-0000-0000-0000191D0000}"/>
    <cellStyle name="Normal 9 91 3 2" xfId="6095" xr:uid="{00000000-0005-0000-0000-00001A1D0000}"/>
    <cellStyle name="Normal 9 91 3 3" xfId="7699" xr:uid="{00000000-0005-0000-0000-00001B1D0000}"/>
    <cellStyle name="Normal 9 91 4" xfId="6093" xr:uid="{00000000-0005-0000-0000-00001C1D0000}"/>
    <cellStyle name="Normal 9 91 5" xfId="7697" xr:uid="{00000000-0005-0000-0000-00001D1D0000}"/>
    <cellStyle name="Normal 9 92" xfId="4475" xr:uid="{00000000-0005-0000-0000-00001E1D0000}"/>
    <cellStyle name="Normal 9 92 2" xfId="4476" xr:uid="{00000000-0005-0000-0000-00001F1D0000}"/>
    <cellStyle name="Normal 9 92 2 2" xfId="6097" xr:uid="{00000000-0005-0000-0000-0000201D0000}"/>
    <cellStyle name="Normal 9 92 2 3" xfId="7701" xr:uid="{00000000-0005-0000-0000-0000211D0000}"/>
    <cellStyle name="Normal 9 92 3" xfId="4477" xr:uid="{00000000-0005-0000-0000-0000221D0000}"/>
    <cellStyle name="Normal 9 92 3 2" xfId="6098" xr:uid="{00000000-0005-0000-0000-0000231D0000}"/>
    <cellStyle name="Normal 9 92 3 3" xfId="7702" xr:uid="{00000000-0005-0000-0000-0000241D0000}"/>
    <cellStyle name="Normal 9 92 4" xfId="6096" xr:uid="{00000000-0005-0000-0000-0000251D0000}"/>
    <cellStyle name="Normal 9 92 5" xfId="7700" xr:uid="{00000000-0005-0000-0000-0000261D0000}"/>
    <cellStyle name="Normal 9 93" xfId="4478" xr:uid="{00000000-0005-0000-0000-0000271D0000}"/>
    <cellStyle name="Normal 9 93 2" xfId="4479" xr:uid="{00000000-0005-0000-0000-0000281D0000}"/>
    <cellStyle name="Normal 9 93 2 2" xfId="6100" xr:uid="{00000000-0005-0000-0000-0000291D0000}"/>
    <cellStyle name="Normal 9 93 2 3" xfId="7704" xr:uid="{00000000-0005-0000-0000-00002A1D0000}"/>
    <cellStyle name="Normal 9 93 3" xfId="4480" xr:uid="{00000000-0005-0000-0000-00002B1D0000}"/>
    <cellStyle name="Normal 9 93 3 2" xfId="6101" xr:uid="{00000000-0005-0000-0000-00002C1D0000}"/>
    <cellStyle name="Normal 9 93 3 3" xfId="7705" xr:uid="{00000000-0005-0000-0000-00002D1D0000}"/>
    <cellStyle name="Normal 9 93 4" xfId="6099" xr:uid="{00000000-0005-0000-0000-00002E1D0000}"/>
    <cellStyle name="Normal 9 93 5" xfId="7703" xr:uid="{00000000-0005-0000-0000-00002F1D0000}"/>
    <cellStyle name="Normal 9 94" xfId="4481" xr:uid="{00000000-0005-0000-0000-0000301D0000}"/>
    <cellStyle name="Normal 9 94 2" xfId="4482" xr:uid="{00000000-0005-0000-0000-0000311D0000}"/>
    <cellStyle name="Normal 9 94 2 2" xfId="6103" xr:uid="{00000000-0005-0000-0000-0000321D0000}"/>
    <cellStyle name="Normal 9 94 2 3" xfId="7707" xr:uid="{00000000-0005-0000-0000-0000331D0000}"/>
    <cellStyle name="Normal 9 94 3" xfId="4483" xr:uid="{00000000-0005-0000-0000-0000341D0000}"/>
    <cellStyle name="Normal 9 94 3 2" xfId="6104" xr:uid="{00000000-0005-0000-0000-0000351D0000}"/>
    <cellStyle name="Normal 9 94 3 3" xfId="7708" xr:uid="{00000000-0005-0000-0000-0000361D0000}"/>
    <cellStyle name="Normal 9 94 4" xfId="6102" xr:uid="{00000000-0005-0000-0000-0000371D0000}"/>
    <cellStyle name="Normal 9 94 5" xfId="7706" xr:uid="{00000000-0005-0000-0000-0000381D0000}"/>
    <cellStyle name="Normal 9 95" xfId="4484" xr:uid="{00000000-0005-0000-0000-0000391D0000}"/>
    <cellStyle name="Normal 9 95 2" xfId="4485" xr:uid="{00000000-0005-0000-0000-00003A1D0000}"/>
    <cellStyle name="Normal 9 95 2 2" xfId="6106" xr:uid="{00000000-0005-0000-0000-00003B1D0000}"/>
    <cellStyle name="Normal 9 95 2 3" xfId="7710" xr:uid="{00000000-0005-0000-0000-00003C1D0000}"/>
    <cellStyle name="Normal 9 95 3" xfId="4486" xr:uid="{00000000-0005-0000-0000-00003D1D0000}"/>
    <cellStyle name="Normal 9 95 3 2" xfId="6107" xr:uid="{00000000-0005-0000-0000-00003E1D0000}"/>
    <cellStyle name="Normal 9 95 3 3" xfId="7711" xr:uid="{00000000-0005-0000-0000-00003F1D0000}"/>
    <cellStyle name="Normal 9 95 4" xfId="6105" xr:uid="{00000000-0005-0000-0000-0000401D0000}"/>
    <cellStyle name="Normal 9 95 5" xfId="7709" xr:uid="{00000000-0005-0000-0000-0000411D0000}"/>
    <cellStyle name="Normal 9 96" xfId="4487" xr:uid="{00000000-0005-0000-0000-0000421D0000}"/>
    <cellStyle name="Normal 9 96 2" xfId="4488" xr:uid="{00000000-0005-0000-0000-0000431D0000}"/>
    <cellStyle name="Normal 9 96 2 2" xfId="6109" xr:uid="{00000000-0005-0000-0000-0000441D0000}"/>
    <cellStyle name="Normal 9 96 2 3" xfId="7713" xr:uid="{00000000-0005-0000-0000-0000451D0000}"/>
    <cellStyle name="Normal 9 96 3" xfId="4489" xr:uid="{00000000-0005-0000-0000-0000461D0000}"/>
    <cellStyle name="Normal 9 96 3 2" xfId="6110" xr:uid="{00000000-0005-0000-0000-0000471D0000}"/>
    <cellStyle name="Normal 9 96 3 3" xfId="7714" xr:uid="{00000000-0005-0000-0000-0000481D0000}"/>
    <cellStyle name="Normal 9 96 4" xfId="6108" xr:uid="{00000000-0005-0000-0000-0000491D0000}"/>
    <cellStyle name="Normal 9 96 5" xfId="7712" xr:uid="{00000000-0005-0000-0000-00004A1D0000}"/>
    <cellStyle name="Normal 9 97" xfId="4490" xr:uid="{00000000-0005-0000-0000-00004B1D0000}"/>
    <cellStyle name="Normal 9 97 2" xfId="4491" xr:uid="{00000000-0005-0000-0000-00004C1D0000}"/>
    <cellStyle name="Normal 9 97 2 2" xfId="6112" xr:uid="{00000000-0005-0000-0000-00004D1D0000}"/>
    <cellStyle name="Normal 9 97 2 3" xfId="7716" xr:uid="{00000000-0005-0000-0000-00004E1D0000}"/>
    <cellStyle name="Normal 9 97 3" xfId="4492" xr:uid="{00000000-0005-0000-0000-00004F1D0000}"/>
    <cellStyle name="Normal 9 97 3 2" xfId="6113" xr:uid="{00000000-0005-0000-0000-0000501D0000}"/>
    <cellStyle name="Normal 9 97 3 3" xfId="7717" xr:uid="{00000000-0005-0000-0000-0000511D0000}"/>
    <cellStyle name="Normal 9 97 4" xfId="6111" xr:uid="{00000000-0005-0000-0000-0000521D0000}"/>
    <cellStyle name="Normal 9 97 5" xfId="7715" xr:uid="{00000000-0005-0000-0000-0000531D0000}"/>
    <cellStyle name="Normal 9 98" xfId="4493" xr:uid="{00000000-0005-0000-0000-0000541D0000}"/>
    <cellStyle name="Normal 9 98 2" xfId="4494" xr:uid="{00000000-0005-0000-0000-0000551D0000}"/>
    <cellStyle name="Normal 9 98 2 2" xfId="6115" xr:uid="{00000000-0005-0000-0000-0000561D0000}"/>
    <cellStyle name="Normal 9 98 2 3" xfId="7719" xr:uid="{00000000-0005-0000-0000-0000571D0000}"/>
    <cellStyle name="Normal 9 98 3" xfId="4495" xr:uid="{00000000-0005-0000-0000-0000581D0000}"/>
    <cellStyle name="Normal 9 98 3 2" xfId="6116" xr:uid="{00000000-0005-0000-0000-0000591D0000}"/>
    <cellStyle name="Normal 9 98 3 3" xfId="7720" xr:uid="{00000000-0005-0000-0000-00005A1D0000}"/>
    <cellStyle name="Normal 9 98 4" xfId="6114" xr:uid="{00000000-0005-0000-0000-00005B1D0000}"/>
    <cellStyle name="Normal 9 98 5" xfId="7718" xr:uid="{00000000-0005-0000-0000-00005C1D0000}"/>
    <cellStyle name="Normal 9 99" xfId="4496" xr:uid="{00000000-0005-0000-0000-00005D1D0000}"/>
    <cellStyle name="Normal 9 99 2" xfId="4497" xr:uid="{00000000-0005-0000-0000-00005E1D0000}"/>
    <cellStyle name="Normal 9 99 2 2" xfId="6118" xr:uid="{00000000-0005-0000-0000-00005F1D0000}"/>
    <cellStyle name="Normal 9 99 2 3" xfId="7722" xr:uid="{00000000-0005-0000-0000-0000601D0000}"/>
    <cellStyle name="Normal 9 99 3" xfId="4498" xr:uid="{00000000-0005-0000-0000-0000611D0000}"/>
    <cellStyle name="Normal 9 99 3 2" xfId="6119" xr:uid="{00000000-0005-0000-0000-0000621D0000}"/>
    <cellStyle name="Normal 9 99 3 3" xfId="7723" xr:uid="{00000000-0005-0000-0000-0000631D0000}"/>
    <cellStyle name="Normal 9 99 4" xfId="6117" xr:uid="{00000000-0005-0000-0000-0000641D0000}"/>
    <cellStyle name="Normal 9 99 5" xfId="7721" xr:uid="{00000000-0005-0000-0000-0000651D0000}"/>
    <cellStyle name="Normal 90" xfId="4499" xr:uid="{00000000-0005-0000-0000-0000661D0000}"/>
    <cellStyle name="Normal 91" xfId="4500" xr:uid="{00000000-0005-0000-0000-0000671D0000}"/>
    <cellStyle name="Normal 92" xfId="4501" xr:uid="{00000000-0005-0000-0000-0000681D0000}"/>
    <cellStyle name="Normal 93" xfId="4502" xr:uid="{00000000-0005-0000-0000-0000691D0000}"/>
    <cellStyle name="Normal 94" xfId="4503" xr:uid="{00000000-0005-0000-0000-00006A1D0000}"/>
    <cellStyle name="Normal 96" xfId="4504" xr:uid="{00000000-0005-0000-0000-00006B1D0000}"/>
    <cellStyle name="Normal 97" xfId="4505" xr:uid="{00000000-0005-0000-0000-00006C1D0000}"/>
    <cellStyle name="Normal 98" xfId="4506" xr:uid="{00000000-0005-0000-0000-00006D1D0000}"/>
    <cellStyle name="Normal 99" xfId="4507" xr:uid="{00000000-0005-0000-0000-00006E1D0000}"/>
    <cellStyle name="Normal_BUDEST94" xfId="2" xr:uid="{00000000-0005-0000-0000-00006F1D0000}"/>
    <cellStyle name="Normal_Rates_top50_2" xfId="3" xr:uid="{00000000-0005-0000-0000-0000701D0000}"/>
    <cellStyle name="Normal_WORKHRS6" xfId="4" xr:uid="{00000000-0005-0000-0000-0000711D0000}"/>
    <cellStyle name="Note 2" xfId="4508" xr:uid="{00000000-0005-0000-0000-0000721D0000}"/>
    <cellStyle name="Note 2 2" xfId="4509" xr:uid="{00000000-0005-0000-0000-0000731D0000}"/>
    <cellStyle name="Note 2 2 2" xfId="4510" xr:uid="{00000000-0005-0000-0000-0000741D0000}"/>
    <cellStyle name="Note 2 2 2 2" xfId="6122" xr:uid="{00000000-0005-0000-0000-0000751D0000}"/>
    <cellStyle name="Note 2 2 2 3" xfId="7726" xr:uid="{00000000-0005-0000-0000-0000761D0000}"/>
    <cellStyle name="Note 2 2 3" xfId="4511" xr:uid="{00000000-0005-0000-0000-0000771D0000}"/>
    <cellStyle name="Note 2 2 3 2" xfId="6123" xr:uid="{00000000-0005-0000-0000-0000781D0000}"/>
    <cellStyle name="Note 2 2 3 3" xfId="7727" xr:uid="{00000000-0005-0000-0000-0000791D0000}"/>
    <cellStyle name="Note 2 2 4" xfId="6121" xr:uid="{00000000-0005-0000-0000-00007A1D0000}"/>
    <cellStyle name="Note 2 2 5" xfId="7725" xr:uid="{00000000-0005-0000-0000-00007B1D0000}"/>
    <cellStyle name="Note 2 3" xfId="4512" xr:uid="{00000000-0005-0000-0000-00007C1D0000}"/>
    <cellStyle name="Note 2 3 2" xfId="4513" xr:uid="{00000000-0005-0000-0000-00007D1D0000}"/>
    <cellStyle name="Note 2 3 2 2" xfId="6125" xr:uid="{00000000-0005-0000-0000-00007E1D0000}"/>
    <cellStyle name="Note 2 3 2 3" xfId="7729" xr:uid="{00000000-0005-0000-0000-00007F1D0000}"/>
    <cellStyle name="Note 2 3 3" xfId="4514" xr:uid="{00000000-0005-0000-0000-0000801D0000}"/>
    <cellStyle name="Note 2 3 3 2" xfId="6126" xr:uid="{00000000-0005-0000-0000-0000811D0000}"/>
    <cellStyle name="Note 2 3 3 3" xfId="7730" xr:uid="{00000000-0005-0000-0000-0000821D0000}"/>
    <cellStyle name="Note 2 3 4" xfId="6124" xr:uid="{00000000-0005-0000-0000-0000831D0000}"/>
    <cellStyle name="Note 2 3 5" xfId="7728" xr:uid="{00000000-0005-0000-0000-0000841D0000}"/>
    <cellStyle name="Note 2 4" xfId="4515" xr:uid="{00000000-0005-0000-0000-0000851D0000}"/>
    <cellStyle name="Note 2 4 2" xfId="4516" xr:uid="{00000000-0005-0000-0000-0000861D0000}"/>
    <cellStyle name="Note 2 4 2 2" xfId="6128" xr:uid="{00000000-0005-0000-0000-0000871D0000}"/>
    <cellStyle name="Note 2 4 2 3" xfId="7732" xr:uid="{00000000-0005-0000-0000-0000881D0000}"/>
    <cellStyle name="Note 2 4 3" xfId="4517" xr:uid="{00000000-0005-0000-0000-0000891D0000}"/>
    <cellStyle name="Note 2 4 3 2" xfId="6129" xr:uid="{00000000-0005-0000-0000-00008A1D0000}"/>
    <cellStyle name="Note 2 4 3 3" xfId="7733" xr:uid="{00000000-0005-0000-0000-00008B1D0000}"/>
    <cellStyle name="Note 2 4 4" xfId="6127" xr:uid="{00000000-0005-0000-0000-00008C1D0000}"/>
    <cellStyle name="Note 2 4 5" xfId="7731" xr:uid="{00000000-0005-0000-0000-00008D1D0000}"/>
    <cellStyle name="Note 2 5" xfId="4518" xr:uid="{00000000-0005-0000-0000-00008E1D0000}"/>
    <cellStyle name="Note 2 5 2" xfId="4519" xr:uid="{00000000-0005-0000-0000-00008F1D0000}"/>
    <cellStyle name="Note 2 5 2 2" xfId="6131" xr:uid="{00000000-0005-0000-0000-0000901D0000}"/>
    <cellStyle name="Note 2 5 2 3" xfId="7735" xr:uid="{00000000-0005-0000-0000-0000911D0000}"/>
    <cellStyle name="Note 2 5 3" xfId="4520" xr:uid="{00000000-0005-0000-0000-0000921D0000}"/>
    <cellStyle name="Note 2 5 3 2" xfId="6132" xr:uid="{00000000-0005-0000-0000-0000931D0000}"/>
    <cellStyle name="Note 2 5 3 3" xfId="7736" xr:uid="{00000000-0005-0000-0000-0000941D0000}"/>
    <cellStyle name="Note 2 5 4" xfId="6130" xr:uid="{00000000-0005-0000-0000-0000951D0000}"/>
    <cellStyle name="Note 2 5 5" xfId="7734" xr:uid="{00000000-0005-0000-0000-0000961D0000}"/>
    <cellStyle name="Note 2 6" xfId="4521" xr:uid="{00000000-0005-0000-0000-0000971D0000}"/>
    <cellStyle name="Note 2 6 2" xfId="4522" xr:uid="{00000000-0005-0000-0000-0000981D0000}"/>
    <cellStyle name="Note 2 6 2 2" xfId="6134" xr:uid="{00000000-0005-0000-0000-0000991D0000}"/>
    <cellStyle name="Note 2 6 2 3" xfId="7738" xr:uid="{00000000-0005-0000-0000-00009A1D0000}"/>
    <cellStyle name="Note 2 6 3" xfId="4523" xr:uid="{00000000-0005-0000-0000-00009B1D0000}"/>
    <cellStyle name="Note 2 6 3 2" xfId="6135" xr:uid="{00000000-0005-0000-0000-00009C1D0000}"/>
    <cellStyle name="Note 2 6 3 3" xfId="7739" xr:uid="{00000000-0005-0000-0000-00009D1D0000}"/>
    <cellStyle name="Note 2 6 4" xfId="6133" xr:uid="{00000000-0005-0000-0000-00009E1D0000}"/>
    <cellStyle name="Note 2 6 5" xfId="7737" xr:uid="{00000000-0005-0000-0000-00009F1D0000}"/>
    <cellStyle name="Note 2 7" xfId="6120" xr:uid="{00000000-0005-0000-0000-0000A01D0000}"/>
    <cellStyle name="Note 2 8" xfId="7724" xr:uid="{00000000-0005-0000-0000-0000A11D0000}"/>
    <cellStyle name="Note 3" xfId="4524" xr:uid="{00000000-0005-0000-0000-0000A21D0000}"/>
    <cellStyle name="Note 3 2" xfId="4525" xr:uid="{00000000-0005-0000-0000-0000A31D0000}"/>
    <cellStyle name="Note 3 2 2" xfId="4526" xr:uid="{00000000-0005-0000-0000-0000A41D0000}"/>
    <cellStyle name="Note 3 2 2 2" xfId="6138" xr:uid="{00000000-0005-0000-0000-0000A51D0000}"/>
    <cellStyle name="Note 3 2 2 3" xfId="7742" xr:uid="{00000000-0005-0000-0000-0000A61D0000}"/>
    <cellStyle name="Note 3 2 3" xfId="4527" xr:uid="{00000000-0005-0000-0000-0000A71D0000}"/>
    <cellStyle name="Note 3 2 3 2" xfId="6139" xr:uid="{00000000-0005-0000-0000-0000A81D0000}"/>
    <cellStyle name="Note 3 2 3 3" xfId="7743" xr:uid="{00000000-0005-0000-0000-0000A91D0000}"/>
    <cellStyle name="Note 3 2 4" xfId="6137" xr:uid="{00000000-0005-0000-0000-0000AA1D0000}"/>
    <cellStyle name="Note 3 2 5" xfId="7741" xr:uid="{00000000-0005-0000-0000-0000AB1D0000}"/>
    <cellStyle name="Note 3 3" xfId="4528" xr:uid="{00000000-0005-0000-0000-0000AC1D0000}"/>
    <cellStyle name="Note 3 3 2" xfId="4529" xr:uid="{00000000-0005-0000-0000-0000AD1D0000}"/>
    <cellStyle name="Note 3 3 2 2" xfId="6141" xr:uid="{00000000-0005-0000-0000-0000AE1D0000}"/>
    <cellStyle name="Note 3 3 2 3" xfId="7745" xr:uid="{00000000-0005-0000-0000-0000AF1D0000}"/>
    <cellStyle name="Note 3 3 3" xfId="4530" xr:uid="{00000000-0005-0000-0000-0000B01D0000}"/>
    <cellStyle name="Note 3 3 3 2" xfId="6142" xr:uid="{00000000-0005-0000-0000-0000B11D0000}"/>
    <cellStyle name="Note 3 3 3 3" xfId="7746" xr:uid="{00000000-0005-0000-0000-0000B21D0000}"/>
    <cellStyle name="Note 3 3 4" xfId="6140" xr:uid="{00000000-0005-0000-0000-0000B31D0000}"/>
    <cellStyle name="Note 3 3 5" xfId="7744" xr:uid="{00000000-0005-0000-0000-0000B41D0000}"/>
    <cellStyle name="Note 3 4" xfId="4531" xr:uid="{00000000-0005-0000-0000-0000B51D0000}"/>
    <cellStyle name="Note 3 4 2" xfId="4532" xr:uid="{00000000-0005-0000-0000-0000B61D0000}"/>
    <cellStyle name="Note 3 4 2 2" xfId="6144" xr:uid="{00000000-0005-0000-0000-0000B71D0000}"/>
    <cellStyle name="Note 3 4 2 3" xfId="7748" xr:uid="{00000000-0005-0000-0000-0000B81D0000}"/>
    <cellStyle name="Note 3 4 3" xfId="4533" xr:uid="{00000000-0005-0000-0000-0000B91D0000}"/>
    <cellStyle name="Note 3 4 3 2" xfId="6145" xr:uid="{00000000-0005-0000-0000-0000BA1D0000}"/>
    <cellStyle name="Note 3 4 3 3" xfId="7749" xr:uid="{00000000-0005-0000-0000-0000BB1D0000}"/>
    <cellStyle name="Note 3 4 4" xfId="6143" xr:uid="{00000000-0005-0000-0000-0000BC1D0000}"/>
    <cellStyle name="Note 3 4 5" xfId="7747" xr:uid="{00000000-0005-0000-0000-0000BD1D0000}"/>
    <cellStyle name="Note 3 5" xfId="4534" xr:uid="{00000000-0005-0000-0000-0000BE1D0000}"/>
    <cellStyle name="Note 3 5 2" xfId="4535" xr:uid="{00000000-0005-0000-0000-0000BF1D0000}"/>
    <cellStyle name="Note 3 5 2 2" xfId="6147" xr:uid="{00000000-0005-0000-0000-0000C01D0000}"/>
    <cellStyle name="Note 3 5 2 3" xfId="7751" xr:uid="{00000000-0005-0000-0000-0000C11D0000}"/>
    <cellStyle name="Note 3 5 3" xfId="4536" xr:uid="{00000000-0005-0000-0000-0000C21D0000}"/>
    <cellStyle name="Note 3 5 3 2" xfId="6148" xr:uid="{00000000-0005-0000-0000-0000C31D0000}"/>
    <cellStyle name="Note 3 5 3 3" xfId="7752" xr:uid="{00000000-0005-0000-0000-0000C41D0000}"/>
    <cellStyle name="Note 3 5 4" xfId="6146" xr:uid="{00000000-0005-0000-0000-0000C51D0000}"/>
    <cellStyle name="Note 3 5 5" xfId="7750" xr:uid="{00000000-0005-0000-0000-0000C61D0000}"/>
    <cellStyle name="Note 3 6" xfId="4537" xr:uid="{00000000-0005-0000-0000-0000C71D0000}"/>
    <cellStyle name="Note 3 6 2" xfId="4538" xr:uid="{00000000-0005-0000-0000-0000C81D0000}"/>
    <cellStyle name="Note 3 6 2 2" xfId="6150" xr:uid="{00000000-0005-0000-0000-0000C91D0000}"/>
    <cellStyle name="Note 3 6 2 3" xfId="7754" xr:uid="{00000000-0005-0000-0000-0000CA1D0000}"/>
    <cellStyle name="Note 3 6 3" xfId="4539" xr:uid="{00000000-0005-0000-0000-0000CB1D0000}"/>
    <cellStyle name="Note 3 6 3 2" xfId="6151" xr:uid="{00000000-0005-0000-0000-0000CC1D0000}"/>
    <cellStyle name="Note 3 6 3 3" xfId="7755" xr:uid="{00000000-0005-0000-0000-0000CD1D0000}"/>
    <cellStyle name="Note 3 6 4" xfId="6149" xr:uid="{00000000-0005-0000-0000-0000CE1D0000}"/>
    <cellStyle name="Note 3 6 5" xfId="7753" xr:uid="{00000000-0005-0000-0000-0000CF1D0000}"/>
    <cellStyle name="Note 3 7" xfId="6136" xr:uid="{00000000-0005-0000-0000-0000D01D0000}"/>
    <cellStyle name="Note 3 8" xfId="7740" xr:uid="{00000000-0005-0000-0000-0000D11D0000}"/>
    <cellStyle name="Note 4" xfId="4540" xr:uid="{00000000-0005-0000-0000-0000D21D0000}"/>
    <cellStyle name="Note 4 2" xfId="4541" xr:uid="{00000000-0005-0000-0000-0000D31D0000}"/>
    <cellStyle name="Note 4 2 2" xfId="4542" xr:uid="{00000000-0005-0000-0000-0000D41D0000}"/>
    <cellStyle name="Note 4 2 2 2" xfId="6154" xr:uid="{00000000-0005-0000-0000-0000D51D0000}"/>
    <cellStyle name="Note 4 2 2 3" xfId="7758" xr:uid="{00000000-0005-0000-0000-0000D61D0000}"/>
    <cellStyle name="Note 4 2 3" xfId="4543" xr:uid="{00000000-0005-0000-0000-0000D71D0000}"/>
    <cellStyle name="Note 4 2 3 2" xfId="6155" xr:uid="{00000000-0005-0000-0000-0000D81D0000}"/>
    <cellStyle name="Note 4 2 3 3" xfId="7759" xr:uid="{00000000-0005-0000-0000-0000D91D0000}"/>
    <cellStyle name="Note 4 2 4" xfId="6153" xr:uid="{00000000-0005-0000-0000-0000DA1D0000}"/>
    <cellStyle name="Note 4 2 5" xfId="7757" xr:uid="{00000000-0005-0000-0000-0000DB1D0000}"/>
    <cellStyle name="Note 4 3" xfId="4544" xr:uid="{00000000-0005-0000-0000-0000DC1D0000}"/>
    <cellStyle name="Note 4 3 2" xfId="4545" xr:uid="{00000000-0005-0000-0000-0000DD1D0000}"/>
    <cellStyle name="Note 4 3 2 2" xfId="6157" xr:uid="{00000000-0005-0000-0000-0000DE1D0000}"/>
    <cellStyle name="Note 4 3 2 3" xfId="7761" xr:uid="{00000000-0005-0000-0000-0000DF1D0000}"/>
    <cellStyle name="Note 4 3 3" xfId="4546" xr:uid="{00000000-0005-0000-0000-0000E01D0000}"/>
    <cellStyle name="Note 4 3 3 2" xfId="6158" xr:uid="{00000000-0005-0000-0000-0000E11D0000}"/>
    <cellStyle name="Note 4 3 3 3" xfId="7762" xr:uid="{00000000-0005-0000-0000-0000E21D0000}"/>
    <cellStyle name="Note 4 3 4" xfId="6156" xr:uid="{00000000-0005-0000-0000-0000E31D0000}"/>
    <cellStyle name="Note 4 3 5" xfId="7760" xr:uid="{00000000-0005-0000-0000-0000E41D0000}"/>
    <cellStyle name="Note 4 4" xfId="4547" xr:uid="{00000000-0005-0000-0000-0000E51D0000}"/>
    <cellStyle name="Note 4 4 2" xfId="4548" xr:uid="{00000000-0005-0000-0000-0000E61D0000}"/>
    <cellStyle name="Note 4 4 2 2" xfId="6160" xr:uid="{00000000-0005-0000-0000-0000E71D0000}"/>
    <cellStyle name="Note 4 4 2 3" xfId="7764" xr:uid="{00000000-0005-0000-0000-0000E81D0000}"/>
    <cellStyle name="Note 4 4 3" xfId="4549" xr:uid="{00000000-0005-0000-0000-0000E91D0000}"/>
    <cellStyle name="Note 4 4 3 2" xfId="6161" xr:uid="{00000000-0005-0000-0000-0000EA1D0000}"/>
    <cellStyle name="Note 4 4 3 3" xfId="7765" xr:uid="{00000000-0005-0000-0000-0000EB1D0000}"/>
    <cellStyle name="Note 4 4 4" xfId="6159" xr:uid="{00000000-0005-0000-0000-0000EC1D0000}"/>
    <cellStyle name="Note 4 4 5" xfId="7763" xr:uid="{00000000-0005-0000-0000-0000ED1D0000}"/>
    <cellStyle name="Note 4 5" xfId="4550" xr:uid="{00000000-0005-0000-0000-0000EE1D0000}"/>
    <cellStyle name="Note 4 5 2" xfId="4551" xr:uid="{00000000-0005-0000-0000-0000EF1D0000}"/>
    <cellStyle name="Note 4 5 2 2" xfId="6163" xr:uid="{00000000-0005-0000-0000-0000F01D0000}"/>
    <cellStyle name="Note 4 5 2 3" xfId="7767" xr:uid="{00000000-0005-0000-0000-0000F11D0000}"/>
    <cellStyle name="Note 4 5 3" xfId="4552" xr:uid="{00000000-0005-0000-0000-0000F21D0000}"/>
    <cellStyle name="Note 4 5 3 2" xfId="6164" xr:uid="{00000000-0005-0000-0000-0000F31D0000}"/>
    <cellStyle name="Note 4 5 3 3" xfId="7768" xr:uid="{00000000-0005-0000-0000-0000F41D0000}"/>
    <cellStyle name="Note 4 5 4" xfId="6162" xr:uid="{00000000-0005-0000-0000-0000F51D0000}"/>
    <cellStyle name="Note 4 5 5" xfId="7766" xr:uid="{00000000-0005-0000-0000-0000F61D0000}"/>
    <cellStyle name="Note 4 6" xfId="4553" xr:uid="{00000000-0005-0000-0000-0000F71D0000}"/>
    <cellStyle name="Note 4 6 2" xfId="4554" xr:uid="{00000000-0005-0000-0000-0000F81D0000}"/>
    <cellStyle name="Note 4 6 2 2" xfId="6166" xr:uid="{00000000-0005-0000-0000-0000F91D0000}"/>
    <cellStyle name="Note 4 6 2 3" xfId="7770" xr:uid="{00000000-0005-0000-0000-0000FA1D0000}"/>
    <cellStyle name="Note 4 6 3" xfId="4555" xr:uid="{00000000-0005-0000-0000-0000FB1D0000}"/>
    <cellStyle name="Note 4 6 3 2" xfId="6167" xr:uid="{00000000-0005-0000-0000-0000FC1D0000}"/>
    <cellStyle name="Note 4 6 3 3" xfId="7771" xr:uid="{00000000-0005-0000-0000-0000FD1D0000}"/>
    <cellStyle name="Note 4 6 4" xfId="6165" xr:uid="{00000000-0005-0000-0000-0000FE1D0000}"/>
    <cellStyle name="Note 4 6 5" xfId="7769" xr:uid="{00000000-0005-0000-0000-0000FF1D0000}"/>
    <cellStyle name="Note 4 7" xfId="6152" xr:uid="{00000000-0005-0000-0000-0000001E0000}"/>
    <cellStyle name="Note 4 8" xfId="7756" xr:uid="{00000000-0005-0000-0000-0000011E0000}"/>
    <cellStyle name="Note 5" xfId="4556" xr:uid="{00000000-0005-0000-0000-0000021E0000}"/>
    <cellStyle name="Note 5 2" xfId="4557" xr:uid="{00000000-0005-0000-0000-0000031E0000}"/>
    <cellStyle name="Note 5 2 2" xfId="4558" xr:uid="{00000000-0005-0000-0000-0000041E0000}"/>
    <cellStyle name="Note 5 2 2 2" xfId="6170" xr:uid="{00000000-0005-0000-0000-0000051E0000}"/>
    <cellStyle name="Note 5 2 2 3" xfId="7774" xr:uid="{00000000-0005-0000-0000-0000061E0000}"/>
    <cellStyle name="Note 5 2 3" xfId="4559" xr:uid="{00000000-0005-0000-0000-0000071E0000}"/>
    <cellStyle name="Note 5 2 3 2" xfId="6171" xr:uid="{00000000-0005-0000-0000-0000081E0000}"/>
    <cellStyle name="Note 5 2 3 3" xfId="7775" xr:uid="{00000000-0005-0000-0000-0000091E0000}"/>
    <cellStyle name="Note 5 2 4" xfId="6169" xr:uid="{00000000-0005-0000-0000-00000A1E0000}"/>
    <cellStyle name="Note 5 2 5" xfId="7773" xr:uid="{00000000-0005-0000-0000-00000B1E0000}"/>
    <cellStyle name="Note 5 3" xfId="4560" xr:uid="{00000000-0005-0000-0000-00000C1E0000}"/>
    <cellStyle name="Note 5 3 2" xfId="4561" xr:uid="{00000000-0005-0000-0000-00000D1E0000}"/>
    <cellStyle name="Note 5 3 2 2" xfId="6173" xr:uid="{00000000-0005-0000-0000-00000E1E0000}"/>
    <cellStyle name="Note 5 3 2 3" xfId="7777" xr:uid="{00000000-0005-0000-0000-00000F1E0000}"/>
    <cellStyle name="Note 5 3 3" xfId="4562" xr:uid="{00000000-0005-0000-0000-0000101E0000}"/>
    <cellStyle name="Note 5 3 3 2" xfId="6174" xr:uid="{00000000-0005-0000-0000-0000111E0000}"/>
    <cellStyle name="Note 5 3 3 3" xfId="7778" xr:uid="{00000000-0005-0000-0000-0000121E0000}"/>
    <cellStyle name="Note 5 3 4" xfId="6172" xr:uid="{00000000-0005-0000-0000-0000131E0000}"/>
    <cellStyle name="Note 5 3 5" xfId="7776" xr:uid="{00000000-0005-0000-0000-0000141E0000}"/>
    <cellStyle name="Note 5 4" xfId="4563" xr:uid="{00000000-0005-0000-0000-0000151E0000}"/>
    <cellStyle name="Note 5 4 2" xfId="4564" xr:uid="{00000000-0005-0000-0000-0000161E0000}"/>
    <cellStyle name="Note 5 4 2 2" xfId="6176" xr:uid="{00000000-0005-0000-0000-0000171E0000}"/>
    <cellStyle name="Note 5 4 2 3" xfId="7780" xr:uid="{00000000-0005-0000-0000-0000181E0000}"/>
    <cellStyle name="Note 5 4 3" xfId="4565" xr:uid="{00000000-0005-0000-0000-0000191E0000}"/>
    <cellStyle name="Note 5 4 3 2" xfId="6177" xr:uid="{00000000-0005-0000-0000-00001A1E0000}"/>
    <cellStyle name="Note 5 4 3 3" xfId="7781" xr:uid="{00000000-0005-0000-0000-00001B1E0000}"/>
    <cellStyle name="Note 5 4 4" xfId="6175" xr:uid="{00000000-0005-0000-0000-00001C1E0000}"/>
    <cellStyle name="Note 5 4 5" xfId="7779" xr:uid="{00000000-0005-0000-0000-00001D1E0000}"/>
    <cellStyle name="Note 5 5" xfId="4566" xr:uid="{00000000-0005-0000-0000-00001E1E0000}"/>
    <cellStyle name="Note 5 5 2" xfId="4567" xr:uid="{00000000-0005-0000-0000-00001F1E0000}"/>
    <cellStyle name="Note 5 5 2 2" xfId="6179" xr:uid="{00000000-0005-0000-0000-0000201E0000}"/>
    <cellStyle name="Note 5 5 2 3" xfId="7783" xr:uid="{00000000-0005-0000-0000-0000211E0000}"/>
    <cellStyle name="Note 5 5 3" xfId="4568" xr:uid="{00000000-0005-0000-0000-0000221E0000}"/>
    <cellStyle name="Note 5 5 3 2" xfId="6180" xr:uid="{00000000-0005-0000-0000-0000231E0000}"/>
    <cellStyle name="Note 5 5 3 3" xfId="7784" xr:uid="{00000000-0005-0000-0000-0000241E0000}"/>
    <cellStyle name="Note 5 5 4" xfId="6178" xr:uid="{00000000-0005-0000-0000-0000251E0000}"/>
    <cellStyle name="Note 5 5 5" xfId="7782" xr:uid="{00000000-0005-0000-0000-0000261E0000}"/>
    <cellStyle name="Note 5 6" xfId="4569" xr:uid="{00000000-0005-0000-0000-0000271E0000}"/>
    <cellStyle name="Note 5 6 2" xfId="4570" xr:uid="{00000000-0005-0000-0000-0000281E0000}"/>
    <cellStyle name="Note 5 6 2 2" xfId="6182" xr:uid="{00000000-0005-0000-0000-0000291E0000}"/>
    <cellStyle name="Note 5 6 2 3" xfId="7786" xr:uid="{00000000-0005-0000-0000-00002A1E0000}"/>
    <cellStyle name="Note 5 6 3" xfId="4571" xr:uid="{00000000-0005-0000-0000-00002B1E0000}"/>
    <cellStyle name="Note 5 6 3 2" xfId="6183" xr:uid="{00000000-0005-0000-0000-00002C1E0000}"/>
    <cellStyle name="Note 5 6 3 3" xfId="7787" xr:uid="{00000000-0005-0000-0000-00002D1E0000}"/>
    <cellStyle name="Note 5 6 4" xfId="6181" xr:uid="{00000000-0005-0000-0000-00002E1E0000}"/>
    <cellStyle name="Note 5 6 5" xfId="7785" xr:uid="{00000000-0005-0000-0000-00002F1E0000}"/>
    <cellStyle name="Note 5 7" xfId="6168" xr:uid="{00000000-0005-0000-0000-0000301E0000}"/>
    <cellStyle name="Note 5 8" xfId="7772" xr:uid="{00000000-0005-0000-0000-0000311E0000}"/>
    <cellStyle name="Note 6" xfId="4572" xr:uid="{00000000-0005-0000-0000-0000321E0000}"/>
    <cellStyle name="Note 6 2" xfId="4573" xr:uid="{00000000-0005-0000-0000-0000331E0000}"/>
    <cellStyle name="Note 6 2 2" xfId="4574" xr:uid="{00000000-0005-0000-0000-0000341E0000}"/>
    <cellStyle name="Note 6 2 2 2" xfId="6186" xr:uid="{00000000-0005-0000-0000-0000351E0000}"/>
    <cellStyle name="Note 6 2 2 3" xfId="7790" xr:uid="{00000000-0005-0000-0000-0000361E0000}"/>
    <cellStyle name="Note 6 2 3" xfId="4575" xr:uid="{00000000-0005-0000-0000-0000371E0000}"/>
    <cellStyle name="Note 6 2 3 2" xfId="6187" xr:uid="{00000000-0005-0000-0000-0000381E0000}"/>
    <cellStyle name="Note 6 2 3 3" xfId="7791" xr:uid="{00000000-0005-0000-0000-0000391E0000}"/>
    <cellStyle name="Note 6 2 4" xfId="6185" xr:uid="{00000000-0005-0000-0000-00003A1E0000}"/>
    <cellStyle name="Note 6 2 5" xfId="7789" xr:uid="{00000000-0005-0000-0000-00003B1E0000}"/>
    <cellStyle name="Note 6 3" xfId="4576" xr:uid="{00000000-0005-0000-0000-00003C1E0000}"/>
    <cellStyle name="Note 6 3 2" xfId="4577" xr:uid="{00000000-0005-0000-0000-00003D1E0000}"/>
    <cellStyle name="Note 6 3 2 2" xfId="6189" xr:uid="{00000000-0005-0000-0000-00003E1E0000}"/>
    <cellStyle name="Note 6 3 2 3" xfId="7793" xr:uid="{00000000-0005-0000-0000-00003F1E0000}"/>
    <cellStyle name="Note 6 3 3" xfId="4578" xr:uid="{00000000-0005-0000-0000-0000401E0000}"/>
    <cellStyle name="Note 6 3 3 2" xfId="6190" xr:uid="{00000000-0005-0000-0000-0000411E0000}"/>
    <cellStyle name="Note 6 3 3 3" xfId="7794" xr:uid="{00000000-0005-0000-0000-0000421E0000}"/>
    <cellStyle name="Note 6 3 4" xfId="6188" xr:uid="{00000000-0005-0000-0000-0000431E0000}"/>
    <cellStyle name="Note 6 3 5" xfId="7792" xr:uid="{00000000-0005-0000-0000-0000441E0000}"/>
    <cellStyle name="Note 6 4" xfId="4579" xr:uid="{00000000-0005-0000-0000-0000451E0000}"/>
    <cellStyle name="Note 6 4 2" xfId="4580" xr:uid="{00000000-0005-0000-0000-0000461E0000}"/>
    <cellStyle name="Note 6 4 2 2" xfId="6192" xr:uid="{00000000-0005-0000-0000-0000471E0000}"/>
    <cellStyle name="Note 6 4 2 3" xfId="7796" xr:uid="{00000000-0005-0000-0000-0000481E0000}"/>
    <cellStyle name="Note 6 4 3" xfId="4581" xr:uid="{00000000-0005-0000-0000-0000491E0000}"/>
    <cellStyle name="Note 6 4 3 2" xfId="6193" xr:uid="{00000000-0005-0000-0000-00004A1E0000}"/>
    <cellStyle name="Note 6 4 3 3" xfId="7797" xr:uid="{00000000-0005-0000-0000-00004B1E0000}"/>
    <cellStyle name="Note 6 4 4" xfId="6191" xr:uid="{00000000-0005-0000-0000-00004C1E0000}"/>
    <cellStyle name="Note 6 4 5" xfId="7795" xr:uid="{00000000-0005-0000-0000-00004D1E0000}"/>
    <cellStyle name="Note 6 5" xfId="4582" xr:uid="{00000000-0005-0000-0000-00004E1E0000}"/>
    <cellStyle name="Note 6 5 2" xfId="4583" xr:uid="{00000000-0005-0000-0000-00004F1E0000}"/>
    <cellStyle name="Note 6 5 2 2" xfId="6195" xr:uid="{00000000-0005-0000-0000-0000501E0000}"/>
    <cellStyle name="Note 6 5 2 3" xfId="7799" xr:uid="{00000000-0005-0000-0000-0000511E0000}"/>
    <cellStyle name="Note 6 5 3" xfId="4584" xr:uid="{00000000-0005-0000-0000-0000521E0000}"/>
    <cellStyle name="Note 6 5 3 2" xfId="6196" xr:uid="{00000000-0005-0000-0000-0000531E0000}"/>
    <cellStyle name="Note 6 5 3 3" xfId="7800" xr:uid="{00000000-0005-0000-0000-0000541E0000}"/>
    <cellStyle name="Note 6 5 4" xfId="6194" xr:uid="{00000000-0005-0000-0000-0000551E0000}"/>
    <cellStyle name="Note 6 5 5" xfId="7798" xr:uid="{00000000-0005-0000-0000-0000561E0000}"/>
    <cellStyle name="Note 6 6" xfId="4585" xr:uid="{00000000-0005-0000-0000-0000571E0000}"/>
    <cellStyle name="Note 6 6 2" xfId="4586" xr:uid="{00000000-0005-0000-0000-0000581E0000}"/>
    <cellStyle name="Note 6 6 2 2" xfId="6198" xr:uid="{00000000-0005-0000-0000-0000591E0000}"/>
    <cellStyle name="Note 6 6 2 3" xfId="7802" xr:uid="{00000000-0005-0000-0000-00005A1E0000}"/>
    <cellStyle name="Note 6 6 3" xfId="4587" xr:uid="{00000000-0005-0000-0000-00005B1E0000}"/>
    <cellStyle name="Note 6 6 3 2" xfId="6199" xr:uid="{00000000-0005-0000-0000-00005C1E0000}"/>
    <cellStyle name="Note 6 6 3 3" xfId="7803" xr:uid="{00000000-0005-0000-0000-00005D1E0000}"/>
    <cellStyle name="Note 6 6 4" xfId="6197" xr:uid="{00000000-0005-0000-0000-00005E1E0000}"/>
    <cellStyle name="Note 6 6 5" xfId="7801" xr:uid="{00000000-0005-0000-0000-00005F1E0000}"/>
    <cellStyle name="Note 6 7" xfId="6184" xr:uid="{00000000-0005-0000-0000-0000601E0000}"/>
    <cellStyle name="Note 6 8" xfId="7788" xr:uid="{00000000-0005-0000-0000-0000611E0000}"/>
    <cellStyle name="Note 7" xfId="4588" xr:uid="{00000000-0005-0000-0000-0000621E0000}"/>
    <cellStyle name="Note 7 2" xfId="4589" xr:uid="{00000000-0005-0000-0000-0000631E0000}"/>
    <cellStyle name="Note 7 2 2" xfId="4590" xr:uid="{00000000-0005-0000-0000-0000641E0000}"/>
    <cellStyle name="Note 7 2 2 2" xfId="6202" xr:uid="{00000000-0005-0000-0000-0000651E0000}"/>
    <cellStyle name="Note 7 2 2 3" xfId="7806" xr:uid="{00000000-0005-0000-0000-0000661E0000}"/>
    <cellStyle name="Note 7 2 3" xfId="4591" xr:uid="{00000000-0005-0000-0000-0000671E0000}"/>
    <cellStyle name="Note 7 2 3 2" xfId="6203" xr:uid="{00000000-0005-0000-0000-0000681E0000}"/>
    <cellStyle name="Note 7 2 3 3" xfId="7807" xr:uid="{00000000-0005-0000-0000-0000691E0000}"/>
    <cellStyle name="Note 7 2 4" xfId="6201" xr:uid="{00000000-0005-0000-0000-00006A1E0000}"/>
    <cellStyle name="Note 7 2 5" xfId="7805" xr:uid="{00000000-0005-0000-0000-00006B1E0000}"/>
    <cellStyle name="Note 7 3" xfId="4592" xr:uid="{00000000-0005-0000-0000-00006C1E0000}"/>
    <cellStyle name="Note 7 3 2" xfId="4593" xr:uid="{00000000-0005-0000-0000-00006D1E0000}"/>
    <cellStyle name="Note 7 3 2 2" xfId="6205" xr:uid="{00000000-0005-0000-0000-00006E1E0000}"/>
    <cellStyle name="Note 7 3 2 3" xfId="7809" xr:uid="{00000000-0005-0000-0000-00006F1E0000}"/>
    <cellStyle name="Note 7 3 3" xfId="4594" xr:uid="{00000000-0005-0000-0000-0000701E0000}"/>
    <cellStyle name="Note 7 3 3 2" xfId="6206" xr:uid="{00000000-0005-0000-0000-0000711E0000}"/>
    <cellStyle name="Note 7 3 3 3" xfId="7810" xr:uid="{00000000-0005-0000-0000-0000721E0000}"/>
    <cellStyle name="Note 7 3 4" xfId="6204" xr:uid="{00000000-0005-0000-0000-0000731E0000}"/>
    <cellStyle name="Note 7 3 5" xfId="7808" xr:uid="{00000000-0005-0000-0000-0000741E0000}"/>
    <cellStyle name="Note 7 4" xfId="4595" xr:uid="{00000000-0005-0000-0000-0000751E0000}"/>
    <cellStyle name="Note 7 4 2" xfId="4596" xr:uid="{00000000-0005-0000-0000-0000761E0000}"/>
    <cellStyle name="Note 7 4 2 2" xfId="6208" xr:uid="{00000000-0005-0000-0000-0000771E0000}"/>
    <cellStyle name="Note 7 4 2 3" xfId="7812" xr:uid="{00000000-0005-0000-0000-0000781E0000}"/>
    <cellStyle name="Note 7 4 3" xfId="4597" xr:uid="{00000000-0005-0000-0000-0000791E0000}"/>
    <cellStyle name="Note 7 4 3 2" xfId="6209" xr:uid="{00000000-0005-0000-0000-00007A1E0000}"/>
    <cellStyle name="Note 7 4 3 3" xfId="7813" xr:uid="{00000000-0005-0000-0000-00007B1E0000}"/>
    <cellStyle name="Note 7 4 4" xfId="6207" xr:uid="{00000000-0005-0000-0000-00007C1E0000}"/>
    <cellStyle name="Note 7 4 5" xfId="7811" xr:uid="{00000000-0005-0000-0000-00007D1E0000}"/>
    <cellStyle name="Note 7 5" xfId="6200" xr:uid="{00000000-0005-0000-0000-00007E1E0000}"/>
    <cellStyle name="Note 7 6" xfId="7804" xr:uid="{00000000-0005-0000-0000-00007F1E0000}"/>
    <cellStyle name="Note 8" xfId="4598" xr:uid="{00000000-0005-0000-0000-0000801E0000}"/>
    <cellStyle name="Note 8 2" xfId="4599" xr:uid="{00000000-0005-0000-0000-0000811E0000}"/>
    <cellStyle name="Note 8 2 2" xfId="4600" xr:uid="{00000000-0005-0000-0000-0000821E0000}"/>
    <cellStyle name="Note 8 2 2 2" xfId="6212" xr:uid="{00000000-0005-0000-0000-0000831E0000}"/>
    <cellStyle name="Note 8 2 2 3" xfId="7816" xr:uid="{00000000-0005-0000-0000-0000841E0000}"/>
    <cellStyle name="Note 8 2 3" xfId="4601" xr:uid="{00000000-0005-0000-0000-0000851E0000}"/>
    <cellStyle name="Note 8 2 3 2" xfId="6213" xr:uid="{00000000-0005-0000-0000-0000861E0000}"/>
    <cellStyle name="Note 8 2 3 3" xfId="7817" xr:uid="{00000000-0005-0000-0000-0000871E0000}"/>
    <cellStyle name="Note 8 2 4" xfId="6211" xr:uid="{00000000-0005-0000-0000-0000881E0000}"/>
    <cellStyle name="Note 8 2 5" xfId="7815" xr:uid="{00000000-0005-0000-0000-0000891E0000}"/>
    <cellStyle name="Note 8 3" xfId="6210" xr:uid="{00000000-0005-0000-0000-00008A1E0000}"/>
    <cellStyle name="Note 8 4" xfId="7814" xr:uid="{00000000-0005-0000-0000-00008B1E0000}"/>
    <cellStyle name="Percent" xfId="5" builtinId="5"/>
    <cellStyle name="Percent 2" xfId="13" xr:uid="{00000000-0005-0000-0000-00008D1E0000}"/>
    <cellStyle name="Percent 3" xfId="7826" xr:uid="{1A3A60BB-54E5-4727-8327-7FF5599F4782}"/>
  </cellStyles>
  <dxfs count="694">
    <dxf>
      <fill>
        <patternFill>
          <bgColor theme="0"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7"/>
        </patternFill>
      </fill>
    </dxf>
    <dxf>
      <fill>
        <patternFill>
          <bgColor indexed="27"/>
        </patternFill>
      </fill>
    </dxf>
    <dxf>
      <fill>
        <patternFill>
          <bgColor indexed="26"/>
        </patternFill>
      </fill>
    </dxf>
    <dxf>
      <fill>
        <patternFill>
          <bgColor indexed="27"/>
        </patternFill>
      </fill>
    </dxf>
    <dxf>
      <fill>
        <patternFill>
          <bgColor indexed="26"/>
        </patternFill>
      </fill>
    </dxf>
    <dxf>
      <fill>
        <patternFill>
          <bgColor indexed="27"/>
        </patternFill>
      </fill>
    </dxf>
    <dxf>
      <fill>
        <patternFill>
          <bgColor indexed="26"/>
        </patternFill>
      </fill>
    </dxf>
    <dxf>
      <fill>
        <patternFill>
          <bgColor indexed="27"/>
        </patternFill>
      </fill>
    </dxf>
    <dxf>
      <fill>
        <patternFill>
          <bgColor indexed="26"/>
        </patternFill>
      </fill>
    </dxf>
    <dxf>
      <fill>
        <patternFill>
          <bgColor indexed="27"/>
        </patternFill>
      </fill>
    </dxf>
    <dxf>
      <fill>
        <patternFill>
          <bgColor indexed="26"/>
        </patternFill>
      </fill>
    </dxf>
    <dxf>
      <fill>
        <patternFill>
          <bgColor indexed="27"/>
        </patternFill>
      </fill>
    </dxf>
    <dxf>
      <fill>
        <patternFill>
          <bgColor indexed="26"/>
        </patternFill>
      </fill>
    </dxf>
    <dxf>
      <fill>
        <patternFill>
          <bgColor indexed="27"/>
        </patternFill>
      </fill>
    </dxf>
    <dxf>
      <fill>
        <patternFill>
          <bgColor indexed="26"/>
        </patternFill>
      </fill>
    </dxf>
    <dxf>
      <fill>
        <patternFill>
          <bgColor indexed="26"/>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7"/>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7"/>
        </patternFill>
      </fill>
    </dxf>
    <dxf>
      <fill>
        <patternFill>
          <bgColor indexed="27"/>
        </patternFill>
      </fill>
    </dxf>
    <dxf>
      <font>
        <color theme="0"/>
      </font>
      <fill>
        <patternFill>
          <bgColor rgb="FFFF0000"/>
        </patternFill>
      </fill>
      <border>
        <left style="thin">
          <color rgb="FFFFFF00"/>
        </left>
        <right style="thin">
          <color rgb="FFFFFF00"/>
        </right>
        <top style="thin">
          <color rgb="FFFFFF00"/>
        </top>
        <bottom style="thin">
          <color rgb="FFFFFF00"/>
        </bottom>
        <vertical/>
        <horizontal/>
      </border>
    </dxf>
    <dxf>
      <font>
        <condense val="0"/>
        <extend val="0"/>
        <color indexed="17"/>
      </font>
    </dxf>
    <dxf>
      <font>
        <color auto="1"/>
      </font>
      <fill>
        <patternFill>
          <bgColor theme="1"/>
        </patternFill>
      </fill>
    </dxf>
    <dxf>
      <fill>
        <patternFill>
          <fgColor rgb="FFFFFF66"/>
          <bgColor rgb="FFFFFF66"/>
        </patternFill>
      </fill>
      <border>
        <left style="thin">
          <color rgb="FFFF0000"/>
        </left>
        <right style="thin">
          <color rgb="FFFF0000"/>
        </right>
        <top style="thin">
          <color rgb="FFFF0000"/>
        </top>
        <bottom style="thin">
          <color rgb="FFFF0000"/>
        </bottom>
        <vertical/>
        <horizontal/>
      </border>
    </dxf>
    <dxf>
      <font>
        <color auto="1"/>
      </font>
      <fill>
        <patternFill>
          <bgColor theme="1"/>
        </patternFill>
      </fill>
    </dxf>
    <dxf>
      <fill>
        <patternFill>
          <bgColor theme="5" tint="0.59996337778862885"/>
        </patternFill>
      </fill>
    </dxf>
    <dxf>
      <fill>
        <patternFill>
          <bgColor rgb="FFFFFF99"/>
        </patternFill>
      </fill>
    </dxf>
    <dxf>
      <fill>
        <patternFill>
          <bgColor rgb="FF92D050"/>
        </patternFill>
      </fill>
    </dxf>
    <dxf>
      <fill>
        <patternFill>
          <bgColor theme="5" tint="0.59996337778862885"/>
        </patternFill>
      </fill>
    </dxf>
    <dxf>
      <fill>
        <patternFill>
          <bgColor rgb="FFFFFF99"/>
        </patternFill>
      </fill>
    </dxf>
    <dxf>
      <fill>
        <patternFill>
          <bgColor rgb="FF92D050"/>
        </patternFill>
      </fill>
    </dxf>
    <dxf>
      <font>
        <condense val="0"/>
        <extend val="0"/>
        <color indexed="17"/>
      </font>
    </dxf>
    <dxf>
      <fill>
        <patternFill>
          <bgColor rgb="FFFFFFCC"/>
        </patternFill>
      </fill>
    </dxf>
    <dxf>
      <font>
        <strike/>
        <color theme="0" tint="-0.24994659260841701"/>
      </font>
    </dxf>
    <dxf>
      <font>
        <strike/>
        <color theme="0" tint="-0.24994659260841701"/>
      </font>
    </dxf>
    <dxf>
      <font>
        <strike/>
        <color theme="0" tint="-0.24994659260841701"/>
      </font>
    </dxf>
    <dxf>
      <font>
        <strike/>
        <color theme="0" tint="-0.24994659260841701"/>
      </font>
    </dxf>
    <dxf>
      <font>
        <b/>
        <i val="0"/>
        <condense val="0"/>
        <extend val="0"/>
        <color indexed="10"/>
      </font>
    </dxf>
    <dxf>
      <font>
        <condense val="0"/>
        <extend val="0"/>
        <color indexed="17"/>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39994506668294322"/>
        </patternFill>
      </fill>
    </dxf>
    <dxf>
      <fill>
        <patternFill>
          <bgColor theme="5" tint="0.39994506668294322"/>
        </patternFill>
      </fill>
    </dxf>
    <dxf>
      <fill>
        <patternFill>
          <bgColor rgb="FFFFFF66"/>
        </patternFill>
      </fill>
    </dxf>
    <dxf>
      <fill>
        <patternFill>
          <bgColor rgb="FF00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FFCC"/>
      <color rgb="FF0066FF"/>
      <color rgb="FFFFFFCC"/>
      <color rgb="FFFFFF66"/>
      <color rgb="FFDDDDDD"/>
      <color rgb="FF0000FF"/>
      <color rgb="FF339933"/>
      <color rgb="FFFFFF99"/>
      <color rgb="FF0080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5" fmlaLink="RateSchedule" fmlaRange="'RATE Schedules'!$B$26:$B$57" noThreeD="1"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ontingency" lockText="1" noThreeD="1"/>
</file>

<file path=xl/ctrlProps/ctrlProp6.xml><?xml version="1.0" encoding="utf-8"?>
<formControlPr xmlns="http://schemas.microsoft.com/office/spreadsheetml/2009/9/main" objectType="Drop" dropStyle="combo" dx="15" fmlaLink="$D$16" fmlaRange="DayWeek" noThreeD="1" sel="1" val="0"/>
</file>

<file path=xl/ctrlProps/ctrlProp7.xml><?xml version="1.0" encoding="utf-8"?>
<formControlPr xmlns="http://schemas.microsoft.com/office/spreadsheetml/2009/9/main" objectType="Drop" dropStyle="combo" dx="15" fmlaLink="$D$17" fmlaRange="DayWeek" noThreeD="1" sel="1" val="0"/>
</file>

<file path=xl/ctrlProps/ctrlProp8.xml><?xml version="1.0" encoding="utf-8"?>
<formControlPr xmlns="http://schemas.microsoft.com/office/spreadsheetml/2009/9/main" objectType="Drop" dropStyle="combo" dx="15" fmlaLink="$H$16" fmlaRange="DayWeek" noThreeD="1" sel="1" val="0"/>
</file>

<file path=xl/ctrlProps/ctrlProp9.xml><?xml version="1.0" encoding="utf-8"?>
<formControlPr xmlns="http://schemas.microsoft.com/office/spreadsheetml/2009/9/main" objectType="Drop" dropStyle="combo" dx="15" fmlaLink="$H$17" fmlaRange="DayWeek" noThreeD="1" sel="1" val="0"/>
</file>

<file path=xl/ctrlProps/ctrlProp10.xml><?xml version="1.0" encoding="utf-8"?>
<formControlPr xmlns="http://schemas.microsoft.com/office/spreadsheetml/2009/9/main" objectType="Drop" dropStyle="combo" dx="15" fmlaLink="$L$16" fmlaRange="DayWeek" noThreeD="1" sel="1" val="0"/>
</file>

<file path=xl/ctrlProps/ctrlProp11.xml><?xml version="1.0" encoding="utf-8"?>
<formControlPr xmlns="http://schemas.microsoft.com/office/spreadsheetml/2009/9/main" objectType="Drop" dropStyle="combo" dx="15" fmlaLink="$L$17" fmlaRange="DayWeek" noThreeD="1" sel="1" val="0"/>
</file>

<file path=xl/ctrlProps/ctrlProp12.xml><?xml version="1.0" encoding="utf-8"?>
<formControlPr xmlns="http://schemas.microsoft.com/office/spreadsheetml/2009/9/main" objectType="Drop" dropStyle="combo" dx="15" fmlaLink="$P$16" fmlaRange="DayWeek" noThreeD="1" sel="1" val="0"/>
</file>

<file path=xl/ctrlProps/ctrlProp13.xml><?xml version="1.0" encoding="utf-8"?>
<formControlPr xmlns="http://schemas.microsoft.com/office/spreadsheetml/2009/9/main" objectType="Drop" dropStyle="combo" dx="15" fmlaLink="$P$17" fmlaRange="DayWeek" noThreeD="1" sel="1" val="0"/>
</file>

<file path=xl/ctrlProps/ctrlProp14.xml><?xml version="1.0" encoding="utf-8"?>
<formControlPr xmlns="http://schemas.microsoft.com/office/spreadsheetml/2009/9/main" objectType="Drop" dropStyle="combo" dx="15" fmlaLink="$T$16" fmlaRange="DayWeek" noThreeD="1" sel="1" val="0"/>
</file>

<file path=xl/ctrlProps/ctrlProp15.xml><?xml version="1.0" encoding="utf-8"?>
<formControlPr xmlns="http://schemas.microsoft.com/office/spreadsheetml/2009/9/main" objectType="Drop" dropStyle="combo" dx="15" fmlaLink="$T$17" fmlaRange="DayWeek" noThreeD="1" sel="2" val="0"/>
</file>

<file path=xl/ctrlProps/ctrlProp16.xml><?xml version="1.0" encoding="utf-8"?>
<formControlPr xmlns="http://schemas.microsoft.com/office/spreadsheetml/2009/9/main" objectType="Drop" dropStyle="combo" dx="15" fmlaLink="$D$46" fmlaRange="DayWeek" noThreeD="1" sel="1" val="0"/>
</file>

<file path=xl/ctrlProps/ctrlProp17.xml><?xml version="1.0" encoding="utf-8"?>
<formControlPr xmlns="http://schemas.microsoft.com/office/spreadsheetml/2009/9/main" objectType="Drop" dropStyle="combo" dx="15" fmlaLink="$D$47" fmlaRange="DayWeek" noThreeD="1" sel="1" val="0"/>
</file>

<file path=xl/ctrlProps/ctrlProp18.xml><?xml version="1.0" encoding="utf-8"?>
<formControlPr xmlns="http://schemas.microsoft.com/office/spreadsheetml/2009/9/main" objectType="Drop" dropLines="6" dropStyle="combo" dx="15" fmlaLink="$C$19" fmlaRange="VehicleList" noThreeD="1" sel="5" val="0"/>
</file>

<file path=xl/ctrlProps/ctrlProp19.xml><?xml version="1.0" encoding="utf-8"?>
<formControlPr xmlns="http://schemas.microsoft.com/office/spreadsheetml/2009/9/main" objectType="Drop" dropStyle="combo" dx="15" fmlaLink="C11" fmlaRange="FleetVehiclelist" noThreeD="1" sel="1" val="0"/>
</file>

<file path=xl/ctrlProps/ctrlProp20.xml><?xml version="1.0" encoding="utf-8"?>
<formControlPr xmlns="http://schemas.microsoft.com/office/spreadsheetml/2009/9/main" objectType="Drop" dropStyle="combo" dx="15" fmlaLink="$D$11" fmlaRange="DayWeek" noThreeD="1" sel="1" val="0"/>
</file>

<file path=xl/ctrlProps/ctrlProp21.xml><?xml version="1.0" encoding="utf-8"?>
<formControlPr xmlns="http://schemas.microsoft.com/office/spreadsheetml/2009/9/main" objectType="Drop" dropStyle="combo" dx="15" fmlaLink="$D$19" fmlaRange="DayWeek" noThreeD="1" sel="1" val="0"/>
</file>

<file path=xl/ctrlProps/ctrlProp22.xml><?xml version="1.0" encoding="utf-8"?>
<formControlPr xmlns="http://schemas.microsoft.com/office/spreadsheetml/2009/9/main" objectType="Drop" dropStyle="combo" dx="15" fmlaLink="$H$19" fmlaRange="DayWeek" noThreeD="1" sel="1" val="0"/>
</file>

<file path=xl/ctrlProps/ctrlProp23.xml><?xml version="1.0" encoding="utf-8"?>
<formControlPr xmlns="http://schemas.microsoft.com/office/spreadsheetml/2009/9/main" objectType="Drop" dropStyle="combo" dx="15" fmlaLink="$L$19" fmlaRange="DayWeek" noThreeD="1" sel="1" val="0"/>
</file>

<file path=xl/ctrlProps/ctrlProp24.xml><?xml version="1.0" encoding="utf-8"?>
<formControlPr xmlns="http://schemas.microsoft.com/office/spreadsheetml/2009/9/main" objectType="Drop" dropStyle="combo" dx="15" fmlaLink="$P$19" fmlaRange="DayWeek" noThreeD="1" sel="1" val="0"/>
</file>

<file path=xl/ctrlProps/ctrlProp25.xml><?xml version="1.0" encoding="utf-8"?>
<formControlPr xmlns="http://schemas.microsoft.com/office/spreadsheetml/2009/9/main" objectType="Drop" dropStyle="combo" dx="15" fmlaLink="$T$19" fmlaRange="DayWeek" noThreeD="1" sel="1" val="0"/>
</file>

<file path=xl/ctrlProps/ctrlProp26.xml><?xml version="1.0" encoding="utf-8"?>
<formControlPr xmlns="http://schemas.microsoft.com/office/spreadsheetml/2009/9/main" objectType="Drop" dropStyle="combo" dx="15" fmlaLink="$D$49" fmlaRange="DayWeek" noThreeD="1" sel="1" val="0"/>
</file>

<file path=xl/ctrlProps/ctrlProp27.xml><?xml version="1.0" encoding="utf-8"?>
<formControlPr xmlns="http://schemas.microsoft.com/office/spreadsheetml/2009/9/main" objectType="Drop" dropStyle="combo" dx="15" fmlaLink="$H$11" fmlaRange="DayWeek" noThreeD="1" sel="1" val="0"/>
</file>

<file path=xl/ctrlProps/ctrlProp28.xml><?xml version="1.0" encoding="utf-8"?>
<formControlPr xmlns="http://schemas.microsoft.com/office/spreadsheetml/2009/9/main" objectType="Drop" dropStyle="combo" dx="15" fmlaLink="$L$11" fmlaRange="DayWeek" noThreeD="1" sel="1" val="0"/>
</file>

<file path=xl/ctrlProps/ctrlProp29.xml><?xml version="1.0" encoding="utf-8"?>
<formControlPr xmlns="http://schemas.microsoft.com/office/spreadsheetml/2009/9/main" objectType="Drop" dropStyle="combo" dx="15" fmlaLink="$P$11" fmlaRange="DayWeek" noThreeD="1" sel="1" val="0"/>
</file>

<file path=xl/ctrlProps/ctrlProp30.xml><?xml version="1.0" encoding="utf-8"?>
<formControlPr xmlns="http://schemas.microsoft.com/office/spreadsheetml/2009/9/main" objectType="Drop" dropStyle="combo" dx="15" fmlaLink="$T$11" fmlaRange="DayWeek" noThreeD="1" sel="1" val="0"/>
</file>

<file path=xl/ctrlProps/ctrlProp31.xml><?xml version="1.0" encoding="utf-8"?>
<formControlPr xmlns="http://schemas.microsoft.com/office/spreadsheetml/2009/9/main" objectType="Drop" dropStyle="combo" dx="15" fmlaLink="$D$41" fmlaRange="DayWeek" noThreeD="1" sel="1" val="0"/>
</file>

<file path=xl/ctrlProps/ctrlProp32.xml><?xml version="1.0" encoding="utf-8"?>
<formControlPr xmlns="http://schemas.microsoft.com/office/spreadsheetml/2009/9/main" objectType="Drop" dropStyle="combo" dx="15" fmlaLink="$H$46" fmlaRange="DayWeek" noThreeD="1" sel="1" val="0"/>
</file>

<file path=xl/ctrlProps/ctrlProp33.xml><?xml version="1.0" encoding="utf-8"?>
<formControlPr xmlns="http://schemas.microsoft.com/office/spreadsheetml/2009/9/main" objectType="Drop" dropStyle="combo" dx="15" fmlaLink="$H$47" fmlaRange="DayWeek" noThreeD="1" sel="1" val="0"/>
</file>

<file path=xl/ctrlProps/ctrlProp34.xml><?xml version="1.0" encoding="utf-8"?>
<formControlPr xmlns="http://schemas.microsoft.com/office/spreadsheetml/2009/9/main" objectType="Drop" dropStyle="combo" dx="15" fmlaLink="$H$49" fmlaRange="DayWeek" noThreeD="1" sel="1" val="0"/>
</file>

<file path=xl/ctrlProps/ctrlProp35.xml><?xml version="1.0" encoding="utf-8"?>
<formControlPr xmlns="http://schemas.microsoft.com/office/spreadsheetml/2009/9/main" objectType="Drop" dropStyle="combo" dx="15" fmlaLink="$H$41" fmlaRange="DayWeek" noThreeD="1" sel="1" val="0"/>
</file>

<file path=xl/ctrlProps/ctrlProp36.xml><?xml version="1.0" encoding="utf-8"?>
<formControlPr xmlns="http://schemas.microsoft.com/office/spreadsheetml/2009/9/main" objectType="Drop" dropStyle="combo" dx="15" fmlaLink="$L$46" fmlaRange="DayWeek" noThreeD="1" sel="1" val="0"/>
</file>

<file path=xl/ctrlProps/ctrlProp37.xml><?xml version="1.0" encoding="utf-8"?>
<formControlPr xmlns="http://schemas.microsoft.com/office/spreadsheetml/2009/9/main" objectType="Drop" dropStyle="combo" dx="15" fmlaLink="$L$47" fmlaRange="DayWeek" noThreeD="1" sel="1" val="0"/>
</file>

<file path=xl/ctrlProps/ctrlProp38.xml><?xml version="1.0" encoding="utf-8"?>
<formControlPr xmlns="http://schemas.microsoft.com/office/spreadsheetml/2009/9/main" objectType="Drop" dropStyle="combo" dx="15" fmlaLink="$L$49" fmlaRange="DayWeek" noThreeD="1" sel="1" val="0"/>
</file>

<file path=xl/ctrlProps/ctrlProp39.xml><?xml version="1.0" encoding="utf-8"?>
<formControlPr xmlns="http://schemas.microsoft.com/office/spreadsheetml/2009/9/main" objectType="Drop" dropStyle="combo" dx="15" fmlaLink="$L$41" fmlaRange="DayWeek" noThreeD="1" sel="1" val="0"/>
</file>

<file path=xl/ctrlProps/ctrlProp40.xml><?xml version="1.0" encoding="utf-8"?>
<formControlPr xmlns="http://schemas.microsoft.com/office/spreadsheetml/2009/9/main" objectType="Drop" dropStyle="combo" dx="15" fmlaLink="$P$46" fmlaRange="DayWeek" noThreeD="1" sel="1" val="0"/>
</file>

<file path=xl/ctrlProps/ctrlProp41.xml><?xml version="1.0" encoding="utf-8"?>
<formControlPr xmlns="http://schemas.microsoft.com/office/spreadsheetml/2009/9/main" objectType="Drop" dropStyle="combo" dx="15" fmlaLink="$P$47" fmlaRange="DayWeek" noThreeD="1" sel="1" val="0"/>
</file>

<file path=xl/ctrlProps/ctrlProp42.xml><?xml version="1.0" encoding="utf-8"?>
<formControlPr xmlns="http://schemas.microsoft.com/office/spreadsheetml/2009/9/main" objectType="Drop" dropStyle="combo" dx="15" fmlaLink="$P$49" fmlaRange="DayWeek" noThreeD="1" sel="1" val="0"/>
</file>

<file path=xl/ctrlProps/ctrlProp43.xml><?xml version="1.0" encoding="utf-8"?>
<formControlPr xmlns="http://schemas.microsoft.com/office/spreadsheetml/2009/9/main" objectType="Drop" dropStyle="combo" dx="15" fmlaLink="$P$41" fmlaRange="DayWeek" noThreeD="1" sel="1" val="0"/>
</file>

<file path=xl/ctrlProps/ctrlProp44.xml><?xml version="1.0" encoding="utf-8"?>
<formControlPr xmlns="http://schemas.microsoft.com/office/spreadsheetml/2009/9/main" objectType="Drop" dropStyle="combo" dx="15" fmlaLink="$T$46" fmlaRange="DayWeek" noThreeD="1" sel="1" val="0"/>
</file>

<file path=xl/ctrlProps/ctrlProp45.xml><?xml version="1.0" encoding="utf-8"?>
<formControlPr xmlns="http://schemas.microsoft.com/office/spreadsheetml/2009/9/main" objectType="Drop" dropStyle="combo" dx="15" fmlaLink="$T$47" fmlaRange="DayWeek" noThreeD="1" sel="1" val="0"/>
</file>

<file path=xl/ctrlProps/ctrlProp46.xml><?xml version="1.0" encoding="utf-8"?>
<formControlPr xmlns="http://schemas.microsoft.com/office/spreadsheetml/2009/9/main" objectType="Drop" dropStyle="combo" dx="15" fmlaLink="$T$49" fmlaRange="DayWeek" noThreeD="1" sel="1" val="0"/>
</file>

<file path=xl/ctrlProps/ctrlProp47.xml><?xml version="1.0" encoding="utf-8"?>
<formControlPr xmlns="http://schemas.microsoft.com/office/spreadsheetml/2009/9/main" objectType="Drop" dropStyle="combo" dx="15" fmlaLink="$T$41" fmlaRange="DayWeek" noThreeD="1" sel="1" val="0"/>
</file>

<file path=xl/ctrlProps/ctrlProp48.xml><?xml version="1.0" encoding="utf-8"?>
<formControlPr xmlns="http://schemas.microsoft.com/office/spreadsheetml/2009/9/main" objectType="Drop" dropLines="6" dropStyle="combo" dx="15" fmlaLink="$C$19" fmlaRange="VehicleList" noThreeD="1" sel="5" val="0"/>
</file>

<file path=xl/ctrlProps/ctrlProp49.xml><?xml version="1.0" encoding="utf-8"?>
<formControlPr xmlns="http://schemas.microsoft.com/office/spreadsheetml/2009/9/main" objectType="Drop" dropStyle="combo" dx="15" fmlaLink="C11" fmlaRange="FleetVehiclelist" noThreeD="1" sel="1" val="0"/>
</file>

<file path=xl/ctrlProps/ctrlProp50.xml><?xml version="1.0" encoding="utf-8"?>
<formControlPr xmlns="http://schemas.microsoft.com/office/spreadsheetml/2009/9/main" objectType="Drop" dropStyle="combo" dx="15" fmlaLink="$D$76" fmlaRange="DayWeek" noThreeD="1" sel="1" val="0"/>
</file>

<file path=xl/ctrlProps/ctrlProp51.xml><?xml version="1.0" encoding="utf-8"?>
<formControlPr xmlns="http://schemas.microsoft.com/office/spreadsheetml/2009/9/main" objectType="Drop" dropStyle="combo" dx="15" fmlaLink="$D$77" fmlaRange="DayWeek" noThreeD="1" sel="1" val="0"/>
</file>

<file path=xl/ctrlProps/ctrlProp52.xml><?xml version="1.0" encoding="utf-8"?>
<formControlPr xmlns="http://schemas.microsoft.com/office/spreadsheetml/2009/9/main" objectType="Drop" dropStyle="combo" dx="15" fmlaLink="$H$76" fmlaRange="DayWeek" noThreeD="1" sel="1" val="0"/>
</file>

<file path=xl/ctrlProps/ctrlProp53.xml><?xml version="1.0" encoding="utf-8"?>
<formControlPr xmlns="http://schemas.microsoft.com/office/spreadsheetml/2009/9/main" objectType="Drop" dropStyle="combo" dx="15" fmlaLink="$H$77" fmlaRange="DayWeek" noThreeD="1" sel="1" val="0"/>
</file>

<file path=xl/ctrlProps/ctrlProp54.xml><?xml version="1.0" encoding="utf-8"?>
<formControlPr xmlns="http://schemas.microsoft.com/office/spreadsheetml/2009/9/main" objectType="Drop" dropStyle="combo" dx="15" fmlaLink="$L$76" fmlaRange="DayWeek" noThreeD="1" sel="1" val="0"/>
</file>

<file path=xl/ctrlProps/ctrlProp55.xml><?xml version="1.0" encoding="utf-8"?>
<formControlPr xmlns="http://schemas.microsoft.com/office/spreadsheetml/2009/9/main" objectType="Drop" dropStyle="combo" dx="15" fmlaLink="$L$77" fmlaRange="DayWeek" noThreeD="1" sel="1" val="0"/>
</file>

<file path=xl/ctrlProps/ctrlProp56.xml><?xml version="1.0" encoding="utf-8"?>
<formControlPr xmlns="http://schemas.microsoft.com/office/spreadsheetml/2009/9/main" objectType="Drop" dropStyle="combo" dx="15" fmlaLink="$P$76" fmlaRange="DayWeek" noThreeD="1" sel="1" val="0"/>
</file>

<file path=xl/ctrlProps/ctrlProp57.xml><?xml version="1.0" encoding="utf-8"?>
<formControlPr xmlns="http://schemas.microsoft.com/office/spreadsheetml/2009/9/main" objectType="Drop" dropStyle="combo" dx="15" fmlaLink="$P$77" fmlaRange="DayWeek" noThreeD="1" sel="1" val="0"/>
</file>

<file path=xl/ctrlProps/ctrlProp58.xml><?xml version="1.0" encoding="utf-8"?>
<formControlPr xmlns="http://schemas.microsoft.com/office/spreadsheetml/2009/9/main" objectType="Drop" dropStyle="combo" dx="15" fmlaLink="$T$76" fmlaRange="DayWeek" noThreeD="1" sel="1" val="0"/>
</file>

<file path=xl/ctrlProps/ctrlProp59.xml><?xml version="1.0" encoding="utf-8"?>
<formControlPr xmlns="http://schemas.microsoft.com/office/spreadsheetml/2009/9/main" objectType="Drop" dropStyle="combo" dx="15" fmlaLink="$T$77" fmlaRange="DayWeek" noThreeD="1" sel="1" val="0"/>
</file>

<file path=xl/ctrlProps/ctrlProp60.xml><?xml version="1.0" encoding="utf-8"?>
<formControlPr xmlns="http://schemas.microsoft.com/office/spreadsheetml/2009/9/main" objectType="Drop" dropLines="6" dropStyle="combo" dx="15" fmlaLink="$C$19" fmlaRange="VehicleList" noThreeD="1" sel="5" val="0"/>
</file>

<file path=xl/ctrlProps/ctrlProp61.xml><?xml version="1.0" encoding="utf-8"?>
<formControlPr xmlns="http://schemas.microsoft.com/office/spreadsheetml/2009/9/main" objectType="Drop" dropStyle="combo" dx="15" fmlaLink="C11" fmlaRange="FleetVehiclelist" noThreeD="1" sel="1" val="0"/>
</file>

<file path=xl/ctrlProps/ctrlProp62.xml><?xml version="1.0" encoding="utf-8"?>
<formControlPr xmlns="http://schemas.microsoft.com/office/spreadsheetml/2009/9/main" objectType="Drop" dropStyle="combo" dx="15" fmlaLink="$D$71" fmlaRange="DayWeek" noThreeD="1" sel="1" val="0"/>
</file>

<file path=xl/ctrlProps/ctrlProp63.xml><?xml version="1.0" encoding="utf-8"?>
<formControlPr xmlns="http://schemas.microsoft.com/office/spreadsheetml/2009/9/main" objectType="Drop" dropStyle="combo" dx="15" fmlaLink="$D$79" fmlaRange="DayWeek" noThreeD="1" sel="2" val="0"/>
</file>

<file path=xl/ctrlProps/ctrlProp64.xml><?xml version="1.0" encoding="utf-8"?>
<formControlPr xmlns="http://schemas.microsoft.com/office/spreadsheetml/2009/9/main" objectType="Drop" dropStyle="combo" dx="15" fmlaLink="$H$79" fmlaRange="DayWeek" noThreeD="1" sel="1" val="0"/>
</file>

<file path=xl/ctrlProps/ctrlProp65.xml><?xml version="1.0" encoding="utf-8"?>
<formControlPr xmlns="http://schemas.microsoft.com/office/spreadsheetml/2009/9/main" objectType="Drop" dropStyle="combo" dx="15" fmlaLink="$L$79" fmlaRange="DayWeek" noThreeD="1" sel="1" val="0"/>
</file>

<file path=xl/ctrlProps/ctrlProp66.xml><?xml version="1.0" encoding="utf-8"?>
<formControlPr xmlns="http://schemas.microsoft.com/office/spreadsheetml/2009/9/main" objectType="Drop" dropStyle="combo" dx="15" fmlaLink="$P$79" fmlaRange="DayWeek" noThreeD="1" sel="1" val="0"/>
</file>

<file path=xl/ctrlProps/ctrlProp67.xml><?xml version="1.0" encoding="utf-8"?>
<formControlPr xmlns="http://schemas.microsoft.com/office/spreadsheetml/2009/9/main" objectType="Drop" dropStyle="combo" dx="15" fmlaLink="$T$79" fmlaRange="DayWeek" noThreeD="1" sel="1" val="0"/>
</file>

<file path=xl/ctrlProps/ctrlProp68.xml><?xml version="1.0" encoding="utf-8"?>
<formControlPr xmlns="http://schemas.microsoft.com/office/spreadsheetml/2009/9/main" objectType="Drop" dropStyle="combo" dx="15" fmlaLink="$H$71" fmlaRange="DayWeek" noThreeD="1" sel="1" val="0"/>
</file>

<file path=xl/ctrlProps/ctrlProp69.xml><?xml version="1.0" encoding="utf-8"?>
<formControlPr xmlns="http://schemas.microsoft.com/office/spreadsheetml/2009/9/main" objectType="Drop" dropStyle="combo" dx="15" fmlaLink="$L$71" fmlaRange="DayWeek" noThreeD="1" sel="1" val="0"/>
</file>

<file path=xl/ctrlProps/ctrlProp70.xml><?xml version="1.0" encoding="utf-8"?>
<formControlPr xmlns="http://schemas.microsoft.com/office/spreadsheetml/2009/9/main" objectType="Drop" dropStyle="combo" dx="15" fmlaLink="$P$71" fmlaRange="DayWeek" noThreeD="1" sel="1" val="0"/>
</file>

<file path=xl/ctrlProps/ctrlProp71.xml><?xml version="1.0" encoding="utf-8"?>
<formControlPr xmlns="http://schemas.microsoft.com/office/spreadsheetml/2009/9/main" objectType="Drop" dropStyle="combo" dx="15" fmlaLink="$T$71" fmlaRange="DayWeek" noThreeD="1" sel="1" val="0"/>
</file>

<file path=xl/ctrlProps/ctrlProp72.xml><?xml version="1.0" encoding="utf-8"?>
<formControlPr xmlns="http://schemas.microsoft.com/office/spreadsheetml/2009/9/main" objectType="Drop" dropStyle="combo" dx="15" fmlaLink="$D$46" fmlaRange="DayWeek" noThreeD="1" sel="1" val="0"/>
</file>

<file path=xl/ctrlProps/ctrlProp73.xml><?xml version="1.0" encoding="utf-8"?>
<formControlPr xmlns="http://schemas.microsoft.com/office/spreadsheetml/2009/9/main" objectType="Drop" dropStyle="combo" dx="15" fmlaLink="$D$47" fmlaRange="DayWeek" noThreeD="1" sel="1" val="0"/>
</file>

<file path=xl/ctrlProps/ctrlProp74.xml><?xml version="1.0" encoding="utf-8"?>
<formControlPr xmlns="http://schemas.microsoft.com/office/spreadsheetml/2009/9/main" objectType="Drop" dropStyle="combo" dx="15" fmlaLink="$D$49" fmlaRange="DayWeek" noThreeD="1" sel="1" val="0"/>
</file>

<file path=xl/ctrlProps/ctrlProp75.xml><?xml version="1.0" encoding="utf-8"?>
<formControlPr xmlns="http://schemas.microsoft.com/office/spreadsheetml/2009/9/main" objectType="Drop" dropStyle="combo" dx="15" fmlaLink="$D$41" fmlaRange="DayWeek" noThreeD="1" sel="1" val="0"/>
</file>

<file path=xl/ctrlProps/ctrlProp76.xml><?xml version="1.0" encoding="utf-8"?>
<formControlPr xmlns="http://schemas.microsoft.com/office/spreadsheetml/2009/9/main" objectType="Drop" dropStyle="combo" dx="15" fmlaLink="$H$46" fmlaRange="DayWeek" noThreeD="1" sel="1" val="0"/>
</file>

<file path=xl/ctrlProps/ctrlProp77.xml><?xml version="1.0" encoding="utf-8"?>
<formControlPr xmlns="http://schemas.microsoft.com/office/spreadsheetml/2009/9/main" objectType="Drop" dropStyle="combo" dx="15" fmlaLink="$H$47" fmlaRange="DayWeek" noThreeD="1" sel="1" val="0"/>
</file>

<file path=xl/ctrlProps/ctrlProp78.xml><?xml version="1.0" encoding="utf-8"?>
<formControlPr xmlns="http://schemas.microsoft.com/office/spreadsheetml/2009/9/main" objectType="Drop" dropStyle="combo" dx="15" fmlaLink="$H$49" fmlaRange="DayWeek" noThreeD="1" sel="1" val="0"/>
</file>

<file path=xl/ctrlProps/ctrlProp79.xml><?xml version="1.0" encoding="utf-8"?>
<formControlPr xmlns="http://schemas.microsoft.com/office/spreadsheetml/2009/9/main" objectType="Drop" dropStyle="combo" dx="15" fmlaLink="$H$41" fmlaRange="DayWeek" noThreeD="1" sel="1" val="0"/>
</file>

<file path=xl/ctrlProps/ctrlProp80.xml><?xml version="1.0" encoding="utf-8"?>
<formControlPr xmlns="http://schemas.microsoft.com/office/spreadsheetml/2009/9/main" objectType="Drop" dropStyle="combo" dx="15" fmlaLink="$L$46" fmlaRange="DayWeek" noThreeD="1" sel="1" val="0"/>
</file>

<file path=xl/ctrlProps/ctrlProp81.xml><?xml version="1.0" encoding="utf-8"?>
<formControlPr xmlns="http://schemas.microsoft.com/office/spreadsheetml/2009/9/main" objectType="Drop" dropStyle="combo" dx="15" fmlaLink="$L$47" fmlaRange="DayWeek" noThreeD="1" sel="1" val="0"/>
</file>

<file path=xl/ctrlProps/ctrlProp82.xml><?xml version="1.0" encoding="utf-8"?>
<formControlPr xmlns="http://schemas.microsoft.com/office/spreadsheetml/2009/9/main" objectType="Drop" dropStyle="combo" dx="15" fmlaLink="$L$49" fmlaRange="DayWeek" noThreeD="1" sel="1" val="0"/>
</file>

<file path=xl/ctrlProps/ctrlProp83.xml><?xml version="1.0" encoding="utf-8"?>
<formControlPr xmlns="http://schemas.microsoft.com/office/spreadsheetml/2009/9/main" objectType="Drop" dropStyle="combo" dx="15" fmlaLink="$L$41" fmlaRange="DayWeek" noThreeD="1" sel="1" val="0"/>
</file>

<file path=xl/ctrlProps/ctrlProp84.xml><?xml version="1.0" encoding="utf-8"?>
<formControlPr xmlns="http://schemas.microsoft.com/office/spreadsheetml/2009/9/main" objectType="Drop" dropStyle="combo" dx="15" fmlaLink="$P$46" fmlaRange="DayWeek" noThreeD="1" sel="1" val="0"/>
</file>

<file path=xl/ctrlProps/ctrlProp85.xml><?xml version="1.0" encoding="utf-8"?>
<formControlPr xmlns="http://schemas.microsoft.com/office/spreadsheetml/2009/9/main" objectType="Drop" dropStyle="combo" dx="15" fmlaLink="$P$47" fmlaRange="DayWeek" noThreeD="1" sel="1" val="0"/>
</file>

<file path=xl/ctrlProps/ctrlProp86.xml><?xml version="1.0" encoding="utf-8"?>
<formControlPr xmlns="http://schemas.microsoft.com/office/spreadsheetml/2009/9/main" objectType="Drop" dropStyle="combo" dx="15" fmlaLink="$P$49" fmlaRange="DayWeek" noThreeD="1" sel="1" val="0"/>
</file>

<file path=xl/ctrlProps/ctrlProp87.xml><?xml version="1.0" encoding="utf-8"?>
<formControlPr xmlns="http://schemas.microsoft.com/office/spreadsheetml/2009/9/main" objectType="Drop" dropStyle="combo" dx="15" fmlaLink="$P$41" fmlaRange="DayWeek" noThreeD="1" sel="1" val="0"/>
</file>

<file path=xl/ctrlProps/ctrlProp88.xml><?xml version="1.0" encoding="utf-8"?>
<formControlPr xmlns="http://schemas.microsoft.com/office/spreadsheetml/2009/9/main" objectType="Drop" dropStyle="combo" dx="15" fmlaLink="$T$46" fmlaRange="DayWeek" noThreeD="1" sel="1" val="0"/>
</file>

<file path=xl/ctrlProps/ctrlProp89.xml><?xml version="1.0" encoding="utf-8"?>
<formControlPr xmlns="http://schemas.microsoft.com/office/spreadsheetml/2009/9/main" objectType="Drop" dropStyle="combo" dx="15" fmlaLink="$T$47" fmlaRange="DayWeek" noThreeD="1" sel="1" val="0"/>
</file>

<file path=xl/ctrlProps/ctrlProp90.xml><?xml version="1.0" encoding="utf-8"?>
<formControlPr xmlns="http://schemas.microsoft.com/office/spreadsheetml/2009/9/main" objectType="Drop" dropStyle="combo" dx="15" fmlaLink="$T$49" fmlaRange="DayWeek" noThreeD="1" sel="1" val="0"/>
</file>

<file path=xl/ctrlProps/ctrlProp91.xml><?xml version="1.0" encoding="utf-8"?>
<formControlPr xmlns="http://schemas.microsoft.com/office/spreadsheetml/2009/9/main" objectType="Drop" dropStyle="combo" dx="15" fmlaLink="$T$41" fmlaRange="DayWeek" noThreeD="1" sel="1" val="0"/>
</file>

<file path=xl/ctrlProps/ctrlProp92.xml><?xml version="1.0" encoding="utf-8"?>
<formControlPr xmlns="http://schemas.microsoft.com/office/spreadsheetml/2009/9/main" objectType="Drop" dropLines="6" dropStyle="combo" dx="15" fmlaLink="$C$19" fmlaRange="VehicleList" noThreeD="1" sel="5" val="0"/>
</file>

<file path=xl/ctrlProps/ctrlProp93.xml><?xml version="1.0" encoding="utf-8"?>
<formControlPr xmlns="http://schemas.microsoft.com/office/spreadsheetml/2009/9/main" objectType="Drop" dropStyle="combo" dx="15" fmlaLink="C11" fmlaRange="FleetVehiclelist" noThreeD="1" sel="1" val="0"/>
</file>

<file path=xl/ctrlProps/ctrlProp94.xml><?xml version="1.0" encoding="utf-8"?>
<formControlPr xmlns="http://schemas.microsoft.com/office/spreadsheetml/2009/9/main" objectType="Drop" dropStyle="combo" dx="15" fmlaLink="$D$106" fmlaRange="DayWeek" noThreeD="1" sel="1" val="0"/>
</file>

<file path=xl/ctrlProps/ctrlProp95.xml><?xml version="1.0" encoding="utf-8"?>
<formControlPr xmlns="http://schemas.microsoft.com/office/spreadsheetml/2009/9/main" objectType="Drop" dropStyle="combo" dx="15" fmlaLink="$D$107" fmlaRange="DayWeek" noThreeD="1" sel="1" val="0"/>
</file>

<file path=xl/ctrlProps/ctrlProp96.xml><?xml version="1.0" encoding="utf-8"?>
<formControlPr xmlns="http://schemas.microsoft.com/office/spreadsheetml/2009/9/main" objectType="Drop" dropStyle="combo" dx="15" fmlaLink="$H$106" fmlaRange="DayWeek" noThreeD="1" sel="1" val="0"/>
</file>

<file path=xl/ctrlProps/ctrlProp97.xml><?xml version="1.0" encoding="utf-8"?>
<formControlPr xmlns="http://schemas.microsoft.com/office/spreadsheetml/2009/9/main" objectType="Drop" dropStyle="combo" dx="15" fmlaLink="$H$107" fmlaRange="DayWeek" noThreeD="1" sel="1" val="0"/>
</file>

<file path=xl/ctrlProps/ctrlProp98.xml><?xml version="1.0" encoding="utf-8"?>
<formControlPr xmlns="http://schemas.microsoft.com/office/spreadsheetml/2009/9/main" objectType="Drop" dropStyle="combo" dx="15" fmlaLink="$L$106" fmlaRange="DayWeek" noThreeD="1" sel="1" val="0"/>
</file>

<file path=xl/ctrlProps/ctrlProp99.xml><?xml version="1.0" encoding="utf-8"?>
<formControlPr xmlns="http://schemas.microsoft.com/office/spreadsheetml/2009/9/main" objectType="Drop" dropStyle="combo" dx="15" fmlaLink="$L$107" fmlaRange="DayWeek" noThreeD="1" sel="1" val="0"/>
</file>

<file path=xl/ctrlProps/ctrlProp100.xml><?xml version="1.0" encoding="utf-8"?>
<formControlPr xmlns="http://schemas.microsoft.com/office/spreadsheetml/2009/9/main" objectType="Drop" dropStyle="combo" dx="15" fmlaLink="$P$106" fmlaRange="DayWeek" noThreeD="1" sel="1" val="0"/>
</file>

<file path=xl/ctrlProps/ctrlProp101.xml><?xml version="1.0" encoding="utf-8"?>
<formControlPr xmlns="http://schemas.microsoft.com/office/spreadsheetml/2009/9/main" objectType="Drop" dropStyle="combo" dx="15" fmlaLink="$P$107" fmlaRange="DayWeek" noThreeD="1" sel="1" val="0"/>
</file>

<file path=xl/ctrlProps/ctrlProp102.xml><?xml version="1.0" encoding="utf-8"?>
<formControlPr xmlns="http://schemas.microsoft.com/office/spreadsheetml/2009/9/main" objectType="Drop" dropStyle="combo" dx="15" fmlaLink="$T$106" fmlaRange="DayWeek" noThreeD="1" sel="1" val="0"/>
</file>

<file path=xl/ctrlProps/ctrlProp103.xml><?xml version="1.0" encoding="utf-8"?>
<formControlPr xmlns="http://schemas.microsoft.com/office/spreadsheetml/2009/9/main" objectType="Drop" dropStyle="combo" dx="15" fmlaLink="$T$107" fmlaRange="DayWeek" noThreeD="1" sel="1" val="0"/>
</file>

<file path=xl/ctrlProps/ctrlProp104.xml><?xml version="1.0" encoding="utf-8"?>
<formControlPr xmlns="http://schemas.microsoft.com/office/spreadsheetml/2009/9/main" objectType="Drop" dropLines="6" dropStyle="combo" dx="15" fmlaLink="$C$19" fmlaRange="VehicleList" noThreeD="1" sel="5" val="0"/>
</file>

<file path=xl/ctrlProps/ctrlProp105.xml><?xml version="1.0" encoding="utf-8"?>
<formControlPr xmlns="http://schemas.microsoft.com/office/spreadsheetml/2009/9/main" objectType="Drop" dropStyle="combo" dx="15" fmlaLink="C11" fmlaRange="FleetVehiclelist" noThreeD="1" sel="1" val="0"/>
</file>

<file path=xl/ctrlProps/ctrlProp106.xml><?xml version="1.0" encoding="utf-8"?>
<formControlPr xmlns="http://schemas.microsoft.com/office/spreadsheetml/2009/9/main" objectType="Drop" dropStyle="combo" dx="15" fmlaLink="$D$101" fmlaRange="DayWeek" noThreeD="1" sel="1" val="0"/>
</file>

<file path=xl/ctrlProps/ctrlProp107.xml><?xml version="1.0" encoding="utf-8"?>
<formControlPr xmlns="http://schemas.microsoft.com/office/spreadsheetml/2009/9/main" objectType="Drop" dropStyle="combo" dx="15" fmlaLink="$D$109" fmlaRange="DayWeek" noThreeD="1" sel="1" val="0"/>
</file>

<file path=xl/ctrlProps/ctrlProp108.xml><?xml version="1.0" encoding="utf-8"?>
<formControlPr xmlns="http://schemas.microsoft.com/office/spreadsheetml/2009/9/main" objectType="Drop" dropStyle="combo" dx="15" fmlaLink="$H$109" fmlaRange="DayWeek" noThreeD="1" sel="1" val="0"/>
</file>

<file path=xl/ctrlProps/ctrlProp109.xml><?xml version="1.0" encoding="utf-8"?>
<formControlPr xmlns="http://schemas.microsoft.com/office/spreadsheetml/2009/9/main" objectType="Drop" dropStyle="combo" dx="15" fmlaLink="$L$109" fmlaRange="DayWeek" noThreeD="1" sel="1" val="0"/>
</file>

<file path=xl/ctrlProps/ctrlProp110.xml><?xml version="1.0" encoding="utf-8"?>
<formControlPr xmlns="http://schemas.microsoft.com/office/spreadsheetml/2009/9/main" objectType="Drop" dropStyle="combo" dx="15" fmlaLink="$P$109" fmlaRange="DayWeek" noThreeD="1" sel="1" val="0"/>
</file>

<file path=xl/ctrlProps/ctrlProp111.xml><?xml version="1.0" encoding="utf-8"?>
<formControlPr xmlns="http://schemas.microsoft.com/office/spreadsheetml/2009/9/main" objectType="Drop" dropStyle="combo" dx="15" fmlaLink="$T$109" fmlaRange="DayWeek" noThreeD="1" sel="1" val="0"/>
</file>

<file path=xl/ctrlProps/ctrlProp112.xml><?xml version="1.0" encoding="utf-8"?>
<formControlPr xmlns="http://schemas.microsoft.com/office/spreadsheetml/2009/9/main" objectType="Drop" dropStyle="combo" dx="15" fmlaLink="$H$101" fmlaRange="DayWeek" noThreeD="1" sel="1" val="0"/>
</file>

<file path=xl/ctrlProps/ctrlProp113.xml><?xml version="1.0" encoding="utf-8"?>
<formControlPr xmlns="http://schemas.microsoft.com/office/spreadsheetml/2009/9/main" objectType="Drop" dropStyle="combo" dx="15" fmlaLink="$L$101" fmlaRange="DayWeek" noThreeD="1" sel="1" val="0"/>
</file>

<file path=xl/ctrlProps/ctrlProp114.xml><?xml version="1.0" encoding="utf-8"?>
<formControlPr xmlns="http://schemas.microsoft.com/office/spreadsheetml/2009/9/main" objectType="Drop" dropStyle="combo" dx="15" fmlaLink="$P$101" fmlaRange="DayWeek" noThreeD="1" sel="1" val="0"/>
</file>

<file path=xl/ctrlProps/ctrlProp115.xml><?xml version="1.0" encoding="utf-8"?>
<formControlPr xmlns="http://schemas.microsoft.com/office/spreadsheetml/2009/9/main" objectType="Drop" dropStyle="combo" dx="15" fmlaLink="$T$101" fmlaRange="DayWeek" noThreeD="1" sel="1" val="0"/>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1.emf"/><Relationship Id="rId18" Type="http://schemas.openxmlformats.org/officeDocument/2006/relationships/image" Target="../media/image16.emf"/><Relationship Id="rId26" Type="http://schemas.openxmlformats.org/officeDocument/2006/relationships/image" Target="../media/image8.emf"/><Relationship Id="rId39" Type="http://schemas.openxmlformats.org/officeDocument/2006/relationships/image" Target="../media/image39.emf"/><Relationship Id="rId3" Type="http://schemas.openxmlformats.org/officeDocument/2006/relationships/image" Target="../media/image31.emf"/><Relationship Id="rId21" Type="http://schemas.openxmlformats.org/officeDocument/2006/relationships/image" Target="../media/image13.emf"/><Relationship Id="rId34" Type="http://schemas.openxmlformats.org/officeDocument/2006/relationships/image" Target="../media/image34.emf"/><Relationship Id="rId7" Type="http://schemas.openxmlformats.org/officeDocument/2006/relationships/image" Target="../media/image27.emf"/><Relationship Id="rId12" Type="http://schemas.openxmlformats.org/officeDocument/2006/relationships/image" Target="../media/image22.emf"/><Relationship Id="rId17" Type="http://schemas.openxmlformats.org/officeDocument/2006/relationships/image" Target="../media/image17.emf"/><Relationship Id="rId25" Type="http://schemas.openxmlformats.org/officeDocument/2006/relationships/image" Target="../media/image9.emf"/><Relationship Id="rId33" Type="http://schemas.openxmlformats.org/officeDocument/2006/relationships/image" Target="../media/image1.emf"/><Relationship Id="rId38" Type="http://schemas.openxmlformats.org/officeDocument/2006/relationships/image" Target="../media/image38.emf"/><Relationship Id="rId2" Type="http://schemas.openxmlformats.org/officeDocument/2006/relationships/image" Target="../media/image32.emf"/><Relationship Id="rId16" Type="http://schemas.openxmlformats.org/officeDocument/2006/relationships/image" Target="../media/image18.emf"/><Relationship Id="rId20" Type="http://schemas.openxmlformats.org/officeDocument/2006/relationships/image" Target="../media/image14.emf"/><Relationship Id="rId29" Type="http://schemas.openxmlformats.org/officeDocument/2006/relationships/image" Target="../media/image5.emf"/><Relationship Id="rId1" Type="http://schemas.openxmlformats.org/officeDocument/2006/relationships/image" Target="../media/image33.emf"/><Relationship Id="rId6" Type="http://schemas.openxmlformats.org/officeDocument/2006/relationships/image" Target="../media/image28.emf"/><Relationship Id="rId11" Type="http://schemas.openxmlformats.org/officeDocument/2006/relationships/image" Target="../media/image23.emf"/><Relationship Id="rId24" Type="http://schemas.openxmlformats.org/officeDocument/2006/relationships/image" Target="../media/image10.emf"/><Relationship Id="rId32" Type="http://schemas.openxmlformats.org/officeDocument/2006/relationships/image" Target="../media/image2.emf"/><Relationship Id="rId37" Type="http://schemas.openxmlformats.org/officeDocument/2006/relationships/image" Target="../media/image37.emf"/><Relationship Id="rId40" Type="http://schemas.openxmlformats.org/officeDocument/2006/relationships/image" Target="../media/image40.emf"/><Relationship Id="rId5" Type="http://schemas.openxmlformats.org/officeDocument/2006/relationships/image" Target="../media/image29.emf"/><Relationship Id="rId15" Type="http://schemas.openxmlformats.org/officeDocument/2006/relationships/image" Target="../media/image19.emf"/><Relationship Id="rId23" Type="http://schemas.openxmlformats.org/officeDocument/2006/relationships/image" Target="../media/image11.emf"/><Relationship Id="rId28" Type="http://schemas.openxmlformats.org/officeDocument/2006/relationships/image" Target="../media/image6.emf"/><Relationship Id="rId36" Type="http://schemas.openxmlformats.org/officeDocument/2006/relationships/image" Target="../media/image36.emf"/><Relationship Id="rId10" Type="http://schemas.openxmlformats.org/officeDocument/2006/relationships/image" Target="../media/image24.emf"/><Relationship Id="rId19" Type="http://schemas.openxmlformats.org/officeDocument/2006/relationships/image" Target="../media/image15.emf"/><Relationship Id="rId31" Type="http://schemas.openxmlformats.org/officeDocument/2006/relationships/image" Target="../media/image3.emf"/><Relationship Id="rId4" Type="http://schemas.openxmlformats.org/officeDocument/2006/relationships/image" Target="../media/image30.emf"/><Relationship Id="rId9" Type="http://schemas.openxmlformats.org/officeDocument/2006/relationships/image" Target="../media/image25.emf"/><Relationship Id="rId14" Type="http://schemas.openxmlformats.org/officeDocument/2006/relationships/image" Target="../media/image20.emf"/><Relationship Id="rId22" Type="http://schemas.openxmlformats.org/officeDocument/2006/relationships/image" Target="../media/image12.emf"/><Relationship Id="rId27" Type="http://schemas.openxmlformats.org/officeDocument/2006/relationships/image" Target="../media/image7.emf"/><Relationship Id="rId30" Type="http://schemas.openxmlformats.org/officeDocument/2006/relationships/image" Target="../media/image4.emf"/><Relationship Id="rId35" Type="http://schemas.openxmlformats.org/officeDocument/2006/relationships/image" Target="../media/image3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200-000003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0200-000004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40</xdr:row>
          <xdr:rowOff>180975</xdr:rowOff>
        </xdr:from>
        <xdr:to>
          <xdr:col>2</xdr:col>
          <xdr:colOff>1409700</xdr:colOff>
          <xdr:row>42</xdr:row>
          <xdr:rowOff>38100</xdr:rowOff>
        </xdr:to>
        <xdr:sp macro="" textlink="">
          <xdr:nvSpPr>
            <xdr:cNvPr id="83969" name="Drop Down 1" hidden="1">
              <a:extLst>
                <a:ext uri="{63B3BB69-23CF-44E3-9099-C40C66FF867C}">
                  <a14:compatExt spid="_x0000_s83969"/>
                </a:ext>
                <a:ext uri="{FF2B5EF4-FFF2-40B4-BE49-F238E27FC236}">
                  <a16:creationId xmlns:a16="http://schemas.microsoft.com/office/drawing/2014/main" id="{00000000-0008-0000-0400-0000014801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809625</xdr:colOff>
          <xdr:row>11</xdr:row>
          <xdr:rowOff>123825</xdr:rowOff>
        </xdr:from>
        <xdr:to>
          <xdr:col>2</xdr:col>
          <xdr:colOff>809625</xdr:colOff>
          <xdr:row>14</xdr:row>
          <xdr:rowOff>95250</xdr:rowOff>
        </xdr:to>
        <xdr:sp macro="" textlink="">
          <xdr:nvSpPr>
            <xdr:cNvPr id="83976" name="Button 8" hidden="1">
              <a:extLst>
                <a:ext uri="{63B3BB69-23CF-44E3-9099-C40C66FF867C}">
                  <a14:compatExt spid="_x0000_s83976"/>
                </a:ext>
                <a:ext uri="{FF2B5EF4-FFF2-40B4-BE49-F238E27FC236}">
                  <a16:creationId xmlns:a16="http://schemas.microsoft.com/office/drawing/2014/main" id="{00000000-0008-0000-0400-000008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Add/Edit Phase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69</xdr:row>
          <xdr:rowOff>19050</xdr:rowOff>
        </xdr:from>
        <xdr:to>
          <xdr:col>9</xdr:col>
          <xdr:colOff>1190625</xdr:colOff>
          <xdr:row>69</xdr:row>
          <xdr:rowOff>419100</xdr:rowOff>
        </xdr:to>
        <xdr:sp macro="" textlink="">
          <xdr:nvSpPr>
            <xdr:cNvPr id="45058" name="Check Box 2" descr="Add a Contingency (on this sheet and Profitabilility Summary only)?" hidden="1">
              <a:extLst>
                <a:ext uri="{63B3BB69-23CF-44E3-9099-C40C66FF867C}">
                  <a14:compatExt spid="_x0000_s45058"/>
                </a:ext>
                <a:ext uri="{FF2B5EF4-FFF2-40B4-BE49-F238E27FC236}">
                  <a16:creationId xmlns:a16="http://schemas.microsoft.com/office/drawing/2014/main" id="{00000000-0008-0000-0500-000002B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Add a Contingency.  Contingency appears on the Budget Summary and Profitability Summary worksheets only.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xdr:row>
          <xdr:rowOff>19050</xdr:rowOff>
        </xdr:from>
        <xdr:to>
          <xdr:col>4</xdr:col>
          <xdr:colOff>1247775</xdr:colOff>
          <xdr:row>11</xdr:row>
          <xdr:rowOff>0</xdr:rowOff>
        </xdr:to>
        <xdr:sp macro="" textlink="">
          <xdr:nvSpPr>
            <xdr:cNvPr id="45059" name="chkInclude1" hidden="1">
              <a:extLst>
                <a:ext uri="{63B3BB69-23CF-44E3-9099-C40C66FF867C}">
                  <a14:compatExt spid="_x0000_s45059"/>
                </a:ext>
                <a:ext uri="{FF2B5EF4-FFF2-40B4-BE49-F238E27FC236}">
                  <a16:creationId xmlns:a16="http://schemas.microsoft.com/office/drawing/2014/main" id="{00000000-0008-0000-05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10</xdr:row>
          <xdr:rowOff>38100</xdr:rowOff>
        </xdr:from>
        <xdr:to>
          <xdr:col>6</xdr:col>
          <xdr:colOff>266700</xdr:colOff>
          <xdr:row>11</xdr:row>
          <xdr:rowOff>0</xdr:rowOff>
        </xdr:to>
        <xdr:sp macro="" textlink="">
          <xdr:nvSpPr>
            <xdr:cNvPr id="45060" name="chkInclude2" hidden="1">
              <a:extLst>
                <a:ext uri="{63B3BB69-23CF-44E3-9099-C40C66FF867C}">
                  <a14:compatExt spid="_x0000_s45060"/>
                </a:ext>
                <a:ext uri="{FF2B5EF4-FFF2-40B4-BE49-F238E27FC236}">
                  <a16:creationId xmlns:a16="http://schemas.microsoft.com/office/drawing/2014/main" id="{00000000-0008-0000-0500-00000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57150</xdr:rowOff>
        </xdr:from>
        <xdr:to>
          <xdr:col>8</xdr:col>
          <xdr:colOff>352425</xdr:colOff>
          <xdr:row>10</xdr:row>
          <xdr:rowOff>238125</xdr:rowOff>
        </xdr:to>
        <xdr:sp macro="" textlink="">
          <xdr:nvSpPr>
            <xdr:cNvPr id="45061" name="chkInclude3" hidden="1">
              <a:extLst>
                <a:ext uri="{63B3BB69-23CF-44E3-9099-C40C66FF867C}">
                  <a14:compatExt spid="_x0000_s45061"/>
                </a:ext>
                <a:ext uri="{FF2B5EF4-FFF2-40B4-BE49-F238E27FC236}">
                  <a16:creationId xmlns:a16="http://schemas.microsoft.com/office/drawing/2014/main" id="{00000000-0008-0000-0500-00000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10</xdr:col>
          <xdr:colOff>104775</xdr:colOff>
          <xdr:row>11</xdr:row>
          <xdr:rowOff>0</xdr:rowOff>
        </xdr:to>
        <xdr:sp macro="" textlink="">
          <xdr:nvSpPr>
            <xdr:cNvPr id="45062" name="chkInclude4" hidden="1">
              <a:extLst>
                <a:ext uri="{63B3BB69-23CF-44E3-9099-C40C66FF867C}">
                  <a14:compatExt spid="_x0000_s45062"/>
                </a:ext>
                <a:ext uri="{FF2B5EF4-FFF2-40B4-BE49-F238E27FC236}">
                  <a16:creationId xmlns:a16="http://schemas.microsoft.com/office/drawing/2014/main" id="{00000000-0008-0000-0500-00000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10</xdr:row>
          <xdr:rowOff>19050</xdr:rowOff>
        </xdr:from>
        <xdr:to>
          <xdr:col>11</xdr:col>
          <xdr:colOff>95250</xdr:colOff>
          <xdr:row>11</xdr:row>
          <xdr:rowOff>0</xdr:rowOff>
        </xdr:to>
        <xdr:sp macro="" textlink="">
          <xdr:nvSpPr>
            <xdr:cNvPr id="45063" name="chkInclude5" hidden="1">
              <a:extLst>
                <a:ext uri="{63B3BB69-23CF-44E3-9099-C40C66FF867C}">
                  <a14:compatExt spid="_x0000_s45063"/>
                </a:ext>
                <a:ext uri="{FF2B5EF4-FFF2-40B4-BE49-F238E27FC236}">
                  <a16:creationId xmlns:a16="http://schemas.microsoft.com/office/drawing/2014/main" id="{00000000-0008-0000-0500-000007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10</xdr:row>
          <xdr:rowOff>19050</xdr:rowOff>
        </xdr:from>
        <xdr:to>
          <xdr:col>11</xdr:col>
          <xdr:colOff>1190625</xdr:colOff>
          <xdr:row>11</xdr:row>
          <xdr:rowOff>0</xdr:rowOff>
        </xdr:to>
        <xdr:sp macro="" textlink="">
          <xdr:nvSpPr>
            <xdr:cNvPr id="45064" name="chkInclude6" hidden="1">
              <a:extLst>
                <a:ext uri="{63B3BB69-23CF-44E3-9099-C40C66FF867C}">
                  <a14:compatExt spid="_x0000_s45064"/>
                </a:ext>
                <a:ext uri="{FF2B5EF4-FFF2-40B4-BE49-F238E27FC236}">
                  <a16:creationId xmlns:a16="http://schemas.microsoft.com/office/drawing/2014/main" id="{00000000-0008-0000-0500-000008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19050</xdr:rowOff>
        </xdr:from>
        <xdr:to>
          <xdr:col>4</xdr:col>
          <xdr:colOff>1085850</xdr:colOff>
          <xdr:row>25</xdr:row>
          <xdr:rowOff>47625</xdr:rowOff>
        </xdr:to>
        <xdr:sp macro="" textlink="">
          <xdr:nvSpPr>
            <xdr:cNvPr id="45065" name="CheckBox7" hidden="1">
              <a:extLst>
                <a:ext uri="{63B3BB69-23CF-44E3-9099-C40C66FF867C}">
                  <a14:compatExt spid="_x0000_s45065"/>
                </a:ext>
                <a:ext uri="{FF2B5EF4-FFF2-40B4-BE49-F238E27FC236}">
                  <a16:creationId xmlns:a16="http://schemas.microsoft.com/office/drawing/2014/main" id="{00000000-0008-0000-0500-00000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24</xdr:row>
          <xdr:rowOff>38100</xdr:rowOff>
        </xdr:from>
        <xdr:to>
          <xdr:col>6</xdr:col>
          <xdr:colOff>238125</xdr:colOff>
          <xdr:row>25</xdr:row>
          <xdr:rowOff>57150</xdr:rowOff>
        </xdr:to>
        <xdr:sp macro="" textlink="">
          <xdr:nvSpPr>
            <xdr:cNvPr id="45066" name="CheckBox8" hidden="1">
              <a:extLst>
                <a:ext uri="{63B3BB69-23CF-44E3-9099-C40C66FF867C}">
                  <a14:compatExt spid="_x0000_s45066"/>
                </a:ext>
                <a:ext uri="{FF2B5EF4-FFF2-40B4-BE49-F238E27FC236}">
                  <a16:creationId xmlns:a16="http://schemas.microsoft.com/office/drawing/2014/main" id="{00000000-0008-0000-0500-00000A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24</xdr:row>
          <xdr:rowOff>57150</xdr:rowOff>
        </xdr:from>
        <xdr:to>
          <xdr:col>8</xdr:col>
          <xdr:colOff>200025</xdr:colOff>
          <xdr:row>25</xdr:row>
          <xdr:rowOff>47625</xdr:rowOff>
        </xdr:to>
        <xdr:sp macro="" textlink="">
          <xdr:nvSpPr>
            <xdr:cNvPr id="45067" name="CheckBox9" hidden="1">
              <a:extLst>
                <a:ext uri="{63B3BB69-23CF-44E3-9099-C40C66FF867C}">
                  <a14:compatExt spid="_x0000_s45067"/>
                </a:ext>
                <a:ext uri="{FF2B5EF4-FFF2-40B4-BE49-F238E27FC236}">
                  <a16:creationId xmlns:a16="http://schemas.microsoft.com/office/drawing/2014/main" id="{00000000-0008-0000-0500-00000B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24</xdr:row>
          <xdr:rowOff>19050</xdr:rowOff>
        </xdr:from>
        <xdr:to>
          <xdr:col>9</xdr:col>
          <xdr:colOff>1104900</xdr:colOff>
          <xdr:row>25</xdr:row>
          <xdr:rowOff>47625</xdr:rowOff>
        </xdr:to>
        <xdr:sp macro="" textlink="">
          <xdr:nvSpPr>
            <xdr:cNvPr id="45068" name="chkInclude10" hidden="1">
              <a:extLst>
                <a:ext uri="{63B3BB69-23CF-44E3-9099-C40C66FF867C}">
                  <a14:compatExt spid="_x0000_s45068"/>
                </a:ext>
                <a:ext uri="{FF2B5EF4-FFF2-40B4-BE49-F238E27FC236}">
                  <a16:creationId xmlns:a16="http://schemas.microsoft.com/office/drawing/2014/main" id="{00000000-0008-0000-0500-00000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19050</xdr:rowOff>
        </xdr:from>
        <xdr:to>
          <xdr:col>4</xdr:col>
          <xdr:colOff>1247775</xdr:colOff>
          <xdr:row>11</xdr:row>
          <xdr:rowOff>266700</xdr:rowOff>
        </xdr:to>
        <xdr:sp macro="" textlink="">
          <xdr:nvSpPr>
            <xdr:cNvPr id="45076" name="chkApplyContingencyPhase1" hidden="1">
              <a:extLst>
                <a:ext uri="{63B3BB69-23CF-44E3-9099-C40C66FF867C}">
                  <a14:compatExt spid="_x0000_s45076"/>
                </a:ext>
                <a:ext uri="{FF2B5EF4-FFF2-40B4-BE49-F238E27FC236}">
                  <a16:creationId xmlns:a16="http://schemas.microsoft.com/office/drawing/2014/main" id="{00000000-0008-0000-0500-00001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11</xdr:row>
          <xdr:rowOff>19050</xdr:rowOff>
        </xdr:from>
        <xdr:to>
          <xdr:col>7</xdr:col>
          <xdr:colOff>19050</xdr:colOff>
          <xdr:row>11</xdr:row>
          <xdr:rowOff>266700</xdr:rowOff>
        </xdr:to>
        <xdr:sp macro="" textlink="">
          <xdr:nvSpPr>
            <xdr:cNvPr id="45077" name="ChkApplyContingencyPhase2" hidden="1">
              <a:extLst>
                <a:ext uri="{63B3BB69-23CF-44E3-9099-C40C66FF867C}">
                  <a14:compatExt spid="_x0000_s45077"/>
                </a:ext>
                <a:ext uri="{FF2B5EF4-FFF2-40B4-BE49-F238E27FC236}">
                  <a16:creationId xmlns:a16="http://schemas.microsoft.com/office/drawing/2014/main" id="{00000000-0008-0000-0500-00001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11</xdr:row>
          <xdr:rowOff>19050</xdr:rowOff>
        </xdr:from>
        <xdr:to>
          <xdr:col>8</xdr:col>
          <xdr:colOff>228600</xdr:colOff>
          <xdr:row>11</xdr:row>
          <xdr:rowOff>266700</xdr:rowOff>
        </xdr:to>
        <xdr:sp macro="" textlink="">
          <xdr:nvSpPr>
            <xdr:cNvPr id="45078" name="chkApplyContingencyPhase3" hidden="1">
              <a:extLst>
                <a:ext uri="{63B3BB69-23CF-44E3-9099-C40C66FF867C}">
                  <a14:compatExt spid="_x0000_s45078"/>
                </a:ext>
                <a:ext uri="{FF2B5EF4-FFF2-40B4-BE49-F238E27FC236}">
                  <a16:creationId xmlns:a16="http://schemas.microsoft.com/office/drawing/2014/main" id="{00000000-0008-0000-0500-00001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11</xdr:row>
          <xdr:rowOff>19050</xdr:rowOff>
        </xdr:from>
        <xdr:to>
          <xdr:col>10</xdr:col>
          <xdr:colOff>0</xdr:colOff>
          <xdr:row>11</xdr:row>
          <xdr:rowOff>266700</xdr:rowOff>
        </xdr:to>
        <xdr:sp macro="" textlink="">
          <xdr:nvSpPr>
            <xdr:cNvPr id="45079" name="chkApplyContingencyPhase4" hidden="1">
              <a:extLst>
                <a:ext uri="{63B3BB69-23CF-44E3-9099-C40C66FF867C}">
                  <a14:compatExt spid="_x0000_s45079"/>
                </a:ext>
                <a:ext uri="{FF2B5EF4-FFF2-40B4-BE49-F238E27FC236}">
                  <a16:creationId xmlns:a16="http://schemas.microsoft.com/office/drawing/2014/main" id="{00000000-0008-0000-0500-000017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11</xdr:row>
          <xdr:rowOff>19050</xdr:rowOff>
        </xdr:from>
        <xdr:to>
          <xdr:col>11</xdr:col>
          <xdr:colOff>0</xdr:colOff>
          <xdr:row>11</xdr:row>
          <xdr:rowOff>266700</xdr:rowOff>
        </xdr:to>
        <xdr:sp macro="" textlink="">
          <xdr:nvSpPr>
            <xdr:cNvPr id="45080" name="chkApplyContingencyPhase5" hidden="1">
              <a:extLst>
                <a:ext uri="{63B3BB69-23CF-44E3-9099-C40C66FF867C}">
                  <a14:compatExt spid="_x0000_s45080"/>
                </a:ext>
                <a:ext uri="{FF2B5EF4-FFF2-40B4-BE49-F238E27FC236}">
                  <a16:creationId xmlns:a16="http://schemas.microsoft.com/office/drawing/2014/main" id="{00000000-0008-0000-0500-000018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11</xdr:row>
          <xdr:rowOff>19050</xdr:rowOff>
        </xdr:from>
        <xdr:to>
          <xdr:col>12</xdr:col>
          <xdr:colOff>0</xdr:colOff>
          <xdr:row>11</xdr:row>
          <xdr:rowOff>266700</xdr:rowOff>
        </xdr:to>
        <xdr:sp macro="" textlink="">
          <xdr:nvSpPr>
            <xdr:cNvPr id="45081" name="chkApplyContingencyPhase6" hidden="1">
              <a:extLst>
                <a:ext uri="{63B3BB69-23CF-44E3-9099-C40C66FF867C}">
                  <a14:compatExt spid="_x0000_s45081"/>
                </a:ext>
                <a:ext uri="{FF2B5EF4-FFF2-40B4-BE49-F238E27FC236}">
                  <a16:creationId xmlns:a16="http://schemas.microsoft.com/office/drawing/2014/main" id="{00000000-0008-0000-0500-00001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25</xdr:row>
          <xdr:rowOff>19050</xdr:rowOff>
        </xdr:from>
        <xdr:to>
          <xdr:col>4</xdr:col>
          <xdr:colOff>1247775</xdr:colOff>
          <xdr:row>25</xdr:row>
          <xdr:rowOff>266700</xdr:rowOff>
        </xdr:to>
        <xdr:sp macro="" textlink="">
          <xdr:nvSpPr>
            <xdr:cNvPr id="45082" name="chkApplyContingencyPhase7" hidden="1">
              <a:extLst>
                <a:ext uri="{63B3BB69-23CF-44E3-9099-C40C66FF867C}">
                  <a14:compatExt spid="_x0000_s45082"/>
                </a:ext>
                <a:ext uri="{FF2B5EF4-FFF2-40B4-BE49-F238E27FC236}">
                  <a16:creationId xmlns:a16="http://schemas.microsoft.com/office/drawing/2014/main" id="{00000000-0008-0000-0500-00001A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25</xdr:row>
          <xdr:rowOff>19050</xdr:rowOff>
        </xdr:from>
        <xdr:to>
          <xdr:col>7</xdr:col>
          <xdr:colOff>19050</xdr:colOff>
          <xdr:row>25</xdr:row>
          <xdr:rowOff>266700</xdr:rowOff>
        </xdr:to>
        <xdr:sp macro="" textlink="">
          <xdr:nvSpPr>
            <xdr:cNvPr id="45083" name="chkApplyContingencyPhase8" hidden="1">
              <a:extLst>
                <a:ext uri="{63B3BB69-23CF-44E3-9099-C40C66FF867C}">
                  <a14:compatExt spid="_x0000_s45083"/>
                </a:ext>
                <a:ext uri="{FF2B5EF4-FFF2-40B4-BE49-F238E27FC236}">
                  <a16:creationId xmlns:a16="http://schemas.microsoft.com/office/drawing/2014/main" id="{00000000-0008-0000-0500-00001B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25</xdr:row>
          <xdr:rowOff>19050</xdr:rowOff>
        </xdr:from>
        <xdr:to>
          <xdr:col>8</xdr:col>
          <xdr:colOff>228600</xdr:colOff>
          <xdr:row>25</xdr:row>
          <xdr:rowOff>266700</xdr:rowOff>
        </xdr:to>
        <xdr:sp macro="" textlink="">
          <xdr:nvSpPr>
            <xdr:cNvPr id="45084" name="chkApplyContingencyPhase9" hidden="1">
              <a:extLst>
                <a:ext uri="{63B3BB69-23CF-44E3-9099-C40C66FF867C}">
                  <a14:compatExt spid="_x0000_s45084"/>
                </a:ext>
                <a:ext uri="{FF2B5EF4-FFF2-40B4-BE49-F238E27FC236}">
                  <a16:creationId xmlns:a16="http://schemas.microsoft.com/office/drawing/2014/main" id="{00000000-0008-0000-0500-00001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25</xdr:row>
          <xdr:rowOff>19050</xdr:rowOff>
        </xdr:from>
        <xdr:to>
          <xdr:col>10</xdr:col>
          <xdr:colOff>0</xdr:colOff>
          <xdr:row>25</xdr:row>
          <xdr:rowOff>266700</xdr:rowOff>
        </xdr:to>
        <xdr:sp macro="" textlink="">
          <xdr:nvSpPr>
            <xdr:cNvPr id="45085" name="chkApplyContingencyPhase10" hidden="1">
              <a:extLst>
                <a:ext uri="{63B3BB69-23CF-44E3-9099-C40C66FF867C}">
                  <a14:compatExt spid="_x0000_s45085"/>
                </a:ext>
                <a:ext uri="{FF2B5EF4-FFF2-40B4-BE49-F238E27FC236}">
                  <a16:creationId xmlns:a16="http://schemas.microsoft.com/office/drawing/2014/main" id="{00000000-0008-0000-0500-00001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25</xdr:row>
          <xdr:rowOff>19050</xdr:rowOff>
        </xdr:from>
        <xdr:to>
          <xdr:col>11</xdr:col>
          <xdr:colOff>0</xdr:colOff>
          <xdr:row>25</xdr:row>
          <xdr:rowOff>266700</xdr:rowOff>
        </xdr:to>
        <xdr:sp macro="" textlink="">
          <xdr:nvSpPr>
            <xdr:cNvPr id="45086" name="chkApplyContingencyPhase11" hidden="1">
              <a:extLst>
                <a:ext uri="{63B3BB69-23CF-44E3-9099-C40C66FF867C}">
                  <a14:compatExt spid="_x0000_s45086"/>
                </a:ext>
                <a:ext uri="{FF2B5EF4-FFF2-40B4-BE49-F238E27FC236}">
                  <a16:creationId xmlns:a16="http://schemas.microsoft.com/office/drawing/2014/main" id="{00000000-0008-0000-0500-00001E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25</xdr:row>
          <xdr:rowOff>19050</xdr:rowOff>
        </xdr:from>
        <xdr:to>
          <xdr:col>12</xdr:col>
          <xdr:colOff>0</xdr:colOff>
          <xdr:row>25</xdr:row>
          <xdr:rowOff>266700</xdr:rowOff>
        </xdr:to>
        <xdr:sp macro="" textlink="">
          <xdr:nvSpPr>
            <xdr:cNvPr id="45087" name="chkApplyContingencyPhase12" hidden="1">
              <a:extLst>
                <a:ext uri="{63B3BB69-23CF-44E3-9099-C40C66FF867C}">
                  <a14:compatExt spid="_x0000_s45087"/>
                </a:ext>
                <a:ext uri="{FF2B5EF4-FFF2-40B4-BE49-F238E27FC236}">
                  <a16:creationId xmlns:a16="http://schemas.microsoft.com/office/drawing/2014/main" id="{00000000-0008-0000-0500-00001F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24</xdr:row>
          <xdr:rowOff>19050</xdr:rowOff>
        </xdr:from>
        <xdr:to>
          <xdr:col>11</xdr:col>
          <xdr:colOff>1104900</xdr:colOff>
          <xdr:row>25</xdr:row>
          <xdr:rowOff>47625</xdr:rowOff>
        </xdr:to>
        <xdr:sp macro="" textlink="">
          <xdr:nvSpPr>
            <xdr:cNvPr id="45088" name="chkInclude12" hidden="1">
              <a:extLst>
                <a:ext uri="{63B3BB69-23CF-44E3-9099-C40C66FF867C}">
                  <a14:compatExt spid="_x0000_s45088"/>
                </a:ext>
                <a:ext uri="{FF2B5EF4-FFF2-40B4-BE49-F238E27FC236}">
                  <a16:creationId xmlns:a16="http://schemas.microsoft.com/office/drawing/2014/main" id="{00000000-0008-0000-0500-000020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24</xdr:row>
          <xdr:rowOff>19050</xdr:rowOff>
        </xdr:from>
        <xdr:to>
          <xdr:col>10</xdr:col>
          <xdr:colOff>1104900</xdr:colOff>
          <xdr:row>25</xdr:row>
          <xdr:rowOff>47625</xdr:rowOff>
        </xdr:to>
        <xdr:sp macro="" textlink="">
          <xdr:nvSpPr>
            <xdr:cNvPr id="45089" name="chkInclude11" hidden="1">
              <a:extLst>
                <a:ext uri="{63B3BB69-23CF-44E3-9099-C40C66FF867C}">
                  <a14:compatExt spid="_x0000_s45089"/>
                </a:ext>
                <a:ext uri="{FF2B5EF4-FFF2-40B4-BE49-F238E27FC236}">
                  <a16:creationId xmlns:a16="http://schemas.microsoft.com/office/drawing/2014/main" id="{00000000-0008-0000-0500-00002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39</xdr:row>
          <xdr:rowOff>19050</xdr:rowOff>
        </xdr:from>
        <xdr:to>
          <xdr:col>4</xdr:col>
          <xdr:colOff>1247775</xdr:colOff>
          <xdr:row>40</xdr:row>
          <xdr:rowOff>9525</xdr:rowOff>
        </xdr:to>
        <xdr:sp macro="" textlink="">
          <xdr:nvSpPr>
            <xdr:cNvPr id="45095" name="chkApplyContingencyPhase13" hidden="1">
              <a:extLst>
                <a:ext uri="{63B3BB69-23CF-44E3-9099-C40C66FF867C}">
                  <a14:compatExt spid="_x0000_s45095"/>
                </a:ext>
                <a:ext uri="{FF2B5EF4-FFF2-40B4-BE49-F238E27FC236}">
                  <a16:creationId xmlns:a16="http://schemas.microsoft.com/office/drawing/2014/main" id="{00000000-0008-0000-0500-000027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39</xdr:row>
          <xdr:rowOff>19050</xdr:rowOff>
        </xdr:from>
        <xdr:to>
          <xdr:col>7</xdr:col>
          <xdr:colOff>19050</xdr:colOff>
          <xdr:row>40</xdr:row>
          <xdr:rowOff>9525</xdr:rowOff>
        </xdr:to>
        <xdr:sp macro="" textlink="">
          <xdr:nvSpPr>
            <xdr:cNvPr id="45096" name="chkApplyContingencyPhase14" hidden="1">
              <a:extLst>
                <a:ext uri="{63B3BB69-23CF-44E3-9099-C40C66FF867C}">
                  <a14:compatExt spid="_x0000_s45096"/>
                </a:ext>
                <a:ext uri="{FF2B5EF4-FFF2-40B4-BE49-F238E27FC236}">
                  <a16:creationId xmlns:a16="http://schemas.microsoft.com/office/drawing/2014/main" id="{00000000-0008-0000-0500-000028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39</xdr:row>
          <xdr:rowOff>19050</xdr:rowOff>
        </xdr:from>
        <xdr:to>
          <xdr:col>8</xdr:col>
          <xdr:colOff>228600</xdr:colOff>
          <xdr:row>40</xdr:row>
          <xdr:rowOff>9525</xdr:rowOff>
        </xdr:to>
        <xdr:sp macro="" textlink="">
          <xdr:nvSpPr>
            <xdr:cNvPr id="45097" name="chkApplyContingencyPhase15" hidden="1">
              <a:extLst>
                <a:ext uri="{63B3BB69-23CF-44E3-9099-C40C66FF867C}">
                  <a14:compatExt spid="_x0000_s45097"/>
                </a:ext>
                <a:ext uri="{FF2B5EF4-FFF2-40B4-BE49-F238E27FC236}">
                  <a16:creationId xmlns:a16="http://schemas.microsoft.com/office/drawing/2014/main" id="{00000000-0008-0000-0500-00002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39</xdr:row>
          <xdr:rowOff>19050</xdr:rowOff>
        </xdr:from>
        <xdr:to>
          <xdr:col>10</xdr:col>
          <xdr:colOff>0</xdr:colOff>
          <xdr:row>40</xdr:row>
          <xdr:rowOff>9525</xdr:rowOff>
        </xdr:to>
        <xdr:sp macro="" textlink="">
          <xdr:nvSpPr>
            <xdr:cNvPr id="45098" name="ApplyContingencyPhase16" hidden="1">
              <a:extLst>
                <a:ext uri="{63B3BB69-23CF-44E3-9099-C40C66FF867C}">
                  <a14:compatExt spid="_x0000_s45098"/>
                </a:ext>
                <a:ext uri="{FF2B5EF4-FFF2-40B4-BE49-F238E27FC236}">
                  <a16:creationId xmlns:a16="http://schemas.microsoft.com/office/drawing/2014/main" id="{00000000-0008-0000-0500-00002A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39</xdr:row>
          <xdr:rowOff>19050</xdr:rowOff>
        </xdr:from>
        <xdr:to>
          <xdr:col>11</xdr:col>
          <xdr:colOff>0</xdr:colOff>
          <xdr:row>40</xdr:row>
          <xdr:rowOff>9525</xdr:rowOff>
        </xdr:to>
        <xdr:sp macro="" textlink="">
          <xdr:nvSpPr>
            <xdr:cNvPr id="45099" name="chkApplyContingencyPhase17" hidden="1">
              <a:extLst>
                <a:ext uri="{63B3BB69-23CF-44E3-9099-C40C66FF867C}">
                  <a14:compatExt spid="_x0000_s45099"/>
                </a:ext>
                <a:ext uri="{FF2B5EF4-FFF2-40B4-BE49-F238E27FC236}">
                  <a16:creationId xmlns:a16="http://schemas.microsoft.com/office/drawing/2014/main" id="{00000000-0008-0000-0500-00002B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39</xdr:row>
          <xdr:rowOff>19050</xdr:rowOff>
        </xdr:from>
        <xdr:to>
          <xdr:col>12</xdr:col>
          <xdr:colOff>0</xdr:colOff>
          <xdr:row>40</xdr:row>
          <xdr:rowOff>9525</xdr:rowOff>
        </xdr:to>
        <xdr:sp macro="" textlink="">
          <xdr:nvSpPr>
            <xdr:cNvPr id="45100" name="chkApplyContingencyPhase18" hidden="1">
              <a:extLst>
                <a:ext uri="{63B3BB69-23CF-44E3-9099-C40C66FF867C}">
                  <a14:compatExt spid="_x0000_s45100"/>
                </a:ext>
                <a:ext uri="{FF2B5EF4-FFF2-40B4-BE49-F238E27FC236}">
                  <a16:creationId xmlns:a16="http://schemas.microsoft.com/office/drawing/2014/main" id="{00000000-0008-0000-0500-00002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54</xdr:row>
          <xdr:rowOff>19050</xdr:rowOff>
        </xdr:from>
        <xdr:to>
          <xdr:col>4</xdr:col>
          <xdr:colOff>1247775</xdr:colOff>
          <xdr:row>55</xdr:row>
          <xdr:rowOff>38100</xdr:rowOff>
        </xdr:to>
        <xdr:sp macro="" textlink="">
          <xdr:nvSpPr>
            <xdr:cNvPr id="45101" name="chkApplyContingencyPhase19" hidden="1">
              <a:extLst>
                <a:ext uri="{63B3BB69-23CF-44E3-9099-C40C66FF867C}">
                  <a14:compatExt spid="_x0000_s45101"/>
                </a:ext>
                <a:ext uri="{FF2B5EF4-FFF2-40B4-BE49-F238E27FC236}">
                  <a16:creationId xmlns:a16="http://schemas.microsoft.com/office/drawing/2014/main" id="{00000000-0008-0000-0500-00002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54</xdr:row>
          <xdr:rowOff>19050</xdr:rowOff>
        </xdr:from>
        <xdr:to>
          <xdr:col>7</xdr:col>
          <xdr:colOff>19050</xdr:colOff>
          <xdr:row>55</xdr:row>
          <xdr:rowOff>38100</xdr:rowOff>
        </xdr:to>
        <xdr:sp macro="" textlink="">
          <xdr:nvSpPr>
            <xdr:cNvPr id="45102" name="chkApplyContingencyPhase20" hidden="1">
              <a:extLst>
                <a:ext uri="{63B3BB69-23CF-44E3-9099-C40C66FF867C}">
                  <a14:compatExt spid="_x0000_s45102"/>
                </a:ext>
                <a:ext uri="{FF2B5EF4-FFF2-40B4-BE49-F238E27FC236}">
                  <a16:creationId xmlns:a16="http://schemas.microsoft.com/office/drawing/2014/main" id="{00000000-0008-0000-0500-00002E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37</xdr:row>
          <xdr:rowOff>95250</xdr:rowOff>
        </xdr:from>
        <xdr:to>
          <xdr:col>4</xdr:col>
          <xdr:colOff>1095375</xdr:colOff>
          <xdr:row>38</xdr:row>
          <xdr:rowOff>190500</xdr:rowOff>
        </xdr:to>
        <xdr:sp macro="" textlink="">
          <xdr:nvSpPr>
            <xdr:cNvPr id="45103" name="chbInclude13" hidden="1">
              <a:extLst>
                <a:ext uri="{63B3BB69-23CF-44E3-9099-C40C66FF867C}">
                  <a14:compatExt spid="_x0000_s45103"/>
                </a:ext>
                <a:ext uri="{FF2B5EF4-FFF2-40B4-BE49-F238E27FC236}">
                  <a16:creationId xmlns:a16="http://schemas.microsoft.com/office/drawing/2014/main" id="{00000000-0008-0000-0500-00002F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37</xdr:row>
          <xdr:rowOff>104775</xdr:rowOff>
        </xdr:from>
        <xdr:to>
          <xdr:col>6</xdr:col>
          <xdr:colOff>219075</xdr:colOff>
          <xdr:row>39</xdr:row>
          <xdr:rowOff>0</xdr:rowOff>
        </xdr:to>
        <xdr:sp macro="" textlink="">
          <xdr:nvSpPr>
            <xdr:cNvPr id="45104" name="CheckBox14" hidden="1">
              <a:extLst>
                <a:ext uri="{63B3BB69-23CF-44E3-9099-C40C66FF867C}">
                  <a14:compatExt spid="_x0000_s45104"/>
                </a:ext>
                <a:ext uri="{FF2B5EF4-FFF2-40B4-BE49-F238E27FC236}">
                  <a16:creationId xmlns:a16="http://schemas.microsoft.com/office/drawing/2014/main" id="{00000000-0008-0000-0500-000030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37</xdr:row>
          <xdr:rowOff>66675</xdr:rowOff>
        </xdr:from>
        <xdr:to>
          <xdr:col>8</xdr:col>
          <xdr:colOff>76200</xdr:colOff>
          <xdr:row>38</xdr:row>
          <xdr:rowOff>180975</xdr:rowOff>
        </xdr:to>
        <xdr:sp macro="" textlink="">
          <xdr:nvSpPr>
            <xdr:cNvPr id="45105" name="CheckBox15" hidden="1">
              <a:extLst>
                <a:ext uri="{63B3BB69-23CF-44E3-9099-C40C66FF867C}">
                  <a14:compatExt spid="_x0000_s45105"/>
                </a:ext>
                <a:ext uri="{FF2B5EF4-FFF2-40B4-BE49-F238E27FC236}">
                  <a16:creationId xmlns:a16="http://schemas.microsoft.com/office/drawing/2014/main" id="{00000000-0008-0000-0500-00003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37</xdr:row>
          <xdr:rowOff>76200</xdr:rowOff>
        </xdr:from>
        <xdr:to>
          <xdr:col>9</xdr:col>
          <xdr:colOff>1095375</xdr:colOff>
          <xdr:row>38</xdr:row>
          <xdr:rowOff>200025</xdr:rowOff>
        </xdr:to>
        <xdr:sp macro="" textlink="">
          <xdr:nvSpPr>
            <xdr:cNvPr id="45106" name="CheckBox16" hidden="1">
              <a:extLst>
                <a:ext uri="{63B3BB69-23CF-44E3-9099-C40C66FF867C}">
                  <a14:compatExt spid="_x0000_s45106"/>
                </a:ext>
                <a:ext uri="{FF2B5EF4-FFF2-40B4-BE49-F238E27FC236}">
                  <a16:creationId xmlns:a16="http://schemas.microsoft.com/office/drawing/2014/main" id="{00000000-0008-0000-0500-00003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37</xdr:row>
          <xdr:rowOff>85725</xdr:rowOff>
        </xdr:from>
        <xdr:to>
          <xdr:col>10</xdr:col>
          <xdr:colOff>1066800</xdr:colOff>
          <xdr:row>39</xdr:row>
          <xdr:rowOff>9525</xdr:rowOff>
        </xdr:to>
        <xdr:sp macro="" textlink="">
          <xdr:nvSpPr>
            <xdr:cNvPr id="45107" name="CheckBox17" hidden="1">
              <a:extLst>
                <a:ext uri="{63B3BB69-23CF-44E3-9099-C40C66FF867C}">
                  <a14:compatExt spid="_x0000_s45107"/>
                </a:ext>
                <a:ext uri="{FF2B5EF4-FFF2-40B4-BE49-F238E27FC236}">
                  <a16:creationId xmlns:a16="http://schemas.microsoft.com/office/drawing/2014/main" id="{00000000-0008-0000-0500-00003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37</xdr:row>
          <xdr:rowOff>66675</xdr:rowOff>
        </xdr:from>
        <xdr:to>
          <xdr:col>11</xdr:col>
          <xdr:colOff>1066800</xdr:colOff>
          <xdr:row>39</xdr:row>
          <xdr:rowOff>0</xdr:rowOff>
        </xdr:to>
        <xdr:sp macro="" textlink="">
          <xdr:nvSpPr>
            <xdr:cNvPr id="45108" name="CheckBox18" hidden="1">
              <a:extLst>
                <a:ext uri="{63B3BB69-23CF-44E3-9099-C40C66FF867C}">
                  <a14:compatExt spid="_x0000_s45108"/>
                </a:ext>
                <a:ext uri="{FF2B5EF4-FFF2-40B4-BE49-F238E27FC236}">
                  <a16:creationId xmlns:a16="http://schemas.microsoft.com/office/drawing/2014/main" id="{00000000-0008-0000-0500-00003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52</xdr:row>
          <xdr:rowOff>28575</xdr:rowOff>
        </xdr:from>
        <xdr:to>
          <xdr:col>4</xdr:col>
          <xdr:colOff>1085850</xdr:colOff>
          <xdr:row>54</xdr:row>
          <xdr:rowOff>19050</xdr:rowOff>
        </xdr:to>
        <xdr:sp macro="" textlink="">
          <xdr:nvSpPr>
            <xdr:cNvPr id="45109" name="CheckBox19" hidden="1">
              <a:extLst>
                <a:ext uri="{63B3BB69-23CF-44E3-9099-C40C66FF867C}">
                  <a14:compatExt spid="_x0000_s45109"/>
                </a:ext>
                <a:ext uri="{FF2B5EF4-FFF2-40B4-BE49-F238E27FC236}">
                  <a16:creationId xmlns:a16="http://schemas.microsoft.com/office/drawing/2014/main" id="{00000000-0008-0000-0500-00003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52</xdr:row>
          <xdr:rowOff>38100</xdr:rowOff>
        </xdr:from>
        <xdr:to>
          <xdr:col>6</xdr:col>
          <xdr:colOff>238125</xdr:colOff>
          <xdr:row>54</xdr:row>
          <xdr:rowOff>38100</xdr:rowOff>
        </xdr:to>
        <xdr:sp macro="" textlink="">
          <xdr:nvSpPr>
            <xdr:cNvPr id="45110" name="CheckBox20" hidden="1">
              <a:extLst>
                <a:ext uri="{63B3BB69-23CF-44E3-9099-C40C66FF867C}">
                  <a14:compatExt spid="_x0000_s45110"/>
                </a:ext>
                <a:ext uri="{FF2B5EF4-FFF2-40B4-BE49-F238E27FC236}">
                  <a16:creationId xmlns:a16="http://schemas.microsoft.com/office/drawing/2014/main" id="{00000000-0008-0000-0500-00003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0</xdr:row>
          <xdr:rowOff>114300</xdr:rowOff>
        </xdr:from>
        <xdr:to>
          <xdr:col>4</xdr:col>
          <xdr:colOff>304800</xdr:colOff>
          <xdr:row>6</xdr:row>
          <xdr:rowOff>57150</xdr:rowOff>
        </xdr:to>
        <xdr:sp macro="" textlink="">
          <xdr:nvSpPr>
            <xdr:cNvPr id="30722" name="Object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solidFill>
              <a:srgbClr val="FFFFFF" mc:Ignorable="a14" a14:legacySpreadsheetColorIndex="65"/>
            </a:solidFill>
            <a:ln w="28575">
              <a:solidFill>
                <a:srgbClr val="FF0000"/>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3</xdr:col>
          <xdr:colOff>552450</xdr:colOff>
          <xdr:row>16</xdr:row>
          <xdr:rowOff>19050</xdr:rowOff>
        </xdr:to>
        <xdr:sp macro="" textlink="">
          <xdr:nvSpPr>
            <xdr:cNvPr id="24577" name="Drop Dow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19050</xdr:rowOff>
        </xdr:from>
        <xdr:to>
          <xdr:col>3</xdr:col>
          <xdr:colOff>552450</xdr:colOff>
          <xdr:row>17</xdr:row>
          <xdr:rowOff>19050</xdr:rowOff>
        </xdr:to>
        <xdr:sp macro="" textlink="">
          <xdr:nvSpPr>
            <xdr:cNvPr id="24578" name="Drop Down 2"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19050</xdr:rowOff>
        </xdr:from>
        <xdr:to>
          <xdr:col>8</xdr:col>
          <xdr:colOff>19050</xdr:colOff>
          <xdr:row>16</xdr:row>
          <xdr:rowOff>19050</xdr:rowOff>
        </xdr:to>
        <xdr:sp macro="" textlink="">
          <xdr:nvSpPr>
            <xdr:cNvPr id="24580" name="Drop Down 4" hidden="1">
              <a:extLst>
                <a:ext uri="{63B3BB69-23CF-44E3-9099-C40C66FF867C}">
                  <a14:compatExt spid="_x0000_s24580"/>
                </a:ext>
                <a:ext uri="{FF2B5EF4-FFF2-40B4-BE49-F238E27FC236}">
                  <a16:creationId xmlns:a16="http://schemas.microsoft.com/office/drawing/2014/main" id="{00000000-0008-0000-0A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xdr:row>
          <xdr:rowOff>19050</xdr:rowOff>
        </xdr:from>
        <xdr:to>
          <xdr:col>8</xdr:col>
          <xdr:colOff>19050</xdr:colOff>
          <xdr:row>17</xdr:row>
          <xdr:rowOff>19050</xdr:rowOff>
        </xdr:to>
        <xdr:sp macro="" textlink="">
          <xdr:nvSpPr>
            <xdr:cNvPr id="24581" name="Drop Down 5" hidden="1">
              <a:extLst>
                <a:ext uri="{63B3BB69-23CF-44E3-9099-C40C66FF867C}">
                  <a14:compatExt spid="_x0000_s24581"/>
                </a:ext>
                <a:ext uri="{FF2B5EF4-FFF2-40B4-BE49-F238E27FC236}">
                  <a16:creationId xmlns:a16="http://schemas.microsoft.com/office/drawing/2014/main" id="{00000000-0008-0000-0A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12</xdr:col>
          <xdr:colOff>19050</xdr:colOff>
          <xdr:row>16</xdr:row>
          <xdr:rowOff>0</xdr:rowOff>
        </xdr:to>
        <xdr:sp macro="" textlink="">
          <xdr:nvSpPr>
            <xdr:cNvPr id="24582" name="Drop Down 6" hidden="1">
              <a:extLst>
                <a:ext uri="{63B3BB69-23CF-44E3-9099-C40C66FF867C}">
                  <a14:compatExt spid="_x0000_s24582"/>
                </a:ext>
                <a:ext uri="{FF2B5EF4-FFF2-40B4-BE49-F238E27FC236}">
                  <a16:creationId xmlns:a16="http://schemas.microsoft.com/office/drawing/2014/main" id="{00000000-0008-0000-0A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12</xdr:col>
          <xdr:colOff>19050</xdr:colOff>
          <xdr:row>17</xdr:row>
          <xdr:rowOff>0</xdr:rowOff>
        </xdr:to>
        <xdr:sp macro="" textlink="">
          <xdr:nvSpPr>
            <xdr:cNvPr id="24583" name="Drop Down 7" hidden="1">
              <a:extLst>
                <a:ext uri="{63B3BB69-23CF-44E3-9099-C40C66FF867C}">
                  <a14:compatExt spid="_x0000_s24583"/>
                </a:ext>
                <a:ext uri="{FF2B5EF4-FFF2-40B4-BE49-F238E27FC236}">
                  <a16:creationId xmlns:a16="http://schemas.microsoft.com/office/drawing/2014/main" id="{00000000-0008-0000-0A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0</xdr:rowOff>
        </xdr:from>
        <xdr:to>
          <xdr:col>16</xdr:col>
          <xdr:colOff>19050</xdr:colOff>
          <xdr:row>16</xdr:row>
          <xdr:rowOff>0</xdr:rowOff>
        </xdr:to>
        <xdr:sp macro="" textlink="">
          <xdr:nvSpPr>
            <xdr:cNvPr id="24585" name="Drop Down 9" hidden="1">
              <a:extLst>
                <a:ext uri="{63B3BB69-23CF-44E3-9099-C40C66FF867C}">
                  <a14:compatExt spid="_x0000_s24585"/>
                </a:ext>
                <a:ext uri="{FF2B5EF4-FFF2-40B4-BE49-F238E27FC236}">
                  <a16:creationId xmlns:a16="http://schemas.microsoft.com/office/drawing/2014/main" id="{00000000-0008-0000-0A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0</xdr:rowOff>
        </xdr:from>
        <xdr:to>
          <xdr:col>16</xdr:col>
          <xdr:colOff>19050</xdr:colOff>
          <xdr:row>17</xdr:row>
          <xdr:rowOff>0</xdr:rowOff>
        </xdr:to>
        <xdr:sp macro="" textlink="">
          <xdr:nvSpPr>
            <xdr:cNvPr id="24586" name="Drop Down 10" hidden="1">
              <a:extLst>
                <a:ext uri="{63B3BB69-23CF-44E3-9099-C40C66FF867C}">
                  <a14:compatExt spid="_x0000_s24586"/>
                </a:ext>
                <a:ext uri="{FF2B5EF4-FFF2-40B4-BE49-F238E27FC236}">
                  <a16:creationId xmlns:a16="http://schemas.microsoft.com/office/drawing/2014/main" id="{00000000-0008-0000-0A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19050</xdr:colOff>
          <xdr:row>16</xdr:row>
          <xdr:rowOff>0</xdr:rowOff>
        </xdr:to>
        <xdr:sp macro="" textlink="">
          <xdr:nvSpPr>
            <xdr:cNvPr id="24588" name="Drop Down 12" hidden="1">
              <a:extLst>
                <a:ext uri="{63B3BB69-23CF-44E3-9099-C40C66FF867C}">
                  <a14:compatExt spid="_x0000_s24588"/>
                </a:ext>
                <a:ext uri="{FF2B5EF4-FFF2-40B4-BE49-F238E27FC236}">
                  <a16:creationId xmlns:a16="http://schemas.microsoft.com/office/drawing/2014/main" id="{00000000-0008-0000-0A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19050</xdr:colOff>
          <xdr:row>17</xdr:row>
          <xdr:rowOff>0</xdr:rowOff>
        </xdr:to>
        <xdr:sp macro="" textlink="">
          <xdr:nvSpPr>
            <xdr:cNvPr id="24589" name="Drop Down 13" hidden="1">
              <a:extLst>
                <a:ext uri="{63B3BB69-23CF-44E3-9099-C40C66FF867C}">
                  <a14:compatExt spid="_x0000_s24589"/>
                </a:ext>
                <a:ext uri="{FF2B5EF4-FFF2-40B4-BE49-F238E27FC236}">
                  <a16:creationId xmlns:a16="http://schemas.microsoft.com/office/drawing/2014/main" id="{00000000-0008-0000-0A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190500</xdr:rowOff>
        </xdr:from>
        <xdr:to>
          <xdr:col>3</xdr:col>
          <xdr:colOff>561975</xdr:colOff>
          <xdr:row>45</xdr:row>
          <xdr:rowOff>190500</xdr:rowOff>
        </xdr:to>
        <xdr:sp macro="" textlink="">
          <xdr:nvSpPr>
            <xdr:cNvPr id="24591" name="Drop Down 15" hidden="1">
              <a:extLst>
                <a:ext uri="{63B3BB69-23CF-44E3-9099-C40C66FF867C}">
                  <a14:compatExt spid="_x0000_s24591"/>
                </a:ext>
                <a:ext uri="{FF2B5EF4-FFF2-40B4-BE49-F238E27FC236}">
                  <a16:creationId xmlns:a16="http://schemas.microsoft.com/office/drawing/2014/main" id="{00000000-0008-0000-0A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3</xdr:col>
          <xdr:colOff>561975</xdr:colOff>
          <xdr:row>47</xdr:row>
          <xdr:rowOff>0</xdr:rowOff>
        </xdr:to>
        <xdr:sp macro="" textlink="">
          <xdr:nvSpPr>
            <xdr:cNvPr id="24592" name="Drop Down 16" hidden="1">
              <a:extLst>
                <a:ext uri="{63B3BB69-23CF-44E3-9099-C40C66FF867C}">
                  <a14:compatExt spid="_x0000_s24592"/>
                </a:ext>
                <a:ext uri="{FF2B5EF4-FFF2-40B4-BE49-F238E27FC236}">
                  <a16:creationId xmlns:a16="http://schemas.microsoft.com/office/drawing/2014/main" id="{00000000-0008-0000-0A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0</xdr:rowOff>
        </xdr:from>
        <xdr:to>
          <xdr:col>1</xdr:col>
          <xdr:colOff>1790700</xdr:colOff>
          <xdr:row>19</xdr:row>
          <xdr:rowOff>0</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0A00-00001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0</xdr:rowOff>
        </xdr:from>
        <xdr:to>
          <xdr:col>1</xdr:col>
          <xdr:colOff>847725</xdr:colOff>
          <xdr:row>11</xdr:row>
          <xdr:rowOff>0</xdr:rowOff>
        </xdr:to>
        <xdr:sp macro="" textlink="">
          <xdr:nvSpPr>
            <xdr:cNvPr id="24602" name="Drop Down 26" hidden="1">
              <a:extLst>
                <a:ext uri="{63B3BB69-23CF-44E3-9099-C40C66FF867C}">
                  <a14:compatExt spid="_x0000_s24602"/>
                </a:ext>
                <a:ext uri="{FF2B5EF4-FFF2-40B4-BE49-F238E27FC236}">
                  <a16:creationId xmlns:a16="http://schemas.microsoft.com/office/drawing/2014/main" id="{00000000-0008-0000-0A00-00001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552450</xdr:colOff>
          <xdr:row>11</xdr:row>
          <xdr:rowOff>0</xdr:rowOff>
        </xdr:to>
        <xdr:sp macro="" textlink="">
          <xdr:nvSpPr>
            <xdr:cNvPr id="24603" name="Drop Down 27" hidden="1">
              <a:extLst>
                <a:ext uri="{63B3BB69-23CF-44E3-9099-C40C66FF867C}">
                  <a14:compatExt spid="_x0000_s24603"/>
                </a:ext>
                <a:ext uri="{FF2B5EF4-FFF2-40B4-BE49-F238E27FC236}">
                  <a16:creationId xmlns:a16="http://schemas.microsoft.com/office/drawing/2014/main" id="{00000000-0008-0000-0A00-00001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552450</xdr:colOff>
          <xdr:row>19</xdr:row>
          <xdr:rowOff>0</xdr:rowOff>
        </xdr:to>
        <xdr:sp macro="" textlink="">
          <xdr:nvSpPr>
            <xdr:cNvPr id="24604" name="Drop Down 28" hidden="1">
              <a:extLst>
                <a:ext uri="{63B3BB69-23CF-44E3-9099-C40C66FF867C}">
                  <a14:compatExt spid="_x0000_s24604"/>
                </a:ext>
                <a:ext uri="{FF2B5EF4-FFF2-40B4-BE49-F238E27FC236}">
                  <a16:creationId xmlns:a16="http://schemas.microsoft.com/office/drawing/2014/main" id="{00000000-0008-0000-0A00-00001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19050</xdr:colOff>
          <xdr:row>19</xdr:row>
          <xdr:rowOff>0</xdr:rowOff>
        </xdr:to>
        <xdr:sp macro="" textlink="">
          <xdr:nvSpPr>
            <xdr:cNvPr id="24605" name="Drop Down 29" hidden="1">
              <a:extLst>
                <a:ext uri="{63B3BB69-23CF-44E3-9099-C40C66FF867C}">
                  <a14:compatExt spid="_x0000_s24605"/>
                </a:ext>
                <a:ext uri="{FF2B5EF4-FFF2-40B4-BE49-F238E27FC236}">
                  <a16:creationId xmlns:a16="http://schemas.microsoft.com/office/drawing/2014/main" id="{00000000-0008-0000-0A00-00001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190500</xdr:rowOff>
        </xdr:from>
        <xdr:to>
          <xdr:col>12</xdr:col>
          <xdr:colOff>19050</xdr:colOff>
          <xdr:row>18</xdr:row>
          <xdr:rowOff>190500</xdr:rowOff>
        </xdr:to>
        <xdr:sp macro="" textlink="">
          <xdr:nvSpPr>
            <xdr:cNvPr id="24606" name="Drop Down 30" hidden="1">
              <a:extLst>
                <a:ext uri="{63B3BB69-23CF-44E3-9099-C40C66FF867C}">
                  <a14:compatExt spid="_x0000_s24606"/>
                </a:ext>
                <a:ext uri="{FF2B5EF4-FFF2-40B4-BE49-F238E27FC236}">
                  <a16:creationId xmlns:a16="http://schemas.microsoft.com/office/drawing/2014/main" id="{00000000-0008-0000-0A00-00001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xdr:row>
          <xdr:rowOff>0</xdr:rowOff>
        </xdr:from>
        <xdr:to>
          <xdr:col>16</xdr:col>
          <xdr:colOff>19050</xdr:colOff>
          <xdr:row>19</xdr:row>
          <xdr:rowOff>0</xdr:rowOff>
        </xdr:to>
        <xdr:sp macro="" textlink="">
          <xdr:nvSpPr>
            <xdr:cNvPr id="24607" name="Drop Down 31" hidden="1">
              <a:extLst>
                <a:ext uri="{63B3BB69-23CF-44E3-9099-C40C66FF867C}">
                  <a14:compatExt spid="_x0000_s24607"/>
                </a:ext>
                <a:ext uri="{FF2B5EF4-FFF2-40B4-BE49-F238E27FC236}">
                  <a16:creationId xmlns:a16="http://schemas.microsoft.com/office/drawing/2014/main" id="{00000000-0008-0000-0A00-00001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20</xdr:col>
          <xdr:colOff>19050</xdr:colOff>
          <xdr:row>19</xdr:row>
          <xdr:rowOff>0</xdr:rowOff>
        </xdr:to>
        <xdr:sp macro="" textlink="">
          <xdr:nvSpPr>
            <xdr:cNvPr id="24608" name="Drop Down 32" hidden="1">
              <a:extLst>
                <a:ext uri="{63B3BB69-23CF-44E3-9099-C40C66FF867C}">
                  <a14:compatExt spid="_x0000_s24608"/>
                </a:ext>
                <a:ext uri="{FF2B5EF4-FFF2-40B4-BE49-F238E27FC236}">
                  <a16:creationId xmlns:a16="http://schemas.microsoft.com/office/drawing/2014/main" id="{00000000-0008-0000-0A00-00002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3</xdr:col>
          <xdr:colOff>561975</xdr:colOff>
          <xdr:row>49</xdr:row>
          <xdr:rowOff>0</xdr:rowOff>
        </xdr:to>
        <xdr:sp macro="" textlink="">
          <xdr:nvSpPr>
            <xdr:cNvPr id="24609" name="Drop Down 33" hidden="1">
              <a:extLst>
                <a:ext uri="{63B3BB69-23CF-44E3-9099-C40C66FF867C}">
                  <a14:compatExt spid="_x0000_s24609"/>
                </a:ext>
                <a:ext uri="{FF2B5EF4-FFF2-40B4-BE49-F238E27FC236}">
                  <a16:creationId xmlns:a16="http://schemas.microsoft.com/office/drawing/2014/main" id="{00000000-0008-0000-0A00-00002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19050</xdr:colOff>
          <xdr:row>11</xdr:row>
          <xdr:rowOff>0</xdr:rowOff>
        </xdr:to>
        <xdr:sp macro="" textlink="">
          <xdr:nvSpPr>
            <xdr:cNvPr id="24610" name="Drop Down 34" hidden="1">
              <a:extLst>
                <a:ext uri="{63B3BB69-23CF-44E3-9099-C40C66FF867C}">
                  <a14:compatExt spid="_x0000_s24610"/>
                </a:ext>
                <a:ext uri="{FF2B5EF4-FFF2-40B4-BE49-F238E27FC236}">
                  <a16:creationId xmlns:a16="http://schemas.microsoft.com/office/drawing/2014/main" id="{00000000-0008-0000-0A00-00002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9</xdr:row>
          <xdr:rowOff>190500</xdr:rowOff>
        </xdr:from>
        <xdr:to>
          <xdr:col>12</xdr:col>
          <xdr:colOff>19050</xdr:colOff>
          <xdr:row>10</xdr:row>
          <xdr:rowOff>190500</xdr:rowOff>
        </xdr:to>
        <xdr:sp macro="" textlink="">
          <xdr:nvSpPr>
            <xdr:cNvPr id="24611" name="Drop Down 35" hidden="1">
              <a:extLst>
                <a:ext uri="{63B3BB69-23CF-44E3-9099-C40C66FF867C}">
                  <a14:compatExt spid="_x0000_s24611"/>
                </a:ext>
                <a:ext uri="{FF2B5EF4-FFF2-40B4-BE49-F238E27FC236}">
                  <a16:creationId xmlns:a16="http://schemas.microsoft.com/office/drawing/2014/main" id="{00000000-0008-0000-0A00-00002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xdr:row>
          <xdr:rowOff>19050</xdr:rowOff>
        </xdr:from>
        <xdr:to>
          <xdr:col>16</xdr:col>
          <xdr:colOff>19050</xdr:colOff>
          <xdr:row>11</xdr:row>
          <xdr:rowOff>19050</xdr:rowOff>
        </xdr:to>
        <xdr:sp macro="" textlink="">
          <xdr:nvSpPr>
            <xdr:cNvPr id="24612" name="Drop Down 36" hidden="1">
              <a:extLst>
                <a:ext uri="{63B3BB69-23CF-44E3-9099-C40C66FF867C}">
                  <a14:compatExt spid="_x0000_s24612"/>
                </a:ext>
                <a:ext uri="{FF2B5EF4-FFF2-40B4-BE49-F238E27FC236}">
                  <a16:creationId xmlns:a16="http://schemas.microsoft.com/office/drawing/2014/main" id="{00000000-0008-0000-0A00-00002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xdr:row>
          <xdr:rowOff>0</xdr:rowOff>
        </xdr:from>
        <xdr:to>
          <xdr:col>20</xdr:col>
          <xdr:colOff>19050</xdr:colOff>
          <xdr:row>11</xdr:row>
          <xdr:rowOff>0</xdr:rowOff>
        </xdr:to>
        <xdr:sp macro="" textlink="">
          <xdr:nvSpPr>
            <xdr:cNvPr id="24613" name="Drop Down 37" hidden="1">
              <a:extLst>
                <a:ext uri="{63B3BB69-23CF-44E3-9099-C40C66FF867C}">
                  <a14:compatExt spid="_x0000_s24613"/>
                </a:ext>
                <a:ext uri="{FF2B5EF4-FFF2-40B4-BE49-F238E27FC236}">
                  <a16:creationId xmlns:a16="http://schemas.microsoft.com/office/drawing/2014/main" id="{00000000-0008-0000-0A00-00002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3</xdr:col>
          <xdr:colOff>561975</xdr:colOff>
          <xdr:row>41</xdr:row>
          <xdr:rowOff>0</xdr:rowOff>
        </xdr:to>
        <xdr:sp macro="" textlink="">
          <xdr:nvSpPr>
            <xdr:cNvPr id="24614" name="Drop Down 38" hidden="1">
              <a:extLst>
                <a:ext uri="{63B3BB69-23CF-44E3-9099-C40C66FF867C}">
                  <a14:compatExt spid="_x0000_s24614"/>
                </a:ext>
                <a:ext uri="{FF2B5EF4-FFF2-40B4-BE49-F238E27FC236}">
                  <a16:creationId xmlns:a16="http://schemas.microsoft.com/office/drawing/2014/main" id="{00000000-0008-0000-0A00-00002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190500</xdr:rowOff>
        </xdr:from>
        <xdr:to>
          <xdr:col>8</xdr:col>
          <xdr:colOff>19050</xdr:colOff>
          <xdr:row>45</xdr:row>
          <xdr:rowOff>190500</xdr:rowOff>
        </xdr:to>
        <xdr:sp macro="" textlink="">
          <xdr:nvSpPr>
            <xdr:cNvPr id="24621" name="Drop Down 45" hidden="1">
              <a:extLst>
                <a:ext uri="{63B3BB69-23CF-44E3-9099-C40C66FF867C}">
                  <a14:compatExt spid="_x0000_s24621"/>
                </a:ext>
                <a:ext uri="{FF2B5EF4-FFF2-40B4-BE49-F238E27FC236}">
                  <a16:creationId xmlns:a16="http://schemas.microsoft.com/office/drawing/2014/main" id="{00000000-0008-0000-0A00-00002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8</xdr:col>
          <xdr:colOff>19050</xdr:colOff>
          <xdr:row>47</xdr:row>
          <xdr:rowOff>0</xdr:rowOff>
        </xdr:to>
        <xdr:sp macro="" textlink="">
          <xdr:nvSpPr>
            <xdr:cNvPr id="24622" name="Drop Down 46" hidden="1">
              <a:extLst>
                <a:ext uri="{63B3BB69-23CF-44E3-9099-C40C66FF867C}">
                  <a14:compatExt spid="_x0000_s24622"/>
                </a:ext>
                <a:ext uri="{FF2B5EF4-FFF2-40B4-BE49-F238E27FC236}">
                  <a16:creationId xmlns:a16="http://schemas.microsoft.com/office/drawing/2014/main" id="{00000000-0008-0000-0A00-00002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19050</xdr:colOff>
          <xdr:row>49</xdr:row>
          <xdr:rowOff>0</xdr:rowOff>
        </xdr:to>
        <xdr:sp macro="" textlink="">
          <xdr:nvSpPr>
            <xdr:cNvPr id="24623" name="Drop Down 47" hidden="1">
              <a:extLst>
                <a:ext uri="{63B3BB69-23CF-44E3-9099-C40C66FF867C}">
                  <a14:compatExt spid="_x0000_s24623"/>
                </a:ext>
                <a:ext uri="{FF2B5EF4-FFF2-40B4-BE49-F238E27FC236}">
                  <a16:creationId xmlns:a16="http://schemas.microsoft.com/office/drawing/2014/main" id="{00000000-0008-0000-0A00-00002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8</xdr:col>
          <xdr:colOff>19050</xdr:colOff>
          <xdr:row>41</xdr:row>
          <xdr:rowOff>0</xdr:rowOff>
        </xdr:to>
        <xdr:sp macro="" textlink="">
          <xdr:nvSpPr>
            <xdr:cNvPr id="24624" name="Drop Down 48" hidden="1">
              <a:extLst>
                <a:ext uri="{63B3BB69-23CF-44E3-9099-C40C66FF867C}">
                  <a14:compatExt spid="_x0000_s24624"/>
                </a:ext>
                <a:ext uri="{FF2B5EF4-FFF2-40B4-BE49-F238E27FC236}">
                  <a16:creationId xmlns:a16="http://schemas.microsoft.com/office/drawing/2014/main" id="{00000000-0008-0000-0A00-00003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44</xdr:row>
          <xdr:rowOff>190500</xdr:rowOff>
        </xdr:from>
        <xdr:to>
          <xdr:col>12</xdr:col>
          <xdr:colOff>19050</xdr:colOff>
          <xdr:row>45</xdr:row>
          <xdr:rowOff>190500</xdr:rowOff>
        </xdr:to>
        <xdr:sp macro="" textlink="">
          <xdr:nvSpPr>
            <xdr:cNvPr id="24625" name="Drop Down 49" hidden="1">
              <a:extLst>
                <a:ext uri="{63B3BB69-23CF-44E3-9099-C40C66FF867C}">
                  <a14:compatExt spid="_x0000_s24625"/>
                </a:ext>
                <a:ext uri="{FF2B5EF4-FFF2-40B4-BE49-F238E27FC236}">
                  <a16:creationId xmlns:a16="http://schemas.microsoft.com/office/drawing/2014/main" id="{00000000-0008-0000-0A00-00003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46</xdr:row>
          <xdr:rowOff>0</xdr:rowOff>
        </xdr:from>
        <xdr:to>
          <xdr:col>12</xdr:col>
          <xdr:colOff>19050</xdr:colOff>
          <xdr:row>47</xdr:row>
          <xdr:rowOff>0</xdr:rowOff>
        </xdr:to>
        <xdr:sp macro="" textlink="">
          <xdr:nvSpPr>
            <xdr:cNvPr id="24626" name="Drop Down 50" hidden="1">
              <a:extLst>
                <a:ext uri="{63B3BB69-23CF-44E3-9099-C40C66FF867C}">
                  <a14:compatExt spid="_x0000_s24626"/>
                </a:ext>
                <a:ext uri="{FF2B5EF4-FFF2-40B4-BE49-F238E27FC236}">
                  <a16:creationId xmlns:a16="http://schemas.microsoft.com/office/drawing/2014/main" id="{00000000-0008-0000-0A00-00003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48</xdr:row>
          <xdr:rowOff>0</xdr:rowOff>
        </xdr:from>
        <xdr:to>
          <xdr:col>12</xdr:col>
          <xdr:colOff>19050</xdr:colOff>
          <xdr:row>49</xdr:row>
          <xdr:rowOff>0</xdr:rowOff>
        </xdr:to>
        <xdr:sp macro="" textlink="">
          <xdr:nvSpPr>
            <xdr:cNvPr id="24627" name="Drop Down 51" hidden="1">
              <a:extLst>
                <a:ext uri="{63B3BB69-23CF-44E3-9099-C40C66FF867C}">
                  <a14:compatExt spid="_x0000_s24627"/>
                </a:ext>
                <a:ext uri="{FF2B5EF4-FFF2-40B4-BE49-F238E27FC236}">
                  <a16:creationId xmlns:a16="http://schemas.microsoft.com/office/drawing/2014/main" id="{00000000-0008-0000-0A00-00003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40</xdr:row>
          <xdr:rowOff>0</xdr:rowOff>
        </xdr:from>
        <xdr:to>
          <xdr:col>12</xdr:col>
          <xdr:colOff>19050</xdr:colOff>
          <xdr:row>41</xdr:row>
          <xdr:rowOff>0</xdr:rowOff>
        </xdr:to>
        <xdr:sp macro="" textlink="">
          <xdr:nvSpPr>
            <xdr:cNvPr id="24628" name="Drop Down 52" hidden="1">
              <a:extLst>
                <a:ext uri="{63B3BB69-23CF-44E3-9099-C40C66FF867C}">
                  <a14:compatExt spid="_x0000_s24628"/>
                </a:ext>
                <a:ext uri="{FF2B5EF4-FFF2-40B4-BE49-F238E27FC236}">
                  <a16:creationId xmlns:a16="http://schemas.microsoft.com/office/drawing/2014/main" id="{00000000-0008-0000-0A00-00003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190500</xdr:rowOff>
        </xdr:from>
        <xdr:to>
          <xdr:col>16</xdr:col>
          <xdr:colOff>19050</xdr:colOff>
          <xdr:row>45</xdr:row>
          <xdr:rowOff>190500</xdr:rowOff>
        </xdr:to>
        <xdr:sp macro="" textlink="">
          <xdr:nvSpPr>
            <xdr:cNvPr id="24629" name="Drop Down 53" hidden="1">
              <a:extLst>
                <a:ext uri="{63B3BB69-23CF-44E3-9099-C40C66FF867C}">
                  <a14:compatExt spid="_x0000_s24629"/>
                </a:ext>
                <a:ext uri="{FF2B5EF4-FFF2-40B4-BE49-F238E27FC236}">
                  <a16:creationId xmlns:a16="http://schemas.microsoft.com/office/drawing/2014/main" id="{00000000-0008-0000-0A00-00003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46</xdr:row>
          <xdr:rowOff>0</xdr:rowOff>
        </xdr:from>
        <xdr:to>
          <xdr:col>16</xdr:col>
          <xdr:colOff>19050</xdr:colOff>
          <xdr:row>47</xdr:row>
          <xdr:rowOff>0</xdr:rowOff>
        </xdr:to>
        <xdr:sp macro="" textlink="">
          <xdr:nvSpPr>
            <xdr:cNvPr id="24630" name="Drop Down 54" hidden="1">
              <a:extLst>
                <a:ext uri="{63B3BB69-23CF-44E3-9099-C40C66FF867C}">
                  <a14:compatExt spid="_x0000_s24630"/>
                </a:ext>
                <a:ext uri="{FF2B5EF4-FFF2-40B4-BE49-F238E27FC236}">
                  <a16:creationId xmlns:a16="http://schemas.microsoft.com/office/drawing/2014/main" id="{00000000-0008-0000-0A00-00003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48</xdr:row>
          <xdr:rowOff>0</xdr:rowOff>
        </xdr:from>
        <xdr:to>
          <xdr:col>16</xdr:col>
          <xdr:colOff>19050</xdr:colOff>
          <xdr:row>49</xdr:row>
          <xdr:rowOff>0</xdr:rowOff>
        </xdr:to>
        <xdr:sp macro="" textlink="">
          <xdr:nvSpPr>
            <xdr:cNvPr id="24631" name="Drop Down 55" hidden="1">
              <a:extLst>
                <a:ext uri="{63B3BB69-23CF-44E3-9099-C40C66FF867C}">
                  <a14:compatExt spid="_x0000_s24631"/>
                </a:ext>
                <a:ext uri="{FF2B5EF4-FFF2-40B4-BE49-F238E27FC236}">
                  <a16:creationId xmlns:a16="http://schemas.microsoft.com/office/drawing/2014/main" id="{00000000-0008-0000-0A00-00003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40</xdr:row>
          <xdr:rowOff>0</xdr:rowOff>
        </xdr:from>
        <xdr:to>
          <xdr:col>16</xdr:col>
          <xdr:colOff>19050</xdr:colOff>
          <xdr:row>41</xdr:row>
          <xdr:rowOff>0</xdr:rowOff>
        </xdr:to>
        <xdr:sp macro="" textlink="">
          <xdr:nvSpPr>
            <xdr:cNvPr id="24632" name="Drop Down 56" hidden="1">
              <a:extLst>
                <a:ext uri="{63B3BB69-23CF-44E3-9099-C40C66FF867C}">
                  <a14:compatExt spid="_x0000_s24632"/>
                </a:ext>
                <a:ext uri="{FF2B5EF4-FFF2-40B4-BE49-F238E27FC236}">
                  <a16:creationId xmlns:a16="http://schemas.microsoft.com/office/drawing/2014/main" id="{00000000-0008-0000-0A00-00003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44</xdr:row>
          <xdr:rowOff>190500</xdr:rowOff>
        </xdr:from>
        <xdr:to>
          <xdr:col>20</xdr:col>
          <xdr:colOff>19050</xdr:colOff>
          <xdr:row>45</xdr:row>
          <xdr:rowOff>190500</xdr:rowOff>
        </xdr:to>
        <xdr:sp macro="" textlink="">
          <xdr:nvSpPr>
            <xdr:cNvPr id="24633" name="Drop Down 57" hidden="1">
              <a:extLst>
                <a:ext uri="{63B3BB69-23CF-44E3-9099-C40C66FF867C}">
                  <a14:compatExt spid="_x0000_s24633"/>
                </a:ext>
                <a:ext uri="{FF2B5EF4-FFF2-40B4-BE49-F238E27FC236}">
                  <a16:creationId xmlns:a16="http://schemas.microsoft.com/office/drawing/2014/main" id="{00000000-0008-0000-0A00-00003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46</xdr:row>
          <xdr:rowOff>0</xdr:rowOff>
        </xdr:from>
        <xdr:to>
          <xdr:col>20</xdr:col>
          <xdr:colOff>19050</xdr:colOff>
          <xdr:row>47</xdr:row>
          <xdr:rowOff>0</xdr:rowOff>
        </xdr:to>
        <xdr:sp macro="" textlink="">
          <xdr:nvSpPr>
            <xdr:cNvPr id="24634" name="Drop Down 58" hidden="1">
              <a:extLst>
                <a:ext uri="{63B3BB69-23CF-44E3-9099-C40C66FF867C}">
                  <a14:compatExt spid="_x0000_s24634"/>
                </a:ext>
                <a:ext uri="{FF2B5EF4-FFF2-40B4-BE49-F238E27FC236}">
                  <a16:creationId xmlns:a16="http://schemas.microsoft.com/office/drawing/2014/main" id="{00000000-0008-0000-0A00-00003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48</xdr:row>
          <xdr:rowOff>0</xdr:rowOff>
        </xdr:from>
        <xdr:to>
          <xdr:col>20</xdr:col>
          <xdr:colOff>19050</xdr:colOff>
          <xdr:row>49</xdr:row>
          <xdr:rowOff>0</xdr:rowOff>
        </xdr:to>
        <xdr:sp macro="" textlink="">
          <xdr:nvSpPr>
            <xdr:cNvPr id="24635" name="Drop Down 59" hidden="1">
              <a:extLst>
                <a:ext uri="{63B3BB69-23CF-44E3-9099-C40C66FF867C}">
                  <a14:compatExt spid="_x0000_s24635"/>
                </a:ext>
                <a:ext uri="{FF2B5EF4-FFF2-40B4-BE49-F238E27FC236}">
                  <a16:creationId xmlns:a16="http://schemas.microsoft.com/office/drawing/2014/main" id="{00000000-0008-0000-0A00-00003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40</xdr:row>
          <xdr:rowOff>0</xdr:rowOff>
        </xdr:from>
        <xdr:to>
          <xdr:col>20</xdr:col>
          <xdr:colOff>19050</xdr:colOff>
          <xdr:row>41</xdr:row>
          <xdr:rowOff>0</xdr:rowOff>
        </xdr:to>
        <xdr:sp macro="" textlink="">
          <xdr:nvSpPr>
            <xdr:cNvPr id="24636" name="Drop Down 60" hidden="1">
              <a:extLst>
                <a:ext uri="{63B3BB69-23CF-44E3-9099-C40C66FF867C}">
                  <a14:compatExt spid="_x0000_s24636"/>
                </a:ext>
                <a:ext uri="{FF2B5EF4-FFF2-40B4-BE49-F238E27FC236}">
                  <a16:creationId xmlns:a16="http://schemas.microsoft.com/office/drawing/2014/main" id="{00000000-0008-0000-0A00-00003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48</xdr:row>
          <xdr:rowOff>0</xdr:rowOff>
        </xdr:from>
        <xdr:to>
          <xdr:col>1</xdr:col>
          <xdr:colOff>1790700</xdr:colOff>
          <xdr:row>49</xdr:row>
          <xdr:rowOff>0</xdr:rowOff>
        </xdr:to>
        <xdr:sp macro="" textlink="">
          <xdr:nvSpPr>
            <xdr:cNvPr id="24637" name="Drop Down 61" hidden="1">
              <a:extLst>
                <a:ext uri="{63B3BB69-23CF-44E3-9099-C40C66FF867C}">
                  <a14:compatExt spid="_x0000_s24637"/>
                </a:ext>
                <a:ext uri="{FF2B5EF4-FFF2-40B4-BE49-F238E27FC236}">
                  <a16:creationId xmlns:a16="http://schemas.microsoft.com/office/drawing/2014/main" id="{00000000-0008-0000-0A00-00003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847725</xdr:colOff>
          <xdr:row>41</xdr:row>
          <xdr:rowOff>0</xdr:rowOff>
        </xdr:to>
        <xdr:sp macro="" textlink="">
          <xdr:nvSpPr>
            <xdr:cNvPr id="24638" name="Drop Down 62" hidden="1">
              <a:extLst>
                <a:ext uri="{63B3BB69-23CF-44E3-9099-C40C66FF867C}">
                  <a14:compatExt spid="_x0000_s24638"/>
                </a:ext>
                <a:ext uri="{FF2B5EF4-FFF2-40B4-BE49-F238E27FC236}">
                  <a16:creationId xmlns:a16="http://schemas.microsoft.com/office/drawing/2014/main" id="{00000000-0008-0000-0A00-00003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75</xdr:row>
          <xdr:rowOff>19050</xdr:rowOff>
        </xdr:from>
        <xdr:to>
          <xdr:col>3</xdr:col>
          <xdr:colOff>552450</xdr:colOff>
          <xdr:row>76</xdr:row>
          <xdr:rowOff>19050</xdr:rowOff>
        </xdr:to>
        <xdr:sp macro="" textlink="">
          <xdr:nvSpPr>
            <xdr:cNvPr id="24639" name="Drop Down 63" hidden="1">
              <a:extLst>
                <a:ext uri="{63B3BB69-23CF-44E3-9099-C40C66FF867C}">
                  <a14:compatExt spid="_x0000_s24639"/>
                </a:ext>
                <a:ext uri="{FF2B5EF4-FFF2-40B4-BE49-F238E27FC236}">
                  <a16:creationId xmlns:a16="http://schemas.microsoft.com/office/drawing/2014/main" id="{00000000-0008-0000-0A00-00003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76</xdr:row>
          <xdr:rowOff>19050</xdr:rowOff>
        </xdr:from>
        <xdr:to>
          <xdr:col>3</xdr:col>
          <xdr:colOff>552450</xdr:colOff>
          <xdr:row>77</xdr:row>
          <xdr:rowOff>19050</xdr:rowOff>
        </xdr:to>
        <xdr:sp macro="" textlink="">
          <xdr:nvSpPr>
            <xdr:cNvPr id="24640" name="Drop Down 64" hidden="1">
              <a:extLst>
                <a:ext uri="{63B3BB69-23CF-44E3-9099-C40C66FF867C}">
                  <a14:compatExt spid="_x0000_s24640"/>
                </a:ext>
                <a:ext uri="{FF2B5EF4-FFF2-40B4-BE49-F238E27FC236}">
                  <a16:creationId xmlns:a16="http://schemas.microsoft.com/office/drawing/2014/main" id="{00000000-0008-0000-0A00-00004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75</xdr:row>
          <xdr:rowOff>19050</xdr:rowOff>
        </xdr:from>
        <xdr:to>
          <xdr:col>8</xdr:col>
          <xdr:colOff>19050</xdr:colOff>
          <xdr:row>76</xdr:row>
          <xdr:rowOff>19050</xdr:rowOff>
        </xdr:to>
        <xdr:sp macro="" textlink="">
          <xdr:nvSpPr>
            <xdr:cNvPr id="24641" name="Drop Down 65" hidden="1">
              <a:extLst>
                <a:ext uri="{63B3BB69-23CF-44E3-9099-C40C66FF867C}">
                  <a14:compatExt spid="_x0000_s24641"/>
                </a:ext>
                <a:ext uri="{FF2B5EF4-FFF2-40B4-BE49-F238E27FC236}">
                  <a16:creationId xmlns:a16="http://schemas.microsoft.com/office/drawing/2014/main" id="{00000000-0008-0000-0A00-00004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76</xdr:row>
          <xdr:rowOff>19050</xdr:rowOff>
        </xdr:from>
        <xdr:to>
          <xdr:col>8</xdr:col>
          <xdr:colOff>19050</xdr:colOff>
          <xdr:row>77</xdr:row>
          <xdr:rowOff>19050</xdr:rowOff>
        </xdr:to>
        <xdr:sp macro="" textlink="">
          <xdr:nvSpPr>
            <xdr:cNvPr id="24642" name="Drop Down 66" hidden="1">
              <a:extLst>
                <a:ext uri="{63B3BB69-23CF-44E3-9099-C40C66FF867C}">
                  <a14:compatExt spid="_x0000_s24642"/>
                </a:ext>
                <a:ext uri="{FF2B5EF4-FFF2-40B4-BE49-F238E27FC236}">
                  <a16:creationId xmlns:a16="http://schemas.microsoft.com/office/drawing/2014/main" id="{00000000-0008-0000-0A00-00004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75</xdr:row>
          <xdr:rowOff>0</xdr:rowOff>
        </xdr:from>
        <xdr:to>
          <xdr:col>12</xdr:col>
          <xdr:colOff>19050</xdr:colOff>
          <xdr:row>76</xdr:row>
          <xdr:rowOff>0</xdr:rowOff>
        </xdr:to>
        <xdr:sp macro="" textlink="">
          <xdr:nvSpPr>
            <xdr:cNvPr id="24643" name="Drop Down 67" hidden="1">
              <a:extLst>
                <a:ext uri="{63B3BB69-23CF-44E3-9099-C40C66FF867C}">
                  <a14:compatExt spid="_x0000_s24643"/>
                </a:ext>
                <a:ext uri="{FF2B5EF4-FFF2-40B4-BE49-F238E27FC236}">
                  <a16:creationId xmlns:a16="http://schemas.microsoft.com/office/drawing/2014/main" id="{00000000-0008-0000-0A00-00004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76</xdr:row>
          <xdr:rowOff>0</xdr:rowOff>
        </xdr:from>
        <xdr:to>
          <xdr:col>12</xdr:col>
          <xdr:colOff>19050</xdr:colOff>
          <xdr:row>77</xdr:row>
          <xdr:rowOff>0</xdr:rowOff>
        </xdr:to>
        <xdr:sp macro="" textlink="">
          <xdr:nvSpPr>
            <xdr:cNvPr id="24644" name="Drop Down 68" hidden="1">
              <a:extLst>
                <a:ext uri="{63B3BB69-23CF-44E3-9099-C40C66FF867C}">
                  <a14:compatExt spid="_x0000_s24644"/>
                </a:ext>
                <a:ext uri="{FF2B5EF4-FFF2-40B4-BE49-F238E27FC236}">
                  <a16:creationId xmlns:a16="http://schemas.microsoft.com/office/drawing/2014/main" id="{00000000-0008-0000-0A00-00004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75</xdr:row>
          <xdr:rowOff>0</xdr:rowOff>
        </xdr:from>
        <xdr:to>
          <xdr:col>16</xdr:col>
          <xdr:colOff>19050</xdr:colOff>
          <xdr:row>76</xdr:row>
          <xdr:rowOff>0</xdr:rowOff>
        </xdr:to>
        <xdr:sp macro="" textlink="">
          <xdr:nvSpPr>
            <xdr:cNvPr id="24645" name="Drop Down 69" hidden="1">
              <a:extLst>
                <a:ext uri="{63B3BB69-23CF-44E3-9099-C40C66FF867C}">
                  <a14:compatExt spid="_x0000_s24645"/>
                </a:ext>
                <a:ext uri="{FF2B5EF4-FFF2-40B4-BE49-F238E27FC236}">
                  <a16:creationId xmlns:a16="http://schemas.microsoft.com/office/drawing/2014/main" id="{00000000-0008-0000-0A00-00004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19050</xdr:colOff>
          <xdr:row>77</xdr:row>
          <xdr:rowOff>0</xdr:rowOff>
        </xdr:to>
        <xdr:sp macro="" textlink="">
          <xdr:nvSpPr>
            <xdr:cNvPr id="24646" name="Drop Down 70" hidden="1">
              <a:extLst>
                <a:ext uri="{63B3BB69-23CF-44E3-9099-C40C66FF867C}">
                  <a14:compatExt spid="_x0000_s24646"/>
                </a:ext>
                <a:ext uri="{FF2B5EF4-FFF2-40B4-BE49-F238E27FC236}">
                  <a16:creationId xmlns:a16="http://schemas.microsoft.com/office/drawing/2014/main" id="{00000000-0008-0000-0A00-00004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75</xdr:row>
          <xdr:rowOff>0</xdr:rowOff>
        </xdr:from>
        <xdr:to>
          <xdr:col>20</xdr:col>
          <xdr:colOff>19050</xdr:colOff>
          <xdr:row>76</xdr:row>
          <xdr:rowOff>0</xdr:rowOff>
        </xdr:to>
        <xdr:sp macro="" textlink="">
          <xdr:nvSpPr>
            <xdr:cNvPr id="24647" name="Drop Down 71" hidden="1">
              <a:extLst>
                <a:ext uri="{63B3BB69-23CF-44E3-9099-C40C66FF867C}">
                  <a14:compatExt spid="_x0000_s24647"/>
                </a:ext>
                <a:ext uri="{FF2B5EF4-FFF2-40B4-BE49-F238E27FC236}">
                  <a16:creationId xmlns:a16="http://schemas.microsoft.com/office/drawing/2014/main" id="{00000000-0008-0000-0A00-00004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76</xdr:row>
          <xdr:rowOff>0</xdr:rowOff>
        </xdr:from>
        <xdr:to>
          <xdr:col>20</xdr:col>
          <xdr:colOff>19050</xdr:colOff>
          <xdr:row>77</xdr:row>
          <xdr:rowOff>0</xdr:rowOff>
        </xdr:to>
        <xdr:sp macro="" textlink="">
          <xdr:nvSpPr>
            <xdr:cNvPr id="24648" name="Drop Down 72" hidden="1">
              <a:extLst>
                <a:ext uri="{63B3BB69-23CF-44E3-9099-C40C66FF867C}">
                  <a14:compatExt spid="_x0000_s24648"/>
                </a:ext>
                <a:ext uri="{FF2B5EF4-FFF2-40B4-BE49-F238E27FC236}">
                  <a16:creationId xmlns:a16="http://schemas.microsoft.com/office/drawing/2014/main" id="{00000000-0008-0000-0A00-00004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78</xdr:row>
          <xdr:rowOff>0</xdr:rowOff>
        </xdr:from>
        <xdr:to>
          <xdr:col>1</xdr:col>
          <xdr:colOff>1790700</xdr:colOff>
          <xdr:row>79</xdr:row>
          <xdr:rowOff>0</xdr:rowOff>
        </xdr:to>
        <xdr:sp macro="" textlink="">
          <xdr:nvSpPr>
            <xdr:cNvPr id="24649" name="Drop Down 73" hidden="1">
              <a:extLst>
                <a:ext uri="{63B3BB69-23CF-44E3-9099-C40C66FF867C}">
                  <a14:compatExt spid="_x0000_s24649"/>
                </a:ext>
                <a:ext uri="{FF2B5EF4-FFF2-40B4-BE49-F238E27FC236}">
                  <a16:creationId xmlns:a16="http://schemas.microsoft.com/office/drawing/2014/main" id="{00000000-0008-0000-0A00-00004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70</xdr:row>
          <xdr:rowOff>0</xdr:rowOff>
        </xdr:from>
        <xdr:to>
          <xdr:col>1</xdr:col>
          <xdr:colOff>847725</xdr:colOff>
          <xdr:row>71</xdr:row>
          <xdr:rowOff>0</xdr:rowOff>
        </xdr:to>
        <xdr:sp macro="" textlink="">
          <xdr:nvSpPr>
            <xdr:cNvPr id="24650" name="Drop Down 74" hidden="1">
              <a:extLst>
                <a:ext uri="{63B3BB69-23CF-44E3-9099-C40C66FF867C}">
                  <a14:compatExt spid="_x0000_s24650"/>
                </a:ext>
                <a:ext uri="{FF2B5EF4-FFF2-40B4-BE49-F238E27FC236}">
                  <a16:creationId xmlns:a16="http://schemas.microsoft.com/office/drawing/2014/main" id="{00000000-0008-0000-0A00-00004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70</xdr:row>
          <xdr:rowOff>0</xdr:rowOff>
        </xdr:from>
        <xdr:to>
          <xdr:col>3</xdr:col>
          <xdr:colOff>552450</xdr:colOff>
          <xdr:row>71</xdr:row>
          <xdr:rowOff>0</xdr:rowOff>
        </xdr:to>
        <xdr:sp macro="" textlink="">
          <xdr:nvSpPr>
            <xdr:cNvPr id="24651" name="Drop Down 75" hidden="1">
              <a:extLst>
                <a:ext uri="{63B3BB69-23CF-44E3-9099-C40C66FF867C}">
                  <a14:compatExt spid="_x0000_s24651"/>
                </a:ext>
                <a:ext uri="{FF2B5EF4-FFF2-40B4-BE49-F238E27FC236}">
                  <a16:creationId xmlns:a16="http://schemas.microsoft.com/office/drawing/2014/main" id="{00000000-0008-0000-0A00-00004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78</xdr:row>
          <xdr:rowOff>0</xdr:rowOff>
        </xdr:from>
        <xdr:to>
          <xdr:col>3</xdr:col>
          <xdr:colOff>552450</xdr:colOff>
          <xdr:row>79</xdr:row>
          <xdr:rowOff>0</xdr:rowOff>
        </xdr:to>
        <xdr:sp macro="" textlink="">
          <xdr:nvSpPr>
            <xdr:cNvPr id="24652" name="Drop Down 76" hidden="1">
              <a:extLst>
                <a:ext uri="{63B3BB69-23CF-44E3-9099-C40C66FF867C}">
                  <a14:compatExt spid="_x0000_s24652"/>
                </a:ext>
                <a:ext uri="{FF2B5EF4-FFF2-40B4-BE49-F238E27FC236}">
                  <a16:creationId xmlns:a16="http://schemas.microsoft.com/office/drawing/2014/main" id="{00000000-0008-0000-0A00-00004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78</xdr:row>
          <xdr:rowOff>0</xdr:rowOff>
        </xdr:from>
        <xdr:to>
          <xdr:col>8</xdr:col>
          <xdr:colOff>19050</xdr:colOff>
          <xdr:row>79</xdr:row>
          <xdr:rowOff>0</xdr:rowOff>
        </xdr:to>
        <xdr:sp macro="" textlink="">
          <xdr:nvSpPr>
            <xdr:cNvPr id="24653" name="Drop Down 77" hidden="1">
              <a:extLst>
                <a:ext uri="{63B3BB69-23CF-44E3-9099-C40C66FF867C}">
                  <a14:compatExt spid="_x0000_s24653"/>
                </a:ext>
                <a:ext uri="{FF2B5EF4-FFF2-40B4-BE49-F238E27FC236}">
                  <a16:creationId xmlns:a16="http://schemas.microsoft.com/office/drawing/2014/main" id="{00000000-0008-0000-0A00-00004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77</xdr:row>
          <xdr:rowOff>190500</xdr:rowOff>
        </xdr:from>
        <xdr:to>
          <xdr:col>12</xdr:col>
          <xdr:colOff>19050</xdr:colOff>
          <xdr:row>78</xdr:row>
          <xdr:rowOff>190500</xdr:rowOff>
        </xdr:to>
        <xdr:sp macro="" textlink="">
          <xdr:nvSpPr>
            <xdr:cNvPr id="24654" name="Drop Down 78" hidden="1">
              <a:extLst>
                <a:ext uri="{63B3BB69-23CF-44E3-9099-C40C66FF867C}">
                  <a14:compatExt spid="_x0000_s24654"/>
                </a:ext>
                <a:ext uri="{FF2B5EF4-FFF2-40B4-BE49-F238E27FC236}">
                  <a16:creationId xmlns:a16="http://schemas.microsoft.com/office/drawing/2014/main" id="{00000000-0008-0000-0A00-00004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78</xdr:row>
          <xdr:rowOff>0</xdr:rowOff>
        </xdr:from>
        <xdr:to>
          <xdr:col>16</xdr:col>
          <xdr:colOff>19050</xdr:colOff>
          <xdr:row>79</xdr:row>
          <xdr:rowOff>0</xdr:rowOff>
        </xdr:to>
        <xdr:sp macro="" textlink="">
          <xdr:nvSpPr>
            <xdr:cNvPr id="24655" name="Drop Down 79" hidden="1">
              <a:extLst>
                <a:ext uri="{63B3BB69-23CF-44E3-9099-C40C66FF867C}">
                  <a14:compatExt spid="_x0000_s24655"/>
                </a:ext>
                <a:ext uri="{FF2B5EF4-FFF2-40B4-BE49-F238E27FC236}">
                  <a16:creationId xmlns:a16="http://schemas.microsoft.com/office/drawing/2014/main" id="{00000000-0008-0000-0A00-00004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78</xdr:row>
          <xdr:rowOff>0</xdr:rowOff>
        </xdr:from>
        <xdr:to>
          <xdr:col>20</xdr:col>
          <xdr:colOff>19050</xdr:colOff>
          <xdr:row>79</xdr:row>
          <xdr:rowOff>0</xdr:rowOff>
        </xdr:to>
        <xdr:sp macro="" textlink="">
          <xdr:nvSpPr>
            <xdr:cNvPr id="24656" name="Drop Down 80" hidden="1">
              <a:extLst>
                <a:ext uri="{63B3BB69-23CF-44E3-9099-C40C66FF867C}">
                  <a14:compatExt spid="_x0000_s24656"/>
                </a:ext>
                <a:ext uri="{FF2B5EF4-FFF2-40B4-BE49-F238E27FC236}">
                  <a16:creationId xmlns:a16="http://schemas.microsoft.com/office/drawing/2014/main" id="{00000000-0008-0000-0A00-00005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70</xdr:row>
          <xdr:rowOff>0</xdr:rowOff>
        </xdr:from>
        <xdr:to>
          <xdr:col>8</xdr:col>
          <xdr:colOff>19050</xdr:colOff>
          <xdr:row>71</xdr:row>
          <xdr:rowOff>0</xdr:rowOff>
        </xdr:to>
        <xdr:sp macro="" textlink="">
          <xdr:nvSpPr>
            <xdr:cNvPr id="24657" name="Drop Down 81" hidden="1">
              <a:extLst>
                <a:ext uri="{63B3BB69-23CF-44E3-9099-C40C66FF867C}">
                  <a14:compatExt spid="_x0000_s24657"/>
                </a:ext>
                <a:ext uri="{FF2B5EF4-FFF2-40B4-BE49-F238E27FC236}">
                  <a16:creationId xmlns:a16="http://schemas.microsoft.com/office/drawing/2014/main" id="{00000000-0008-0000-0A00-00005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69</xdr:row>
          <xdr:rowOff>190500</xdr:rowOff>
        </xdr:from>
        <xdr:to>
          <xdr:col>12</xdr:col>
          <xdr:colOff>19050</xdr:colOff>
          <xdr:row>70</xdr:row>
          <xdr:rowOff>190500</xdr:rowOff>
        </xdr:to>
        <xdr:sp macro="" textlink="">
          <xdr:nvSpPr>
            <xdr:cNvPr id="24658" name="Drop Down 82" hidden="1">
              <a:extLst>
                <a:ext uri="{63B3BB69-23CF-44E3-9099-C40C66FF867C}">
                  <a14:compatExt spid="_x0000_s24658"/>
                </a:ext>
                <a:ext uri="{FF2B5EF4-FFF2-40B4-BE49-F238E27FC236}">
                  <a16:creationId xmlns:a16="http://schemas.microsoft.com/office/drawing/2014/main" id="{00000000-0008-0000-0A00-00005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70</xdr:row>
          <xdr:rowOff>19050</xdr:rowOff>
        </xdr:from>
        <xdr:to>
          <xdr:col>16</xdr:col>
          <xdr:colOff>19050</xdr:colOff>
          <xdr:row>71</xdr:row>
          <xdr:rowOff>19050</xdr:rowOff>
        </xdr:to>
        <xdr:sp macro="" textlink="">
          <xdr:nvSpPr>
            <xdr:cNvPr id="24659" name="Drop Down 83" hidden="1">
              <a:extLst>
                <a:ext uri="{63B3BB69-23CF-44E3-9099-C40C66FF867C}">
                  <a14:compatExt spid="_x0000_s24659"/>
                </a:ext>
                <a:ext uri="{FF2B5EF4-FFF2-40B4-BE49-F238E27FC236}">
                  <a16:creationId xmlns:a16="http://schemas.microsoft.com/office/drawing/2014/main" id="{00000000-0008-0000-0A00-00005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70</xdr:row>
          <xdr:rowOff>0</xdr:rowOff>
        </xdr:from>
        <xdr:to>
          <xdr:col>20</xdr:col>
          <xdr:colOff>19050</xdr:colOff>
          <xdr:row>71</xdr:row>
          <xdr:rowOff>0</xdr:rowOff>
        </xdr:to>
        <xdr:sp macro="" textlink="">
          <xdr:nvSpPr>
            <xdr:cNvPr id="24660" name="Drop Down 84" hidden="1">
              <a:extLst>
                <a:ext uri="{63B3BB69-23CF-44E3-9099-C40C66FF867C}">
                  <a14:compatExt spid="_x0000_s24660"/>
                </a:ext>
                <a:ext uri="{FF2B5EF4-FFF2-40B4-BE49-F238E27FC236}">
                  <a16:creationId xmlns:a16="http://schemas.microsoft.com/office/drawing/2014/main" id="{00000000-0008-0000-0A00-00005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173</xdr:row>
          <xdr:rowOff>0</xdr:rowOff>
        </xdr:from>
        <xdr:to>
          <xdr:col>3</xdr:col>
          <xdr:colOff>561975</xdr:colOff>
          <xdr:row>174</xdr:row>
          <xdr:rowOff>0</xdr:rowOff>
        </xdr:to>
        <xdr:sp macro="" textlink="">
          <xdr:nvSpPr>
            <xdr:cNvPr id="24684" name="Drop Down 108" hidden="1">
              <a:extLst>
                <a:ext uri="{63B3BB69-23CF-44E3-9099-C40C66FF867C}">
                  <a14:compatExt spid="_x0000_s24684"/>
                </a:ext>
                <a:ext uri="{FF2B5EF4-FFF2-40B4-BE49-F238E27FC236}">
                  <a16:creationId xmlns:a16="http://schemas.microsoft.com/office/drawing/2014/main" id="{00000000-0008-0000-0A00-00006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173</xdr:row>
          <xdr:rowOff>0</xdr:rowOff>
        </xdr:from>
        <xdr:to>
          <xdr:col>3</xdr:col>
          <xdr:colOff>561975</xdr:colOff>
          <xdr:row>174</xdr:row>
          <xdr:rowOff>0</xdr:rowOff>
        </xdr:to>
        <xdr:sp macro="" textlink="">
          <xdr:nvSpPr>
            <xdr:cNvPr id="24685" name="Drop Down 109" hidden="1">
              <a:extLst>
                <a:ext uri="{63B3BB69-23CF-44E3-9099-C40C66FF867C}">
                  <a14:compatExt spid="_x0000_s24685"/>
                </a:ext>
                <a:ext uri="{FF2B5EF4-FFF2-40B4-BE49-F238E27FC236}">
                  <a16:creationId xmlns:a16="http://schemas.microsoft.com/office/drawing/2014/main" id="{00000000-0008-0000-0A00-00006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173</xdr:row>
          <xdr:rowOff>0</xdr:rowOff>
        </xdr:from>
        <xdr:to>
          <xdr:col>3</xdr:col>
          <xdr:colOff>561975</xdr:colOff>
          <xdr:row>174</xdr:row>
          <xdr:rowOff>0</xdr:rowOff>
        </xdr:to>
        <xdr:sp macro="" textlink="">
          <xdr:nvSpPr>
            <xdr:cNvPr id="24686" name="Drop Down 110" hidden="1">
              <a:extLst>
                <a:ext uri="{63B3BB69-23CF-44E3-9099-C40C66FF867C}">
                  <a14:compatExt spid="_x0000_s24686"/>
                </a:ext>
                <a:ext uri="{FF2B5EF4-FFF2-40B4-BE49-F238E27FC236}">
                  <a16:creationId xmlns:a16="http://schemas.microsoft.com/office/drawing/2014/main" id="{00000000-0008-0000-0A00-00006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173</xdr:row>
          <xdr:rowOff>0</xdr:rowOff>
        </xdr:from>
        <xdr:to>
          <xdr:col>3</xdr:col>
          <xdr:colOff>561975</xdr:colOff>
          <xdr:row>174</xdr:row>
          <xdr:rowOff>0</xdr:rowOff>
        </xdr:to>
        <xdr:sp macro="" textlink="">
          <xdr:nvSpPr>
            <xdr:cNvPr id="24687" name="Drop Down 111" hidden="1">
              <a:extLst>
                <a:ext uri="{63B3BB69-23CF-44E3-9099-C40C66FF867C}">
                  <a14:compatExt spid="_x0000_s24687"/>
                </a:ext>
                <a:ext uri="{FF2B5EF4-FFF2-40B4-BE49-F238E27FC236}">
                  <a16:creationId xmlns:a16="http://schemas.microsoft.com/office/drawing/2014/main" id="{00000000-0008-0000-0A00-00006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173</xdr:row>
          <xdr:rowOff>0</xdr:rowOff>
        </xdr:from>
        <xdr:to>
          <xdr:col>8</xdr:col>
          <xdr:colOff>19050</xdr:colOff>
          <xdr:row>174</xdr:row>
          <xdr:rowOff>0</xdr:rowOff>
        </xdr:to>
        <xdr:sp macro="" textlink="">
          <xdr:nvSpPr>
            <xdr:cNvPr id="24688" name="Drop Down 112" hidden="1">
              <a:extLst>
                <a:ext uri="{63B3BB69-23CF-44E3-9099-C40C66FF867C}">
                  <a14:compatExt spid="_x0000_s24688"/>
                </a:ext>
                <a:ext uri="{FF2B5EF4-FFF2-40B4-BE49-F238E27FC236}">
                  <a16:creationId xmlns:a16="http://schemas.microsoft.com/office/drawing/2014/main" id="{00000000-0008-0000-0A00-00007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173</xdr:row>
          <xdr:rowOff>0</xdr:rowOff>
        </xdr:from>
        <xdr:to>
          <xdr:col>8</xdr:col>
          <xdr:colOff>19050</xdr:colOff>
          <xdr:row>174</xdr:row>
          <xdr:rowOff>0</xdr:rowOff>
        </xdr:to>
        <xdr:sp macro="" textlink="">
          <xdr:nvSpPr>
            <xdr:cNvPr id="24689" name="Drop Down 113" hidden="1">
              <a:extLst>
                <a:ext uri="{63B3BB69-23CF-44E3-9099-C40C66FF867C}">
                  <a14:compatExt spid="_x0000_s24689"/>
                </a:ext>
                <a:ext uri="{FF2B5EF4-FFF2-40B4-BE49-F238E27FC236}">
                  <a16:creationId xmlns:a16="http://schemas.microsoft.com/office/drawing/2014/main" id="{00000000-0008-0000-0A00-00007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173</xdr:row>
          <xdr:rowOff>0</xdr:rowOff>
        </xdr:from>
        <xdr:to>
          <xdr:col>8</xdr:col>
          <xdr:colOff>19050</xdr:colOff>
          <xdr:row>174</xdr:row>
          <xdr:rowOff>0</xdr:rowOff>
        </xdr:to>
        <xdr:sp macro="" textlink="">
          <xdr:nvSpPr>
            <xdr:cNvPr id="24690" name="Drop Down 114" hidden="1">
              <a:extLst>
                <a:ext uri="{63B3BB69-23CF-44E3-9099-C40C66FF867C}">
                  <a14:compatExt spid="_x0000_s24690"/>
                </a:ext>
                <a:ext uri="{FF2B5EF4-FFF2-40B4-BE49-F238E27FC236}">
                  <a16:creationId xmlns:a16="http://schemas.microsoft.com/office/drawing/2014/main" id="{00000000-0008-0000-0A00-00007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173</xdr:row>
          <xdr:rowOff>0</xdr:rowOff>
        </xdr:from>
        <xdr:to>
          <xdr:col>8</xdr:col>
          <xdr:colOff>19050</xdr:colOff>
          <xdr:row>174</xdr:row>
          <xdr:rowOff>0</xdr:rowOff>
        </xdr:to>
        <xdr:sp macro="" textlink="">
          <xdr:nvSpPr>
            <xdr:cNvPr id="24691" name="Drop Down 115" hidden="1">
              <a:extLst>
                <a:ext uri="{63B3BB69-23CF-44E3-9099-C40C66FF867C}">
                  <a14:compatExt spid="_x0000_s24691"/>
                </a:ext>
                <a:ext uri="{FF2B5EF4-FFF2-40B4-BE49-F238E27FC236}">
                  <a16:creationId xmlns:a16="http://schemas.microsoft.com/office/drawing/2014/main" id="{00000000-0008-0000-0A00-00007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173</xdr:row>
          <xdr:rowOff>0</xdr:rowOff>
        </xdr:from>
        <xdr:to>
          <xdr:col>12</xdr:col>
          <xdr:colOff>19050</xdr:colOff>
          <xdr:row>174</xdr:row>
          <xdr:rowOff>0</xdr:rowOff>
        </xdr:to>
        <xdr:sp macro="" textlink="">
          <xdr:nvSpPr>
            <xdr:cNvPr id="24692" name="Drop Down 116" hidden="1">
              <a:extLst>
                <a:ext uri="{63B3BB69-23CF-44E3-9099-C40C66FF867C}">
                  <a14:compatExt spid="_x0000_s24692"/>
                </a:ext>
                <a:ext uri="{FF2B5EF4-FFF2-40B4-BE49-F238E27FC236}">
                  <a16:creationId xmlns:a16="http://schemas.microsoft.com/office/drawing/2014/main" id="{00000000-0008-0000-0A00-00007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173</xdr:row>
          <xdr:rowOff>0</xdr:rowOff>
        </xdr:from>
        <xdr:to>
          <xdr:col>12</xdr:col>
          <xdr:colOff>19050</xdr:colOff>
          <xdr:row>174</xdr:row>
          <xdr:rowOff>0</xdr:rowOff>
        </xdr:to>
        <xdr:sp macro="" textlink="">
          <xdr:nvSpPr>
            <xdr:cNvPr id="24693" name="Drop Down 117" hidden="1">
              <a:extLst>
                <a:ext uri="{63B3BB69-23CF-44E3-9099-C40C66FF867C}">
                  <a14:compatExt spid="_x0000_s24693"/>
                </a:ext>
                <a:ext uri="{FF2B5EF4-FFF2-40B4-BE49-F238E27FC236}">
                  <a16:creationId xmlns:a16="http://schemas.microsoft.com/office/drawing/2014/main" id="{00000000-0008-0000-0A00-00007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173</xdr:row>
          <xdr:rowOff>0</xdr:rowOff>
        </xdr:from>
        <xdr:to>
          <xdr:col>12</xdr:col>
          <xdr:colOff>19050</xdr:colOff>
          <xdr:row>174</xdr:row>
          <xdr:rowOff>0</xdr:rowOff>
        </xdr:to>
        <xdr:sp macro="" textlink="">
          <xdr:nvSpPr>
            <xdr:cNvPr id="24694" name="Drop Down 118" hidden="1">
              <a:extLst>
                <a:ext uri="{63B3BB69-23CF-44E3-9099-C40C66FF867C}">
                  <a14:compatExt spid="_x0000_s24694"/>
                </a:ext>
                <a:ext uri="{FF2B5EF4-FFF2-40B4-BE49-F238E27FC236}">
                  <a16:creationId xmlns:a16="http://schemas.microsoft.com/office/drawing/2014/main" id="{00000000-0008-0000-0A00-00007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173</xdr:row>
          <xdr:rowOff>0</xdr:rowOff>
        </xdr:from>
        <xdr:to>
          <xdr:col>12</xdr:col>
          <xdr:colOff>19050</xdr:colOff>
          <xdr:row>174</xdr:row>
          <xdr:rowOff>0</xdr:rowOff>
        </xdr:to>
        <xdr:sp macro="" textlink="">
          <xdr:nvSpPr>
            <xdr:cNvPr id="24695" name="Drop Down 119" hidden="1">
              <a:extLst>
                <a:ext uri="{63B3BB69-23CF-44E3-9099-C40C66FF867C}">
                  <a14:compatExt spid="_x0000_s24695"/>
                </a:ext>
                <a:ext uri="{FF2B5EF4-FFF2-40B4-BE49-F238E27FC236}">
                  <a16:creationId xmlns:a16="http://schemas.microsoft.com/office/drawing/2014/main" id="{00000000-0008-0000-0A00-00007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173</xdr:row>
          <xdr:rowOff>0</xdr:rowOff>
        </xdr:from>
        <xdr:to>
          <xdr:col>16</xdr:col>
          <xdr:colOff>19050</xdr:colOff>
          <xdr:row>174</xdr:row>
          <xdr:rowOff>0</xdr:rowOff>
        </xdr:to>
        <xdr:sp macro="" textlink="">
          <xdr:nvSpPr>
            <xdr:cNvPr id="24696" name="Drop Down 120" hidden="1">
              <a:extLst>
                <a:ext uri="{63B3BB69-23CF-44E3-9099-C40C66FF867C}">
                  <a14:compatExt spid="_x0000_s24696"/>
                </a:ext>
                <a:ext uri="{FF2B5EF4-FFF2-40B4-BE49-F238E27FC236}">
                  <a16:creationId xmlns:a16="http://schemas.microsoft.com/office/drawing/2014/main" id="{00000000-0008-0000-0A00-00007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173</xdr:row>
          <xdr:rowOff>0</xdr:rowOff>
        </xdr:from>
        <xdr:to>
          <xdr:col>16</xdr:col>
          <xdr:colOff>19050</xdr:colOff>
          <xdr:row>174</xdr:row>
          <xdr:rowOff>0</xdr:rowOff>
        </xdr:to>
        <xdr:sp macro="" textlink="">
          <xdr:nvSpPr>
            <xdr:cNvPr id="24697" name="Drop Down 121" hidden="1">
              <a:extLst>
                <a:ext uri="{63B3BB69-23CF-44E3-9099-C40C66FF867C}">
                  <a14:compatExt spid="_x0000_s24697"/>
                </a:ext>
                <a:ext uri="{FF2B5EF4-FFF2-40B4-BE49-F238E27FC236}">
                  <a16:creationId xmlns:a16="http://schemas.microsoft.com/office/drawing/2014/main" id="{00000000-0008-0000-0A00-00007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173</xdr:row>
          <xdr:rowOff>0</xdr:rowOff>
        </xdr:from>
        <xdr:to>
          <xdr:col>16</xdr:col>
          <xdr:colOff>19050</xdr:colOff>
          <xdr:row>174</xdr:row>
          <xdr:rowOff>0</xdr:rowOff>
        </xdr:to>
        <xdr:sp macro="" textlink="">
          <xdr:nvSpPr>
            <xdr:cNvPr id="24698" name="Drop Down 122" hidden="1">
              <a:extLst>
                <a:ext uri="{63B3BB69-23CF-44E3-9099-C40C66FF867C}">
                  <a14:compatExt spid="_x0000_s24698"/>
                </a:ext>
                <a:ext uri="{FF2B5EF4-FFF2-40B4-BE49-F238E27FC236}">
                  <a16:creationId xmlns:a16="http://schemas.microsoft.com/office/drawing/2014/main" id="{00000000-0008-0000-0A00-00007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173</xdr:row>
          <xdr:rowOff>0</xdr:rowOff>
        </xdr:from>
        <xdr:to>
          <xdr:col>16</xdr:col>
          <xdr:colOff>19050</xdr:colOff>
          <xdr:row>174</xdr:row>
          <xdr:rowOff>0</xdr:rowOff>
        </xdr:to>
        <xdr:sp macro="" textlink="">
          <xdr:nvSpPr>
            <xdr:cNvPr id="24699" name="Drop Down 123" hidden="1">
              <a:extLst>
                <a:ext uri="{63B3BB69-23CF-44E3-9099-C40C66FF867C}">
                  <a14:compatExt spid="_x0000_s24699"/>
                </a:ext>
                <a:ext uri="{FF2B5EF4-FFF2-40B4-BE49-F238E27FC236}">
                  <a16:creationId xmlns:a16="http://schemas.microsoft.com/office/drawing/2014/main" id="{00000000-0008-0000-0A00-00007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173</xdr:row>
          <xdr:rowOff>0</xdr:rowOff>
        </xdr:from>
        <xdr:to>
          <xdr:col>20</xdr:col>
          <xdr:colOff>19050</xdr:colOff>
          <xdr:row>174</xdr:row>
          <xdr:rowOff>0</xdr:rowOff>
        </xdr:to>
        <xdr:sp macro="" textlink="">
          <xdr:nvSpPr>
            <xdr:cNvPr id="24700" name="Drop Down 124" hidden="1">
              <a:extLst>
                <a:ext uri="{63B3BB69-23CF-44E3-9099-C40C66FF867C}">
                  <a14:compatExt spid="_x0000_s24700"/>
                </a:ext>
                <a:ext uri="{FF2B5EF4-FFF2-40B4-BE49-F238E27FC236}">
                  <a16:creationId xmlns:a16="http://schemas.microsoft.com/office/drawing/2014/main" id="{00000000-0008-0000-0A00-00007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173</xdr:row>
          <xdr:rowOff>0</xdr:rowOff>
        </xdr:from>
        <xdr:to>
          <xdr:col>20</xdr:col>
          <xdr:colOff>19050</xdr:colOff>
          <xdr:row>174</xdr:row>
          <xdr:rowOff>0</xdr:rowOff>
        </xdr:to>
        <xdr:sp macro="" textlink="">
          <xdr:nvSpPr>
            <xdr:cNvPr id="24701" name="Drop Down 125" hidden="1">
              <a:extLst>
                <a:ext uri="{63B3BB69-23CF-44E3-9099-C40C66FF867C}">
                  <a14:compatExt spid="_x0000_s24701"/>
                </a:ext>
                <a:ext uri="{FF2B5EF4-FFF2-40B4-BE49-F238E27FC236}">
                  <a16:creationId xmlns:a16="http://schemas.microsoft.com/office/drawing/2014/main" id="{00000000-0008-0000-0A00-00007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173</xdr:row>
          <xdr:rowOff>0</xdr:rowOff>
        </xdr:from>
        <xdr:to>
          <xdr:col>20</xdr:col>
          <xdr:colOff>19050</xdr:colOff>
          <xdr:row>174</xdr:row>
          <xdr:rowOff>0</xdr:rowOff>
        </xdr:to>
        <xdr:sp macro="" textlink="">
          <xdr:nvSpPr>
            <xdr:cNvPr id="24702" name="Drop Down 126" hidden="1">
              <a:extLst>
                <a:ext uri="{63B3BB69-23CF-44E3-9099-C40C66FF867C}">
                  <a14:compatExt spid="_x0000_s24702"/>
                </a:ext>
                <a:ext uri="{FF2B5EF4-FFF2-40B4-BE49-F238E27FC236}">
                  <a16:creationId xmlns:a16="http://schemas.microsoft.com/office/drawing/2014/main" id="{00000000-0008-0000-0A00-00007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173</xdr:row>
          <xdr:rowOff>0</xdr:rowOff>
        </xdr:from>
        <xdr:to>
          <xdr:col>20</xdr:col>
          <xdr:colOff>19050</xdr:colOff>
          <xdr:row>174</xdr:row>
          <xdr:rowOff>0</xdr:rowOff>
        </xdr:to>
        <xdr:sp macro="" textlink="">
          <xdr:nvSpPr>
            <xdr:cNvPr id="24703" name="Drop Down 127" hidden="1">
              <a:extLst>
                <a:ext uri="{63B3BB69-23CF-44E3-9099-C40C66FF867C}">
                  <a14:compatExt spid="_x0000_s24703"/>
                </a:ext>
                <a:ext uri="{FF2B5EF4-FFF2-40B4-BE49-F238E27FC236}">
                  <a16:creationId xmlns:a16="http://schemas.microsoft.com/office/drawing/2014/main" id="{00000000-0008-0000-0A00-00007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0</xdr:rowOff>
        </xdr:from>
        <xdr:to>
          <xdr:col>1</xdr:col>
          <xdr:colOff>1790700</xdr:colOff>
          <xdr:row>174</xdr:row>
          <xdr:rowOff>0</xdr:rowOff>
        </xdr:to>
        <xdr:sp macro="" textlink="">
          <xdr:nvSpPr>
            <xdr:cNvPr id="24704" name="Drop Down 128" hidden="1">
              <a:extLst>
                <a:ext uri="{63B3BB69-23CF-44E3-9099-C40C66FF867C}">
                  <a14:compatExt spid="_x0000_s24704"/>
                </a:ext>
                <a:ext uri="{FF2B5EF4-FFF2-40B4-BE49-F238E27FC236}">
                  <a16:creationId xmlns:a16="http://schemas.microsoft.com/office/drawing/2014/main" id="{00000000-0008-0000-0A00-00008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173</xdr:row>
          <xdr:rowOff>0</xdr:rowOff>
        </xdr:from>
        <xdr:to>
          <xdr:col>1</xdr:col>
          <xdr:colOff>847725</xdr:colOff>
          <xdr:row>174</xdr:row>
          <xdr:rowOff>0</xdr:rowOff>
        </xdr:to>
        <xdr:sp macro="" textlink="">
          <xdr:nvSpPr>
            <xdr:cNvPr id="24705" name="Drop Down 129" hidden="1">
              <a:extLst>
                <a:ext uri="{63B3BB69-23CF-44E3-9099-C40C66FF867C}">
                  <a14:compatExt spid="_x0000_s24705"/>
                </a:ext>
                <a:ext uri="{FF2B5EF4-FFF2-40B4-BE49-F238E27FC236}">
                  <a16:creationId xmlns:a16="http://schemas.microsoft.com/office/drawing/2014/main" id="{00000000-0008-0000-0A00-00008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105</xdr:row>
          <xdr:rowOff>19050</xdr:rowOff>
        </xdr:from>
        <xdr:to>
          <xdr:col>3</xdr:col>
          <xdr:colOff>552450</xdr:colOff>
          <xdr:row>106</xdr:row>
          <xdr:rowOff>19050</xdr:rowOff>
        </xdr:to>
        <xdr:sp macro="" textlink="">
          <xdr:nvSpPr>
            <xdr:cNvPr id="24706" name="Drop Down 130" hidden="1">
              <a:extLst>
                <a:ext uri="{63B3BB69-23CF-44E3-9099-C40C66FF867C}">
                  <a14:compatExt spid="_x0000_s24706"/>
                </a:ext>
                <a:ext uri="{FF2B5EF4-FFF2-40B4-BE49-F238E27FC236}">
                  <a16:creationId xmlns:a16="http://schemas.microsoft.com/office/drawing/2014/main" id="{00000000-0008-0000-0A00-00008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19050</xdr:rowOff>
        </xdr:from>
        <xdr:to>
          <xdr:col>3</xdr:col>
          <xdr:colOff>552450</xdr:colOff>
          <xdr:row>107</xdr:row>
          <xdr:rowOff>19050</xdr:rowOff>
        </xdr:to>
        <xdr:sp macro="" textlink="">
          <xdr:nvSpPr>
            <xdr:cNvPr id="24707" name="Drop Down 131" hidden="1">
              <a:extLst>
                <a:ext uri="{63B3BB69-23CF-44E3-9099-C40C66FF867C}">
                  <a14:compatExt spid="_x0000_s24707"/>
                </a:ext>
                <a:ext uri="{FF2B5EF4-FFF2-40B4-BE49-F238E27FC236}">
                  <a16:creationId xmlns:a16="http://schemas.microsoft.com/office/drawing/2014/main" id="{00000000-0008-0000-0A00-00008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105</xdr:row>
          <xdr:rowOff>19050</xdr:rowOff>
        </xdr:from>
        <xdr:to>
          <xdr:col>8</xdr:col>
          <xdr:colOff>19050</xdr:colOff>
          <xdr:row>106</xdr:row>
          <xdr:rowOff>19050</xdr:rowOff>
        </xdr:to>
        <xdr:sp macro="" textlink="">
          <xdr:nvSpPr>
            <xdr:cNvPr id="24708" name="Drop Down 132" hidden="1">
              <a:extLst>
                <a:ext uri="{63B3BB69-23CF-44E3-9099-C40C66FF867C}">
                  <a14:compatExt spid="_x0000_s24708"/>
                </a:ext>
                <a:ext uri="{FF2B5EF4-FFF2-40B4-BE49-F238E27FC236}">
                  <a16:creationId xmlns:a16="http://schemas.microsoft.com/office/drawing/2014/main" id="{00000000-0008-0000-0A00-00008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106</xdr:row>
          <xdr:rowOff>19050</xdr:rowOff>
        </xdr:from>
        <xdr:to>
          <xdr:col>8</xdr:col>
          <xdr:colOff>19050</xdr:colOff>
          <xdr:row>107</xdr:row>
          <xdr:rowOff>19050</xdr:rowOff>
        </xdr:to>
        <xdr:sp macro="" textlink="">
          <xdr:nvSpPr>
            <xdr:cNvPr id="24709" name="Drop Down 133" hidden="1">
              <a:extLst>
                <a:ext uri="{63B3BB69-23CF-44E3-9099-C40C66FF867C}">
                  <a14:compatExt spid="_x0000_s24709"/>
                </a:ext>
                <a:ext uri="{FF2B5EF4-FFF2-40B4-BE49-F238E27FC236}">
                  <a16:creationId xmlns:a16="http://schemas.microsoft.com/office/drawing/2014/main" id="{00000000-0008-0000-0A00-00008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105</xdr:row>
          <xdr:rowOff>0</xdr:rowOff>
        </xdr:from>
        <xdr:to>
          <xdr:col>12</xdr:col>
          <xdr:colOff>19050</xdr:colOff>
          <xdr:row>106</xdr:row>
          <xdr:rowOff>0</xdr:rowOff>
        </xdr:to>
        <xdr:sp macro="" textlink="">
          <xdr:nvSpPr>
            <xdr:cNvPr id="24710" name="Drop Down 134" hidden="1">
              <a:extLst>
                <a:ext uri="{63B3BB69-23CF-44E3-9099-C40C66FF867C}">
                  <a14:compatExt spid="_x0000_s24710"/>
                </a:ext>
                <a:ext uri="{FF2B5EF4-FFF2-40B4-BE49-F238E27FC236}">
                  <a16:creationId xmlns:a16="http://schemas.microsoft.com/office/drawing/2014/main" id="{00000000-0008-0000-0A00-00008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106</xdr:row>
          <xdr:rowOff>0</xdr:rowOff>
        </xdr:from>
        <xdr:to>
          <xdr:col>12</xdr:col>
          <xdr:colOff>19050</xdr:colOff>
          <xdr:row>107</xdr:row>
          <xdr:rowOff>0</xdr:rowOff>
        </xdr:to>
        <xdr:sp macro="" textlink="">
          <xdr:nvSpPr>
            <xdr:cNvPr id="24711" name="Drop Down 135" hidden="1">
              <a:extLst>
                <a:ext uri="{63B3BB69-23CF-44E3-9099-C40C66FF867C}">
                  <a14:compatExt spid="_x0000_s24711"/>
                </a:ext>
                <a:ext uri="{FF2B5EF4-FFF2-40B4-BE49-F238E27FC236}">
                  <a16:creationId xmlns:a16="http://schemas.microsoft.com/office/drawing/2014/main" id="{00000000-0008-0000-0A00-00008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105</xdr:row>
          <xdr:rowOff>0</xdr:rowOff>
        </xdr:from>
        <xdr:to>
          <xdr:col>16</xdr:col>
          <xdr:colOff>19050</xdr:colOff>
          <xdr:row>106</xdr:row>
          <xdr:rowOff>0</xdr:rowOff>
        </xdr:to>
        <xdr:sp macro="" textlink="">
          <xdr:nvSpPr>
            <xdr:cNvPr id="24712" name="Drop Down 136" hidden="1">
              <a:extLst>
                <a:ext uri="{63B3BB69-23CF-44E3-9099-C40C66FF867C}">
                  <a14:compatExt spid="_x0000_s24712"/>
                </a:ext>
                <a:ext uri="{FF2B5EF4-FFF2-40B4-BE49-F238E27FC236}">
                  <a16:creationId xmlns:a16="http://schemas.microsoft.com/office/drawing/2014/main" id="{00000000-0008-0000-0A00-00008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106</xdr:row>
          <xdr:rowOff>0</xdr:rowOff>
        </xdr:from>
        <xdr:to>
          <xdr:col>16</xdr:col>
          <xdr:colOff>19050</xdr:colOff>
          <xdr:row>107</xdr:row>
          <xdr:rowOff>0</xdr:rowOff>
        </xdr:to>
        <xdr:sp macro="" textlink="">
          <xdr:nvSpPr>
            <xdr:cNvPr id="24713" name="Drop Down 137" hidden="1">
              <a:extLst>
                <a:ext uri="{63B3BB69-23CF-44E3-9099-C40C66FF867C}">
                  <a14:compatExt spid="_x0000_s24713"/>
                </a:ext>
                <a:ext uri="{FF2B5EF4-FFF2-40B4-BE49-F238E27FC236}">
                  <a16:creationId xmlns:a16="http://schemas.microsoft.com/office/drawing/2014/main" id="{00000000-0008-0000-0A00-00008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105</xdr:row>
          <xdr:rowOff>0</xdr:rowOff>
        </xdr:from>
        <xdr:to>
          <xdr:col>20</xdr:col>
          <xdr:colOff>19050</xdr:colOff>
          <xdr:row>106</xdr:row>
          <xdr:rowOff>0</xdr:rowOff>
        </xdr:to>
        <xdr:sp macro="" textlink="">
          <xdr:nvSpPr>
            <xdr:cNvPr id="24714" name="Drop Down 138" hidden="1">
              <a:extLst>
                <a:ext uri="{63B3BB69-23CF-44E3-9099-C40C66FF867C}">
                  <a14:compatExt spid="_x0000_s24714"/>
                </a:ext>
                <a:ext uri="{FF2B5EF4-FFF2-40B4-BE49-F238E27FC236}">
                  <a16:creationId xmlns:a16="http://schemas.microsoft.com/office/drawing/2014/main" id="{00000000-0008-0000-0A00-00008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106</xdr:row>
          <xdr:rowOff>0</xdr:rowOff>
        </xdr:from>
        <xdr:to>
          <xdr:col>20</xdr:col>
          <xdr:colOff>19050</xdr:colOff>
          <xdr:row>107</xdr:row>
          <xdr:rowOff>0</xdr:rowOff>
        </xdr:to>
        <xdr:sp macro="" textlink="">
          <xdr:nvSpPr>
            <xdr:cNvPr id="24715" name="Drop Down 139" hidden="1">
              <a:extLst>
                <a:ext uri="{63B3BB69-23CF-44E3-9099-C40C66FF867C}">
                  <a14:compatExt spid="_x0000_s24715"/>
                </a:ext>
                <a:ext uri="{FF2B5EF4-FFF2-40B4-BE49-F238E27FC236}">
                  <a16:creationId xmlns:a16="http://schemas.microsoft.com/office/drawing/2014/main" id="{00000000-0008-0000-0A00-00008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108</xdr:row>
          <xdr:rowOff>0</xdr:rowOff>
        </xdr:from>
        <xdr:to>
          <xdr:col>1</xdr:col>
          <xdr:colOff>1790700</xdr:colOff>
          <xdr:row>109</xdr:row>
          <xdr:rowOff>0</xdr:rowOff>
        </xdr:to>
        <xdr:sp macro="" textlink="">
          <xdr:nvSpPr>
            <xdr:cNvPr id="24716" name="Drop Down 140" hidden="1">
              <a:extLst>
                <a:ext uri="{63B3BB69-23CF-44E3-9099-C40C66FF867C}">
                  <a14:compatExt spid="_x0000_s24716"/>
                </a:ext>
                <a:ext uri="{FF2B5EF4-FFF2-40B4-BE49-F238E27FC236}">
                  <a16:creationId xmlns:a16="http://schemas.microsoft.com/office/drawing/2014/main" id="{00000000-0008-0000-0A00-00008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100</xdr:row>
          <xdr:rowOff>0</xdr:rowOff>
        </xdr:from>
        <xdr:to>
          <xdr:col>1</xdr:col>
          <xdr:colOff>847725</xdr:colOff>
          <xdr:row>101</xdr:row>
          <xdr:rowOff>0</xdr:rowOff>
        </xdr:to>
        <xdr:sp macro="" textlink="">
          <xdr:nvSpPr>
            <xdr:cNvPr id="24717" name="Drop Down 141" hidden="1">
              <a:extLst>
                <a:ext uri="{63B3BB69-23CF-44E3-9099-C40C66FF867C}">
                  <a14:compatExt spid="_x0000_s24717"/>
                </a:ext>
                <a:ext uri="{FF2B5EF4-FFF2-40B4-BE49-F238E27FC236}">
                  <a16:creationId xmlns:a16="http://schemas.microsoft.com/office/drawing/2014/main" id="{00000000-0008-0000-0A00-00008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100</xdr:row>
          <xdr:rowOff>0</xdr:rowOff>
        </xdr:from>
        <xdr:to>
          <xdr:col>3</xdr:col>
          <xdr:colOff>552450</xdr:colOff>
          <xdr:row>101</xdr:row>
          <xdr:rowOff>0</xdr:rowOff>
        </xdr:to>
        <xdr:sp macro="" textlink="">
          <xdr:nvSpPr>
            <xdr:cNvPr id="24718" name="Drop Down 142" hidden="1">
              <a:extLst>
                <a:ext uri="{63B3BB69-23CF-44E3-9099-C40C66FF867C}">
                  <a14:compatExt spid="_x0000_s24718"/>
                </a:ext>
                <a:ext uri="{FF2B5EF4-FFF2-40B4-BE49-F238E27FC236}">
                  <a16:creationId xmlns:a16="http://schemas.microsoft.com/office/drawing/2014/main" id="{00000000-0008-0000-0A00-00008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108</xdr:row>
          <xdr:rowOff>0</xdr:rowOff>
        </xdr:from>
        <xdr:to>
          <xdr:col>3</xdr:col>
          <xdr:colOff>552450</xdr:colOff>
          <xdr:row>109</xdr:row>
          <xdr:rowOff>0</xdr:rowOff>
        </xdr:to>
        <xdr:sp macro="" textlink="">
          <xdr:nvSpPr>
            <xdr:cNvPr id="24719" name="Drop Down 143" hidden="1">
              <a:extLst>
                <a:ext uri="{63B3BB69-23CF-44E3-9099-C40C66FF867C}">
                  <a14:compatExt spid="_x0000_s24719"/>
                </a:ext>
                <a:ext uri="{FF2B5EF4-FFF2-40B4-BE49-F238E27FC236}">
                  <a16:creationId xmlns:a16="http://schemas.microsoft.com/office/drawing/2014/main" id="{00000000-0008-0000-0A00-00008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108</xdr:row>
          <xdr:rowOff>0</xdr:rowOff>
        </xdr:from>
        <xdr:to>
          <xdr:col>8</xdr:col>
          <xdr:colOff>19050</xdr:colOff>
          <xdr:row>109</xdr:row>
          <xdr:rowOff>0</xdr:rowOff>
        </xdr:to>
        <xdr:sp macro="" textlink="">
          <xdr:nvSpPr>
            <xdr:cNvPr id="24720" name="Drop Down 144" hidden="1">
              <a:extLst>
                <a:ext uri="{63B3BB69-23CF-44E3-9099-C40C66FF867C}">
                  <a14:compatExt spid="_x0000_s24720"/>
                </a:ext>
                <a:ext uri="{FF2B5EF4-FFF2-40B4-BE49-F238E27FC236}">
                  <a16:creationId xmlns:a16="http://schemas.microsoft.com/office/drawing/2014/main" id="{00000000-0008-0000-0A00-00009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107</xdr:row>
          <xdr:rowOff>190500</xdr:rowOff>
        </xdr:from>
        <xdr:to>
          <xdr:col>12</xdr:col>
          <xdr:colOff>19050</xdr:colOff>
          <xdr:row>108</xdr:row>
          <xdr:rowOff>190500</xdr:rowOff>
        </xdr:to>
        <xdr:sp macro="" textlink="">
          <xdr:nvSpPr>
            <xdr:cNvPr id="24721" name="Drop Down 145" hidden="1">
              <a:extLst>
                <a:ext uri="{63B3BB69-23CF-44E3-9099-C40C66FF867C}">
                  <a14:compatExt spid="_x0000_s24721"/>
                </a:ext>
                <a:ext uri="{FF2B5EF4-FFF2-40B4-BE49-F238E27FC236}">
                  <a16:creationId xmlns:a16="http://schemas.microsoft.com/office/drawing/2014/main" id="{00000000-0008-0000-0A00-00009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108</xdr:row>
          <xdr:rowOff>0</xdr:rowOff>
        </xdr:from>
        <xdr:to>
          <xdr:col>16</xdr:col>
          <xdr:colOff>19050</xdr:colOff>
          <xdr:row>109</xdr:row>
          <xdr:rowOff>0</xdr:rowOff>
        </xdr:to>
        <xdr:sp macro="" textlink="">
          <xdr:nvSpPr>
            <xdr:cNvPr id="24722" name="Drop Down 146" hidden="1">
              <a:extLst>
                <a:ext uri="{63B3BB69-23CF-44E3-9099-C40C66FF867C}">
                  <a14:compatExt spid="_x0000_s24722"/>
                </a:ext>
                <a:ext uri="{FF2B5EF4-FFF2-40B4-BE49-F238E27FC236}">
                  <a16:creationId xmlns:a16="http://schemas.microsoft.com/office/drawing/2014/main" id="{00000000-0008-0000-0A00-00009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108</xdr:row>
          <xdr:rowOff>0</xdr:rowOff>
        </xdr:from>
        <xdr:to>
          <xdr:col>20</xdr:col>
          <xdr:colOff>19050</xdr:colOff>
          <xdr:row>109</xdr:row>
          <xdr:rowOff>0</xdr:rowOff>
        </xdr:to>
        <xdr:sp macro="" textlink="">
          <xdr:nvSpPr>
            <xdr:cNvPr id="24723" name="Drop Down 147" hidden="1">
              <a:extLst>
                <a:ext uri="{63B3BB69-23CF-44E3-9099-C40C66FF867C}">
                  <a14:compatExt spid="_x0000_s24723"/>
                </a:ext>
                <a:ext uri="{FF2B5EF4-FFF2-40B4-BE49-F238E27FC236}">
                  <a16:creationId xmlns:a16="http://schemas.microsoft.com/office/drawing/2014/main" id="{00000000-0008-0000-0A00-00009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100</xdr:row>
          <xdr:rowOff>0</xdr:rowOff>
        </xdr:from>
        <xdr:to>
          <xdr:col>8</xdr:col>
          <xdr:colOff>19050</xdr:colOff>
          <xdr:row>101</xdr:row>
          <xdr:rowOff>0</xdr:rowOff>
        </xdr:to>
        <xdr:sp macro="" textlink="">
          <xdr:nvSpPr>
            <xdr:cNvPr id="24724" name="Drop Down 148" hidden="1">
              <a:extLst>
                <a:ext uri="{63B3BB69-23CF-44E3-9099-C40C66FF867C}">
                  <a14:compatExt spid="_x0000_s24724"/>
                </a:ext>
                <a:ext uri="{FF2B5EF4-FFF2-40B4-BE49-F238E27FC236}">
                  <a16:creationId xmlns:a16="http://schemas.microsoft.com/office/drawing/2014/main" id="{00000000-0008-0000-0A00-00009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99</xdr:row>
          <xdr:rowOff>190500</xdr:rowOff>
        </xdr:from>
        <xdr:to>
          <xdr:col>12</xdr:col>
          <xdr:colOff>19050</xdr:colOff>
          <xdr:row>100</xdr:row>
          <xdr:rowOff>190500</xdr:rowOff>
        </xdr:to>
        <xdr:sp macro="" textlink="">
          <xdr:nvSpPr>
            <xdr:cNvPr id="24725" name="Drop Down 149" hidden="1">
              <a:extLst>
                <a:ext uri="{63B3BB69-23CF-44E3-9099-C40C66FF867C}">
                  <a14:compatExt spid="_x0000_s24725"/>
                </a:ext>
                <a:ext uri="{FF2B5EF4-FFF2-40B4-BE49-F238E27FC236}">
                  <a16:creationId xmlns:a16="http://schemas.microsoft.com/office/drawing/2014/main" id="{00000000-0008-0000-0A00-00009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100</xdr:row>
          <xdr:rowOff>19050</xdr:rowOff>
        </xdr:from>
        <xdr:to>
          <xdr:col>16</xdr:col>
          <xdr:colOff>19050</xdr:colOff>
          <xdr:row>101</xdr:row>
          <xdr:rowOff>19050</xdr:rowOff>
        </xdr:to>
        <xdr:sp macro="" textlink="">
          <xdr:nvSpPr>
            <xdr:cNvPr id="24726" name="Drop Down 150" hidden="1">
              <a:extLst>
                <a:ext uri="{63B3BB69-23CF-44E3-9099-C40C66FF867C}">
                  <a14:compatExt spid="_x0000_s24726"/>
                </a:ext>
                <a:ext uri="{FF2B5EF4-FFF2-40B4-BE49-F238E27FC236}">
                  <a16:creationId xmlns:a16="http://schemas.microsoft.com/office/drawing/2014/main" id="{00000000-0008-0000-0A00-00009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100</xdr:row>
          <xdr:rowOff>0</xdr:rowOff>
        </xdr:from>
        <xdr:to>
          <xdr:col>20</xdr:col>
          <xdr:colOff>19050</xdr:colOff>
          <xdr:row>101</xdr:row>
          <xdr:rowOff>0</xdr:rowOff>
        </xdr:to>
        <xdr:sp macro="" textlink="">
          <xdr:nvSpPr>
            <xdr:cNvPr id="24727" name="Drop Down 151" hidden="1">
              <a:extLst>
                <a:ext uri="{63B3BB69-23CF-44E3-9099-C40C66FF867C}">
                  <a14:compatExt spid="_x0000_s24727"/>
                </a:ext>
                <a:ext uri="{FF2B5EF4-FFF2-40B4-BE49-F238E27FC236}">
                  <a16:creationId xmlns:a16="http://schemas.microsoft.com/office/drawing/2014/main" id="{00000000-0008-0000-0A00-00009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1457" name="Button 1" hidden="1">
              <a:extLst>
                <a:ext uri="{63B3BB69-23CF-44E3-9099-C40C66FF867C}">
                  <a14:compatExt spid="_x0000_s1811457"/>
                </a:ext>
                <a:ext uri="{FF2B5EF4-FFF2-40B4-BE49-F238E27FC236}">
                  <a16:creationId xmlns:a16="http://schemas.microsoft.com/office/drawing/2014/main" id="{00000000-0008-0000-1000-000001A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1458" name="Button 2" hidden="1">
              <a:extLst>
                <a:ext uri="{63B3BB69-23CF-44E3-9099-C40C66FF867C}">
                  <a14:compatExt spid="_x0000_s1811458"/>
                </a:ext>
                <a:ext uri="{FF2B5EF4-FFF2-40B4-BE49-F238E27FC236}">
                  <a16:creationId xmlns:a16="http://schemas.microsoft.com/office/drawing/2014/main" id="{00000000-0008-0000-1000-000002A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2481" name="Button 1" hidden="1">
              <a:extLst>
                <a:ext uri="{63B3BB69-23CF-44E3-9099-C40C66FF867C}">
                  <a14:compatExt spid="_x0000_s1812481"/>
                </a:ext>
                <a:ext uri="{FF2B5EF4-FFF2-40B4-BE49-F238E27FC236}">
                  <a16:creationId xmlns:a16="http://schemas.microsoft.com/office/drawing/2014/main" id="{00000000-0008-0000-1100-000001A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2482" name="Button 2" hidden="1">
              <a:extLst>
                <a:ext uri="{63B3BB69-23CF-44E3-9099-C40C66FF867C}">
                  <a14:compatExt spid="_x0000_s1812482"/>
                </a:ext>
                <a:ext uri="{FF2B5EF4-FFF2-40B4-BE49-F238E27FC236}">
                  <a16:creationId xmlns:a16="http://schemas.microsoft.com/office/drawing/2014/main" id="{00000000-0008-0000-1100-000002A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3505" name="Button 1" hidden="1">
              <a:extLst>
                <a:ext uri="{63B3BB69-23CF-44E3-9099-C40C66FF867C}">
                  <a14:compatExt spid="_x0000_s1813505"/>
                </a:ext>
                <a:ext uri="{FF2B5EF4-FFF2-40B4-BE49-F238E27FC236}">
                  <a16:creationId xmlns:a16="http://schemas.microsoft.com/office/drawing/2014/main" id="{00000000-0008-0000-1200-000001A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3506" name="Button 2" hidden="1">
              <a:extLst>
                <a:ext uri="{63B3BB69-23CF-44E3-9099-C40C66FF867C}">
                  <a14:compatExt spid="_x0000_s1813506"/>
                </a:ext>
                <a:ext uri="{FF2B5EF4-FFF2-40B4-BE49-F238E27FC236}">
                  <a16:creationId xmlns:a16="http://schemas.microsoft.com/office/drawing/2014/main" id="{00000000-0008-0000-1200-000002A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4529" name="Button 1" hidden="1">
              <a:extLst>
                <a:ext uri="{63B3BB69-23CF-44E3-9099-C40C66FF867C}">
                  <a14:compatExt spid="_x0000_s1814529"/>
                </a:ext>
                <a:ext uri="{FF2B5EF4-FFF2-40B4-BE49-F238E27FC236}">
                  <a16:creationId xmlns:a16="http://schemas.microsoft.com/office/drawing/2014/main" id="{00000000-0008-0000-1300-000001B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4530" name="Button 2" hidden="1">
              <a:extLst>
                <a:ext uri="{63B3BB69-23CF-44E3-9099-C40C66FF867C}">
                  <a14:compatExt spid="_x0000_s1814530"/>
                </a:ext>
                <a:ext uri="{FF2B5EF4-FFF2-40B4-BE49-F238E27FC236}">
                  <a16:creationId xmlns:a16="http://schemas.microsoft.com/office/drawing/2014/main" id="{00000000-0008-0000-1300-000002B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30</xdr:row>
          <xdr:rowOff>57150</xdr:rowOff>
        </xdr:from>
        <xdr:to>
          <xdr:col>2</xdr:col>
          <xdr:colOff>1714500</xdr:colOff>
          <xdr:row>33</xdr:row>
          <xdr:rowOff>95250</xdr:rowOff>
        </xdr:to>
        <xdr:sp macro="" textlink="">
          <xdr:nvSpPr>
            <xdr:cNvPr id="1815553" name="Button 1" hidden="1">
              <a:extLst>
                <a:ext uri="{63B3BB69-23CF-44E3-9099-C40C66FF867C}">
                  <a14:compatExt spid="_x0000_s1815553"/>
                </a:ext>
                <a:ext uri="{FF2B5EF4-FFF2-40B4-BE49-F238E27FC236}">
                  <a16:creationId xmlns:a16="http://schemas.microsoft.com/office/drawing/2014/main" id="{00000000-0008-0000-1400-000001B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28575</xdr:rowOff>
        </xdr:from>
        <xdr:to>
          <xdr:col>6</xdr:col>
          <xdr:colOff>38100</xdr:colOff>
          <xdr:row>33</xdr:row>
          <xdr:rowOff>104775</xdr:rowOff>
        </xdr:to>
        <xdr:sp macro="" textlink="">
          <xdr:nvSpPr>
            <xdr:cNvPr id="1815554" name="Button 2" hidden="1">
              <a:extLst>
                <a:ext uri="{63B3BB69-23CF-44E3-9099-C40C66FF867C}">
                  <a14:compatExt spid="_x0000_s1815554"/>
                </a:ext>
                <a:ext uri="{FF2B5EF4-FFF2-40B4-BE49-F238E27FC236}">
                  <a16:creationId xmlns:a16="http://schemas.microsoft.com/office/drawing/2014/main" id="{00000000-0008-0000-1400-000002B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6577" name="Button 1" hidden="1">
              <a:extLst>
                <a:ext uri="{63B3BB69-23CF-44E3-9099-C40C66FF867C}">
                  <a14:compatExt spid="_x0000_s1816577"/>
                </a:ext>
                <a:ext uri="{FF2B5EF4-FFF2-40B4-BE49-F238E27FC236}">
                  <a16:creationId xmlns:a16="http://schemas.microsoft.com/office/drawing/2014/main" id="{00000000-0008-0000-1500-000001B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6578" name="Button 2" hidden="1">
              <a:extLst>
                <a:ext uri="{63B3BB69-23CF-44E3-9099-C40C66FF867C}">
                  <a14:compatExt spid="_x0000_s1816578"/>
                </a:ext>
                <a:ext uri="{FF2B5EF4-FFF2-40B4-BE49-F238E27FC236}">
                  <a16:creationId xmlns:a16="http://schemas.microsoft.com/office/drawing/2014/main" id="{00000000-0008-0000-1500-000002B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7601" name="Button 1" hidden="1">
              <a:extLst>
                <a:ext uri="{63B3BB69-23CF-44E3-9099-C40C66FF867C}">
                  <a14:compatExt spid="_x0000_s1817601"/>
                </a:ext>
                <a:ext uri="{FF2B5EF4-FFF2-40B4-BE49-F238E27FC236}">
                  <a16:creationId xmlns:a16="http://schemas.microsoft.com/office/drawing/2014/main" id="{00000000-0008-0000-1600-000001B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7602" name="Button 2" hidden="1">
              <a:extLst>
                <a:ext uri="{63B3BB69-23CF-44E3-9099-C40C66FF867C}">
                  <a14:compatExt spid="_x0000_s1817602"/>
                </a:ext>
                <a:ext uri="{FF2B5EF4-FFF2-40B4-BE49-F238E27FC236}">
                  <a16:creationId xmlns:a16="http://schemas.microsoft.com/office/drawing/2014/main" id="{00000000-0008-0000-1600-000002B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8625" name="Button 1" hidden="1">
              <a:extLst>
                <a:ext uri="{63B3BB69-23CF-44E3-9099-C40C66FF867C}">
                  <a14:compatExt spid="_x0000_s1818625"/>
                </a:ext>
                <a:ext uri="{FF2B5EF4-FFF2-40B4-BE49-F238E27FC236}">
                  <a16:creationId xmlns:a16="http://schemas.microsoft.com/office/drawing/2014/main" id="{00000000-0008-0000-1700-000001C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8626" name="Button 2" hidden="1">
              <a:extLst>
                <a:ext uri="{63B3BB69-23CF-44E3-9099-C40C66FF867C}">
                  <a14:compatExt spid="_x0000_s1818626"/>
                </a:ext>
                <a:ext uri="{FF2B5EF4-FFF2-40B4-BE49-F238E27FC236}">
                  <a16:creationId xmlns:a16="http://schemas.microsoft.com/office/drawing/2014/main" id="{00000000-0008-0000-1700-000002C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19649" name="Button 1" hidden="1">
              <a:extLst>
                <a:ext uri="{63B3BB69-23CF-44E3-9099-C40C66FF867C}">
                  <a14:compatExt spid="_x0000_s1819649"/>
                </a:ext>
                <a:ext uri="{FF2B5EF4-FFF2-40B4-BE49-F238E27FC236}">
                  <a16:creationId xmlns:a16="http://schemas.microsoft.com/office/drawing/2014/main" id="{00000000-0008-0000-1800-000001C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19650" name="Button 2" hidden="1">
              <a:extLst>
                <a:ext uri="{63B3BB69-23CF-44E3-9099-C40C66FF867C}">
                  <a14:compatExt spid="_x0000_s1819650"/>
                </a:ext>
                <a:ext uri="{FF2B5EF4-FFF2-40B4-BE49-F238E27FC236}">
                  <a16:creationId xmlns:a16="http://schemas.microsoft.com/office/drawing/2014/main" id="{00000000-0008-0000-1800-000002C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0673" name="Button 1" hidden="1">
              <a:extLst>
                <a:ext uri="{63B3BB69-23CF-44E3-9099-C40C66FF867C}">
                  <a14:compatExt spid="_x0000_s1820673"/>
                </a:ext>
                <a:ext uri="{FF2B5EF4-FFF2-40B4-BE49-F238E27FC236}">
                  <a16:creationId xmlns:a16="http://schemas.microsoft.com/office/drawing/2014/main" id="{00000000-0008-0000-1900-000001C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0674" name="Button 2" hidden="1">
              <a:extLst>
                <a:ext uri="{63B3BB69-23CF-44E3-9099-C40C66FF867C}">
                  <a14:compatExt spid="_x0000_s1820674"/>
                </a:ext>
                <a:ext uri="{FF2B5EF4-FFF2-40B4-BE49-F238E27FC236}">
                  <a16:creationId xmlns:a16="http://schemas.microsoft.com/office/drawing/2014/main" id="{00000000-0008-0000-1900-000002C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1697" name="Button 1" hidden="1">
              <a:extLst>
                <a:ext uri="{63B3BB69-23CF-44E3-9099-C40C66FF867C}">
                  <a14:compatExt spid="_x0000_s1821697"/>
                </a:ext>
                <a:ext uri="{FF2B5EF4-FFF2-40B4-BE49-F238E27FC236}">
                  <a16:creationId xmlns:a16="http://schemas.microsoft.com/office/drawing/2014/main" id="{00000000-0008-0000-1A00-000001C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1698" name="Button 2" hidden="1">
              <a:extLst>
                <a:ext uri="{63B3BB69-23CF-44E3-9099-C40C66FF867C}">
                  <a14:compatExt spid="_x0000_s1821698"/>
                </a:ext>
                <a:ext uri="{FF2B5EF4-FFF2-40B4-BE49-F238E27FC236}">
                  <a16:creationId xmlns:a16="http://schemas.microsoft.com/office/drawing/2014/main" id="{00000000-0008-0000-1A00-000002C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2721" name="Button 1" hidden="1">
              <a:extLst>
                <a:ext uri="{63B3BB69-23CF-44E3-9099-C40C66FF867C}">
                  <a14:compatExt spid="_x0000_s1822721"/>
                </a:ext>
                <a:ext uri="{FF2B5EF4-FFF2-40B4-BE49-F238E27FC236}">
                  <a16:creationId xmlns:a16="http://schemas.microsoft.com/office/drawing/2014/main" id="{00000000-0008-0000-1B00-000001D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2722" name="Button 2" hidden="1">
              <a:extLst>
                <a:ext uri="{63B3BB69-23CF-44E3-9099-C40C66FF867C}">
                  <a14:compatExt spid="_x0000_s1822722"/>
                </a:ext>
                <a:ext uri="{FF2B5EF4-FFF2-40B4-BE49-F238E27FC236}">
                  <a16:creationId xmlns:a16="http://schemas.microsoft.com/office/drawing/2014/main" id="{00000000-0008-0000-1B00-000002D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3745" name="Button 1" hidden="1">
              <a:extLst>
                <a:ext uri="{63B3BB69-23CF-44E3-9099-C40C66FF867C}">
                  <a14:compatExt spid="_x0000_s1823745"/>
                </a:ext>
                <a:ext uri="{FF2B5EF4-FFF2-40B4-BE49-F238E27FC236}">
                  <a16:creationId xmlns:a16="http://schemas.microsoft.com/office/drawing/2014/main" id="{00000000-0008-0000-1C00-000001D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3746" name="Button 2" hidden="1">
              <a:extLst>
                <a:ext uri="{63B3BB69-23CF-44E3-9099-C40C66FF867C}">
                  <a14:compatExt spid="_x0000_s1823746"/>
                </a:ext>
                <a:ext uri="{FF2B5EF4-FFF2-40B4-BE49-F238E27FC236}">
                  <a16:creationId xmlns:a16="http://schemas.microsoft.com/office/drawing/2014/main" id="{00000000-0008-0000-1C00-000002D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4769" name="Button 1" hidden="1">
              <a:extLst>
                <a:ext uri="{63B3BB69-23CF-44E3-9099-C40C66FF867C}">
                  <a14:compatExt spid="_x0000_s1824769"/>
                </a:ext>
                <a:ext uri="{FF2B5EF4-FFF2-40B4-BE49-F238E27FC236}">
                  <a16:creationId xmlns:a16="http://schemas.microsoft.com/office/drawing/2014/main" id="{00000000-0008-0000-1D00-000001D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4770" name="Button 2" hidden="1">
              <a:extLst>
                <a:ext uri="{63B3BB69-23CF-44E3-9099-C40C66FF867C}">
                  <a14:compatExt spid="_x0000_s1824770"/>
                </a:ext>
                <a:ext uri="{FF2B5EF4-FFF2-40B4-BE49-F238E27FC236}">
                  <a16:creationId xmlns:a16="http://schemas.microsoft.com/office/drawing/2014/main" id="{00000000-0008-0000-1D00-000002D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5793" name="Button 1" hidden="1">
              <a:extLst>
                <a:ext uri="{63B3BB69-23CF-44E3-9099-C40C66FF867C}">
                  <a14:compatExt spid="_x0000_s1825793"/>
                </a:ext>
                <a:ext uri="{FF2B5EF4-FFF2-40B4-BE49-F238E27FC236}">
                  <a16:creationId xmlns:a16="http://schemas.microsoft.com/office/drawing/2014/main" id="{00000000-0008-0000-1E00-000001D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5794" name="Button 2" hidden="1">
              <a:extLst>
                <a:ext uri="{63B3BB69-23CF-44E3-9099-C40C66FF867C}">
                  <a14:compatExt spid="_x0000_s1825794"/>
                </a:ext>
                <a:ext uri="{FF2B5EF4-FFF2-40B4-BE49-F238E27FC236}">
                  <a16:creationId xmlns:a16="http://schemas.microsoft.com/office/drawing/2014/main" id="{00000000-0008-0000-1E00-000002DC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30</xdr:row>
          <xdr:rowOff>57150</xdr:rowOff>
        </xdr:from>
        <xdr:to>
          <xdr:col>2</xdr:col>
          <xdr:colOff>1714500</xdr:colOff>
          <xdr:row>33</xdr:row>
          <xdr:rowOff>95250</xdr:rowOff>
        </xdr:to>
        <xdr:sp macro="" textlink="">
          <xdr:nvSpPr>
            <xdr:cNvPr id="1826817" name="Button 1" hidden="1">
              <a:extLst>
                <a:ext uri="{63B3BB69-23CF-44E3-9099-C40C66FF867C}">
                  <a14:compatExt spid="_x0000_s1826817"/>
                </a:ext>
                <a:ext uri="{FF2B5EF4-FFF2-40B4-BE49-F238E27FC236}">
                  <a16:creationId xmlns:a16="http://schemas.microsoft.com/office/drawing/2014/main" id="{00000000-0008-0000-1F00-000001E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28575</xdr:rowOff>
        </xdr:from>
        <xdr:to>
          <xdr:col>6</xdr:col>
          <xdr:colOff>38100</xdr:colOff>
          <xdr:row>33</xdr:row>
          <xdr:rowOff>104775</xdr:rowOff>
        </xdr:to>
        <xdr:sp macro="" textlink="">
          <xdr:nvSpPr>
            <xdr:cNvPr id="1826818" name="Button 2" hidden="1">
              <a:extLst>
                <a:ext uri="{63B3BB69-23CF-44E3-9099-C40C66FF867C}">
                  <a14:compatExt spid="_x0000_s1826818"/>
                </a:ext>
                <a:ext uri="{FF2B5EF4-FFF2-40B4-BE49-F238E27FC236}">
                  <a16:creationId xmlns:a16="http://schemas.microsoft.com/office/drawing/2014/main" id="{00000000-0008-0000-1F00-000002E0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7841" name="Button 1" hidden="1">
              <a:extLst>
                <a:ext uri="{63B3BB69-23CF-44E3-9099-C40C66FF867C}">
                  <a14:compatExt spid="_x0000_s1827841"/>
                </a:ext>
                <a:ext uri="{FF2B5EF4-FFF2-40B4-BE49-F238E27FC236}">
                  <a16:creationId xmlns:a16="http://schemas.microsoft.com/office/drawing/2014/main" id="{00000000-0008-0000-2000-000001E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7842" name="Button 2" hidden="1">
              <a:extLst>
                <a:ext uri="{63B3BB69-23CF-44E3-9099-C40C66FF867C}">
                  <a14:compatExt spid="_x0000_s1827842"/>
                </a:ext>
                <a:ext uri="{FF2B5EF4-FFF2-40B4-BE49-F238E27FC236}">
                  <a16:creationId xmlns:a16="http://schemas.microsoft.com/office/drawing/2014/main" id="{00000000-0008-0000-2000-000002E4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28865" name="Button 1" hidden="1">
              <a:extLst>
                <a:ext uri="{63B3BB69-23CF-44E3-9099-C40C66FF867C}">
                  <a14:compatExt spid="_x0000_s1828865"/>
                </a:ext>
                <a:ext uri="{FF2B5EF4-FFF2-40B4-BE49-F238E27FC236}">
                  <a16:creationId xmlns:a16="http://schemas.microsoft.com/office/drawing/2014/main" id="{00000000-0008-0000-2100-000001E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28866" name="Button 2" hidden="1">
              <a:extLst>
                <a:ext uri="{63B3BB69-23CF-44E3-9099-C40C66FF867C}">
                  <a14:compatExt spid="_x0000_s1828866"/>
                </a:ext>
                <a:ext uri="{FF2B5EF4-FFF2-40B4-BE49-F238E27FC236}">
                  <a16:creationId xmlns:a16="http://schemas.microsoft.com/office/drawing/2014/main" id="{00000000-0008-0000-2100-000002E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32961" name="Button 1" hidden="1">
              <a:extLst>
                <a:ext uri="{63B3BB69-23CF-44E3-9099-C40C66FF867C}">
                  <a14:compatExt spid="_x0000_s1832961"/>
                </a:ext>
                <a:ext uri="{FF2B5EF4-FFF2-40B4-BE49-F238E27FC236}">
                  <a16:creationId xmlns:a16="http://schemas.microsoft.com/office/drawing/2014/main" id="{00000000-0008-0000-2200-000001F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32962" name="Button 2" hidden="1">
              <a:extLst>
                <a:ext uri="{63B3BB69-23CF-44E3-9099-C40C66FF867C}">
                  <a14:compatExt spid="_x0000_s1832962"/>
                </a:ext>
                <a:ext uri="{FF2B5EF4-FFF2-40B4-BE49-F238E27FC236}">
                  <a16:creationId xmlns:a16="http://schemas.microsoft.com/office/drawing/2014/main" id="{00000000-0008-0000-2200-000002F81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29</xdr:row>
          <xdr:rowOff>57150</xdr:rowOff>
        </xdr:from>
        <xdr:to>
          <xdr:col>2</xdr:col>
          <xdr:colOff>1714500</xdr:colOff>
          <xdr:row>32</xdr:row>
          <xdr:rowOff>95250</xdr:rowOff>
        </xdr:to>
        <xdr:sp macro="" textlink="">
          <xdr:nvSpPr>
            <xdr:cNvPr id="1850369" name="Button 1" hidden="1">
              <a:extLst>
                <a:ext uri="{63B3BB69-23CF-44E3-9099-C40C66FF867C}">
                  <a14:compatExt spid="_x0000_s1850369"/>
                </a:ext>
                <a:ext uri="{FF2B5EF4-FFF2-40B4-BE49-F238E27FC236}">
                  <a16:creationId xmlns:a16="http://schemas.microsoft.com/office/drawing/2014/main" id="{122C0517-9CF8-4E9E-92EB-E64894F88B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29</xdr:row>
          <xdr:rowOff>28575</xdr:rowOff>
        </xdr:from>
        <xdr:to>
          <xdr:col>6</xdr:col>
          <xdr:colOff>38100</xdr:colOff>
          <xdr:row>32</xdr:row>
          <xdr:rowOff>104775</xdr:rowOff>
        </xdr:to>
        <xdr:sp macro="" textlink="">
          <xdr:nvSpPr>
            <xdr:cNvPr id="1850370" name="Button 2" hidden="1">
              <a:extLst>
                <a:ext uri="{63B3BB69-23CF-44E3-9099-C40C66FF867C}">
                  <a14:compatExt spid="_x0000_s1850370"/>
                </a:ext>
                <a:ext uri="{FF2B5EF4-FFF2-40B4-BE49-F238E27FC236}">
                  <a16:creationId xmlns:a16="http://schemas.microsoft.com/office/drawing/2014/main" id="{31BAC641-E658-4BFE-941E-7087D497C8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Remove Row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TRC\Project-file\Bimal-shared\June-29\PPW_2024_with%20Phases_EV%20P-CODE_v12.0_Unlocked_Unhidden_July05_KCS_05July2024.xlsm" TargetMode="External"/><Relationship Id="rId1" Type="http://schemas.openxmlformats.org/officeDocument/2006/relationships/externalLinkPath" Target="PPW_2024_with%20Phases_EV%20P-CODE_v12.0_Unlocked_Unhidden_July05_KCS_05July20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rccompanies-my.sharepoint.com/personal/jbremer_trcsolutions_com/Documents/Equip%20Recovery/Equip%20List%20Bill%20Cat%20w%20Phases.xlt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rccompanies-my.sharepoint.com/personal/jbremer_trcsolutions_com/Documents/Documents/Temporary/PPW%20.xlt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trcnet.trcsolutions.com/LOB/Environmental/RMD/RMDP/Standard%20Rate%20Information%20and%20Budget%20Spreadsheets/GVL%20specific%20templates/Budget_2010.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hase_Template"/>
      <sheetName val="FormulaLookup"/>
      <sheetName val="Instructions"/>
      <sheetName val="INPUT"/>
      <sheetName val="INPUT1"/>
      <sheetName val="Budget Summary"/>
      <sheetName val="Budget Detail"/>
      <sheetName val="Profitability Summary"/>
      <sheetName val="Approval Signatures"/>
      <sheetName val="Lab Analysis List"/>
      <sheetName val="Travel Charges"/>
      <sheetName val="Standard Equipment &amp; Supplies"/>
      <sheetName val="Other Supplies &amp; Rental List"/>
      <sheetName val="Subcontractors List"/>
      <sheetName val="Procurement List"/>
      <sheetName val="Printable Rate Sheet"/>
      <sheetName val="RATE Schedules"/>
      <sheetName val="Labor &amp; Practice Lookups"/>
      <sheetName val="EQUIP RATE SCHEDULE"/>
      <sheetName val="VEHICLE RATE SCHEDULE"/>
      <sheetName val="Phase 1"/>
      <sheetName val="Phase 2"/>
      <sheetName val="Phase 3"/>
      <sheetName val="Phase 4"/>
      <sheetName val="Phase 5"/>
      <sheetName val="Phase 6"/>
      <sheetName val="Phase 7"/>
      <sheetName val="Phase 8"/>
      <sheetName val="Phase 9"/>
      <sheetName val="Phase 10"/>
      <sheetName val="Phase 11"/>
      <sheetName val="Phase 12"/>
      <sheetName val="Phase 13"/>
      <sheetName val="Phase 14"/>
      <sheetName val="Phase 15"/>
      <sheetName val="Phase 16"/>
      <sheetName val="Phase 17"/>
      <sheetName val="Phase 18"/>
      <sheetName val="Phase 19"/>
      <sheetName val="Phase 20"/>
      <sheetName val="ggfdgfd"/>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INPUT"/>
      <sheetName val="Budget Summary"/>
      <sheetName val="Budget Detail"/>
      <sheetName val="Profitability Summary"/>
      <sheetName val="Approval Signatures"/>
      <sheetName val="Phase 1"/>
      <sheetName val="Phase 2"/>
      <sheetName val="Phase 3"/>
      <sheetName val="Phase 4"/>
      <sheetName val="Phase 5"/>
      <sheetName val="Phase 6"/>
      <sheetName val="Phase 7"/>
      <sheetName val="Phase 8"/>
      <sheetName val="Phase 9"/>
      <sheetName val="Phase 10"/>
      <sheetName val="Lab Analysis List"/>
      <sheetName val="Travel Charges"/>
      <sheetName val="Standard Equipment &amp; Supplies"/>
      <sheetName val="Other Supplies &amp; Rental List"/>
      <sheetName val="Subcontractors List"/>
      <sheetName val="Procurement List"/>
      <sheetName val="RATE Schedules"/>
      <sheetName val="Printable Rate Sheet"/>
      <sheetName val="Labor &amp; Practice Lookups"/>
      <sheetName val="Equipment Lookups"/>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INPUT"/>
      <sheetName val="Budget Summary"/>
      <sheetName val="Budget Detail"/>
      <sheetName val="Profitability Summary"/>
      <sheetName val="Approval Signatures"/>
      <sheetName val="Phase 1"/>
      <sheetName val="Phase 2"/>
      <sheetName val="Phase 3"/>
      <sheetName val="Phase 4"/>
      <sheetName val="Phase 5"/>
      <sheetName val="Phase 6"/>
      <sheetName val="Phase 7"/>
      <sheetName val="Phase 8"/>
      <sheetName val="Phase 9"/>
      <sheetName val="Phase 10"/>
      <sheetName val="Lab Analysis List"/>
      <sheetName val="Travel Charges"/>
      <sheetName val="Standard Equipment &amp; Supplies"/>
      <sheetName val="Other Supplies &amp; Rental List"/>
      <sheetName val="Subcontractors List"/>
      <sheetName val="Procurement List"/>
      <sheetName val="RATE Schedules"/>
      <sheetName val="Printable Rate Sheet"/>
      <sheetName val="Labor &amp; Practice Lookups"/>
      <sheetName val="Equipment Lookups"/>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UMMARY"/>
      <sheetName val="Budget"/>
      <sheetName val="1"/>
      <sheetName val="2"/>
      <sheetName val="3"/>
      <sheetName val="4"/>
      <sheetName val="5"/>
      <sheetName val="6"/>
      <sheetName val="Lab Analysis List"/>
      <sheetName val="Travel Charges"/>
      <sheetName val="RMT Equipment_Supply Charges"/>
      <sheetName val="Procurement List"/>
      <sheetName val="Subcontractors List"/>
      <sheetName val="Supplies and Rental List"/>
      <sheetName val="RATE Schedules"/>
      <sheetName val="Equipment Lookups"/>
      <sheetName val="Labor &amp; Practice Lookups"/>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trcnet.trcsolutions.com/LOB/Environmental/Pages/default.aspx"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68" Type="http://schemas.openxmlformats.org/officeDocument/2006/relationships/control" Target="../activeX/activeX33.xml"/><Relationship Id="rId76" Type="http://schemas.openxmlformats.org/officeDocument/2006/relationships/control" Target="../activeX/activeX37.xml"/><Relationship Id="rId84" Type="http://schemas.openxmlformats.org/officeDocument/2006/relationships/ctrlProp" Target="../ctrlProps/ctrlProp5.xml"/><Relationship Id="rId7" Type="http://schemas.openxmlformats.org/officeDocument/2006/relationships/image" Target="../media/image2.emf"/><Relationship Id="rId71" Type="http://schemas.openxmlformats.org/officeDocument/2006/relationships/image" Target="../media/image34.emf"/><Relationship Id="rId2" Type="http://schemas.openxmlformats.org/officeDocument/2006/relationships/drawing" Target="../drawings/drawing3.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79" Type="http://schemas.openxmlformats.org/officeDocument/2006/relationships/image" Target="../media/image38.emf"/><Relationship Id="rId5" Type="http://schemas.openxmlformats.org/officeDocument/2006/relationships/image" Target="../media/image1.emf"/><Relationship Id="rId61" Type="http://schemas.openxmlformats.org/officeDocument/2006/relationships/image" Target="../media/image29.emf"/><Relationship Id="rId82" Type="http://schemas.openxmlformats.org/officeDocument/2006/relationships/control" Target="../activeX/activeX40.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control" Target="../activeX/activeX38.xml"/><Relationship Id="rId81" Type="http://schemas.openxmlformats.org/officeDocument/2006/relationships/image" Target="../media/image39.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77" Type="http://schemas.openxmlformats.org/officeDocument/2006/relationships/image" Target="../media/image37.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80" Type="http://schemas.openxmlformats.org/officeDocument/2006/relationships/control" Target="../activeX/activeX39.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83" Type="http://schemas.openxmlformats.org/officeDocument/2006/relationships/image" Target="../media/image40.emf"/><Relationship Id="rId1" Type="http://schemas.openxmlformats.org/officeDocument/2006/relationships/printerSettings" Target="../printerSettings/printerSettings5.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image" Target="../media/image41.emf"/><Relationship Id="rId4"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ctrlProp" Target="../ctrlProps/ctrlProp65.xml"/><Relationship Id="rId68" Type="http://schemas.openxmlformats.org/officeDocument/2006/relationships/ctrlProp" Target="../ctrlProps/ctrlProp70.xml"/><Relationship Id="rId84" Type="http://schemas.openxmlformats.org/officeDocument/2006/relationships/ctrlProp" Target="../ctrlProps/ctrlProp86.xml"/><Relationship Id="rId89" Type="http://schemas.openxmlformats.org/officeDocument/2006/relationships/ctrlProp" Target="../ctrlProps/ctrlProp91.xml"/><Relationship Id="rId112" Type="http://schemas.openxmlformats.org/officeDocument/2006/relationships/ctrlProp" Target="../ctrlProps/ctrlProp114.xml"/><Relationship Id="rId2" Type="http://schemas.openxmlformats.org/officeDocument/2006/relationships/drawing" Target="../drawings/drawing5.xml"/><Relationship Id="rId16" Type="http://schemas.openxmlformats.org/officeDocument/2006/relationships/ctrlProp" Target="../ctrlProps/ctrlProp18.xml"/><Relationship Id="rId29" Type="http://schemas.openxmlformats.org/officeDocument/2006/relationships/ctrlProp" Target="../ctrlProps/ctrlProp31.xml"/><Relationship Id="rId107" Type="http://schemas.openxmlformats.org/officeDocument/2006/relationships/ctrlProp" Target="../ctrlProps/ctrlProp109.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8" Type="http://schemas.openxmlformats.org/officeDocument/2006/relationships/ctrlProp" Target="../ctrlProps/ctrlProp60.xml"/><Relationship Id="rId66" Type="http://schemas.openxmlformats.org/officeDocument/2006/relationships/ctrlProp" Target="../ctrlProps/ctrlProp68.xml"/><Relationship Id="rId74" Type="http://schemas.openxmlformats.org/officeDocument/2006/relationships/ctrlProp" Target="../ctrlProps/ctrlProp76.xml"/><Relationship Id="rId79" Type="http://schemas.openxmlformats.org/officeDocument/2006/relationships/ctrlProp" Target="../ctrlProps/ctrlProp81.xml"/><Relationship Id="rId87" Type="http://schemas.openxmlformats.org/officeDocument/2006/relationships/ctrlProp" Target="../ctrlProps/ctrlProp89.xml"/><Relationship Id="rId102" Type="http://schemas.openxmlformats.org/officeDocument/2006/relationships/ctrlProp" Target="../ctrlProps/ctrlProp104.xml"/><Relationship Id="rId110" Type="http://schemas.openxmlformats.org/officeDocument/2006/relationships/ctrlProp" Target="../ctrlProps/ctrlProp112.xml"/><Relationship Id="rId5" Type="http://schemas.openxmlformats.org/officeDocument/2006/relationships/ctrlProp" Target="../ctrlProps/ctrlProp7.xml"/><Relationship Id="rId61" Type="http://schemas.openxmlformats.org/officeDocument/2006/relationships/ctrlProp" Target="../ctrlProps/ctrlProp63.xml"/><Relationship Id="rId82" Type="http://schemas.openxmlformats.org/officeDocument/2006/relationships/ctrlProp" Target="../ctrlProps/ctrlProp84.xml"/><Relationship Id="rId90" Type="http://schemas.openxmlformats.org/officeDocument/2006/relationships/ctrlProp" Target="../ctrlProps/ctrlProp92.xml"/><Relationship Id="rId95" Type="http://schemas.openxmlformats.org/officeDocument/2006/relationships/ctrlProp" Target="../ctrlProps/ctrlProp97.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ctrlProp" Target="../ctrlProps/ctrlProp58.xml"/><Relationship Id="rId64" Type="http://schemas.openxmlformats.org/officeDocument/2006/relationships/ctrlProp" Target="../ctrlProps/ctrlProp66.xml"/><Relationship Id="rId69" Type="http://schemas.openxmlformats.org/officeDocument/2006/relationships/ctrlProp" Target="../ctrlProps/ctrlProp71.xml"/><Relationship Id="rId77" Type="http://schemas.openxmlformats.org/officeDocument/2006/relationships/ctrlProp" Target="../ctrlProps/ctrlProp79.xml"/><Relationship Id="rId100" Type="http://schemas.openxmlformats.org/officeDocument/2006/relationships/ctrlProp" Target="../ctrlProps/ctrlProp102.xml"/><Relationship Id="rId105" Type="http://schemas.openxmlformats.org/officeDocument/2006/relationships/ctrlProp" Target="../ctrlProps/ctrlProp107.xml"/><Relationship Id="rId113" Type="http://schemas.openxmlformats.org/officeDocument/2006/relationships/ctrlProp" Target="../ctrlProps/ctrlProp115.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80" Type="http://schemas.openxmlformats.org/officeDocument/2006/relationships/ctrlProp" Target="../ctrlProps/ctrlProp82.xml"/><Relationship Id="rId85" Type="http://schemas.openxmlformats.org/officeDocument/2006/relationships/ctrlProp" Target="../ctrlProps/ctrlProp87.xml"/><Relationship Id="rId93" Type="http://schemas.openxmlformats.org/officeDocument/2006/relationships/ctrlProp" Target="../ctrlProps/ctrlProp95.xml"/><Relationship Id="rId98" Type="http://schemas.openxmlformats.org/officeDocument/2006/relationships/ctrlProp" Target="../ctrlProps/ctrlProp100.xml"/><Relationship Id="rId3" Type="http://schemas.openxmlformats.org/officeDocument/2006/relationships/vmlDrawing" Target="../drawings/vmlDrawing6.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103" Type="http://schemas.openxmlformats.org/officeDocument/2006/relationships/ctrlProp" Target="../ctrlProps/ctrlProp105.xml"/><Relationship Id="rId108" Type="http://schemas.openxmlformats.org/officeDocument/2006/relationships/ctrlProp" Target="../ctrlProps/ctrlProp110.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83" Type="http://schemas.openxmlformats.org/officeDocument/2006/relationships/ctrlProp" Target="../ctrlProps/ctrlProp85.xml"/><Relationship Id="rId88" Type="http://schemas.openxmlformats.org/officeDocument/2006/relationships/ctrlProp" Target="../ctrlProps/ctrlProp90.xml"/><Relationship Id="rId91" Type="http://schemas.openxmlformats.org/officeDocument/2006/relationships/ctrlProp" Target="../ctrlProps/ctrlProp93.xml"/><Relationship Id="rId96" Type="http://schemas.openxmlformats.org/officeDocument/2006/relationships/ctrlProp" Target="../ctrlProps/ctrlProp98.xml"/><Relationship Id="rId111" Type="http://schemas.openxmlformats.org/officeDocument/2006/relationships/ctrlProp" Target="../ctrlProps/ctrlProp113.xml"/><Relationship Id="rId1" Type="http://schemas.openxmlformats.org/officeDocument/2006/relationships/printerSettings" Target="../printerSettings/printerSettings10.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6" Type="http://schemas.openxmlformats.org/officeDocument/2006/relationships/ctrlProp" Target="../ctrlProps/ctrlProp10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81" Type="http://schemas.openxmlformats.org/officeDocument/2006/relationships/ctrlProp" Target="../ctrlProps/ctrlProp83.xml"/><Relationship Id="rId86" Type="http://schemas.openxmlformats.org/officeDocument/2006/relationships/ctrlProp" Target="../ctrlProps/ctrlProp88.xml"/><Relationship Id="rId94" Type="http://schemas.openxmlformats.org/officeDocument/2006/relationships/ctrlProp" Target="../ctrlProps/ctrlProp96.xml"/><Relationship Id="rId99" Type="http://schemas.openxmlformats.org/officeDocument/2006/relationships/ctrlProp" Target="../ctrlProps/ctrlProp101.xml"/><Relationship Id="rId101" Type="http://schemas.openxmlformats.org/officeDocument/2006/relationships/ctrlProp" Target="../ctrlProps/ctrlProp103.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109" Type="http://schemas.openxmlformats.org/officeDocument/2006/relationships/ctrlProp" Target="../ctrlProps/ctrlProp11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ctrlProp" Target="../ctrlProps/ctrlProp57.xml"/><Relationship Id="rId76" Type="http://schemas.openxmlformats.org/officeDocument/2006/relationships/ctrlProp" Target="../ctrlProps/ctrlProp78.xml"/><Relationship Id="rId97" Type="http://schemas.openxmlformats.org/officeDocument/2006/relationships/ctrlProp" Target="../ctrlProps/ctrlProp99.xml"/><Relationship Id="rId104" Type="http://schemas.openxmlformats.org/officeDocument/2006/relationships/ctrlProp" Target="../ctrlProps/ctrlProp106.xml"/><Relationship Id="rId7" Type="http://schemas.openxmlformats.org/officeDocument/2006/relationships/ctrlProp" Target="../ctrlProps/ctrlProp9.xml"/><Relationship Id="rId71" Type="http://schemas.openxmlformats.org/officeDocument/2006/relationships/ctrlProp" Target="../ctrlProps/ctrlProp73.xml"/><Relationship Id="rId92" Type="http://schemas.openxmlformats.org/officeDocument/2006/relationships/ctrlProp" Target="../ctrlProps/ctrlProp9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5" Type="http://schemas.openxmlformats.org/officeDocument/2006/relationships/ctrlProp" Target="../ctrlProps/ctrlProp129.xml"/><Relationship Id="rId4" Type="http://schemas.openxmlformats.org/officeDocument/2006/relationships/ctrlProp" Target="../ctrlProps/ctrlProp12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5" Type="http://schemas.openxmlformats.org/officeDocument/2006/relationships/ctrlProp" Target="../ctrlProps/ctrlProp141.xml"/><Relationship Id="rId4" Type="http://schemas.openxmlformats.org/officeDocument/2006/relationships/ctrlProp" Target="../ctrlProps/ctrlProp14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5" Type="http://schemas.openxmlformats.org/officeDocument/2006/relationships/ctrlProp" Target="../ctrlProps/ctrlProp145.xml"/><Relationship Id="rId4" Type="http://schemas.openxmlformats.org/officeDocument/2006/relationships/ctrlProp" Target="../ctrlProps/ctrlProp14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5" Type="http://schemas.openxmlformats.org/officeDocument/2006/relationships/ctrlProp" Target="../ctrlProps/ctrlProp147.xml"/><Relationship Id="rId4" Type="http://schemas.openxmlformats.org/officeDocument/2006/relationships/ctrlProp" Target="../ctrlProps/ctrlProp14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5" Type="http://schemas.openxmlformats.org/officeDocument/2006/relationships/ctrlProp" Target="../ctrlProps/ctrlProp149.xml"/><Relationship Id="rId4" Type="http://schemas.openxmlformats.org/officeDocument/2006/relationships/ctrlProp" Target="../ctrlProps/ctrlProp14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5" Type="http://schemas.openxmlformats.org/officeDocument/2006/relationships/ctrlProp" Target="../ctrlProps/ctrlProp153.xml"/><Relationship Id="rId4" Type="http://schemas.openxmlformats.org/officeDocument/2006/relationships/ctrlProp" Target="../ctrlProps/ctrlProp15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B938A-40D7-4888-9319-CB871C7979BE}">
  <sheetPr codeName="Sheet39"/>
  <dimension ref="A1:AE139"/>
  <sheetViews>
    <sheetView topLeftCell="A27" zoomScaleNormal="100" workbookViewId="0">
      <selection activeCell="B40" sqref="B40"/>
    </sheetView>
  </sheetViews>
  <sheetFormatPr defaultRowHeight="12.75" x14ac:dyDescent="0.2"/>
  <cols>
    <col min="1" max="1" width="18.5703125" customWidth="1"/>
    <col min="2" max="2" width="41.42578125" customWidth="1"/>
    <col min="3" max="3" width="35.7109375" customWidth="1"/>
    <col min="4" max="4" width="38.85546875" customWidth="1"/>
    <col min="5" max="5" width="39.28515625" customWidth="1"/>
    <col min="6" max="6" width="35.7109375" customWidth="1"/>
    <col min="7" max="7" width="39.140625" customWidth="1"/>
    <col min="8" max="8" width="37.140625" customWidth="1"/>
    <col min="9" max="9" width="39.42578125" customWidth="1"/>
    <col min="10" max="10" width="37.85546875" customWidth="1"/>
    <col min="11" max="11" width="37.7109375" customWidth="1"/>
    <col min="12" max="12" width="37.5703125" customWidth="1"/>
    <col min="13" max="13" width="40.42578125" customWidth="1"/>
    <col min="14" max="14" width="35.140625" customWidth="1"/>
    <col min="15" max="15" width="37.85546875" customWidth="1"/>
    <col min="16" max="16" width="40.140625" customWidth="1"/>
    <col min="17" max="17" width="38.85546875" customWidth="1"/>
    <col min="18" max="18" width="34.5703125" customWidth="1"/>
    <col min="19" max="19" width="36.5703125" customWidth="1"/>
    <col min="20" max="20" width="38.42578125" customWidth="1"/>
    <col min="21" max="21" width="39" customWidth="1"/>
    <col min="22" max="22" width="43.140625" customWidth="1"/>
    <col min="23" max="23" width="38" customWidth="1"/>
    <col min="24" max="24" width="41.140625" customWidth="1"/>
    <col min="25" max="25" width="40.28515625" customWidth="1"/>
    <col min="26" max="27" width="41.5703125" customWidth="1"/>
    <col min="28" max="28" width="38.28515625" customWidth="1"/>
    <col min="29" max="29" width="34.140625" customWidth="1"/>
  </cols>
  <sheetData>
    <row r="1" spans="1:31" ht="13.5" thickBot="1" x14ac:dyDescent="0.25">
      <c r="A1" s="388" t="s">
        <v>1384</v>
      </c>
    </row>
    <row r="2" spans="1:31" x14ac:dyDescent="0.2">
      <c r="B2" s="927" t="s">
        <v>785</v>
      </c>
      <c r="C2" s="928" t="s">
        <v>786</v>
      </c>
      <c r="D2" s="928" t="s">
        <v>787</v>
      </c>
      <c r="E2" s="928" t="s">
        <v>788</v>
      </c>
      <c r="F2" s="928" t="s">
        <v>789</v>
      </c>
      <c r="G2" s="928" t="s">
        <v>790</v>
      </c>
      <c r="H2" s="928" t="s">
        <v>791</v>
      </c>
      <c r="I2" s="928" t="s">
        <v>792</v>
      </c>
      <c r="J2" s="928" t="s">
        <v>793</v>
      </c>
      <c r="K2" s="928" t="s">
        <v>794</v>
      </c>
      <c r="L2" s="928" t="s">
        <v>795</v>
      </c>
      <c r="M2" s="928" t="s">
        <v>796</v>
      </c>
      <c r="N2" s="928" t="s">
        <v>797</v>
      </c>
      <c r="O2" s="928" t="s">
        <v>798</v>
      </c>
      <c r="P2" s="928" t="s">
        <v>799</v>
      </c>
      <c r="Q2" s="928" t="s">
        <v>800</v>
      </c>
      <c r="R2" s="928" t="s">
        <v>801</v>
      </c>
      <c r="S2" s="928" t="s">
        <v>802</v>
      </c>
      <c r="T2" s="928" t="s">
        <v>803</v>
      </c>
      <c r="U2" s="928" t="s">
        <v>804</v>
      </c>
      <c r="V2" s="928" t="s">
        <v>805</v>
      </c>
      <c r="W2" s="928" t="s">
        <v>806</v>
      </c>
      <c r="X2" s="928" t="s">
        <v>807</v>
      </c>
      <c r="Y2" s="928" t="s">
        <v>808</v>
      </c>
      <c r="Z2" s="928" t="s">
        <v>809</v>
      </c>
      <c r="AA2" s="928" t="s">
        <v>810</v>
      </c>
      <c r="AB2" s="928" t="s">
        <v>811</v>
      </c>
      <c r="AC2" s="929" t="s">
        <v>812</v>
      </c>
      <c r="AD2" s="388"/>
      <c r="AE2" s="998"/>
    </row>
    <row r="3" spans="1:31" x14ac:dyDescent="0.2">
      <c r="A3" s="251" t="s">
        <v>1395</v>
      </c>
      <c r="B3" s="251" t="s">
        <v>1396</v>
      </c>
      <c r="C3" s="251" t="s">
        <v>1397</v>
      </c>
      <c r="D3" s="251" t="s">
        <v>1398</v>
      </c>
      <c r="E3" s="251" t="s">
        <v>1399</v>
      </c>
      <c r="F3" s="251" t="s">
        <v>1400</v>
      </c>
      <c r="G3" s="251" t="s">
        <v>1401</v>
      </c>
      <c r="H3" s="251" t="s">
        <v>1402</v>
      </c>
      <c r="I3" s="251" t="s">
        <v>1403</v>
      </c>
      <c r="J3" s="251" t="s">
        <v>1404</v>
      </c>
      <c r="K3" s="251" t="s">
        <v>1405</v>
      </c>
      <c r="L3" s="251" t="s">
        <v>1406</v>
      </c>
      <c r="M3" s="251" t="s">
        <v>1407</v>
      </c>
      <c r="N3" s="251" t="s">
        <v>1408</v>
      </c>
      <c r="O3" s="251" t="s">
        <v>1409</v>
      </c>
      <c r="P3" s="251" t="s">
        <v>1410</v>
      </c>
      <c r="Q3" s="251" t="s">
        <v>1411</v>
      </c>
      <c r="R3" s="251" t="s">
        <v>1412</v>
      </c>
      <c r="S3" s="251" t="s">
        <v>1413</v>
      </c>
      <c r="T3" s="251" t="s">
        <v>1414</v>
      </c>
      <c r="U3" s="251" t="s">
        <v>1415</v>
      </c>
      <c r="V3" s="251" t="s">
        <v>1416</v>
      </c>
      <c r="W3" s="251" t="s">
        <v>1417</v>
      </c>
      <c r="X3" s="251" t="s">
        <v>1418</v>
      </c>
      <c r="Y3" s="251" t="s">
        <v>1419</v>
      </c>
      <c r="Z3" s="251" t="s">
        <v>1420</v>
      </c>
      <c r="AA3" s="251" t="s">
        <v>1421</v>
      </c>
      <c r="AB3" s="251" t="s">
        <v>1422</v>
      </c>
      <c r="AC3" s="251" t="s">
        <v>1423</v>
      </c>
    </row>
    <row r="4" spans="1:31" x14ac:dyDescent="0.2">
      <c r="A4" s="251" t="s">
        <v>1424</v>
      </c>
      <c r="B4" s="388" t="s">
        <v>2017</v>
      </c>
      <c r="C4" s="388" t="s">
        <v>1426</v>
      </c>
      <c r="D4" s="388" t="s">
        <v>1427</v>
      </c>
      <c r="E4" s="388" t="s">
        <v>1428</v>
      </c>
      <c r="F4" s="388" t="s">
        <v>1429</v>
      </c>
      <c r="G4" s="388" t="s">
        <v>1430</v>
      </c>
      <c r="H4" s="388" t="s">
        <v>1431</v>
      </c>
      <c r="I4" s="388" t="s">
        <v>1432</v>
      </c>
      <c r="J4" s="388" t="s">
        <v>1433</v>
      </c>
      <c r="K4" s="388" t="s">
        <v>1434</v>
      </c>
      <c r="L4" s="388" t="s">
        <v>1435</v>
      </c>
      <c r="M4" s="388" t="s">
        <v>1436</v>
      </c>
      <c r="N4" s="388" t="s">
        <v>1437</v>
      </c>
      <c r="O4" s="388" t="s">
        <v>1438</v>
      </c>
      <c r="P4" s="388" t="s">
        <v>1439</v>
      </c>
      <c r="Q4" s="388" t="s">
        <v>1440</v>
      </c>
      <c r="R4" s="388" t="s">
        <v>1441</v>
      </c>
      <c r="S4" s="388" t="s">
        <v>1442</v>
      </c>
      <c r="T4" s="388" t="s">
        <v>1443</v>
      </c>
      <c r="U4" s="388" t="s">
        <v>1444</v>
      </c>
      <c r="V4" s="388" t="s">
        <v>1445</v>
      </c>
      <c r="W4" s="388" t="s">
        <v>1446</v>
      </c>
      <c r="X4" s="388" t="s">
        <v>1447</v>
      </c>
      <c r="Y4" s="388" t="s">
        <v>1448</v>
      </c>
      <c r="Z4" s="388" t="s">
        <v>1449</v>
      </c>
      <c r="AA4" s="388" t="s">
        <v>1450</v>
      </c>
      <c r="AB4" s="388" t="s">
        <v>1451</v>
      </c>
      <c r="AC4" s="388" t="s">
        <v>1452</v>
      </c>
    </row>
    <row r="5" spans="1:31" x14ac:dyDescent="0.2">
      <c r="A5" s="251" t="s">
        <v>1453</v>
      </c>
      <c r="B5" s="251" t="s">
        <v>2019</v>
      </c>
      <c r="C5" s="251" t="s">
        <v>2019</v>
      </c>
      <c r="D5" s="251" t="s">
        <v>2019</v>
      </c>
      <c r="E5" s="251" t="s">
        <v>2019</v>
      </c>
      <c r="F5" s="251" t="s">
        <v>2019</v>
      </c>
      <c r="G5" s="251" t="s">
        <v>2019</v>
      </c>
      <c r="H5" s="251" t="s">
        <v>2019</v>
      </c>
      <c r="I5" s="251" t="s">
        <v>2019</v>
      </c>
      <c r="J5" s="251" t="s">
        <v>2019</v>
      </c>
      <c r="K5" s="251" t="s">
        <v>2019</v>
      </c>
      <c r="L5" s="251" t="s">
        <v>2019</v>
      </c>
      <c r="M5" s="251" t="s">
        <v>2019</v>
      </c>
      <c r="N5" s="251" t="s">
        <v>2019</v>
      </c>
      <c r="O5" s="251" t="s">
        <v>2019</v>
      </c>
      <c r="P5" s="251" t="s">
        <v>2019</v>
      </c>
      <c r="Q5" s="251" t="s">
        <v>2019</v>
      </c>
      <c r="R5" s="251" t="s">
        <v>2019</v>
      </c>
      <c r="S5" s="251" t="s">
        <v>2019</v>
      </c>
      <c r="T5" s="251" t="s">
        <v>2019</v>
      </c>
      <c r="U5" s="251" t="s">
        <v>2019</v>
      </c>
      <c r="V5" s="251" t="s">
        <v>2019</v>
      </c>
      <c r="W5" s="251" t="s">
        <v>2019</v>
      </c>
      <c r="X5" s="251" t="s">
        <v>2019</v>
      </c>
      <c r="Y5" s="251" t="s">
        <v>2019</v>
      </c>
      <c r="Z5" s="251" t="s">
        <v>2019</v>
      </c>
      <c r="AA5" s="251" t="s">
        <v>2019</v>
      </c>
      <c r="AB5" s="251" t="s">
        <v>2019</v>
      </c>
      <c r="AC5" s="251" t="s">
        <v>2019</v>
      </c>
    </row>
    <row r="6" spans="1:31" x14ac:dyDescent="0.2">
      <c r="A6" s="251" t="s">
        <v>1454</v>
      </c>
      <c r="B6" s="251" t="s">
        <v>2018</v>
      </c>
      <c r="C6" s="251" t="s">
        <v>2020</v>
      </c>
      <c r="D6" s="251" t="s">
        <v>2021</v>
      </c>
      <c r="E6" s="251" t="s">
        <v>2022</v>
      </c>
      <c r="F6" s="251" t="s">
        <v>2023</v>
      </c>
      <c r="G6" s="251" t="s">
        <v>2024</v>
      </c>
      <c r="H6" s="251" t="s">
        <v>2025</v>
      </c>
      <c r="I6" s="251" t="s">
        <v>2026</v>
      </c>
      <c r="J6" s="251" t="s">
        <v>2027</v>
      </c>
      <c r="K6" s="251" t="s">
        <v>2028</v>
      </c>
      <c r="L6" s="251" t="s">
        <v>2029</v>
      </c>
      <c r="M6" s="251" t="s">
        <v>2030</v>
      </c>
      <c r="N6" s="251" t="s">
        <v>2031</v>
      </c>
      <c r="O6" s="251" t="s">
        <v>2032</v>
      </c>
      <c r="P6" s="251" t="s">
        <v>2033</v>
      </c>
      <c r="Q6" s="251" t="s">
        <v>2034</v>
      </c>
      <c r="R6" s="251" t="s">
        <v>2035</v>
      </c>
      <c r="S6" s="251" t="s">
        <v>2036</v>
      </c>
      <c r="T6" s="251" t="s">
        <v>2037</v>
      </c>
      <c r="U6" s="251" t="s">
        <v>2038</v>
      </c>
      <c r="V6" s="251" t="s">
        <v>2039</v>
      </c>
      <c r="W6" s="251" t="s">
        <v>2040</v>
      </c>
      <c r="X6" s="251" t="s">
        <v>2041</v>
      </c>
      <c r="Y6" s="251" t="s">
        <v>2042</v>
      </c>
      <c r="Z6" s="251" t="s">
        <v>2043</v>
      </c>
      <c r="AA6" s="251" t="s">
        <v>2044</v>
      </c>
      <c r="AB6" s="251" t="s">
        <v>2045</v>
      </c>
      <c r="AC6" s="251" t="s">
        <v>2046</v>
      </c>
    </row>
    <row r="8" spans="1:31" ht="13.5" thickBot="1" x14ac:dyDescent="0.25">
      <c r="A8" s="251" t="s">
        <v>1383</v>
      </c>
    </row>
    <row r="9" spans="1:31" x14ac:dyDescent="0.2">
      <c r="B9" s="927" t="s">
        <v>785</v>
      </c>
      <c r="C9" s="928" t="s">
        <v>786</v>
      </c>
      <c r="D9" s="928" t="s">
        <v>787</v>
      </c>
      <c r="E9" s="928" t="s">
        <v>788</v>
      </c>
      <c r="F9" s="928" t="s">
        <v>789</v>
      </c>
      <c r="G9" s="928" t="s">
        <v>790</v>
      </c>
      <c r="H9" s="928" t="s">
        <v>791</v>
      </c>
      <c r="I9" s="928" t="s">
        <v>792</v>
      </c>
      <c r="J9" s="928" t="s">
        <v>793</v>
      </c>
      <c r="K9" s="928" t="s">
        <v>794</v>
      </c>
      <c r="L9" s="928" t="s">
        <v>795</v>
      </c>
      <c r="M9" s="928" t="s">
        <v>796</v>
      </c>
      <c r="N9" s="928" t="s">
        <v>797</v>
      </c>
      <c r="O9" s="928" t="s">
        <v>798</v>
      </c>
      <c r="P9" s="928" t="s">
        <v>799</v>
      </c>
      <c r="Q9" s="928" t="s">
        <v>800</v>
      </c>
      <c r="R9" s="928" t="s">
        <v>801</v>
      </c>
      <c r="S9" s="928" t="s">
        <v>802</v>
      </c>
      <c r="T9" s="928" t="s">
        <v>803</v>
      </c>
      <c r="U9" s="928" t="s">
        <v>804</v>
      </c>
      <c r="V9" s="928" t="s">
        <v>805</v>
      </c>
      <c r="W9" s="928" t="s">
        <v>806</v>
      </c>
      <c r="X9" s="928" t="s">
        <v>807</v>
      </c>
      <c r="Y9" s="928" t="s">
        <v>808</v>
      </c>
      <c r="Z9" s="928" t="s">
        <v>809</v>
      </c>
      <c r="AA9" s="928" t="s">
        <v>810</v>
      </c>
      <c r="AB9" s="928" t="s">
        <v>811</v>
      </c>
      <c r="AC9" s="929" t="s">
        <v>812</v>
      </c>
    </row>
    <row r="10" spans="1:31" x14ac:dyDescent="0.2">
      <c r="A10" s="251" t="s">
        <v>1395</v>
      </c>
      <c r="B10" s="251" t="s">
        <v>1467</v>
      </c>
      <c r="C10" s="251" t="s">
        <v>1468</v>
      </c>
      <c r="D10" s="251" t="s">
        <v>1469</v>
      </c>
      <c r="E10" s="251" t="s">
        <v>1470</v>
      </c>
      <c r="F10" s="251" t="s">
        <v>1471</v>
      </c>
      <c r="G10" s="251" t="s">
        <v>1472</v>
      </c>
      <c r="H10" s="251" t="s">
        <v>1473</v>
      </c>
      <c r="I10" s="251" t="s">
        <v>1474</v>
      </c>
      <c r="J10" s="251" t="s">
        <v>1475</v>
      </c>
      <c r="K10" s="251" t="s">
        <v>1476</v>
      </c>
      <c r="L10" s="251" t="s">
        <v>1477</v>
      </c>
      <c r="M10" s="251" t="s">
        <v>1478</v>
      </c>
      <c r="N10" s="251" t="s">
        <v>1479</v>
      </c>
      <c r="O10" s="251" t="s">
        <v>1480</v>
      </c>
      <c r="P10" s="251" t="s">
        <v>1481</v>
      </c>
      <c r="Q10" s="251" t="s">
        <v>1482</v>
      </c>
      <c r="R10" s="251" t="s">
        <v>1483</v>
      </c>
      <c r="S10" s="251" t="s">
        <v>1484</v>
      </c>
      <c r="T10" s="251" t="s">
        <v>1485</v>
      </c>
      <c r="U10" s="251" t="s">
        <v>1782</v>
      </c>
      <c r="V10" s="251" t="s">
        <v>1486</v>
      </c>
      <c r="W10" s="251" t="s">
        <v>1487</v>
      </c>
      <c r="X10" s="251" t="s">
        <v>1488</v>
      </c>
      <c r="Y10" s="251" t="s">
        <v>1489</v>
      </c>
      <c r="Z10" s="251" t="s">
        <v>1490</v>
      </c>
      <c r="AA10" s="251" t="s">
        <v>1491</v>
      </c>
      <c r="AB10" s="251" t="s">
        <v>1492</v>
      </c>
      <c r="AC10" s="251" t="s">
        <v>1493</v>
      </c>
    </row>
    <row r="11" spans="1:31" x14ac:dyDescent="0.2">
      <c r="A11" s="251" t="s">
        <v>1424</v>
      </c>
      <c r="B11" t="s">
        <v>1425</v>
      </c>
      <c r="C11" s="388" t="s">
        <v>1426</v>
      </c>
      <c r="D11" s="388" t="s">
        <v>1427</v>
      </c>
      <c r="E11" s="388" t="s">
        <v>1428</v>
      </c>
      <c r="F11" s="388" t="s">
        <v>1429</v>
      </c>
      <c r="G11" s="388" t="s">
        <v>1430</v>
      </c>
      <c r="H11" s="388" t="s">
        <v>1431</v>
      </c>
      <c r="I11" s="388" t="s">
        <v>1432</v>
      </c>
      <c r="J11" s="388" t="s">
        <v>1433</v>
      </c>
      <c r="K11" s="388" t="s">
        <v>1434</v>
      </c>
      <c r="L11" s="388" t="s">
        <v>1435</v>
      </c>
      <c r="M11" s="388" t="s">
        <v>1436</v>
      </c>
      <c r="N11" s="388" t="s">
        <v>1437</v>
      </c>
      <c r="O11" s="388" t="s">
        <v>1438</v>
      </c>
      <c r="P11" s="388" t="s">
        <v>1439</v>
      </c>
      <c r="Q11" s="388" t="s">
        <v>1440</v>
      </c>
      <c r="R11" s="388" t="s">
        <v>1441</v>
      </c>
      <c r="S11" s="388" t="s">
        <v>1442</v>
      </c>
      <c r="T11" s="388" t="s">
        <v>1443</v>
      </c>
      <c r="U11" s="388" t="s">
        <v>1444</v>
      </c>
      <c r="V11" s="388" t="s">
        <v>1445</v>
      </c>
      <c r="W11" s="388" t="s">
        <v>1446</v>
      </c>
      <c r="X11" s="388" t="s">
        <v>1447</v>
      </c>
      <c r="Y11" s="388" t="s">
        <v>1448</v>
      </c>
      <c r="Z11" s="388" t="s">
        <v>1449</v>
      </c>
      <c r="AA11" s="388" t="s">
        <v>1450</v>
      </c>
      <c r="AB11" s="388" t="s">
        <v>1451</v>
      </c>
      <c r="AC11" s="388" t="s">
        <v>1452</v>
      </c>
    </row>
    <row r="12" spans="1:31" x14ac:dyDescent="0.2">
      <c r="A12" s="251" t="s">
        <v>1453</v>
      </c>
      <c r="B12">
        <v>43</v>
      </c>
      <c r="C12">
        <v>43</v>
      </c>
      <c r="D12">
        <v>43</v>
      </c>
      <c r="E12">
        <v>43</v>
      </c>
      <c r="F12">
        <v>43</v>
      </c>
      <c r="G12">
        <v>43</v>
      </c>
      <c r="H12">
        <v>43</v>
      </c>
      <c r="I12">
        <v>43</v>
      </c>
      <c r="J12">
        <v>43</v>
      </c>
      <c r="K12">
        <v>43</v>
      </c>
      <c r="L12">
        <v>43</v>
      </c>
      <c r="M12">
        <v>43</v>
      </c>
      <c r="N12">
        <v>43</v>
      </c>
      <c r="O12">
        <v>43</v>
      </c>
      <c r="P12">
        <v>43</v>
      </c>
      <c r="Q12">
        <v>43</v>
      </c>
      <c r="R12">
        <v>43</v>
      </c>
      <c r="S12">
        <v>43</v>
      </c>
      <c r="T12">
        <v>43</v>
      </c>
      <c r="U12">
        <v>43</v>
      </c>
      <c r="V12">
        <v>43</v>
      </c>
      <c r="W12">
        <v>43</v>
      </c>
      <c r="X12">
        <v>43</v>
      </c>
      <c r="Y12">
        <v>43</v>
      </c>
      <c r="Z12">
        <v>43</v>
      </c>
      <c r="AA12">
        <v>43</v>
      </c>
      <c r="AB12">
        <v>43</v>
      </c>
      <c r="AC12">
        <v>43</v>
      </c>
    </row>
    <row r="13" spans="1:31" x14ac:dyDescent="0.2">
      <c r="A13" s="251" t="s">
        <v>1454</v>
      </c>
      <c r="B13" s="251" t="s">
        <v>44</v>
      </c>
      <c r="C13" s="251" t="s">
        <v>1455</v>
      </c>
      <c r="D13" s="251" t="s">
        <v>45</v>
      </c>
      <c r="E13" s="251" t="s">
        <v>35</v>
      </c>
      <c r="F13" s="251" t="s">
        <v>1456</v>
      </c>
      <c r="G13" s="251" t="s">
        <v>46</v>
      </c>
      <c r="H13" s="251" t="s">
        <v>47</v>
      </c>
      <c r="I13" s="251" t="s">
        <v>1457</v>
      </c>
      <c r="J13" s="251" t="s">
        <v>25</v>
      </c>
      <c r="K13" s="251" t="s">
        <v>1458</v>
      </c>
      <c r="L13" s="251" t="s">
        <v>851</v>
      </c>
      <c r="M13" s="251" t="s">
        <v>170</v>
      </c>
      <c r="N13" s="251" t="s">
        <v>49</v>
      </c>
      <c r="O13" s="251" t="s">
        <v>50</v>
      </c>
      <c r="P13" s="251" t="s">
        <v>26</v>
      </c>
      <c r="Q13" s="251" t="s">
        <v>30</v>
      </c>
      <c r="R13" s="251" t="s">
        <v>32</v>
      </c>
      <c r="S13" s="251" t="s">
        <v>1459</v>
      </c>
      <c r="T13" s="251" t="s">
        <v>51</v>
      </c>
      <c r="U13" s="251" t="s">
        <v>52</v>
      </c>
      <c r="V13" s="251" t="s">
        <v>1460</v>
      </c>
      <c r="W13" s="251" t="s">
        <v>323</v>
      </c>
      <c r="X13" s="251" t="s">
        <v>1461</v>
      </c>
      <c r="Y13" s="251" t="s">
        <v>1462</v>
      </c>
      <c r="Z13" s="251" t="s">
        <v>1463</v>
      </c>
      <c r="AA13" s="251" t="s">
        <v>1464</v>
      </c>
      <c r="AB13" s="251" t="s">
        <v>1465</v>
      </c>
      <c r="AC13" s="251" t="s">
        <v>1466</v>
      </c>
    </row>
    <row r="15" spans="1:31" ht="13.5" thickBot="1" x14ac:dyDescent="0.25">
      <c r="A15" s="251" t="s">
        <v>1494</v>
      </c>
    </row>
    <row r="16" spans="1:31" x14ac:dyDescent="0.2">
      <c r="B16" s="927" t="s">
        <v>785</v>
      </c>
      <c r="C16" s="928" t="s">
        <v>786</v>
      </c>
      <c r="D16" s="928" t="s">
        <v>787</v>
      </c>
      <c r="E16" s="928" t="s">
        <v>788</v>
      </c>
      <c r="F16" s="928" t="s">
        <v>789</v>
      </c>
      <c r="G16" s="928" t="s">
        <v>790</v>
      </c>
      <c r="H16" s="928" t="s">
        <v>791</v>
      </c>
      <c r="I16" s="928" t="s">
        <v>792</v>
      </c>
      <c r="J16" s="928" t="s">
        <v>793</v>
      </c>
      <c r="K16" s="928" t="s">
        <v>794</v>
      </c>
      <c r="L16" s="928" t="s">
        <v>795</v>
      </c>
      <c r="M16" s="928" t="s">
        <v>796</v>
      </c>
      <c r="N16" s="928" t="s">
        <v>797</v>
      </c>
      <c r="O16" s="928" t="s">
        <v>798</v>
      </c>
      <c r="P16" s="928" t="s">
        <v>799</v>
      </c>
      <c r="Q16" s="928" t="s">
        <v>800</v>
      </c>
      <c r="R16" s="928" t="s">
        <v>801</v>
      </c>
      <c r="S16" s="928" t="s">
        <v>802</v>
      </c>
      <c r="T16" s="928" t="s">
        <v>803</v>
      </c>
      <c r="U16" s="928" t="s">
        <v>804</v>
      </c>
      <c r="V16" s="928" t="s">
        <v>805</v>
      </c>
      <c r="W16" s="928" t="s">
        <v>806</v>
      </c>
      <c r="X16" s="928" t="s">
        <v>807</v>
      </c>
      <c r="Y16" s="928" t="s">
        <v>808</v>
      </c>
      <c r="Z16" s="928" t="s">
        <v>809</v>
      </c>
      <c r="AA16" s="928" t="s">
        <v>810</v>
      </c>
      <c r="AB16" s="928" t="s">
        <v>811</v>
      </c>
      <c r="AC16" s="929" t="s">
        <v>812</v>
      </c>
    </row>
    <row r="17" spans="1:29" x14ac:dyDescent="0.2">
      <c r="A17" s="251" t="s">
        <v>1395</v>
      </c>
      <c r="B17" s="251" t="s">
        <v>1501</v>
      </c>
      <c r="C17" s="251" t="s">
        <v>1502</v>
      </c>
      <c r="D17" s="251" t="s">
        <v>1503</v>
      </c>
      <c r="E17" s="251" t="s">
        <v>1504</v>
      </c>
      <c r="F17" s="251" t="s">
        <v>1505</v>
      </c>
      <c r="G17" s="251" t="s">
        <v>1506</v>
      </c>
      <c r="H17" s="251" t="s">
        <v>1507</v>
      </c>
      <c r="I17" s="251" t="s">
        <v>1508</v>
      </c>
      <c r="J17" s="251" t="s">
        <v>1509</v>
      </c>
      <c r="K17" s="251" t="s">
        <v>1510</v>
      </c>
      <c r="L17" s="251" t="s">
        <v>1511</v>
      </c>
      <c r="M17" s="251" t="s">
        <v>1512</v>
      </c>
      <c r="N17" s="251" t="s">
        <v>1513</v>
      </c>
      <c r="O17" s="251" t="s">
        <v>1514</v>
      </c>
      <c r="P17" s="251" t="s">
        <v>1515</v>
      </c>
      <c r="Q17" s="251" t="s">
        <v>1516</v>
      </c>
      <c r="R17" s="251" t="s">
        <v>1517</v>
      </c>
      <c r="S17" s="251" t="s">
        <v>1518</v>
      </c>
      <c r="T17" s="251" t="s">
        <v>1773</v>
      </c>
      <c r="U17" s="251" t="s">
        <v>1783</v>
      </c>
      <c r="V17" s="251" t="s">
        <v>1519</v>
      </c>
      <c r="W17" s="251" t="s">
        <v>1520</v>
      </c>
      <c r="X17" s="251" t="s">
        <v>1521</v>
      </c>
      <c r="Y17" s="251" t="s">
        <v>1522</v>
      </c>
      <c r="Z17" s="251" t="s">
        <v>1523</v>
      </c>
      <c r="AA17" s="251" t="s">
        <v>1524</v>
      </c>
      <c r="AB17" s="251" t="s">
        <v>1525</v>
      </c>
      <c r="AC17" s="251" t="s">
        <v>1526</v>
      </c>
    </row>
    <row r="18" spans="1:29" x14ac:dyDescent="0.2">
      <c r="A18" s="251" t="s">
        <v>1424</v>
      </c>
      <c r="B18" t="s">
        <v>1425</v>
      </c>
      <c r="C18" s="388" t="s">
        <v>1426</v>
      </c>
      <c r="D18" s="388" t="s">
        <v>1427</v>
      </c>
      <c r="E18" s="388" t="s">
        <v>1428</v>
      </c>
      <c r="F18" s="388" t="s">
        <v>1429</v>
      </c>
      <c r="G18" s="388" t="s">
        <v>1430</v>
      </c>
      <c r="H18" s="388" t="s">
        <v>1431</v>
      </c>
      <c r="I18" s="388" t="s">
        <v>1432</v>
      </c>
      <c r="J18" s="388" t="s">
        <v>1433</v>
      </c>
      <c r="K18" s="388" t="s">
        <v>1434</v>
      </c>
      <c r="L18" s="388" t="s">
        <v>1435</v>
      </c>
      <c r="M18" s="388" t="s">
        <v>1436</v>
      </c>
      <c r="N18" s="388" t="s">
        <v>1437</v>
      </c>
      <c r="O18" s="388" t="s">
        <v>1438</v>
      </c>
      <c r="P18" s="388" t="s">
        <v>1439</v>
      </c>
      <c r="Q18" s="388" t="s">
        <v>1440</v>
      </c>
      <c r="R18" s="388" t="s">
        <v>1441</v>
      </c>
      <c r="S18" s="388" t="s">
        <v>1442</v>
      </c>
      <c r="T18" s="388" t="s">
        <v>1443</v>
      </c>
      <c r="U18" s="388" t="s">
        <v>1444</v>
      </c>
      <c r="V18" s="388" t="s">
        <v>1445</v>
      </c>
      <c r="W18" s="388" t="s">
        <v>1446</v>
      </c>
      <c r="X18" s="388" t="s">
        <v>1447</v>
      </c>
      <c r="Y18" s="388" t="s">
        <v>1448</v>
      </c>
      <c r="Z18" s="388" t="s">
        <v>1449</v>
      </c>
      <c r="AA18" s="388" t="s">
        <v>1450</v>
      </c>
      <c r="AB18" s="388" t="s">
        <v>1451</v>
      </c>
      <c r="AC18" s="388" t="s">
        <v>1452</v>
      </c>
    </row>
    <row r="19" spans="1:29" x14ac:dyDescent="0.2">
      <c r="A19" s="251" t="s">
        <v>1453</v>
      </c>
      <c r="B19">
        <v>43</v>
      </c>
      <c r="C19">
        <v>43</v>
      </c>
      <c r="D19">
        <v>43</v>
      </c>
      <c r="E19">
        <v>43</v>
      </c>
      <c r="F19">
        <v>43</v>
      </c>
      <c r="G19">
        <v>43</v>
      </c>
      <c r="H19">
        <v>43</v>
      </c>
      <c r="I19">
        <v>43</v>
      </c>
      <c r="J19">
        <v>43</v>
      </c>
      <c r="K19">
        <v>43</v>
      </c>
      <c r="L19">
        <v>43</v>
      </c>
      <c r="M19">
        <v>43</v>
      </c>
      <c r="N19">
        <v>43</v>
      </c>
      <c r="O19">
        <v>43</v>
      </c>
      <c r="P19">
        <v>43</v>
      </c>
      <c r="Q19">
        <v>43</v>
      </c>
      <c r="R19">
        <v>43</v>
      </c>
      <c r="S19">
        <v>43</v>
      </c>
      <c r="T19">
        <v>43</v>
      </c>
      <c r="U19">
        <v>43</v>
      </c>
      <c r="V19">
        <v>43</v>
      </c>
      <c r="W19">
        <v>43</v>
      </c>
      <c r="X19">
        <v>43</v>
      </c>
      <c r="Y19">
        <v>43</v>
      </c>
      <c r="Z19">
        <v>43</v>
      </c>
      <c r="AA19">
        <v>43</v>
      </c>
      <c r="AB19">
        <v>43</v>
      </c>
      <c r="AC19">
        <v>43</v>
      </c>
    </row>
    <row r="20" spans="1:29" x14ac:dyDescent="0.2">
      <c r="A20" s="251" t="s">
        <v>1454</v>
      </c>
      <c r="B20" s="251" t="s">
        <v>44</v>
      </c>
      <c r="C20" s="251" t="s">
        <v>1455</v>
      </c>
      <c r="D20" s="251" t="s">
        <v>45</v>
      </c>
      <c r="E20" s="251" t="s">
        <v>35</v>
      </c>
      <c r="F20" s="251" t="s">
        <v>1456</v>
      </c>
      <c r="G20" s="251" t="s">
        <v>46</v>
      </c>
      <c r="H20" s="251" t="s">
        <v>47</v>
      </c>
      <c r="I20" s="251" t="s">
        <v>1457</v>
      </c>
      <c r="J20" s="251" t="s">
        <v>25</v>
      </c>
      <c r="K20" s="251" t="s">
        <v>1458</v>
      </c>
      <c r="L20" s="251" t="s">
        <v>851</v>
      </c>
      <c r="M20" s="251" t="s">
        <v>170</v>
      </c>
      <c r="N20" s="251" t="s">
        <v>49</v>
      </c>
      <c r="O20" s="251" t="s">
        <v>50</v>
      </c>
      <c r="P20" s="251" t="s">
        <v>26</v>
      </c>
      <c r="Q20" s="251" t="s">
        <v>30</v>
      </c>
      <c r="R20" s="251" t="s">
        <v>32</v>
      </c>
      <c r="S20" s="251" t="s">
        <v>1459</v>
      </c>
      <c r="T20" s="251" t="s">
        <v>51</v>
      </c>
      <c r="U20" s="251" t="s">
        <v>52</v>
      </c>
      <c r="V20" s="251" t="s">
        <v>1460</v>
      </c>
      <c r="W20" s="251" t="s">
        <v>323</v>
      </c>
      <c r="X20" s="251" t="s">
        <v>1461</v>
      </c>
      <c r="Y20" s="251" t="s">
        <v>1462</v>
      </c>
      <c r="Z20" s="251" t="s">
        <v>1463</v>
      </c>
      <c r="AA20" s="251" t="s">
        <v>1464</v>
      </c>
      <c r="AB20" s="251" t="s">
        <v>1465</v>
      </c>
      <c r="AC20" s="251" t="s">
        <v>1466</v>
      </c>
    </row>
    <row r="22" spans="1:29" ht="13.5" thickBot="1" x14ac:dyDescent="0.25">
      <c r="A22" s="251" t="s">
        <v>1495</v>
      </c>
    </row>
    <row r="23" spans="1:29" x14ac:dyDescent="0.2">
      <c r="B23" s="927" t="s">
        <v>785</v>
      </c>
      <c r="C23" s="928" t="s">
        <v>786</v>
      </c>
      <c r="D23" s="928" t="s">
        <v>787</v>
      </c>
      <c r="E23" s="928" t="s">
        <v>788</v>
      </c>
      <c r="F23" s="928" t="s">
        <v>789</v>
      </c>
      <c r="G23" s="928" t="s">
        <v>790</v>
      </c>
      <c r="H23" s="928" t="s">
        <v>791</v>
      </c>
      <c r="I23" s="928" t="s">
        <v>792</v>
      </c>
      <c r="J23" s="928" t="s">
        <v>793</v>
      </c>
      <c r="K23" s="928" t="s">
        <v>794</v>
      </c>
      <c r="L23" s="928" t="s">
        <v>795</v>
      </c>
      <c r="M23" s="928" t="s">
        <v>796</v>
      </c>
      <c r="N23" s="928" t="s">
        <v>797</v>
      </c>
      <c r="O23" s="928" t="s">
        <v>798</v>
      </c>
      <c r="P23" s="928" t="s">
        <v>799</v>
      </c>
      <c r="Q23" s="928" t="s">
        <v>800</v>
      </c>
      <c r="R23" s="928" t="s">
        <v>801</v>
      </c>
      <c r="S23" s="928" t="s">
        <v>802</v>
      </c>
      <c r="T23" s="928" t="s">
        <v>803</v>
      </c>
      <c r="U23" s="928" t="s">
        <v>804</v>
      </c>
      <c r="V23" s="928" t="s">
        <v>805</v>
      </c>
      <c r="W23" s="928" t="s">
        <v>806</v>
      </c>
      <c r="X23" s="928" t="s">
        <v>807</v>
      </c>
      <c r="Y23" s="928" t="s">
        <v>808</v>
      </c>
      <c r="Z23" s="928" t="s">
        <v>809</v>
      </c>
      <c r="AA23" s="928" t="s">
        <v>810</v>
      </c>
      <c r="AB23" s="928" t="s">
        <v>811</v>
      </c>
      <c r="AC23" s="929" t="s">
        <v>812</v>
      </c>
    </row>
    <row r="24" spans="1:29" x14ac:dyDescent="0.2">
      <c r="A24" s="251" t="s">
        <v>1395</v>
      </c>
      <c r="B24" s="251" t="s">
        <v>1527</v>
      </c>
      <c r="C24" s="251" t="s">
        <v>1528</v>
      </c>
      <c r="D24" s="251" t="s">
        <v>1529</v>
      </c>
      <c r="E24" s="251" t="s">
        <v>1530</v>
      </c>
      <c r="F24" s="251" t="s">
        <v>1531</v>
      </c>
      <c r="G24" s="251" t="s">
        <v>1532</v>
      </c>
      <c r="H24" s="251" t="s">
        <v>1533</v>
      </c>
      <c r="I24" s="251" t="s">
        <v>1534</v>
      </c>
      <c r="J24" s="251" t="s">
        <v>1535</v>
      </c>
      <c r="K24" s="251" t="s">
        <v>1536</v>
      </c>
      <c r="L24" s="251" t="s">
        <v>1537</v>
      </c>
      <c r="M24" s="251" t="s">
        <v>1538</v>
      </c>
      <c r="N24" s="251" t="s">
        <v>1539</v>
      </c>
      <c r="O24" s="251" t="s">
        <v>1540</v>
      </c>
      <c r="P24" s="251" t="s">
        <v>1541</v>
      </c>
      <c r="Q24" s="251" t="s">
        <v>1542</v>
      </c>
      <c r="R24" s="251" t="s">
        <v>1543</v>
      </c>
      <c r="S24" s="251" t="s">
        <v>1763</v>
      </c>
      <c r="T24" s="251" t="s">
        <v>1774</v>
      </c>
      <c r="U24" s="251" t="s">
        <v>1784</v>
      </c>
      <c r="V24" s="251" t="s">
        <v>1544</v>
      </c>
      <c r="W24" s="251" t="s">
        <v>1545</v>
      </c>
      <c r="X24" s="251" t="s">
        <v>1546</v>
      </c>
      <c r="Y24" s="251" t="s">
        <v>1547</v>
      </c>
      <c r="Z24" s="251" t="s">
        <v>1548</v>
      </c>
      <c r="AA24" s="251" t="s">
        <v>1549</v>
      </c>
      <c r="AB24" s="251" t="s">
        <v>1550</v>
      </c>
      <c r="AC24" s="251" t="s">
        <v>1551</v>
      </c>
    </row>
    <row r="25" spans="1:29" x14ac:dyDescent="0.2">
      <c r="A25" s="251" t="s">
        <v>1424</v>
      </c>
      <c r="B25" t="s">
        <v>1425</v>
      </c>
      <c r="C25" s="388" t="s">
        <v>1426</v>
      </c>
      <c r="D25" s="388" t="s">
        <v>1427</v>
      </c>
      <c r="E25" s="388" t="s">
        <v>1428</v>
      </c>
      <c r="F25" s="388" t="s">
        <v>1429</v>
      </c>
      <c r="G25" s="388" t="s">
        <v>1430</v>
      </c>
      <c r="H25" s="388" t="s">
        <v>1431</v>
      </c>
      <c r="I25" s="388" t="s">
        <v>1432</v>
      </c>
      <c r="J25" s="388" t="s">
        <v>1433</v>
      </c>
      <c r="K25" s="388" t="s">
        <v>1434</v>
      </c>
      <c r="L25" s="388" t="s">
        <v>1435</v>
      </c>
      <c r="M25" s="388" t="s">
        <v>1436</v>
      </c>
      <c r="N25" s="388" t="s">
        <v>1437</v>
      </c>
      <c r="O25" s="388" t="s">
        <v>1438</v>
      </c>
      <c r="P25" s="388" t="s">
        <v>1439</v>
      </c>
      <c r="Q25" s="388" t="s">
        <v>1440</v>
      </c>
      <c r="R25" s="388" t="s">
        <v>1441</v>
      </c>
      <c r="S25" s="388" t="s">
        <v>1442</v>
      </c>
      <c r="T25" s="388" t="s">
        <v>1443</v>
      </c>
      <c r="U25" s="388" t="s">
        <v>1444</v>
      </c>
      <c r="V25" s="388" t="s">
        <v>1445</v>
      </c>
      <c r="W25" s="388" t="s">
        <v>1446</v>
      </c>
      <c r="X25" s="388" t="s">
        <v>1447</v>
      </c>
      <c r="Y25" s="388" t="s">
        <v>1448</v>
      </c>
      <c r="Z25" s="388" t="s">
        <v>1449</v>
      </c>
      <c r="AA25" s="388" t="s">
        <v>1450</v>
      </c>
      <c r="AB25" s="388" t="s">
        <v>1451</v>
      </c>
      <c r="AC25" s="388" t="s">
        <v>1452</v>
      </c>
    </row>
    <row r="26" spans="1:29" x14ac:dyDescent="0.2">
      <c r="A26" s="251" t="s">
        <v>1453</v>
      </c>
      <c r="B26">
        <v>43</v>
      </c>
      <c r="C26">
        <v>43</v>
      </c>
      <c r="D26">
        <v>43</v>
      </c>
      <c r="E26">
        <v>43</v>
      </c>
      <c r="F26">
        <v>43</v>
      </c>
      <c r="G26">
        <v>43</v>
      </c>
      <c r="H26">
        <v>43</v>
      </c>
      <c r="I26">
        <v>43</v>
      </c>
      <c r="J26">
        <v>43</v>
      </c>
      <c r="K26">
        <v>43</v>
      </c>
      <c r="L26">
        <v>43</v>
      </c>
      <c r="M26">
        <v>43</v>
      </c>
      <c r="N26">
        <v>43</v>
      </c>
      <c r="O26">
        <v>43</v>
      </c>
      <c r="P26">
        <v>43</v>
      </c>
      <c r="Q26">
        <v>43</v>
      </c>
      <c r="R26">
        <v>43</v>
      </c>
      <c r="S26">
        <v>43</v>
      </c>
      <c r="T26">
        <v>43</v>
      </c>
      <c r="U26">
        <v>43</v>
      </c>
      <c r="V26">
        <v>43</v>
      </c>
      <c r="W26">
        <v>43</v>
      </c>
      <c r="X26">
        <v>43</v>
      </c>
      <c r="Y26">
        <v>43</v>
      </c>
      <c r="Z26">
        <v>43</v>
      </c>
      <c r="AA26">
        <v>43</v>
      </c>
      <c r="AB26">
        <v>43</v>
      </c>
      <c r="AC26">
        <v>43</v>
      </c>
    </row>
    <row r="27" spans="1:29" x14ac:dyDescent="0.2">
      <c r="A27" s="251" t="s">
        <v>1454</v>
      </c>
      <c r="B27" s="251" t="s">
        <v>44</v>
      </c>
      <c r="C27" s="251" t="s">
        <v>1455</v>
      </c>
      <c r="D27" s="251" t="s">
        <v>45</v>
      </c>
      <c r="E27" s="251" t="s">
        <v>35</v>
      </c>
      <c r="F27" s="251" t="s">
        <v>1456</v>
      </c>
      <c r="G27" s="251" t="s">
        <v>46</v>
      </c>
      <c r="H27" s="251" t="s">
        <v>47</v>
      </c>
      <c r="I27" s="251" t="s">
        <v>1457</v>
      </c>
      <c r="J27" s="251" t="s">
        <v>25</v>
      </c>
      <c r="K27" s="251" t="s">
        <v>1458</v>
      </c>
      <c r="L27" s="251" t="s">
        <v>851</v>
      </c>
      <c r="M27" s="251" t="s">
        <v>170</v>
      </c>
      <c r="N27" s="251" t="s">
        <v>49</v>
      </c>
      <c r="O27" s="251" t="s">
        <v>50</v>
      </c>
      <c r="P27" s="251" t="s">
        <v>26</v>
      </c>
      <c r="Q27" s="251" t="s">
        <v>30</v>
      </c>
      <c r="R27" s="251" t="s">
        <v>32</v>
      </c>
      <c r="S27" s="251" t="s">
        <v>1459</v>
      </c>
      <c r="T27" s="251" t="s">
        <v>51</v>
      </c>
      <c r="U27" s="251" t="s">
        <v>52</v>
      </c>
      <c r="V27" s="251" t="s">
        <v>1460</v>
      </c>
      <c r="W27" s="251" t="s">
        <v>323</v>
      </c>
      <c r="X27" s="251" t="s">
        <v>1461</v>
      </c>
      <c r="Y27" s="251" t="s">
        <v>1462</v>
      </c>
      <c r="Z27" s="251" t="s">
        <v>1463</v>
      </c>
      <c r="AA27" s="251" t="s">
        <v>1464</v>
      </c>
      <c r="AB27" s="251" t="s">
        <v>1465</v>
      </c>
      <c r="AC27" s="251" t="s">
        <v>1466</v>
      </c>
    </row>
    <row r="29" spans="1:29" ht="13.5" thickBot="1" x14ac:dyDescent="0.25">
      <c r="A29" s="251" t="s">
        <v>1496</v>
      </c>
    </row>
    <row r="30" spans="1:29" x14ac:dyDescent="0.2">
      <c r="B30" s="927" t="s">
        <v>785</v>
      </c>
      <c r="C30" s="928" t="s">
        <v>786</v>
      </c>
      <c r="D30" s="928" t="s">
        <v>787</v>
      </c>
      <c r="E30" s="928" t="s">
        <v>788</v>
      </c>
      <c r="F30" s="928" t="s">
        <v>789</v>
      </c>
      <c r="G30" s="928" t="s">
        <v>790</v>
      </c>
      <c r="H30" s="928" t="s">
        <v>791</v>
      </c>
      <c r="I30" s="928" t="s">
        <v>792</v>
      </c>
      <c r="J30" s="928" t="s">
        <v>793</v>
      </c>
      <c r="K30" s="928" t="s">
        <v>794</v>
      </c>
      <c r="L30" s="928" t="s">
        <v>795</v>
      </c>
      <c r="M30" s="928" t="s">
        <v>796</v>
      </c>
      <c r="N30" s="928" t="s">
        <v>797</v>
      </c>
      <c r="O30" s="928" t="s">
        <v>798</v>
      </c>
      <c r="P30" s="928" t="s">
        <v>799</v>
      </c>
      <c r="Q30" s="928" t="s">
        <v>800</v>
      </c>
      <c r="R30" s="928" t="s">
        <v>801</v>
      </c>
      <c r="S30" s="928" t="s">
        <v>802</v>
      </c>
      <c r="T30" s="928" t="s">
        <v>803</v>
      </c>
      <c r="U30" s="928" t="s">
        <v>804</v>
      </c>
      <c r="V30" s="928" t="s">
        <v>805</v>
      </c>
      <c r="W30" s="928" t="s">
        <v>806</v>
      </c>
      <c r="X30" s="928" t="s">
        <v>807</v>
      </c>
      <c r="Y30" s="928" t="s">
        <v>808</v>
      </c>
      <c r="Z30" s="928" t="s">
        <v>809</v>
      </c>
      <c r="AA30" s="928" t="s">
        <v>810</v>
      </c>
      <c r="AB30" s="928" t="s">
        <v>811</v>
      </c>
      <c r="AC30" s="929" t="s">
        <v>812</v>
      </c>
    </row>
    <row r="31" spans="1:29" x14ac:dyDescent="0.2">
      <c r="A31" s="251" t="s">
        <v>1395</v>
      </c>
      <c r="B31" s="251" t="s">
        <v>1552</v>
      </c>
      <c r="C31" s="251" t="s">
        <v>1553</v>
      </c>
      <c r="D31" s="251" t="s">
        <v>1554</v>
      </c>
      <c r="E31" s="251" t="s">
        <v>1555</v>
      </c>
      <c r="F31" s="251" t="s">
        <v>1556</v>
      </c>
      <c r="G31" s="251" t="s">
        <v>1557</v>
      </c>
      <c r="H31" s="251" t="s">
        <v>1558</v>
      </c>
      <c r="I31" s="251" t="s">
        <v>1559</v>
      </c>
      <c r="J31" s="251" t="s">
        <v>1560</v>
      </c>
      <c r="K31" s="251" t="s">
        <v>1561</v>
      </c>
      <c r="L31" s="251" t="s">
        <v>1562</v>
      </c>
      <c r="M31" s="251" t="s">
        <v>1563</v>
      </c>
      <c r="N31" s="251" t="s">
        <v>1564</v>
      </c>
      <c r="O31" s="251" t="s">
        <v>1565</v>
      </c>
      <c r="P31" s="251" t="s">
        <v>1566</v>
      </c>
      <c r="Q31" s="251" t="s">
        <v>1567</v>
      </c>
      <c r="R31" s="251" t="s">
        <v>1755</v>
      </c>
      <c r="S31" s="251" t="s">
        <v>1764</v>
      </c>
      <c r="T31" s="251" t="s">
        <v>1775</v>
      </c>
      <c r="U31" s="251" t="s">
        <v>1785</v>
      </c>
      <c r="V31" s="251" t="s">
        <v>1568</v>
      </c>
      <c r="W31" s="251" t="s">
        <v>1569</v>
      </c>
      <c r="X31" s="251" t="s">
        <v>1570</v>
      </c>
      <c r="Y31" s="251" t="s">
        <v>1571</v>
      </c>
      <c r="Z31" s="251" t="s">
        <v>1572</v>
      </c>
      <c r="AA31" s="251" t="s">
        <v>1573</v>
      </c>
      <c r="AB31" s="251" t="s">
        <v>1574</v>
      </c>
      <c r="AC31" s="251" t="s">
        <v>1575</v>
      </c>
    </row>
    <row r="32" spans="1:29" x14ac:dyDescent="0.2">
      <c r="A32" s="251" t="s">
        <v>1424</v>
      </c>
      <c r="B32" t="s">
        <v>1425</v>
      </c>
      <c r="C32" s="388" t="s">
        <v>1426</v>
      </c>
      <c r="D32" s="388" t="s">
        <v>1427</v>
      </c>
      <c r="E32" s="388" t="s">
        <v>1428</v>
      </c>
      <c r="F32" s="388" t="s">
        <v>1429</v>
      </c>
      <c r="G32" s="388" t="s">
        <v>1430</v>
      </c>
      <c r="H32" s="388" t="s">
        <v>1431</v>
      </c>
      <c r="I32" s="388" t="s">
        <v>1432</v>
      </c>
      <c r="J32" s="388" t="s">
        <v>1433</v>
      </c>
      <c r="K32" s="388" t="s">
        <v>1434</v>
      </c>
      <c r="L32" s="388" t="s">
        <v>1435</v>
      </c>
      <c r="M32" s="388" t="s">
        <v>1436</v>
      </c>
      <c r="N32" s="388" t="s">
        <v>1437</v>
      </c>
      <c r="O32" s="388" t="s">
        <v>1438</v>
      </c>
      <c r="P32" s="388" t="s">
        <v>1439</v>
      </c>
      <c r="Q32" s="388" t="s">
        <v>1440</v>
      </c>
      <c r="R32" s="388" t="s">
        <v>1441</v>
      </c>
      <c r="S32" s="388" t="s">
        <v>1442</v>
      </c>
      <c r="T32" s="388" t="s">
        <v>1443</v>
      </c>
      <c r="U32" s="388" t="s">
        <v>1444</v>
      </c>
      <c r="V32" s="388" t="s">
        <v>1445</v>
      </c>
      <c r="W32" s="388" t="s">
        <v>1446</v>
      </c>
      <c r="X32" s="388" t="s">
        <v>1447</v>
      </c>
      <c r="Y32" s="388" t="s">
        <v>1448</v>
      </c>
      <c r="Z32" s="388" t="s">
        <v>1449</v>
      </c>
      <c r="AA32" s="388" t="s">
        <v>1450</v>
      </c>
      <c r="AB32" s="388" t="s">
        <v>1451</v>
      </c>
      <c r="AC32" s="388" t="s">
        <v>1452</v>
      </c>
    </row>
    <row r="33" spans="1:29" x14ac:dyDescent="0.2">
      <c r="A33" s="251" t="s">
        <v>1453</v>
      </c>
      <c r="B33">
        <v>43</v>
      </c>
      <c r="C33">
        <v>43</v>
      </c>
      <c r="D33">
        <v>43</v>
      </c>
      <c r="E33">
        <v>43</v>
      </c>
      <c r="F33">
        <v>43</v>
      </c>
      <c r="G33">
        <v>43</v>
      </c>
      <c r="H33">
        <v>43</v>
      </c>
      <c r="I33">
        <v>43</v>
      </c>
      <c r="J33">
        <v>43</v>
      </c>
      <c r="K33">
        <v>43</v>
      </c>
      <c r="L33">
        <v>43</v>
      </c>
      <c r="M33">
        <v>43</v>
      </c>
      <c r="N33">
        <v>43</v>
      </c>
      <c r="O33">
        <v>43</v>
      </c>
      <c r="P33">
        <v>43</v>
      </c>
      <c r="Q33">
        <v>43</v>
      </c>
      <c r="R33">
        <v>43</v>
      </c>
      <c r="S33">
        <v>43</v>
      </c>
      <c r="T33">
        <v>43</v>
      </c>
      <c r="U33">
        <v>43</v>
      </c>
      <c r="V33">
        <v>43</v>
      </c>
      <c r="W33">
        <v>43</v>
      </c>
      <c r="X33">
        <v>43</v>
      </c>
      <c r="Y33">
        <v>43</v>
      </c>
      <c r="Z33">
        <v>43</v>
      </c>
      <c r="AA33">
        <v>43</v>
      </c>
      <c r="AB33">
        <v>43</v>
      </c>
      <c r="AC33">
        <v>43</v>
      </c>
    </row>
    <row r="34" spans="1:29" x14ac:dyDescent="0.2">
      <c r="A34" s="251" t="s">
        <v>1454</v>
      </c>
      <c r="B34" s="251" t="s">
        <v>44</v>
      </c>
      <c r="C34" s="251" t="s">
        <v>1455</v>
      </c>
      <c r="D34" s="251" t="s">
        <v>45</v>
      </c>
      <c r="E34" s="251" t="s">
        <v>35</v>
      </c>
      <c r="F34" s="251" t="s">
        <v>1456</v>
      </c>
      <c r="G34" s="251" t="s">
        <v>46</v>
      </c>
      <c r="H34" s="251" t="s">
        <v>47</v>
      </c>
      <c r="I34" s="251" t="s">
        <v>1457</v>
      </c>
      <c r="J34" s="251" t="s">
        <v>25</v>
      </c>
      <c r="K34" s="251" t="s">
        <v>1458</v>
      </c>
      <c r="L34" s="251" t="s">
        <v>851</v>
      </c>
      <c r="M34" s="251" t="s">
        <v>170</v>
      </c>
      <c r="N34" s="251" t="s">
        <v>49</v>
      </c>
      <c r="O34" s="251" t="s">
        <v>50</v>
      </c>
      <c r="P34" s="251" t="s">
        <v>26</v>
      </c>
      <c r="Q34" s="251" t="s">
        <v>30</v>
      </c>
      <c r="R34" s="251" t="s">
        <v>32</v>
      </c>
      <c r="S34" s="251" t="s">
        <v>1459</v>
      </c>
      <c r="T34" s="251" t="s">
        <v>51</v>
      </c>
      <c r="U34" s="251" t="s">
        <v>52</v>
      </c>
      <c r="V34" s="251" t="s">
        <v>1460</v>
      </c>
      <c r="W34" s="251" t="s">
        <v>323</v>
      </c>
      <c r="X34" s="251" t="s">
        <v>1461</v>
      </c>
      <c r="Y34" s="251" t="s">
        <v>1462</v>
      </c>
      <c r="Z34" s="251" t="s">
        <v>1463</v>
      </c>
      <c r="AA34" s="251" t="s">
        <v>1464</v>
      </c>
      <c r="AB34" s="251" t="s">
        <v>1465</v>
      </c>
      <c r="AC34" s="251" t="s">
        <v>1466</v>
      </c>
    </row>
    <row r="36" spans="1:29" ht="13.5" thickBot="1" x14ac:dyDescent="0.25">
      <c r="A36" s="251" t="s">
        <v>1497</v>
      </c>
    </row>
    <row r="37" spans="1:29" x14ac:dyDescent="0.2">
      <c r="B37" s="927" t="s">
        <v>785</v>
      </c>
      <c r="C37" s="928" t="s">
        <v>786</v>
      </c>
      <c r="D37" s="928" t="s">
        <v>787</v>
      </c>
      <c r="E37" s="928" t="s">
        <v>788</v>
      </c>
      <c r="F37" s="928" t="s">
        <v>789</v>
      </c>
      <c r="G37" s="928" t="s">
        <v>790</v>
      </c>
      <c r="H37" s="928" t="s">
        <v>791</v>
      </c>
      <c r="I37" s="928" t="s">
        <v>792</v>
      </c>
      <c r="J37" s="928" t="s">
        <v>793</v>
      </c>
      <c r="K37" s="928" t="s">
        <v>794</v>
      </c>
      <c r="L37" s="928" t="s">
        <v>795</v>
      </c>
      <c r="M37" s="928" t="s">
        <v>796</v>
      </c>
      <c r="N37" s="928" t="s">
        <v>797</v>
      </c>
      <c r="O37" s="928" t="s">
        <v>798</v>
      </c>
      <c r="P37" s="928" t="s">
        <v>799</v>
      </c>
      <c r="Q37" s="928" t="s">
        <v>800</v>
      </c>
      <c r="R37" s="928" t="s">
        <v>801</v>
      </c>
      <c r="S37" s="928" t="s">
        <v>802</v>
      </c>
      <c r="T37" s="928" t="s">
        <v>803</v>
      </c>
      <c r="U37" s="928" t="s">
        <v>804</v>
      </c>
      <c r="V37" s="928" t="s">
        <v>805</v>
      </c>
      <c r="W37" s="928" t="s">
        <v>806</v>
      </c>
      <c r="X37" s="928" t="s">
        <v>807</v>
      </c>
      <c r="Y37" s="928" t="s">
        <v>808</v>
      </c>
      <c r="Z37" s="928" t="s">
        <v>809</v>
      </c>
      <c r="AA37" s="928" t="s">
        <v>810</v>
      </c>
      <c r="AB37" s="928" t="s">
        <v>811</v>
      </c>
      <c r="AC37" s="929" t="s">
        <v>812</v>
      </c>
    </row>
    <row r="38" spans="1:29" x14ac:dyDescent="0.2">
      <c r="A38" s="251" t="s">
        <v>1395</v>
      </c>
      <c r="B38" s="251" t="s">
        <v>1576</v>
      </c>
      <c r="C38" s="251" t="s">
        <v>1577</v>
      </c>
      <c r="D38" s="251" t="s">
        <v>1578</v>
      </c>
      <c r="E38" s="251" t="s">
        <v>1579</v>
      </c>
      <c r="F38" s="251" t="s">
        <v>1580</v>
      </c>
      <c r="G38" s="251" t="s">
        <v>1581</v>
      </c>
      <c r="H38" s="251" t="s">
        <v>1582</v>
      </c>
      <c r="I38" s="251" t="s">
        <v>1583</v>
      </c>
      <c r="J38" s="251" t="s">
        <v>1584</v>
      </c>
      <c r="K38" s="251" t="s">
        <v>1585</v>
      </c>
      <c r="L38" s="251" t="s">
        <v>1586</v>
      </c>
      <c r="M38" s="251" t="s">
        <v>1587</v>
      </c>
      <c r="N38" s="251" t="s">
        <v>1588</v>
      </c>
      <c r="O38" s="251" t="s">
        <v>1589</v>
      </c>
      <c r="P38" s="251" t="s">
        <v>1590</v>
      </c>
      <c r="Q38" s="251" t="s">
        <v>1591</v>
      </c>
      <c r="R38" s="251" t="s">
        <v>1756</v>
      </c>
      <c r="S38" s="251" t="s">
        <v>1765</v>
      </c>
      <c r="T38" s="251" t="s">
        <v>1776</v>
      </c>
      <c r="U38" s="251" t="s">
        <v>1786</v>
      </c>
      <c r="V38" s="251" t="s">
        <v>1592</v>
      </c>
      <c r="W38" s="251" t="s">
        <v>1593</v>
      </c>
      <c r="X38" s="251" t="s">
        <v>1594</v>
      </c>
      <c r="Y38" s="251" t="s">
        <v>1595</v>
      </c>
      <c r="Z38" s="251" t="s">
        <v>1596</v>
      </c>
      <c r="AA38" s="251" t="s">
        <v>1597</v>
      </c>
      <c r="AB38" s="251" t="s">
        <v>1598</v>
      </c>
      <c r="AC38" s="251" t="s">
        <v>1599</v>
      </c>
    </row>
    <row r="39" spans="1:29" x14ac:dyDescent="0.2">
      <c r="A39" s="251" t="s">
        <v>1424</v>
      </c>
      <c r="B39" t="s">
        <v>1425</v>
      </c>
      <c r="C39" s="388" t="s">
        <v>1426</v>
      </c>
      <c r="D39" s="388" t="s">
        <v>1427</v>
      </c>
      <c r="E39" s="388" t="s">
        <v>1428</v>
      </c>
      <c r="F39" s="388" t="s">
        <v>1429</v>
      </c>
      <c r="G39" s="388" t="s">
        <v>1430</v>
      </c>
      <c r="H39" s="388" t="s">
        <v>1431</v>
      </c>
      <c r="I39" s="388" t="s">
        <v>1432</v>
      </c>
      <c r="J39" s="388" t="s">
        <v>1433</v>
      </c>
      <c r="K39" s="388" t="s">
        <v>1434</v>
      </c>
      <c r="L39" s="388" t="s">
        <v>1435</v>
      </c>
      <c r="M39" s="388" t="s">
        <v>1436</v>
      </c>
      <c r="N39" s="388" t="s">
        <v>1437</v>
      </c>
      <c r="O39" s="388" t="s">
        <v>1438</v>
      </c>
      <c r="P39" s="388" t="s">
        <v>1439</v>
      </c>
      <c r="Q39" s="388" t="s">
        <v>1440</v>
      </c>
      <c r="R39" s="388" t="s">
        <v>1441</v>
      </c>
      <c r="S39" s="388" t="s">
        <v>1442</v>
      </c>
      <c r="T39" s="388" t="s">
        <v>1443</v>
      </c>
      <c r="U39" s="388" t="s">
        <v>1444</v>
      </c>
      <c r="V39" s="388" t="s">
        <v>1445</v>
      </c>
      <c r="W39" s="388" t="s">
        <v>1446</v>
      </c>
      <c r="X39" s="388" t="s">
        <v>1447</v>
      </c>
      <c r="Y39" s="388" t="s">
        <v>1448</v>
      </c>
      <c r="Z39" s="388" t="s">
        <v>1449</v>
      </c>
      <c r="AA39" s="388" t="s">
        <v>1450</v>
      </c>
      <c r="AB39" s="388" t="s">
        <v>1451</v>
      </c>
      <c r="AC39" s="388" t="s">
        <v>1452</v>
      </c>
    </row>
    <row r="40" spans="1:29" x14ac:dyDescent="0.2">
      <c r="A40" s="251" t="s">
        <v>1453</v>
      </c>
      <c r="B40">
        <v>43</v>
      </c>
      <c r="C40">
        <v>43</v>
      </c>
      <c r="D40">
        <v>43</v>
      </c>
      <c r="E40">
        <v>43</v>
      </c>
      <c r="F40">
        <v>43</v>
      </c>
      <c r="G40">
        <v>43</v>
      </c>
      <c r="H40">
        <v>43</v>
      </c>
      <c r="I40">
        <v>43</v>
      </c>
      <c r="J40">
        <v>43</v>
      </c>
      <c r="K40">
        <v>43</v>
      </c>
      <c r="L40">
        <v>43</v>
      </c>
      <c r="M40">
        <v>43</v>
      </c>
      <c r="N40">
        <v>43</v>
      </c>
      <c r="O40">
        <v>43</v>
      </c>
      <c r="P40">
        <v>43</v>
      </c>
      <c r="Q40">
        <v>43</v>
      </c>
      <c r="R40">
        <v>43</v>
      </c>
      <c r="S40">
        <v>43</v>
      </c>
      <c r="T40">
        <v>43</v>
      </c>
      <c r="U40">
        <v>43</v>
      </c>
      <c r="V40">
        <v>43</v>
      </c>
      <c r="W40">
        <v>43</v>
      </c>
      <c r="X40">
        <v>43</v>
      </c>
      <c r="Y40">
        <v>43</v>
      </c>
      <c r="Z40">
        <v>43</v>
      </c>
      <c r="AA40">
        <v>43</v>
      </c>
      <c r="AB40">
        <v>43</v>
      </c>
      <c r="AC40">
        <v>43</v>
      </c>
    </row>
    <row r="41" spans="1:29" x14ac:dyDescent="0.2">
      <c r="A41" s="251" t="s">
        <v>1454</v>
      </c>
      <c r="B41" s="251" t="s">
        <v>44</v>
      </c>
      <c r="C41" s="251" t="s">
        <v>1455</v>
      </c>
      <c r="D41" s="251" t="s">
        <v>45</v>
      </c>
      <c r="E41" s="251" t="s">
        <v>35</v>
      </c>
      <c r="F41" s="251" t="s">
        <v>1456</v>
      </c>
      <c r="G41" s="251" t="s">
        <v>46</v>
      </c>
      <c r="H41" s="251" t="s">
        <v>47</v>
      </c>
      <c r="I41" s="251" t="s">
        <v>1457</v>
      </c>
      <c r="J41" s="251" t="s">
        <v>25</v>
      </c>
      <c r="K41" s="251" t="s">
        <v>1458</v>
      </c>
      <c r="L41" s="251" t="s">
        <v>851</v>
      </c>
      <c r="M41" s="251" t="s">
        <v>170</v>
      </c>
      <c r="N41" s="251" t="s">
        <v>49</v>
      </c>
      <c r="O41" s="251" t="s">
        <v>50</v>
      </c>
      <c r="P41" s="251" t="s">
        <v>26</v>
      </c>
      <c r="Q41" s="251" t="s">
        <v>30</v>
      </c>
      <c r="R41" s="251" t="s">
        <v>32</v>
      </c>
      <c r="S41" s="251" t="s">
        <v>1459</v>
      </c>
      <c r="T41" s="251" t="s">
        <v>51</v>
      </c>
      <c r="U41" s="251" t="s">
        <v>52</v>
      </c>
      <c r="V41" s="251" t="s">
        <v>1460</v>
      </c>
      <c r="W41" s="251" t="s">
        <v>323</v>
      </c>
      <c r="X41" s="251" t="s">
        <v>1461</v>
      </c>
      <c r="Y41" s="251" t="s">
        <v>1462</v>
      </c>
      <c r="Z41" s="251" t="s">
        <v>1463</v>
      </c>
      <c r="AA41" s="251" t="s">
        <v>1464</v>
      </c>
      <c r="AB41" s="251" t="s">
        <v>1465</v>
      </c>
      <c r="AC41" s="251" t="s">
        <v>1466</v>
      </c>
    </row>
    <row r="43" spans="1:29" ht="13.5" thickBot="1" x14ac:dyDescent="0.25">
      <c r="A43" s="251" t="s">
        <v>1498</v>
      </c>
    </row>
    <row r="44" spans="1:29" x14ac:dyDescent="0.2">
      <c r="B44" s="927" t="s">
        <v>785</v>
      </c>
      <c r="C44" s="928" t="s">
        <v>786</v>
      </c>
      <c r="D44" s="928" t="s">
        <v>787</v>
      </c>
      <c r="E44" s="928" t="s">
        <v>788</v>
      </c>
      <c r="F44" s="928" t="s">
        <v>789</v>
      </c>
      <c r="G44" s="928" t="s">
        <v>790</v>
      </c>
      <c r="H44" s="928" t="s">
        <v>791</v>
      </c>
      <c r="I44" s="928" t="s">
        <v>792</v>
      </c>
      <c r="J44" s="928" t="s">
        <v>793</v>
      </c>
      <c r="K44" s="928" t="s">
        <v>794</v>
      </c>
      <c r="L44" s="928" t="s">
        <v>795</v>
      </c>
      <c r="M44" s="928" t="s">
        <v>796</v>
      </c>
      <c r="N44" s="928" t="s">
        <v>797</v>
      </c>
      <c r="O44" s="928" t="s">
        <v>798</v>
      </c>
      <c r="P44" s="928" t="s">
        <v>799</v>
      </c>
      <c r="Q44" s="928" t="s">
        <v>800</v>
      </c>
      <c r="R44" s="928" t="s">
        <v>801</v>
      </c>
      <c r="S44" s="928" t="s">
        <v>802</v>
      </c>
      <c r="T44" s="928" t="s">
        <v>803</v>
      </c>
      <c r="U44" s="928" t="s">
        <v>804</v>
      </c>
      <c r="V44" s="928" t="s">
        <v>805</v>
      </c>
      <c r="W44" s="928" t="s">
        <v>806</v>
      </c>
      <c r="X44" s="928" t="s">
        <v>807</v>
      </c>
      <c r="Y44" s="928" t="s">
        <v>808</v>
      </c>
      <c r="Z44" s="928" t="s">
        <v>809</v>
      </c>
      <c r="AA44" s="928" t="s">
        <v>810</v>
      </c>
      <c r="AB44" s="928" t="s">
        <v>811</v>
      </c>
      <c r="AC44" s="929" t="s">
        <v>812</v>
      </c>
    </row>
    <row r="45" spans="1:29" x14ac:dyDescent="0.2">
      <c r="A45" s="251" t="s">
        <v>1395</v>
      </c>
      <c r="B45" s="251" t="s">
        <v>1600</v>
      </c>
      <c r="C45" s="251" t="s">
        <v>1601</v>
      </c>
      <c r="D45" s="251" t="s">
        <v>1602</v>
      </c>
      <c r="E45" s="251" t="s">
        <v>1603</v>
      </c>
      <c r="F45" s="251" t="s">
        <v>1604</v>
      </c>
      <c r="G45" s="251" t="s">
        <v>1605</v>
      </c>
      <c r="H45" s="251" t="s">
        <v>1606</v>
      </c>
      <c r="I45" s="251" t="s">
        <v>1607</v>
      </c>
      <c r="J45" s="251" t="s">
        <v>1608</v>
      </c>
      <c r="K45" s="251" t="s">
        <v>1609</v>
      </c>
      <c r="L45" s="251" t="s">
        <v>1610</v>
      </c>
      <c r="M45" s="251" t="s">
        <v>1611</v>
      </c>
      <c r="N45" s="251" t="s">
        <v>1612</v>
      </c>
      <c r="O45" s="251" t="s">
        <v>1613</v>
      </c>
      <c r="P45" s="251" t="s">
        <v>1614</v>
      </c>
      <c r="Q45" s="251" t="s">
        <v>1615</v>
      </c>
      <c r="R45" s="251" t="s">
        <v>1757</v>
      </c>
      <c r="S45" s="251" t="s">
        <v>1766</v>
      </c>
      <c r="T45" s="251" t="s">
        <v>1777</v>
      </c>
      <c r="U45" s="251" t="s">
        <v>1787</v>
      </c>
      <c r="V45" s="251" t="s">
        <v>1616</v>
      </c>
      <c r="W45" s="251" t="s">
        <v>1617</v>
      </c>
      <c r="X45" s="251" t="s">
        <v>1618</v>
      </c>
      <c r="Y45" s="251" t="s">
        <v>1619</v>
      </c>
      <c r="Z45" s="251" t="s">
        <v>1620</v>
      </c>
      <c r="AA45" s="251" t="s">
        <v>1621</v>
      </c>
      <c r="AB45" s="251" t="s">
        <v>1622</v>
      </c>
      <c r="AC45" s="251" t="s">
        <v>1623</v>
      </c>
    </row>
    <row r="46" spans="1:29" x14ac:dyDescent="0.2">
      <c r="A46" s="251" t="s">
        <v>1424</v>
      </c>
      <c r="B46" t="s">
        <v>1425</v>
      </c>
      <c r="C46" s="388" t="s">
        <v>1426</v>
      </c>
      <c r="D46" s="388" t="s">
        <v>1427</v>
      </c>
      <c r="E46" s="388" t="s">
        <v>1428</v>
      </c>
      <c r="F46" s="388" t="s">
        <v>1429</v>
      </c>
      <c r="G46" s="388" t="s">
        <v>1430</v>
      </c>
      <c r="H46" s="388" t="s">
        <v>1431</v>
      </c>
      <c r="I46" s="388" t="s">
        <v>1432</v>
      </c>
      <c r="J46" s="388" t="s">
        <v>1433</v>
      </c>
      <c r="K46" s="388" t="s">
        <v>1434</v>
      </c>
      <c r="L46" s="388" t="s">
        <v>1435</v>
      </c>
      <c r="M46" s="388" t="s">
        <v>1436</v>
      </c>
      <c r="N46" s="388" t="s">
        <v>1437</v>
      </c>
      <c r="O46" s="388" t="s">
        <v>1438</v>
      </c>
      <c r="P46" s="388" t="s">
        <v>1439</v>
      </c>
      <c r="Q46" s="388" t="s">
        <v>1440</v>
      </c>
      <c r="R46" s="388" t="s">
        <v>1441</v>
      </c>
      <c r="S46" s="388" t="s">
        <v>1442</v>
      </c>
      <c r="T46" s="388" t="s">
        <v>1443</v>
      </c>
      <c r="U46" s="388" t="s">
        <v>1444</v>
      </c>
      <c r="V46" s="388" t="s">
        <v>1445</v>
      </c>
      <c r="W46" s="388" t="s">
        <v>1446</v>
      </c>
      <c r="X46" s="388" t="s">
        <v>1447</v>
      </c>
      <c r="Y46" s="388" t="s">
        <v>1448</v>
      </c>
      <c r="Z46" s="388" t="s">
        <v>1449</v>
      </c>
      <c r="AA46" s="388" t="s">
        <v>1450</v>
      </c>
      <c r="AB46" s="388" t="s">
        <v>1451</v>
      </c>
      <c r="AC46" s="388" t="s">
        <v>1452</v>
      </c>
    </row>
    <row r="47" spans="1:29" x14ac:dyDescent="0.2">
      <c r="A47" s="251" t="s">
        <v>1453</v>
      </c>
      <c r="B47">
        <v>43</v>
      </c>
      <c r="C47">
        <v>43</v>
      </c>
      <c r="D47">
        <v>43</v>
      </c>
      <c r="E47">
        <v>43</v>
      </c>
      <c r="F47">
        <v>43</v>
      </c>
      <c r="G47">
        <v>43</v>
      </c>
      <c r="H47">
        <v>43</v>
      </c>
      <c r="I47">
        <v>43</v>
      </c>
      <c r="J47">
        <v>43</v>
      </c>
      <c r="K47">
        <v>43</v>
      </c>
      <c r="L47">
        <v>43</v>
      </c>
      <c r="M47">
        <v>43</v>
      </c>
      <c r="N47">
        <v>43</v>
      </c>
      <c r="O47">
        <v>43</v>
      </c>
      <c r="P47">
        <v>43</v>
      </c>
      <c r="Q47">
        <v>43</v>
      </c>
      <c r="R47">
        <v>43</v>
      </c>
      <c r="S47">
        <v>43</v>
      </c>
      <c r="T47">
        <v>43</v>
      </c>
      <c r="U47">
        <v>43</v>
      </c>
      <c r="V47">
        <v>43</v>
      </c>
      <c r="W47">
        <v>43</v>
      </c>
      <c r="X47">
        <v>43</v>
      </c>
      <c r="Y47">
        <v>43</v>
      </c>
      <c r="Z47">
        <v>43</v>
      </c>
      <c r="AA47">
        <v>43</v>
      </c>
      <c r="AB47">
        <v>43</v>
      </c>
      <c r="AC47">
        <v>43</v>
      </c>
    </row>
    <row r="48" spans="1:29" x14ac:dyDescent="0.2">
      <c r="A48" s="251" t="s">
        <v>1454</v>
      </c>
      <c r="B48" s="251" t="s">
        <v>44</v>
      </c>
      <c r="C48" s="251" t="s">
        <v>1455</v>
      </c>
      <c r="D48" s="251" t="s">
        <v>45</v>
      </c>
      <c r="E48" s="251" t="s">
        <v>35</v>
      </c>
      <c r="F48" s="251" t="s">
        <v>1456</v>
      </c>
      <c r="G48" s="251" t="s">
        <v>46</v>
      </c>
      <c r="H48" s="251" t="s">
        <v>47</v>
      </c>
      <c r="I48" s="251" t="s">
        <v>1457</v>
      </c>
      <c r="J48" s="251" t="s">
        <v>25</v>
      </c>
      <c r="K48" s="251" t="s">
        <v>1458</v>
      </c>
      <c r="L48" s="251" t="s">
        <v>851</v>
      </c>
      <c r="M48" s="251" t="s">
        <v>170</v>
      </c>
      <c r="N48" s="251" t="s">
        <v>49</v>
      </c>
      <c r="O48" s="251" t="s">
        <v>50</v>
      </c>
      <c r="P48" s="251" t="s">
        <v>26</v>
      </c>
      <c r="Q48" s="251" t="s">
        <v>30</v>
      </c>
      <c r="R48" s="251" t="s">
        <v>32</v>
      </c>
      <c r="S48" s="251" t="s">
        <v>1459</v>
      </c>
      <c r="T48" s="251" t="s">
        <v>51</v>
      </c>
      <c r="U48" s="251" t="s">
        <v>52</v>
      </c>
      <c r="V48" s="251" t="s">
        <v>1460</v>
      </c>
      <c r="W48" s="251" t="s">
        <v>323</v>
      </c>
      <c r="X48" s="251" t="s">
        <v>1461</v>
      </c>
      <c r="Y48" s="251" t="s">
        <v>1462</v>
      </c>
      <c r="Z48" s="251" t="s">
        <v>1463</v>
      </c>
      <c r="AA48" s="251" t="s">
        <v>1464</v>
      </c>
      <c r="AB48" s="251" t="s">
        <v>1465</v>
      </c>
      <c r="AC48" s="251" t="s">
        <v>1466</v>
      </c>
    </row>
    <row r="50" spans="1:29" ht="13.5" thickBot="1" x14ac:dyDescent="0.25">
      <c r="A50" s="251" t="s">
        <v>1499</v>
      </c>
    </row>
    <row r="51" spans="1:29" x14ac:dyDescent="0.2">
      <c r="B51" s="927" t="s">
        <v>785</v>
      </c>
      <c r="C51" s="928" t="s">
        <v>786</v>
      </c>
      <c r="D51" s="928" t="s">
        <v>787</v>
      </c>
      <c r="E51" s="928" t="s">
        <v>788</v>
      </c>
      <c r="F51" s="928" t="s">
        <v>789</v>
      </c>
      <c r="G51" s="928" t="s">
        <v>790</v>
      </c>
      <c r="H51" s="928" t="s">
        <v>791</v>
      </c>
      <c r="I51" s="928" t="s">
        <v>792</v>
      </c>
      <c r="J51" s="928" t="s">
        <v>793</v>
      </c>
      <c r="K51" s="928" t="s">
        <v>794</v>
      </c>
      <c r="L51" s="928" t="s">
        <v>795</v>
      </c>
      <c r="M51" s="928" t="s">
        <v>796</v>
      </c>
      <c r="N51" s="928" t="s">
        <v>797</v>
      </c>
      <c r="O51" s="928" t="s">
        <v>798</v>
      </c>
      <c r="P51" s="928" t="s">
        <v>799</v>
      </c>
      <c r="Q51" s="928" t="s">
        <v>800</v>
      </c>
      <c r="R51" s="928" t="s">
        <v>801</v>
      </c>
      <c r="S51" s="928" t="s">
        <v>802</v>
      </c>
      <c r="T51" s="928" t="s">
        <v>803</v>
      </c>
      <c r="U51" s="928" t="s">
        <v>804</v>
      </c>
      <c r="V51" s="928" t="s">
        <v>805</v>
      </c>
      <c r="W51" s="928" t="s">
        <v>806</v>
      </c>
      <c r="X51" s="928" t="s">
        <v>807</v>
      </c>
      <c r="Y51" s="928" t="s">
        <v>808</v>
      </c>
      <c r="Z51" s="928" t="s">
        <v>809</v>
      </c>
      <c r="AA51" s="928" t="s">
        <v>810</v>
      </c>
      <c r="AB51" s="928" t="s">
        <v>811</v>
      </c>
      <c r="AC51" s="929" t="s">
        <v>812</v>
      </c>
    </row>
    <row r="52" spans="1:29" x14ac:dyDescent="0.2">
      <c r="A52" s="251" t="s">
        <v>1395</v>
      </c>
      <c r="B52" s="251" t="s">
        <v>1624</v>
      </c>
      <c r="C52" s="251" t="s">
        <v>1625</v>
      </c>
      <c r="D52" s="251" t="s">
        <v>1626</v>
      </c>
      <c r="E52" s="251" t="s">
        <v>1627</v>
      </c>
      <c r="F52" s="251" t="s">
        <v>1628</v>
      </c>
      <c r="G52" s="251" t="s">
        <v>1629</v>
      </c>
      <c r="H52" s="251" t="s">
        <v>1630</v>
      </c>
      <c r="I52" s="251" t="s">
        <v>1631</v>
      </c>
      <c r="J52" s="251" t="s">
        <v>1632</v>
      </c>
      <c r="K52" s="251" t="s">
        <v>1633</v>
      </c>
      <c r="L52" s="251" t="s">
        <v>1634</v>
      </c>
      <c r="M52" s="251" t="s">
        <v>1635</v>
      </c>
      <c r="N52" s="251" t="s">
        <v>1636</v>
      </c>
      <c r="O52" s="251" t="s">
        <v>1637</v>
      </c>
      <c r="P52" s="251" t="s">
        <v>1638</v>
      </c>
      <c r="Q52" s="251" t="s">
        <v>1639</v>
      </c>
      <c r="R52" s="251" t="s">
        <v>1758</v>
      </c>
      <c r="S52" s="251" t="s">
        <v>1767</v>
      </c>
      <c r="T52" s="251" t="s">
        <v>1778</v>
      </c>
      <c r="U52" s="251" t="s">
        <v>1788</v>
      </c>
      <c r="V52" s="251" t="s">
        <v>1640</v>
      </c>
      <c r="W52" s="251" t="s">
        <v>1641</v>
      </c>
      <c r="X52" s="251" t="s">
        <v>1642</v>
      </c>
      <c r="Y52" s="251" t="s">
        <v>1643</v>
      </c>
      <c r="Z52" s="251" t="s">
        <v>1644</v>
      </c>
      <c r="AA52" s="251" t="s">
        <v>1645</v>
      </c>
      <c r="AB52" s="251" t="s">
        <v>1646</v>
      </c>
      <c r="AC52" s="251" t="s">
        <v>1647</v>
      </c>
    </row>
    <row r="53" spans="1:29" x14ac:dyDescent="0.2">
      <c r="A53" s="251" t="s">
        <v>1424</v>
      </c>
      <c r="B53" t="s">
        <v>1425</v>
      </c>
      <c r="C53" s="388" t="s">
        <v>1426</v>
      </c>
      <c r="D53" s="388" t="s">
        <v>1427</v>
      </c>
      <c r="E53" s="388" t="s">
        <v>1428</v>
      </c>
      <c r="F53" s="388" t="s">
        <v>1429</v>
      </c>
      <c r="G53" s="388" t="s">
        <v>1430</v>
      </c>
      <c r="H53" s="388" t="s">
        <v>1431</v>
      </c>
      <c r="I53" s="388" t="s">
        <v>1432</v>
      </c>
      <c r="J53" s="388" t="s">
        <v>1433</v>
      </c>
      <c r="K53" s="388" t="s">
        <v>1434</v>
      </c>
      <c r="L53" s="388" t="s">
        <v>1435</v>
      </c>
      <c r="M53" s="388" t="s">
        <v>1436</v>
      </c>
      <c r="N53" s="388" t="s">
        <v>1437</v>
      </c>
      <c r="O53" s="388" t="s">
        <v>1438</v>
      </c>
      <c r="P53" s="388" t="s">
        <v>1439</v>
      </c>
      <c r="Q53" s="388" t="s">
        <v>1440</v>
      </c>
      <c r="R53" s="388" t="s">
        <v>1441</v>
      </c>
      <c r="S53" s="388" t="s">
        <v>1442</v>
      </c>
      <c r="T53" s="388" t="s">
        <v>1443</v>
      </c>
      <c r="U53" s="388" t="s">
        <v>1444</v>
      </c>
      <c r="V53" s="388" t="s">
        <v>1445</v>
      </c>
      <c r="W53" s="388" t="s">
        <v>1446</v>
      </c>
      <c r="X53" s="388" t="s">
        <v>1447</v>
      </c>
      <c r="Y53" s="388" t="s">
        <v>1448</v>
      </c>
      <c r="Z53" s="388" t="s">
        <v>1449</v>
      </c>
      <c r="AA53" s="388" t="s">
        <v>1450</v>
      </c>
      <c r="AB53" s="388" t="s">
        <v>1451</v>
      </c>
      <c r="AC53" s="388" t="s">
        <v>1452</v>
      </c>
    </row>
    <row r="54" spans="1:29" x14ac:dyDescent="0.2">
      <c r="A54" s="251" t="s">
        <v>1453</v>
      </c>
      <c r="B54">
        <v>43</v>
      </c>
      <c r="C54">
        <v>43</v>
      </c>
      <c r="D54">
        <v>43</v>
      </c>
      <c r="E54">
        <v>43</v>
      </c>
      <c r="F54">
        <v>43</v>
      </c>
      <c r="G54">
        <v>43</v>
      </c>
      <c r="H54">
        <v>43</v>
      </c>
      <c r="I54">
        <v>43</v>
      </c>
      <c r="J54">
        <v>43</v>
      </c>
      <c r="K54">
        <v>43</v>
      </c>
      <c r="L54">
        <v>43</v>
      </c>
      <c r="M54">
        <v>43</v>
      </c>
      <c r="N54">
        <v>43</v>
      </c>
      <c r="O54">
        <v>43</v>
      </c>
      <c r="P54">
        <v>43</v>
      </c>
      <c r="Q54">
        <v>43</v>
      </c>
      <c r="R54">
        <v>43</v>
      </c>
      <c r="S54">
        <v>43</v>
      </c>
      <c r="T54">
        <v>43</v>
      </c>
      <c r="U54">
        <v>43</v>
      </c>
      <c r="V54">
        <v>43</v>
      </c>
      <c r="W54">
        <v>43</v>
      </c>
      <c r="X54">
        <v>43</v>
      </c>
      <c r="Y54">
        <v>43</v>
      </c>
      <c r="Z54">
        <v>43</v>
      </c>
      <c r="AA54">
        <v>43</v>
      </c>
      <c r="AB54">
        <v>43</v>
      </c>
      <c r="AC54">
        <v>43</v>
      </c>
    </row>
    <row r="55" spans="1:29" x14ac:dyDescent="0.2">
      <c r="A55" s="251" t="s">
        <v>1454</v>
      </c>
      <c r="B55" s="251" t="s">
        <v>44</v>
      </c>
      <c r="C55" s="251" t="s">
        <v>1455</v>
      </c>
      <c r="D55" s="251" t="s">
        <v>45</v>
      </c>
      <c r="E55" s="251" t="s">
        <v>35</v>
      </c>
      <c r="F55" s="251" t="s">
        <v>1456</v>
      </c>
      <c r="G55" s="251" t="s">
        <v>46</v>
      </c>
      <c r="H55" s="251" t="s">
        <v>47</v>
      </c>
      <c r="I55" s="251" t="s">
        <v>1457</v>
      </c>
      <c r="J55" s="251" t="s">
        <v>25</v>
      </c>
      <c r="K55" s="251" t="s">
        <v>1458</v>
      </c>
      <c r="L55" s="251" t="s">
        <v>851</v>
      </c>
      <c r="M55" s="251" t="s">
        <v>170</v>
      </c>
      <c r="N55" s="251" t="s">
        <v>49</v>
      </c>
      <c r="O55" s="251" t="s">
        <v>50</v>
      </c>
      <c r="P55" s="251" t="s">
        <v>26</v>
      </c>
      <c r="Q55" s="251" t="s">
        <v>30</v>
      </c>
      <c r="R55" s="251" t="s">
        <v>32</v>
      </c>
      <c r="S55" s="251" t="s">
        <v>1459</v>
      </c>
      <c r="T55" s="251" t="s">
        <v>51</v>
      </c>
      <c r="U55" s="251" t="s">
        <v>52</v>
      </c>
      <c r="V55" s="251" t="s">
        <v>1460</v>
      </c>
      <c r="W55" s="251" t="s">
        <v>323</v>
      </c>
      <c r="X55" s="251" t="s">
        <v>1461</v>
      </c>
      <c r="Y55" s="251" t="s">
        <v>1462</v>
      </c>
      <c r="Z55" s="251" t="s">
        <v>1463</v>
      </c>
      <c r="AA55" s="251" t="s">
        <v>1464</v>
      </c>
      <c r="AB55" s="251" t="s">
        <v>1465</v>
      </c>
      <c r="AC55" s="251" t="s">
        <v>1466</v>
      </c>
    </row>
    <row r="57" spans="1:29" ht="13.5" thickBot="1" x14ac:dyDescent="0.25">
      <c r="A57" s="251" t="s">
        <v>1500</v>
      </c>
    </row>
    <row r="58" spans="1:29" x14ac:dyDescent="0.2">
      <c r="B58" s="927" t="s">
        <v>785</v>
      </c>
      <c r="C58" s="928" t="s">
        <v>786</v>
      </c>
      <c r="D58" s="928" t="s">
        <v>787</v>
      </c>
      <c r="E58" s="928" t="s">
        <v>788</v>
      </c>
      <c r="F58" s="928" t="s">
        <v>789</v>
      </c>
      <c r="G58" s="928" t="s">
        <v>790</v>
      </c>
      <c r="H58" s="928" t="s">
        <v>791</v>
      </c>
      <c r="I58" s="928" t="s">
        <v>792</v>
      </c>
      <c r="J58" s="928" t="s">
        <v>793</v>
      </c>
      <c r="K58" s="928" t="s">
        <v>794</v>
      </c>
      <c r="L58" s="928" t="s">
        <v>795</v>
      </c>
      <c r="M58" s="928" t="s">
        <v>796</v>
      </c>
      <c r="N58" s="928" t="s">
        <v>797</v>
      </c>
      <c r="O58" s="928" t="s">
        <v>798</v>
      </c>
      <c r="P58" s="928" t="s">
        <v>799</v>
      </c>
      <c r="Q58" s="928" t="s">
        <v>800</v>
      </c>
      <c r="R58" s="928" t="s">
        <v>801</v>
      </c>
      <c r="S58" s="928" t="s">
        <v>802</v>
      </c>
      <c r="T58" s="928" t="s">
        <v>803</v>
      </c>
      <c r="U58" s="928" t="s">
        <v>804</v>
      </c>
      <c r="V58" s="928" t="s">
        <v>805</v>
      </c>
      <c r="W58" s="928" t="s">
        <v>806</v>
      </c>
      <c r="X58" s="928" t="s">
        <v>807</v>
      </c>
      <c r="Y58" s="928" t="s">
        <v>808</v>
      </c>
      <c r="Z58" s="928" t="s">
        <v>809</v>
      </c>
      <c r="AA58" s="928" t="s">
        <v>810</v>
      </c>
      <c r="AB58" s="928" t="s">
        <v>811</v>
      </c>
      <c r="AC58" s="929" t="s">
        <v>812</v>
      </c>
    </row>
    <row r="59" spans="1:29" x14ac:dyDescent="0.2">
      <c r="A59" s="251" t="s">
        <v>1395</v>
      </c>
      <c r="B59" s="251" t="s">
        <v>1648</v>
      </c>
      <c r="C59" s="251" t="s">
        <v>1649</v>
      </c>
      <c r="D59" s="251" t="s">
        <v>1650</v>
      </c>
      <c r="E59" s="251" t="s">
        <v>1651</v>
      </c>
      <c r="F59" s="251" t="s">
        <v>1652</v>
      </c>
      <c r="G59" s="251" t="s">
        <v>1653</v>
      </c>
      <c r="H59" s="251" t="s">
        <v>1654</v>
      </c>
      <c r="I59" s="251" t="s">
        <v>1655</v>
      </c>
      <c r="J59" s="251" t="s">
        <v>1656</v>
      </c>
      <c r="K59" s="251" t="s">
        <v>1657</v>
      </c>
      <c r="L59" s="251" t="s">
        <v>1658</v>
      </c>
      <c r="M59" s="251" t="s">
        <v>1659</v>
      </c>
      <c r="N59" s="251" t="s">
        <v>1660</v>
      </c>
      <c r="O59" s="251" t="s">
        <v>1661</v>
      </c>
      <c r="P59" s="251" t="s">
        <v>1662</v>
      </c>
      <c r="Q59" s="251" t="s">
        <v>1663</v>
      </c>
      <c r="R59" s="251" t="s">
        <v>1759</v>
      </c>
      <c r="S59" s="251" t="s">
        <v>1768</v>
      </c>
      <c r="T59" s="251" t="s">
        <v>1779</v>
      </c>
      <c r="U59" s="251" t="s">
        <v>1789</v>
      </c>
      <c r="V59" s="251" t="s">
        <v>1664</v>
      </c>
      <c r="W59" s="251" t="s">
        <v>1665</v>
      </c>
      <c r="X59" s="251" t="s">
        <v>1666</v>
      </c>
      <c r="Y59" s="251" t="s">
        <v>1667</v>
      </c>
      <c r="Z59" s="251" t="s">
        <v>1668</v>
      </c>
      <c r="AA59" s="251" t="s">
        <v>1669</v>
      </c>
      <c r="AB59" s="251" t="s">
        <v>1670</v>
      </c>
      <c r="AC59" s="251" t="s">
        <v>1671</v>
      </c>
    </row>
    <row r="60" spans="1:29" x14ac:dyDescent="0.2">
      <c r="A60" s="251" t="s">
        <v>1424</v>
      </c>
      <c r="B60" t="s">
        <v>1425</v>
      </c>
      <c r="C60" s="388" t="s">
        <v>1426</v>
      </c>
      <c r="D60" s="388" t="s">
        <v>1427</v>
      </c>
      <c r="E60" s="388" t="s">
        <v>1428</v>
      </c>
      <c r="F60" s="388" t="s">
        <v>1429</v>
      </c>
      <c r="G60" s="388" t="s">
        <v>1430</v>
      </c>
      <c r="H60" s="388" t="s">
        <v>1431</v>
      </c>
      <c r="I60" s="388" t="s">
        <v>1432</v>
      </c>
      <c r="J60" s="388" t="s">
        <v>1433</v>
      </c>
      <c r="K60" s="388" t="s">
        <v>1434</v>
      </c>
      <c r="L60" s="388" t="s">
        <v>1435</v>
      </c>
      <c r="M60" s="388" t="s">
        <v>1436</v>
      </c>
      <c r="N60" s="388" t="s">
        <v>1437</v>
      </c>
      <c r="O60" s="388" t="s">
        <v>1438</v>
      </c>
      <c r="P60" s="388" t="s">
        <v>1439</v>
      </c>
      <c r="Q60" s="388" t="s">
        <v>1440</v>
      </c>
      <c r="R60" s="388" t="s">
        <v>1441</v>
      </c>
      <c r="S60" s="388" t="s">
        <v>1442</v>
      </c>
      <c r="T60" s="388" t="s">
        <v>1443</v>
      </c>
      <c r="U60" s="388" t="s">
        <v>1444</v>
      </c>
      <c r="V60" s="388" t="s">
        <v>1445</v>
      </c>
      <c r="W60" s="388" t="s">
        <v>1446</v>
      </c>
      <c r="X60" s="388" t="s">
        <v>1447</v>
      </c>
      <c r="Y60" s="388" t="s">
        <v>1448</v>
      </c>
      <c r="Z60" s="388" t="s">
        <v>1449</v>
      </c>
      <c r="AA60" s="388" t="s">
        <v>1450</v>
      </c>
      <c r="AB60" s="388" t="s">
        <v>1451</v>
      </c>
      <c r="AC60" s="388" t="s">
        <v>1452</v>
      </c>
    </row>
    <row r="61" spans="1:29" x14ac:dyDescent="0.2">
      <c r="A61" s="251" t="s">
        <v>1453</v>
      </c>
      <c r="B61">
        <v>43</v>
      </c>
      <c r="C61">
        <v>43</v>
      </c>
      <c r="D61">
        <v>43</v>
      </c>
      <c r="E61">
        <v>43</v>
      </c>
      <c r="F61">
        <v>43</v>
      </c>
      <c r="G61">
        <v>43</v>
      </c>
      <c r="H61">
        <v>43</v>
      </c>
      <c r="I61">
        <v>43</v>
      </c>
      <c r="J61">
        <v>43</v>
      </c>
      <c r="K61">
        <v>43</v>
      </c>
      <c r="L61">
        <v>43</v>
      </c>
      <c r="M61">
        <v>43</v>
      </c>
      <c r="N61">
        <v>43</v>
      </c>
      <c r="O61">
        <v>43</v>
      </c>
      <c r="P61">
        <v>43</v>
      </c>
      <c r="Q61">
        <v>43</v>
      </c>
      <c r="R61">
        <v>43</v>
      </c>
      <c r="S61">
        <v>43</v>
      </c>
      <c r="T61">
        <v>43</v>
      </c>
      <c r="U61">
        <v>43</v>
      </c>
      <c r="V61">
        <v>43</v>
      </c>
      <c r="W61">
        <v>43</v>
      </c>
      <c r="X61">
        <v>43</v>
      </c>
      <c r="Y61">
        <v>43</v>
      </c>
      <c r="Z61">
        <v>43</v>
      </c>
      <c r="AA61">
        <v>43</v>
      </c>
      <c r="AB61">
        <v>43</v>
      </c>
      <c r="AC61">
        <v>43</v>
      </c>
    </row>
    <row r="62" spans="1:29" x14ac:dyDescent="0.2">
      <c r="A62" s="251" t="s">
        <v>1454</v>
      </c>
      <c r="B62" s="251" t="s">
        <v>44</v>
      </c>
      <c r="C62" s="251" t="s">
        <v>1455</v>
      </c>
      <c r="D62" s="251" t="s">
        <v>45</v>
      </c>
      <c r="E62" s="251" t="s">
        <v>35</v>
      </c>
      <c r="F62" s="251" t="s">
        <v>1456</v>
      </c>
      <c r="G62" s="251" t="s">
        <v>46</v>
      </c>
      <c r="H62" s="251" t="s">
        <v>47</v>
      </c>
      <c r="I62" s="251" t="s">
        <v>1457</v>
      </c>
      <c r="J62" s="251" t="s">
        <v>25</v>
      </c>
      <c r="K62" s="251" t="s">
        <v>1458</v>
      </c>
      <c r="L62" s="251" t="s">
        <v>851</v>
      </c>
      <c r="M62" s="251" t="s">
        <v>170</v>
      </c>
      <c r="N62" s="251" t="s">
        <v>49</v>
      </c>
      <c r="O62" s="251" t="s">
        <v>50</v>
      </c>
      <c r="P62" s="251" t="s">
        <v>26</v>
      </c>
      <c r="Q62" s="251" t="s">
        <v>30</v>
      </c>
      <c r="R62" s="251" t="s">
        <v>32</v>
      </c>
      <c r="S62" s="251" t="s">
        <v>1459</v>
      </c>
      <c r="T62" s="251" t="s">
        <v>51</v>
      </c>
      <c r="U62" s="251" t="s">
        <v>52</v>
      </c>
      <c r="V62" s="251" t="s">
        <v>1460</v>
      </c>
      <c r="W62" s="251" t="s">
        <v>323</v>
      </c>
      <c r="X62" s="251" t="s">
        <v>1461</v>
      </c>
      <c r="Y62" s="251" t="s">
        <v>1462</v>
      </c>
      <c r="Z62" s="251" t="s">
        <v>1463</v>
      </c>
      <c r="AA62" s="251" t="s">
        <v>1464</v>
      </c>
      <c r="AB62" s="251" t="s">
        <v>1465</v>
      </c>
      <c r="AC62" s="251" t="s">
        <v>1466</v>
      </c>
    </row>
    <row r="64" spans="1:29" ht="13.5" thickBot="1" x14ac:dyDescent="0.25">
      <c r="A64" s="251" t="s">
        <v>1682</v>
      </c>
    </row>
    <row r="65" spans="1:29" x14ac:dyDescent="0.2">
      <c r="B65" s="927" t="s">
        <v>785</v>
      </c>
      <c r="C65" s="928" t="s">
        <v>786</v>
      </c>
      <c r="D65" s="928" t="s">
        <v>787</v>
      </c>
      <c r="E65" s="928" t="s">
        <v>788</v>
      </c>
      <c r="F65" s="928" t="s">
        <v>789</v>
      </c>
      <c r="G65" s="928" t="s">
        <v>790</v>
      </c>
      <c r="H65" s="928" t="s">
        <v>791</v>
      </c>
      <c r="I65" s="928" t="s">
        <v>792</v>
      </c>
      <c r="J65" s="928" t="s">
        <v>793</v>
      </c>
      <c r="K65" s="928" t="s">
        <v>794</v>
      </c>
      <c r="L65" s="928" t="s">
        <v>795</v>
      </c>
      <c r="M65" s="928" t="s">
        <v>796</v>
      </c>
      <c r="N65" s="928" t="s">
        <v>797</v>
      </c>
      <c r="O65" s="928" t="s">
        <v>798</v>
      </c>
      <c r="P65" s="928" t="s">
        <v>799</v>
      </c>
      <c r="Q65" s="928" t="s">
        <v>800</v>
      </c>
      <c r="R65" s="928" t="s">
        <v>801</v>
      </c>
      <c r="S65" s="928" t="s">
        <v>802</v>
      </c>
      <c r="T65" s="928" t="s">
        <v>803</v>
      </c>
      <c r="U65" s="928" t="s">
        <v>804</v>
      </c>
      <c r="V65" s="928" t="s">
        <v>805</v>
      </c>
      <c r="W65" s="928" t="s">
        <v>806</v>
      </c>
      <c r="X65" s="928" t="s">
        <v>807</v>
      </c>
      <c r="Y65" s="928" t="s">
        <v>808</v>
      </c>
      <c r="Z65" s="928" t="s">
        <v>809</v>
      </c>
      <c r="AA65" s="928" t="s">
        <v>810</v>
      </c>
      <c r="AB65" s="928" t="s">
        <v>811</v>
      </c>
      <c r="AC65" s="929" t="s">
        <v>812</v>
      </c>
    </row>
    <row r="66" spans="1:29" x14ac:dyDescent="0.2">
      <c r="A66" s="251" t="s">
        <v>1395</v>
      </c>
      <c r="B66" s="251" t="s">
        <v>1683</v>
      </c>
      <c r="C66" s="251" t="s">
        <v>1684</v>
      </c>
      <c r="D66" s="251" t="s">
        <v>1685</v>
      </c>
      <c r="E66" s="251" t="s">
        <v>1686</v>
      </c>
      <c r="F66" s="251" t="s">
        <v>1687</v>
      </c>
      <c r="G66" s="251" t="s">
        <v>1688</v>
      </c>
      <c r="H66" s="251" t="s">
        <v>1689</v>
      </c>
      <c r="I66" s="251" t="s">
        <v>1690</v>
      </c>
      <c r="J66" s="251" t="s">
        <v>1691</v>
      </c>
      <c r="K66" s="251" t="s">
        <v>1692</v>
      </c>
      <c r="L66" s="251" t="s">
        <v>1693</v>
      </c>
      <c r="M66" s="251" t="s">
        <v>1694</v>
      </c>
      <c r="N66" s="251" t="s">
        <v>1695</v>
      </c>
      <c r="O66" s="251" t="s">
        <v>1696</v>
      </c>
      <c r="P66" s="251" t="s">
        <v>1697</v>
      </c>
      <c r="Q66" s="251" t="s">
        <v>1698</v>
      </c>
      <c r="R66" s="251" t="s">
        <v>1760</v>
      </c>
      <c r="S66" s="251" t="s">
        <v>1769</v>
      </c>
      <c r="T66" s="251" t="s">
        <v>1780</v>
      </c>
      <c r="U66" s="251" t="s">
        <v>1790</v>
      </c>
      <c r="V66" s="251" t="s">
        <v>1699</v>
      </c>
      <c r="W66" s="251" t="s">
        <v>1700</v>
      </c>
      <c r="X66" s="251" t="s">
        <v>1701</v>
      </c>
      <c r="Y66" s="251" t="s">
        <v>1702</v>
      </c>
      <c r="Z66" s="251" t="s">
        <v>1703</v>
      </c>
      <c r="AA66" s="251" t="s">
        <v>1704</v>
      </c>
      <c r="AB66" s="251" t="s">
        <v>1705</v>
      </c>
      <c r="AC66" s="251" t="s">
        <v>1706</v>
      </c>
    </row>
    <row r="67" spans="1:29" x14ac:dyDescent="0.2">
      <c r="A67" s="251" t="s">
        <v>1424</v>
      </c>
      <c r="B67" t="s">
        <v>1425</v>
      </c>
      <c r="C67" s="388" t="s">
        <v>1426</v>
      </c>
      <c r="D67" s="388" t="s">
        <v>1427</v>
      </c>
      <c r="E67" s="388" t="s">
        <v>1428</v>
      </c>
      <c r="F67" s="388" t="s">
        <v>1429</v>
      </c>
      <c r="G67" s="388" t="s">
        <v>1430</v>
      </c>
      <c r="H67" s="388" t="s">
        <v>1431</v>
      </c>
      <c r="I67" s="388" t="s">
        <v>1432</v>
      </c>
      <c r="J67" s="388" t="s">
        <v>1433</v>
      </c>
      <c r="K67" s="388" t="s">
        <v>1434</v>
      </c>
      <c r="L67" s="388" t="s">
        <v>1435</v>
      </c>
      <c r="M67" s="388" t="s">
        <v>1436</v>
      </c>
      <c r="N67" s="388" t="s">
        <v>1437</v>
      </c>
      <c r="O67" s="388" t="s">
        <v>1438</v>
      </c>
      <c r="P67" s="388" t="s">
        <v>1439</v>
      </c>
      <c r="Q67" s="388" t="s">
        <v>1440</v>
      </c>
      <c r="R67" s="388" t="s">
        <v>1441</v>
      </c>
      <c r="S67" s="388" t="s">
        <v>1442</v>
      </c>
      <c r="T67" s="388" t="s">
        <v>1443</v>
      </c>
      <c r="U67" s="388" t="s">
        <v>1444</v>
      </c>
      <c r="V67" s="388" t="s">
        <v>1445</v>
      </c>
      <c r="W67" s="388" t="s">
        <v>1446</v>
      </c>
      <c r="X67" s="388" t="s">
        <v>1447</v>
      </c>
      <c r="Y67" s="388" t="s">
        <v>1448</v>
      </c>
      <c r="Z67" s="388" t="s">
        <v>1449</v>
      </c>
      <c r="AA67" s="388" t="s">
        <v>1450</v>
      </c>
      <c r="AB67" s="388" t="s">
        <v>1451</v>
      </c>
      <c r="AC67" s="388" t="s">
        <v>1452</v>
      </c>
    </row>
    <row r="68" spans="1:29" x14ac:dyDescent="0.2">
      <c r="A68" s="251" t="s">
        <v>1453</v>
      </c>
      <c r="B68">
        <v>43</v>
      </c>
      <c r="C68">
        <v>43</v>
      </c>
      <c r="D68">
        <v>43</v>
      </c>
      <c r="E68">
        <v>43</v>
      </c>
      <c r="F68">
        <v>43</v>
      </c>
      <c r="G68">
        <v>43</v>
      </c>
      <c r="H68">
        <v>43</v>
      </c>
      <c r="I68">
        <v>43</v>
      </c>
      <c r="J68">
        <v>43</v>
      </c>
      <c r="K68">
        <v>43</v>
      </c>
      <c r="L68">
        <v>43</v>
      </c>
      <c r="M68">
        <v>43</v>
      </c>
      <c r="N68">
        <v>43</v>
      </c>
      <c r="O68">
        <v>43</v>
      </c>
      <c r="P68">
        <v>43</v>
      </c>
      <c r="Q68">
        <v>43</v>
      </c>
      <c r="R68">
        <v>43</v>
      </c>
      <c r="S68">
        <v>43</v>
      </c>
      <c r="T68">
        <v>43</v>
      </c>
      <c r="U68">
        <v>43</v>
      </c>
      <c r="V68">
        <v>43</v>
      </c>
      <c r="W68">
        <v>43</v>
      </c>
      <c r="X68">
        <v>43</v>
      </c>
      <c r="Y68">
        <v>43</v>
      </c>
      <c r="Z68">
        <v>43</v>
      </c>
      <c r="AA68">
        <v>43</v>
      </c>
      <c r="AB68">
        <v>43</v>
      </c>
      <c r="AC68">
        <v>43</v>
      </c>
    </row>
    <row r="69" spans="1:29" x14ac:dyDescent="0.2">
      <c r="A69" s="251" t="s">
        <v>1454</v>
      </c>
      <c r="B69" s="251" t="s">
        <v>44</v>
      </c>
      <c r="C69" s="251" t="s">
        <v>1455</v>
      </c>
      <c r="D69" s="251" t="s">
        <v>45</v>
      </c>
      <c r="E69" s="251" t="s">
        <v>35</v>
      </c>
      <c r="F69" s="251" t="s">
        <v>1456</v>
      </c>
      <c r="G69" s="251" t="s">
        <v>46</v>
      </c>
      <c r="H69" s="251" t="s">
        <v>47</v>
      </c>
      <c r="I69" s="251" t="s">
        <v>1457</v>
      </c>
      <c r="J69" s="251" t="s">
        <v>25</v>
      </c>
      <c r="K69" s="251" t="s">
        <v>1458</v>
      </c>
      <c r="L69" s="251" t="s">
        <v>851</v>
      </c>
      <c r="M69" s="251" t="s">
        <v>170</v>
      </c>
      <c r="N69" s="251" t="s">
        <v>49</v>
      </c>
      <c r="O69" s="251" t="s">
        <v>50</v>
      </c>
      <c r="P69" s="251" t="s">
        <v>26</v>
      </c>
      <c r="Q69" s="251" t="s">
        <v>30</v>
      </c>
      <c r="R69" s="251" t="s">
        <v>32</v>
      </c>
      <c r="S69" s="251" t="s">
        <v>1459</v>
      </c>
      <c r="T69" s="251" t="s">
        <v>51</v>
      </c>
      <c r="U69" s="251" t="s">
        <v>52</v>
      </c>
      <c r="V69" s="251" t="s">
        <v>1460</v>
      </c>
      <c r="W69" s="251" t="s">
        <v>323</v>
      </c>
      <c r="X69" s="251" t="s">
        <v>1461</v>
      </c>
      <c r="Y69" s="251" t="s">
        <v>1462</v>
      </c>
      <c r="Z69" s="251" t="s">
        <v>1463</v>
      </c>
      <c r="AA69" s="251" t="s">
        <v>1464</v>
      </c>
      <c r="AB69" s="251" t="s">
        <v>1465</v>
      </c>
      <c r="AC69" s="251" t="s">
        <v>1466</v>
      </c>
    </row>
    <row r="71" spans="1:29" ht="13.5" thickBot="1" x14ac:dyDescent="0.25">
      <c r="A71" s="251" t="s">
        <v>1681</v>
      </c>
    </row>
    <row r="72" spans="1:29" x14ac:dyDescent="0.2">
      <c r="B72" s="927" t="s">
        <v>785</v>
      </c>
      <c r="C72" s="928" t="s">
        <v>786</v>
      </c>
      <c r="D72" s="928" t="s">
        <v>787</v>
      </c>
      <c r="E72" s="928" t="s">
        <v>788</v>
      </c>
      <c r="F72" s="928" t="s">
        <v>789</v>
      </c>
      <c r="G72" s="928" t="s">
        <v>790</v>
      </c>
      <c r="H72" s="928" t="s">
        <v>791</v>
      </c>
      <c r="I72" s="928" t="s">
        <v>792</v>
      </c>
      <c r="J72" s="928" t="s">
        <v>793</v>
      </c>
      <c r="K72" s="928" t="s">
        <v>794</v>
      </c>
      <c r="L72" s="928" t="s">
        <v>795</v>
      </c>
      <c r="M72" s="928" t="s">
        <v>796</v>
      </c>
      <c r="N72" s="928" t="s">
        <v>797</v>
      </c>
      <c r="O72" s="928" t="s">
        <v>798</v>
      </c>
      <c r="P72" s="928" t="s">
        <v>799</v>
      </c>
      <c r="Q72" s="928" t="s">
        <v>800</v>
      </c>
      <c r="R72" s="928" t="s">
        <v>801</v>
      </c>
      <c r="S72" s="928" t="s">
        <v>802</v>
      </c>
      <c r="T72" s="928" t="s">
        <v>803</v>
      </c>
      <c r="U72" s="928" t="s">
        <v>804</v>
      </c>
      <c r="V72" s="928" t="s">
        <v>805</v>
      </c>
      <c r="W72" s="928" t="s">
        <v>806</v>
      </c>
      <c r="X72" s="928" t="s">
        <v>807</v>
      </c>
      <c r="Y72" s="928" t="s">
        <v>808</v>
      </c>
      <c r="Z72" s="928" t="s">
        <v>809</v>
      </c>
      <c r="AA72" s="928" t="s">
        <v>810</v>
      </c>
      <c r="AB72" s="928" t="s">
        <v>811</v>
      </c>
      <c r="AC72" s="929" t="s">
        <v>812</v>
      </c>
    </row>
    <row r="73" spans="1:29" x14ac:dyDescent="0.2">
      <c r="A73" s="251" t="s">
        <v>1395</v>
      </c>
      <c r="B73" s="251" t="s">
        <v>1707</v>
      </c>
      <c r="C73" s="251" t="s">
        <v>1708</v>
      </c>
      <c r="D73" s="251" t="s">
        <v>1709</v>
      </c>
      <c r="E73" s="251" t="s">
        <v>1710</v>
      </c>
      <c r="F73" s="251" t="s">
        <v>1711</v>
      </c>
      <c r="G73" s="251" t="s">
        <v>1712</v>
      </c>
      <c r="H73" s="251" t="s">
        <v>1713</v>
      </c>
      <c r="I73" s="251" t="s">
        <v>1714</v>
      </c>
      <c r="J73" s="251" t="s">
        <v>1715</v>
      </c>
      <c r="K73" s="251" t="s">
        <v>1716</v>
      </c>
      <c r="L73" s="251" t="s">
        <v>1717</v>
      </c>
      <c r="M73" s="251" t="s">
        <v>1718</v>
      </c>
      <c r="N73" s="251" t="s">
        <v>1719</v>
      </c>
      <c r="O73" s="251" t="s">
        <v>1720</v>
      </c>
      <c r="P73" s="251" t="s">
        <v>1721</v>
      </c>
      <c r="Q73" s="251" t="s">
        <v>1722</v>
      </c>
      <c r="R73" s="251" t="s">
        <v>1761</v>
      </c>
      <c r="S73" s="251" t="s">
        <v>1770</v>
      </c>
      <c r="T73" s="251" t="s">
        <v>1781</v>
      </c>
      <c r="U73" s="251" t="s">
        <v>1791</v>
      </c>
      <c r="V73" s="251" t="s">
        <v>1723</v>
      </c>
      <c r="W73" s="251" t="s">
        <v>1724</v>
      </c>
      <c r="X73" s="251" t="s">
        <v>1725</v>
      </c>
      <c r="Y73" s="251" t="s">
        <v>1726</v>
      </c>
      <c r="Z73" s="251" t="s">
        <v>1727</v>
      </c>
      <c r="AA73" s="251" t="s">
        <v>1728</v>
      </c>
      <c r="AB73" s="251" t="s">
        <v>1729</v>
      </c>
      <c r="AC73" s="251" t="s">
        <v>1730</v>
      </c>
    </row>
    <row r="74" spans="1:29" x14ac:dyDescent="0.2">
      <c r="A74" s="251" t="s">
        <v>1424</v>
      </c>
      <c r="B74" t="s">
        <v>1425</v>
      </c>
      <c r="C74" s="388" t="s">
        <v>1426</v>
      </c>
      <c r="D74" s="388" t="s">
        <v>1427</v>
      </c>
      <c r="E74" s="388" t="s">
        <v>1428</v>
      </c>
      <c r="F74" s="388" t="s">
        <v>1429</v>
      </c>
      <c r="G74" s="388" t="s">
        <v>1430</v>
      </c>
      <c r="H74" s="388" t="s">
        <v>1431</v>
      </c>
      <c r="I74" s="388" t="s">
        <v>1432</v>
      </c>
      <c r="J74" s="388" t="s">
        <v>1433</v>
      </c>
      <c r="K74" s="388" t="s">
        <v>1434</v>
      </c>
      <c r="L74" s="388" t="s">
        <v>1435</v>
      </c>
      <c r="M74" s="388" t="s">
        <v>1436</v>
      </c>
      <c r="N74" s="388" t="s">
        <v>1437</v>
      </c>
      <c r="O74" s="388" t="s">
        <v>1438</v>
      </c>
      <c r="P74" s="388" t="s">
        <v>1439</v>
      </c>
      <c r="Q74" s="388" t="s">
        <v>1440</v>
      </c>
      <c r="R74" s="388" t="s">
        <v>1441</v>
      </c>
      <c r="S74" s="388" t="s">
        <v>1442</v>
      </c>
      <c r="T74" s="388" t="s">
        <v>1443</v>
      </c>
      <c r="U74" s="388" t="s">
        <v>1444</v>
      </c>
      <c r="V74" s="388" t="s">
        <v>1445</v>
      </c>
      <c r="W74" s="388" t="s">
        <v>1446</v>
      </c>
      <c r="X74" s="388" t="s">
        <v>1447</v>
      </c>
      <c r="Y74" s="388" t="s">
        <v>1448</v>
      </c>
      <c r="Z74" s="388" t="s">
        <v>1449</v>
      </c>
      <c r="AA74" s="388" t="s">
        <v>1450</v>
      </c>
      <c r="AB74" s="388" t="s">
        <v>1451</v>
      </c>
      <c r="AC74" s="388" t="s">
        <v>1452</v>
      </c>
    </row>
    <row r="75" spans="1:29" x14ac:dyDescent="0.2">
      <c r="A75" s="251" t="s">
        <v>1453</v>
      </c>
      <c r="B75">
        <v>43</v>
      </c>
      <c r="C75">
        <v>43</v>
      </c>
      <c r="D75">
        <v>43</v>
      </c>
      <c r="E75">
        <v>43</v>
      </c>
      <c r="F75">
        <v>43</v>
      </c>
      <c r="G75">
        <v>43</v>
      </c>
      <c r="H75">
        <v>43</v>
      </c>
      <c r="I75">
        <v>43</v>
      </c>
      <c r="J75">
        <v>43</v>
      </c>
      <c r="K75">
        <v>43</v>
      </c>
      <c r="L75">
        <v>43</v>
      </c>
      <c r="M75">
        <v>43</v>
      </c>
      <c r="N75">
        <v>43</v>
      </c>
      <c r="O75">
        <v>43</v>
      </c>
      <c r="P75">
        <v>43</v>
      </c>
      <c r="Q75">
        <v>43</v>
      </c>
      <c r="R75">
        <v>43</v>
      </c>
      <c r="S75">
        <v>43</v>
      </c>
      <c r="T75">
        <v>43</v>
      </c>
      <c r="U75">
        <v>43</v>
      </c>
      <c r="V75">
        <v>43</v>
      </c>
      <c r="W75">
        <v>43</v>
      </c>
      <c r="X75">
        <v>43</v>
      </c>
      <c r="Y75">
        <v>43</v>
      </c>
      <c r="Z75">
        <v>43</v>
      </c>
      <c r="AA75">
        <v>43</v>
      </c>
      <c r="AB75">
        <v>43</v>
      </c>
      <c r="AC75">
        <v>43</v>
      </c>
    </row>
    <row r="76" spans="1:29" x14ac:dyDescent="0.2">
      <c r="A76" s="251" t="s">
        <v>1454</v>
      </c>
      <c r="B76" s="251" t="s">
        <v>44</v>
      </c>
      <c r="C76" s="251" t="s">
        <v>1455</v>
      </c>
      <c r="D76" s="251" t="s">
        <v>45</v>
      </c>
      <c r="E76" s="251" t="s">
        <v>35</v>
      </c>
      <c r="F76" s="251" t="s">
        <v>1456</v>
      </c>
      <c r="G76" s="251" t="s">
        <v>46</v>
      </c>
      <c r="H76" s="251" t="s">
        <v>47</v>
      </c>
      <c r="I76" s="251" t="s">
        <v>1457</v>
      </c>
      <c r="J76" s="251" t="s">
        <v>25</v>
      </c>
      <c r="K76" s="251" t="s">
        <v>1458</v>
      </c>
      <c r="L76" s="251" t="s">
        <v>851</v>
      </c>
      <c r="M76" s="251" t="s">
        <v>170</v>
      </c>
      <c r="N76" s="251" t="s">
        <v>49</v>
      </c>
      <c r="O76" s="251" t="s">
        <v>50</v>
      </c>
      <c r="P76" s="251" t="s">
        <v>26</v>
      </c>
      <c r="Q76" s="251" t="s">
        <v>30</v>
      </c>
      <c r="R76" s="251" t="s">
        <v>32</v>
      </c>
      <c r="S76" s="251" t="s">
        <v>1459</v>
      </c>
      <c r="T76" s="251" t="s">
        <v>51</v>
      </c>
      <c r="U76" s="251" t="s">
        <v>52</v>
      </c>
      <c r="V76" s="251" t="s">
        <v>1460</v>
      </c>
      <c r="W76" s="251" t="s">
        <v>323</v>
      </c>
      <c r="X76" s="251" t="s">
        <v>1461</v>
      </c>
      <c r="Y76" s="251" t="s">
        <v>1462</v>
      </c>
      <c r="Z76" s="251" t="s">
        <v>1463</v>
      </c>
      <c r="AA76" s="251" t="s">
        <v>1464</v>
      </c>
      <c r="AB76" s="251" t="s">
        <v>1465</v>
      </c>
      <c r="AC76" s="251" t="s">
        <v>1466</v>
      </c>
    </row>
    <row r="78" spans="1:29" ht="13.5" thickBot="1" x14ac:dyDescent="0.25">
      <c r="A78" s="251" t="s">
        <v>1680</v>
      </c>
    </row>
    <row r="79" spans="1:29" x14ac:dyDescent="0.2">
      <c r="B79" s="927" t="s">
        <v>785</v>
      </c>
      <c r="C79" s="928" t="s">
        <v>786</v>
      </c>
      <c r="D79" s="928" t="s">
        <v>787</v>
      </c>
      <c r="E79" s="928" t="s">
        <v>788</v>
      </c>
      <c r="F79" s="928" t="s">
        <v>789</v>
      </c>
      <c r="G79" s="928" t="s">
        <v>790</v>
      </c>
      <c r="H79" s="928" t="s">
        <v>791</v>
      </c>
      <c r="I79" s="928" t="s">
        <v>792</v>
      </c>
      <c r="J79" s="928" t="s">
        <v>793</v>
      </c>
      <c r="K79" s="928" t="s">
        <v>794</v>
      </c>
      <c r="L79" s="928" t="s">
        <v>795</v>
      </c>
      <c r="M79" s="928" t="s">
        <v>796</v>
      </c>
      <c r="N79" s="928" t="s">
        <v>797</v>
      </c>
      <c r="O79" s="928" t="s">
        <v>798</v>
      </c>
      <c r="P79" s="928" t="s">
        <v>799</v>
      </c>
      <c r="Q79" s="928" t="s">
        <v>800</v>
      </c>
      <c r="R79" s="928" t="s">
        <v>801</v>
      </c>
      <c r="S79" s="928" t="s">
        <v>802</v>
      </c>
      <c r="T79" s="928" t="s">
        <v>803</v>
      </c>
      <c r="U79" s="928" t="s">
        <v>804</v>
      </c>
      <c r="V79" s="928" t="s">
        <v>805</v>
      </c>
      <c r="W79" s="928" t="s">
        <v>806</v>
      </c>
      <c r="X79" s="928" t="s">
        <v>807</v>
      </c>
      <c r="Y79" s="928" t="s">
        <v>808</v>
      </c>
      <c r="Z79" s="928" t="s">
        <v>809</v>
      </c>
      <c r="AA79" s="928" t="s">
        <v>810</v>
      </c>
      <c r="AB79" s="928" t="s">
        <v>811</v>
      </c>
      <c r="AC79" s="929" t="s">
        <v>812</v>
      </c>
    </row>
    <row r="80" spans="1:29" x14ac:dyDescent="0.2">
      <c r="A80" s="251" t="s">
        <v>1395</v>
      </c>
      <c r="B80" s="251" t="s">
        <v>1731</v>
      </c>
      <c r="C80" s="251" t="s">
        <v>1732</v>
      </c>
      <c r="D80" s="251" t="s">
        <v>1733</v>
      </c>
      <c r="E80" s="251" t="s">
        <v>1734</v>
      </c>
      <c r="F80" s="251" t="s">
        <v>1735</v>
      </c>
      <c r="G80" s="251" t="s">
        <v>1736</v>
      </c>
      <c r="H80" s="251" t="s">
        <v>1737</v>
      </c>
      <c r="I80" s="251" t="s">
        <v>1738</v>
      </c>
      <c r="J80" s="251" t="s">
        <v>1739</v>
      </c>
      <c r="K80" s="251" t="s">
        <v>1740</v>
      </c>
      <c r="L80" s="251" t="s">
        <v>1741</v>
      </c>
      <c r="M80" s="251" t="s">
        <v>1742</v>
      </c>
      <c r="N80" s="251" t="s">
        <v>1743</v>
      </c>
      <c r="O80" s="251" t="s">
        <v>1744</v>
      </c>
      <c r="P80" s="251" t="s">
        <v>1745</v>
      </c>
      <c r="Q80" s="251" t="s">
        <v>1746</v>
      </c>
      <c r="R80" s="251" t="s">
        <v>1762</v>
      </c>
      <c r="S80" s="251" t="s">
        <v>1771</v>
      </c>
      <c r="T80" s="251" t="s">
        <v>1772</v>
      </c>
      <c r="U80" s="251" t="s">
        <v>1792</v>
      </c>
      <c r="V80" s="251" t="s">
        <v>1747</v>
      </c>
      <c r="W80" s="251" t="s">
        <v>1748</v>
      </c>
      <c r="X80" s="251" t="s">
        <v>1749</v>
      </c>
      <c r="Y80" s="251" t="s">
        <v>1750</v>
      </c>
      <c r="Z80" s="251" t="s">
        <v>1751</v>
      </c>
      <c r="AA80" s="251" t="s">
        <v>1752</v>
      </c>
      <c r="AB80" s="251" t="s">
        <v>1753</v>
      </c>
      <c r="AC80" s="251" t="s">
        <v>1754</v>
      </c>
    </row>
    <row r="81" spans="1:29" x14ac:dyDescent="0.2">
      <c r="A81" s="251" t="s">
        <v>1424</v>
      </c>
      <c r="B81" t="s">
        <v>1425</v>
      </c>
      <c r="C81" s="388" t="s">
        <v>1426</v>
      </c>
      <c r="D81" s="388" t="s">
        <v>1427</v>
      </c>
      <c r="E81" s="388" t="s">
        <v>1428</v>
      </c>
      <c r="F81" s="388" t="s">
        <v>1429</v>
      </c>
      <c r="G81" s="388" t="s">
        <v>1430</v>
      </c>
      <c r="H81" s="388" t="s">
        <v>1431</v>
      </c>
      <c r="I81" s="388" t="s">
        <v>1432</v>
      </c>
      <c r="J81" s="388" t="s">
        <v>1433</v>
      </c>
      <c r="K81" s="388" t="s">
        <v>1434</v>
      </c>
      <c r="L81" s="388" t="s">
        <v>1435</v>
      </c>
      <c r="M81" s="388" t="s">
        <v>1436</v>
      </c>
      <c r="N81" s="388" t="s">
        <v>1437</v>
      </c>
      <c r="O81" s="388" t="s">
        <v>1438</v>
      </c>
      <c r="P81" s="388" t="s">
        <v>1439</v>
      </c>
      <c r="Q81" s="388" t="s">
        <v>1440</v>
      </c>
      <c r="R81" s="388" t="s">
        <v>1441</v>
      </c>
      <c r="S81" s="388" t="s">
        <v>1442</v>
      </c>
      <c r="T81" s="388" t="s">
        <v>1443</v>
      </c>
      <c r="U81" s="388" t="s">
        <v>1444</v>
      </c>
      <c r="V81" s="388" t="s">
        <v>1445</v>
      </c>
      <c r="W81" s="388" t="s">
        <v>1446</v>
      </c>
      <c r="X81" s="388" t="s">
        <v>1447</v>
      </c>
      <c r="Y81" s="388" t="s">
        <v>1448</v>
      </c>
      <c r="Z81" s="388" t="s">
        <v>1449</v>
      </c>
      <c r="AA81" s="388" t="s">
        <v>1450</v>
      </c>
      <c r="AB81" s="388" t="s">
        <v>1451</v>
      </c>
      <c r="AC81" s="388" t="s">
        <v>1452</v>
      </c>
    </row>
    <row r="82" spans="1:29" x14ac:dyDescent="0.2">
      <c r="A82" s="251" t="s">
        <v>1453</v>
      </c>
      <c r="B82">
        <v>43</v>
      </c>
      <c r="C82">
        <v>43</v>
      </c>
      <c r="D82">
        <v>43</v>
      </c>
      <c r="E82">
        <v>43</v>
      </c>
      <c r="F82">
        <v>43</v>
      </c>
      <c r="G82">
        <v>43</v>
      </c>
      <c r="H82">
        <v>43</v>
      </c>
      <c r="I82">
        <v>43</v>
      </c>
      <c r="J82">
        <v>43</v>
      </c>
      <c r="K82">
        <v>43</v>
      </c>
      <c r="L82">
        <v>43</v>
      </c>
      <c r="M82">
        <v>43</v>
      </c>
      <c r="N82">
        <v>43</v>
      </c>
      <c r="O82">
        <v>43</v>
      </c>
      <c r="P82">
        <v>43</v>
      </c>
      <c r="Q82">
        <v>43</v>
      </c>
      <c r="R82">
        <v>43</v>
      </c>
      <c r="S82">
        <v>43</v>
      </c>
      <c r="T82">
        <v>43</v>
      </c>
      <c r="U82">
        <v>43</v>
      </c>
      <c r="V82">
        <v>43</v>
      </c>
      <c r="W82">
        <v>43</v>
      </c>
      <c r="X82">
        <v>43</v>
      </c>
      <c r="Y82">
        <v>43</v>
      </c>
      <c r="Z82">
        <v>43</v>
      </c>
      <c r="AA82">
        <v>43</v>
      </c>
      <c r="AB82">
        <v>43</v>
      </c>
      <c r="AC82">
        <v>43</v>
      </c>
    </row>
    <row r="83" spans="1:29" x14ac:dyDescent="0.2">
      <c r="A83" s="251" t="s">
        <v>1454</v>
      </c>
      <c r="B83" s="251" t="s">
        <v>44</v>
      </c>
      <c r="C83" s="251" t="s">
        <v>1455</v>
      </c>
      <c r="D83" s="251" t="s">
        <v>45</v>
      </c>
      <c r="E83" s="251" t="s">
        <v>35</v>
      </c>
      <c r="F83" s="251" t="s">
        <v>1456</v>
      </c>
      <c r="G83" s="251" t="s">
        <v>46</v>
      </c>
      <c r="H83" s="251" t="s">
        <v>47</v>
      </c>
      <c r="I83" s="251" t="s">
        <v>1457</v>
      </c>
      <c r="J83" s="251" t="s">
        <v>25</v>
      </c>
      <c r="K83" s="251" t="s">
        <v>1458</v>
      </c>
      <c r="L83" s="251" t="s">
        <v>851</v>
      </c>
      <c r="M83" s="251" t="s">
        <v>170</v>
      </c>
      <c r="N83" s="251" t="s">
        <v>49</v>
      </c>
      <c r="O83" s="251" t="s">
        <v>50</v>
      </c>
      <c r="P83" s="251" t="s">
        <v>26</v>
      </c>
      <c r="Q83" s="251" t="s">
        <v>30</v>
      </c>
      <c r="R83" s="251" t="s">
        <v>32</v>
      </c>
      <c r="S83" s="251" t="s">
        <v>1459</v>
      </c>
      <c r="T83" s="251" t="s">
        <v>51</v>
      </c>
      <c r="U83" s="251" t="s">
        <v>52</v>
      </c>
      <c r="V83" s="251" t="s">
        <v>1460</v>
      </c>
      <c r="W83" s="251" t="s">
        <v>323</v>
      </c>
      <c r="X83" s="251" t="s">
        <v>1461</v>
      </c>
      <c r="Y83" s="251" t="s">
        <v>1462</v>
      </c>
      <c r="Z83" s="251" t="s">
        <v>1463</v>
      </c>
      <c r="AA83" s="251" t="s">
        <v>1464</v>
      </c>
      <c r="AB83" s="251" t="s">
        <v>1465</v>
      </c>
      <c r="AC83" s="251" t="s">
        <v>1466</v>
      </c>
    </row>
    <row r="85" spans="1:29" ht="13.5" thickBot="1" x14ac:dyDescent="0.25">
      <c r="A85" s="251" t="s">
        <v>1679</v>
      </c>
    </row>
    <row r="86" spans="1:29" s="994" customFormat="1" x14ac:dyDescent="0.2">
      <c r="B86" s="995" t="s">
        <v>785</v>
      </c>
      <c r="C86" s="996" t="s">
        <v>786</v>
      </c>
      <c r="D86" s="996" t="s">
        <v>787</v>
      </c>
      <c r="E86" s="996" t="s">
        <v>788</v>
      </c>
      <c r="F86" s="996" t="s">
        <v>789</v>
      </c>
      <c r="G86" s="996" t="s">
        <v>790</v>
      </c>
      <c r="H86" s="996" t="s">
        <v>791</v>
      </c>
      <c r="I86" s="996" t="s">
        <v>792</v>
      </c>
      <c r="J86" s="996" t="s">
        <v>793</v>
      </c>
      <c r="K86" s="996" t="s">
        <v>794</v>
      </c>
      <c r="L86" s="996" t="s">
        <v>795</v>
      </c>
      <c r="M86" s="996" t="s">
        <v>796</v>
      </c>
      <c r="N86" s="996" t="s">
        <v>797</v>
      </c>
      <c r="O86" s="996" t="s">
        <v>798</v>
      </c>
      <c r="P86" s="996" t="s">
        <v>799</v>
      </c>
      <c r="Q86" s="996" t="s">
        <v>800</v>
      </c>
      <c r="R86" s="996" t="s">
        <v>801</v>
      </c>
      <c r="S86" s="996" t="s">
        <v>802</v>
      </c>
      <c r="T86" s="996" t="s">
        <v>803</v>
      </c>
      <c r="U86" s="996" t="s">
        <v>804</v>
      </c>
      <c r="V86" s="996" t="s">
        <v>805</v>
      </c>
      <c r="W86" s="996" t="s">
        <v>806</v>
      </c>
      <c r="X86" s="996" t="s">
        <v>807</v>
      </c>
      <c r="Y86" s="996" t="s">
        <v>808</v>
      </c>
      <c r="Z86" s="996" t="s">
        <v>809</v>
      </c>
      <c r="AA86" s="996" t="s">
        <v>810</v>
      </c>
      <c r="AB86" s="996" t="s">
        <v>811</v>
      </c>
      <c r="AC86" s="997" t="s">
        <v>812</v>
      </c>
    </row>
    <row r="87" spans="1:29" x14ac:dyDescent="0.2">
      <c r="A87" s="251" t="s">
        <v>1395</v>
      </c>
      <c r="B87" s="251" t="s">
        <v>1793</v>
      </c>
      <c r="C87" s="251" t="s">
        <v>1794</v>
      </c>
      <c r="D87" s="251" t="s">
        <v>1795</v>
      </c>
      <c r="E87" s="251" t="s">
        <v>1796</v>
      </c>
      <c r="F87" s="251" t="s">
        <v>1797</v>
      </c>
      <c r="G87" s="251" t="s">
        <v>1798</v>
      </c>
      <c r="H87" s="251" t="s">
        <v>1799</v>
      </c>
      <c r="I87" s="251" t="s">
        <v>1800</v>
      </c>
      <c r="J87" s="251" t="s">
        <v>1801</v>
      </c>
      <c r="K87" s="251" t="s">
        <v>1802</v>
      </c>
      <c r="L87" s="251" t="s">
        <v>1803</v>
      </c>
      <c r="M87" s="251" t="s">
        <v>1804</v>
      </c>
      <c r="N87" s="251" t="s">
        <v>1805</v>
      </c>
      <c r="O87" s="251" t="s">
        <v>1806</v>
      </c>
      <c r="P87" s="251" t="s">
        <v>1807</v>
      </c>
      <c r="Q87" s="251" t="s">
        <v>1808</v>
      </c>
      <c r="R87" s="251" t="s">
        <v>1809</v>
      </c>
      <c r="S87" s="251" t="s">
        <v>1810</v>
      </c>
      <c r="T87" s="251" t="s">
        <v>1811</v>
      </c>
      <c r="U87" s="251" t="s">
        <v>1812</v>
      </c>
      <c r="V87" s="251" t="s">
        <v>1813</v>
      </c>
      <c r="W87" s="251" t="s">
        <v>1814</v>
      </c>
      <c r="X87" s="251" t="s">
        <v>1815</v>
      </c>
      <c r="Y87" s="251" t="s">
        <v>1816</v>
      </c>
      <c r="Z87" s="251" t="s">
        <v>1817</v>
      </c>
      <c r="AA87" s="251" t="s">
        <v>1818</v>
      </c>
      <c r="AB87" s="251" t="s">
        <v>1819</v>
      </c>
      <c r="AC87" s="251" t="s">
        <v>1820</v>
      </c>
    </row>
    <row r="88" spans="1:29" x14ac:dyDescent="0.2">
      <c r="A88" s="251" t="s">
        <v>1424</v>
      </c>
      <c r="B88" t="s">
        <v>1425</v>
      </c>
      <c r="C88" s="388" t="s">
        <v>1426</v>
      </c>
      <c r="D88" s="388" t="s">
        <v>1427</v>
      </c>
      <c r="E88" s="388" t="s">
        <v>1428</v>
      </c>
      <c r="F88" s="388" t="s">
        <v>1429</v>
      </c>
      <c r="G88" s="388" t="s">
        <v>1430</v>
      </c>
      <c r="H88" s="388" t="s">
        <v>1431</v>
      </c>
      <c r="I88" s="388" t="s">
        <v>1432</v>
      </c>
      <c r="J88" s="388" t="s">
        <v>1433</v>
      </c>
      <c r="K88" s="388" t="s">
        <v>1434</v>
      </c>
      <c r="L88" s="388" t="s">
        <v>1435</v>
      </c>
      <c r="M88" s="388" t="s">
        <v>1436</v>
      </c>
      <c r="N88" s="388" t="s">
        <v>1437</v>
      </c>
      <c r="O88" s="388" t="s">
        <v>1438</v>
      </c>
      <c r="P88" s="388" t="s">
        <v>1439</v>
      </c>
      <c r="Q88" s="388" t="s">
        <v>1440</v>
      </c>
      <c r="R88" s="388" t="s">
        <v>1441</v>
      </c>
      <c r="S88" s="388" t="s">
        <v>1442</v>
      </c>
      <c r="T88" s="388" t="s">
        <v>1443</v>
      </c>
      <c r="U88" s="388" t="s">
        <v>1444</v>
      </c>
      <c r="V88" s="388" t="s">
        <v>1445</v>
      </c>
      <c r="W88" s="388" t="s">
        <v>1446</v>
      </c>
      <c r="X88" s="388" t="s">
        <v>1447</v>
      </c>
      <c r="Y88" s="388" t="s">
        <v>1448</v>
      </c>
      <c r="Z88" s="388" t="s">
        <v>1449</v>
      </c>
      <c r="AA88" s="388" t="s">
        <v>1450</v>
      </c>
      <c r="AB88" s="388" t="s">
        <v>1451</v>
      </c>
      <c r="AC88" s="388" t="s">
        <v>1452</v>
      </c>
    </row>
    <row r="89" spans="1:29" x14ac:dyDescent="0.2">
      <c r="A89" s="251" t="s">
        <v>1453</v>
      </c>
      <c r="B89">
        <v>43</v>
      </c>
      <c r="C89">
        <v>43</v>
      </c>
      <c r="D89">
        <v>43</v>
      </c>
      <c r="E89">
        <v>43</v>
      </c>
      <c r="F89">
        <v>43</v>
      </c>
      <c r="G89">
        <v>43</v>
      </c>
      <c r="H89">
        <v>43</v>
      </c>
      <c r="I89">
        <v>43</v>
      </c>
      <c r="J89">
        <v>43</v>
      </c>
      <c r="K89">
        <v>43</v>
      </c>
      <c r="L89">
        <v>43</v>
      </c>
      <c r="M89">
        <v>43</v>
      </c>
      <c r="N89">
        <v>43</v>
      </c>
      <c r="O89">
        <v>43</v>
      </c>
      <c r="P89">
        <v>43</v>
      </c>
      <c r="Q89">
        <v>43</v>
      </c>
      <c r="R89">
        <v>43</v>
      </c>
      <c r="S89">
        <v>43</v>
      </c>
      <c r="T89">
        <v>43</v>
      </c>
      <c r="U89">
        <v>43</v>
      </c>
      <c r="V89">
        <v>43</v>
      </c>
      <c r="W89">
        <v>43</v>
      </c>
      <c r="X89">
        <v>43</v>
      </c>
      <c r="Y89">
        <v>43</v>
      </c>
      <c r="Z89">
        <v>43</v>
      </c>
      <c r="AA89">
        <v>43</v>
      </c>
      <c r="AB89">
        <v>43</v>
      </c>
      <c r="AC89">
        <v>43</v>
      </c>
    </row>
    <row r="90" spans="1:29" x14ac:dyDescent="0.2">
      <c r="A90" s="251" t="s">
        <v>1454</v>
      </c>
      <c r="B90" s="251" t="s">
        <v>44</v>
      </c>
      <c r="C90" s="251" t="s">
        <v>1455</v>
      </c>
      <c r="D90" s="251" t="s">
        <v>45</v>
      </c>
      <c r="E90" s="251" t="s">
        <v>35</v>
      </c>
      <c r="F90" s="251" t="s">
        <v>1456</v>
      </c>
      <c r="G90" s="251" t="s">
        <v>46</v>
      </c>
      <c r="H90" s="251" t="s">
        <v>47</v>
      </c>
      <c r="I90" s="251" t="s">
        <v>1457</v>
      </c>
      <c r="J90" s="251" t="s">
        <v>25</v>
      </c>
      <c r="K90" s="251" t="s">
        <v>1458</v>
      </c>
      <c r="L90" s="251" t="s">
        <v>851</v>
      </c>
      <c r="M90" s="251" t="s">
        <v>170</v>
      </c>
      <c r="N90" s="251" t="s">
        <v>49</v>
      </c>
      <c r="O90" s="251" t="s">
        <v>50</v>
      </c>
      <c r="P90" s="251" t="s">
        <v>26</v>
      </c>
      <c r="Q90" s="251" t="s">
        <v>30</v>
      </c>
      <c r="R90" s="251" t="s">
        <v>32</v>
      </c>
      <c r="S90" s="251" t="s">
        <v>1459</v>
      </c>
      <c r="T90" s="251" t="s">
        <v>51</v>
      </c>
      <c r="U90" s="251" t="s">
        <v>52</v>
      </c>
      <c r="V90" s="251" t="s">
        <v>1460</v>
      </c>
      <c r="W90" s="251" t="s">
        <v>323</v>
      </c>
      <c r="X90" s="251" t="s">
        <v>1461</v>
      </c>
      <c r="Y90" s="251" t="s">
        <v>1462</v>
      </c>
      <c r="Z90" s="251" t="s">
        <v>1463</v>
      </c>
      <c r="AA90" s="251" t="s">
        <v>1464</v>
      </c>
      <c r="AB90" s="251" t="s">
        <v>1465</v>
      </c>
      <c r="AC90" s="251" t="s">
        <v>1466</v>
      </c>
    </row>
    <row r="92" spans="1:29" ht="13.5" thickBot="1" x14ac:dyDescent="0.25">
      <c r="A92" s="251" t="s">
        <v>1678</v>
      </c>
    </row>
    <row r="93" spans="1:29" x14ac:dyDescent="0.2">
      <c r="B93" s="927" t="s">
        <v>785</v>
      </c>
      <c r="C93" s="928" t="s">
        <v>786</v>
      </c>
      <c r="D93" s="928" t="s">
        <v>787</v>
      </c>
      <c r="E93" s="928" t="s">
        <v>788</v>
      </c>
      <c r="F93" s="928" t="s">
        <v>789</v>
      </c>
      <c r="G93" s="928" t="s">
        <v>790</v>
      </c>
      <c r="H93" s="928" t="s">
        <v>791</v>
      </c>
      <c r="I93" s="928" t="s">
        <v>792</v>
      </c>
      <c r="J93" s="928" t="s">
        <v>793</v>
      </c>
      <c r="K93" s="928" t="s">
        <v>794</v>
      </c>
      <c r="L93" s="928" t="s">
        <v>795</v>
      </c>
      <c r="M93" s="928" t="s">
        <v>796</v>
      </c>
      <c r="N93" s="928" t="s">
        <v>797</v>
      </c>
      <c r="O93" s="928" t="s">
        <v>798</v>
      </c>
      <c r="P93" s="928" t="s">
        <v>799</v>
      </c>
      <c r="Q93" s="928" t="s">
        <v>800</v>
      </c>
      <c r="R93" s="928" t="s">
        <v>801</v>
      </c>
      <c r="S93" s="928" t="s">
        <v>802</v>
      </c>
      <c r="T93" s="928" t="s">
        <v>803</v>
      </c>
      <c r="U93" s="928" t="s">
        <v>804</v>
      </c>
      <c r="V93" s="928" t="s">
        <v>805</v>
      </c>
      <c r="W93" s="928" t="s">
        <v>806</v>
      </c>
      <c r="X93" s="928" t="s">
        <v>807</v>
      </c>
      <c r="Y93" s="928" t="s">
        <v>808</v>
      </c>
      <c r="Z93" s="928" t="s">
        <v>809</v>
      </c>
      <c r="AA93" s="928" t="s">
        <v>810</v>
      </c>
      <c r="AB93" s="928" t="s">
        <v>811</v>
      </c>
      <c r="AC93" s="929" t="s">
        <v>812</v>
      </c>
    </row>
    <row r="94" spans="1:29" x14ac:dyDescent="0.2">
      <c r="A94" s="251" t="s">
        <v>1395</v>
      </c>
      <c r="B94" s="251" t="s">
        <v>1821</v>
      </c>
      <c r="C94" s="251" t="s">
        <v>1822</v>
      </c>
      <c r="D94" s="251" t="s">
        <v>1823</v>
      </c>
      <c r="E94" s="251" t="s">
        <v>1824</v>
      </c>
      <c r="F94" s="251" t="s">
        <v>1825</v>
      </c>
      <c r="G94" s="251" t="s">
        <v>1826</v>
      </c>
      <c r="H94" s="251" t="s">
        <v>1827</v>
      </c>
      <c r="I94" s="251" t="s">
        <v>1828</v>
      </c>
      <c r="J94" s="251" t="s">
        <v>1829</v>
      </c>
      <c r="K94" s="251" t="s">
        <v>1830</v>
      </c>
      <c r="L94" s="251" t="s">
        <v>1831</v>
      </c>
      <c r="M94" s="251" t="s">
        <v>1832</v>
      </c>
      <c r="N94" s="251" t="s">
        <v>1833</v>
      </c>
      <c r="O94" s="251" t="s">
        <v>1834</v>
      </c>
      <c r="P94" s="251" t="s">
        <v>1835</v>
      </c>
      <c r="Q94" s="251" t="s">
        <v>1836</v>
      </c>
      <c r="R94" s="251" t="s">
        <v>1837</v>
      </c>
      <c r="S94" s="251" t="s">
        <v>1838</v>
      </c>
      <c r="T94" s="251" t="s">
        <v>1839</v>
      </c>
      <c r="U94" s="251" t="s">
        <v>1840</v>
      </c>
      <c r="V94" s="251" t="s">
        <v>1841</v>
      </c>
      <c r="W94" s="251" t="s">
        <v>1842</v>
      </c>
      <c r="X94" s="251" t="s">
        <v>1843</v>
      </c>
      <c r="Y94" s="251" t="s">
        <v>1844</v>
      </c>
      <c r="Z94" s="251" t="s">
        <v>1845</v>
      </c>
      <c r="AA94" s="251" t="s">
        <v>1846</v>
      </c>
      <c r="AB94" s="251" t="s">
        <v>1847</v>
      </c>
      <c r="AC94" s="251" t="s">
        <v>1848</v>
      </c>
    </row>
    <row r="95" spans="1:29" x14ac:dyDescent="0.2">
      <c r="A95" s="251" t="s">
        <v>1424</v>
      </c>
      <c r="B95" t="s">
        <v>1425</v>
      </c>
      <c r="C95" s="388" t="s">
        <v>1426</v>
      </c>
      <c r="D95" s="388" t="s">
        <v>1427</v>
      </c>
      <c r="E95" s="388" t="s">
        <v>1428</v>
      </c>
      <c r="F95" s="388" t="s">
        <v>1429</v>
      </c>
      <c r="G95" s="388" t="s">
        <v>1430</v>
      </c>
      <c r="H95" s="388" t="s">
        <v>1431</v>
      </c>
      <c r="I95" s="388" t="s">
        <v>1432</v>
      </c>
      <c r="J95" s="388" t="s">
        <v>1433</v>
      </c>
      <c r="K95" s="388" t="s">
        <v>1434</v>
      </c>
      <c r="L95" s="388" t="s">
        <v>1435</v>
      </c>
      <c r="M95" s="388" t="s">
        <v>1436</v>
      </c>
      <c r="N95" s="388" t="s">
        <v>1437</v>
      </c>
      <c r="O95" s="388" t="s">
        <v>1438</v>
      </c>
      <c r="P95" s="388" t="s">
        <v>1439</v>
      </c>
      <c r="Q95" s="388" t="s">
        <v>1440</v>
      </c>
      <c r="R95" s="388" t="s">
        <v>1441</v>
      </c>
      <c r="S95" s="388" t="s">
        <v>1442</v>
      </c>
      <c r="T95" s="388" t="s">
        <v>1443</v>
      </c>
      <c r="U95" s="388" t="s">
        <v>1444</v>
      </c>
      <c r="V95" s="388" t="s">
        <v>1445</v>
      </c>
      <c r="W95" s="388" t="s">
        <v>1446</v>
      </c>
      <c r="X95" s="388" t="s">
        <v>1447</v>
      </c>
      <c r="Y95" s="388" t="s">
        <v>1448</v>
      </c>
      <c r="Z95" s="388" t="s">
        <v>1449</v>
      </c>
      <c r="AA95" s="388" t="s">
        <v>1450</v>
      </c>
      <c r="AB95" s="388" t="s">
        <v>1451</v>
      </c>
      <c r="AC95" s="388" t="s">
        <v>1452</v>
      </c>
    </row>
    <row r="96" spans="1:29" x14ac:dyDescent="0.2">
      <c r="A96" s="251" t="s">
        <v>1453</v>
      </c>
      <c r="B96">
        <v>43</v>
      </c>
      <c r="C96">
        <v>43</v>
      </c>
      <c r="D96">
        <v>43</v>
      </c>
      <c r="E96">
        <v>43</v>
      </c>
      <c r="F96">
        <v>43</v>
      </c>
      <c r="G96">
        <v>43</v>
      </c>
      <c r="H96">
        <v>43</v>
      </c>
      <c r="I96">
        <v>43</v>
      </c>
      <c r="J96">
        <v>43</v>
      </c>
      <c r="K96">
        <v>43</v>
      </c>
      <c r="L96">
        <v>43</v>
      </c>
      <c r="M96">
        <v>43</v>
      </c>
      <c r="N96">
        <v>43</v>
      </c>
      <c r="O96">
        <v>43</v>
      </c>
      <c r="P96">
        <v>43</v>
      </c>
      <c r="Q96">
        <v>43</v>
      </c>
      <c r="R96">
        <v>43</v>
      </c>
      <c r="S96">
        <v>43</v>
      </c>
      <c r="T96">
        <v>43</v>
      </c>
      <c r="U96">
        <v>43</v>
      </c>
      <c r="V96">
        <v>43</v>
      </c>
      <c r="W96">
        <v>43</v>
      </c>
      <c r="X96">
        <v>43</v>
      </c>
      <c r="Y96">
        <v>43</v>
      </c>
      <c r="Z96">
        <v>43</v>
      </c>
      <c r="AA96">
        <v>43</v>
      </c>
      <c r="AB96">
        <v>43</v>
      </c>
      <c r="AC96">
        <v>43</v>
      </c>
    </row>
    <row r="97" spans="1:29" x14ac:dyDescent="0.2">
      <c r="A97" s="251" t="s">
        <v>1454</v>
      </c>
      <c r="B97" s="251" t="s">
        <v>44</v>
      </c>
      <c r="C97" s="251" t="s">
        <v>1455</v>
      </c>
      <c r="D97" s="251" t="s">
        <v>45</v>
      </c>
      <c r="E97" s="251" t="s">
        <v>35</v>
      </c>
      <c r="F97" s="251" t="s">
        <v>1456</v>
      </c>
      <c r="G97" s="251" t="s">
        <v>46</v>
      </c>
      <c r="H97" s="251" t="s">
        <v>47</v>
      </c>
      <c r="I97" s="251" t="s">
        <v>1457</v>
      </c>
      <c r="J97" s="251" t="s">
        <v>25</v>
      </c>
      <c r="K97" s="251" t="s">
        <v>1458</v>
      </c>
      <c r="L97" s="251" t="s">
        <v>851</v>
      </c>
      <c r="M97" s="251" t="s">
        <v>170</v>
      </c>
      <c r="N97" s="251" t="s">
        <v>49</v>
      </c>
      <c r="O97" s="251" t="s">
        <v>50</v>
      </c>
      <c r="P97" s="251" t="s">
        <v>26</v>
      </c>
      <c r="Q97" s="251" t="s">
        <v>30</v>
      </c>
      <c r="R97" s="251" t="s">
        <v>32</v>
      </c>
      <c r="S97" s="251" t="s">
        <v>1459</v>
      </c>
      <c r="T97" s="251" t="s">
        <v>51</v>
      </c>
      <c r="U97" s="251" t="s">
        <v>52</v>
      </c>
      <c r="V97" s="251" t="s">
        <v>1460</v>
      </c>
      <c r="W97" s="251" t="s">
        <v>323</v>
      </c>
      <c r="X97" s="251" t="s">
        <v>1461</v>
      </c>
      <c r="Y97" s="251" t="s">
        <v>1462</v>
      </c>
      <c r="Z97" s="251" t="s">
        <v>1463</v>
      </c>
      <c r="AA97" s="251" t="s">
        <v>1464</v>
      </c>
      <c r="AB97" s="251" t="s">
        <v>1465</v>
      </c>
      <c r="AC97" s="251" t="s">
        <v>1466</v>
      </c>
    </row>
    <row r="99" spans="1:29" ht="13.5" thickBot="1" x14ac:dyDescent="0.25">
      <c r="A99" s="251" t="s">
        <v>1677</v>
      </c>
    </row>
    <row r="100" spans="1:29" x14ac:dyDescent="0.2">
      <c r="B100" s="927" t="s">
        <v>785</v>
      </c>
      <c r="C100" s="928" t="s">
        <v>786</v>
      </c>
      <c r="D100" s="928" t="s">
        <v>787</v>
      </c>
      <c r="E100" s="928" t="s">
        <v>788</v>
      </c>
      <c r="F100" s="928" t="s">
        <v>789</v>
      </c>
      <c r="G100" s="928" t="s">
        <v>790</v>
      </c>
      <c r="H100" s="928" t="s">
        <v>791</v>
      </c>
      <c r="I100" s="928" t="s">
        <v>792</v>
      </c>
      <c r="J100" s="928" t="s">
        <v>793</v>
      </c>
      <c r="K100" s="928" t="s">
        <v>794</v>
      </c>
      <c r="L100" s="928" t="s">
        <v>795</v>
      </c>
      <c r="M100" s="928" t="s">
        <v>796</v>
      </c>
      <c r="N100" s="928" t="s">
        <v>797</v>
      </c>
      <c r="O100" s="928" t="s">
        <v>798</v>
      </c>
      <c r="P100" s="928" t="s">
        <v>799</v>
      </c>
      <c r="Q100" s="928" t="s">
        <v>800</v>
      </c>
      <c r="R100" s="928" t="s">
        <v>801</v>
      </c>
      <c r="S100" s="928" t="s">
        <v>802</v>
      </c>
      <c r="T100" s="928" t="s">
        <v>803</v>
      </c>
      <c r="U100" s="928" t="s">
        <v>804</v>
      </c>
      <c r="V100" s="928" t="s">
        <v>805</v>
      </c>
      <c r="W100" s="928" t="s">
        <v>806</v>
      </c>
      <c r="X100" s="928" t="s">
        <v>807</v>
      </c>
      <c r="Y100" s="928" t="s">
        <v>808</v>
      </c>
      <c r="Z100" s="928" t="s">
        <v>809</v>
      </c>
      <c r="AA100" s="928" t="s">
        <v>810</v>
      </c>
      <c r="AB100" s="928" t="s">
        <v>811</v>
      </c>
      <c r="AC100" s="929" t="s">
        <v>812</v>
      </c>
    </row>
    <row r="101" spans="1:29" x14ac:dyDescent="0.2">
      <c r="A101" s="251" t="s">
        <v>1395</v>
      </c>
      <c r="B101" s="251" t="s">
        <v>1849</v>
      </c>
      <c r="C101" s="251" t="s">
        <v>1850</v>
      </c>
      <c r="D101" s="251" t="s">
        <v>1851</v>
      </c>
      <c r="E101" s="251" t="s">
        <v>1852</v>
      </c>
      <c r="F101" s="251" t="s">
        <v>1853</v>
      </c>
      <c r="G101" s="251" t="s">
        <v>1854</v>
      </c>
      <c r="H101" s="251" t="s">
        <v>1855</v>
      </c>
      <c r="I101" s="251" t="s">
        <v>1856</v>
      </c>
      <c r="J101" s="251" t="s">
        <v>1857</v>
      </c>
      <c r="K101" s="251" t="s">
        <v>1858</v>
      </c>
      <c r="L101" s="251" t="s">
        <v>1859</v>
      </c>
      <c r="M101" s="251" t="s">
        <v>1860</v>
      </c>
      <c r="N101" s="251" t="s">
        <v>1861</v>
      </c>
      <c r="O101" s="251" t="s">
        <v>1862</v>
      </c>
      <c r="P101" s="251" t="s">
        <v>1863</v>
      </c>
      <c r="Q101" s="251" t="s">
        <v>1864</v>
      </c>
      <c r="R101" s="251" t="s">
        <v>1865</v>
      </c>
      <c r="S101" s="251" t="s">
        <v>1866</v>
      </c>
      <c r="T101" s="251" t="s">
        <v>1867</v>
      </c>
      <c r="U101" s="251" t="s">
        <v>1868</v>
      </c>
      <c r="V101" s="251" t="s">
        <v>1869</v>
      </c>
      <c r="W101" s="251" t="s">
        <v>1870</v>
      </c>
      <c r="X101" s="251" t="s">
        <v>1871</v>
      </c>
      <c r="Y101" s="251" t="s">
        <v>1872</v>
      </c>
      <c r="Z101" s="251" t="s">
        <v>1873</v>
      </c>
      <c r="AA101" s="251" t="s">
        <v>1874</v>
      </c>
      <c r="AB101" s="251" t="s">
        <v>1875</v>
      </c>
      <c r="AC101" s="251" t="s">
        <v>1876</v>
      </c>
    </row>
    <row r="102" spans="1:29" x14ac:dyDescent="0.2">
      <c r="A102" s="251" t="s">
        <v>1424</v>
      </c>
      <c r="B102" t="s">
        <v>1425</v>
      </c>
      <c r="C102" s="388" t="s">
        <v>1426</v>
      </c>
      <c r="D102" s="388" t="s">
        <v>1427</v>
      </c>
      <c r="E102" s="388" t="s">
        <v>1428</v>
      </c>
      <c r="F102" s="388" t="s">
        <v>1429</v>
      </c>
      <c r="G102" s="388" t="s">
        <v>1430</v>
      </c>
      <c r="H102" s="388" t="s">
        <v>1431</v>
      </c>
      <c r="I102" s="388" t="s">
        <v>1432</v>
      </c>
      <c r="J102" s="388" t="s">
        <v>1433</v>
      </c>
      <c r="K102" s="388" t="s">
        <v>1434</v>
      </c>
      <c r="L102" s="388" t="s">
        <v>1435</v>
      </c>
      <c r="M102" s="388" t="s">
        <v>1436</v>
      </c>
      <c r="N102" s="388" t="s">
        <v>1437</v>
      </c>
      <c r="O102" s="388" t="s">
        <v>1438</v>
      </c>
      <c r="P102" s="388" t="s">
        <v>1439</v>
      </c>
      <c r="Q102" s="388" t="s">
        <v>1440</v>
      </c>
      <c r="R102" s="388" t="s">
        <v>1441</v>
      </c>
      <c r="S102" s="388" t="s">
        <v>1442</v>
      </c>
      <c r="T102" s="388" t="s">
        <v>1443</v>
      </c>
      <c r="U102" s="388" t="s">
        <v>1444</v>
      </c>
      <c r="V102" s="388" t="s">
        <v>1445</v>
      </c>
      <c r="W102" s="388" t="s">
        <v>1446</v>
      </c>
      <c r="X102" s="388" t="s">
        <v>1447</v>
      </c>
      <c r="Y102" s="388" t="s">
        <v>1448</v>
      </c>
      <c r="Z102" s="388" t="s">
        <v>1449</v>
      </c>
      <c r="AA102" s="388" t="s">
        <v>1450</v>
      </c>
      <c r="AB102" s="388" t="s">
        <v>1451</v>
      </c>
      <c r="AC102" s="388" t="s">
        <v>1452</v>
      </c>
    </row>
    <row r="103" spans="1:29" x14ac:dyDescent="0.2">
      <c r="A103" s="251" t="s">
        <v>1453</v>
      </c>
      <c r="B103">
        <v>43</v>
      </c>
      <c r="C103">
        <v>43</v>
      </c>
      <c r="D103">
        <v>43</v>
      </c>
      <c r="E103">
        <v>43</v>
      </c>
      <c r="F103">
        <v>43</v>
      </c>
      <c r="G103">
        <v>43</v>
      </c>
      <c r="H103">
        <v>43</v>
      </c>
      <c r="I103">
        <v>43</v>
      </c>
      <c r="J103">
        <v>43</v>
      </c>
      <c r="K103">
        <v>43</v>
      </c>
      <c r="L103">
        <v>43</v>
      </c>
      <c r="M103">
        <v>43</v>
      </c>
      <c r="N103">
        <v>43</v>
      </c>
      <c r="O103">
        <v>43</v>
      </c>
      <c r="P103">
        <v>43</v>
      </c>
      <c r="Q103">
        <v>43</v>
      </c>
      <c r="R103">
        <v>43</v>
      </c>
      <c r="S103">
        <v>43</v>
      </c>
      <c r="T103">
        <v>43</v>
      </c>
      <c r="U103">
        <v>43</v>
      </c>
      <c r="V103">
        <v>43</v>
      </c>
      <c r="W103">
        <v>43</v>
      </c>
      <c r="X103">
        <v>43</v>
      </c>
      <c r="Y103">
        <v>43</v>
      </c>
      <c r="Z103">
        <v>43</v>
      </c>
      <c r="AA103">
        <v>43</v>
      </c>
      <c r="AB103">
        <v>43</v>
      </c>
      <c r="AC103">
        <v>43</v>
      </c>
    </row>
    <row r="104" spans="1:29" x14ac:dyDescent="0.2">
      <c r="A104" s="251" t="s">
        <v>1454</v>
      </c>
      <c r="B104" s="251" t="s">
        <v>44</v>
      </c>
      <c r="C104" s="251" t="s">
        <v>1455</v>
      </c>
      <c r="D104" s="251" t="s">
        <v>45</v>
      </c>
      <c r="E104" s="251" t="s">
        <v>35</v>
      </c>
      <c r="F104" s="251" t="s">
        <v>1456</v>
      </c>
      <c r="G104" s="251" t="s">
        <v>46</v>
      </c>
      <c r="H104" s="251" t="s">
        <v>47</v>
      </c>
      <c r="I104" s="251" t="s">
        <v>1457</v>
      </c>
      <c r="J104" s="251" t="s">
        <v>25</v>
      </c>
      <c r="K104" s="251" t="s">
        <v>1458</v>
      </c>
      <c r="L104" s="251" t="s">
        <v>851</v>
      </c>
      <c r="M104" s="251" t="s">
        <v>170</v>
      </c>
      <c r="N104" s="251" t="s">
        <v>49</v>
      </c>
      <c r="O104" s="251" t="s">
        <v>50</v>
      </c>
      <c r="P104" s="251" t="s">
        <v>26</v>
      </c>
      <c r="Q104" s="251" t="s">
        <v>30</v>
      </c>
      <c r="R104" s="251" t="s">
        <v>32</v>
      </c>
      <c r="S104" s="251" t="s">
        <v>1459</v>
      </c>
      <c r="T104" s="251" t="s">
        <v>51</v>
      </c>
      <c r="U104" s="251" t="s">
        <v>52</v>
      </c>
      <c r="V104" s="251" t="s">
        <v>1460</v>
      </c>
      <c r="W104" s="251" t="s">
        <v>323</v>
      </c>
      <c r="X104" s="251" t="s">
        <v>1461</v>
      </c>
      <c r="Y104" s="251" t="s">
        <v>1462</v>
      </c>
      <c r="Z104" s="251" t="s">
        <v>1463</v>
      </c>
      <c r="AA104" s="251" t="s">
        <v>1464</v>
      </c>
      <c r="AB104" s="251" t="s">
        <v>1465</v>
      </c>
      <c r="AC104" s="251" t="s">
        <v>1466</v>
      </c>
    </row>
    <row r="106" spans="1:29" ht="13.5" thickBot="1" x14ac:dyDescent="0.25">
      <c r="A106" s="251" t="s">
        <v>1676</v>
      </c>
    </row>
    <row r="107" spans="1:29" x14ac:dyDescent="0.2">
      <c r="B107" s="927" t="s">
        <v>785</v>
      </c>
      <c r="C107" s="928" t="s">
        <v>786</v>
      </c>
      <c r="D107" s="928" t="s">
        <v>787</v>
      </c>
      <c r="E107" s="928" t="s">
        <v>788</v>
      </c>
      <c r="F107" s="928" t="s">
        <v>789</v>
      </c>
      <c r="G107" s="928" t="s">
        <v>790</v>
      </c>
      <c r="H107" s="928" t="s">
        <v>791</v>
      </c>
      <c r="I107" s="928" t="s">
        <v>792</v>
      </c>
      <c r="J107" s="928" t="s">
        <v>793</v>
      </c>
      <c r="K107" s="928" t="s">
        <v>794</v>
      </c>
      <c r="L107" s="928" t="s">
        <v>795</v>
      </c>
      <c r="M107" s="928" t="s">
        <v>796</v>
      </c>
      <c r="N107" s="928" t="s">
        <v>797</v>
      </c>
      <c r="O107" s="928" t="s">
        <v>798</v>
      </c>
      <c r="P107" s="928" t="s">
        <v>799</v>
      </c>
      <c r="Q107" s="928" t="s">
        <v>800</v>
      </c>
      <c r="R107" s="928" t="s">
        <v>801</v>
      </c>
      <c r="S107" s="928" t="s">
        <v>802</v>
      </c>
      <c r="T107" s="928" t="s">
        <v>803</v>
      </c>
      <c r="U107" s="928" t="s">
        <v>804</v>
      </c>
      <c r="V107" s="928" t="s">
        <v>805</v>
      </c>
      <c r="W107" s="928" t="s">
        <v>806</v>
      </c>
      <c r="X107" s="928" t="s">
        <v>807</v>
      </c>
      <c r="Y107" s="928" t="s">
        <v>808</v>
      </c>
      <c r="Z107" s="928" t="s">
        <v>809</v>
      </c>
      <c r="AA107" s="928" t="s">
        <v>810</v>
      </c>
      <c r="AB107" s="928" t="s">
        <v>811</v>
      </c>
      <c r="AC107" s="929" t="s">
        <v>812</v>
      </c>
    </row>
    <row r="108" spans="1:29" x14ac:dyDescent="0.2">
      <c r="A108" s="251" t="s">
        <v>1395</v>
      </c>
      <c r="B108" s="251" t="s">
        <v>1877</v>
      </c>
      <c r="C108" s="251" t="s">
        <v>1878</v>
      </c>
      <c r="D108" s="251" t="s">
        <v>1879</v>
      </c>
      <c r="E108" s="251" t="s">
        <v>1880</v>
      </c>
      <c r="F108" s="251" t="s">
        <v>1881</v>
      </c>
      <c r="G108" s="251" t="s">
        <v>1882</v>
      </c>
      <c r="H108" s="251" t="s">
        <v>1883</v>
      </c>
      <c r="I108" s="251" t="s">
        <v>1884</v>
      </c>
      <c r="J108" s="251" t="s">
        <v>1885</v>
      </c>
      <c r="K108" s="251" t="s">
        <v>1886</v>
      </c>
      <c r="L108" s="251" t="s">
        <v>1887</v>
      </c>
      <c r="M108" s="251" t="s">
        <v>1888</v>
      </c>
      <c r="N108" s="251" t="s">
        <v>1889</v>
      </c>
      <c r="O108" s="251" t="s">
        <v>1890</v>
      </c>
      <c r="P108" s="251" t="s">
        <v>1891</v>
      </c>
      <c r="Q108" s="251" t="s">
        <v>1892</v>
      </c>
      <c r="R108" s="251" t="s">
        <v>1893</v>
      </c>
      <c r="S108" s="251" t="s">
        <v>1894</v>
      </c>
      <c r="T108" s="251" t="s">
        <v>1895</v>
      </c>
      <c r="U108" s="251" t="s">
        <v>1896</v>
      </c>
      <c r="V108" s="251" t="s">
        <v>1897</v>
      </c>
      <c r="W108" s="251" t="s">
        <v>1898</v>
      </c>
      <c r="X108" s="251" t="s">
        <v>1899</v>
      </c>
      <c r="Y108" s="251" t="s">
        <v>1900</v>
      </c>
      <c r="Z108" s="251" t="s">
        <v>1901</v>
      </c>
      <c r="AA108" s="251" t="s">
        <v>1902</v>
      </c>
      <c r="AB108" s="251" t="s">
        <v>1903</v>
      </c>
      <c r="AC108" s="251" t="s">
        <v>1904</v>
      </c>
    </row>
    <row r="109" spans="1:29" x14ac:dyDescent="0.2">
      <c r="A109" s="251" t="s">
        <v>1424</v>
      </c>
      <c r="B109" t="s">
        <v>1425</v>
      </c>
      <c r="C109" s="388" t="s">
        <v>1426</v>
      </c>
      <c r="D109" s="388" t="s">
        <v>1427</v>
      </c>
      <c r="E109" s="388" t="s">
        <v>1428</v>
      </c>
      <c r="F109" s="388" t="s">
        <v>1429</v>
      </c>
      <c r="G109" s="388" t="s">
        <v>1430</v>
      </c>
      <c r="H109" s="388" t="s">
        <v>1431</v>
      </c>
      <c r="I109" s="388" t="s">
        <v>1432</v>
      </c>
      <c r="J109" s="388" t="s">
        <v>1433</v>
      </c>
      <c r="K109" s="388" t="s">
        <v>1434</v>
      </c>
      <c r="L109" s="388" t="s">
        <v>1435</v>
      </c>
      <c r="M109" s="388" t="s">
        <v>1436</v>
      </c>
      <c r="N109" s="388" t="s">
        <v>1437</v>
      </c>
      <c r="O109" s="388" t="s">
        <v>1438</v>
      </c>
      <c r="P109" s="388" t="s">
        <v>1439</v>
      </c>
      <c r="Q109" s="388" t="s">
        <v>1440</v>
      </c>
      <c r="R109" s="388" t="s">
        <v>1441</v>
      </c>
      <c r="S109" s="388" t="s">
        <v>1442</v>
      </c>
      <c r="T109" s="388" t="s">
        <v>1443</v>
      </c>
      <c r="U109" s="388" t="s">
        <v>1444</v>
      </c>
      <c r="V109" s="388" t="s">
        <v>1445</v>
      </c>
      <c r="W109" s="388" t="s">
        <v>1446</v>
      </c>
      <c r="X109" s="388" t="s">
        <v>1447</v>
      </c>
      <c r="Y109" s="388" t="s">
        <v>1448</v>
      </c>
      <c r="Z109" s="388" t="s">
        <v>1449</v>
      </c>
      <c r="AA109" s="388" t="s">
        <v>1450</v>
      </c>
      <c r="AB109" s="388" t="s">
        <v>1451</v>
      </c>
      <c r="AC109" s="388" t="s">
        <v>1452</v>
      </c>
    </row>
    <row r="110" spans="1:29" x14ac:dyDescent="0.2">
      <c r="A110" s="251" t="s">
        <v>1453</v>
      </c>
      <c r="B110">
        <v>43</v>
      </c>
      <c r="C110">
        <v>43</v>
      </c>
      <c r="D110">
        <v>43</v>
      </c>
      <c r="E110">
        <v>43</v>
      </c>
      <c r="F110">
        <v>43</v>
      </c>
      <c r="G110">
        <v>43</v>
      </c>
      <c r="H110">
        <v>43</v>
      </c>
      <c r="I110">
        <v>43</v>
      </c>
      <c r="J110">
        <v>43</v>
      </c>
      <c r="K110">
        <v>43</v>
      </c>
      <c r="L110">
        <v>43</v>
      </c>
      <c r="M110">
        <v>43</v>
      </c>
      <c r="N110">
        <v>43</v>
      </c>
      <c r="O110">
        <v>43</v>
      </c>
      <c r="P110">
        <v>43</v>
      </c>
      <c r="Q110">
        <v>43</v>
      </c>
      <c r="R110">
        <v>43</v>
      </c>
      <c r="S110">
        <v>43</v>
      </c>
      <c r="T110">
        <v>43</v>
      </c>
      <c r="U110">
        <v>43</v>
      </c>
      <c r="V110">
        <v>43</v>
      </c>
      <c r="W110">
        <v>43</v>
      </c>
      <c r="X110">
        <v>43</v>
      </c>
      <c r="Y110">
        <v>43</v>
      </c>
      <c r="Z110">
        <v>43</v>
      </c>
      <c r="AA110">
        <v>43</v>
      </c>
      <c r="AB110">
        <v>43</v>
      </c>
      <c r="AC110">
        <v>43</v>
      </c>
    </row>
    <row r="111" spans="1:29" x14ac:dyDescent="0.2">
      <c r="A111" s="251" t="s">
        <v>1454</v>
      </c>
      <c r="B111" s="251" t="s">
        <v>44</v>
      </c>
      <c r="C111" s="251" t="s">
        <v>1455</v>
      </c>
      <c r="D111" s="251" t="s">
        <v>45</v>
      </c>
      <c r="E111" s="251" t="s">
        <v>35</v>
      </c>
      <c r="F111" s="251" t="s">
        <v>1456</v>
      </c>
      <c r="G111" s="251" t="s">
        <v>46</v>
      </c>
      <c r="H111" s="251" t="s">
        <v>47</v>
      </c>
      <c r="I111" s="251" t="s">
        <v>1457</v>
      </c>
      <c r="J111" s="251" t="s">
        <v>25</v>
      </c>
      <c r="K111" s="251" t="s">
        <v>1458</v>
      </c>
      <c r="L111" s="251" t="s">
        <v>851</v>
      </c>
      <c r="M111" s="251" t="s">
        <v>170</v>
      </c>
      <c r="N111" s="251" t="s">
        <v>49</v>
      </c>
      <c r="O111" s="251" t="s">
        <v>50</v>
      </c>
      <c r="P111" s="251" t="s">
        <v>26</v>
      </c>
      <c r="Q111" s="251" t="s">
        <v>30</v>
      </c>
      <c r="R111" s="251" t="s">
        <v>32</v>
      </c>
      <c r="S111" s="251" t="s">
        <v>1459</v>
      </c>
      <c r="T111" s="251" t="s">
        <v>51</v>
      </c>
      <c r="U111" s="251" t="s">
        <v>52</v>
      </c>
      <c r="V111" s="251" t="s">
        <v>1460</v>
      </c>
      <c r="W111" s="251" t="s">
        <v>323</v>
      </c>
      <c r="X111" s="251" t="s">
        <v>1461</v>
      </c>
      <c r="Y111" s="251" t="s">
        <v>1462</v>
      </c>
      <c r="Z111" s="251" t="s">
        <v>1463</v>
      </c>
      <c r="AA111" s="251" t="s">
        <v>1464</v>
      </c>
      <c r="AB111" s="251" t="s">
        <v>1465</v>
      </c>
      <c r="AC111" s="251" t="s">
        <v>1466</v>
      </c>
    </row>
    <row r="113" spans="1:29" ht="13.5" thickBot="1" x14ac:dyDescent="0.25">
      <c r="A113" s="251" t="s">
        <v>1675</v>
      </c>
    </row>
    <row r="114" spans="1:29" x14ac:dyDescent="0.2">
      <c r="B114" s="927" t="s">
        <v>785</v>
      </c>
      <c r="C114" s="928" t="s">
        <v>786</v>
      </c>
      <c r="D114" s="928" t="s">
        <v>787</v>
      </c>
      <c r="E114" s="928" t="s">
        <v>788</v>
      </c>
      <c r="F114" s="928" t="s">
        <v>789</v>
      </c>
      <c r="G114" s="928" t="s">
        <v>790</v>
      </c>
      <c r="H114" s="928" t="s">
        <v>791</v>
      </c>
      <c r="I114" s="928" t="s">
        <v>792</v>
      </c>
      <c r="J114" s="928" t="s">
        <v>793</v>
      </c>
      <c r="K114" s="928" t="s">
        <v>794</v>
      </c>
      <c r="L114" s="928" t="s">
        <v>795</v>
      </c>
      <c r="M114" s="928" t="s">
        <v>796</v>
      </c>
      <c r="N114" s="928" t="s">
        <v>797</v>
      </c>
      <c r="O114" s="928" t="s">
        <v>798</v>
      </c>
      <c r="P114" s="928" t="s">
        <v>799</v>
      </c>
      <c r="Q114" s="928" t="s">
        <v>800</v>
      </c>
      <c r="R114" s="928" t="s">
        <v>801</v>
      </c>
      <c r="S114" s="928" t="s">
        <v>802</v>
      </c>
      <c r="T114" s="928" t="s">
        <v>803</v>
      </c>
      <c r="U114" s="928" t="s">
        <v>804</v>
      </c>
      <c r="V114" s="928" t="s">
        <v>805</v>
      </c>
      <c r="W114" s="928" t="s">
        <v>806</v>
      </c>
      <c r="X114" s="928" t="s">
        <v>807</v>
      </c>
      <c r="Y114" s="928" t="s">
        <v>808</v>
      </c>
      <c r="Z114" s="928" t="s">
        <v>809</v>
      </c>
      <c r="AA114" s="928" t="s">
        <v>810</v>
      </c>
      <c r="AB114" s="928" t="s">
        <v>811</v>
      </c>
      <c r="AC114" s="929" t="s">
        <v>812</v>
      </c>
    </row>
    <row r="115" spans="1:29" x14ac:dyDescent="0.2">
      <c r="A115" s="251" t="s">
        <v>1395</v>
      </c>
      <c r="B115" s="251" t="s">
        <v>1905</v>
      </c>
      <c r="C115" s="251" t="s">
        <v>1906</v>
      </c>
      <c r="D115" s="251" t="s">
        <v>1907</v>
      </c>
      <c r="E115" s="251" t="s">
        <v>1908</v>
      </c>
      <c r="F115" s="251" t="s">
        <v>1909</v>
      </c>
      <c r="G115" s="251" t="s">
        <v>1910</v>
      </c>
      <c r="H115" s="251" t="s">
        <v>1911</v>
      </c>
      <c r="I115" s="251" t="s">
        <v>1912</v>
      </c>
      <c r="J115" s="251" t="s">
        <v>1913</v>
      </c>
      <c r="K115" s="251" t="s">
        <v>1914</v>
      </c>
      <c r="L115" s="251" t="s">
        <v>1915</v>
      </c>
      <c r="M115" s="251" t="s">
        <v>1916</v>
      </c>
      <c r="N115" s="251" t="s">
        <v>1917</v>
      </c>
      <c r="O115" s="251" t="s">
        <v>1918</v>
      </c>
      <c r="P115" s="251" t="s">
        <v>1919</v>
      </c>
      <c r="Q115" s="251" t="s">
        <v>1920</v>
      </c>
      <c r="R115" s="251" t="s">
        <v>1921</v>
      </c>
      <c r="S115" s="251" t="s">
        <v>1922</v>
      </c>
      <c r="T115" s="251" t="s">
        <v>1923</v>
      </c>
      <c r="U115" s="251" t="s">
        <v>1924</v>
      </c>
      <c r="V115" s="251" t="s">
        <v>1925</v>
      </c>
      <c r="W115" s="251" t="s">
        <v>1926</v>
      </c>
      <c r="X115" s="251" t="s">
        <v>1927</v>
      </c>
      <c r="Y115" s="251" t="s">
        <v>1928</v>
      </c>
      <c r="Z115" s="251" t="s">
        <v>1929</v>
      </c>
      <c r="AA115" s="251" t="s">
        <v>1930</v>
      </c>
      <c r="AB115" s="251" t="s">
        <v>1931</v>
      </c>
      <c r="AC115" s="251" t="s">
        <v>1932</v>
      </c>
    </row>
    <row r="116" spans="1:29" x14ac:dyDescent="0.2">
      <c r="A116" s="251" t="s">
        <v>1424</v>
      </c>
      <c r="B116" t="s">
        <v>1425</v>
      </c>
      <c r="C116" s="388" t="s">
        <v>1426</v>
      </c>
      <c r="D116" s="388" t="s">
        <v>1427</v>
      </c>
      <c r="E116" s="388" t="s">
        <v>1428</v>
      </c>
      <c r="F116" s="388" t="s">
        <v>1429</v>
      </c>
      <c r="G116" s="388" t="s">
        <v>1430</v>
      </c>
      <c r="H116" s="388" t="s">
        <v>1431</v>
      </c>
      <c r="I116" s="388" t="s">
        <v>1432</v>
      </c>
      <c r="J116" s="388" t="s">
        <v>1433</v>
      </c>
      <c r="K116" s="388" t="s">
        <v>1434</v>
      </c>
      <c r="L116" s="388" t="s">
        <v>1435</v>
      </c>
      <c r="M116" s="388" t="s">
        <v>1436</v>
      </c>
      <c r="N116" s="388" t="s">
        <v>1437</v>
      </c>
      <c r="O116" s="388" t="s">
        <v>1438</v>
      </c>
      <c r="P116" s="388" t="s">
        <v>1439</v>
      </c>
      <c r="Q116" s="388" t="s">
        <v>1440</v>
      </c>
      <c r="R116" s="388" t="s">
        <v>1441</v>
      </c>
      <c r="S116" s="388" t="s">
        <v>1442</v>
      </c>
      <c r="T116" s="388" t="s">
        <v>1443</v>
      </c>
      <c r="U116" s="388" t="s">
        <v>1444</v>
      </c>
      <c r="V116" s="388" t="s">
        <v>1445</v>
      </c>
      <c r="W116" s="388" t="s">
        <v>1446</v>
      </c>
      <c r="X116" s="388" t="s">
        <v>1447</v>
      </c>
      <c r="Y116" s="388" t="s">
        <v>1448</v>
      </c>
      <c r="Z116" s="388" t="s">
        <v>1449</v>
      </c>
      <c r="AA116" s="388" t="s">
        <v>1450</v>
      </c>
      <c r="AB116" s="388" t="s">
        <v>1451</v>
      </c>
      <c r="AC116" s="388" t="s">
        <v>1452</v>
      </c>
    </row>
    <row r="117" spans="1:29" x14ac:dyDescent="0.2">
      <c r="A117" s="251" t="s">
        <v>1453</v>
      </c>
      <c r="B117">
        <v>43</v>
      </c>
      <c r="C117">
        <v>43</v>
      </c>
      <c r="D117">
        <v>43</v>
      </c>
      <c r="E117">
        <v>43</v>
      </c>
      <c r="F117">
        <v>43</v>
      </c>
      <c r="G117">
        <v>43</v>
      </c>
      <c r="H117">
        <v>43</v>
      </c>
      <c r="I117">
        <v>43</v>
      </c>
      <c r="J117">
        <v>43</v>
      </c>
      <c r="K117">
        <v>43</v>
      </c>
      <c r="L117">
        <v>43</v>
      </c>
      <c r="M117">
        <v>43</v>
      </c>
      <c r="N117">
        <v>43</v>
      </c>
      <c r="O117">
        <v>43</v>
      </c>
      <c r="P117">
        <v>43</v>
      </c>
      <c r="Q117">
        <v>43</v>
      </c>
      <c r="R117">
        <v>43</v>
      </c>
      <c r="S117">
        <v>43</v>
      </c>
      <c r="T117">
        <v>43</v>
      </c>
      <c r="U117">
        <v>43</v>
      </c>
      <c r="V117">
        <v>43</v>
      </c>
      <c r="W117">
        <v>43</v>
      </c>
      <c r="X117">
        <v>43</v>
      </c>
      <c r="Y117">
        <v>43</v>
      </c>
      <c r="Z117">
        <v>43</v>
      </c>
      <c r="AA117">
        <v>43</v>
      </c>
      <c r="AB117">
        <v>43</v>
      </c>
      <c r="AC117">
        <v>43</v>
      </c>
    </row>
    <row r="118" spans="1:29" x14ac:dyDescent="0.2">
      <c r="A118" s="251" t="s">
        <v>1454</v>
      </c>
      <c r="B118" s="251" t="s">
        <v>44</v>
      </c>
      <c r="C118" s="251" t="s">
        <v>1455</v>
      </c>
      <c r="D118" s="251" t="s">
        <v>45</v>
      </c>
      <c r="E118" s="251" t="s">
        <v>35</v>
      </c>
      <c r="F118" s="251" t="s">
        <v>1456</v>
      </c>
      <c r="G118" s="251" t="s">
        <v>46</v>
      </c>
      <c r="H118" s="251" t="s">
        <v>47</v>
      </c>
      <c r="I118" s="251" t="s">
        <v>1457</v>
      </c>
      <c r="J118" s="251" t="s">
        <v>25</v>
      </c>
      <c r="K118" s="251" t="s">
        <v>1458</v>
      </c>
      <c r="L118" s="251" t="s">
        <v>851</v>
      </c>
      <c r="M118" s="251" t="s">
        <v>170</v>
      </c>
      <c r="N118" s="251" t="s">
        <v>49</v>
      </c>
      <c r="O118" s="251" t="s">
        <v>50</v>
      </c>
      <c r="P118" s="251" t="s">
        <v>26</v>
      </c>
      <c r="Q118" s="251" t="s">
        <v>30</v>
      </c>
      <c r="R118" s="251" t="s">
        <v>32</v>
      </c>
      <c r="S118" s="251" t="s">
        <v>1459</v>
      </c>
      <c r="T118" s="251" t="s">
        <v>51</v>
      </c>
      <c r="U118" s="251" t="s">
        <v>52</v>
      </c>
      <c r="V118" s="251" t="s">
        <v>1460</v>
      </c>
      <c r="W118" s="251" t="s">
        <v>323</v>
      </c>
      <c r="X118" s="251" t="s">
        <v>1461</v>
      </c>
      <c r="Y118" s="251" t="s">
        <v>1462</v>
      </c>
      <c r="Z118" s="251" t="s">
        <v>1463</v>
      </c>
      <c r="AA118" s="251" t="s">
        <v>1464</v>
      </c>
      <c r="AB118" s="251" t="s">
        <v>1465</v>
      </c>
      <c r="AC118" s="251" t="s">
        <v>1466</v>
      </c>
    </row>
    <row r="120" spans="1:29" ht="13.5" thickBot="1" x14ac:dyDescent="0.25">
      <c r="A120" s="251" t="s">
        <v>1674</v>
      </c>
    </row>
    <row r="121" spans="1:29" x14ac:dyDescent="0.2">
      <c r="B121" s="927" t="s">
        <v>785</v>
      </c>
      <c r="C121" s="928" t="s">
        <v>786</v>
      </c>
      <c r="D121" s="928" t="s">
        <v>787</v>
      </c>
      <c r="E121" s="928" t="s">
        <v>788</v>
      </c>
      <c r="F121" s="928" t="s">
        <v>789</v>
      </c>
      <c r="G121" s="928" t="s">
        <v>790</v>
      </c>
      <c r="H121" s="928" t="s">
        <v>791</v>
      </c>
      <c r="I121" s="928" t="s">
        <v>792</v>
      </c>
      <c r="J121" s="928" t="s">
        <v>793</v>
      </c>
      <c r="K121" s="928" t="s">
        <v>794</v>
      </c>
      <c r="L121" s="928" t="s">
        <v>795</v>
      </c>
      <c r="M121" s="928" t="s">
        <v>796</v>
      </c>
      <c r="N121" s="928" t="s">
        <v>797</v>
      </c>
      <c r="O121" s="928" t="s">
        <v>798</v>
      </c>
      <c r="P121" s="928" t="s">
        <v>799</v>
      </c>
      <c r="Q121" s="928" t="s">
        <v>800</v>
      </c>
      <c r="R121" s="928" t="s">
        <v>801</v>
      </c>
      <c r="S121" s="928" t="s">
        <v>802</v>
      </c>
      <c r="T121" s="928" t="s">
        <v>803</v>
      </c>
      <c r="U121" s="928" t="s">
        <v>804</v>
      </c>
      <c r="V121" s="928" t="s">
        <v>805</v>
      </c>
      <c r="W121" s="928" t="s">
        <v>806</v>
      </c>
      <c r="X121" s="928" t="s">
        <v>807</v>
      </c>
      <c r="Y121" s="928" t="s">
        <v>808</v>
      </c>
      <c r="Z121" s="928" t="s">
        <v>809</v>
      </c>
      <c r="AA121" s="928" t="s">
        <v>810</v>
      </c>
      <c r="AB121" s="928" t="s">
        <v>811</v>
      </c>
      <c r="AC121" s="929" t="s">
        <v>812</v>
      </c>
    </row>
    <row r="122" spans="1:29" x14ac:dyDescent="0.2">
      <c r="A122" s="251" t="s">
        <v>1395</v>
      </c>
      <c r="B122" s="251" t="s">
        <v>1933</v>
      </c>
      <c r="C122" s="251" t="s">
        <v>1934</v>
      </c>
      <c r="D122" s="251" t="s">
        <v>1935</v>
      </c>
      <c r="E122" s="251" t="s">
        <v>1936</v>
      </c>
      <c r="F122" s="251" t="s">
        <v>1937</v>
      </c>
      <c r="G122" s="251" t="s">
        <v>1938</v>
      </c>
      <c r="H122" s="251" t="s">
        <v>1939</v>
      </c>
      <c r="I122" s="251" t="s">
        <v>1940</v>
      </c>
      <c r="J122" s="251" t="s">
        <v>1941</v>
      </c>
      <c r="K122" s="251" t="s">
        <v>1942</v>
      </c>
      <c r="L122" s="251" t="s">
        <v>1943</v>
      </c>
      <c r="M122" s="251" t="s">
        <v>1944</v>
      </c>
      <c r="N122" s="251" t="s">
        <v>1945</v>
      </c>
      <c r="O122" s="251" t="s">
        <v>1946</v>
      </c>
      <c r="P122" s="251" t="s">
        <v>1947</v>
      </c>
      <c r="Q122" s="251" t="s">
        <v>1948</v>
      </c>
      <c r="R122" s="251" t="s">
        <v>1949</v>
      </c>
      <c r="S122" s="251" t="s">
        <v>1950</v>
      </c>
      <c r="T122" s="251" t="s">
        <v>1951</v>
      </c>
      <c r="U122" s="251" t="s">
        <v>1952</v>
      </c>
      <c r="V122" s="251" t="s">
        <v>1953</v>
      </c>
      <c r="W122" s="251" t="s">
        <v>1954</v>
      </c>
      <c r="X122" s="251" t="s">
        <v>1955</v>
      </c>
      <c r="Y122" s="251" t="s">
        <v>1956</v>
      </c>
      <c r="Z122" s="251" t="s">
        <v>1957</v>
      </c>
      <c r="AA122" s="251" t="s">
        <v>1958</v>
      </c>
      <c r="AB122" s="251" t="s">
        <v>1959</v>
      </c>
      <c r="AC122" s="251" t="s">
        <v>1960</v>
      </c>
    </row>
    <row r="123" spans="1:29" x14ac:dyDescent="0.2">
      <c r="A123" s="251" t="s">
        <v>1424</v>
      </c>
      <c r="B123" t="s">
        <v>1425</v>
      </c>
      <c r="C123" s="388" t="s">
        <v>1426</v>
      </c>
      <c r="D123" s="388" t="s">
        <v>1427</v>
      </c>
      <c r="E123" s="388" t="s">
        <v>1428</v>
      </c>
      <c r="F123" s="388" t="s">
        <v>1429</v>
      </c>
      <c r="G123" s="388" t="s">
        <v>1430</v>
      </c>
      <c r="H123" s="388" t="s">
        <v>1431</v>
      </c>
      <c r="I123" s="388" t="s">
        <v>1432</v>
      </c>
      <c r="J123" s="388" t="s">
        <v>1433</v>
      </c>
      <c r="K123" s="388" t="s">
        <v>1434</v>
      </c>
      <c r="L123" s="388" t="s">
        <v>1435</v>
      </c>
      <c r="M123" s="388" t="s">
        <v>1436</v>
      </c>
      <c r="N123" s="388" t="s">
        <v>1437</v>
      </c>
      <c r="O123" s="388" t="s">
        <v>1438</v>
      </c>
      <c r="P123" s="388" t="s">
        <v>1439</v>
      </c>
      <c r="Q123" s="388" t="s">
        <v>1440</v>
      </c>
      <c r="R123" s="388" t="s">
        <v>1441</v>
      </c>
      <c r="S123" s="388" t="s">
        <v>1442</v>
      </c>
      <c r="T123" s="388" t="s">
        <v>1443</v>
      </c>
      <c r="U123" s="388" t="s">
        <v>1444</v>
      </c>
      <c r="V123" s="388" t="s">
        <v>1445</v>
      </c>
      <c r="W123" s="388" t="s">
        <v>1446</v>
      </c>
      <c r="X123" s="388" t="s">
        <v>1447</v>
      </c>
      <c r="Y123" s="388" t="s">
        <v>1448</v>
      </c>
      <c r="Z123" s="388" t="s">
        <v>1449</v>
      </c>
      <c r="AA123" s="388" t="s">
        <v>1450</v>
      </c>
      <c r="AB123" s="388" t="s">
        <v>1451</v>
      </c>
      <c r="AC123" s="388" t="s">
        <v>1452</v>
      </c>
    </row>
    <row r="124" spans="1:29" x14ac:dyDescent="0.2">
      <c r="A124" s="251" t="s">
        <v>1453</v>
      </c>
      <c r="B124">
        <v>43</v>
      </c>
      <c r="C124">
        <v>43</v>
      </c>
      <c r="D124">
        <v>43</v>
      </c>
      <c r="E124">
        <v>43</v>
      </c>
      <c r="F124">
        <v>43</v>
      </c>
      <c r="G124">
        <v>43</v>
      </c>
      <c r="H124">
        <v>43</v>
      </c>
      <c r="I124">
        <v>43</v>
      </c>
      <c r="J124">
        <v>43</v>
      </c>
      <c r="K124">
        <v>43</v>
      </c>
      <c r="L124">
        <v>43</v>
      </c>
      <c r="M124">
        <v>43</v>
      </c>
      <c r="N124">
        <v>43</v>
      </c>
      <c r="O124">
        <v>43</v>
      </c>
      <c r="P124">
        <v>43</v>
      </c>
      <c r="Q124">
        <v>43</v>
      </c>
      <c r="R124">
        <v>43</v>
      </c>
      <c r="S124">
        <v>43</v>
      </c>
      <c r="T124">
        <v>43</v>
      </c>
      <c r="U124">
        <v>43</v>
      </c>
      <c r="V124">
        <v>43</v>
      </c>
      <c r="W124">
        <v>43</v>
      </c>
      <c r="X124">
        <v>43</v>
      </c>
      <c r="Y124">
        <v>43</v>
      </c>
      <c r="Z124">
        <v>43</v>
      </c>
      <c r="AA124">
        <v>43</v>
      </c>
      <c r="AB124">
        <v>43</v>
      </c>
      <c r="AC124">
        <v>43</v>
      </c>
    </row>
    <row r="125" spans="1:29" x14ac:dyDescent="0.2">
      <c r="A125" s="251" t="s">
        <v>1454</v>
      </c>
      <c r="B125" s="251" t="s">
        <v>44</v>
      </c>
      <c r="C125" s="251" t="s">
        <v>1455</v>
      </c>
      <c r="D125" s="251" t="s">
        <v>45</v>
      </c>
      <c r="E125" s="251" t="s">
        <v>35</v>
      </c>
      <c r="F125" s="251" t="s">
        <v>1456</v>
      </c>
      <c r="G125" s="251" t="s">
        <v>46</v>
      </c>
      <c r="H125" s="251" t="s">
        <v>47</v>
      </c>
      <c r="I125" s="251" t="s">
        <v>1457</v>
      </c>
      <c r="J125" s="251" t="s">
        <v>25</v>
      </c>
      <c r="K125" s="251" t="s">
        <v>1458</v>
      </c>
      <c r="L125" s="251" t="s">
        <v>851</v>
      </c>
      <c r="M125" s="251" t="s">
        <v>170</v>
      </c>
      <c r="N125" s="251" t="s">
        <v>49</v>
      </c>
      <c r="O125" s="251" t="s">
        <v>50</v>
      </c>
      <c r="P125" s="251" t="s">
        <v>26</v>
      </c>
      <c r="Q125" s="251" t="s">
        <v>30</v>
      </c>
      <c r="R125" s="251" t="s">
        <v>32</v>
      </c>
      <c r="S125" s="251" t="s">
        <v>1459</v>
      </c>
      <c r="T125" s="251" t="s">
        <v>51</v>
      </c>
      <c r="U125" s="251" t="s">
        <v>52</v>
      </c>
      <c r="V125" s="251" t="s">
        <v>1460</v>
      </c>
      <c r="W125" s="251" t="s">
        <v>323</v>
      </c>
      <c r="X125" s="251" t="s">
        <v>1461</v>
      </c>
      <c r="Y125" s="251" t="s">
        <v>1462</v>
      </c>
      <c r="Z125" s="251" t="s">
        <v>1463</v>
      </c>
      <c r="AA125" s="251" t="s">
        <v>1464</v>
      </c>
      <c r="AB125" s="251" t="s">
        <v>1465</v>
      </c>
      <c r="AC125" s="251" t="s">
        <v>1466</v>
      </c>
    </row>
    <row r="127" spans="1:29" ht="13.5" thickBot="1" x14ac:dyDescent="0.25">
      <c r="A127" s="251" t="s">
        <v>1673</v>
      </c>
    </row>
    <row r="128" spans="1:29" x14ac:dyDescent="0.2">
      <c r="B128" s="927" t="s">
        <v>785</v>
      </c>
      <c r="C128" s="928" t="s">
        <v>786</v>
      </c>
      <c r="D128" s="928" t="s">
        <v>787</v>
      </c>
      <c r="E128" s="928" t="s">
        <v>788</v>
      </c>
      <c r="F128" s="928" t="s">
        <v>789</v>
      </c>
      <c r="G128" s="928" t="s">
        <v>790</v>
      </c>
      <c r="H128" s="928" t="s">
        <v>791</v>
      </c>
      <c r="I128" s="928" t="s">
        <v>792</v>
      </c>
      <c r="J128" s="928" t="s">
        <v>793</v>
      </c>
      <c r="K128" s="928" t="s">
        <v>794</v>
      </c>
      <c r="L128" s="928" t="s">
        <v>795</v>
      </c>
      <c r="M128" s="928" t="s">
        <v>796</v>
      </c>
      <c r="N128" s="928" t="s">
        <v>797</v>
      </c>
      <c r="O128" s="928" t="s">
        <v>798</v>
      </c>
      <c r="P128" s="928" t="s">
        <v>799</v>
      </c>
      <c r="Q128" s="928" t="s">
        <v>800</v>
      </c>
      <c r="R128" s="928" t="s">
        <v>801</v>
      </c>
      <c r="S128" s="928" t="s">
        <v>802</v>
      </c>
      <c r="T128" s="928" t="s">
        <v>803</v>
      </c>
      <c r="U128" s="928" t="s">
        <v>804</v>
      </c>
      <c r="V128" s="928" t="s">
        <v>805</v>
      </c>
      <c r="W128" s="928" t="s">
        <v>806</v>
      </c>
      <c r="X128" s="928" t="s">
        <v>807</v>
      </c>
      <c r="Y128" s="928" t="s">
        <v>808</v>
      </c>
      <c r="Z128" s="928" t="s">
        <v>809</v>
      </c>
      <c r="AA128" s="928" t="s">
        <v>810</v>
      </c>
      <c r="AB128" s="928" t="s">
        <v>811</v>
      </c>
      <c r="AC128" s="929" t="s">
        <v>812</v>
      </c>
    </row>
    <row r="129" spans="1:29" x14ac:dyDescent="0.2">
      <c r="A129" s="251" t="s">
        <v>1395</v>
      </c>
      <c r="B129" s="251" t="s">
        <v>1961</v>
      </c>
      <c r="C129" s="251" t="s">
        <v>1962</v>
      </c>
      <c r="D129" s="251" t="s">
        <v>1963</v>
      </c>
      <c r="E129" s="251" t="s">
        <v>1964</v>
      </c>
      <c r="F129" s="251" t="s">
        <v>1965</v>
      </c>
      <c r="G129" s="251" t="s">
        <v>1966</v>
      </c>
      <c r="H129" s="251" t="s">
        <v>1967</v>
      </c>
      <c r="I129" s="251" t="s">
        <v>1968</v>
      </c>
      <c r="J129" s="251" t="s">
        <v>1969</v>
      </c>
      <c r="K129" s="251" t="s">
        <v>1970</v>
      </c>
      <c r="L129" s="251" t="s">
        <v>1971</v>
      </c>
      <c r="M129" s="251" t="s">
        <v>1972</v>
      </c>
      <c r="N129" s="251" t="s">
        <v>1973</v>
      </c>
      <c r="O129" s="251" t="s">
        <v>1974</v>
      </c>
      <c r="P129" s="251" t="s">
        <v>1975</v>
      </c>
      <c r="Q129" s="251" t="s">
        <v>1976</v>
      </c>
      <c r="R129" s="251" t="s">
        <v>1977</v>
      </c>
      <c r="S129" s="251" t="s">
        <v>1978</v>
      </c>
      <c r="T129" s="251" t="s">
        <v>1979</v>
      </c>
      <c r="U129" s="251" t="s">
        <v>1980</v>
      </c>
      <c r="V129" s="251" t="s">
        <v>1981</v>
      </c>
      <c r="W129" s="251" t="s">
        <v>1982</v>
      </c>
      <c r="X129" s="251" t="s">
        <v>1983</v>
      </c>
      <c r="Y129" s="251" t="s">
        <v>1984</v>
      </c>
      <c r="Z129" s="251" t="s">
        <v>1985</v>
      </c>
      <c r="AA129" s="251" t="s">
        <v>1986</v>
      </c>
      <c r="AB129" s="251" t="s">
        <v>1987</v>
      </c>
      <c r="AC129" s="251" t="s">
        <v>1988</v>
      </c>
    </row>
    <row r="130" spans="1:29" x14ac:dyDescent="0.2">
      <c r="A130" s="251" t="s">
        <v>1424</v>
      </c>
      <c r="B130" t="s">
        <v>1425</v>
      </c>
      <c r="C130" s="388" t="s">
        <v>1426</v>
      </c>
      <c r="D130" s="388" t="s">
        <v>1427</v>
      </c>
      <c r="E130" s="388" t="s">
        <v>1428</v>
      </c>
      <c r="F130" s="388" t="s">
        <v>1429</v>
      </c>
      <c r="G130" s="388" t="s">
        <v>1430</v>
      </c>
      <c r="H130" s="388" t="s">
        <v>1431</v>
      </c>
      <c r="I130" s="388" t="s">
        <v>1432</v>
      </c>
      <c r="J130" s="388" t="s">
        <v>1433</v>
      </c>
      <c r="K130" s="388" t="s">
        <v>1434</v>
      </c>
      <c r="L130" s="388" t="s">
        <v>1435</v>
      </c>
      <c r="M130" s="388" t="s">
        <v>1436</v>
      </c>
      <c r="N130" s="388" t="s">
        <v>1437</v>
      </c>
      <c r="O130" s="388" t="s">
        <v>1438</v>
      </c>
      <c r="P130" s="388" t="s">
        <v>1439</v>
      </c>
      <c r="Q130" s="388" t="s">
        <v>1440</v>
      </c>
      <c r="R130" s="388" t="s">
        <v>1441</v>
      </c>
      <c r="S130" s="388" t="s">
        <v>1442</v>
      </c>
      <c r="T130" s="388" t="s">
        <v>1443</v>
      </c>
      <c r="U130" s="388" t="s">
        <v>1444</v>
      </c>
      <c r="V130" s="388" t="s">
        <v>1445</v>
      </c>
      <c r="W130" s="388" t="s">
        <v>1446</v>
      </c>
      <c r="X130" s="388" t="s">
        <v>1447</v>
      </c>
      <c r="Y130" s="388" t="s">
        <v>1448</v>
      </c>
      <c r="Z130" s="388" t="s">
        <v>1449</v>
      </c>
      <c r="AA130" s="388" t="s">
        <v>1450</v>
      </c>
      <c r="AB130" s="388" t="s">
        <v>1451</v>
      </c>
      <c r="AC130" s="388" t="s">
        <v>1452</v>
      </c>
    </row>
    <row r="131" spans="1:29" x14ac:dyDescent="0.2">
      <c r="A131" s="251" t="s">
        <v>1453</v>
      </c>
      <c r="B131">
        <v>43</v>
      </c>
      <c r="C131">
        <v>43</v>
      </c>
      <c r="D131">
        <v>43</v>
      </c>
      <c r="E131">
        <v>43</v>
      </c>
      <c r="F131">
        <v>43</v>
      </c>
      <c r="G131">
        <v>43</v>
      </c>
      <c r="H131">
        <v>43</v>
      </c>
      <c r="I131">
        <v>43</v>
      </c>
      <c r="J131">
        <v>43</v>
      </c>
      <c r="K131">
        <v>43</v>
      </c>
      <c r="L131">
        <v>43</v>
      </c>
      <c r="M131">
        <v>43</v>
      </c>
      <c r="N131">
        <v>43</v>
      </c>
      <c r="O131">
        <v>43</v>
      </c>
      <c r="P131">
        <v>43</v>
      </c>
      <c r="Q131">
        <v>43</v>
      </c>
      <c r="R131">
        <v>43</v>
      </c>
      <c r="S131">
        <v>43</v>
      </c>
      <c r="T131">
        <v>43</v>
      </c>
      <c r="U131">
        <v>43</v>
      </c>
      <c r="V131">
        <v>43</v>
      </c>
      <c r="W131">
        <v>43</v>
      </c>
      <c r="X131">
        <v>43</v>
      </c>
      <c r="Y131">
        <v>43</v>
      </c>
      <c r="Z131">
        <v>43</v>
      </c>
      <c r="AA131">
        <v>43</v>
      </c>
      <c r="AB131">
        <v>43</v>
      </c>
      <c r="AC131">
        <v>43</v>
      </c>
    </row>
    <row r="132" spans="1:29" x14ac:dyDescent="0.2">
      <c r="A132" s="251" t="s">
        <v>1454</v>
      </c>
      <c r="B132" s="251" t="s">
        <v>44</v>
      </c>
      <c r="C132" s="251" t="s">
        <v>1455</v>
      </c>
      <c r="D132" s="251" t="s">
        <v>45</v>
      </c>
      <c r="E132" s="251" t="s">
        <v>35</v>
      </c>
      <c r="F132" s="251" t="s">
        <v>1456</v>
      </c>
      <c r="G132" s="251" t="s">
        <v>46</v>
      </c>
      <c r="H132" s="251" t="s">
        <v>47</v>
      </c>
      <c r="I132" s="251" t="s">
        <v>1457</v>
      </c>
      <c r="J132" s="251" t="s">
        <v>25</v>
      </c>
      <c r="K132" s="251" t="s">
        <v>1458</v>
      </c>
      <c r="L132" s="251" t="s">
        <v>851</v>
      </c>
      <c r="M132" s="251" t="s">
        <v>170</v>
      </c>
      <c r="N132" s="251" t="s">
        <v>49</v>
      </c>
      <c r="O132" s="251" t="s">
        <v>50</v>
      </c>
      <c r="P132" s="251" t="s">
        <v>26</v>
      </c>
      <c r="Q132" s="251" t="s">
        <v>30</v>
      </c>
      <c r="R132" s="251" t="s">
        <v>32</v>
      </c>
      <c r="S132" s="251" t="s">
        <v>1459</v>
      </c>
      <c r="T132" s="251" t="s">
        <v>51</v>
      </c>
      <c r="U132" s="251" t="s">
        <v>52</v>
      </c>
      <c r="V132" s="251" t="s">
        <v>1460</v>
      </c>
      <c r="W132" s="251" t="s">
        <v>323</v>
      </c>
      <c r="X132" s="251" t="s">
        <v>1461</v>
      </c>
      <c r="Y132" s="251" t="s">
        <v>1462</v>
      </c>
      <c r="Z132" s="251" t="s">
        <v>1463</v>
      </c>
      <c r="AA132" s="251" t="s">
        <v>1464</v>
      </c>
      <c r="AB132" s="251" t="s">
        <v>1465</v>
      </c>
      <c r="AC132" s="251" t="s">
        <v>1466</v>
      </c>
    </row>
    <row r="134" spans="1:29" ht="13.5" thickBot="1" x14ac:dyDescent="0.25">
      <c r="A134" s="251" t="s">
        <v>1672</v>
      </c>
    </row>
    <row r="135" spans="1:29" x14ac:dyDescent="0.2">
      <c r="B135" s="927" t="s">
        <v>785</v>
      </c>
      <c r="C135" s="928" t="s">
        <v>786</v>
      </c>
      <c r="D135" s="928" t="s">
        <v>787</v>
      </c>
      <c r="E135" s="928" t="s">
        <v>788</v>
      </c>
      <c r="F135" s="928" t="s">
        <v>789</v>
      </c>
      <c r="G135" s="928" t="s">
        <v>790</v>
      </c>
      <c r="H135" s="928" t="s">
        <v>791</v>
      </c>
      <c r="I135" s="928" t="s">
        <v>792</v>
      </c>
      <c r="J135" s="928" t="s">
        <v>793</v>
      </c>
      <c r="K135" s="928" t="s">
        <v>794</v>
      </c>
      <c r="L135" s="928" t="s">
        <v>795</v>
      </c>
      <c r="M135" s="928" t="s">
        <v>796</v>
      </c>
      <c r="N135" s="928" t="s">
        <v>797</v>
      </c>
      <c r="O135" s="928" t="s">
        <v>798</v>
      </c>
      <c r="P135" s="928" t="s">
        <v>799</v>
      </c>
      <c r="Q135" s="928" t="s">
        <v>800</v>
      </c>
      <c r="R135" s="928" t="s">
        <v>801</v>
      </c>
      <c r="S135" s="928" t="s">
        <v>802</v>
      </c>
      <c r="T135" s="928" t="s">
        <v>803</v>
      </c>
      <c r="U135" s="928" t="s">
        <v>804</v>
      </c>
      <c r="V135" s="928" t="s">
        <v>805</v>
      </c>
      <c r="W135" s="928" t="s">
        <v>806</v>
      </c>
      <c r="X135" s="928" t="s">
        <v>807</v>
      </c>
      <c r="Y135" s="928" t="s">
        <v>808</v>
      </c>
      <c r="Z135" s="928" t="s">
        <v>809</v>
      </c>
      <c r="AA135" s="928" t="s">
        <v>810</v>
      </c>
      <c r="AB135" s="928" t="s">
        <v>811</v>
      </c>
      <c r="AC135" s="929" t="s">
        <v>812</v>
      </c>
    </row>
    <row r="136" spans="1:29" x14ac:dyDescent="0.2">
      <c r="A136" s="251" t="s">
        <v>1395</v>
      </c>
      <c r="B136" s="251" t="s">
        <v>1989</v>
      </c>
      <c r="C136" s="251" t="s">
        <v>1990</v>
      </c>
      <c r="D136" s="251" t="s">
        <v>1991</v>
      </c>
      <c r="E136" s="251" t="s">
        <v>1992</v>
      </c>
      <c r="F136" s="251" t="s">
        <v>1993</v>
      </c>
      <c r="G136" s="251" t="s">
        <v>1994</v>
      </c>
      <c r="H136" s="251" t="s">
        <v>1995</v>
      </c>
      <c r="I136" s="251" t="s">
        <v>1996</v>
      </c>
      <c r="J136" s="251" t="s">
        <v>1997</v>
      </c>
      <c r="K136" s="251" t="s">
        <v>1998</v>
      </c>
      <c r="L136" s="251" t="s">
        <v>1999</v>
      </c>
      <c r="M136" s="251" t="s">
        <v>2000</v>
      </c>
      <c r="N136" s="251" t="s">
        <v>2001</v>
      </c>
      <c r="O136" s="251" t="s">
        <v>2002</v>
      </c>
      <c r="P136" s="251" t="s">
        <v>2003</v>
      </c>
      <c r="Q136" s="251" t="s">
        <v>2004</v>
      </c>
      <c r="R136" s="251" t="s">
        <v>2005</v>
      </c>
      <c r="S136" s="251" t="s">
        <v>2006</v>
      </c>
      <c r="T136" s="251" t="s">
        <v>2007</v>
      </c>
      <c r="U136" s="251" t="s">
        <v>2008</v>
      </c>
      <c r="V136" s="251" t="s">
        <v>2009</v>
      </c>
      <c r="W136" s="251" t="s">
        <v>2010</v>
      </c>
      <c r="X136" s="251" t="s">
        <v>2011</v>
      </c>
      <c r="Y136" s="251" t="s">
        <v>2012</v>
      </c>
      <c r="Z136" s="251" t="s">
        <v>2013</v>
      </c>
      <c r="AA136" s="251" t="s">
        <v>2014</v>
      </c>
      <c r="AB136" s="251" t="s">
        <v>2015</v>
      </c>
      <c r="AC136" s="251" t="s">
        <v>2016</v>
      </c>
    </row>
    <row r="137" spans="1:29" x14ac:dyDescent="0.2">
      <c r="A137" s="251" t="s">
        <v>1424</v>
      </c>
      <c r="B137" t="s">
        <v>1425</v>
      </c>
      <c r="C137" s="388" t="s">
        <v>1426</v>
      </c>
      <c r="D137" s="388" t="s">
        <v>1427</v>
      </c>
      <c r="E137" s="388" t="s">
        <v>1428</v>
      </c>
      <c r="F137" s="388" t="s">
        <v>1429</v>
      </c>
      <c r="G137" s="388" t="s">
        <v>1430</v>
      </c>
      <c r="H137" s="388" t="s">
        <v>1431</v>
      </c>
      <c r="I137" s="388" t="s">
        <v>1432</v>
      </c>
      <c r="J137" s="388" t="s">
        <v>1433</v>
      </c>
      <c r="K137" s="388" t="s">
        <v>1434</v>
      </c>
      <c r="L137" s="388" t="s">
        <v>1435</v>
      </c>
      <c r="M137" s="388" t="s">
        <v>1436</v>
      </c>
      <c r="N137" s="388" t="s">
        <v>1437</v>
      </c>
      <c r="O137" s="388" t="s">
        <v>1438</v>
      </c>
      <c r="P137" s="388" t="s">
        <v>1439</v>
      </c>
      <c r="Q137" s="388" t="s">
        <v>1440</v>
      </c>
      <c r="R137" s="388" t="s">
        <v>1441</v>
      </c>
      <c r="S137" s="388" t="s">
        <v>1442</v>
      </c>
      <c r="T137" s="388" t="s">
        <v>1443</v>
      </c>
      <c r="U137" s="388" t="s">
        <v>1444</v>
      </c>
      <c r="V137" s="388" t="s">
        <v>1445</v>
      </c>
      <c r="W137" s="388" t="s">
        <v>1446</v>
      </c>
      <c r="X137" s="388" t="s">
        <v>1447</v>
      </c>
      <c r="Y137" s="388" t="s">
        <v>1448</v>
      </c>
      <c r="Z137" s="388" t="s">
        <v>1449</v>
      </c>
      <c r="AA137" s="388" t="s">
        <v>1450</v>
      </c>
      <c r="AB137" s="388" t="s">
        <v>1451</v>
      </c>
      <c r="AC137" s="388" t="s">
        <v>1452</v>
      </c>
    </row>
    <row r="138" spans="1:29" x14ac:dyDescent="0.2">
      <c r="A138" s="251" t="s">
        <v>1453</v>
      </c>
      <c r="B138">
        <v>43</v>
      </c>
      <c r="C138">
        <v>43</v>
      </c>
      <c r="D138">
        <v>43</v>
      </c>
      <c r="E138">
        <v>43</v>
      </c>
      <c r="F138">
        <v>43</v>
      </c>
      <c r="G138">
        <v>43</v>
      </c>
      <c r="H138">
        <v>43</v>
      </c>
      <c r="I138">
        <v>43</v>
      </c>
      <c r="J138">
        <v>43</v>
      </c>
      <c r="K138">
        <v>43</v>
      </c>
      <c r="L138">
        <v>43</v>
      </c>
      <c r="M138">
        <v>43</v>
      </c>
      <c r="N138">
        <v>43</v>
      </c>
      <c r="O138">
        <v>43</v>
      </c>
      <c r="P138">
        <v>43</v>
      </c>
      <c r="Q138">
        <v>43</v>
      </c>
      <c r="R138">
        <v>43</v>
      </c>
      <c r="S138">
        <v>43</v>
      </c>
      <c r="T138">
        <v>43</v>
      </c>
      <c r="U138">
        <v>43</v>
      </c>
      <c r="V138">
        <v>43</v>
      </c>
      <c r="W138">
        <v>43</v>
      </c>
      <c r="X138">
        <v>43</v>
      </c>
      <c r="Y138">
        <v>43</v>
      </c>
      <c r="Z138">
        <v>43</v>
      </c>
      <c r="AA138">
        <v>43</v>
      </c>
      <c r="AB138">
        <v>43</v>
      </c>
      <c r="AC138">
        <v>43</v>
      </c>
    </row>
    <row r="139" spans="1:29" x14ac:dyDescent="0.2">
      <c r="A139" s="251" t="s">
        <v>1454</v>
      </c>
      <c r="B139" s="251" t="s">
        <v>44</v>
      </c>
      <c r="C139" s="251" t="s">
        <v>1455</v>
      </c>
      <c r="D139" s="251" t="s">
        <v>45</v>
      </c>
      <c r="E139" s="251" t="s">
        <v>35</v>
      </c>
      <c r="F139" s="251" t="s">
        <v>1456</v>
      </c>
      <c r="G139" s="251" t="s">
        <v>46</v>
      </c>
      <c r="H139" s="251" t="s">
        <v>47</v>
      </c>
      <c r="I139" s="251" t="s">
        <v>1457</v>
      </c>
      <c r="J139" s="251" t="s">
        <v>25</v>
      </c>
      <c r="K139" s="251" t="s">
        <v>1458</v>
      </c>
      <c r="L139" s="251" t="s">
        <v>851</v>
      </c>
      <c r="M139" s="251" t="s">
        <v>170</v>
      </c>
      <c r="N139" s="251" t="s">
        <v>49</v>
      </c>
      <c r="O139" s="251" t="s">
        <v>50</v>
      </c>
      <c r="P139" s="251" t="s">
        <v>26</v>
      </c>
      <c r="Q139" s="251" t="s">
        <v>30</v>
      </c>
      <c r="R139" s="251" t="s">
        <v>32</v>
      </c>
      <c r="S139" s="251" t="s">
        <v>1459</v>
      </c>
      <c r="T139" s="251" t="s">
        <v>51</v>
      </c>
      <c r="U139" s="251" t="s">
        <v>52</v>
      </c>
      <c r="V139" s="251" t="s">
        <v>1460</v>
      </c>
      <c r="W139" s="251" t="s">
        <v>323</v>
      </c>
      <c r="X139" s="251" t="s">
        <v>1461</v>
      </c>
      <c r="Y139" s="251" t="s">
        <v>1462</v>
      </c>
      <c r="Z139" s="251" t="s">
        <v>1463</v>
      </c>
      <c r="AA139" s="251" t="s">
        <v>1464</v>
      </c>
      <c r="AB139" s="251" t="s">
        <v>1465</v>
      </c>
      <c r="AC139" s="251" t="s">
        <v>1466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A3FA-0FE1-4A9F-864B-9894D48FB0E8}">
  <sheetPr codeName="Sheet99">
    <tabColor rgb="FFFF6600"/>
  </sheetPr>
  <dimension ref="A1:U136"/>
  <sheetViews>
    <sheetView workbookViewId="0">
      <selection activeCell="C9" sqref="C9"/>
    </sheetView>
  </sheetViews>
  <sheetFormatPr defaultColWidth="9.140625" defaultRowHeight="12.75" x14ac:dyDescent="0.2"/>
  <cols>
    <col min="1" max="1" width="33.28515625" style="353" bestFit="1" customWidth="1"/>
    <col min="2" max="2" width="37.140625" style="353" customWidth="1"/>
    <col min="3" max="3" width="16.42578125" style="353" customWidth="1"/>
    <col min="4" max="4" width="8.28515625" style="1129" customWidth="1"/>
    <col min="5" max="5" width="10.42578125" style="1129" customWidth="1"/>
    <col min="6" max="6" width="9.140625" style="353" customWidth="1"/>
    <col min="7" max="7" width="25.7109375" style="353" bestFit="1" customWidth="1"/>
    <col min="8" max="8" width="8.7109375" style="353" bestFit="1" customWidth="1"/>
    <col min="9" max="9" width="18.7109375" style="353" bestFit="1" customWidth="1"/>
    <col min="10" max="10" width="28.7109375" style="353" bestFit="1" customWidth="1"/>
    <col min="11" max="16384" width="9.140625" style="353"/>
  </cols>
  <sheetData>
    <row r="1" spans="1:21" ht="15" x14ac:dyDescent="0.25">
      <c r="A1" s="1056" t="s">
        <v>38</v>
      </c>
      <c r="B1" s="1056" t="s">
        <v>890</v>
      </c>
      <c r="C1" s="1056"/>
      <c r="D1" s="1057" t="s">
        <v>2352</v>
      </c>
      <c r="E1" s="1057" t="s">
        <v>2353</v>
      </c>
      <c r="F1" s="1058" t="s">
        <v>2354</v>
      </c>
      <c r="G1" s="353" t="s">
        <v>62</v>
      </c>
      <c r="H1" s="1059">
        <f>DollarG2</f>
        <v>103</v>
      </c>
    </row>
    <row r="2" spans="1:21" ht="15.75" thickBot="1" x14ac:dyDescent="0.3">
      <c r="A2" s="1056"/>
      <c r="B2" s="1056"/>
      <c r="C2" s="1056"/>
      <c r="D2" s="1057"/>
      <c r="E2" s="1057"/>
      <c r="F2" s="1058"/>
      <c r="H2" s="1059"/>
      <c r="K2" s="1060" t="s">
        <v>2352</v>
      </c>
      <c r="L2" s="1060" t="s">
        <v>2353</v>
      </c>
    </row>
    <row r="3" spans="1:21" ht="30" x14ac:dyDescent="0.25">
      <c r="A3" s="1061" t="s">
        <v>904</v>
      </c>
      <c r="B3" s="1062" t="s">
        <v>905</v>
      </c>
      <c r="C3" s="1063"/>
      <c r="D3" s="1064">
        <v>25</v>
      </c>
      <c r="E3" s="1065">
        <v>75</v>
      </c>
      <c r="F3" s="1066"/>
      <c r="G3" s="1067" t="s">
        <v>65</v>
      </c>
      <c r="H3" s="1068" t="s">
        <v>66</v>
      </c>
      <c r="I3" s="691"/>
      <c r="J3" s="1069" t="s">
        <v>2355</v>
      </c>
      <c r="K3" s="1070"/>
      <c r="L3" s="1070"/>
      <c r="M3" s="691"/>
      <c r="N3" s="691"/>
      <c r="O3" s="691"/>
      <c r="P3" s="691"/>
      <c r="Q3" s="691"/>
      <c r="R3" s="691"/>
      <c r="S3" s="691"/>
      <c r="T3" s="691"/>
      <c r="U3" s="691"/>
    </row>
    <row r="4" spans="1:21" ht="45" x14ac:dyDescent="0.25">
      <c r="A4" s="1061" t="s">
        <v>909</v>
      </c>
      <c r="B4" s="1062" t="s">
        <v>910</v>
      </c>
      <c r="C4" s="1071"/>
      <c r="D4" s="1072">
        <v>120</v>
      </c>
      <c r="E4" s="1073">
        <v>360</v>
      </c>
      <c r="F4" s="1066"/>
      <c r="H4" s="1068" t="s">
        <v>67</v>
      </c>
      <c r="I4" s="691"/>
      <c r="J4" s="1074" t="s">
        <v>2356</v>
      </c>
      <c r="K4" s="1075">
        <v>25</v>
      </c>
      <c r="L4" s="1075">
        <v>75</v>
      </c>
      <c r="M4" s="691"/>
      <c r="N4" s="691"/>
      <c r="O4" s="691"/>
      <c r="P4" s="691"/>
      <c r="Q4" s="691"/>
      <c r="R4" s="691"/>
      <c r="S4" s="691"/>
      <c r="T4" s="691"/>
      <c r="U4" s="691"/>
    </row>
    <row r="5" spans="1:21" ht="15" x14ac:dyDescent="0.25">
      <c r="A5" s="1061" t="s">
        <v>914</v>
      </c>
      <c r="B5" s="1062" t="s">
        <v>915</v>
      </c>
      <c r="C5" s="1071"/>
      <c r="D5" s="1072">
        <v>10</v>
      </c>
      <c r="E5" s="1073">
        <v>30</v>
      </c>
      <c r="F5" s="1066"/>
      <c r="G5" s="1067" t="s">
        <v>64</v>
      </c>
      <c r="H5" s="1076" t="s">
        <v>67</v>
      </c>
      <c r="I5" s="691"/>
      <c r="J5" s="1074" t="s">
        <v>2357</v>
      </c>
      <c r="K5" s="1075">
        <v>25</v>
      </c>
      <c r="L5" s="1075">
        <v>75</v>
      </c>
      <c r="M5" s="691"/>
      <c r="N5" s="691"/>
      <c r="O5" s="691"/>
      <c r="P5" s="691"/>
      <c r="Q5" s="691"/>
      <c r="R5" s="691"/>
      <c r="S5" s="691"/>
      <c r="T5" s="691"/>
      <c r="U5" s="691"/>
    </row>
    <row r="6" spans="1:21" ht="15" x14ac:dyDescent="0.25">
      <c r="A6" s="1061" t="s">
        <v>918</v>
      </c>
      <c r="B6" s="1062" t="s">
        <v>919</v>
      </c>
      <c r="C6" s="1071"/>
      <c r="D6" s="1072">
        <v>1</v>
      </c>
      <c r="E6" s="1073"/>
      <c r="F6" s="1066"/>
      <c r="G6" s="1077"/>
      <c r="H6" s="1076" t="s">
        <v>68</v>
      </c>
      <c r="I6" s="691"/>
      <c r="J6" s="1074" t="s">
        <v>2358</v>
      </c>
      <c r="K6" s="1075">
        <v>30</v>
      </c>
      <c r="L6" s="1075">
        <v>60</v>
      </c>
      <c r="M6" s="691"/>
      <c r="N6" s="691"/>
      <c r="O6" s="691"/>
      <c r="P6" s="691"/>
      <c r="Q6" s="691"/>
      <c r="R6" s="691"/>
      <c r="S6" s="691"/>
      <c r="T6" s="691"/>
      <c r="U6" s="691"/>
    </row>
    <row r="7" spans="1:21" ht="15" x14ac:dyDescent="0.25">
      <c r="A7" s="1061" t="s">
        <v>922</v>
      </c>
      <c r="B7" s="1062" t="s">
        <v>923</v>
      </c>
      <c r="C7" s="1071"/>
      <c r="D7" s="1072">
        <v>10</v>
      </c>
      <c r="E7" s="1073">
        <v>50</v>
      </c>
      <c r="F7" s="1066"/>
      <c r="G7" s="1077"/>
      <c r="H7" s="1076"/>
      <c r="I7" s="691"/>
      <c r="J7" s="1074" t="s">
        <v>2359</v>
      </c>
      <c r="K7" s="1075">
        <v>35</v>
      </c>
      <c r="L7" s="1075">
        <v>105</v>
      </c>
      <c r="M7" s="691"/>
      <c r="N7" s="691"/>
      <c r="O7" s="691"/>
      <c r="P7" s="691"/>
      <c r="Q7" s="691"/>
      <c r="R7" s="691"/>
      <c r="S7" s="691"/>
      <c r="T7" s="691"/>
      <c r="U7" s="691"/>
    </row>
    <row r="8" spans="1:21" ht="30" x14ac:dyDescent="0.25">
      <c r="A8" s="1061" t="s">
        <v>56</v>
      </c>
      <c r="B8" s="1062" t="s">
        <v>926</v>
      </c>
      <c r="C8" s="1071"/>
      <c r="D8" s="1072">
        <v>50</v>
      </c>
      <c r="E8" s="1073">
        <v>150</v>
      </c>
      <c r="F8" s="1066"/>
      <c r="G8" s="1067" t="s">
        <v>101</v>
      </c>
      <c r="H8" s="1078" t="s">
        <v>103</v>
      </c>
      <c r="I8" s="691"/>
      <c r="J8" s="1074" t="s">
        <v>2360</v>
      </c>
      <c r="K8" s="1075">
        <v>35</v>
      </c>
      <c r="L8" s="1075">
        <v>100</v>
      </c>
      <c r="M8" s="691"/>
      <c r="N8" s="691"/>
      <c r="O8" s="691"/>
      <c r="P8" s="691"/>
      <c r="Q8" s="691"/>
      <c r="R8" s="691"/>
      <c r="S8" s="691"/>
      <c r="T8" s="691"/>
      <c r="U8" s="691"/>
    </row>
    <row r="9" spans="1:21" ht="45" x14ac:dyDescent="0.25">
      <c r="A9" s="1062" t="s">
        <v>929</v>
      </c>
      <c r="B9" s="1062" t="s">
        <v>930</v>
      </c>
      <c r="C9" s="1071"/>
      <c r="D9" s="1072">
        <v>25</v>
      </c>
      <c r="E9" s="1073">
        <v>75</v>
      </c>
      <c r="F9" s="1066"/>
      <c r="G9" s="1067" t="s">
        <v>102</v>
      </c>
      <c r="H9" s="1079" t="s">
        <v>66</v>
      </c>
      <c r="I9" s="691"/>
      <c r="J9" s="1074" t="s">
        <v>2361</v>
      </c>
      <c r="K9" s="1075">
        <v>35</v>
      </c>
      <c r="L9" s="1075">
        <v>105</v>
      </c>
      <c r="M9" s="691"/>
      <c r="N9" s="691"/>
      <c r="O9" s="691"/>
      <c r="P9" s="691"/>
      <c r="Q9" s="691"/>
      <c r="R9" s="691"/>
      <c r="S9" s="691"/>
      <c r="T9" s="691"/>
      <c r="U9" s="691"/>
    </row>
    <row r="10" spans="1:21" ht="30" x14ac:dyDescent="0.25">
      <c r="A10" s="1062" t="s">
        <v>933</v>
      </c>
      <c r="B10" s="1062" t="s">
        <v>934</v>
      </c>
      <c r="C10" s="1071"/>
      <c r="D10" s="1072">
        <v>25</v>
      </c>
      <c r="E10" s="1073">
        <v>75</v>
      </c>
      <c r="F10" s="1066"/>
      <c r="G10" s="1077"/>
      <c r="H10" s="1079" t="s">
        <v>68</v>
      </c>
      <c r="I10" s="691"/>
      <c r="J10" s="1080" t="s">
        <v>2362</v>
      </c>
      <c r="K10" s="1075">
        <v>50</v>
      </c>
      <c r="L10" s="1075">
        <v>150</v>
      </c>
      <c r="M10" s="691"/>
      <c r="N10" s="691"/>
      <c r="O10" s="691"/>
      <c r="P10" s="691"/>
      <c r="Q10" s="691"/>
      <c r="R10" s="691"/>
      <c r="S10" s="691"/>
      <c r="T10" s="691"/>
      <c r="U10" s="691"/>
    </row>
    <row r="11" spans="1:21" ht="30" x14ac:dyDescent="0.25">
      <c r="A11" s="1061" t="s">
        <v>59</v>
      </c>
      <c r="B11" s="1062" t="s">
        <v>937</v>
      </c>
      <c r="C11" s="1071"/>
      <c r="D11" s="1072">
        <v>35</v>
      </c>
      <c r="E11" s="1073">
        <v>100</v>
      </c>
      <c r="F11" s="1066"/>
      <c r="G11" s="1067" t="s">
        <v>104</v>
      </c>
      <c r="H11" s="1081" t="s">
        <v>66</v>
      </c>
      <c r="J11" s="1074" t="s">
        <v>2363</v>
      </c>
      <c r="K11" s="1075">
        <v>120</v>
      </c>
      <c r="L11" s="1075">
        <v>360</v>
      </c>
    </row>
    <row r="12" spans="1:21" ht="30" x14ac:dyDescent="0.25">
      <c r="A12" s="1061" t="s">
        <v>940</v>
      </c>
      <c r="B12" s="1062" t="s">
        <v>941</v>
      </c>
      <c r="C12" s="1071"/>
      <c r="D12" s="1072">
        <v>5</v>
      </c>
      <c r="E12" s="1073">
        <v>15</v>
      </c>
      <c r="F12" s="1066"/>
      <c r="G12" s="1082" t="s">
        <v>354</v>
      </c>
      <c r="H12" s="1083" t="s">
        <v>66</v>
      </c>
      <c r="J12" s="1080" t="s">
        <v>2364</v>
      </c>
      <c r="K12" s="1075">
        <v>50</v>
      </c>
      <c r="L12" s="1075">
        <v>150</v>
      </c>
    </row>
    <row r="13" spans="1:21" ht="15" x14ac:dyDescent="0.25">
      <c r="A13" s="1061" t="s">
        <v>944</v>
      </c>
      <c r="B13" s="1062" t="s">
        <v>945</v>
      </c>
      <c r="C13" s="1071"/>
      <c r="D13" s="1072">
        <v>5</v>
      </c>
      <c r="E13" s="1073">
        <v>15</v>
      </c>
      <c r="F13" s="1066"/>
      <c r="G13" s="1084"/>
      <c r="H13" s="1083" t="s">
        <v>67</v>
      </c>
      <c r="J13" s="1080" t="s">
        <v>2365</v>
      </c>
      <c r="K13" s="1075">
        <v>100</v>
      </c>
      <c r="L13" s="1075">
        <v>300</v>
      </c>
    </row>
    <row r="14" spans="1:21" ht="15" x14ac:dyDescent="0.25">
      <c r="A14" s="1061" t="s">
        <v>948</v>
      </c>
      <c r="B14" s="1062" t="s">
        <v>949</v>
      </c>
      <c r="C14" s="1071"/>
      <c r="D14" s="1072">
        <v>75</v>
      </c>
      <c r="E14" s="1073">
        <v>225</v>
      </c>
      <c r="F14" s="1066"/>
      <c r="G14" s="1085"/>
      <c r="H14" s="1083" t="s">
        <v>68</v>
      </c>
      <c r="J14" s="1069" t="s">
        <v>2366</v>
      </c>
      <c r="K14" s="1086"/>
      <c r="L14" s="1086"/>
    </row>
    <row r="15" spans="1:21" ht="30" x14ac:dyDescent="0.25">
      <c r="A15" s="1061" t="s">
        <v>953</v>
      </c>
      <c r="B15" s="1062" t="s">
        <v>954</v>
      </c>
      <c r="C15" s="1071"/>
      <c r="D15" s="1072">
        <v>40</v>
      </c>
      <c r="E15" s="1073">
        <v>200</v>
      </c>
      <c r="F15" s="1066"/>
      <c r="G15" s="1085"/>
      <c r="H15" s="1087"/>
      <c r="J15" s="1074" t="s">
        <v>2367</v>
      </c>
      <c r="K15" s="1075">
        <v>40</v>
      </c>
      <c r="L15" s="1075">
        <v>120</v>
      </c>
    </row>
    <row r="16" spans="1:21" ht="15" x14ac:dyDescent="0.25">
      <c r="A16" s="1061" t="s">
        <v>957</v>
      </c>
      <c r="B16" s="1062" t="s">
        <v>958</v>
      </c>
      <c r="C16" s="1071"/>
      <c r="D16" s="1072">
        <v>15</v>
      </c>
      <c r="E16" s="1073">
        <v>45</v>
      </c>
      <c r="F16" s="1066"/>
      <c r="G16" s="1085"/>
      <c r="H16" s="1087"/>
      <c r="J16" s="1074" t="s">
        <v>2368</v>
      </c>
      <c r="K16" s="1075">
        <v>50</v>
      </c>
      <c r="L16" s="1075">
        <v>150</v>
      </c>
    </row>
    <row r="17" spans="1:12" ht="45" x14ac:dyDescent="0.25">
      <c r="A17" s="1061" t="s">
        <v>961</v>
      </c>
      <c r="B17" s="1062" t="s">
        <v>962</v>
      </c>
      <c r="C17" s="1071"/>
      <c r="D17" s="1072">
        <v>100</v>
      </c>
      <c r="E17" s="1073">
        <v>300</v>
      </c>
      <c r="F17" s="1066"/>
      <c r="G17" s="1085"/>
      <c r="H17" s="1087"/>
      <c r="J17" s="1074" t="s">
        <v>2369</v>
      </c>
      <c r="K17" s="1075">
        <v>100</v>
      </c>
      <c r="L17" s="1075">
        <v>300</v>
      </c>
    </row>
    <row r="18" spans="1:12" ht="15" x14ac:dyDescent="0.25">
      <c r="A18" s="1061" t="s">
        <v>965</v>
      </c>
      <c r="B18" s="1062" t="s">
        <v>966</v>
      </c>
      <c r="C18" s="1071"/>
      <c r="D18" s="1072">
        <v>5</v>
      </c>
      <c r="E18" s="1073">
        <v>25</v>
      </c>
      <c r="F18" s="1066"/>
      <c r="G18" s="1085"/>
      <c r="H18" s="1087"/>
      <c r="J18" s="1074" t="s">
        <v>2370</v>
      </c>
      <c r="K18" s="1075">
        <v>50</v>
      </c>
      <c r="L18" s="1075">
        <v>150</v>
      </c>
    </row>
    <row r="19" spans="1:12" ht="15" x14ac:dyDescent="0.25">
      <c r="A19" s="1061" t="s">
        <v>969</v>
      </c>
      <c r="B19" s="1062" t="s">
        <v>970</v>
      </c>
      <c r="C19" s="1071"/>
      <c r="D19" s="1072">
        <v>5</v>
      </c>
      <c r="E19" s="1073">
        <v>15</v>
      </c>
      <c r="F19" s="1066"/>
      <c r="G19" s="1085"/>
      <c r="H19" s="1087"/>
      <c r="J19" s="1074" t="s">
        <v>2371</v>
      </c>
      <c r="K19" s="1075">
        <v>75</v>
      </c>
      <c r="L19" s="1075">
        <v>180</v>
      </c>
    </row>
    <row r="20" spans="1:12" ht="30" x14ac:dyDescent="0.25">
      <c r="A20" s="1061" t="s">
        <v>973</v>
      </c>
      <c r="B20" s="1062" t="s">
        <v>974</v>
      </c>
      <c r="C20" s="1071"/>
      <c r="D20" s="1072">
        <v>5</v>
      </c>
      <c r="E20" s="1073">
        <v>15</v>
      </c>
      <c r="F20" s="1066"/>
      <c r="G20" s="1085"/>
      <c r="H20" s="1087"/>
      <c r="J20" s="1088" t="s">
        <v>2372</v>
      </c>
      <c r="K20" s="1075">
        <v>50</v>
      </c>
      <c r="L20" s="1075">
        <v>120</v>
      </c>
    </row>
    <row r="21" spans="1:12" ht="15" x14ac:dyDescent="0.25">
      <c r="A21" s="1061" t="s">
        <v>977</v>
      </c>
      <c r="B21" s="1062" t="s">
        <v>949</v>
      </c>
      <c r="C21" s="1071"/>
      <c r="D21" s="1072">
        <v>25</v>
      </c>
      <c r="E21" s="1073">
        <v>75</v>
      </c>
      <c r="F21" s="1066"/>
      <c r="G21" s="1085"/>
      <c r="H21" s="1087"/>
      <c r="J21" s="1069" t="s">
        <v>2373</v>
      </c>
      <c r="K21" s="1086"/>
      <c r="L21" s="1086"/>
    </row>
    <row r="22" spans="1:12" ht="15" x14ac:dyDescent="0.25">
      <c r="A22" s="1061" t="s">
        <v>980</v>
      </c>
      <c r="B22" s="1062" t="s">
        <v>981</v>
      </c>
      <c r="C22" s="1071"/>
      <c r="D22" s="1072">
        <v>250</v>
      </c>
      <c r="E22" s="1073">
        <v>750</v>
      </c>
      <c r="F22" s="1066"/>
      <c r="G22" s="1085"/>
      <c r="H22" s="1087"/>
      <c r="J22" s="1074" t="s">
        <v>2374</v>
      </c>
      <c r="K22" s="1075">
        <v>75</v>
      </c>
      <c r="L22" s="1075">
        <v>225</v>
      </c>
    </row>
    <row r="23" spans="1:12" ht="15" x14ac:dyDescent="0.25">
      <c r="A23" s="1061" t="s">
        <v>984</v>
      </c>
      <c r="B23" s="1062" t="s">
        <v>985</v>
      </c>
      <c r="C23" s="1071"/>
      <c r="D23" s="1072">
        <v>200</v>
      </c>
      <c r="E23" s="1073">
        <v>600</v>
      </c>
      <c r="F23" s="1066"/>
      <c r="G23" s="1085"/>
      <c r="H23" s="1087"/>
      <c r="J23" s="1074" t="s">
        <v>2375</v>
      </c>
      <c r="K23" s="1075">
        <v>20</v>
      </c>
      <c r="L23" s="1075">
        <v>75</v>
      </c>
    </row>
    <row r="24" spans="1:12" ht="15" x14ac:dyDescent="0.25">
      <c r="A24" s="1061" t="s">
        <v>987</v>
      </c>
      <c r="B24" s="1062" t="s">
        <v>988</v>
      </c>
      <c r="C24" s="1071"/>
      <c r="D24" s="1072">
        <v>15</v>
      </c>
      <c r="E24" s="1073">
        <v>45</v>
      </c>
      <c r="F24" s="1066"/>
      <c r="G24" s="1085"/>
      <c r="H24" s="1087"/>
      <c r="J24" s="1080" t="s">
        <v>2376</v>
      </c>
      <c r="K24" s="1075">
        <v>35</v>
      </c>
      <c r="L24" s="1075">
        <v>105</v>
      </c>
    </row>
    <row r="25" spans="1:12" ht="30" x14ac:dyDescent="0.25">
      <c r="A25" s="1061" t="s">
        <v>990</v>
      </c>
      <c r="B25" s="1062" t="s">
        <v>991</v>
      </c>
      <c r="C25" s="1071"/>
      <c r="D25" s="1072">
        <v>50</v>
      </c>
      <c r="E25" s="1073">
        <v>150</v>
      </c>
      <c r="F25" s="1066"/>
      <c r="G25" s="1085"/>
      <c r="H25" s="1087"/>
      <c r="J25" s="1080" t="s">
        <v>2377</v>
      </c>
      <c r="K25" s="1075">
        <v>15</v>
      </c>
      <c r="L25" s="1075">
        <v>45</v>
      </c>
    </row>
    <row r="26" spans="1:12" ht="15" x14ac:dyDescent="0.25">
      <c r="A26" s="1061" t="s">
        <v>994</v>
      </c>
      <c r="B26" s="1062" t="s">
        <v>995</v>
      </c>
      <c r="C26" s="1071"/>
      <c r="D26" s="1072">
        <v>70</v>
      </c>
      <c r="E26" s="1073">
        <v>210</v>
      </c>
      <c r="F26" s="1066"/>
      <c r="G26" s="1085"/>
      <c r="H26" s="1087"/>
      <c r="J26" s="1074" t="s">
        <v>2378</v>
      </c>
      <c r="K26" s="1075">
        <v>10</v>
      </c>
      <c r="L26" s="1075">
        <v>50</v>
      </c>
    </row>
    <row r="27" spans="1:12" ht="15" x14ac:dyDescent="0.25">
      <c r="A27" s="1061" t="s">
        <v>998</v>
      </c>
      <c r="B27" s="1062" t="s">
        <v>999</v>
      </c>
      <c r="C27" s="1071"/>
      <c r="D27" s="1072">
        <v>75</v>
      </c>
      <c r="E27" s="1073">
        <v>225</v>
      </c>
      <c r="F27" s="1066"/>
      <c r="G27" s="1085"/>
      <c r="H27" s="1087"/>
      <c r="J27" s="1074" t="s">
        <v>2379</v>
      </c>
      <c r="K27" s="1075">
        <v>25</v>
      </c>
      <c r="L27" s="1075">
        <v>75</v>
      </c>
    </row>
    <row r="28" spans="1:12" ht="15" x14ac:dyDescent="0.25">
      <c r="A28" s="1061" t="s">
        <v>1002</v>
      </c>
      <c r="B28" s="1062" t="s">
        <v>1003</v>
      </c>
      <c r="C28" s="1071"/>
      <c r="D28" s="1072">
        <v>100</v>
      </c>
      <c r="E28" s="1073">
        <v>300</v>
      </c>
      <c r="F28" s="1066"/>
      <c r="G28" s="1085"/>
      <c r="H28" s="1087"/>
      <c r="J28" s="1080" t="s">
        <v>2380</v>
      </c>
      <c r="K28" s="1075">
        <v>35</v>
      </c>
      <c r="L28" s="1075">
        <v>105</v>
      </c>
    </row>
    <row r="29" spans="1:12" ht="15" x14ac:dyDescent="0.25">
      <c r="A29" s="1061" t="s">
        <v>2381</v>
      </c>
      <c r="B29" s="1062" t="s">
        <v>1006</v>
      </c>
      <c r="C29" s="1071"/>
      <c r="D29" s="1072">
        <v>40</v>
      </c>
      <c r="E29" s="1073">
        <v>120</v>
      </c>
      <c r="F29" s="1066"/>
      <c r="G29" s="1085"/>
      <c r="H29" s="1087"/>
      <c r="J29" s="1069" t="s">
        <v>2382</v>
      </c>
      <c r="K29" s="1086"/>
      <c r="L29" s="1086"/>
    </row>
    <row r="30" spans="1:12" ht="15" x14ac:dyDescent="0.25">
      <c r="A30" s="1061" t="s">
        <v>1008</v>
      </c>
      <c r="B30" s="1062" t="s">
        <v>1009</v>
      </c>
      <c r="C30" s="1071"/>
      <c r="D30" s="1072">
        <v>35</v>
      </c>
      <c r="E30" s="1073">
        <v>105</v>
      </c>
      <c r="F30" s="1066"/>
      <c r="G30" s="1085"/>
      <c r="H30" s="1087"/>
      <c r="J30" s="1074" t="s">
        <v>2383</v>
      </c>
      <c r="K30" s="1075">
        <v>120</v>
      </c>
      <c r="L30" s="1075">
        <v>360</v>
      </c>
    </row>
    <row r="31" spans="1:12" ht="15" x14ac:dyDescent="0.25">
      <c r="A31" s="1061" t="s">
        <v>1008</v>
      </c>
      <c r="B31" s="1062" t="s">
        <v>1011</v>
      </c>
      <c r="C31" s="1071"/>
      <c r="D31" s="1072">
        <v>15</v>
      </c>
      <c r="E31" s="1073">
        <v>75</v>
      </c>
      <c r="F31" s="1066"/>
      <c r="G31" s="1085"/>
      <c r="H31" s="1087"/>
      <c r="J31" s="1074" t="s">
        <v>2384</v>
      </c>
      <c r="K31" s="1075">
        <v>90</v>
      </c>
      <c r="L31" s="1075">
        <v>270</v>
      </c>
    </row>
    <row r="32" spans="1:12" ht="21.6" customHeight="1" x14ac:dyDescent="0.25">
      <c r="A32" s="1061" t="s">
        <v>1013</v>
      </c>
      <c r="B32" s="1062" t="s">
        <v>1014</v>
      </c>
      <c r="C32" s="1071"/>
      <c r="D32" s="1072">
        <v>135</v>
      </c>
      <c r="E32" s="1073">
        <v>405</v>
      </c>
      <c r="F32" s="1066"/>
      <c r="G32" s="1085"/>
      <c r="H32" s="1087"/>
      <c r="J32" s="1074" t="s">
        <v>2385</v>
      </c>
      <c r="K32" s="1075">
        <v>90</v>
      </c>
      <c r="L32" s="1075">
        <v>270</v>
      </c>
    </row>
    <row r="33" spans="1:12" ht="21.6" customHeight="1" x14ac:dyDescent="0.25">
      <c r="A33" s="1061" t="s">
        <v>1016</v>
      </c>
      <c r="B33" s="1062" t="s">
        <v>1017</v>
      </c>
      <c r="C33" s="1071"/>
      <c r="D33" s="1072">
        <v>75</v>
      </c>
      <c r="E33" s="1073">
        <v>225</v>
      </c>
      <c r="F33" s="1066"/>
      <c r="G33" s="1085"/>
      <c r="H33" s="1087"/>
      <c r="J33" s="1080" t="s">
        <v>2386</v>
      </c>
      <c r="K33" s="1075">
        <v>50</v>
      </c>
      <c r="L33" s="1075">
        <v>150</v>
      </c>
    </row>
    <row r="34" spans="1:12" ht="15" x14ac:dyDescent="0.25">
      <c r="A34" s="1061" t="s">
        <v>1019</v>
      </c>
      <c r="B34" s="1062" t="s">
        <v>1020</v>
      </c>
      <c r="C34" s="1071"/>
      <c r="D34" s="1072">
        <v>75</v>
      </c>
      <c r="E34" s="1073">
        <v>225</v>
      </c>
      <c r="F34" s="1066"/>
      <c r="G34" s="1085"/>
      <c r="H34" s="1087"/>
      <c r="J34" s="1069" t="s">
        <v>2387</v>
      </c>
      <c r="K34" s="1086"/>
      <c r="L34" s="1086"/>
    </row>
    <row r="35" spans="1:12" ht="15" x14ac:dyDescent="0.25">
      <c r="A35" s="1061" t="s">
        <v>1022</v>
      </c>
      <c r="B35" s="1062"/>
      <c r="C35" s="1071"/>
      <c r="D35" s="1072">
        <v>75</v>
      </c>
      <c r="E35" s="1073">
        <v>225</v>
      </c>
      <c r="F35" s="1066"/>
      <c r="G35" s="1085"/>
      <c r="H35" s="1087"/>
      <c r="J35" s="1074" t="s">
        <v>2388</v>
      </c>
      <c r="K35" s="1075">
        <v>200</v>
      </c>
      <c r="L35" s="1074">
        <v>600</v>
      </c>
    </row>
    <row r="36" spans="1:12" ht="15" x14ac:dyDescent="0.25">
      <c r="A36" s="1061" t="s">
        <v>1024</v>
      </c>
      <c r="B36" s="1062"/>
      <c r="C36" s="1071"/>
      <c r="D36" s="1072">
        <v>15</v>
      </c>
      <c r="E36" s="1073">
        <v>75</v>
      </c>
      <c r="F36" s="1066"/>
      <c r="G36" s="1085"/>
      <c r="H36" s="1087"/>
      <c r="J36" s="1074" t="s">
        <v>2389</v>
      </c>
      <c r="K36" s="1075">
        <v>250</v>
      </c>
      <c r="L36" s="1074">
        <v>750</v>
      </c>
    </row>
    <row r="37" spans="1:12" ht="15" x14ac:dyDescent="0.25">
      <c r="A37" s="1061" t="s">
        <v>1026</v>
      </c>
      <c r="B37" s="1062" t="s">
        <v>1027</v>
      </c>
      <c r="C37" s="1071"/>
      <c r="D37" s="1072"/>
      <c r="E37" s="1073">
        <v>500</v>
      </c>
      <c r="F37" s="1066"/>
      <c r="G37" s="1085"/>
      <c r="H37" s="1087"/>
      <c r="J37" s="1074" t="s">
        <v>2390</v>
      </c>
      <c r="K37" s="1075">
        <v>200</v>
      </c>
      <c r="L37" s="1074">
        <v>600</v>
      </c>
    </row>
    <row r="38" spans="1:12" ht="15" x14ac:dyDescent="0.25">
      <c r="A38" s="1061" t="s">
        <v>1029</v>
      </c>
      <c r="B38" s="1062" t="s">
        <v>1030</v>
      </c>
      <c r="C38" s="1071"/>
      <c r="D38" s="1072">
        <v>20</v>
      </c>
      <c r="E38" s="1073">
        <v>60</v>
      </c>
      <c r="F38" s="1066"/>
      <c r="G38" s="1085"/>
      <c r="H38" s="1087"/>
      <c r="J38" s="1074" t="s">
        <v>2391</v>
      </c>
      <c r="K38" s="1075">
        <v>175</v>
      </c>
      <c r="L38" s="1074">
        <v>525</v>
      </c>
    </row>
    <row r="39" spans="1:12" ht="15" x14ac:dyDescent="0.25">
      <c r="A39" s="1061" t="s">
        <v>1032</v>
      </c>
      <c r="B39" s="1062"/>
      <c r="C39" s="1071"/>
      <c r="D39" s="1072">
        <v>150</v>
      </c>
      <c r="E39" s="1073">
        <v>450</v>
      </c>
      <c r="F39" s="1066"/>
      <c r="G39" s="1085"/>
      <c r="H39" s="1087"/>
      <c r="J39" s="1074" t="s">
        <v>2392</v>
      </c>
      <c r="K39" s="1075">
        <v>150</v>
      </c>
      <c r="L39" s="1074">
        <v>450</v>
      </c>
    </row>
    <row r="40" spans="1:12" ht="15" x14ac:dyDescent="0.25">
      <c r="A40" s="1061" t="s">
        <v>1035</v>
      </c>
      <c r="B40" s="1062"/>
      <c r="C40" s="1071"/>
      <c r="D40" s="1072">
        <v>150</v>
      </c>
      <c r="E40" s="1073">
        <v>750</v>
      </c>
      <c r="F40" s="1066"/>
      <c r="G40" s="1085"/>
      <c r="H40" s="1087"/>
      <c r="J40" s="1074" t="s">
        <v>2393</v>
      </c>
      <c r="K40" s="1075">
        <v>250</v>
      </c>
      <c r="L40" s="1075">
        <v>750</v>
      </c>
    </row>
    <row r="41" spans="1:12" ht="15" x14ac:dyDescent="0.25">
      <c r="A41" s="1089" t="s">
        <v>2394</v>
      </c>
      <c r="B41" s="1062"/>
      <c r="C41" s="1071"/>
      <c r="D41" s="1072">
        <v>55</v>
      </c>
      <c r="E41" s="1073">
        <v>165</v>
      </c>
      <c r="F41" s="1066"/>
      <c r="G41" s="1085"/>
      <c r="H41" s="1087"/>
      <c r="J41" s="1074" t="s">
        <v>2395</v>
      </c>
      <c r="K41" s="1075">
        <v>100</v>
      </c>
      <c r="L41" s="1075">
        <v>300</v>
      </c>
    </row>
    <row r="42" spans="1:12" ht="15" x14ac:dyDescent="0.25">
      <c r="A42" s="1089" t="s">
        <v>2396</v>
      </c>
      <c r="B42" s="1071"/>
      <c r="C42" s="1071"/>
      <c r="D42" s="1072">
        <v>5</v>
      </c>
      <c r="E42" s="1073">
        <v>15</v>
      </c>
      <c r="F42" s="1066"/>
      <c r="G42" s="1085"/>
      <c r="H42" s="1087"/>
      <c r="J42" s="1069" t="s">
        <v>2397</v>
      </c>
      <c r="K42" s="1086"/>
      <c r="L42" s="1086"/>
    </row>
    <row r="43" spans="1:12" ht="15" x14ac:dyDescent="0.25">
      <c r="A43" s="1089" t="s">
        <v>2398</v>
      </c>
      <c r="B43" s="1071"/>
      <c r="C43" s="1071"/>
      <c r="D43" s="1072">
        <v>15</v>
      </c>
      <c r="E43" s="1073">
        <v>45</v>
      </c>
      <c r="F43" s="1066"/>
      <c r="G43" s="1085"/>
      <c r="H43" s="1087"/>
      <c r="J43" s="1074" t="s">
        <v>775</v>
      </c>
      <c r="K43" s="1075">
        <v>80</v>
      </c>
      <c r="L43" s="1075">
        <v>250</v>
      </c>
    </row>
    <row r="44" spans="1:12" ht="15" x14ac:dyDescent="0.25">
      <c r="A44" s="1089" t="s">
        <v>2399</v>
      </c>
      <c r="B44" s="1071"/>
      <c r="C44" s="1071"/>
      <c r="D44" s="1072">
        <v>175</v>
      </c>
      <c r="E44" s="1073">
        <v>525</v>
      </c>
      <c r="F44" s="1066"/>
      <c r="G44" s="1085"/>
      <c r="H44" s="1087"/>
      <c r="J44" s="1074" t="s">
        <v>2400</v>
      </c>
      <c r="K44" s="1075">
        <v>35</v>
      </c>
      <c r="L44" s="1075">
        <v>120</v>
      </c>
    </row>
    <row r="45" spans="1:12" ht="15" x14ac:dyDescent="0.25">
      <c r="A45" s="1089" t="s">
        <v>2401</v>
      </c>
      <c r="B45" s="1071"/>
      <c r="C45" s="1071"/>
      <c r="D45" s="1072">
        <v>40</v>
      </c>
      <c r="E45" s="1073">
        <v>120</v>
      </c>
      <c r="F45" s="1066"/>
      <c r="G45" s="1085"/>
      <c r="H45" s="1087"/>
      <c r="J45" s="1074" t="s">
        <v>2402</v>
      </c>
      <c r="K45" s="1075">
        <v>25</v>
      </c>
      <c r="L45" s="1075">
        <v>100</v>
      </c>
    </row>
    <row r="46" spans="1:12" ht="15" x14ac:dyDescent="0.25">
      <c r="A46" s="1089" t="s">
        <v>2403</v>
      </c>
      <c r="B46" s="1071"/>
      <c r="C46" s="1071"/>
      <c r="D46" s="1072">
        <v>90</v>
      </c>
      <c r="E46" s="1073">
        <v>270</v>
      </c>
      <c r="F46" s="1066"/>
      <c r="G46" s="1085"/>
      <c r="H46" s="1087"/>
      <c r="J46" s="1074" t="s">
        <v>2404</v>
      </c>
      <c r="K46" s="1075">
        <v>40</v>
      </c>
      <c r="L46" s="1075">
        <v>150</v>
      </c>
    </row>
    <row r="47" spans="1:12" ht="15" x14ac:dyDescent="0.25">
      <c r="A47" s="1089" t="s">
        <v>2405</v>
      </c>
      <c r="B47" s="1071"/>
      <c r="C47" s="1071"/>
      <c r="D47" s="1072">
        <v>5</v>
      </c>
      <c r="E47" s="1073">
        <v>15</v>
      </c>
      <c r="F47" s="1066"/>
      <c r="G47" s="1085"/>
      <c r="H47" s="1087"/>
      <c r="J47" s="1074" t="s">
        <v>2406</v>
      </c>
      <c r="K47" s="1075">
        <v>10</v>
      </c>
      <c r="L47" s="1075">
        <v>30</v>
      </c>
    </row>
    <row r="48" spans="1:12" ht="15" x14ac:dyDescent="0.25">
      <c r="A48" s="1089" t="s">
        <v>2407</v>
      </c>
      <c r="B48" s="1071"/>
      <c r="C48" s="1071"/>
      <c r="D48" s="1072">
        <v>10</v>
      </c>
      <c r="E48" s="1073">
        <v>30</v>
      </c>
      <c r="F48" s="1066"/>
      <c r="G48" s="1085"/>
      <c r="H48" s="1087"/>
      <c r="J48" s="1074" t="s">
        <v>2408</v>
      </c>
      <c r="K48" s="1075">
        <v>200</v>
      </c>
      <c r="L48" s="1075">
        <v>600</v>
      </c>
    </row>
    <row r="49" spans="1:12" ht="15" x14ac:dyDescent="0.25">
      <c r="A49" s="1089" t="s">
        <v>2409</v>
      </c>
      <c r="B49" s="1071"/>
      <c r="C49" s="1071"/>
      <c r="D49" s="1072">
        <v>45</v>
      </c>
      <c r="E49" s="1073">
        <v>135</v>
      </c>
      <c r="F49" s="1066"/>
      <c r="G49" s="1085"/>
      <c r="H49" s="1087"/>
      <c r="J49" s="1074" t="s">
        <v>2410</v>
      </c>
      <c r="K49" s="1075">
        <v>35</v>
      </c>
      <c r="L49" s="1075">
        <v>105</v>
      </c>
    </row>
    <row r="50" spans="1:12" ht="15" x14ac:dyDescent="0.25">
      <c r="A50" s="1089" t="s">
        <v>2411</v>
      </c>
      <c r="B50" s="1071"/>
      <c r="C50" s="1071"/>
      <c r="D50" s="1072">
        <v>300</v>
      </c>
      <c r="E50" s="1073">
        <v>900</v>
      </c>
      <c r="F50" s="1066"/>
      <c r="G50" s="1085"/>
      <c r="H50" s="1087"/>
      <c r="J50" s="1074" t="s">
        <v>2412</v>
      </c>
      <c r="K50" s="1075">
        <v>150</v>
      </c>
      <c r="L50" s="1075">
        <v>450</v>
      </c>
    </row>
    <row r="51" spans="1:12" ht="15" x14ac:dyDescent="0.25">
      <c r="A51" s="1089" t="s">
        <v>2413</v>
      </c>
      <c r="B51" s="1071"/>
      <c r="C51" s="1071"/>
      <c r="D51" s="1072">
        <v>120</v>
      </c>
      <c r="E51" s="1073">
        <v>360</v>
      </c>
      <c r="F51" s="1066"/>
      <c r="G51" s="1085"/>
      <c r="H51" s="1087"/>
      <c r="J51" s="1080" t="s">
        <v>2414</v>
      </c>
      <c r="K51" s="1075">
        <v>50</v>
      </c>
      <c r="L51" s="1075">
        <v>150</v>
      </c>
    </row>
    <row r="52" spans="1:12" ht="15" x14ac:dyDescent="0.25">
      <c r="A52" s="1089" t="s">
        <v>2415</v>
      </c>
      <c r="B52" s="1071"/>
      <c r="C52" s="1071"/>
      <c r="D52" s="1072">
        <v>500</v>
      </c>
      <c r="E52" s="1073">
        <v>2000</v>
      </c>
      <c r="F52" s="1066"/>
      <c r="G52" s="1085"/>
      <c r="H52" s="1087"/>
      <c r="J52" s="1074" t="s">
        <v>2416</v>
      </c>
      <c r="K52" s="1075">
        <v>100</v>
      </c>
      <c r="L52" s="1075">
        <v>350</v>
      </c>
    </row>
    <row r="53" spans="1:12" ht="15" x14ac:dyDescent="0.25">
      <c r="A53" s="1089" t="s">
        <v>2417</v>
      </c>
      <c r="B53" s="1071"/>
      <c r="C53" s="1071"/>
      <c r="D53" s="1072"/>
      <c r="E53" s="1073">
        <v>500</v>
      </c>
      <c r="F53" s="1066">
        <v>1500</v>
      </c>
      <c r="G53" s="1085"/>
      <c r="H53" s="1087"/>
      <c r="J53" s="1090" t="s">
        <v>2418</v>
      </c>
      <c r="K53" s="1075">
        <v>35</v>
      </c>
      <c r="L53" s="1075">
        <v>100</v>
      </c>
    </row>
    <row r="54" spans="1:12" ht="15" x14ac:dyDescent="0.25">
      <c r="A54" s="1089" t="s">
        <v>2419</v>
      </c>
      <c r="B54" s="1071"/>
      <c r="C54" s="1071"/>
      <c r="D54" s="1072">
        <v>75</v>
      </c>
      <c r="E54" s="1073">
        <v>225</v>
      </c>
      <c r="F54" s="1066"/>
      <c r="G54" s="1085"/>
      <c r="H54" s="1087"/>
      <c r="J54" s="1080" t="s">
        <v>2420</v>
      </c>
      <c r="K54" s="1075">
        <v>20</v>
      </c>
      <c r="L54" s="1075">
        <v>100</v>
      </c>
    </row>
    <row r="55" spans="1:12" ht="15" x14ac:dyDescent="0.25">
      <c r="A55" s="1089" t="s">
        <v>59</v>
      </c>
      <c r="B55" s="1071"/>
      <c r="C55" s="1071"/>
      <c r="D55" s="1072">
        <v>35</v>
      </c>
      <c r="E55" s="1073">
        <v>85</v>
      </c>
      <c r="F55" s="1066"/>
      <c r="G55" s="1085"/>
      <c r="H55" s="1087"/>
      <c r="J55" s="1080" t="s">
        <v>2421</v>
      </c>
      <c r="K55" s="1075">
        <v>50</v>
      </c>
      <c r="L55" s="1075">
        <v>150</v>
      </c>
    </row>
    <row r="56" spans="1:12" ht="15" x14ac:dyDescent="0.25">
      <c r="A56" s="1089" t="s">
        <v>2422</v>
      </c>
      <c r="B56" s="1071"/>
      <c r="C56" s="1071"/>
      <c r="D56" s="1072">
        <v>110</v>
      </c>
      <c r="E56" s="1073">
        <v>330</v>
      </c>
      <c r="F56" s="1066"/>
      <c r="G56" s="1085"/>
      <c r="H56" s="1087"/>
    </row>
    <row r="57" spans="1:12" ht="15.75" thickBot="1" x14ac:dyDescent="0.3">
      <c r="A57" s="1089" t="s">
        <v>2423</v>
      </c>
      <c r="B57" s="1071"/>
      <c r="C57" s="1071"/>
      <c r="D57" s="1072">
        <v>90</v>
      </c>
      <c r="E57" s="1073">
        <v>270</v>
      </c>
      <c r="F57" s="1066"/>
      <c r="G57" s="1085"/>
      <c r="H57" s="1087"/>
    </row>
    <row r="58" spans="1:12" ht="15" x14ac:dyDescent="0.25">
      <c r="A58" s="1089" t="s">
        <v>2424</v>
      </c>
      <c r="B58" s="1071"/>
      <c r="C58" s="1071"/>
      <c r="D58" s="1072">
        <v>35</v>
      </c>
      <c r="E58" s="1073">
        <v>105</v>
      </c>
      <c r="F58" s="1066"/>
      <c r="G58" s="1085"/>
      <c r="H58" s="1087"/>
      <c r="J58" s="1091" t="s">
        <v>2425</v>
      </c>
      <c r="K58" s="1092" t="s">
        <v>55</v>
      </c>
      <c r="L58" s="1093" t="s">
        <v>54</v>
      </c>
    </row>
    <row r="59" spans="1:12" ht="15" x14ac:dyDescent="0.25">
      <c r="A59" s="1089" t="s">
        <v>2426</v>
      </c>
      <c r="B59" s="1071"/>
      <c r="C59" s="1071"/>
      <c r="D59" s="1072">
        <v>250</v>
      </c>
      <c r="E59" s="1073"/>
      <c r="F59" s="1066">
        <v>1250</v>
      </c>
      <c r="G59" s="1085"/>
      <c r="H59" s="1087"/>
      <c r="J59" s="1094" t="s">
        <v>2427</v>
      </c>
      <c r="K59" s="1095" t="s">
        <v>2428</v>
      </c>
      <c r="L59" s="1096">
        <v>15</v>
      </c>
    </row>
    <row r="60" spans="1:12" ht="15" x14ac:dyDescent="0.25">
      <c r="A60" s="1089" t="s">
        <v>2429</v>
      </c>
      <c r="B60" s="1071"/>
      <c r="C60" s="1071"/>
      <c r="D60" s="1072">
        <v>75</v>
      </c>
      <c r="E60" s="1073">
        <v>225</v>
      </c>
      <c r="F60" s="1066"/>
      <c r="G60" s="1085"/>
      <c r="H60" s="1087"/>
      <c r="J60" s="1094" t="s">
        <v>2430</v>
      </c>
      <c r="K60" s="1095" t="s">
        <v>2428</v>
      </c>
      <c r="L60" s="1096">
        <v>8</v>
      </c>
    </row>
    <row r="61" spans="1:12" ht="15.75" thickBot="1" x14ac:dyDescent="0.3">
      <c r="A61" s="1097" t="s">
        <v>2431</v>
      </c>
      <c r="B61" s="1071"/>
      <c r="C61" s="1071"/>
      <c r="D61" s="1072">
        <v>20</v>
      </c>
      <c r="E61" s="1073">
        <v>60</v>
      </c>
      <c r="F61" s="1066"/>
      <c r="G61" s="1085"/>
      <c r="H61" s="1087"/>
      <c r="J61" s="1094" t="s">
        <v>2432</v>
      </c>
      <c r="K61" s="1095" t="s">
        <v>2428</v>
      </c>
      <c r="L61" s="1096">
        <v>5</v>
      </c>
    </row>
    <row r="62" spans="1:12" ht="15.75" thickBot="1" x14ac:dyDescent="0.3">
      <c r="A62" s="1071"/>
      <c r="B62" s="1098"/>
      <c r="C62" s="1071"/>
      <c r="D62" s="1072">
        <v>150</v>
      </c>
      <c r="E62" s="1073">
        <v>500</v>
      </c>
      <c r="F62" s="1066"/>
      <c r="G62" s="1085"/>
      <c r="H62" s="1087"/>
      <c r="J62" s="1094" t="s">
        <v>2433</v>
      </c>
      <c r="K62" s="1095" t="s">
        <v>2434</v>
      </c>
      <c r="L62" s="1096">
        <v>15</v>
      </c>
    </row>
    <row r="63" spans="1:12" ht="15" x14ac:dyDescent="0.25">
      <c r="A63" s="1071"/>
      <c r="B63" s="1071"/>
      <c r="C63" s="1071"/>
      <c r="D63" s="1072">
        <v>12</v>
      </c>
      <c r="E63" s="1073">
        <v>40</v>
      </c>
      <c r="F63" s="1066"/>
      <c r="G63" s="1085"/>
      <c r="H63" s="1087"/>
      <c r="J63" s="1094" t="s">
        <v>2435</v>
      </c>
      <c r="K63" s="1095" t="s">
        <v>2434</v>
      </c>
      <c r="L63" s="1096">
        <v>20</v>
      </c>
    </row>
    <row r="64" spans="1:12" ht="15" x14ac:dyDescent="0.25">
      <c r="A64" s="1071"/>
      <c r="B64" s="1071"/>
      <c r="C64" s="1071"/>
      <c r="D64" s="1072">
        <v>10</v>
      </c>
      <c r="E64" s="1073">
        <v>30</v>
      </c>
      <c r="F64" s="1066"/>
      <c r="G64" s="1085"/>
      <c r="H64" s="1087"/>
      <c r="J64" s="1094" t="s">
        <v>2436</v>
      </c>
      <c r="K64" s="1095" t="s">
        <v>2434</v>
      </c>
      <c r="L64" s="1096">
        <v>3</v>
      </c>
    </row>
    <row r="65" spans="1:12" ht="15" x14ac:dyDescent="0.25">
      <c r="A65" s="1071"/>
      <c r="B65" s="1071"/>
      <c r="C65" s="1071"/>
      <c r="D65" s="1072">
        <v>100</v>
      </c>
      <c r="E65" s="1073">
        <v>300</v>
      </c>
      <c r="F65" s="1066"/>
      <c r="G65" s="1085"/>
      <c r="H65" s="1087"/>
      <c r="J65" s="1099" t="s">
        <v>2437</v>
      </c>
      <c r="K65" s="1095" t="s">
        <v>2434</v>
      </c>
      <c r="L65" s="1096">
        <v>3</v>
      </c>
    </row>
    <row r="66" spans="1:12" ht="15" x14ac:dyDescent="0.25">
      <c r="A66" s="1100"/>
      <c r="B66" s="1071"/>
      <c r="C66" s="1071"/>
      <c r="D66" s="1072">
        <v>5</v>
      </c>
      <c r="E66" s="1073">
        <v>15</v>
      </c>
      <c r="F66" s="1066"/>
      <c r="G66" s="1085"/>
      <c r="H66" s="1087"/>
      <c r="I66" s="1101"/>
      <c r="J66" s="1099" t="s">
        <v>2438</v>
      </c>
      <c r="K66" s="1095" t="s">
        <v>2434</v>
      </c>
      <c r="L66" s="1096">
        <v>3</v>
      </c>
    </row>
    <row r="67" spans="1:12" ht="15" x14ac:dyDescent="0.25">
      <c r="A67" s="1100"/>
      <c r="B67" s="1071"/>
      <c r="C67" s="1071"/>
      <c r="D67" s="1072">
        <v>15</v>
      </c>
      <c r="E67" s="1073">
        <v>45</v>
      </c>
      <c r="F67" s="1066"/>
      <c r="G67" s="1085"/>
      <c r="H67" s="1087"/>
      <c r="I67" s="1101"/>
      <c r="J67" s="1094" t="s">
        <v>2439</v>
      </c>
      <c r="K67" s="1095" t="s">
        <v>2440</v>
      </c>
      <c r="L67" s="1096">
        <v>5</v>
      </c>
    </row>
    <row r="68" spans="1:12" ht="15" x14ac:dyDescent="0.25">
      <c r="A68" s="1100"/>
      <c r="B68" s="1071"/>
      <c r="C68" s="1071"/>
      <c r="D68" s="1072">
        <v>35</v>
      </c>
      <c r="E68" s="1073">
        <v>105</v>
      </c>
      <c r="F68" s="1066"/>
      <c r="G68" s="1085"/>
      <c r="H68" s="1087"/>
      <c r="I68" s="1101"/>
      <c r="J68" s="1094" t="s">
        <v>2441</v>
      </c>
      <c r="K68" s="1095" t="s">
        <v>2440</v>
      </c>
      <c r="L68" s="1096">
        <v>5</v>
      </c>
    </row>
    <row r="69" spans="1:12" ht="15" x14ac:dyDescent="0.25">
      <c r="A69" s="1100"/>
      <c r="B69" s="1071"/>
      <c r="C69" s="1071"/>
      <c r="D69" s="1072">
        <v>45</v>
      </c>
      <c r="E69" s="1073">
        <v>120</v>
      </c>
      <c r="F69" s="1066"/>
      <c r="G69" s="1085"/>
      <c r="H69" s="1087"/>
      <c r="I69" s="1101"/>
      <c r="J69" s="1099" t="s">
        <v>2442</v>
      </c>
      <c r="K69" s="1102" t="s">
        <v>2440</v>
      </c>
      <c r="L69" s="1096">
        <v>0.25</v>
      </c>
    </row>
    <row r="70" spans="1:12" ht="15.75" thickBot="1" x14ac:dyDescent="0.3">
      <c r="A70" s="1100"/>
      <c r="B70" s="1071"/>
      <c r="C70" s="1071"/>
      <c r="D70" s="1072">
        <v>64</v>
      </c>
      <c r="E70" s="1073">
        <v>320</v>
      </c>
      <c r="F70" s="1066"/>
      <c r="G70" s="1085"/>
      <c r="H70" s="1087"/>
      <c r="I70" s="1101"/>
      <c r="J70" s="1099" t="s">
        <v>2443</v>
      </c>
      <c r="K70" s="1102" t="s">
        <v>2440</v>
      </c>
      <c r="L70" s="1096">
        <v>20</v>
      </c>
    </row>
    <row r="71" spans="1:12" ht="15" x14ac:dyDescent="0.25">
      <c r="A71" s="1100"/>
      <c r="B71" s="1071"/>
      <c r="C71" s="1071"/>
      <c r="D71" s="1072">
        <v>35</v>
      </c>
      <c r="E71" s="1073">
        <v>105</v>
      </c>
      <c r="F71" s="1066"/>
      <c r="G71" s="1085"/>
      <c r="H71" s="1087"/>
      <c r="I71" s="1101"/>
      <c r="J71" s="1091" t="s">
        <v>2444</v>
      </c>
      <c r="K71" s="1092"/>
      <c r="L71" s="1093"/>
    </row>
    <row r="72" spans="1:12" ht="15" x14ac:dyDescent="0.25">
      <c r="A72" s="1100"/>
      <c r="B72" s="1071"/>
      <c r="C72" s="1071"/>
      <c r="D72" s="1072">
        <v>90</v>
      </c>
      <c r="E72" s="1073">
        <v>270</v>
      </c>
      <c r="F72" s="1066"/>
      <c r="G72" s="1085"/>
      <c r="H72" s="1087"/>
      <c r="I72" s="1101"/>
      <c r="J72" s="1103" t="s">
        <v>2445</v>
      </c>
      <c r="K72" s="1104" t="s">
        <v>2428</v>
      </c>
      <c r="L72" s="1096">
        <v>5</v>
      </c>
    </row>
    <row r="73" spans="1:12" ht="15" x14ac:dyDescent="0.25">
      <c r="A73" s="1100"/>
      <c r="B73" s="1071"/>
      <c r="C73" s="1071"/>
      <c r="D73" s="1072">
        <v>25</v>
      </c>
      <c r="E73" s="1073">
        <v>75</v>
      </c>
      <c r="F73" s="1066"/>
      <c r="G73" s="1085"/>
      <c r="H73" s="1087"/>
      <c r="I73" s="1101"/>
      <c r="J73" s="1103" t="s">
        <v>2446</v>
      </c>
      <c r="K73" s="1104" t="s">
        <v>2428</v>
      </c>
      <c r="L73" s="1096">
        <v>1.25</v>
      </c>
    </row>
    <row r="74" spans="1:12" ht="15" x14ac:dyDescent="0.25">
      <c r="A74" s="1100"/>
      <c r="B74" s="1071"/>
      <c r="C74" s="1071"/>
      <c r="D74" s="1072">
        <v>100</v>
      </c>
      <c r="E74" s="1073">
        <v>300</v>
      </c>
      <c r="F74" s="1066"/>
      <c r="G74" s="1085"/>
      <c r="H74" s="1087"/>
      <c r="I74" s="1101"/>
      <c r="J74" s="1103" t="s">
        <v>2447</v>
      </c>
      <c r="K74" s="1104" t="s">
        <v>2428</v>
      </c>
      <c r="L74" s="1096">
        <v>0.5</v>
      </c>
    </row>
    <row r="75" spans="1:12" ht="15" x14ac:dyDescent="0.25">
      <c r="A75" s="1100"/>
      <c r="B75" s="1071"/>
      <c r="C75" s="1071"/>
      <c r="D75" s="1072">
        <v>40</v>
      </c>
      <c r="E75" s="1073">
        <v>120</v>
      </c>
      <c r="F75" s="1066"/>
      <c r="G75" s="1085"/>
      <c r="H75" s="1087"/>
      <c r="I75" s="1101"/>
      <c r="J75" s="1105" t="s">
        <v>2448</v>
      </c>
      <c r="K75" s="1104" t="s">
        <v>2428</v>
      </c>
      <c r="L75" s="1096">
        <v>8</v>
      </c>
    </row>
    <row r="76" spans="1:12" ht="15" x14ac:dyDescent="0.25">
      <c r="A76" s="1100"/>
      <c r="B76" s="1071"/>
      <c r="C76" s="1071"/>
      <c r="D76" s="1072">
        <v>15</v>
      </c>
      <c r="E76" s="1073">
        <v>45</v>
      </c>
      <c r="F76" s="1066"/>
      <c r="G76" s="1085"/>
      <c r="H76" s="1087"/>
      <c r="I76" s="1101"/>
      <c r="J76" s="1103" t="s">
        <v>2449</v>
      </c>
      <c r="K76" s="1104" t="s">
        <v>2450</v>
      </c>
      <c r="L76" s="1096">
        <v>35</v>
      </c>
    </row>
    <row r="77" spans="1:12" ht="15" x14ac:dyDescent="0.25">
      <c r="A77" s="1100"/>
      <c r="B77" s="1071"/>
      <c r="C77" s="1071"/>
      <c r="D77" s="1072">
        <v>85</v>
      </c>
      <c r="E77" s="1073">
        <v>255</v>
      </c>
      <c r="F77" s="1066"/>
      <c r="G77" s="1085"/>
      <c r="H77" s="1087"/>
      <c r="I77" s="1101"/>
      <c r="J77" s="1105" t="s">
        <v>2451</v>
      </c>
      <c r="K77" s="1104" t="s">
        <v>2428</v>
      </c>
      <c r="L77" s="1096">
        <v>10</v>
      </c>
    </row>
    <row r="78" spans="1:12" ht="15" x14ac:dyDescent="0.25">
      <c r="A78" s="1100"/>
      <c r="B78" s="1071"/>
      <c r="C78" s="1071"/>
      <c r="D78" s="1072">
        <v>25</v>
      </c>
      <c r="E78" s="1073">
        <v>75</v>
      </c>
      <c r="F78" s="1066"/>
      <c r="G78" s="1085"/>
      <c r="H78" s="1087"/>
      <c r="I78" s="1101"/>
      <c r="J78" s="1106" t="s">
        <v>2452</v>
      </c>
      <c r="K78" s="1104" t="s">
        <v>2428</v>
      </c>
      <c r="L78" s="1096">
        <v>19</v>
      </c>
    </row>
    <row r="79" spans="1:12" ht="15" x14ac:dyDescent="0.25">
      <c r="A79" s="1100"/>
      <c r="B79" s="1071"/>
      <c r="C79" s="1071"/>
      <c r="D79" s="1072">
        <v>50</v>
      </c>
      <c r="E79" s="1073">
        <v>200</v>
      </c>
      <c r="F79" s="1066"/>
      <c r="G79" s="1085"/>
      <c r="H79" s="1087"/>
      <c r="I79" s="1101"/>
      <c r="J79" s="1106" t="s">
        <v>2453</v>
      </c>
      <c r="K79" s="1104" t="s">
        <v>2428</v>
      </c>
      <c r="L79" s="1096">
        <v>25</v>
      </c>
    </row>
    <row r="80" spans="1:12" ht="15" x14ac:dyDescent="0.25">
      <c r="A80" s="1100"/>
      <c r="B80" s="1071"/>
      <c r="C80" s="1071"/>
      <c r="D80" s="1072">
        <v>90</v>
      </c>
      <c r="E80" s="1073">
        <v>270</v>
      </c>
      <c r="F80" s="1066"/>
      <c r="G80" s="1085"/>
      <c r="H80" s="1087"/>
      <c r="I80" s="1101"/>
      <c r="J80" s="1103" t="s">
        <v>2454</v>
      </c>
      <c r="K80" s="1104" t="s">
        <v>2428</v>
      </c>
      <c r="L80" s="1096">
        <v>15</v>
      </c>
    </row>
    <row r="81" spans="1:12" ht="15" x14ac:dyDescent="0.25">
      <c r="A81" s="1100"/>
      <c r="B81" s="1071"/>
      <c r="C81" s="1071"/>
      <c r="D81" s="1072">
        <v>25</v>
      </c>
      <c r="E81" s="1073">
        <v>75</v>
      </c>
      <c r="F81" s="1066"/>
      <c r="G81" s="1085"/>
      <c r="H81" s="1087"/>
      <c r="I81" s="1101"/>
      <c r="J81" s="1103" t="s">
        <v>2455</v>
      </c>
      <c r="K81" s="1104" t="s">
        <v>2428</v>
      </c>
      <c r="L81" s="1096">
        <v>40</v>
      </c>
    </row>
    <row r="82" spans="1:12" ht="15" x14ac:dyDescent="0.25">
      <c r="A82" s="1100"/>
      <c r="B82" s="1071"/>
      <c r="C82" s="1071"/>
      <c r="D82" s="1072">
        <v>35</v>
      </c>
      <c r="E82" s="1073">
        <v>105</v>
      </c>
      <c r="F82" s="1066"/>
      <c r="J82" s="1106" t="s">
        <v>2456</v>
      </c>
      <c r="K82" s="1104" t="s">
        <v>2457</v>
      </c>
      <c r="L82" s="1096">
        <v>2.5</v>
      </c>
    </row>
    <row r="83" spans="1:12" ht="15" x14ac:dyDescent="0.25">
      <c r="A83" s="1100"/>
      <c r="B83" s="1071"/>
      <c r="C83" s="1071"/>
      <c r="D83" s="1072">
        <v>10</v>
      </c>
      <c r="E83" s="1073">
        <v>30</v>
      </c>
      <c r="F83" s="1107"/>
      <c r="J83" s="1106" t="s">
        <v>2458</v>
      </c>
      <c r="K83" s="1104" t="s">
        <v>2457</v>
      </c>
      <c r="L83" s="1096">
        <v>2.5</v>
      </c>
    </row>
    <row r="84" spans="1:12" ht="15.75" thickBot="1" x14ac:dyDescent="0.3">
      <c r="A84" s="1100"/>
      <c r="B84" s="1071"/>
      <c r="C84" s="1098"/>
      <c r="D84" s="1108">
        <v>70</v>
      </c>
      <c r="E84" s="1109">
        <v>210</v>
      </c>
      <c r="F84" s="1107"/>
      <c r="J84" s="1103" t="s">
        <v>2459</v>
      </c>
      <c r="K84" s="1104" t="s">
        <v>2457</v>
      </c>
      <c r="L84" s="1096">
        <v>0.1</v>
      </c>
    </row>
    <row r="85" spans="1:12" ht="15" x14ac:dyDescent="0.25">
      <c r="A85" s="1100"/>
      <c r="B85" s="1071"/>
      <c r="C85" s="1071"/>
      <c r="D85" s="1072"/>
      <c r="E85" s="1072"/>
      <c r="F85" s="1107"/>
      <c r="J85" s="1103" t="s">
        <v>2460</v>
      </c>
      <c r="K85" s="1104" t="s">
        <v>2457</v>
      </c>
      <c r="L85" s="1096">
        <v>0.2</v>
      </c>
    </row>
    <row r="86" spans="1:12" ht="15" x14ac:dyDescent="0.25">
      <c r="A86" s="1100"/>
      <c r="B86" s="1071"/>
      <c r="C86" s="1071"/>
      <c r="D86" s="1072"/>
      <c r="E86" s="1072"/>
      <c r="F86" s="1107"/>
      <c r="I86" s="1101"/>
      <c r="J86" s="1103" t="s">
        <v>2461</v>
      </c>
      <c r="K86" s="1104" t="s">
        <v>2428</v>
      </c>
      <c r="L86" s="1096">
        <v>20</v>
      </c>
    </row>
    <row r="87" spans="1:12" ht="15" x14ac:dyDescent="0.25">
      <c r="A87" s="1100"/>
      <c r="B87" s="1071"/>
      <c r="C87" s="1071"/>
      <c r="D87" s="1072"/>
      <c r="E87" s="1072"/>
      <c r="F87" s="1107"/>
      <c r="I87" s="1101"/>
      <c r="J87" s="1103" t="s">
        <v>2462</v>
      </c>
      <c r="K87" s="1104" t="s">
        <v>2428</v>
      </c>
      <c r="L87" s="1096">
        <v>20</v>
      </c>
    </row>
    <row r="88" spans="1:12" ht="15" x14ac:dyDescent="0.25">
      <c r="A88" s="1100"/>
      <c r="B88" s="1071"/>
      <c r="C88" s="1071"/>
      <c r="D88" s="1072"/>
      <c r="E88" s="1072"/>
      <c r="F88" s="1107"/>
      <c r="I88" s="1101"/>
      <c r="J88" s="1110" t="s">
        <v>2463</v>
      </c>
      <c r="K88" s="1104" t="s">
        <v>2428</v>
      </c>
      <c r="L88" s="1096">
        <v>7</v>
      </c>
    </row>
    <row r="89" spans="1:12" ht="15" x14ac:dyDescent="0.25">
      <c r="A89" s="1100"/>
      <c r="B89" s="1071"/>
      <c r="C89" s="1100"/>
      <c r="D89" s="1057"/>
      <c r="E89" s="1057"/>
      <c r="F89" s="1107"/>
      <c r="I89" s="1101"/>
      <c r="J89" s="1106" t="s">
        <v>2464</v>
      </c>
      <c r="K89" s="1104" t="s">
        <v>2428</v>
      </c>
      <c r="L89" s="1096">
        <v>0.5</v>
      </c>
    </row>
    <row r="90" spans="1:12" ht="15" x14ac:dyDescent="0.25">
      <c r="A90" s="1056" t="s">
        <v>38</v>
      </c>
      <c r="B90" s="1100"/>
      <c r="C90" s="1056"/>
      <c r="D90" s="1057" t="s">
        <v>55</v>
      </c>
      <c r="E90" s="1057" t="s">
        <v>42</v>
      </c>
      <c r="F90" s="1107"/>
      <c r="I90" s="1101"/>
      <c r="J90" s="1103" t="s">
        <v>2465</v>
      </c>
      <c r="K90" s="1104" t="s">
        <v>2428</v>
      </c>
      <c r="L90" s="1096">
        <v>0.5</v>
      </c>
    </row>
    <row r="91" spans="1:12" ht="15.75" thickBot="1" x14ac:dyDescent="0.3">
      <c r="A91" s="1056"/>
      <c r="B91" s="1056"/>
      <c r="C91" s="1056"/>
      <c r="D91" s="1057"/>
      <c r="E91" s="1057"/>
      <c r="F91" s="1107"/>
      <c r="I91" s="1101"/>
      <c r="J91" s="1103" t="s">
        <v>2466</v>
      </c>
      <c r="K91" s="1104" t="s">
        <v>2428</v>
      </c>
      <c r="L91" s="1096">
        <v>1</v>
      </c>
    </row>
    <row r="92" spans="1:12" ht="15.75" thickBot="1" x14ac:dyDescent="0.3">
      <c r="A92" s="1111" t="s">
        <v>2467</v>
      </c>
      <c r="B92" s="1063"/>
      <c r="C92" s="1063"/>
      <c r="D92" s="1112" t="s">
        <v>2428</v>
      </c>
      <c r="E92" s="1113">
        <v>5</v>
      </c>
      <c r="F92" s="1066"/>
      <c r="I92" s="1101"/>
      <c r="J92" s="1103" t="s">
        <v>2468</v>
      </c>
      <c r="K92" s="1104" t="s">
        <v>2428</v>
      </c>
      <c r="L92" s="1096">
        <v>17</v>
      </c>
    </row>
    <row r="93" spans="1:12" ht="15" x14ac:dyDescent="0.25">
      <c r="A93" s="1089" t="s">
        <v>58</v>
      </c>
      <c r="B93" s="1071"/>
      <c r="C93" s="1071"/>
      <c r="D93" s="1114" t="s">
        <v>2428</v>
      </c>
      <c r="E93" s="1115">
        <v>45</v>
      </c>
      <c r="F93" s="1066"/>
      <c r="I93" s="1101"/>
      <c r="J93" s="1091" t="s">
        <v>2469</v>
      </c>
      <c r="K93" s="1092"/>
      <c r="L93" s="1093"/>
    </row>
    <row r="94" spans="1:12" ht="15" x14ac:dyDescent="0.25">
      <c r="A94" s="1089" t="s">
        <v>2470</v>
      </c>
      <c r="B94" s="1071"/>
      <c r="C94" s="1071"/>
      <c r="D94" s="1114" t="s">
        <v>2428</v>
      </c>
      <c r="E94" s="1115">
        <v>10</v>
      </c>
      <c r="F94" s="1066"/>
      <c r="J94" s="1116" t="s">
        <v>2471</v>
      </c>
      <c r="K94" s="1104" t="s">
        <v>2428</v>
      </c>
      <c r="L94" s="1096">
        <v>30</v>
      </c>
    </row>
    <row r="95" spans="1:12" ht="15" x14ac:dyDescent="0.25">
      <c r="A95" s="1089" t="s">
        <v>2472</v>
      </c>
      <c r="B95" s="1071"/>
      <c r="C95" s="1071"/>
      <c r="D95" s="1114" t="s">
        <v>2428</v>
      </c>
      <c r="E95" s="1115">
        <v>7</v>
      </c>
      <c r="F95" s="1066"/>
      <c r="J95" s="1116" t="s">
        <v>2473</v>
      </c>
      <c r="K95" s="1104" t="s">
        <v>2434</v>
      </c>
      <c r="L95" s="1096">
        <v>7</v>
      </c>
    </row>
    <row r="96" spans="1:12" ht="15" x14ac:dyDescent="0.25">
      <c r="A96" s="1089" t="s">
        <v>2474</v>
      </c>
      <c r="B96" s="1071"/>
      <c r="C96" s="1071"/>
      <c r="D96" s="1114" t="s">
        <v>2428</v>
      </c>
      <c r="E96" s="1115">
        <v>15</v>
      </c>
      <c r="F96" s="1066"/>
      <c r="J96" s="1116" t="s">
        <v>2475</v>
      </c>
      <c r="K96" s="1104" t="s">
        <v>2434</v>
      </c>
      <c r="L96" s="1096">
        <v>45</v>
      </c>
    </row>
    <row r="97" spans="1:12" ht="15" x14ac:dyDescent="0.25">
      <c r="A97" s="1089" t="s">
        <v>2476</v>
      </c>
      <c r="B97" s="1071"/>
      <c r="C97" s="1071"/>
      <c r="D97" s="1114" t="s">
        <v>2477</v>
      </c>
      <c r="E97" s="1115">
        <v>12</v>
      </c>
      <c r="F97" s="1066"/>
      <c r="J97" s="1116" t="s">
        <v>2478</v>
      </c>
      <c r="K97" s="1104" t="s">
        <v>2479</v>
      </c>
      <c r="L97" s="1096">
        <v>7</v>
      </c>
    </row>
    <row r="98" spans="1:12" ht="15" x14ac:dyDescent="0.25">
      <c r="A98" s="1089" t="s">
        <v>2480</v>
      </c>
      <c r="B98" s="1071"/>
      <c r="C98" s="1071"/>
      <c r="D98" s="1114" t="s">
        <v>2481</v>
      </c>
      <c r="E98" s="1115">
        <v>8</v>
      </c>
      <c r="F98" s="1066"/>
      <c r="J98" s="1116" t="s">
        <v>2482</v>
      </c>
      <c r="K98" s="1104" t="s">
        <v>2479</v>
      </c>
      <c r="L98" s="1096">
        <v>1.5</v>
      </c>
    </row>
    <row r="99" spans="1:12" ht="15" x14ac:dyDescent="0.25">
      <c r="A99" s="1089" t="s">
        <v>2483</v>
      </c>
      <c r="B99" s="1071"/>
      <c r="C99" s="1071"/>
      <c r="D99" s="1114" t="s">
        <v>2428</v>
      </c>
      <c r="E99" s="1115">
        <v>0.75</v>
      </c>
      <c r="F99" s="1066"/>
      <c r="J99" s="1116" t="s">
        <v>2484</v>
      </c>
      <c r="K99" s="1104" t="s">
        <v>2428</v>
      </c>
      <c r="L99" s="1096">
        <v>5</v>
      </c>
    </row>
    <row r="100" spans="1:12" ht="15" x14ac:dyDescent="0.25">
      <c r="A100" s="1089" t="s">
        <v>2485</v>
      </c>
      <c r="B100" s="1071"/>
      <c r="C100" s="1071"/>
      <c r="D100" s="1114" t="s">
        <v>2428</v>
      </c>
      <c r="E100" s="1115">
        <v>7</v>
      </c>
      <c r="F100" s="1066"/>
      <c r="J100" s="1116" t="s">
        <v>2486</v>
      </c>
      <c r="K100" s="1104" t="s">
        <v>2428</v>
      </c>
      <c r="L100" s="1096">
        <v>10</v>
      </c>
    </row>
    <row r="101" spans="1:12" ht="15" x14ac:dyDescent="0.25">
      <c r="A101" s="1089" t="s">
        <v>2487</v>
      </c>
      <c r="B101" s="1071"/>
      <c r="C101" s="1071"/>
      <c r="D101" s="1114" t="s">
        <v>2428</v>
      </c>
      <c r="E101" s="1115">
        <v>6</v>
      </c>
      <c r="F101" s="1066"/>
      <c r="J101" s="1116" t="s">
        <v>2488</v>
      </c>
      <c r="K101" s="1104" t="s">
        <v>2489</v>
      </c>
      <c r="L101" s="1096">
        <v>10</v>
      </c>
    </row>
    <row r="102" spans="1:12" ht="15" x14ac:dyDescent="0.25">
      <c r="A102" s="1089" t="s">
        <v>2490</v>
      </c>
      <c r="B102" s="1071"/>
      <c r="C102" s="1071"/>
      <c r="D102" s="1114" t="s">
        <v>2428</v>
      </c>
      <c r="E102" s="1115">
        <v>7</v>
      </c>
      <c r="F102" s="1066"/>
      <c r="J102" s="1116" t="s">
        <v>2491</v>
      </c>
      <c r="K102" s="1104" t="s">
        <v>2428</v>
      </c>
      <c r="L102" s="1096">
        <v>1</v>
      </c>
    </row>
    <row r="103" spans="1:12" ht="15" x14ac:dyDescent="0.25">
      <c r="A103" s="1089" t="s">
        <v>2492</v>
      </c>
      <c r="B103" s="1071"/>
      <c r="C103" s="1071"/>
      <c r="D103" s="1114" t="s">
        <v>2481</v>
      </c>
      <c r="E103" s="1115">
        <v>12</v>
      </c>
      <c r="F103" s="1066"/>
      <c r="J103" s="1116" t="s">
        <v>2493</v>
      </c>
      <c r="K103" s="1104" t="s">
        <v>2428</v>
      </c>
      <c r="L103" s="1096">
        <v>0.25</v>
      </c>
    </row>
    <row r="104" spans="1:12" ht="15" x14ac:dyDescent="0.25">
      <c r="A104" s="1089" t="s">
        <v>2494</v>
      </c>
      <c r="B104" s="1071"/>
      <c r="C104" s="1071"/>
      <c r="D104" s="1114" t="s">
        <v>2428</v>
      </c>
      <c r="E104" s="1115">
        <v>18</v>
      </c>
      <c r="F104" s="1066"/>
      <c r="J104" s="1116" t="s">
        <v>2495</v>
      </c>
      <c r="K104" s="1104" t="s">
        <v>2428</v>
      </c>
      <c r="L104" s="1096">
        <v>0.25</v>
      </c>
    </row>
    <row r="105" spans="1:12" ht="15" x14ac:dyDescent="0.25">
      <c r="A105" s="1089" t="s">
        <v>2496</v>
      </c>
      <c r="B105" s="1071"/>
      <c r="C105" s="1071"/>
      <c r="D105" s="1114" t="s">
        <v>2497</v>
      </c>
      <c r="E105" s="1115">
        <v>18</v>
      </c>
      <c r="F105" s="1066"/>
      <c r="J105" s="1117" t="s">
        <v>2498</v>
      </c>
      <c r="K105" s="1104" t="s">
        <v>2428</v>
      </c>
      <c r="L105" s="1096">
        <v>0.1</v>
      </c>
    </row>
    <row r="106" spans="1:12" ht="15" x14ac:dyDescent="0.25">
      <c r="A106" s="1089" t="s">
        <v>2499</v>
      </c>
      <c r="B106" s="1071"/>
      <c r="C106" s="1071"/>
      <c r="D106" s="1114" t="s">
        <v>2428</v>
      </c>
      <c r="E106" s="1115">
        <v>10</v>
      </c>
      <c r="F106" s="1066"/>
      <c r="J106" s="1118" t="s">
        <v>2500</v>
      </c>
      <c r="K106" s="1119" t="s">
        <v>2428</v>
      </c>
      <c r="L106" s="1120">
        <v>0.25</v>
      </c>
    </row>
    <row r="107" spans="1:12" ht="15" x14ac:dyDescent="0.25">
      <c r="A107" s="1089" t="s">
        <v>2501</v>
      </c>
      <c r="B107" s="1071"/>
      <c r="C107" s="1071"/>
      <c r="D107" s="1114" t="s">
        <v>2428</v>
      </c>
      <c r="E107" s="1115">
        <v>8</v>
      </c>
      <c r="F107" s="1066"/>
      <c r="J107" s="1121" t="s">
        <v>2502</v>
      </c>
      <c r="K107" s="1122" t="s">
        <v>2428</v>
      </c>
      <c r="L107" s="1123">
        <v>0.25</v>
      </c>
    </row>
    <row r="108" spans="1:12" ht="15" x14ac:dyDescent="0.25">
      <c r="A108" s="1089" t="s">
        <v>2503</v>
      </c>
      <c r="B108" s="1071"/>
      <c r="C108" s="1071"/>
      <c r="D108" s="1114" t="s">
        <v>2440</v>
      </c>
      <c r="E108" s="1115">
        <v>22</v>
      </c>
      <c r="F108" s="1066"/>
      <c r="J108" s="1121" t="s">
        <v>2504</v>
      </c>
      <c r="K108" s="1122" t="s">
        <v>2505</v>
      </c>
      <c r="L108" s="1123">
        <v>85</v>
      </c>
    </row>
    <row r="109" spans="1:12" ht="15" x14ac:dyDescent="0.25">
      <c r="A109" s="1089" t="s">
        <v>2506</v>
      </c>
      <c r="B109" s="1071"/>
      <c r="C109" s="1071"/>
      <c r="D109" s="1114" t="s">
        <v>2428</v>
      </c>
      <c r="E109" s="1115">
        <v>15</v>
      </c>
      <c r="F109" s="1066"/>
      <c r="J109" s="1121" t="s">
        <v>2507</v>
      </c>
      <c r="K109" s="1122" t="s">
        <v>2505</v>
      </c>
      <c r="L109" s="1123">
        <v>35</v>
      </c>
    </row>
    <row r="110" spans="1:12" ht="15" x14ac:dyDescent="0.25">
      <c r="A110" s="1089" t="s">
        <v>2508</v>
      </c>
      <c r="B110" s="1071"/>
      <c r="C110" s="1071"/>
      <c r="D110" s="1114" t="s">
        <v>2428</v>
      </c>
      <c r="E110" s="1115">
        <v>0.75</v>
      </c>
      <c r="F110" s="1066"/>
      <c r="J110" s="1121" t="s">
        <v>2509</v>
      </c>
      <c r="K110" s="1122" t="s">
        <v>2505</v>
      </c>
      <c r="L110" s="1123">
        <v>70</v>
      </c>
    </row>
    <row r="111" spans="1:12" ht="15" x14ac:dyDescent="0.25">
      <c r="A111" s="1089" t="s">
        <v>2510</v>
      </c>
      <c r="B111" s="1071"/>
      <c r="C111" s="1071"/>
      <c r="D111" s="1114" t="s">
        <v>2434</v>
      </c>
      <c r="E111" s="1115">
        <v>25</v>
      </c>
      <c r="F111" s="1066"/>
      <c r="J111" s="1124" t="s">
        <v>2511</v>
      </c>
      <c r="K111" s="1122" t="s">
        <v>2505</v>
      </c>
      <c r="L111" s="1123">
        <v>20</v>
      </c>
    </row>
    <row r="112" spans="1:12" ht="15" x14ac:dyDescent="0.25">
      <c r="A112" s="1089" t="s">
        <v>2512</v>
      </c>
      <c r="B112" s="1071"/>
      <c r="C112" s="1071"/>
      <c r="D112" s="1114" t="s">
        <v>2428</v>
      </c>
      <c r="E112" s="1115">
        <v>7</v>
      </c>
      <c r="F112" s="1066"/>
      <c r="J112" s="1125"/>
    </row>
    <row r="113" spans="1:10" ht="15" x14ac:dyDescent="0.25">
      <c r="A113" s="1089" t="s">
        <v>2513</v>
      </c>
      <c r="B113" s="1071"/>
      <c r="C113" s="1071"/>
      <c r="D113" s="1114" t="s">
        <v>2457</v>
      </c>
      <c r="E113" s="1115">
        <v>2.2400000000000002</v>
      </c>
      <c r="F113" s="1066"/>
      <c r="J113" s="1126"/>
    </row>
    <row r="114" spans="1:10" ht="15" x14ac:dyDescent="0.25">
      <c r="A114" s="1089" t="s">
        <v>2514</v>
      </c>
      <c r="B114" s="1071"/>
      <c r="C114" s="1071"/>
      <c r="D114" s="1114" t="s">
        <v>2428</v>
      </c>
      <c r="E114" s="1115">
        <v>0.75</v>
      </c>
      <c r="F114" s="1066"/>
      <c r="J114" s="1126"/>
    </row>
    <row r="115" spans="1:10" ht="15" x14ac:dyDescent="0.25">
      <c r="A115" s="1089" t="s">
        <v>2515</v>
      </c>
      <c r="B115" s="1071"/>
      <c r="C115" s="1071"/>
      <c r="D115" s="1114" t="s">
        <v>2497</v>
      </c>
      <c r="E115" s="1115">
        <v>10</v>
      </c>
      <c r="F115" s="1066"/>
      <c r="J115" s="1126"/>
    </row>
    <row r="116" spans="1:10" ht="15" x14ac:dyDescent="0.25">
      <c r="A116" s="1089" t="s">
        <v>63</v>
      </c>
      <c r="B116" s="1071"/>
      <c r="C116" s="1071"/>
      <c r="D116" s="1114" t="s">
        <v>2428</v>
      </c>
      <c r="E116" s="1115">
        <v>9</v>
      </c>
      <c r="F116" s="1066"/>
      <c r="J116" s="1126"/>
    </row>
    <row r="117" spans="1:10" ht="15" x14ac:dyDescent="0.25">
      <c r="A117" s="1089" t="s">
        <v>2516</v>
      </c>
      <c r="B117" s="1071"/>
      <c r="C117" s="1071"/>
      <c r="D117" s="1114" t="s">
        <v>2457</v>
      </c>
      <c r="E117" s="1115">
        <v>1.46</v>
      </c>
      <c r="F117" s="1066"/>
      <c r="J117" s="1126"/>
    </row>
    <row r="118" spans="1:10" ht="15" x14ac:dyDescent="0.25">
      <c r="A118" s="1089" t="s">
        <v>2517</v>
      </c>
      <c r="B118" s="1071"/>
      <c r="C118" s="1071"/>
      <c r="D118" s="1114" t="s">
        <v>2440</v>
      </c>
      <c r="E118" s="1115">
        <v>3</v>
      </c>
      <c r="F118" s="1066"/>
      <c r="J118" s="1126"/>
    </row>
    <row r="119" spans="1:10" ht="15" x14ac:dyDescent="0.25">
      <c r="A119" s="1089" t="s">
        <v>2518</v>
      </c>
      <c r="B119" s="1071"/>
      <c r="C119" s="1071"/>
      <c r="D119" s="1114" t="s">
        <v>2457</v>
      </c>
      <c r="E119" s="1115">
        <v>1.5</v>
      </c>
      <c r="F119" s="1066"/>
      <c r="J119" s="1126"/>
    </row>
    <row r="120" spans="1:10" ht="15" x14ac:dyDescent="0.25">
      <c r="A120" s="1089" t="s">
        <v>2519</v>
      </c>
      <c r="B120" s="1071"/>
      <c r="C120" s="1071"/>
      <c r="D120" s="1114" t="s">
        <v>2428</v>
      </c>
      <c r="E120" s="1115">
        <v>5</v>
      </c>
      <c r="F120" s="1066"/>
      <c r="J120" s="1126"/>
    </row>
    <row r="121" spans="1:10" ht="15.75" thickBot="1" x14ac:dyDescent="0.3">
      <c r="A121" s="1097" t="s">
        <v>2520</v>
      </c>
      <c r="B121" s="1098"/>
      <c r="C121" s="1098"/>
      <c r="D121" s="1127" t="s">
        <v>2440</v>
      </c>
      <c r="E121" s="1128">
        <v>5</v>
      </c>
      <c r="F121" s="1066"/>
      <c r="J121" s="1126"/>
    </row>
    <row r="122" spans="1:10" x14ac:dyDescent="0.2">
      <c r="A122" s="353" t="s">
        <v>57</v>
      </c>
    </row>
    <row r="124" spans="1:10" ht="13.5" thickBot="1" x14ac:dyDescent="0.25">
      <c r="A124" s="1130" t="s">
        <v>38</v>
      </c>
      <c r="B124" s="1130"/>
      <c r="C124" s="1130"/>
      <c r="D124" s="1060" t="s">
        <v>55</v>
      </c>
      <c r="E124" s="1060" t="s">
        <v>42</v>
      </c>
    </row>
    <row r="125" spans="1:10" x14ac:dyDescent="0.2">
      <c r="A125" s="1131" t="s">
        <v>2521</v>
      </c>
      <c r="B125" s="1132"/>
      <c r="C125" s="1132"/>
      <c r="D125" s="1133">
        <v>75</v>
      </c>
      <c r="E125" s="1134">
        <f>+D125*5</f>
        <v>375</v>
      </c>
    </row>
    <row r="126" spans="1:10" x14ac:dyDescent="0.2">
      <c r="A126" s="1135" t="s">
        <v>363</v>
      </c>
      <c r="B126" s="1136"/>
      <c r="C126" s="1136"/>
      <c r="D126" s="1137">
        <v>70</v>
      </c>
      <c r="E126" s="1138">
        <v>350</v>
      </c>
    </row>
    <row r="127" spans="1:10" ht="13.5" thickBot="1" x14ac:dyDescent="0.25">
      <c r="A127" s="1135" t="s">
        <v>364</v>
      </c>
      <c r="B127" s="1136"/>
      <c r="C127" s="1136"/>
      <c r="D127" s="1137">
        <v>60</v>
      </c>
      <c r="E127" s="1138">
        <v>300</v>
      </c>
    </row>
    <row r="128" spans="1:10" ht="13.5" thickBot="1" x14ac:dyDescent="0.25">
      <c r="A128" s="1139" t="s">
        <v>776</v>
      </c>
      <c r="B128" s="1140"/>
      <c r="C128" s="1140"/>
      <c r="D128" s="1141">
        <v>95</v>
      </c>
      <c r="E128" s="1142">
        <f>+D128*5</f>
        <v>475</v>
      </c>
    </row>
    <row r="131" spans="1:5" ht="13.5" thickBot="1" x14ac:dyDescent="0.25">
      <c r="A131" s="1130" t="s">
        <v>38</v>
      </c>
      <c r="B131" s="1130"/>
      <c r="C131" s="1130"/>
      <c r="D131" s="1060" t="s">
        <v>55</v>
      </c>
      <c r="E131" s="1060" t="s">
        <v>42</v>
      </c>
    </row>
    <row r="132" spans="1:5" x14ac:dyDescent="0.2">
      <c r="A132" s="1143" t="s">
        <v>326</v>
      </c>
      <c r="B132" s="1144"/>
      <c r="C132" s="1144"/>
      <c r="D132" s="1145">
        <v>45</v>
      </c>
      <c r="E132" s="1146">
        <v>220</v>
      </c>
    </row>
    <row r="133" spans="1:5" x14ac:dyDescent="0.2">
      <c r="A133" s="1147" t="s">
        <v>327</v>
      </c>
      <c r="D133" s="1148">
        <v>55</v>
      </c>
      <c r="E133" s="1149">
        <v>250</v>
      </c>
    </row>
    <row r="134" spans="1:5" x14ac:dyDescent="0.2">
      <c r="A134" s="1147" t="s">
        <v>351</v>
      </c>
      <c r="D134" s="1148">
        <v>65</v>
      </c>
      <c r="E134" s="1150">
        <v>300</v>
      </c>
    </row>
    <row r="135" spans="1:5" x14ac:dyDescent="0.2">
      <c r="A135" s="1147" t="s">
        <v>328</v>
      </c>
      <c r="D135" s="1148">
        <v>75</v>
      </c>
      <c r="E135" s="1150">
        <v>325</v>
      </c>
    </row>
    <row r="136" spans="1:5" ht="13.5" thickBot="1" x14ac:dyDescent="0.25">
      <c r="A136" s="1151" t="s">
        <v>352</v>
      </c>
      <c r="B136" s="1152"/>
      <c r="C136" s="1152"/>
      <c r="D136" s="1153">
        <v>70</v>
      </c>
      <c r="E136" s="1154">
        <v>275</v>
      </c>
    </row>
  </sheetData>
  <pageMargins left="0.75" right="0.75" top="1" bottom="1" header="0.5" footer="0.5"/>
  <pageSetup orientation="portrait" r:id="rId1"/>
  <headerFooter alignWithMargins="0">
    <oddFooter xml:space="preserve">&amp;L&amp;6C:\My Documents\Projects\Budget Spreadsheet\BETA 4 - budget AND workplan template.xls   &amp;D &amp;T&amp;R&amp;8&amp;Z&amp;F   &amp;D_x000D_&amp;7© 2014 RMT, Inc.  All rights reserved.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29DEA-4996-4877-B427-C8AD719F1BC7}">
  <sheetPr syncVertical="1" syncRef="A10" transitionEvaluation="1" transitionEntry="1" codeName="Sheet24">
    <pageSetUpPr fitToPage="1"/>
  </sheetPr>
  <dimension ref="A1:XFD169"/>
  <sheetViews>
    <sheetView view="pageBreakPreview" zoomScale="70" zoomScaleNormal="70" zoomScaleSheetLayoutView="70" workbookViewId="0">
      <pane ySplit="9" topLeftCell="A10" activePane="bottomLeft" state="frozen"/>
      <selection pane="bottomLeft" activeCell="L26" sqref="L26"/>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Element2</f>
        <v>Phase Name 2</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t="str">
        <f>IF(D28=0,"",VLOOKUP(D5,'Labor &amp; Practice Lookups'!$A$4:$I$32,D39))</f>
        <v/>
      </c>
      <c r="E12" s="483" t="str">
        <f>IF(E28=0,"",VLOOKUP(E5,'Labor &amp; Practice Lookups'!$A$4:$I$32,E39))</f>
        <v/>
      </c>
      <c r="F12" s="483" t="str">
        <f>IF(F28=0,"",VLOOKUP(F5,'Labor &amp; Practice Lookups'!$A$4:$I$32,F39))</f>
        <v/>
      </c>
      <c r="G12" s="483" t="str">
        <f>IF(G28=0,"",VLOOKUP(G5,'Labor &amp; Practice Lookups'!$A$4:$I$32,G39))</f>
        <v/>
      </c>
      <c r="H12" s="483" t="str">
        <f>IF(H28=0,"",VLOOKUP(H5,'Labor &amp; Practice Lookups'!$A$4:$I$32,H39))</f>
        <v/>
      </c>
      <c r="I12" s="483" t="str">
        <f>IF(I28=0,"",VLOOKUP(I5,'Labor &amp; Practice Lookups'!$A$4:$I$32,I39))</f>
        <v/>
      </c>
      <c r="J12" s="483" t="str">
        <f>IF(J28=0,"",VLOOKUP(J5,'Labor &amp; Practice Lookups'!$A$4:$I$32,J39))</f>
        <v/>
      </c>
      <c r="K12" s="483" t="str">
        <f>IF(K28=0,"",VLOOKUP(K5,'Labor &amp; Practice Lookups'!$A$4:$I$32,K39))</f>
        <v/>
      </c>
      <c r="L12" s="483" t="str">
        <f>IF(L28=0,"",VLOOKUP(L5,'Labor &amp; Practice Lookups'!$A$4:$I$32,L39))</f>
        <v/>
      </c>
      <c r="M12" s="483" t="str">
        <f>IF(M28=0,"",VLOOKUP(M5,'Labor &amp; Practice Lookups'!$A$4:$I$32,M39))</f>
        <v/>
      </c>
      <c r="N12" s="483" t="str">
        <f>IF(N28=0,"",VLOOKUP(N5,'Labor &amp; Practice Lookups'!$A$4:$I$32,N39))</f>
        <v/>
      </c>
      <c r="O12" s="483" t="str">
        <f>IF(O28=0,"",VLOOKUP(O5,'Labor &amp; Practice Lookups'!$A$4:$I$32,O39))</f>
        <v/>
      </c>
      <c r="P12" s="483" t="str">
        <f>IF(P28=0,"",VLOOKUP(P5,'Labor &amp; Practice Lookups'!$A$4:$I$32,P39))</f>
        <v/>
      </c>
      <c r="Q12" s="483" t="str">
        <f>IF(Q28=0,"",VLOOKUP(Q5,'Labor &amp; Practice Lookups'!$A$4:$I$32,Q39))</f>
        <v/>
      </c>
      <c r="R12" s="483" t="str">
        <f>IF(R28=0,"",VLOOKUP(R5,'Labor &amp; Practice Lookups'!$A$4:$I$32,R39))</f>
        <v/>
      </c>
      <c r="S12" s="483" t="str">
        <f>IF(S28=0,"",VLOOKUP(S5,'Labor &amp; Practice Lookups'!$A$4:$I$32,S39))</f>
        <v/>
      </c>
      <c r="T12" s="483" t="str">
        <f>IF(T28=0,"",VLOOKUP(T5,'Labor &amp; Practice Lookups'!$A$4:$I$32,T39))</f>
        <v/>
      </c>
      <c r="U12" s="483" t="str">
        <f>IF(U28=0,"",VLOOKUP(U5,'Labor &amp; Practice Lookups'!$A$4:$I$32,U39))</f>
        <v/>
      </c>
      <c r="V12" s="483" t="str">
        <f>IF(V28=0,"",VLOOKUP(V5,'Labor &amp; Practice Lookups'!$A$4:$I$32,V39))</f>
        <v/>
      </c>
      <c r="W12" s="483" t="str">
        <f>IF(W28=0,"",VLOOKUP(W5,'Labor &amp; Practice Lookups'!$A$4:$I$32,W39))</f>
        <v/>
      </c>
      <c r="X12" s="483" t="str">
        <f>IF(X28=0,"",VLOOKUP(X5,'Labor &amp; Practice Lookups'!$A$4:$I$32,X39))</f>
        <v/>
      </c>
      <c r="Y12" s="483" t="str">
        <f>IF(Y28=0,"",VLOOKUP(Y5,'Labor &amp; Practice Lookups'!$A$4:$I$32,Y39))</f>
        <v/>
      </c>
      <c r="Z12" s="483" t="str">
        <f>IF(Z28=0,"",VLOOKUP(Z5,'Labor &amp; Practice Lookups'!$A$4:$I$32,Z39))</f>
        <v/>
      </c>
      <c r="AA12" s="483" t="str">
        <f>IF(AA28=0,"",VLOOKUP(AA5,'Labor &amp; Practice Lookups'!$A$4:$I$32,AA39))</f>
        <v/>
      </c>
      <c r="AB12" s="483" t="str">
        <f>IF(AB28=0,"",VLOOKUP(AB5,'Labor &amp; Practice Lookups'!$A$4:$I$32,AB39))</f>
        <v/>
      </c>
      <c r="AC12" s="483" t="str">
        <f>IF(AC28=0,"",VLOOKUP(AC5,'Labor &amp; Practice Lookups'!$A$4:$I$32,AC39))</f>
        <v/>
      </c>
      <c r="AD12" s="483" t="str">
        <f>IF(AD28=0,"",VLOOKUP(AD5,'Labor &amp; Practice Lookups'!$A$4:$I$32,AD39))</f>
        <v/>
      </c>
      <c r="AE12" s="484" t="str">
        <f>IF(AE28=0,"",VLOOKUP(AE5,'Labor &amp; Practice Lookups'!$A$4:$I$32,AE39))</f>
        <v/>
      </c>
      <c r="AF12" s="29"/>
      <c r="AG12" s="404"/>
    </row>
    <row r="13" spans="1:42 16384:16384" x14ac:dyDescent="0.2">
      <c r="A13" s="463"/>
      <c r="B13" s="465"/>
      <c r="C13" s="470" t="s">
        <v>656</v>
      </c>
      <c r="D13" s="471" t="str">
        <f t="shared" ref="D13:AE13" si="0">IF(D28=0,"",IF(D11=0,D7/D12,D7/D11))</f>
        <v/>
      </c>
      <c r="E13" s="471" t="str">
        <f t="shared" si="0"/>
        <v/>
      </c>
      <c r="F13" s="471" t="str">
        <f t="shared" si="0"/>
        <v/>
      </c>
      <c r="G13" s="471" t="str">
        <f t="shared" si="0"/>
        <v/>
      </c>
      <c r="H13" s="471" t="str">
        <f t="shared" si="0"/>
        <v/>
      </c>
      <c r="I13" s="471" t="str">
        <f t="shared" si="0"/>
        <v/>
      </c>
      <c r="J13" s="471" t="str">
        <f t="shared" si="0"/>
        <v/>
      </c>
      <c r="K13" s="471" t="str">
        <f t="shared" si="0"/>
        <v/>
      </c>
      <c r="L13" s="471" t="str">
        <f t="shared" si="0"/>
        <v/>
      </c>
      <c r="M13" s="471" t="str">
        <f t="shared" si="0"/>
        <v/>
      </c>
      <c r="N13" s="471" t="str">
        <f t="shared" si="0"/>
        <v/>
      </c>
      <c r="O13" s="471" t="str">
        <f t="shared" si="0"/>
        <v/>
      </c>
      <c r="P13" s="471" t="str">
        <f t="shared" si="0"/>
        <v/>
      </c>
      <c r="Q13" s="471" t="str">
        <f t="shared" si="0"/>
        <v/>
      </c>
      <c r="R13" s="471" t="str">
        <f t="shared" si="0"/>
        <v/>
      </c>
      <c r="S13" s="471" t="str">
        <f t="shared" si="0"/>
        <v/>
      </c>
      <c r="T13" s="471" t="str">
        <f t="shared" si="0"/>
        <v/>
      </c>
      <c r="U13" s="471" t="str">
        <f t="shared" si="0"/>
        <v/>
      </c>
      <c r="V13" s="471" t="str">
        <f t="shared" si="0"/>
        <v/>
      </c>
      <c r="W13" s="471" t="str">
        <f t="shared" si="0"/>
        <v/>
      </c>
      <c r="X13" s="471" t="str">
        <f t="shared" si="0"/>
        <v/>
      </c>
      <c r="Y13" s="471" t="str">
        <f t="shared" si="0"/>
        <v/>
      </c>
      <c r="Z13" s="471" t="str">
        <f t="shared" si="0"/>
        <v/>
      </c>
      <c r="AA13" s="471" t="str">
        <f t="shared" si="0"/>
        <v/>
      </c>
      <c r="AB13" s="471" t="str">
        <f t="shared" si="0"/>
        <v/>
      </c>
      <c r="AC13" s="471" t="str">
        <f t="shared" si="0"/>
        <v/>
      </c>
      <c r="AD13" s="471" t="str">
        <f t="shared" si="0"/>
        <v/>
      </c>
      <c r="AE13" s="472" t="str">
        <f t="shared" si="0"/>
        <v/>
      </c>
      <c r="AF13" s="29"/>
      <c r="AG13" s="404"/>
      <c r="XFD13" s="412"/>
    </row>
    <row r="14" spans="1:42 16384:16384" ht="13.5" thickBot="1" x14ac:dyDescent="0.25">
      <c r="A14" s="463"/>
      <c r="B14" s="465"/>
      <c r="C14" s="473" t="s">
        <v>657</v>
      </c>
      <c r="D14" s="474" t="str">
        <f t="shared" ref="D14:AE14" si="1">IF(D34="","",D34/D28)</f>
        <v/>
      </c>
      <c r="E14" s="474" t="str">
        <f t="shared" si="1"/>
        <v/>
      </c>
      <c r="F14" s="474" t="str">
        <f t="shared" si="1"/>
        <v/>
      </c>
      <c r="G14" s="474" t="str">
        <f t="shared" si="1"/>
        <v/>
      </c>
      <c r="H14" s="474" t="str">
        <f t="shared" si="1"/>
        <v/>
      </c>
      <c r="I14" s="474" t="str">
        <f t="shared" si="1"/>
        <v/>
      </c>
      <c r="J14" s="474" t="str">
        <f t="shared" si="1"/>
        <v/>
      </c>
      <c r="K14" s="474" t="str">
        <f t="shared" si="1"/>
        <v/>
      </c>
      <c r="L14" s="474" t="str">
        <f t="shared" si="1"/>
        <v/>
      </c>
      <c r="M14" s="474" t="str">
        <f t="shared" si="1"/>
        <v/>
      </c>
      <c r="N14" s="474" t="str">
        <f t="shared" si="1"/>
        <v/>
      </c>
      <c r="O14" s="474" t="str">
        <f t="shared" si="1"/>
        <v/>
      </c>
      <c r="P14" s="474" t="str">
        <f t="shared" si="1"/>
        <v/>
      </c>
      <c r="Q14" s="474" t="str">
        <f t="shared" si="1"/>
        <v/>
      </c>
      <c r="R14" s="474" t="str">
        <f t="shared" si="1"/>
        <v/>
      </c>
      <c r="S14" s="474" t="str">
        <f t="shared" si="1"/>
        <v/>
      </c>
      <c r="T14" s="474" t="str">
        <f t="shared" si="1"/>
        <v/>
      </c>
      <c r="U14" s="474" t="str">
        <f t="shared" si="1"/>
        <v/>
      </c>
      <c r="V14" s="474" t="str">
        <f t="shared" si="1"/>
        <v/>
      </c>
      <c r="W14" s="474" t="str">
        <f t="shared" si="1"/>
        <v/>
      </c>
      <c r="X14" s="474" t="str">
        <f t="shared" si="1"/>
        <v/>
      </c>
      <c r="Y14" s="474" t="str">
        <f t="shared" si="1"/>
        <v/>
      </c>
      <c r="Z14" s="474" t="str">
        <f t="shared" si="1"/>
        <v/>
      </c>
      <c r="AA14" s="474" t="str">
        <f t="shared" si="1"/>
        <v/>
      </c>
      <c r="AB14" s="474" t="str">
        <f t="shared" si="1"/>
        <v/>
      </c>
      <c r="AC14" s="474" t="str">
        <f t="shared" si="1"/>
        <v/>
      </c>
      <c r="AD14" s="474" t="str">
        <f t="shared" si="1"/>
        <v/>
      </c>
      <c r="AE14" s="475" t="str">
        <f t="shared" si="1"/>
        <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18"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ref="AF19:AF26" si="4">(D$7*D19)+(E$7*E19)+(F$7*F19)+(G$7*G19)+(H$7*H19)+(I$7*I19)+(J$7*J19)+(K$7*K19)+(L$7*L19)+(M$7*M19)+(N$7*N19)+(O$7*O19)+(P$7*P19)+(Q$7*Q19)+(R$7*R19)+(S$7*S19)+(T$7*T19)+(U$7*U19)+(V$7*V19)+(W$7*W19)+(X$7*X19)+(Y$7*Y19)+(Z$7*Z19)+(AA$7*AA19)+(AB$7*AB19)+(AC$7*AC19)+(AD$7*AD19)+(AE$7*AE19)</f>
        <v>0</v>
      </c>
      <c r="AG19" s="992">
        <f t="shared" si="3"/>
        <v>0</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4"/>
        <v>0</v>
      </c>
      <c r="AG20" s="988">
        <f t="shared" si="3"/>
        <v>0</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4"/>
        <v>0</v>
      </c>
      <c r="AG21" s="992">
        <f t="shared" si="3"/>
        <v>0</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4"/>
        <v>0</v>
      </c>
      <c r="AG22" s="988">
        <f t="shared" si="3"/>
        <v>0</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4"/>
        <v>0</v>
      </c>
      <c r="AG23" s="992">
        <f t="shared" si="3"/>
        <v>0</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4"/>
        <v>0</v>
      </c>
      <c r="AG24" s="988">
        <f t="shared" si="3"/>
        <v>0</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4"/>
        <v>0</v>
      </c>
      <c r="AG25" s="992">
        <f t="shared" si="3"/>
        <v>0</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4"/>
        <v>0</v>
      </c>
      <c r="AG26" s="988">
        <f t="shared" si="3"/>
        <v>0</v>
      </c>
    </row>
    <row r="27" spans="1:34" ht="15" customHeight="1" x14ac:dyDescent="0.2">
      <c r="A27" s="981"/>
      <c r="B27" s="1237" t="str">
        <f>UPPER($A$1) &amp; "   " &amp; UPPER($AK$1) &amp; " TOTAL (HOURS) "</f>
        <v xml:space="preserve">PHASE   PAGE 1 TOTAL (HOURS) </v>
      </c>
      <c r="C27" s="1238"/>
      <c r="D27" s="982">
        <f t="shared" ref="D27:AE27" si="5">SUM(D16:D26)</f>
        <v>0</v>
      </c>
      <c r="E27" s="983">
        <f t="shared" si="5"/>
        <v>0</v>
      </c>
      <c r="F27" s="983">
        <f t="shared" si="5"/>
        <v>0</v>
      </c>
      <c r="G27" s="984">
        <f t="shared" si="5"/>
        <v>0</v>
      </c>
      <c r="H27" s="982">
        <f t="shared" si="5"/>
        <v>0</v>
      </c>
      <c r="I27" s="983">
        <f t="shared" si="5"/>
        <v>0</v>
      </c>
      <c r="J27" s="983">
        <f t="shared" si="5"/>
        <v>0</v>
      </c>
      <c r="K27" s="984">
        <f t="shared" si="5"/>
        <v>0</v>
      </c>
      <c r="L27" s="982">
        <f t="shared" si="5"/>
        <v>0</v>
      </c>
      <c r="M27" s="983">
        <f t="shared" si="5"/>
        <v>0</v>
      </c>
      <c r="N27" s="983">
        <f t="shared" si="5"/>
        <v>0</v>
      </c>
      <c r="O27" s="984">
        <f t="shared" si="5"/>
        <v>0</v>
      </c>
      <c r="P27" s="982">
        <f t="shared" si="5"/>
        <v>0</v>
      </c>
      <c r="Q27" s="983">
        <f t="shared" si="5"/>
        <v>0</v>
      </c>
      <c r="R27" s="983">
        <f t="shared" si="5"/>
        <v>0</v>
      </c>
      <c r="S27" s="984">
        <f t="shared" si="5"/>
        <v>0</v>
      </c>
      <c r="T27" s="982">
        <f t="shared" si="5"/>
        <v>0</v>
      </c>
      <c r="U27" s="983">
        <f t="shared" si="5"/>
        <v>0</v>
      </c>
      <c r="V27" s="983">
        <f t="shared" si="5"/>
        <v>0</v>
      </c>
      <c r="W27" s="984">
        <f t="shared" si="5"/>
        <v>0</v>
      </c>
      <c r="X27" s="982">
        <f t="shared" si="5"/>
        <v>0</v>
      </c>
      <c r="Y27" s="983">
        <f t="shared" si="5"/>
        <v>0</v>
      </c>
      <c r="Z27" s="983">
        <f t="shared" si="5"/>
        <v>0</v>
      </c>
      <c r="AA27" s="984">
        <f t="shared" si="5"/>
        <v>0</v>
      </c>
      <c r="AB27" s="982">
        <f t="shared" si="5"/>
        <v>0</v>
      </c>
      <c r="AC27" s="983">
        <f t="shared" si="5"/>
        <v>0</v>
      </c>
      <c r="AD27" s="983">
        <f t="shared" si="5"/>
        <v>0</v>
      </c>
      <c r="AE27" s="984">
        <f t="shared" si="5"/>
        <v>0</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6">D27*D7</f>
        <v>0</v>
      </c>
      <c r="E28" s="276">
        <f t="shared" si="6"/>
        <v>0</v>
      </c>
      <c r="F28" s="276">
        <f t="shared" si="6"/>
        <v>0</v>
      </c>
      <c r="G28" s="277">
        <f t="shared" si="6"/>
        <v>0</v>
      </c>
      <c r="H28" s="275">
        <f t="shared" si="6"/>
        <v>0</v>
      </c>
      <c r="I28" s="276">
        <f t="shared" si="6"/>
        <v>0</v>
      </c>
      <c r="J28" s="276">
        <f t="shared" si="6"/>
        <v>0</v>
      </c>
      <c r="K28" s="277">
        <f t="shared" si="6"/>
        <v>0</v>
      </c>
      <c r="L28" s="275">
        <f t="shared" si="6"/>
        <v>0</v>
      </c>
      <c r="M28" s="276">
        <f t="shared" si="6"/>
        <v>0</v>
      </c>
      <c r="N28" s="276">
        <f t="shared" si="6"/>
        <v>0</v>
      </c>
      <c r="O28" s="277">
        <f t="shared" si="6"/>
        <v>0</v>
      </c>
      <c r="P28" s="275">
        <f t="shared" si="6"/>
        <v>0</v>
      </c>
      <c r="Q28" s="276">
        <f t="shared" si="6"/>
        <v>0</v>
      </c>
      <c r="R28" s="276">
        <f t="shared" si="6"/>
        <v>0</v>
      </c>
      <c r="S28" s="277">
        <f t="shared" si="6"/>
        <v>0</v>
      </c>
      <c r="T28" s="275">
        <f t="shared" si="6"/>
        <v>0</v>
      </c>
      <c r="U28" s="276">
        <f t="shared" si="6"/>
        <v>0</v>
      </c>
      <c r="V28" s="276">
        <f t="shared" si="6"/>
        <v>0</v>
      </c>
      <c r="W28" s="277">
        <f t="shared" si="6"/>
        <v>0</v>
      </c>
      <c r="X28" s="275">
        <f t="shared" si="6"/>
        <v>0</v>
      </c>
      <c r="Y28" s="276">
        <f t="shared" si="6"/>
        <v>0</v>
      </c>
      <c r="Z28" s="276">
        <f t="shared" si="6"/>
        <v>0</v>
      </c>
      <c r="AA28" s="277">
        <f t="shared" si="6"/>
        <v>0</v>
      </c>
      <c r="AB28" s="275">
        <f t="shared" si="6"/>
        <v>0</v>
      </c>
      <c r="AC28" s="276">
        <f t="shared" si="6"/>
        <v>0</v>
      </c>
      <c r="AD28" s="276">
        <f t="shared" si="6"/>
        <v>0</v>
      </c>
      <c r="AE28" s="277">
        <f t="shared" si="6"/>
        <v>0</v>
      </c>
      <c r="AF28" s="547"/>
      <c r="AG28" s="548">
        <f>AG26</f>
        <v>0</v>
      </c>
    </row>
    <row r="29" spans="1:34" ht="13.5" thickBot="1" x14ac:dyDescent="0.25">
      <c r="D29" s="51">
        <f>SUM(D16:D25)</f>
        <v>0</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t="13.5" hidden="1" thickBot="1" x14ac:dyDescent="0.25">
      <c r="A34" s="914"/>
      <c r="B34" s="915"/>
      <c r="C34" s="916" t="s">
        <v>658</v>
      </c>
      <c r="D34" s="917">
        <f t="shared" ref="D34:AE34" si="7">D28-(D35+D37)</f>
        <v>0</v>
      </c>
      <c r="E34" s="917">
        <f t="shared" si="7"/>
        <v>0</v>
      </c>
      <c r="F34" s="917">
        <f t="shared" si="7"/>
        <v>0</v>
      </c>
      <c r="G34" s="917">
        <f t="shared" si="7"/>
        <v>0</v>
      </c>
      <c r="H34" s="917">
        <f t="shared" si="7"/>
        <v>0</v>
      </c>
      <c r="I34" s="917">
        <f t="shared" si="7"/>
        <v>0</v>
      </c>
      <c r="J34" s="917">
        <f t="shared" si="7"/>
        <v>0</v>
      </c>
      <c r="K34" s="917">
        <f t="shared" si="7"/>
        <v>0</v>
      </c>
      <c r="L34" s="917">
        <f t="shared" si="7"/>
        <v>0</v>
      </c>
      <c r="M34" s="917">
        <f t="shared" si="7"/>
        <v>0</v>
      </c>
      <c r="N34" s="917">
        <f t="shared" si="7"/>
        <v>0</v>
      </c>
      <c r="O34" s="917">
        <f t="shared" si="7"/>
        <v>0</v>
      </c>
      <c r="P34" s="917">
        <f t="shared" si="7"/>
        <v>0</v>
      </c>
      <c r="Q34" s="917">
        <f t="shared" si="7"/>
        <v>0</v>
      </c>
      <c r="R34" s="917">
        <f t="shared" si="7"/>
        <v>0</v>
      </c>
      <c r="S34" s="917">
        <f t="shared" si="7"/>
        <v>0</v>
      </c>
      <c r="T34" s="917">
        <f t="shared" si="7"/>
        <v>0</v>
      </c>
      <c r="U34" s="917">
        <f t="shared" si="7"/>
        <v>0</v>
      </c>
      <c r="V34" s="917">
        <f t="shared" si="7"/>
        <v>0</v>
      </c>
      <c r="W34" s="917">
        <f t="shared" si="7"/>
        <v>0</v>
      </c>
      <c r="X34" s="917">
        <f t="shared" si="7"/>
        <v>0</v>
      </c>
      <c r="Y34" s="917">
        <f t="shared" si="7"/>
        <v>0</v>
      </c>
      <c r="Z34" s="917">
        <f t="shared" si="7"/>
        <v>0</v>
      </c>
      <c r="AA34" s="917">
        <f t="shared" si="7"/>
        <v>0</v>
      </c>
      <c r="AB34" s="917">
        <f t="shared" si="7"/>
        <v>0</v>
      </c>
      <c r="AC34" s="917">
        <f t="shared" si="7"/>
        <v>0</v>
      </c>
      <c r="AD34" s="917">
        <f t="shared" si="7"/>
        <v>0</v>
      </c>
      <c r="AE34" s="917">
        <f t="shared" si="7"/>
        <v>0</v>
      </c>
      <c r="AF34" s="915"/>
      <c r="AG34" s="918"/>
      <c r="AH34" s="385" t="s">
        <v>654</v>
      </c>
    </row>
    <row r="35" spans="1:34" ht="13.5" hidden="1" thickBot="1" x14ac:dyDescent="0.25">
      <c r="A35" s="914"/>
      <c r="B35" s="915"/>
      <c r="C35" s="916" t="s">
        <v>654</v>
      </c>
      <c r="D35" s="919">
        <f t="shared" ref="D35:AE35" si="8">IF(D11="",D12*D27,D11*D27)</f>
        <v>0</v>
      </c>
      <c r="E35" s="919">
        <f t="shared" si="8"/>
        <v>0</v>
      </c>
      <c r="F35" s="919">
        <f t="shared" si="8"/>
        <v>0</v>
      </c>
      <c r="G35" s="919">
        <f t="shared" si="8"/>
        <v>0</v>
      </c>
      <c r="H35" s="919">
        <f t="shared" si="8"/>
        <v>0</v>
      </c>
      <c r="I35" s="919">
        <f t="shared" si="8"/>
        <v>0</v>
      </c>
      <c r="J35" s="919">
        <f t="shared" si="8"/>
        <v>0</v>
      </c>
      <c r="K35" s="919">
        <f t="shared" si="8"/>
        <v>0</v>
      </c>
      <c r="L35" s="919">
        <f t="shared" si="8"/>
        <v>0</v>
      </c>
      <c r="M35" s="919">
        <f t="shared" si="8"/>
        <v>0</v>
      </c>
      <c r="N35" s="919">
        <f t="shared" si="8"/>
        <v>0</v>
      </c>
      <c r="O35" s="919">
        <f t="shared" si="8"/>
        <v>0</v>
      </c>
      <c r="P35" s="919">
        <f t="shared" si="8"/>
        <v>0</v>
      </c>
      <c r="Q35" s="919">
        <f t="shared" si="8"/>
        <v>0</v>
      </c>
      <c r="R35" s="919">
        <f t="shared" si="8"/>
        <v>0</v>
      </c>
      <c r="S35" s="919">
        <f t="shared" si="8"/>
        <v>0</v>
      </c>
      <c r="T35" s="919">
        <f t="shared" si="8"/>
        <v>0</v>
      </c>
      <c r="U35" s="919">
        <f t="shared" si="8"/>
        <v>0</v>
      </c>
      <c r="V35" s="919">
        <f t="shared" si="8"/>
        <v>0</v>
      </c>
      <c r="W35" s="919">
        <f t="shared" si="8"/>
        <v>0</v>
      </c>
      <c r="X35" s="919">
        <f t="shared" si="8"/>
        <v>0</v>
      </c>
      <c r="Y35" s="919">
        <f t="shared" si="8"/>
        <v>0</v>
      </c>
      <c r="Z35" s="919">
        <f t="shared" si="8"/>
        <v>0</v>
      </c>
      <c r="AA35" s="919">
        <f t="shared" si="8"/>
        <v>0</v>
      </c>
      <c r="AB35" s="919">
        <f t="shared" si="8"/>
        <v>0</v>
      </c>
      <c r="AC35" s="919">
        <f t="shared" si="8"/>
        <v>0</v>
      </c>
      <c r="AD35" s="919">
        <f t="shared" si="8"/>
        <v>0</v>
      </c>
      <c r="AE35" s="919">
        <f t="shared" si="8"/>
        <v>0</v>
      </c>
      <c r="AF35" s="915"/>
      <c r="AG35" s="920">
        <f>SUM(D35:AE35)</f>
        <v>0</v>
      </c>
    </row>
    <row r="36" spans="1:34" ht="13.5" hidden="1" thickBot="1" x14ac:dyDescent="0.25">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0</v>
      </c>
      <c r="E37" s="923">
        <f>E36*E35</f>
        <v>0</v>
      </c>
      <c r="F37" s="923">
        <f>F36*F35</f>
        <v>0</v>
      </c>
      <c r="G37" s="923">
        <f t="shared" ref="G37:AE37" si="9">G36*G35</f>
        <v>0</v>
      </c>
      <c r="H37" s="923">
        <f t="shared" si="9"/>
        <v>0</v>
      </c>
      <c r="I37" s="923">
        <f t="shared" si="9"/>
        <v>0</v>
      </c>
      <c r="J37" s="923">
        <f t="shared" si="9"/>
        <v>0</v>
      </c>
      <c r="K37" s="923">
        <f t="shared" si="9"/>
        <v>0</v>
      </c>
      <c r="L37" s="923">
        <f t="shared" si="9"/>
        <v>0</v>
      </c>
      <c r="M37" s="923">
        <f t="shared" si="9"/>
        <v>0</v>
      </c>
      <c r="N37" s="923">
        <f t="shared" si="9"/>
        <v>0</v>
      </c>
      <c r="O37" s="923">
        <f t="shared" si="9"/>
        <v>0</v>
      </c>
      <c r="P37" s="923">
        <f t="shared" si="9"/>
        <v>0</v>
      </c>
      <c r="Q37" s="923">
        <f t="shared" si="9"/>
        <v>0</v>
      </c>
      <c r="R37" s="923">
        <f t="shared" si="9"/>
        <v>0</v>
      </c>
      <c r="S37" s="923">
        <f t="shared" si="9"/>
        <v>0</v>
      </c>
      <c r="T37" s="923">
        <f t="shared" si="9"/>
        <v>0</v>
      </c>
      <c r="U37" s="923">
        <f t="shared" si="9"/>
        <v>0</v>
      </c>
      <c r="V37" s="923">
        <f t="shared" si="9"/>
        <v>0</v>
      </c>
      <c r="W37" s="923">
        <f t="shared" si="9"/>
        <v>0</v>
      </c>
      <c r="X37" s="923">
        <f t="shared" si="9"/>
        <v>0</v>
      </c>
      <c r="Y37" s="923">
        <f t="shared" si="9"/>
        <v>0</v>
      </c>
      <c r="Z37" s="923">
        <f t="shared" si="9"/>
        <v>0</v>
      </c>
      <c r="AA37" s="923">
        <f t="shared" si="9"/>
        <v>0</v>
      </c>
      <c r="AB37" s="923">
        <f t="shared" si="9"/>
        <v>0</v>
      </c>
      <c r="AC37" s="923">
        <f t="shared" si="9"/>
        <v>0</v>
      </c>
      <c r="AD37" s="923">
        <f t="shared" si="9"/>
        <v>0</v>
      </c>
      <c r="AE37" s="923">
        <f t="shared" si="9"/>
        <v>0</v>
      </c>
      <c r="AF37" s="915"/>
      <c r="AG37" s="920">
        <f>SUM(D37:AE37)</f>
        <v>0</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1547">
        <f>IFERROR(E1DirectLaborTotal,0)+IFERROR(E2DirectLaborTotal,0)+IFERROR(E3DirectLaborTotal,0)+IFERROR(E4DirectLaborTotal,0)+IFERROR(E5DirectLaborTotal,0)+IFERROR(E6DirectLaborTotal,0)+IFERROR(E7DirectLaborTotal,0)+IFERROR(E8DirectLaborTotal,0)+IFERROR(E9DirectLaborTotal,0)+IFERROR(E10DirectLaborTotal,0)+IFERROR(E11DirectLaborTotal,0)+IFERROR(E12DirectLaborTotal,0)+IFERROR(E13DirectLaborTotal,0)+IFERROR(E14DirectLaborTotal,0)+IFERROR(E15DirectLaborTotal,0)+IFERROR(E16DirectLaborTotal,0)+IFERROR(E17DirectLaborTotal,0)+IFERROR(E18DirectLaborTotal,0)+IFERROR(E19DirectLaborTotal,0)+IFERROR(E20DirectLaborTotal,0)</f>
        <v>28969.169169957575</v>
      </c>
      <c r="AH40" s="29" t="s">
        <v>2350</v>
      </c>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1547"/>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1547">
        <f>IFERROR(E1OverheadTotal,0)+IFERROR(E2OverheadTotal,0)+IFERROR(E3OverheadTotal,0)+IFERROR(E4OverheadTotal,0)+IFERROR(E5OverheadTotal,0)+IFERROR(E6OverheadTotal,0)+IFERROR(E7OverheadTotal,0)+IFERROR(E8OverheadTotal,0)+IFERROR(E9OverheadTotal,0)+IFERROR(E10OverheadTotal,0)+IFERROR(E11OverheadTotal,0)+IFERROR(E12OverheadTotal,0)+IFERROR(E13OverheadTotal,0)+IFERROR(E14OverheadTotal,0)+IFERROR(E15OverheadTotal,0)+IFERROR(E16OverheadTotal,0)+IFERROR(E17OverheadTotal,0)+IFERROR(E18OverheadTotal,0)+IFERROR(E19OverheadTotal,0)+IFERROR(E20OverheadTotal,0)</f>
        <v>42584.678679837605</v>
      </c>
      <c r="AH42" s="29" t="s">
        <v>2351</v>
      </c>
    </row>
    <row r="43" spans="1:34" ht="12.75" hidden="1" customHeight="1" x14ac:dyDescent="0.2">
      <c r="A43" s="914"/>
      <c r="B43" s="940"/>
      <c r="C43" s="930" t="s">
        <v>753</v>
      </c>
      <c r="D43" s="931">
        <f t="shared" ref="D43:AE43" si="10">SUMIF($D$5:$AE$5,D42,$D$27:$AE$27)</f>
        <v>0</v>
      </c>
      <c r="E43" s="932">
        <f t="shared" si="10"/>
        <v>0</v>
      </c>
      <c r="F43" s="932">
        <f t="shared" si="10"/>
        <v>0</v>
      </c>
      <c r="G43" s="932">
        <f t="shared" si="10"/>
        <v>0</v>
      </c>
      <c r="H43" s="932">
        <f t="shared" si="10"/>
        <v>0</v>
      </c>
      <c r="I43" s="932">
        <f t="shared" si="10"/>
        <v>0</v>
      </c>
      <c r="J43" s="932">
        <f t="shared" si="10"/>
        <v>0</v>
      </c>
      <c r="K43" s="932">
        <f t="shared" si="10"/>
        <v>0</v>
      </c>
      <c r="L43" s="932">
        <f t="shared" si="10"/>
        <v>0</v>
      </c>
      <c r="M43" s="932">
        <f t="shared" si="10"/>
        <v>0</v>
      </c>
      <c r="N43" s="932">
        <f t="shared" si="10"/>
        <v>0</v>
      </c>
      <c r="O43" s="932">
        <f t="shared" si="10"/>
        <v>0</v>
      </c>
      <c r="P43" s="932">
        <f t="shared" si="10"/>
        <v>0</v>
      </c>
      <c r="Q43" s="932">
        <f t="shared" si="10"/>
        <v>0</v>
      </c>
      <c r="R43" s="932">
        <f t="shared" si="10"/>
        <v>0</v>
      </c>
      <c r="S43" s="932">
        <f t="shared" si="10"/>
        <v>0</v>
      </c>
      <c r="T43" s="932">
        <f t="shared" si="10"/>
        <v>0</v>
      </c>
      <c r="U43" s="932">
        <f t="shared" si="10"/>
        <v>0</v>
      </c>
      <c r="V43" s="932">
        <f t="shared" si="10"/>
        <v>0</v>
      </c>
      <c r="W43" s="932">
        <f t="shared" si="10"/>
        <v>0</v>
      </c>
      <c r="X43" s="932">
        <f t="shared" si="10"/>
        <v>0</v>
      </c>
      <c r="Y43" s="932">
        <f t="shared" si="10"/>
        <v>0</v>
      </c>
      <c r="Z43" s="932">
        <f t="shared" si="10"/>
        <v>0</v>
      </c>
      <c r="AA43" s="932">
        <f t="shared" si="10"/>
        <v>0</v>
      </c>
      <c r="AB43" s="932">
        <f t="shared" si="10"/>
        <v>0</v>
      </c>
      <c r="AC43" s="932">
        <f t="shared" si="10"/>
        <v>0</v>
      </c>
      <c r="AD43" s="932">
        <f t="shared" si="10"/>
        <v>0</v>
      </c>
      <c r="AE43" s="933">
        <f t="shared" si="10"/>
        <v>0</v>
      </c>
      <c r="AF43" s="915"/>
      <c r="AG43" s="915"/>
    </row>
    <row r="44" spans="1:34" ht="12.75" hidden="1" customHeight="1" thickBot="1" x14ac:dyDescent="0.25">
      <c r="A44" s="914"/>
      <c r="B44" s="940"/>
      <c r="C44" s="930" t="s">
        <v>754</v>
      </c>
      <c r="D44" s="934">
        <f t="shared" ref="D44:AE44" si="11">SUMIF($D$5:$AE$5,D42,$D$28:$AE$28)</f>
        <v>0</v>
      </c>
      <c r="E44" s="935">
        <f t="shared" si="11"/>
        <v>0</v>
      </c>
      <c r="F44" s="935">
        <f t="shared" si="11"/>
        <v>0</v>
      </c>
      <c r="G44" s="935">
        <f t="shared" si="11"/>
        <v>0</v>
      </c>
      <c r="H44" s="935">
        <f t="shared" si="11"/>
        <v>0</v>
      </c>
      <c r="I44" s="935">
        <f t="shared" si="11"/>
        <v>0</v>
      </c>
      <c r="J44" s="935">
        <f t="shared" si="11"/>
        <v>0</v>
      </c>
      <c r="K44" s="935">
        <f t="shared" si="11"/>
        <v>0</v>
      </c>
      <c r="L44" s="935">
        <f t="shared" si="11"/>
        <v>0</v>
      </c>
      <c r="M44" s="935">
        <f t="shared" si="11"/>
        <v>0</v>
      </c>
      <c r="N44" s="935">
        <f t="shared" si="11"/>
        <v>0</v>
      </c>
      <c r="O44" s="935">
        <f t="shared" si="11"/>
        <v>0</v>
      </c>
      <c r="P44" s="935">
        <f t="shared" si="11"/>
        <v>0</v>
      </c>
      <c r="Q44" s="935">
        <f t="shared" si="11"/>
        <v>0</v>
      </c>
      <c r="R44" s="935">
        <f t="shared" si="11"/>
        <v>0</v>
      </c>
      <c r="S44" s="935">
        <f t="shared" si="11"/>
        <v>0</v>
      </c>
      <c r="T44" s="935">
        <f t="shared" si="11"/>
        <v>0</v>
      </c>
      <c r="U44" s="935">
        <f t="shared" si="11"/>
        <v>0</v>
      </c>
      <c r="V44" s="935">
        <f t="shared" si="11"/>
        <v>0</v>
      </c>
      <c r="W44" s="935">
        <f t="shared" si="11"/>
        <v>0</v>
      </c>
      <c r="X44" s="935">
        <f t="shared" si="11"/>
        <v>0</v>
      </c>
      <c r="Y44" s="935">
        <f t="shared" si="11"/>
        <v>0</v>
      </c>
      <c r="Z44" s="935">
        <f t="shared" si="11"/>
        <v>0</v>
      </c>
      <c r="AA44" s="935">
        <f t="shared" si="11"/>
        <v>0</v>
      </c>
      <c r="AB44" s="935">
        <f t="shared" si="11"/>
        <v>0</v>
      </c>
      <c r="AC44" s="935">
        <f t="shared" si="11"/>
        <v>0</v>
      </c>
      <c r="AD44" s="935">
        <f t="shared" si="11"/>
        <v>0</v>
      </c>
      <c r="AE44" s="936">
        <f t="shared" si="11"/>
        <v>0</v>
      </c>
      <c r="AF44" s="915"/>
      <c r="AG44" s="915">
        <f>SUM(D44:AE44)</f>
        <v>0</v>
      </c>
    </row>
    <row r="45" spans="1:34" ht="12.75" hidden="1" customHeight="1" x14ac:dyDescent="0.2">
      <c r="A45" s="914"/>
      <c r="B45" s="915"/>
      <c r="C45" s="916" t="s">
        <v>671</v>
      </c>
      <c r="D45" s="937">
        <f t="shared" ref="D45:AE45" si="12">SUMIF($D$5:$AE$5,D42,$D$35:$AE$35)</f>
        <v>0</v>
      </c>
      <c r="E45" s="937">
        <f t="shared" si="12"/>
        <v>0</v>
      </c>
      <c r="F45" s="937">
        <f t="shared" si="12"/>
        <v>0</v>
      </c>
      <c r="G45" s="937">
        <f t="shared" si="12"/>
        <v>0</v>
      </c>
      <c r="H45" s="937">
        <f t="shared" si="12"/>
        <v>0</v>
      </c>
      <c r="I45" s="937">
        <f t="shared" si="12"/>
        <v>0</v>
      </c>
      <c r="J45" s="937">
        <f t="shared" si="12"/>
        <v>0</v>
      </c>
      <c r="K45" s="937">
        <f t="shared" si="12"/>
        <v>0</v>
      </c>
      <c r="L45" s="937">
        <f t="shared" si="12"/>
        <v>0</v>
      </c>
      <c r="M45" s="937">
        <f t="shared" si="12"/>
        <v>0</v>
      </c>
      <c r="N45" s="937">
        <f t="shared" si="12"/>
        <v>0</v>
      </c>
      <c r="O45" s="937">
        <f t="shared" si="12"/>
        <v>0</v>
      </c>
      <c r="P45" s="937">
        <f t="shared" si="12"/>
        <v>0</v>
      </c>
      <c r="Q45" s="937">
        <f t="shared" si="12"/>
        <v>0</v>
      </c>
      <c r="R45" s="937">
        <f t="shared" si="12"/>
        <v>0</v>
      </c>
      <c r="S45" s="937">
        <f t="shared" si="12"/>
        <v>0</v>
      </c>
      <c r="T45" s="937">
        <f t="shared" si="12"/>
        <v>0</v>
      </c>
      <c r="U45" s="937">
        <f t="shared" si="12"/>
        <v>0</v>
      </c>
      <c r="V45" s="937">
        <f t="shared" si="12"/>
        <v>0</v>
      </c>
      <c r="W45" s="937">
        <f t="shared" si="12"/>
        <v>0</v>
      </c>
      <c r="X45" s="937">
        <f t="shared" si="12"/>
        <v>0</v>
      </c>
      <c r="Y45" s="937">
        <f t="shared" si="12"/>
        <v>0</v>
      </c>
      <c r="Z45" s="937">
        <f t="shared" si="12"/>
        <v>0</v>
      </c>
      <c r="AA45" s="937">
        <f t="shared" si="12"/>
        <v>0</v>
      </c>
      <c r="AB45" s="937">
        <f t="shared" si="12"/>
        <v>0</v>
      </c>
      <c r="AC45" s="937">
        <f t="shared" si="12"/>
        <v>0</v>
      </c>
      <c r="AD45" s="937">
        <f t="shared" si="12"/>
        <v>0</v>
      </c>
      <c r="AE45" s="937">
        <f t="shared" si="12"/>
        <v>0</v>
      </c>
      <c r="AF45" s="915"/>
      <c r="AG45" s="915"/>
    </row>
    <row r="46" spans="1:34" ht="12.75" hidden="1" customHeight="1" x14ac:dyDescent="0.2">
      <c r="A46" s="914"/>
      <c r="B46" s="915"/>
      <c r="C46" s="916" t="s">
        <v>672</v>
      </c>
      <c r="D46" s="937">
        <f t="shared" ref="D46:AE46" si="13">SUMIF($D$5:$AE$5,D42,$D$37:$AE$37)</f>
        <v>0</v>
      </c>
      <c r="E46" s="937">
        <f t="shared" si="13"/>
        <v>0</v>
      </c>
      <c r="F46" s="937">
        <f t="shared" si="13"/>
        <v>0</v>
      </c>
      <c r="G46" s="937">
        <f t="shared" si="13"/>
        <v>0</v>
      </c>
      <c r="H46" s="937">
        <f t="shared" si="13"/>
        <v>0</v>
      </c>
      <c r="I46" s="937">
        <f t="shared" si="13"/>
        <v>0</v>
      </c>
      <c r="J46" s="937">
        <f t="shared" si="13"/>
        <v>0</v>
      </c>
      <c r="K46" s="937">
        <f t="shared" si="13"/>
        <v>0</v>
      </c>
      <c r="L46" s="937">
        <f t="shared" si="13"/>
        <v>0</v>
      </c>
      <c r="M46" s="937">
        <f t="shared" si="13"/>
        <v>0</v>
      </c>
      <c r="N46" s="937">
        <f t="shared" si="13"/>
        <v>0</v>
      </c>
      <c r="O46" s="937">
        <f t="shared" si="13"/>
        <v>0</v>
      </c>
      <c r="P46" s="937">
        <f t="shared" si="13"/>
        <v>0</v>
      </c>
      <c r="Q46" s="937">
        <f t="shared" si="13"/>
        <v>0</v>
      </c>
      <c r="R46" s="937">
        <f t="shared" si="13"/>
        <v>0</v>
      </c>
      <c r="S46" s="937">
        <f t="shared" si="13"/>
        <v>0</v>
      </c>
      <c r="T46" s="937">
        <f t="shared" si="13"/>
        <v>0</v>
      </c>
      <c r="U46" s="937">
        <f t="shared" si="13"/>
        <v>0</v>
      </c>
      <c r="V46" s="937">
        <f t="shared" si="13"/>
        <v>0</v>
      </c>
      <c r="W46" s="937">
        <f t="shared" si="13"/>
        <v>0</v>
      </c>
      <c r="X46" s="937">
        <f t="shared" si="13"/>
        <v>0</v>
      </c>
      <c r="Y46" s="937">
        <f t="shared" si="13"/>
        <v>0</v>
      </c>
      <c r="Z46" s="937">
        <f t="shared" si="13"/>
        <v>0</v>
      </c>
      <c r="AA46" s="937">
        <f t="shared" si="13"/>
        <v>0</v>
      </c>
      <c r="AB46" s="937">
        <f t="shared" si="13"/>
        <v>0</v>
      </c>
      <c r="AC46" s="937">
        <f t="shared" si="13"/>
        <v>0</v>
      </c>
      <c r="AD46" s="937">
        <f t="shared" si="13"/>
        <v>0</v>
      </c>
      <c r="AE46" s="937">
        <f t="shared" si="13"/>
        <v>0</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s="406" customFormat="1" ht="12.75" hidden="1" customHeight="1" x14ac:dyDescent="0.2">
      <c r="A48" s="914"/>
      <c r="B48" s="926"/>
      <c r="C48" s="930" t="s">
        <v>673</v>
      </c>
      <c r="D48" s="938" cm="1">
        <f t="array" ref="D48">D45+IFERROR(E2DirectLaborD45,0)+IFERROR(E3DirectLaborD45,0)+IFERROR(E4DirectLaborD45,0)+IFERROR(E5DirectLaborD45,0)+IFERROR(E6DirectLaborD45,0)+IFERROR(E7DirectLaborD45,0)+IFERROR(E8DirectLaborD45,0)+IFERROR(E9DirectLaborD45,0)+IFERROR(E10DirectLaborD45,0)+IFERROR(E11DirectLaborD45,0)+IFERROR(E12DirectLaborD45,0)+IFERROR(E13DirectLaborD45,0)+IFERROR(E14DirectLaborD45,0)+IFERROR(E15DirectLaborD45,0)+IFERROR(E16DirectLaborD45,0)+IFERROR(E17DirectLaborD45,0)+IFERROR(E18DirectLaborD45,0)+IFERROR(E19DirectLaborD45,0)+IFERROR(E20DirectLaborD45,0)</f>
        <v>2237.0163999999991</v>
      </c>
      <c r="E48" s="938" cm="1">
        <f t="array" ref="E48">E45+IFERROR(E2DirectLaborE45,0)+IFERROR(E3DirectLaborE45,0)+IFERROR(E4DirectLaborE45,0)+IFERROR(E5DirectLaborE45,0)+IFERROR(E6DirectLaborE45,0)+IFERROR(E7DirectLaborE45,0)+IFERROR(E8DirectLaborE45,0)+IFERROR(E9DirectLaborE45,0)+IFERROR(E10DirectLaborE45,0)+IFERROR(E11DirectLaborE45,0)+IFERROR(E12DirectLaborE45,0)+IFERROR(E13DirectLaborE45,0)+IFERROR(E14DirectLaborE45,0)+IFERROR(E15DirectLaborE45,0)+IFERROR(E16DirectLaborE45,0)+IFERROR(E17DirectLaborE45,0)+IFERROR(E18DirectLaborE45,0)+IFERROR(E19DirectLaborE45,0)+IFERROR(E20DirectLaborE45,0)</f>
        <v>2020.4398388571419</v>
      </c>
      <c r="F48" s="938" cm="1">
        <f t="array" ref="F48">F45+IFERROR(E2DirectLaborF45,0)+IFERROR(E3DirectLaborF45,0)+IFERROR(E4DirectLaborF45,0)+IFERROR(E5DirectLaborF45,0)+IFERROR(E6DirectLaborF45,0)+IFERROR(E7DirectLaborF45,0)+IFERROR(E8DirectLaborF45,0)+IFERROR(E9DirectLaborF45,0)+IFERROR(E10DirectLaborF45,0)+IFERROR(E11DirectLaborF45,0)+IFERROR(E12DirectLaborF45,0)+IFERROR(E13DirectLaborF45,0)+IFERROR(E14DirectLaborF45,0)+IFERROR(E15DirectLaborF45,0)+IFERROR(E16DirectLaborF45,0)+IFERROR(E17DirectLaborF45,0)+IFERROR(E18DirectLaborF45,0)+IFERROR(E19DirectLaborF45,0)+IFERROR(E20DirectLaborF45,0)</f>
        <v>1747.6509924293332</v>
      </c>
      <c r="G48" s="938" cm="1">
        <f t="array" ref="G48">G45+IFERROR(E2DirectLaborG45,0)+IFERROR(E3DirectLaborG45,0)+IFERROR(E4DirectLaborG45,0)+IFERROR(E5DirectLaborG45,0)+IFERROR(E6DirectLaborG45,0)+IFERROR(E7DirectLaborG45,0)+IFERROR(E8DirectLaborG45,0)+IFERROR(E9DirectLaborG45,0)+IFERROR(E10DirectLaborG45,0)+IFERROR(E11DirectLaborG45,0)+IFERROR(E12DirectLaborG45,0)+IFERROR(E13DirectLaborG45,0)+IFERROR(E14DirectLaborG45,0)+IFERROR(E15DirectLaborG45,0)+IFERROR(E16DirectLaborG45,0)+IFERROR(E17DirectLaborG45,0)+IFERROR(E18DirectLaborG45,0)+IFERROR(E19DirectLaborG45,0)+IFERROR(E20DirectLaborG45,0)</f>
        <v>1700.9196429224999</v>
      </c>
      <c r="H48" s="938" cm="1">
        <f t="array" ref="H48">H45+IFERROR(E2DirectLaborH45,0)+IFERROR(E3DirectLaborH45,0)+IFERROR(E4DirectLaborH45,0)+IFERROR(E5DirectLaborH45,0)+IFERROR(E6DirectLaborH45,0)+IFERROR(E7DirectLaborH45,0)+IFERROR(E8DirectLaborH45,0)+IFERROR(E9DirectLaborH45,0)+IFERROR(E10DirectLaborH45,0)+IFERROR(E11DirectLaborH45,0)+IFERROR(E12DirectLaborH45,0)+IFERROR(E13DirectLaborH45,0)+IFERROR(E14DirectLaborH45,0)+IFERROR(E15DirectLaborH45,0)+IFERROR(E16DirectLaborH45,0)+IFERROR(E17DirectLaborH45,0)+IFERROR(E18DirectLaborH45,0)+IFERROR(E19DirectLaborH45,0)+IFERROR(E20DirectLaborH45,0)</f>
        <v>1510.1637200000002</v>
      </c>
      <c r="I48" s="938" cm="1">
        <f t="array" ref="I48">I45+IFERROR(E2DirectLaborI45,0)+IFERROR(E3DirectLaborI45,0)+IFERROR(E4DirectLaborI45,0)+IFERROR(E5DirectLaborI45,0)+IFERROR(E6DirectLaborI45,0)+IFERROR(E7DirectLaborI45,0)+IFERROR(E8DirectLaborI45,0)+IFERROR(E9DirectLaborI45,0)+IFERROR(E10DirectLaborI45,0)+IFERROR(E11DirectLaborI45,0)+IFERROR(E12DirectLaborI45,0)+IFERROR(E13DirectLaborI45,0)+IFERROR(E14DirectLaborI45,0)+IFERROR(E15DirectLaborI45,0)+IFERROR(E16DirectLaborI45,0)+IFERROR(E17DirectLaborI45,0)+IFERROR(E18DirectLaborI45,0)+IFERROR(E19DirectLaborI45,0)+IFERROR(E20DirectLaborI45,0)</f>
        <v>1374.7773658666665</v>
      </c>
      <c r="J48" s="938" cm="1">
        <f t="array" ref="J48">J45+IFERROR(E2DirectLaborJ45,0)+IFERROR(E3DirectLaborJ45,0)+IFERROR(E4DirectLaborJ45,0)+IFERROR(E5DirectLaborJ45,0)+IFERROR(E6DirectLaborJ45,0)+IFERROR(E7DirectLaborJ45,0)+IFERROR(E8DirectLaborJ45,0)+IFERROR(E9DirectLaborJ45,0)+IFERROR(E10DirectLaborJ45,0)+IFERROR(E11DirectLaborJ45,0)+IFERROR(E12DirectLaborJ45,0)+IFERROR(E13DirectLaborJ45,0)+IFERROR(E14DirectLaborJ45,0)+IFERROR(E15DirectLaborJ45,0)+IFERROR(E16DirectLaborJ45,0)+IFERROR(E17DirectLaborJ45,0)+IFERROR(E18DirectLaborJ45,0)+IFERROR(E19DirectLaborJ45,0)+IFERROR(E20DirectLaborJ45,0)</f>
        <v>1425.7241482448976</v>
      </c>
      <c r="K48" s="938" cm="1">
        <f t="array" ref="K48">K45+IFERROR(E2DirectLaborK45,0)+IFERROR(E3DirectLaborK45,0)+IFERROR(E4DirectLaborK45,0)+IFERROR(E5DirectLaborK45,0)+IFERROR(E6DirectLaborK45,0)+IFERROR(E7DirectLaborK45,0)+IFERROR(E8DirectLaborK45,0)+IFERROR(E9DirectLaborK45,0)+IFERROR(E10DirectLaborK45,0)+IFERROR(E11DirectLaborK45,0)+IFERROR(E12DirectLaborK45,0)+IFERROR(E13DirectLaborK45,0)+IFERROR(E14DirectLaborK45,0)+IFERROR(E15DirectLaborK45,0)+IFERROR(E16DirectLaborK45,0)+IFERROR(E17DirectLaborK45,0)+IFERROR(E18DirectLaborK45,0)+IFERROR(E19DirectLaborK45,0)+IFERROR(E20DirectLaborK45,0)</f>
        <v>1265.1331419733333</v>
      </c>
      <c r="L48" s="938" cm="1">
        <f t="array" ref="L48">L45+IFERROR(E2DirectLaborL45,0)+IFERROR(E3DirectLaborL45,0)+IFERROR(E4DirectLaborL45,0)+IFERROR(E5DirectLaborL45,0)+IFERROR(E6DirectLaborL45,0)+IFERROR(E7DirectLaborL45,0)+IFERROR(E8DirectLaborL45,0)+IFERROR(E9DirectLaborL45,0)+IFERROR(E10DirectLaborL45,0)+IFERROR(E11DirectLaborL45,0)+IFERROR(E12DirectLaborL45,0)+IFERROR(E13DirectLaborL45,0)+IFERROR(E14DirectLaborL45,0)+IFERROR(E15DirectLaborL45,0)+IFERROR(E16DirectLaborL45,0)+IFERROR(E17DirectLaborL45,0)+IFERROR(E18DirectLaborL45,0)+IFERROR(E19DirectLaborL45,0)+IFERROR(E20DirectLaborL45,0)</f>
        <v>1188.9988840079998</v>
      </c>
      <c r="M48" s="938" cm="1">
        <f t="array" ref="M48">M45+IFERROR(E2DirectLaborM45,0)+IFERROR(E3DirectLaborM45,0)+IFERROR(E4DirectLaborM45,0)+IFERROR(E5DirectLaborM45,0)+IFERROR(E6DirectLaborM45,0)+IFERROR(E7DirectLaborM45,0)+IFERROR(E8DirectLaborM45,0)+IFERROR(E9DirectLaborM45,0)+IFERROR(E10DirectLaborM45,0)+IFERROR(E11DirectLaborM45,0)+IFERROR(E12DirectLaborM45,0)+IFERROR(E13DirectLaborM45,0)+IFERROR(E14DirectLaborM45,0)+IFERROR(E15DirectLaborM45,0)+IFERROR(E16DirectLaborM45,0)+IFERROR(E17DirectLaborM45,0)+IFERROR(E18DirectLaborM45,0)+IFERROR(E19DirectLaborM45,0)+IFERROR(E20DirectLaborM45,0)</f>
        <v>1062.7794185806456</v>
      </c>
      <c r="N48" s="938" cm="1">
        <f t="array" ref="N48">N45+IFERROR(E2DirectLaborN45,0)+IFERROR(E3DirectLaborN45,0)+IFERROR(E4DirectLaborN45,0)+IFERROR(E5DirectLaborN45,0)+IFERROR(E6DirectLaborN45,0)+IFERROR(E7DirectLaborN45,0)+IFERROR(E8DirectLaborN45,0)+IFERROR(E9DirectLaborN45,0)+IFERROR(E10DirectLaborN45,0)+IFERROR(E11DirectLaborN45,0)+IFERROR(E12DirectLaborN45,0)+IFERROR(E13DirectLaborN45,0)+IFERROR(E14DirectLaborN45,0)+IFERROR(E15DirectLaborN45,0)+IFERROR(E16DirectLaborN45,0)+IFERROR(E17DirectLaborN45,0)+IFERROR(E18DirectLaborN45,0)+IFERROR(E19DirectLaborN45,0)+IFERROR(E20DirectLaborN45,0)</f>
        <v>994.89366965106422</v>
      </c>
      <c r="O48" s="938" cm="1">
        <f t="array" ref="O48">O45+IFERROR(E2DirectLaborO45,0)+IFERROR(E3DirectLaborO45,0)+IFERROR(E4DirectLaborO45,0)+IFERROR(E5DirectLaborO45,0)+IFERROR(E6DirectLaborO45,0)+IFERROR(E7DirectLaborO45,0)+IFERROR(E8DirectLaborO45,0)+IFERROR(E9DirectLaborO45,0)+IFERROR(E10DirectLaborO45,0)+IFERROR(E11DirectLaborO45,0)+IFERROR(E12DirectLaborO45,0)+IFERROR(E13DirectLaborO45,0)+IFERROR(E14DirectLaborO45,0)+IFERROR(E15DirectLaborO45,0)+IFERROR(E16DirectLaborO45,0)+IFERROR(E17DirectLaborO45,0)+IFERROR(E18DirectLaborO45,0)+IFERROR(E19DirectLaborO45,0)+IFERROR(E20DirectLaborO45,0)</f>
        <v>887.99780160000034</v>
      </c>
      <c r="P48" s="938" cm="1">
        <f t="array" ref="P48">P45+IFERROR(E2DirectLaborP45,0)+IFERROR(E3DirectLaborP45,0)+IFERROR(E4DirectLaborP45,0)+IFERROR(E5DirectLaborP45,0)+IFERROR(E6DirectLaborP45,0)+IFERROR(E7DirectLaborP45,0)+IFERROR(E8DirectLaborP45,0)+IFERROR(E9DirectLaborP45,0)+IFERROR(E10DirectLaborP45,0)+IFERROR(E11DirectLaborP45,0)+IFERROR(E12DirectLaborP45,0)+IFERROR(E13DirectLaborP45,0)+IFERROR(E14DirectLaborP45,0)+IFERROR(E15DirectLaborP45,0)+IFERROR(E16DirectLaborP45,0)+IFERROR(E17DirectLaborP45,0)+IFERROR(E18DirectLaborP45,0)+IFERROR(E19DirectLaborP45,0)+IFERROR(E20DirectLaborP45,0)</f>
        <v>886.35317235134642</v>
      </c>
      <c r="Q48" s="938" cm="1">
        <f t="array" ref="Q48">Q45+IFERROR(E2DirectLaborQ45,0)+IFERROR(E3DirectLaborQ45,0)+IFERROR(E4DirectLaborQ45,0)+IFERROR(E5DirectLaborQ45,0)+IFERROR(E6DirectLaborQ45,0)+IFERROR(E7DirectLaborQ45,0)+IFERROR(E8DirectLaborQ45,0)+IFERROR(E9DirectLaborQ45,0)+IFERROR(E10DirectLaborQ45,0)+IFERROR(E11DirectLaborQ45,0)+IFERROR(E12DirectLaborQ45,0)+IFERROR(E13DirectLaborQ45,0)+IFERROR(E14DirectLaborQ45,0)+IFERROR(E15DirectLaborQ45,0)+IFERROR(E16DirectLaborQ45,0)+IFERROR(E17DirectLaborQ45,0)+IFERROR(E18DirectLaborQ45,0)+IFERROR(E19DirectLaborQ45,0)+IFERROR(E20DirectLaborQ45,0)</f>
        <v>833.37058276656728</v>
      </c>
      <c r="R48" s="938" cm="1">
        <f t="array" ref="R48">R45+IFERROR(E2DirectLaborR45,0)+IFERROR(E3DirectLaborR45,0)+IFERROR(E4DirectLaborR45,0)+IFERROR(E5DirectLaborR45,0)+IFERROR(E6DirectLaborR45,0)+IFERROR(E7DirectLaborR45,0)+IFERROR(E8DirectLaborR45,0)+IFERROR(E9DirectLaborR45,0)+IFERROR(E10DirectLaborR45,0)+IFERROR(E11DirectLaborR45,0)+IFERROR(E12DirectLaborR45,0)+IFERROR(E13DirectLaborR45,0)+IFERROR(E14DirectLaborR45,0)+IFERROR(E15DirectLaborR45,0)+IFERROR(E16DirectLaborR45,0)+IFERROR(E17DirectLaborR45,0)+IFERROR(E18DirectLaborR45,0)+IFERROR(E19DirectLaborR45,0)+IFERROR(E20DirectLaborR45,0)</f>
        <v>790.07624865000037</v>
      </c>
      <c r="S48" s="938" cm="1">
        <f t="array" ref="S48">S45+IFERROR(E2DirectLaborS45,0)+IFERROR(E3DirectLaborS45,0)+IFERROR(E4DirectLaborS45,0)+IFERROR(E5DirectLaborS45,0)+IFERROR(E6DirectLaborS45,0)+IFERROR(E7DirectLaborS45,0)+IFERROR(E8DirectLaborS45,0)+IFERROR(E9DirectLaborS45,0)+IFERROR(E10DirectLaborS45,0)+IFERROR(E11DirectLaborS45,0)+IFERROR(E12DirectLaborS45,0)+IFERROR(E13DirectLaborS45,0)+IFERROR(E14DirectLaborS45,0)+IFERROR(E15DirectLaborS45,0)+IFERROR(E16DirectLaborS45,0)+IFERROR(E17DirectLaborS45,0)+IFERROR(E18DirectLaborS45,0)+IFERROR(E19DirectLaborS45,0)+IFERROR(E20DirectLaborS45,0)</f>
        <v>742.35784182857151</v>
      </c>
      <c r="T48" s="938" cm="1">
        <f t="array" ref="T48">T45+IFERROR(E2DirectLaborT45,0)+IFERROR(E3DirectLaborT45,0)+IFERROR(E4DirectLaborT45,0)+IFERROR(E5DirectLaborT45,0)+IFERROR(E6DirectLaborT45,0)+IFERROR(E7DirectLaborT45,0)+IFERROR(E8DirectLaborT45,0)+IFERROR(E9DirectLaborT45,0)+IFERROR(E10DirectLaborT45,0)+IFERROR(E11DirectLaborT45,0)+IFERROR(E12DirectLaborT45,0)+IFERROR(E13DirectLaborT45,0)+IFERROR(E14DirectLaborT45,0)+IFERROR(E15DirectLaborT45,0)+IFERROR(E16DirectLaborT45,0)+IFERROR(E17DirectLaborT45,0)+IFERROR(E18DirectLaborT45,0)+IFERROR(E19DirectLaborT45,0)+IFERROR(E20DirectLaborT45,0)</f>
        <v>723.69318513412964</v>
      </c>
      <c r="U48" s="938" cm="1">
        <f t="array" ref="U48">U45+IFERROR(E2DirectLaborU45,0)+IFERROR(E3DirectLaborU45,0)+IFERROR(E4DirectLaborU45,0)+IFERROR(E5DirectLaborU45,0)+IFERROR(E6DirectLaborU45,0)+IFERROR(E7DirectLaborU45,0)+IFERROR(E8DirectLaborU45,0)+IFERROR(E9DirectLaborU45,0)+IFERROR(E10DirectLaborU45,0)+IFERROR(E11DirectLaborU45,0)+IFERROR(E12DirectLaborU45,0)+IFERROR(E13DirectLaborU45,0)+IFERROR(E14DirectLaborU45,0)+IFERROR(E15DirectLaborU45,0)+IFERROR(E16DirectLaborU45,0)+IFERROR(E17DirectLaborU45,0)+IFERROR(E18DirectLaborU45,0)+IFERROR(E19DirectLaborU45,0)+IFERROR(E20DirectLaborU45,0)</f>
        <v>712.26492772500023</v>
      </c>
      <c r="V48" s="938" cm="1">
        <f t="array" ref="V48">V45+IFERROR(E2DirectLaborV45,0)+IFERROR(E3DirectLaborV45,0)+IFERROR(E4DirectLaborV45,0)+IFERROR(E5DirectLaborV45,0)+IFERROR(E6DirectLaborV45,0)+IFERROR(E7DirectLaborV45,0)+IFERROR(E8DirectLaborV45,0)+IFERROR(E9DirectLaborV45,0)+IFERROR(E10DirectLaborV45,0)+IFERROR(E11DirectLaborV45,0)+IFERROR(E12DirectLaborV45,0)+IFERROR(E13DirectLaborV45,0)+IFERROR(E14DirectLaborV45,0)+IFERROR(E15DirectLaborV45,0)+IFERROR(E16DirectLaborV45,0)+IFERROR(E17DirectLaborV45,0)+IFERROR(E18DirectLaborV45,0)+IFERROR(E19DirectLaborV45,0)+IFERROR(E20DirectLaborV45,0)</f>
        <v>712.24750431627899</v>
      </c>
      <c r="W48" s="938" cm="1">
        <f t="array" ref="W48">W45+IFERROR(E2DirectLaborW45,0)+IFERROR(E3DirectLaborW45,0)+IFERROR(E4DirectLaborW45,0)+IFERROR(E5DirectLaborW45,0)+IFERROR(E6DirectLaborW45,0)+IFERROR(E7DirectLaborW45,0)+IFERROR(E8DirectLaborW45,0)+IFERROR(E9DirectLaborW45,0)+IFERROR(E10DirectLaborW45,0)+IFERROR(E11DirectLaborW45,0)+IFERROR(E12DirectLaborW45,0)+IFERROR(E13DirectLaborW45,0)+IFERROR(E14DirectLaborW45,0)+IFERROR(E15DirectLaborW45,0)+IFERROR(E16DirectLaborW45,0)+IFERROR(E17DirectLaborW45,0)+IFERROR(E18DirectLaborW45,0)+IFERROR(E19DirectLaborW45,0)+IFERROR(E20DirectLaborW45,0)</f>
        <v>624.51241782222223</v>
      </c>
      <c r="X48" s="938" cm="1">
        <f t="array" ref="X48">X45+IFERROR(E2DirectLaborX45,0)+IFERROR(E3DirectLaborX45,0)+IFERROR(E4DirectLaborX45,0)+IFERROR(E5DirectLaborX45,0)+IFERROR(E6DirectLaborX45,0)+IFERROR(E7DirectLaborX45,0)+IFERROR(E8DirectLaborX45,0)+IFERROR(E9DirectLaborX45,0)+IFERROR(E10DirectLaborX45,0)+IFERROR(E11DirectLaborX45,0)+IFERROR(E12DirectLaborX45,0)+IFERROR(E13DirectLaborX45,0)+IFERROR(E14DirectLaborX45,0)+IFERROR(E15DirectLaborX45,0)+IFERROR(E16DirectLaborX45,0)+IFERROR(E17DirectLaborX45,0)+IFERROR(E18DirectLaborX45,0)+IFERROR(E19DirectLaborX45,0)+IFERROR(E20DirectLaborX45,0)</f>
        <v>606.43034979878814</v>
      </c>
      <c r="Y48" s="938" cm="1">
        <f t="array" ref="Y48">Y45+IFERROR(E2DirectLaborY45,0)+IFERROR(E3DirectLaborY45,0)+IFERROR(E4DirectLaborY45,0)+IFERROR(E5DirectLaborY45,0)+IFERROR(E6DirectLaborY45,0)+IFERROR(E7DirectLaborY45,0)+IFERROR(E8DirectLaborY45,0)+IFERROR(E9DirectLaborY45,0)+IFERROR(E10DirectLaborY45,0)+IFERROR(E11DirectLaborY45,0)+IFERROR(E12DirectLaborY45,0)+IFERROR(E13DirectLaborY45,0)+IFERROR(E14DirectLaborY45,0)+IFERROR(E15DirectLaborY45,0)+IFERROR(E16DirectLaborY45,0)+IFERROR(E17DirectLaborY45,0)+IFERROR(E18DirectLaborY45,0)+IFERROR(E19DirectLaborY45,0)+IFERROR(E20DirectLaborY45,0)</f>
        <v>591.3063900986665</v>
      </c>
      <c r="Z48" s="938" cm="1">
        <f t="array" ref="Z48">Z45+IFERROR(E2DirectLaborZ45,0)+IFERROR(E3DirectLaborZ45,0)+IFERROR(E4DirectLaborZ45,0)+IFERROR(E5DirectLaborZ45,0)+IFERROR(E6DirectLaborZ45,0)+IFERROR(E7DirectLaborZ45,0)+IFERROR(E8DirectLaborZ45,0)+IFERROR(E9DirectLaborZ45,0)+IFERROR(E10DirectLaborZ45,0)+IFERROR(E11DirectLaborZ45,0)+IFERROR(E12DirectLaborZ45,0)+IFERROR(E13DirectLaborZ45,0)+IFERROR(E14DirectLaborZ45,0)+IFERROR(E15DirectLaborZ45,0)+IFERROR(E16DirectLaborZ45,0)+IFERROR(E17DirectLaborZ45,0)+IFERROR(E18DirectLaborZ45,0)+IFERROR(E19DirectLaborZ45,0)+IFERROR(E20DirectLaborZ45,0)</f>
        <v>568.84554479999986</v>
      </c>
      <c r="AA48" s="938" cm="1">
        <f t="array" ref="AA48">AA45+IFERROR(E2DirectLaborAA45,0)+IFERROR(E3DirectLaborAA45,0)+IFERROR(E4DirectLaborAA45,0)+IFERROR(E5DirectLaborAA45,0)+IFERROR(E6DirectLaborAA45,0)+IFERROR(E7DirectLaborAA45,0)+IFERROR(E8DirectLaborAA45,0)+IFERROR(E9DirectLaborAA45,0)+IFERROR(E9DirectLaborAA45,0)+IFERROR(E11DirectLaborAA45,0)+IFERROR(E12DirectLaborAA45,0)+IFERROR(E13DirectLaborAA45,0)+IFERROR(E14DirectLaborAA45,0)+IFERROR(E15DirectLaborAA45,0)+IFERROR(E16DirectLaborAA45,0)+IFERROR(E17DirectLaborAA45,0)+IFERROR(E18DirectLaborAA45,0)+IFERROR(E19DirectLaborAA45,0)+IFERROR(E20DirectLaborAA45,0)</f>
        <v>501.22088380000025</v>
      </c>
      <c r="AB48" s="938" cm="1">
        <f t="array" ref="AB48">AB45+IFERROR(E2DirectLaborAB45,0)+IFERROR(E3DirectLaborAB45,0)+IFERROR(E4DirectLaborAB45,0)+IFERROR(E5DirectLaborAB45,0)+IFERROR(E6DirectLaborAB45,0)+IFERROR(E7DirectLaborAB45,0)+IFERROR(E8DirectLaborAB45,0)+IFERROR(E9DirectLaborAB45,0)+IFERROR(E10DirectLaborAB45,0)+IFERROR(E11DirectLaborAB45,0)+IFERROR(E12DirectLaborAB45,0)+IFERROR(E13DirectLaborAB45,0)+IFERROR(E14DirectLaborAB45,0)+IFERROR(E15DirectLaborAB45,0)+IFERROR(E16DirectLaborAB45,0)+IFERROR(E17DirectLaborAB45,0)+IFERROR(E18DirectLaborAB45,0)+IFERROR(E19DirectLaborAB45,0)+IFERROR(E20DirectLaborAB45,0)</f>
        <v>479.28274321777769</v>
      </c>
      <c r="AC48" s="938" cm="1">
        <f t="array" ref="AC48">AC45+IFERROR(E2DirectLaborAC45,0)+IFERROR(E3DirectLaborAC45,0)+IFERROR(E4DirectLaborAC45,0)+IFERROR(E5DirectLaborAC45,0)+IFERROR(E6DirectLaborAC45,0)+IFERROR(E7DirectLaborAC45,0)+IFERROR(E8DirectLaborAC45,0)+IFERROR(E9DirectLaborAC45,0)+IFERROR(E10DirectLaborAC45,0)+IFERROR(E11DirectLaborAC45,0)+IFERROR(E12DirectLaborAC45,0)+IFERROR(E13DirectLaborAC45,0)+IFERROR(E14DirectLaborAC45,0)+IFERROR(E15DirectLaborAC45,0)+IFERROR(E16DirectLaborAC45,0)+IFERROR(E17DirectLaborAC45,0)+IFERROR(E18DirectLaborAC45,0)+IFERROR(E19DirectLaborAC45,0)+IFERROR(E20DirectLaborAC45,0)</f>
        <v>408.47239680000001</v>
      </c>
      <c r="AD48" s="938" cm="1">
        <f t="array" ref="AD48">AD45+IFERROR(E2DirectLaborAD45,0)+IFERROR(E3DirectLaborAD45,0)+IFERROR(E4DirectLaborAD45,0)+IFERROR(E5DirectLaborAD45,0)+IFERROR(E6DirectLaborAD45,0)+IFERROR(E7DirectLaborAD45,0)+IFERROR(E8DirectLaborAD45,0)+IFERROR(E9DirectLaborAD45,0)+IFERROR(E10DirectLaborAD45,0)+IFERROR(E11DirectLaborAD45,0)+IFERROR(E12DirectLaborAD45,0)+IFERROR(E13DirectLaborAD45,0)+IFERROR(E14DirectLaborAD45,0)+IFERROR(E15DirectLaborAD45,0)+IFERROR(E16DirectLaborAD45,0)+IFERROR(E17DirectLaborAD45,0)+IFERROR(E18DirectLaborAD45,0)+IFERROR(E19DirectLaborAD45,0)+IFERROR(E20DirectLaborAD45,0)</f>
        <v>370.84638360930234</v>
      </c>
      <c r="AE48" s="938" cm="1">
        <f t="array" ref="AE48">AE45+IFERROR(E2DirectLaborAE45,0)+IFERROR(E3DirectLaborAE45,0)+IFERROR(E4DirectLaborAE45,0)+IFERROR(E5DirectLaborAE45,0)+IFERROR(E6DirectLaborAE45,0)+IFERROR(E7DirectLaborAE45,0)+IFERROR(E8DirectLaborAE45,0)+IFERROR(E9DirectLaborAE45,0)+IFERROR(E10DirectLaborAE45,0)+IFERROR(E11DirectLaborAE45,0)+IFERROR(E12DirectLaborAE45,0)+IFERROR(E13DirectLaborAE45,0)+IFERROR(E14DirectLaborAE45,0)+IFERROR(E15DirectLaborAE45,0)+IFERROR(E16DirectLaborAE45,0)+IFERROR(E17DirectLaborAE45,0)+IFERROR(E18DirectLaborAE45,0)+IFERROR(E19DirectLaborAE45,0)+IFERROR(E20DirectLaborAE45,0)</f>
        <v>348.98121285106396</v>
      </c>
      <c r="AF48" s="926"/>
      <c r="AG48" s="879"/>
    </row>
    <row r="49" spans="1:33" s="406" customFormat="1" ht="12.75" hidden="1" customHeight="1" x14ac:dyDescent="0.2">
      <c r="A49" s="914"/>
      <c r="B49" s="926"/>
      <c r="C49" s="930" t="s">
        <v>674</v>
      </c>
      <c r="D49" s="938" cm="1">
        <f t="array" ref="D49">D46+IFERROR(E2OverheadD46,0)+IFERROR(E3OverheadD46,0)+IFERROR(E4OverheadD46,0)+IFERROR(E5OverheadD46,0)+IFERROR(E6OverheadD46,0)+IFERROR(E7OverheadD46,)+IFERROR(E8OverheadD46,0)+IFERROR(E9OverheadD46,0)+IFERROR(E10OverheadD46,0)+IFERROR(E11OverheadD46,0)+IFERROR(E12OverheadD46,0)+IFERROR(E13OverheadD46,0)+IFERROR(E14OverheadD46,0)+IFERROR(E15OverheadD46,0)+IFERROR(E16OverheadD46,0)+IFERROR(E17OverheadD46,0)+IFERROR(E18OverheadD46,0)+IFERROR(E19OverheadD46,0)+IFERROR(E20OverheadD46,0)</f>
        <v>3288.4141079999981</v>
      </c>
      <c r="E49" s="938" cm="1">
        <f t="array" ref="E49">E46+IFERROR(E2OverheadE46,0)+IFERROR(E3OverheadE46,0)+IFERROR(E4OverheadE46,0)+IFERROR(E5OverheadE46,0)+IFERROR(E6OverheadE46,0)+IFERROR(E7OverheadE46,)+IFERROR(E8OverheadE46,0)+IFERROR(E9OverheadE46,0)+IFERROR(E10OverheadE46,0)+IFERROR(E11OverheadE46,0)+IFERROR(E12OverheadE46,0)+IFERROR(E13OverheadE46,0)+IFERROR(E14OverheadE46,0)+IFERROR(E15OverheadE46,0)+IFERROR(E16OverheadE46,0)+IFERROR(E17OverheadE46,0)+IFERROR(E18OverheadE46,0)+IFERROR(E19OverheadE46,0)+IFERROR(E20OverheadE46,0)</f>
        <v>2970.0465631199986</v>
      </c>
      <c r="F49" s="938" cm="1">
        <f t="array" ref="F49">F46+IFERROR(E2OverheadF46,0)+IFERROR(E3OverheadF46,0)+IFERROR(E4OverheadF46,0)+IFERROR(E5OverheadF46,0)+IFERROR(E6OverheadF46,0)+IFERROR(E7OverheadF46,)+IFERROR(E8OverheadF46,0)+IFERROR(E9OverheadF46,0)+IFERROR(E10OverheadF46,0)+IFERROR(E11OverheadF46,0)+IFERROR(E12OverheadF46,0)+IFERROR(E13OverheadF46,0)+IFERROR(E14OverheadF46,0)+IFERROR(E15OverheadF46,0)+IFERROR(E16OverheadF46,0)+IFERROR(E17OverheadF46,0)+IFERROR(E18OverheadF46,0)+IFERROR(E19OverheadF46,0)+IFERROR(E20OverheadF46,0)</f>
        <v>2569.0469588711194</v>
      </c>
      <c r="G49" s="938" cm="1">
        <f t="array" ref="G49">G46+IFERROR(E2OverheadG46,0)+IFERROR(E3OverheadG46,0)+IFERROR(E4OverheadG46,0)+IFERROR(E5OverheadG46,0)+IFERROR(E6OverheadG46,0)+IFERROR(E7OverheadG46,)+IFERROR(E8OverheadG46,0)+IFERROR(E9OverheadG46,0)+IFERROR(E10OverheadG46,0)+IFERROR(E11OverheadG46,0)+IFERROR(E12OverheadG46,0)+IFERROR(E13OverheadG46,0)+IFERROR(E14OverheadG46,0)+IFERROR(E15OverheadG46,0)+IFERROR(E16OverheadG46,0)+IFERROR(E17OverheadG46,0)+IFERROR(E18OverheadG46,0)+IFERROR(E19OverheadG46,0)+IFERROR(E20OverheadG46,0)</f>
        <v>2500.3518750960752</v>
      </c>
      <c r="H49" s="938" cm="1">
        <f t="array" ref="H49">H46+IFERROR(E2OverheadH46,0)+IFERROR(E3OverheadH46,0)+IFERROR(E4OverheadH46,0)+IFERROR(E5OverheadH46,0)+IFERROR(E6OverheadH46,0)+IFERROR(E7OverheadH46,)+IFERROR(E8OverheadH46,0)+IFERROR(E9OverheadH46,0)+IFERROR(E10OverheadH46,0)+IFERROR(E11OverheadH46,0)+IFERROR(E12OverheadH46,0)+IFERROR(E13OverheadH46,0)+IFERROR(E14OverheadH46,0)+IFERROR(E15OverheadH46,0)+IFERROR(E16OverheadH46,0)+IFERROR(E17OverheadH46,0)+IFERROR(E18OverheadH46,0)+IFERROR(E19OverheadH46,0)+IFERROR(E20OverheadH46,0)</f>
        <v>2219.9406684</v>
      </c>
      <c r="I49" s="938" cm="1">
        <f t="array" ref="I49">I46+IFERROR(E2OverheadI46,0)+IFERROR(E3OverheadI46,0)+IFERROR(E4OverheadI46,0)+IFERROR(E5OverheadI46,0)+IFERROR(E6OverheadI46,0)+IFERROR(E7OverheadI46,)+IFERROR(E8OverheadI46,0)+IFERROR(E9OverheadI46,0)+IFERROR(E10OverheadI46,0)+IFERROR(E11OverheadI46,0)+IFERROR(E12OverheadI46,0)+IFERROR(E13OverheadI46,0)+IFERROR(E14OverheadI46,0)+IFERROR(E15OverheadI46,0)+IFERROR(E16OverheadI46,0)+IFERROR(E17OverheadI46,0)+IFERROR(E18OverheadI46,0)+IFERROR(E19OverheadI46,0)+IFERROR(E20OverheadI46,0)</f>
        <v>2020.9227278239991</v>
      </c>
      <c r="J49" s="938" cm="1">
        <f t="array" ref="J49">J46+IFERROR(E2OverheadJ46,0)+IFERROR(E3OverheadJ46,0)+IFERROR(E4OverheadJ46,0)+IFERROR(E5OverheadJ46,0)+IFERROR(E6OverheadJ46,0)+IFERROR(E7OverheadJ46,)+IFERROR(E8OverheadJ46,0)+IFERROR(E9OverheadJ46,0)+IFERROR(E10OverheadJ46,0)+IFERROR(E11OverheadJ46,0)+IFERROR(E12OverheadJ46,0)+IFERROR(E13OverheadJ46,0)+IFERROR(E14OverheadJ46,0)+IFERROR(E15OverheadJ46,0)+IFERROR(E16OverheadJ46,0)+IFERROR(E17OverheadJ46,0)+IFERROR(E18OverheadJ46,0)+IFERROR(E19OverheadJ46,0)+IFERROR(E20OverheadJ46,0)</f>
        <v>2095.8144979200001</v>
      </c>
      <c r="K49" s="938" cm="1">
        <f t="array" ref="K49">K46+IFERROR(E2OverheadK46,0)+IFERROR(E3OverheadK46,0)+IFERROR(E4OverheadK46,0)+IFERROR(E5OverheadK46,0)+IFERROR(E6OverheadK46,0)+IFERROR(E7OverheadK46,)+IFERROR(E8OverheadK46,0)+IFERROR(E9OverheadK46,0)+IFERROR(E10OverheadK46,0)+IFERROR(E11OverheadK46,0)+IFERROR(E12OverheadK46,0)+IFERROR(E13OverheadK46,0)+IFERROR(E14OverheadK46,0)+IFERROR(E15OverheadK46,0)+IFERROR(E16OverheadK46,0)+IFERROR(E17OverheadK46,0)+IFERROR(E18OverheadK46,0)+IFERROR(E19OverheadK46,0)+IFERROR(E20OverheadK46,0)</f>
        <v>1859.7457187007999</v>
      </c>
      <c r="L49" s="938" cm="1">
        <f t="array" ref="L49">L46+IFERROR(E2OverheadL46,0)+IFERROR(E3OverheadL46,0)+IFERROR(E4OverheadL46,0)+IFERROR(E5OverheadL46,0)+IFERROR(E6OverheadL46,0)+IFERROR(E7OverheadL46,)+IFERROR(E8OverheadL46,0)+IFERROR(E9OverheadL46,0)+IFERROR(E10OverheadL46,0)+IFERROR(E11OverheadL46,0)+IFERROR(E12OverheadL46,0)+IFERROR(E13OverheadL46,0)+IFERROR(E14OverheadL46,0)+IFERROR(E15OverheadL46,0)+IFERROR(E16OverheadL46,0)+IFERROR(E17OverheadL46,0)+IFERROR(E18OverheadL46,0)+IFERROR(E19OverheadL46,0)+IFERROR(E20OverheadL46,0)</f>
        <v>1747.8283594917596</v>
      </c>
      <c r="M49" s="938" cm="1">
        <f t="array" ref="M49">M46+IFERROR(E2OverheadM46,0)+IFERROR(E3OverheadM46,0)+IFERROR(E4OverheadM46,0)+IFERROR(E5OverheadM46,0)+IFERROR(E6OverheadM46,0)+IFERROR(E7OverheadM46,)+IFERROR(E8OverheadM46,0)+IFERROR(E9OverheadM46,0)+IFERROR(E10OverheadM46,0)+IFERROR(E11OverheadM46,0)+IFERROR(E12OverheadM46,0)+IFERROR(E13OverheadM46,0)+IFERROR(E14OverheadM46,0)+IFERROR(E15OverheadM46,0)+IFERROR(E16OverheadM46,0)+IFERROR(E17OverheadM46,0)+IFERROR(E18OverheadM46,0)+IFERROR(E19OverheadM46,0)+IFERROR(E20OverheadM46,0)</f>
        <v>1562.2857453135482</v>
      </c>
      <c r="N49" s="938" cm="1">
        <f t="array" ref="N49">N46+IFERROR(E2OverheadN46,0)+IFERROR(E3OverheadN46,0)+IFERROR(E4OverheadN46,0)+IFERROR(E5OverheadN46,0)+IFERROR(E6OverheadN46,0)+IFERROR(E7OverheadN46,)+IFERROR(E8OverheadN46,0)+IFERROR(E9OverheadN46,0)+IFERROR(E10OverheadN46,0)+IFERROR(E11OverheadN46,0)+IFERROR(E12OverheadN46,0)+IFERROR(E13OverheadN46,0)+IFERROR(E14OverheadN46,0)+IFERROR(E15OverheadN46,0)+IFERROR(E16OverheadN46,0)+IFERROR(E17OverheadN46,0)+IFERROR(E18OverheadN46,0)+IFERROR(E19OverheadN46,0)+IFERROR(E20OverheadN46,0)</f>
        <v>1462.4936943870641</v>
      </c>
      <c r="O49" s="938" cm="1">
        <f t="array" ref="O49">O46+IFERROR(E2OverheadO46,0)+IFERROR(E3OverheadO46,0)+IFERROR(E4OverheadO46,0)+IFERROR(E5OverheadO46,0)+IFERROR(E6OverheadO46,0)+IFERROR(E7OverheadO46,)+IFERROR(E8OverheadO46,0)+IFERROR(E9OverheadO46,0)+IFERROR(E10OverheadO46,0)+IFERROR(E11OverheadO46,0)+IFERROR(E12OverheadO46,0)+IFERROR(E13OverheadO46,0)+IFERROR(E14OverheadO46,0)+IFERROR(E15OverheadO46,0)+IFERROR(E16OverheadO46,0)+IFERROR(E17OverheadO46,0)+IFERROR(E18OverheadO46,0)+IFERROR(E19OverheadO46,0)+IFERROR(E20OverheadO46,0)</f>
        <v>1305.356768352</v>
      </c>
      <c r="P49" s="938" cm="1">
        <f t="array" ref="P49">P46+IFERROR(E2OverheadP46,0)+IFERROR(E3OverheadP46,0)+IFERROR(E4OverheadP46,0)+IFERROR(E5OverheadP46,0)+IFERROR(E6OverheadP46,0)+IFERROR(E7OverheadP46,)+IFERROR(E8OverheadP46,0)+IFERROR(E9OverheadP46,0)+IFERROR(E10OverheadP46,0)+IFERROR(E11OverheadP46,0)+IFERROR(E12OverheadP46,0)+IFERROR(E13OverheadP46,0)+IFERROR(E14OverheadP46,0)+IFERROR(E15OverheadP46,0)+IFERROR(E16OverheadP46,0)+IFERROR(E17OverheadP46,0)+IFERROR(E18OverheadP46,0)+IFERROR(E19OverheadP46,0)+IFERROR(E20OverheadP46,0)</f>
        <v>1302.9391633564799</v>
      </c>
      <c r="Q49" s="938" cm="1">
        <f t="array" ref="Q49">Q46+IFERROR(E2OverheadQ46,0)+IFERROR(E3OverheadQ46,0)+IFERROR(E4OverheadQ46,0)+IFERROR(E5OverheadQ46,0)+IFERROR(E6OverheadQ46,0)+IFERROR(E7OverheadQ46,)+IFERROR(E8OverheadQ46,0)+IFERROR(E9OverheadQ46,0)+IFERROR(E10OverheadQ46,0)+IFERROR(E11OverheadQ46,0)+IFERROR(E12OverheadQ46,0)+IFERROR(E13OverheadQ46,0)+IFERROR(E14OverheadQ46,0)+IFERROR(E15OverheadQ46,0)+IFERROR(E16OverheadQ46,0)+IFERROR(E17OverheadQ46,0)+IFERROR(E18OverheadQ46,0)+IFERROR(E19OverheadQ46,0)+IFERROR(E20OverheadQ46,0)</f>
        <v>1225.0547566668536</v>
      </c>
      <c r="R49" s="938" cm="1">
        <f t="array" ref="R49">R46+IFERROR(E2OverheadR46,0)+IFERROR(E3OverheadR46,0)+IFERROR(E4OverheadR46,0)+IFERROR(E5OverheadR46,0)+IFERROR(E6OverheadR46,0)+IFERROR(E7OverheadR46,)+IFERROR(E8OverheadR46,0)+IFERROR(E9OverheadR46,0)+IFERROR(E10OverheadR46,0)+IFERROR(E11OverheadR46,0)+IFERROR(E12OverheadR46,0)+IFERROR(E13OverheadR46,0)+IFERROR(E14OverheadR46,0)+IFERROR(E15OverheadR46,0)+IFERROR(E16OverheadR46,0)+IFERROR(E17OverheadR46,0)+IFERROR(E18OverheadR46,0)+IFERROR(E19OverheadR46,0)+IFERROR(E20OverheadR46,0)</f>
        <v>1161.4120855154999</v>
      </c>
      <c r="S49" s="938" cm="1">
        <f t="array" ref="S49">S46+IFERROR(E2OverheadS46,0)+IFERROR(E3OverheadS46,0)+IFERROR(E4OverheadS46,0)+IFERROR(E5OverheadS46,0)+IFERROR(E6OverheadS46,0)+IFERROR(E7OverheadS46,)+IFERROR(E8OverheadS46,0)+IFERROR(E9OverheadS46,0)+IFERROR(E10OverheadS46,0)+IFERROR(E11OverheadS46,0)+IFERROR(E12OverheadS46,0)+IFERROR(E13OverheadS46,0)+IFERROR(E14OverheadS46,0)+IFERROR(E15OverheadS46,0)+IFERROR(E16OverheadS46,0)+IFERROR(E17OverheadS46,0)+IFERROR(E18OverheadS46,0)+IFERROR(E19OverheadS46,0)+IFERROR(E20OverheadS46,0)</f>
        <v>1091.2660274880006</v>
      </c>
      <c r="T49" s="938" cm="1">
        <f t="array" ref="T49">T46+IFERROR(E2OverheadT46,0)+IFERROR(E3OverheadT46,0)+IFERROR(E4OverheadT46,0)+IFERROR(E5OverheadT46,0)+IFERROR(E6OverheadT46,0)+IFERROR(E7OverheadT46,)+IFERROR(E8OverheadT46,0)+IFERROR(E9OverheadT46,0)+IFERROR(E10OverheadT46,0)+IFERROR(E11OverheadT46,0)+IFERROR(E12OverheadT46,0)+IFERROR(E13OverheadT46,0)+IFERROR(E14OverheadT46,0)+IFERROR(E15OverheadT46,0)+IFERROR(E16OverheadT46,0)+IFERROR(E17OverheadT46,0)+IFERROR(E18OverheadT46,0)+IFERROR(E19OverheadT46,0)+IFERROR(E20OverheadT46,0)</f>
        <v>1063.8289821471703</v>
      </c>
      <c r="U49" s="938" cm="1">
        <f t="array" ref="U49">U46+IFERROR(E2OverheadU46,0)+IFERROR(E3OverheadU46,0)+IFERROR(E4OverheadU46,0)+IFERROR(E5OverheadU46,0)+IFERROR(E6OverheadU46,0)+IFERROR(E7OverheadU46,)+IFERROR(E8OverheadU46,0)+IFERROR(E9OverheadU46,0)+IFERROR(E10OverheadU46,0)+IFERROR(E11OverheadU46,0)+IFERROR(E12OverheadU46,0)+IFERROR(E13OverheadU46,0)+IFERROR(E14OverheadU46,0)+IFERROR(E15OverheadU46,0)+IFERROR(E16OverheadU46,0)+IFERROR(E17OverheadU46,0)+IFERROR(E18OverheadU46,0)+IFERROR(E19OverheadU46,0)+IFERROR(E20OverheadU46,0)</f>
        <v>1047.0294437557498</v>
      </c>
      <c r="V49" s="938" cm="1">
        <f t="array" ref="V49">V46+IFERROR(E2OverheadV46,0)+IFERROR(E3OverheadV46,0)+IFERROR(E4OverheadV46,0)+IFERROR(E5OverheadV46,0)+IFERROR(E6OverheadV46,0)+IFERROR(E7OverheadV46,)+IFERROR(E8OverheadV46,0)+IFERROR(E9OverheadV46,0)+IFERROR(E10OverheadV46,0)+IFERROR(E11OverheadV46,0)+IFERROR(E12OverheadV46,0)+IFERROR(E13OverheadV46,0)+IFERROR(E14OverheadV46,0)+IFERROR(E15OverheadV46,0)+IFERROR(E16OverheadV46,0)+IFERROR(E17OverheadV46,0)+IFERROR(E18OverheadV46,0)+IFERROR(E19OverheadV46,0)+IFERROR(E20OverheadV46,0)</f>
        <v>1047.0038313449297</v>
      </c>
      <c r="W49" s="938" cm="1">
        <f t="array" ref="W49">W46+IFERROR(E2OverheadW46,0)+IFERROR(E3OverheadW46,0)+IFERROR(E4OverheadW46,0)+IFERROR(E5OverheadW46,0)+IFERROR(E6OverheadW46,0)+IFERROR(E7OverheadW46,)+IFERROR(E8OverheadW46,0)+IFERROR(E9OverheadW46,0)+IFERROR(E10OverheadW46,0)+IFERROR(E11OverheadW46,0)+IFERROR(E12OverheadW46,0)+IFERROR(E13OverheadW46,0)+IFERROR(E14OverheadW46,0)+IFERROR(E15OverheadW46,0)+IFERROR(E16OverheadW46,0)+IFERROR(E17OverheadW46,0)+IFERROR(E18OverheadW46,0)+IFERROR(E19OverheadW46,0)+IFERROR(E20OverheadW46,0)</f>
        <v>918.03325419866678</v>
      </c>
      <c r="X49" s="938" cm="1">
        <f t="array" ref="X49">X46+IFERROR(E2OverheadX46,0)+IFERROR(E3OverheadX46,0)+IFERROR(E4OverheadX46,0)+IFERROR(E5OverheadX46,0)+IFERROR(E6OverheadX46,0)+IFERROR(E7OverheadX46,)+IFERROR(E8OverheadX46,0)+IFERROR(E9OverheadX46,0)+IFERROR(E10OverheadX46,0)+IFERROR(E11OverheadX46,0)+IFERROR(E12OverheadX46,0)+IFERROR(E13OverheadX46,0)+IFERROR(E14OverheadX46,0)+IFERROR(E15OverheadX46,0)+IFERROR(E16OverheadX46,0)+IFERROR(E17OverheadX46,0)+IFERROR(E18OverheadX46,0)+IFERROR(E19OverheadX46,0)+IFERROR(E20OverheadX46,0)</f>
        <v>891.45261420421855</v>
      </c>
      <c r="Y49" s="938" cm="1">
        <f t="array" ref="Y49">Y46+IFERROR(E2OverheadY46,0)+IFERROR(E3OverheadY46,0)+IFERROR(E4OverheadY46,0)+IFERROR(E5OverheadY46,0)+IFERROR(E6OverheadY46,0)+IFERROR(E7OverheadY46,)+IFERROR(E8OverheadY46,0)+IFERROR(E9OverheadY46,0)+IFERROR(E10OverheadY46,0)+IFERROR(E11OverheadY46,0)+IFERROR(E12OverheadY46,0)+IFERROR(E13OverheadY46,0)+IFERROR(E14OverheadY46,0)+IFERROR(E15OverheadY46,0)+IFERROR(E16OverheadY46,0)+IFERROR(E17OverheadY46,0)+IFERROR(E18OverheadY46,0)+IFERROR(E19OverheadY46,0)+IFERROR(E20OverheadY46,0)</f>
        <v>869.22039344503992</v>
      </c>
      <c r="Z49" s="938" cm="1">
        <f t="array" ref="Z49">Z46+IFERROR(E2OverheadZ46,0)+IFERROR(E3OverheadZ46,0)+IFERROR(E4OverheadZ46,0)+IFERROR(E5OverheadZ46,0)+IFERROR(E6OverheadZ46,0)+IFERROR(E7OverheadZ46,)+IFERROR(E8OverheadZ46,0)+IFERROR(E9OverheadZ46,0)+IFERROR(E10OverheadZ46,0)+IFERROR(E11OverheadZ46,0)+IFERROR(E12OverheadZ46,0)+IFERROR(E13OverheadZ46,0)+IFERROR(E14OverheadZ46,0)+IFERROR(E15OverheadZ46,0)+IFERROR(E16OverheadZ46,0)+IFERROR(E17OverheadZ46,0)+IFERROR(E18OverheadZ46,0)+IFERROR(E19OverheadZ46,0)+IFERROR(E20OverheadZ46,0)</f>
        <v>836.20295085599969</v>
      </c>
      <c r="AA49" s="938" cm="1">
        <f t="array" ref="AA49">AA46+IFERROR(E2OverheadAA46,0)+IFERROR(E3OverheadAA46,0)+IFERROR(E4OverheadAA46,0)+IFERROR(E5OverheadAA46,0)+IFERROR(E6OverheadAA46,0)+IFERROR(E7OverheadAA46,)+IFERROR(E8OverheadAA46,0)+IFERROR(E9OverheadAA46,0)+IFERROR(E10OverheadAA46,0)+IFERROR(E11OverheadAA46,0)+IFERROR(E12OverheadAA46,0)+IFERROR(E13OverheadAA46,0)+IFERROR(E14OverheadAA46,0)+IFERROR(E15OverheadAA46,0)+IFERROR(E16OverheadAA46,0)+IFERROR(E17OverheadAA46,0)+IFERROR(E18OverheadAA46,0)+IFERROR(E19OverheadAA46,0)+IFERROR(E20OverheadAA46,0)</f>
        <v>736.79469918600012</v>
      </c>
      <c r="AB49" s="938" cm="1">
        <f t="array" ref="AB49">AB46+IFERROR(E2OverheadAB46,0)+IFERROR(E3OverheadAB46,0)+IFERROR(E4OverheadAB46,0)+IFERROR(E5OverheadAB46,0)+IFERROR(E6OverheadAB46,0)+IFERROR(E7OverheadAB46,)+IFERROR(E8OverheadAB46,0)+IFERROR(E9OverheadAB46,0)+IFERROR(E10OverheadAB46,0)+IFERROR(E11OverheadAB46,0)+IFERROR(E12OverheadAB46,0)+IFERROR(E13OverheadAB46,0)+IFERROR(E14OverheadAB46,0)+IFERROR(E15OverheadAB46,0)+IFERROR(E16OverheadAB46,0)+IFERROR(E17OverheadAB46,0)+IFERROR(E18OverheadAB46,0)+IFERROR(E19OverheadAB46,0)+IFERROR(E20OverheadAB46,0)</f>
        <v>704.54563253013293</v>
      </c>
      <c r="AC49" s="938" cm="1">
        <f t="array" ref="AC49">AC46+IFERROR(E2OverheadAC46,0)+IFERROR(E3OverheadAC46,0)+IFERROR(E4OverheadAC46,0)+IFERROR(E5OverheadAC46,0)+IFERROR(E6OverheadAC46,0)+IFERROR(E7OverheadAC46,)+IFERROR(E8OverheadAC46,0)+IFERROR(E9OverheadAC46,0)+IFERROR(E10OverheadAC46,0)+IFERROR(E11OverheadAC46,0)+IFERROR(E12OverheadAC46,0)+IFERROR(E13OverheadAC46,0)+IFERROR(E14OverheadAC46,0)+IFERROR(E15OverheadAC46,0)+IFERROR(E16OverheadAC46,0)+IFERROR(E17OverheadAC46,0)+IFERROR(E18OverheadAC46,0)+IFERROR(E19OverheadAC46,0)+IFERROR(E20OverheadAC46,0)</f>
        <v>600.45442329599985</v>
      </c>
      <c r="AD49" s="938" cm="1">
        <f t="array" ref="AD49">AD46+IFERROR(E2OverheadAD46,0)+IFERROR(E3OverheadAD46,0)+IFERROR(E4OverheadAD46,0)+IFERROR(E5OverheadAD46,0)+IFERROR(E6OverheadAD46,0)+IFERROR(E7OverheadAD46,)+IFERROR(E8OverheadAD46,0)+IFERROR(E9OverheadAD46,0)+IFERROR(E10OverheadAD46,0)+IFERROR(E11OverheadAD46,0)+IFERROR(E12OverheadAD46,0)+IFERROR(E13OverheadAD46,0)+IFERROR(E14OverheadAD46,0)+IFERROR(E15OverheadAD46,0)+IFERROR(E16OverheadAD46,0)+IFERROR(E17OverheadAD46,0)+IFERROR(E18OverheadAD46,0)+IFERROR(E19OverheadAD46,0)+IFERROR(E20OverheadAD46,0)</f>
        <v>545.14418390567448</v>
      </c>
      <c r="AE49" s="938" cm="1">
        <f t="array" ref="AE49">AE46+IFERROR(E2OverheadAE46,0)+IFERROR(E3OverheadAE46,0)+IFERROR(E4OverheadAE46,0)+IFERROR(E5OverheadAE46,0)+IFERROR(E6OverheadAE46,0)+IFERROR(E7OverheadAE46,)+IFERROR(E8OverheadAE46,0)+IFERROR(E9OverheadAE46,0)+IFERROR(E10OverheadAE46,0)+IFERROR(E11OverheadAE46,0)+IFERROR(E12OverheadAE46,0)+IFERROR(E13OverheadAE46,0)+IFERROR(E14OverheadAE46,0)+IFERROR(E15OverheadAE46,0)+IFERROR(E16OverheadAE46,0)+IFERROR(E17OverheadAE46,0)+IFERROR(E18OverheadAE46,0)+IFERROR(E19OverheadAE46,0)+IFERROR(E20OverheadAE46,0)</f>
        <v>513.0023828910638</v>
      </c>
      <c r="AF49" s="926"/>
      <c r="AG49" s="879"/>
    </row>
    <row r="50" spans="1:33" hidden="1" x14ac:dyDescent="0.2">
      <c r="A50" s="914"/>
      <c r="B50" s="940"/>
      <c r="C50" s="930" t="s">
        <v>531</v>
      </c>
      <c r="D50" s="924">
        <f t="shared" ref="D50:AE50" si="14">SUMIFS($D$27:$AE$27,$D$5:$AE$5,D$42,$D$9:$AE$9,$C$50)</f>
        <v>0</v>
      </c>
      <c r="E50" s="924">
        <f t="shared" si="14"/>
        <v>0</v>
      </c>
      <c r="F50" s="924">
        <f t="shared" si="14"/>
        <v>0</v>
      </c>
      <c r="G50" s="924">
        <f t="shared" si="14"/>
        <v>0</v>
      </c>
      <c r="H50" s="924">
        <f t="shared" si="14"/>
        <v>0</v>
      </c>
      <c r="I50" s="924">
        <f t="shared" si="14"/>
        <v>0</v>
      </c>
      <c r="J50" s="924">
        <f t="shared" si="14"/>
        <v>0</v>
      </c>
      <c r="K50" s="924">
        <f t="shared" si="14"/>
        <v>0</v>
      </c>
      <c r="L50" s="924">
        <f t="shared" si="14"/>
        <v>0</v>
      </c>
      <c r="M50" s="924">
        <f t="shared" si="14"/>
        <v>0</v>
      </c>
      <c r="N50" s="924">
        <f t="shared" si="14"/>
        <v>0</v>
      </c>
      <c r="O50" s="924">
        <f t="shared" si="14"/>
        <v>0</v>
      </c>
      <c r="P50" s="924">
        <f t="shared" si="14"/>
        <v>0</v>
      </c>
      <c r="Q50" s="924">
        <f t="shared" si="14"/>
        <v>0</v>
      </c>
      <c r="R50" s="924">
        <f t="shared" si="14"/>
        <v>0</v>
      </c>
      <c r="S50" s="924">
        <f t="shared" si="14"/>
        <v>0</v>
      </c>
      <c r="T50" s="924">
        <f t="shared" si="14"/>
        <v>0</v>
      </c>
      <c r="U50" s="924">
        <f t="shared" si="14"/>
        <v>0</v>
      </c>
      <c r="V50" s="924">
        <f t="shared" si="14"/>
        <v>0</v>
      </c>
      <c r="W50" s="924">
        <f t="shared" si="14"/>
        <v>0</v>
      </c>
      <c r="X50" s="924">
        <f t="shared" si="14"/>
        <v>0</v>
      </c>
      <c r="Y50" s="924">
        <f t="shared" si="14"/>
        <v>0</v>
      </c>
      <c r="Z50" s="924">
        <f t="shared" si="14"/>
        <v>0</v>
      </c>
      <c r="AA50" s="924">
        <f t="shared" si="14"/>
        <v>0</v>
      </c>
      <c r="AB50" s="924">
        <f t="shared" si="14"/>
        <v>0</v>
      </c>
      <c r="AC50" s="924">
        <f t="shared" si="14"/>
        <v>0</v>
      </c>
      <c r="AD50" s="924">
        <f t="shared" si="14"/>
        <v>0</v>
      </c>
      <c r="AE50" s="924">
        <f t="shared" si="14"/>
        <v>0</v>
      </c>
      <c r="AF50" s="915"/>
      <c r="AG50" s="915"/>
    </row>
    <row r="51" spans="1:33" hidden="1" x14ac:dyDescent="0.2">
      <c r="A51" s="914"/>
      <c r="B51" s="940"/>
      <c r="C51" s="930"/>
      <c r="D51" s="924"/>
      <c r="E51" s="924"/>
      <c r="F51" s="924"/>
      <c r="G51" s="924"/>
      <c r="H51" s="924"/>
      <c r="I51" s="924"/>
      <c r="J51" s="924"/>
      <c r="K51" s="924"/>
      <c r="L51" s="924"/>
      <c r="M51" s="924"/>
      <c r="N51" s="924"/>
      <c r="O51" s="924"/>
      <c r="P51" s="924"/>
      <c r="Q51" s="924"/>
      <c r="R51" s="924"/>
      <c r="S51" s="924"/>
      <c r="T51" s="924"/>
      <c r="U51" s="924"/>
      <c r="V51" s="924"/>
      <c r="W51" s="924"/>
      <c r="X51" s="924"/>
      <c r="Y51" s="924"/>
      <c r="Z51" s="924"/>
      <c r="AA51" s="924"/>
      <c r="AB51" s="924"/>
      <c r="AC51" s="924"/>
      <c r="AD51" s="924"/>
      <c r="AE51" s="924"/>
      <c r="AF51" s="915"/>
      <c r="AG51" s="915"/>
    </row>
    <row r="52" spans="1:33" hidden="1" x14ac:dyDescent="0.2">
      <c r="A52" s="914"/>
      <c r="B52" s="940"/>
      <c r="C52" s="930" t="s">
        <v>380</v>
      </c>
      <c r="D52" s="924">
        <f t="shared" ref="D52:AE52" si="15">SUMIFS($D$27:$AE$27,$D$5:$AE$5,D$42,$D$8:$AE$8,$C$52)</f>
        <v>0</v>
      </c>
      <c r="E52" s="924">
        <f t="shared" si="15"/>
        <v>0</v>
      </c>
      <c r="F52" s="924">
        <f t="shared" si="15"/>
        <v>0</v>
      </c>
      <c r="G52" s="924">
        <f t="shared" si="15"/>
        <v>0</v>
      </c>
      <c r="H52" s="924">
        <f t="shared" si="15"/>
        <v>0</v>
      </c>
      <c r="I52" s="924">
        <f t="shared" si="15"/>
        <v>0</v>
      </c>
      <c r="J52" s="924">
        <f t="shared" si="15"/>
        <v>0</v>
      </c>
      <c r="K52" s="924">
        <f t="shared" si="15"/>
        <v>0</v>
      </c>
      <c r="L52" s="924">
        <f t="shared" si="15"/>
        <v>0</v>
      </c>
      <c r="M52" s="924">
        <f t="shared" si="15"/>
        <v>0</v>
      </c>
      <c r="N52" s="924">
        <f t="shared" si="15"/>
        <v>0</v>
      </c>
      <c r="O52" s="924">
        <f t="shared" si="15"/>
        <v>0</v>
      </c>
      <c r="P52" s="924">
        <f t="shared" si="15"/>
        <v>0</v>
      </c>
      <c r="Q52" s="924">
        <f t="shared" si="15"/>
        <v>0</v>
      </c>
      <c r="R52" s="924">
        <f t="shared" si="15"/>
        <v>0</v>
      </c>
      <c r="S52" s="924">
        <f t="shared" si="15"/>
        <v>0</v>
      </c>
      <c r="T52" s="924">
        <f t="shared" si="15"/>
        <v>0</v>
      </c>
      <c r="U52" s="924">
        <f t="shared" si="15"/>
        <v>0</v>
      </c>
      <c r="V52" s="924">
        <f t="shared" si="15"/>
        <v>0</v>
      </c>
      <c r="W52" s="924">
        <f t="shared" si="15"/>
        <v>0</v>
      </c>
      <c r="X52" s="924">
        <f t="shared" si="15"/>
        <v>0</v>
      </c>
      <c r="Y52" s="924">
        <f t="shared" si="15"/>
        <v>0</v>
      </c>
      <c r="Z52" s="924">
        <f t="shared" si="15"/>
        <v>0</v>
      </c>
      <c r="AA52" s="924">
        <f t="shared" si="15"/>
        <v>0</v>
      </c>
      <c r="AB52" s="924">
        <f t="shared" si="15"/>
        <v>0</v>
      </c>
      <c r="AC52" s="924">
        <f t="shared" si="15"/>
        <v>0</v>
      </c>
      <c r="AD52" s="924">
        <f t="shared" si="15"/>
        <v>0</v>
      </c>
      <c r="AE52" s="924">
        <f t="shared" si="15"/>
        <v>0</v>
      </c>
      <c r="AF52" s="915"/>
      <c r="AG52" s="915"/>
    </row>
    <row r="53" spans="1:33" hidden="1" x14ac:dyDescent="0.2">
      <c r="A53" s="914"/>
      <c r="B53" s="940"/>
      <c r="C53" s="930" t="s">
        <v>381</v>
      </c>
      <c r="D53" s="924">
        <f t="shared" ref="D53:AE53" si="16">SUMIFS($D$27:$AE$27,$D$5:$AE$5,D$42,$D$8:$AE$8,$C$53)</f>
        <v>0</v>
      </c>
      <c r="E53" s="924">
        <f t="shared" si="16"/>
        <v>0</v>
      </c>
      <c r="F53" s="924">
        <f t="shared" si="16"/>
        <v>0</v>
      </c>
      <c r="G53" s="924">
        <f t="shared" si="16"/>
        <v>0</v>
      </c>
      <c r="H53" s="924">
        <f t="shared" si="16"/>
        <v>0</v>
      </c>
      <c r="I53" s="924">
        <f t="shared" si="16"/>
        <v>0</v>
      </c>
      <c r="J53" s="924">
        <f t="shared" si="16"/>
        <v>0</v>
      </c>
      <c r="K53" s="924">
        <f t="shared" si="16"/>
        <v>0</v>
      </c>
      <c r="L53" s="924">
        <f t="shared" si="16"/>
        <v>0</v>
      </c>
      <c r="M53" s="924">
        <f t="shared" si="16"/>
        <v>0</v>
      </c>
      <c r="N53" s="924">
        <f t="shared" si="16"/>
        <v>0</v>
      </c>
      <c r="O53" s="924">
        <f t="shared" si="16"/>
        <v>0</v>
      </c>
      <c r="P53" s="924">
        <f t="shared" si="16"/>
        <v>0</v>
      </c>
      <c r="Q53" s="924">
        <f t="shared" si="16"/>
        <v>0</v>
      </c>
      <c r="R53" s="924">
        <f t="shared" si="16"/>
        <v>0</v>
      </c>
      <c r="S53" s="924">
        <f t="shared" si="16"/>
        <v>0</v>
      </c>
      <c r="T53" s="924">
        <f t="shared" si="16"/>
        <v>0</v>
      </c>
      <c r="U53" s="924">
        <f t="shared" si="16"/>
        <v>0</v>
      </c>
      <c r="V53" s="924">
        <f t="shared" si="16"/>
        <v>0</v>
      </c>
      <c r="W53" s="924">
        <f t="shared" si="16"/>
        <v>0</v>
      </c>
      <c r="X53" s="924">
        <f t="shared" si="16"/>
        <v>0</v>
      </c>
      <c r="Y53" s="924">
        <f t="shared" si="16"/>
        <v>0</v>
      </c>
      <c r="Z53" s="924">
        <f t="shared" si="16"/>
        <v>0</v>
      </c>
      <c r="AA53" s="924">
        <f t="shared" si="16"/>
        <v>0</v>
      </c>
      <c r="AB53" s="924">
        <f t="shared" si="16"/>
        <v>0</v>
      </c>
      <c r="AC53" s="924">
        <f t="shared" si="16"/>
        <v>0</v>
      </c>
      <c r="AD53" s="924">
        <f t="shared" si="16"/>
        <v>0</v>
      </c>
      <c r="AE53" s="924">
        <f t="shared" si="16"/>
        <v>0</v>
      </c>
      <c r="AF53" s="915"/>
      <c r="AG53" s="915"/>
    </row>
    <row r="54" spans="1:33" hidden="1" x14ac:dyDescent="0.2">
      <c r="A54" s="914"/>
      <c r="B54" s="940"/>
      <c r="C54" s="930" t="s">
        <v>522</v>
      </c>
      <c r="D54" s="924">
        <f t="shared" ref="D54:AE54" si="17">SUMIFS($D$27:$AE$27,$D$5:$AE$5,D$42,$D$8:$AE$8,$C$54)</f>
        <v>0</v>
      </c>
      <c r="E54" s="924">
        <f t="shared" si="17"/>
        <v>0</v>
      </c>
      <c r="F54" s="924">
        <f t="shared" si="17"/>
        <v>0</v>
      </c>
      <c r="G54" s="924">
        <f t="shared" si="17"/>
        <v>0</v>
      </c>
      <c r="H54" s="924">
        <f t="shared" si="17"/>
        <v>0</v>
      </c>
      <c r="I54" s="924">
        <f t="shared" si="17"/>
        <v>0</v>
      </c>
      <c r="J54" s="924">
        <f t="shared" si="17"/>
        <v>0</v>
      </c>
      <c r="K54" s="924">
        <f t="shared" si="17"/>
        <v>0</v>
      </c>
      <c r="L54" s="924">
        <f t="shared" si="17"/>
        <v>0</v>
      </c>
      <c r="M54" s="924">
        <f t="shared" si="17"/>
        <v>0</v>
      </c>
      <c r="N54" s="924">
        <f t="shared" si="17"/>
        <v>0</v>
      </c>
      <c r="O54" s="924">
        <f t="shared" si="17"/>
        <v>0</v>
      </c>
      <c r="P54" s="924">
        <f t="shared" si="17"/>
        <v>0</v>
      </c>
      <c r="Q54" s="924">
        <f t="shared" si="17"/>
        <v>0</v>
      </c>
      <c r="R54" s="924">
        <f t="shared" si="17"/>
        <v>0</v>
      </c>
      <c r="S54" s="924">
        <f t="shared" si="17"/>
        <v>0</v>
      </c>
      <c r="T54" s="924">
        <f t="shared" si="17"/>
        <v>0</v>
      </c>
      <c r="U54" s="924">
        <f t="shared" si="17"/>
        <v>0</v>
      </c>
      <c r="V54" s="924">
        <f t="shared" si="17"/>
        <v>0</v>
      </c>
      <c r="W54" s="924">
        <f t="shared" si="17"/>
        <v>0</v>
      </c>
      <c r="X54" s="924">
        <f t="shared" si="17"/>
        <v>0</v>
      </c>
      <c r="Y54" s="924">
        <f t="shared" si="17"/>
        <v>0</v>
      </c>
      <c r="Z54" s="924">
        <f t="shared" si="17"/>
        <v>0</v>
      </c>
      <c r="AA54" s="924">
        <f t="shared" si="17"/>
        <v>0</v>
      </c>
      <c r="AB54" s="924">
        <f t="shared" si="17"/>
        <v>0</v>
      </c>
      <c r="AC54" s="924">
        <f t="shared" si="17"/>
        <v>0</v>
      </c>
      <c r="AD54" s="924">
        <f t="shared" si="17"/>
        <v>0</v>
      </c>
      <c r="AE54" s="924">
        <f t="shared" si="17"/>
        <v>0</v>
      </c>
      <c r="AF54" s="915"/>
      <c r="AG54" s="915"/>
    </row>
    <row r="55" spans="1:33" hidden="1" x14ac:dyDescent="0.2">
      <c r="A55" s="914"/>
      <c r="B55" s="940"/>
      <c r="C55" s="930" t="s">
        <v>382</v>
      </c>
      <c r="D55" s="924">
        <f t="shared" ref="D55:AE55" si="18">SUMIFS($D$27:$AE$27,$D$5:$AE$5,D$42,$D$8:$AE$8,$C$55)</f>
        <v>0</v>
      </c>
      <c r="E55" s="924">
        <f t="shared" si="18"/>
        <v>0</v>
      </c>
      <c r="F55" s="924">
        <f t="shared" si="18"/>
        <v>0</v>
      </c>
      <c r="G55" s="924">
        <f t="shared" si="18"/>
        <v>0</v>
      </c>
      <c r="H55" s="924">
        <f t="shared" si="18"/>
        <v>0</v>
      </c>
      <c r="I55" s="924">
        <f t="shared" si="18"/>
        <v>0</v>
      </c>
      <c r="J55" s="924">
        <f t="shared" si="18"/>
        <v>0</v>
      </c>
      <c r="K55" s="924">
        <f t="shared" si="18"/>
        <v>0</v>
      </c>
      <c r="L55" s="924">
        <f t="shared" si="18"/>
        <v>0</v>
      </c>
      <c r="M55" s="924">
        <f t="shared" si="18"/>
        <v>0</v>
      </c>
      <c r="N55" s="924">
        <f t="shared" si="18"/>
        <v>0</v>
      </c>
      <c r="O55" s="924">
        <f t="shared" si="18"/>
        <v>0</v>
      </c>
      <c r="P55" s="924">
        <f t="shared" si="18"/>
        <v>0</v>
      </c>
      <c r="Q55" s="924">
        <f t="shared" si="18"/>
        <v>0</v>
      </c>
      <c r="R55" s="924">
        <f t="shared" si="18"/>
        <v>0</v>
      </c>
      <c r="S55" s="924">
        <f t="shared" si="18"/>
        <v>0</v>
      </c>
      <c r="T55" s="924">
        <f t="shared" si="18"/>
        <v>0</v>
      </c>
      <c r="U55" s="924">
        <f t="shared" si="18"/>
        <v>0</v>
      </c>
      <c r="V55" s="924">
        <f t="shared" si="18"/>
        <v>0</v>
      </c>
      <c r="W55" s="924">
        <f t="shared" si="18"/>
        <v>0</v>
      </c>
      <c r="X55" s="924">
        <f t="shared" si="18"/>
        <v>0</v>
      </c>
      <c r="Y55" s="924">
        <f t="shared" si="18"/>
        <v>0</v>
      </c>
      <c r="Z55" s="924">
        <f t="shared" si="18"/>
        <v>0</v>
      </c>
      <c r="AA55" s="924">
        <f t="shared" si="18"/>
        <v>0</v>
      </c>
      <c r="AB55" s="924">
        <f t="shared" si="18"/>
        <v>0</v>
      </c>
      <c r="AC55" s="924">
        <f t="shared" si="18"/>
        <v>0</v>
      </c>
      <c r="AD55" s="924">
        <f t="shared" si="18"/>
        <v>0</v>
      </c>
      <c r="AE55" s="924">
        <f t="shared" si="18"/>
        <v>0</v>
      </c>
      <c r="AF55" s="915"/>
      <c r="AG55" s="915"/>
    </row>
    <row r="56" spans="1:33" hidden="1" x14ac:dyDescent="0.2">
      <c r="A56" s="914"/>
      <c r="B56" s="940"/>
      <c r="C56" s="930" t="s">
        <v>383</v>
      </c>
      <c r="D56" s="924">
        <f t="shared" ref="D56:AE56" si="19">SUMIFS($D$27:$AE$27,$D$5:$AE$5,D$42,$D$8:$AE$8,$C$56)</f>
        <v>0</v>
      </c>
      <c r="E56" s="924">
        <f t="shared" si="19"/>
        <v>0</v>
      </c>
      <c r="F56" s="924">
        <f t="shared" si="19"/>
        <v>0</v>
      </c>
      <c r="G56" s="924">
        <f t="shared" si="19"/>
        <v>0</v>
      </c>
      <c r="H56" s="924">
        <f t="shared" si="19"/>
        <v>0</v>
      </c>
      <c r="I56" s="924">
        <f t="shared" si="19"/>
        <v>0</v>
      </c>
      <c r="J56" s="924">
        <f t="shared" si="19"/>
        <v>0</v>
      </c>
      <c r="K56" s="924">
        <f t="shared" si="19"/>
        <v>0</v>
      </c>
      <c r="L56" s="924">
        <f t="shared" si="19"/>
        <v>0</v>
      </c>
      <c r="M56" s="924">
        <f t="shared" si="19"/>
        <v>0</v>
      </c>
      <c r="N56" s="924">
        <f t="shared" si="19"/>
        <v>0</v>
      </c>
      <c r="O56" s="924">
        <f t="shared" si="19"/>
        <v>0</v>
      </c>
      <c r="P56" s="924">
        <f t="shared" si="19"/>
        <v>0</v>
      </c>
      <c r="Q56" s="924">
        <f t="shared" si="19"/>
        <v>0</v>
      </c>
      <c r="R56" s="924">
        <f t="shared" si="19"/>
        <v>0</v>
      </c>
      <c r="S56" s="924">
        <f t="shared" si="19"/>
        <v>0</v>
      </c>
      <c r="T56" s="924">
        <f t="shared" si="19"/>
        <v>0</v>
      </c>
      <c r="U56" s="924">
        <f t="shared" si="19"/>
        <v>0</v>
      </c>
      <c r="V56" s="924">
        <f t="shared" si="19"/>
        <v>0</v>
      </c>
      <c r="W56" s="924">
        <f t="shared" si="19"/>
        <v>0</v>
      </c>
      <c r="X56" s="924">
        <f t="shared" si="19"/>
        <v>0</v>
      </c>
      <c r="Y56" s="924">
        <f t="shared" si="19"/>
        <v>0</v>
      </c>
      <c r="Z56" s="924">
        <f t="shared" si="19"/>
        <v>0</v>
      </c>
      <c r="AA56" s="924">
        <f t="shared" si="19"/>
        <v>0</v>
      </c>
      <c r="AB56" s="924">
        <f t="shared" si="19"/>
        <v>0</v>
      </c>
      <c r="AC56" s="924">
        <f t="shared" si="19"/>
        <v>0</v>
      </c>
      <c r="AD56" s="924">
        <f t="shared" si="19"/>
        <v>0</v>
      </c>
      <c r="AE56" s="924">
        <f t="shared" si="19"/>
        <v>0</v>
      </c>
      <c r="AF56" s="915"/>
      <c r="AG56" s="915"/>
    </row>
    <row r="57" spans="1:33" hidden="1" x14ac:dyDescent="0.2">
      <c r="A57" s="914"/>
      <c r="B57" s="940"/>
      <c r="C57" s="930" t="s">
        <v>528</v>
      </c>
      <c r="D57" s="924">
        <f t="shared" ref="D57:AE57" si="20">SUMIFS($D$27:$AE$27,$D$5:$AE$5,D$42,$D$8:$AE$8,$C$57)</f>
        <v>0</v>
      </c>
      <c r="E57" s="924">
        <f t="shared" si="20"/>
        <v>0</v>
      </c>
      <c r="F57" s="924">
        <f t="shared" si="20"/>
        <v>0</v>
      </c>
      <c r="G57" s="924">
        <f t="shared" si="20"/>
        <v>0</v>
      </c>
      <c r="H57" s="924">
        <f t="shared" si="20"/>
        <v>0</v>
      </c>
      <c r="I57" s="924">
        <f t="shared" si="20"/>
        <v>0</v>
      </c>
      <c r="J57" s="924">
        <f t="shared" si="20"/>
        <v>0</v>
      </c>
      <c r="K57" s="924">
        <f t="shared" si="20"/>
        <v>0</v>
      </c>
      <c r="L57" s="924">
        <f t="shared" si="20"/>
        <v>0</v>
      </c>
      <c r="M57" s="924">
        <f t="shared" si="20"/>
        <v>0</v>
      </c>
      <c r="N57" s="924">
        <f t="shared" si="20"/>
        <v>0</v>
      </c>
      <c r="O57" s="924">
        <f t="shared" si="20"/>
        <v>0</v>
      </c>
      <c r="P57" s="924">
        <f t="shared" si="20"/>
        <v>0</v>
      </c>
      <c r="Q57" s="924">
        <f t="shared" si="20"/>
        <v>0</v>
      </c>
      <c r="R57" s="924">
        <f t="shared" si="20"/>
        <v>0</v>
      </c>
      <c r="S57" s="924">
        <f t="shared" si="20"/>
        <v>0</v>
      </c>
      <c r="T57" s="924">
        <f t="shared" si="20"/>
        <v>0</v>
      </c>
      <c r="U57" s="924">
        <f t="shared" si="20"/>
        <v>0</v>
      </c>
      <c r="V57" s="924">
        <f t="shared" si="20"/>
        <v>0</v>
      </c>
      <c r="W57" s="924">
        <f t="shared" si="20"/>
        <v>0</v>
      </c>
      <c r="X57" s="924">
        <f t="shared" si="20"/>
        <v>0</v>
      </c>
      <c r="Y57" s="924">
        <f t="shared" si="20"/>
        <v>0</v>
      </c>
      <c r="Z57" s="924">
        <f t="shared" si="20"/>
        <v>0</v>
      </c>
      <c r="AA57" s="924">
        <f t="shared" si="20"/>
        <v>0</v>
      </c>
      <c r="AB57" s="924">
        <f t="shared" si="20"/>
        <v>0</v>
      </c>
      <c r="AC57" s="924">
        <f t="shared" si="20"/>
        <v>0</v>
      </c>
      <c r="AD57" s="924">
        <f t="shared" si="20"/>
        <v>0</v>
      </c>
      <c r="AE57" s="924">
        <f t="shared" si="20"/>
        <v>0</v>
      </c>
      <c r="AF57" s="915"/>
      <c r="AG57" s="915"/>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row r="166" spans="31:32" x14ac:dyDescent="0.2">
      <c r="AE166" s="29"/>
      <c r="AF166" s="29"/>
    </row>
    <row r="167" spans="31:32" x14ac:dyDescent="0.2">
      <c r="AE167" s="29"/>
      <c r="AF167" s="29"/>
    </row>
    <row r="168" spans="31:32" x14ac:dyDescent="0.2">
      <c r="AE168" s="29"/>
      <c r="AF168" s="29"/>
    </row>
    <row r="169" spans="31:32" x14ac:dyDescent="0.2">
      <c r="AE169" s="29"/>
      <c r="AF169" s="29"/>
    </row>
  </sheetData>
  <sheetProtection algorithmName="SHA-512" hashValue="Wppo2+HmAqLgtdAWMDV0jBX3hA1rlEidRCsVIHq6+mUl5HCvnwpMzKnU2t5YPl7O0NVNrIGeuGgxVa+cpvMe8Q==" saltValue="dLWnLZK3ePeQY2KJheXDRQ=="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20:C20"/>
    <mergeCell ref="B19:C19"/>
    <mergeCell ref="B16:C16"/>
    <mergeCell ref="B17:C17"/>
    <mergeCell ref="B18:C18"/>
    <mergeCell ref="B26:C26"/>
    <mergeCell ref="B27:C27"/>
    <mergeCell ref="B28:C28"/>
    <mergeCell ref="B22:C22"/>
    <mergeCell ref="B23:C23"/>
    <mergeCell ref="B24:C24"/>
    <mergeCell ref="B25:C25"/>
  </mergeCells>
  <conditionalFormatting sqref="D27:D28 D18:AE18">
    <cfRule type="expression" dxfId="693" priority="216">
      <formula>D$7=0</formula>
    </cfRule>
  </conditionalFormatting>
  <conditionalFormatting sqref="D16">
    <cfRule type="expression" dxfId="692" priority="215">
      <formula>D$7=0</formula>
    </cfRule>
  </conditionalFormatting>
  <conditionalFormatting sqref="E27:AE28">
    <cfRule type="expression" dxfId="691" priority="214">
      <formula>E$7=0</formula>
    </cfRule>
  </conditionalFormatting>
  <conditionalFormatting sqref="E16:AE16">
    <cfRule type="expression" dxfId="690" priority="213">
      <formula>E$7=0</formula>
    </cfRule>
  </conditionalFormatting>
  <conditionalFormatting sqref="D11">
    <cfRule type="expression" dxfId="689" priority="212">
      <formula>D$7=0</formula>
    </cfRule>
  </conditionalFormatting>
  <conditionalFormatting sqref="E11:AE11">
    <cfRule type="expression" dxfId="688" priority="211">
      <formula>E$7=0</formula>
    </cfRule>
  </conditionalFormatting>
  <conditionalFormatting sqref="D14:AE14">
    <cfRule type="cellIs" dxfId="687" priority="207" operator="between">
      <formula>0.25</formula>
      <formula>1</formula>
    </cfRule>
    <cfRule type="cellIs" dxfId="686" priority="208" operator="between">
      <formula>0.15</formula>
      <formula>0.25</formula>
    </cfRule>
    <cfRule type="cellIs" dxfId="685" priority="209" operator="between">
      <formula>0</formula>
      <formula>0.15</formula>
    </cfRule>
    <cfRule type="cellIs" dxfId="684" priority="210" operator="between">
      <formula>-0.5</formula>
      <formula>0</formula>
    </cfRule>
  </conditionalFormatting>
  <conditionalFormatting sqref="D17:AE17 D19 D21 D23 D25">
    <cfRule type="expression" dxfId="683" priority="205">
      <formula>D$7=0</formula>
    </cfRule>
  </conditionalFormatting>
  <conditionalFormatting sqref="E19:AE19">
    <cfRule type="expression" dxfId="682" priority="87">
      <formula>E$7=0</formula>
    </cfRule>
  </conditionalFormatting>
  <conditionalFormatting sqref="E20:AE20">
    <cfRule type="expression" dxfId="681" priority="86">
      <formula>E$7=0</formula>
    </cfRule>
  </conditionalFormatting>
  <conditionalFormatting sqref="E21:AE21">
    <cfRule type="expression" dxfId="680" priority="85">
      <formula>E$7=0</formula>
    </cfRule>
  </conditionalFormatting>
  <conditionalFormatting sqref="E22:AE22">
    <cfRule type="expression" dxfId="679" priority="84">
      <formula>E$7=0</formula>
    </cfRule>
  </conditionalFormatting>
  <conditionalFormatting sqref="E23:AE23">
    <cfRule type="expression" dxfId="678" priority="83">
      <formula>E$7=0</formula>
    </cfRule>
  </conditionalFormatting>
  <conditionalFormatting sqref="E24:AE24">
    <cfRule type="expression" dxfId="677" priority="82">
      <formula>E$7=0</formula>
    </cfRule>
  </conditionalFormatting>
  <conditionalFormatting sqref="E25:AE25">
    <cfRule type="expression" dxfId="676" priority="81">
      <formula>E$7=0</formula>
    </cfRule>
  </conditionalFormatting>
  <conditionalFormatting sqref="D26:AE26">
    <cfRule type="expression" dxfId="675" priority="43">
      <formula>D$7=0</formula>
    </cfRule>
  </conditionalFormatting>
  <conditionalFormatting sqref="D20">
    <cfRule type="expression" dxfId="674" priority="42">
      <formula>D$7=0</formula>
    </cfRule>
  </conditionalFormatting>
  <conditionalFormatting sqref="D22">
    <cfRule type="expression" dxfId="673" priority="41">
      <formula>D$7=0</formula>
    </cfRule>
  </conditionalFormatting>
  <conditionalFormatting sqref="D24">
    <cfRule type="expression" dxfId="672" priority="40">
      <formula>D$7=0</formula>
    </cfRule>
  </conditionalFormatting>
  <dataValidations count="2">
    <dataValidation type="decimal" allowBlank="1" showErrorMessage="1" errorTitle="Invalid Entry" error="Values in these cells must be a number greater than 12.  Text entries are not allowed.  " sqref="D11:AE11" xr:uid="{23DE2456-0D19-4F06-9B46-2D8D0061ECE5}">
      <formula1>12</formula1>
      <formula2>250</formula2>
    </dataValidation>
    <dataValidation type="list" allowBlank="1" showInputMessage="1" showErrorMessage="1" sqref="D15:AE15" xr:uid="{9E14E304-8DA4-4CD4-8487-88091D551B9A}">
      <formula1>$P$4:$S$4</formula1>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202755" r:id="rId4" name="Button 3">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202756" r:id="rId5" name="Button 4">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F5B1695-29F0-4CB5-A9C1-E2DC7793B353}">
          <x14:formula1>
            <xm:f>INPUT!$F$5:$F$32</xm:f>
          </x14:formula1>
          <xm:sqref>D5:AE5</xm:sqref>
        </x14:dataValidation>
        <x14:dataValidation type="list" allowBlank="1" showInputMessage="1" showErrorMessage="1" xr:uid="{9C9EA014-85D3-4954-88E4-BD33DD5B2516}">
          <x14:formula1>
            <xm:f>'Labor &amp; Practice Lookups'!$Q$5:$Q$11</xm:f>
          </x14:formula1>
          <xm:sqref>D8:AE8</xm:sqref>
        </x14:dataValidation>
        <x14:dataValidation type="list" allowBlank="1" showInputMessage="1" showErrorMessage="1" xr:uid="{4AB6AA43-2F05-475B-8935-4F292EA3D060}">
          <x14:formula1>
            <xm:f>'Labor &amp; Practice Lookups'!$R$4:$V$4</xm:f>
          </x14:formula1>
          <xm:sqref>D9:AE10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pageSetUpPr fitToPage="1"/>
  </sheetPr>
  <dimension ref="A1:N79"/>
  <sheetViews>
    <sheetView showGridLines="0" topLeftCell="A61" zoomScale="80" zoomScaleNormal="80" zoomScaleSheetLayoutView="80" workbookViewId="0">
      <selection activeCell="N7" sqref="N7"/>
    </sheetView>
  </sheetViews>
  <sheetFormatPr defaultRowHeight="12.75" x14ac:dyDescent="0.2"/>
  <cols>
    <col min="1" max="1" width="1.7109375" customWidth="1"/>
    <col min="4" max="4" width="67.140625" customWidth="1"/>
    <col min="5" max="5" width="16.7109375" bestFit="1" customWidth="1"/>
    <col min="6" max="6" width="9" customWidth="1"/>
    <col min="7" max="7" width="18" bestFit="1" customWidth="1"/>
    <col min="12" max="12" width="39.28515625" customWidth="1"/>
  </cols>
  <sheetData>
    <row r="1" spans="1:14" ht="18" x14ac:dyDescent="0.25">
      <c r="A1" s="356" t="s">
        <v>820</v>
      </c>
      <c r="B1" s="357"/>
      <c r="C1" s="356"/>
      <c r="D1" s="356"/>
      <c r="E1" s="356"/>
      <c r="F1" s="356"/>
      <c r="G1" s="356"/>
      <c r="H1" s="356"/>
      <c r="I1" s="356"/>
      <c r="J1" s="356"/>
      <c r="K1" s="1263" t="s">
        <v>2534</v>
      </c>
      <c r="L1" s="1263"/>
      <c r="M1" s="1263"/>
      <c r="N1" s="355" t="s">
        <v>491</v>
      </c>
    </row>
    <row r="3" spans="1:14" ht="18" x14ac:dyDescent="0.25">
      <c r="A3" s="353"/>
      <c r="B3" s="358" t="s">
        <v>465</v>
      </c>
      <c r="C3" s="359" t="s">
        <v>466</v>
      </c>
      <c r="D3" s="353"/>
      <c r="E3" s="353"/>
      <c r="F3" s="353"/>
      <c r="G3" s="353"/>
      <c r="H3" s="353"/>
      <c r="I3" s="353"/>
      <c r="J3" s="353"/>
      <c r="K3" s="353"/>
      <c r="L3" s="353"/>
      <c r="M3" s="353"/>
      <c r="N3" s="353"/>
    </row>
    <row r="4" spans="1:14" ht="77.25" customHeight="1" x14ac:dyDescent="0.2">
      <c r="A4" s="353"/>
      <c r="B4" s="360"/>
      <c r="C4" s="1262" t="s">
        <v>686</v>
      </c>
      <c r="D4" s="1262"/>
      <c r="E4" s="1262"/>
      <c r="F4" s="1262"/>
      <c r="G4" s="1262"/>
      <c r="H4" s="1262"/>
      <c r="I4" s="1262"/>
      <c r="J4" s="1262"/>
      <c r="K4" s="1262"/>
      <c r="L4" s="1262"/>
      <c r="M4" s="1262"/>
      <c r="N4" s="353"/>
    </row>
    <row r="5" spans="1:14" x14ac:dyDescent="0.2">
      <c r="A5" s="353"/>
      <c r="B5" s="353"/>
      <c r="C5" s="353"/>
      <c r="D5" s="353"/>
      <c r="E5" s="353"/>
      <c r="F5" s="353"/>
      <c r="G5" s="353"/>
      <c r="H5" s="353"/>
      <c r="I5" s="353"/>
      <c r="J5" s="353"/>
      <c r="K5" s="353"/>
      <c r="L5" s="353"/>
      <c r="M5" s="353"/>
      <c r="N5" s="353"/>
    </row>
    <row r="6" spans="1:14" ht="18" x14ac:dyDescent="0.25">
      <c r="A6" s="353"/>
      <c r="B6" s="358" t="s">
        <v>467</v>
      </c>
      <c r="C6" s="359" t="s">
        <v>468</v>
      </c>
      <c r="D6" s="353"/>
      <c r="E6" s="353"/>
      <c r="F6" s="353"/>
      <c r="G6" s="353"/>
      <c r="H6" s="353"/>
      <c r="I6" s="353"/>
      <c r="J6" s="353"/>
      <c r="K6" s="353"/>
      <c r="L6" s="353"/>
      <c r="M6" s="353"/>
      <c r="N6" s="353"/>
    </row>
    <row r="7" spans="1:14" ht="57.75" customHeight="1" x14ac:dyDescent="0.25">
      <c r="A7" s="353"/>
      <c r="B7" s="358"/>
      <c r="C7" s="1261" t="s">
        <v>777</v>
      </c>
      <c r="D7" s="1261"/>
      <c r="E7" s="1261"/>
      <c r="F7" s="1261"/>
      <c r="G7" s="1261"/>
      <c r="H7" s="1261"/>
      <c r="I7" s="1261"/>
      <c r="J7" s="1261"/>
      <c r="K7" s="1261"/>
      <c r="L7" s="1261"/>
      <c r="M7" s="1261"/>
      <c r="N7" s="353"/>
    </row>
    <row r="8" spans="1:14" ht="78.75" customHeight="1" thickBot="1" x14ac:dyDescent="0.3">
      <c r="A8" s="353"/>
      <c r="B8" s="358"/>
      <c r="C8" s="1261" t="s">
        <v>687</v>
      </c>
      <c r="D8" s="1261"/>
      <c r="E8" s="1261"/>
      <c r="F8" s="1261"/>
      <c r="G8" s="1261"/>
      <c r="H8" s="1261"/>
      <c r="I8" s="1261"/>
      <c r="J8" s="1261"/>
      <c r="K8" s="1261"/>
      <c r="L8" s="1261"/>
      <c r="M8" s="1261"/>
      <c r="N8" s="353"/>
    </row>
    <row r="9" spans="1:14" ht="18.75" thickBot="1" x14ac:dyDescent="0.25">
      <c r="A9" s="353"/>
      <c r="B9" s="353"/>
      <c r="C9" s="353"/>
      <c r="D9" s="362" t="s">
        <v>469</v>
      </c>
      <c r="E9" s="363" t="s">
        <v>392</v>
      </c>
      <c r="F9" s="363"/>
      <c r="G9" s="363" t="s">
        <v>392</v>
      </c>
      <c r="H9" s="353"/>
      <c r="I9" s="353"/>
      <c r="J9" s="353"/>
      <c r="K9" s="353"/>
      <c r="L9" s="353"/>
      <c r="M9" s="353"/>
      <c r="N9" s="353"/>
    </row>
    <row r="10" spans="1:14" ht="18.75" thickBot="1" x14ac:dyDescent="0.25">
      <c r="A10" s="353"/>
      <c r="B10" s="353"/>
      <c r="C10" s="353"/>
      <c r="D10" s="364" t="s">
        <v>470</v>
      </c>
      <c r="E10" s="365" t="s">
        <v>471</v>
      </c>
      <c r="F10" s="366" t="s">
        <v>402</v>
      </c>
      <c r="G10" s="366" t="s">
        <v>472</v>
      </c>
      <c r="H10" s="353"/>
      <c r="I10" s="353"/>
      <c r="J10" s="353"/>
      <c r="K10" s="353"/>
      <c r="L10" s="353"/>
      <c r="M10" s="353"/>
      <c r="N10" s="353"/>
    </row>
    <row r="11" spans="1:14" ht="18.75" thickBot="1" x14ac:dyDescent="0.25">
      <c r="A11" s="353"/>
      <c r="B11" s="353"/>
      <c r="C11" s="353"/>
      <c r="D11" s="364" t="s">
        <v>473</v>
      </c>
      <c r="E11" s="365" t="s">
        <v>474</v>
      </c>
      <c r="F11" s="366" t="s">
        <v>402</v>
      </c>
      <c r="G11" s="367" t="s">
        <v>475</v>
      </c>
      <c r="H11" s="353"/>
      <c r="I11" s="353"/>
      <c r="J11" s="353"/>
      <c r="K11" s="353"/>
      <c r="L11" s="353"/>
      <c r="M11" s="353"/>
      <c r="N11" s="353"/>
    </row>
    <row r="12" spans="1:14" ht="18.75" thickBot="1" x14ac:dyDescent="0.25">
      <c r="A12" s="353"/>
      <c r="B12" s="353"/>
      <c r="C12" s="353"/>
      <c r="D12" s="368" t="s">
        <v>1334</v>
      </c>
      <c r="E12" s="365" t="s">
        <v>476</v>
      </c>
      <c r="F12" s="366" t="s">
        <v>402</v>
      </c>
      <c r="G12" s="367" t="s">
        <v>477</v>
      </c>
      <c r="H12" s="353"/>
      <c r="I12" s="353"/>
      <c r="J12" s="353"/>
      <c r="K12" s="353"/>
      <c r="L12" s="353"/>
      <c r="M12" s="353"/>
      <c r="N12" s="353"/>
    </row>
    <row r="13" spans="1:14" ht="18.75" thickBot="1" x14ac:dyDescent="0.25">
      <c r="A13" s="353"/>
      <c r="B13" s="353"/>
      <c r="C13" s="353"/>
      <c r="D13" s="364" t="s">
        <v>478</v>
      </c>
      <c r="E13" s="365" t="s">
        <v>479</v>
      </c>
      <c r="F13" s="366" t="s">
        <v>402</v>
      </c>
      <c r="G13" s="366" t="s">
        <v>721</v>
      </c>
      <c r="H13" s="353"/>
      <c r="I13" s="353"/>
      <c r="J13" s="353"/>
      <c r="K13" s="353"/>
      <c r="L13" s="353"/>
      <c r="M13" s="353"/>
      <c r="N13" s="353"/>
    </row>
    <row r="14" spans="1:14" ht="18.75" thickBot="1" x14ac:dyDescent="0.25">
      <c r="A14" s="353"/>
      <c r="B14" s="353"/>
      <c r="C14" s="353"/>
      <c r="D14" s="364" t="s">
        <v>1333</v>
      </c>
      <c r="E14" s="365" t="s">
        <v>480</v>
      </c>
      <c r="F14" s="366" t="s">
        <v>402</v>
      </c>
      <c r="G14" s="366" t="s">
        <v>722</v>
      </c>
      <c r="H14" s="353"/>
      <c r="I14" s="353"/>
      <c r="J14" s="353"/>
      <c r="K14" s="353"/>
      <c r="L14" s="353"/>
      <c r="M14" s="353"/>
      <c r="N14" s="353"/>
    </row>
    <row r="15" spans="1:14" ht="18.75" thickBot="1" x14ac:dyDescent="0.25">
      <c r="A15" s="353"/>
      <c r="B15" s="353"/>
      <c r="C15" s="353"/>
      <c r="D15" s="364" t="s">
        <v>426</v>
      </c>
      <c r="E15" s="365" t="s">
        <v>481</v>
      </c>
      <c r="F15" s="366" t="s">
        <v>402</v>
      </c>
      <c r="G15" s="369">
        <v>10000000</v>
      </c>
      <c r="H15" s="353"/>
      <c r="I15" s="353"/>
      <c r="J15" s="353"/>
      <c r="K15" s="353"/>
      <c r="L15" s="353"/>
      <c r="M15" s="353"/>
      <c r="N15" s="353"/>
    </row>
    <row r="16" spans="1:14" ht="18.75" thickBot="1" x14ac:dyDescent="0.25">
      <c r="B16" s="353"/>
      <c r="C16" s="353"/>
      <c r="D16" s="364" t="s">
        <v>430</v>
      </c>
      <c r="E16" s="365"/>
      <c r="F16" s="366" t="s">
        <v>431</v>
      </c>
      <c r="G16" s="369">
        <v>10000000</v>
      </c>
      <c r="H16" s="353"/>
      <c r="I16" s="353"/>
      <c r="J16" s="353"/>
      <c r="K16" s="353"/>
      <c r="L16" s="353"/>
      <c r="M16" s="353"/>
    </row>
    <row r="17" spans="2:13" ht="18" x14ac:dyDescent="0.2">
      <c r="B17" s="353"/>
      <c r="C17" s="370"/>
      <c r="D17" s="353"/>
      <c r="E17" s="353"/>
      <c r="F17" s="353"/>
      <c r="G17" s="353"/>
      <c r="H17" s="353"/>
      <c r="I17" s="353"/>
      <c r="J17" s="353"/>
      <c r="K17" s="353"/>
      <c r="L17" s="353"/>
      <c r="M17" s="353"/>
    </row>
    <row r="18" spans="2:13" ht="54" customHeight="1" x14ac:dyDescent="0.25">
      <c r="B18" s="358"/>
      <c r="C18" s="1261" t="s">
        <v>688</v>
      </c>
      <c r="D18" s="1261"/>
      <c r="E18" s="1261"/>
      <c r="F18" s="1261"/>
      <c r="G18" s="1261"/>
      <c r="H18" s="1261"/>
      <c r="I18" s="1261"/>
      <c r="J18" s="1261"/>
      <c r="K18" s="1261"/>
      <c r="L18" s="1261"/>
      <c r="M18" s="1261"/>
    </row>
    <row r="19" spans="2:13" ht="18" x14ac:dyDescent="0.25">
      <c r="B19" s="358"/>
      <c r="C19" s="361"/>
      <c r="D19" s="361"/>
      <c r="E19" s="361"/>
      <c r="F19" s="361"/>
      <c r="G19" s="361"/>
      <c r="H19" s="361"/>
      <c r="I19" s="361"/>
      <c r="J19" s="361"/>
      <c r="K19" s="361"/>
      <c r="L19" s="361"/>
      <c r="M19" s="361"/>
    </row>
    <row r="20" spans="2:13" ht="18" x14ac:dyDescent="0.25">
      <c r="B20" s="358" t="s">
        <v>482</v>
      </c>
      <c r="C20" s="359" t="s">
        <v>483</v>
      </c>
      <c r="D20" s="353"/>
      <c r="E20" s="353"/>
      <c r="F20" s="353"/>
      <c r="G20" s="353"/>
      <c r="H20" s="353"/>
      <c r="I20" s="353"/>
      <c r="J20" s="353"/>
      <c r="K20" s="353"/>
      <c r="L20" s="353"/>
      <c r="M20" s="353"/>
    </row>
    <row r="21" spans="2:13" ht="18" x14ac:dyDescent="0.2">
      <c r="B21" s="353"/>
      <c r="C21" s="1261" t="s">
        <v>689</v>
      </c>
      <c r="D21" s="1261"/>
      <c r="E21" s="1261"/>
      <c r="F21" s="1261"/>
      <c r="G21" s="1261"/>
      <c r="H21" s="1261"/>
      <c r="I21" s="1261"/>
      <c r="J21" s="1261"/>
      <c r="K21" s="1261"/>
      <c r="L21" s="1261"/>
      <c r="M21" s="1261"/>
    </row>
    <row r="22" spans="2:13" ht="18" x14ac:dyDescent="0.2">
      <c r="B22" s="353"/>
      <c r="C22" s="361"/>
      <c r="D22" s="361"/>
      <c r="E22" s="361"/>
      <c r="F22" s="361"/>
      <c r="G22" s="361"/>
      <c r="H22" s="361"/>
      <c r="I22" s="361"/>
      <c r="J22" s="361"/>
      <c r="K22" s="361"/>
      <c r="L22" s="361"/>
      <c r="M22" s="361"/>
    </row>
    <row r="23" spans="2:13" ht="18" x14ac:dyDescent="0.25">
      <c r="B23" s="358" t="s">
        <v>484</v>
      </c>
      <c r="C23" s="359" t="s">
        <v>485</v>
      </c>
      <c r="D23" s="353"/>
      <c r="E23" s="353"/>
      <c r="F23" s="353"/>
      <c r="G23" s="353"/>
      <c r="H23" s="353"/>
      <c r="I23" s="353"/>
      <c r="J23" s="353"/>
      <c r="K23" s="353"/>
      <c r="L23" s="353"/>
      <c r="M23" s="353"/>
    </row>
    <row r="24" spans="2:13" ht="59.25" customHeight="1" x14ac:dyDescent="0.25">
      <c r="B24" s="358"/>
      <c r="C24" s="1261" t="s">
        <v>690</v>
      </c>
      <c r="D24" s="1261"/>
      <c r="E24" s="1261"/>
      <c r="F24" s="1261"/>
      <c r="G24" s="1261"/>
      <c r="H24" s="1261"/>
      <c r="I24" s="1261"/>
      <c r="J24" s="1261"/>
      <c r="K24" s="1261"/>
      <c r="L24" s="1261"/>
      <c r="M24" s="1261"/>
    </row>
    <row r="25" spans="2:13" ht="18" x14ac:dyDescent="0.25">
      <c r="B25" s="358"/>
      <c r="C25" s="434" t="s">
        <v>486</v>
      </c>
      <c r="D25" s="353"/>
      <c r="E25" s="353"/>
      <c r="F25" s="353"/>
      <c r="G25" s="353"/>
      <c r="H25" s="353"/>
      <c r="I25" s="353"/>
      <c r="J25" s="353"/>
      <c r="K25" s="353"/>
      <c r="L25" s="353"/>
      <c r="M25" s="353"/>
    </row>
    <row r="26" spans="2:13" ht="18" x14ac:dyDescent="0.25">
      <c r="B26" s="358"/>
      <c r="C26" s="371"/>
      <c r="D26" s="353"/>
      <c r="E26" s="353"/>
      <c r="F26" s="353"/>
      <c r="G26" s="353"/>
      <c r="H26" s="353"/>
      <c r="I26" s="353"/>
      <c r="J26" s="353"/>
      <c r="K26" s="353"/>
      <c r="L26" s="353"/>
      <c r="M26" s="353"/>
    </row>
    <row r="27" spans="2:13" ht="18" x14ac:dyDescent="0.2">
      <c r="B27" s="353"/>
      <c r="C27" s="1261" t="s">
        <v>703</v>
      </c>
      <c r="D27" s="1261"/>
      <c r="E27" s="1261"/>
      <c r="F27" s="1261"/>
      <c r="G27" s="1261"/>
      <c r="H27" s="1261"/>
      <c r="I27" s="1261"/>
      <c r="J27" s="1261"/>
      <c r="K27" s="1261"/>
      <c r="L27" s="1261"/>
      <c r="M27" s="1261"/>
    </row>
    <row r="28" spans="2:13" ht="38.25" customHeight="1" x14ac:dyDescent="0.25">
      <c r="B28" s="353"/>
      <c r="C28" s="1264" t="s">
        <v>691</v>
      </c>
      <c r="D28" s="1264"/>
      <c r="E28" s="1264"/>
      <c r="F28" s="1264"/>
      <c r="G28" s="1264"/>
      <c r="H28" s="1264"/>
      <c r="I28" s="1264"/>
      <c r="J28" s="1264"/>
      <c r="K28" s="1264"/>
      <c r="L28" s="1264"/>
      <c r="M28" s="1264"/>
    </row>
    <row r="29" spans="2:13" ht="31.9" customHeight="1" x14ac:dyDescent="0.25">
      <c r="B29" s="353"/>
      <c r="C29" s="1264" t="s">
        <v>692</v>
      </c>
      <c r="D29" s="1264"/>
      <c r="E29" s="1264"/>
      <c r="F29" s="1264"/>
      <c r="G29" s="1264"/>
      <c r="H29" s="1264"/>
      <c r="I29" s="1264"/>
      <c r="J29" s="1264"/>
      <c r="K29" s="1264"/>
      <c r="L29" s="1264"/>
      <c r="M29" s="1264"/>
    </row>
    <row r="30" spans="2:13" ht="18" x14ac:dyDescent="0.2">
      <c r="B30" s="353"/>
      <c r="C30" s="361"/>
      <c r="D30" s="361"/>
      <c r="E30" s="361"/>
      <c r="F30" s="361"/>
      <c r="G30" s="361"/>
      <c r="H30" s="361"/>
      <c r="I30" s="361"/>
      <c r="J30" s="361"/>
      <c r="K30" s="361"/>
      <c r="L30" s="361"/>
      <c r="M30" s="361"/>
    </row>
    <row r="31" spans="2:13" ht="18" x14ac:dyDescent="0.25">
      <c r="B31" s="358" t="s">
        <v>487</v>
      </c>
      <c r="C31" s="513" t="s">
        <v>743</v>
      </c>
      <c r="D31" s="514"/>
      <c r="E31" s="353"/>
      <c r="F31" s="353"/>
      <c r="G31" s="353"/>
      <c r="H31" s="353"/>
      <c r="I31" s="353"/>
      <c r="J31" s="353"/>
      <c r="K31" s="353"/>
      <c r="L31" s="353"/>
      <c r="M31" s="353"/>
    </row>
    <row r="32" spans="2:13" ht="41.25" customHeight="1" x14ac:dyDescent="0.2">
      <c r="B32" s="353"/>
      <c r="C32" s="1261" t="s">
        <v>497</v>
      </c>
      <c r="D32" s="1261"/>
      <c r="E32" s="1261"/>
      <c r="F32" s="1261"/>
      <c r="G32" s="1261"/>
      <c r="H32" s="1261"/>
      <c r="I32" s="1261"/>
      <c r="J32" s="1261"/>
      <c r="K32" s="1261"/>
      <c r="L32" s="1261"/>
      <c r="M32" s="1261"/>
    </row>
    <row r="33" spans="2:13" ht="22.9" customHeight="1" x14ac:dyDescent="0.25">
      <c r="B33" s="353"/>
      <c r="C33" s="1265" t="s">
        <v>492</v>
      </c>
      <c r="D33" s="1265"/>
      <c r="E33" s="1265"/>
      <c r="F33" s="1265"/>
      <c r="G33" s="1265"/>
      <c r="H33" s="1265"/>
      <c r="I33" s="1265"/>
      <c r="J33" s="1265"/>
      <c r="K33" s="1265"/>
      <c r="L33" s="1265"/>
      <c r="M33" s="1265"/>
    </row>
    <row r="34" spans="2:13" ht="56.25" customHeight="1" x14ac:dyDescent="0.25">
      <c r="B34" s="353"/>
      <c r="C34" s="1265" t="s">
        <v>1335</v>
      </c>
      <c r="D34" s="1265"/>
      <c r="E34" s="1265"/>
      <c r="F34" s="1265"/>
      <c r="G34" s="1265"/>
      <c r="H34" s="1265"/>
      <c r="I34" s="1265"/>
      <c r="J34" s="1265"/>
      <c r="K34" s="1265"/>
      <c r="L34" s="1265"/>
      <c r="M34" s="1265"/>
    </row>
    <row r="35" spans="2:13" ht="10.5" customHeight="1" x14ac:dyDescent="0.2">
      <c r="B35" s="353"/>
      <c r="C35" s="353"/>
      <c r="D35" s="1261"/>
      <c r="E35" s="1261"/>
      <c r="F35" s="1261"/>
      <c r="G35" s="1261"/>
      <c r="H35" s="1261"/>
      <c r="I35" s="1261"/>
      <c r="J35" s="1261"/>
      <c r="K35" s="1261"/>
      <c r="L35" s="1261"/>
      <c r="M35" s="1261"/>
    </row>
    <row r="36" spans="2:13" ht="54.75" customHeight="1" x14ac:dyDescent="0.2">
      <c r="B36" s="353"/>
      <c r="C36" s="1261" t="s">
        <v>819</v>
      </c>
      <c r="D36" s="1261"/>
      <c r="E36" s="1261"/>
      <c r="F36" s="1261"/>
      <c r="G36" s="1261"/>
      <c r="H36" s="1261"/>
      <c r="I36" s="1261"/>
      <c r="J36" s="1261"/>
      <c r="K36" s="1261"/>
      <c r="L36" s="1261"/>
      <c r="M36" s="1261"/>
    </row>
    <row r="37" spans="2:13" ht="18" x14ac:dyDescent="0.2">
      <c r="B37" s="353"/>
      <c r="C37" s="361"/>
      <c r="D37" s="361"/>
      <c r="E37" s="361"/>
      <c r="F37" s="361"/>
      <c r="G37" s="361"/>
      <c r="H37" s="361"/>
      <c r="I37" s="361"/>
      <c r="J37" s="361"/>
      <c r="K37" s="361"/>
      <c r="L37" s="361"/>
      <c r="M37" s="361"/>
    </row>
    <row r="38" spans="2:13" ht="46.5" customHeight="1" x14ac:dyDescent="0.2">
      <c r="B38" s="353"/>
      <c r="C38" s="1262" t="s">
        <v>720</v>
      </c>
      <c r="D38" s="1262"/>
      <c r="E38" s="1262"/>
      <c r="F38" s="1262"/>
      <c r="G38" s="1262"/>
      <c r="H38" s="1262"/>
      <c r="I38" s="1262"/>
      <c r="J38" s="1262"/>
      <c r="K38" s="1262"/>
      <c r="L38" s="1262"/>
      <c r="M38" s="1262"/>
    </row>
    <row r="39" spans="2:13" ht="34.5" customHeight="1" x14ac:dyDescent="0.2">
      <c r="B39" s="353"/>
      <c r="C39" s="1261" t="s">
        <v>746</v>
      </c>
      <c r="D39" s="1261"/>
      <c r="E39" s="1261"/>
      <c r="F39" s="1261"/>
      <c r="G39" s="1261"/>
      <c r="H39" s="1261"/>
      <c r="I39" s="1261"/>
      <c r="J39" s="1261"/>
      <c r="K39" s="1261"/>
      <c r="L39" s="1261"/>
      <c r="M39" s="1261"/>
    </row>
    <row r="40" spans="2:13" ht="18" x14ac:dyDescent="0.2">
      <c r="B40" s="353"/>
      <c r="C40" s="353"/>
      <c r="D40" s="361"/>
      <c r="E40" s="361"/>
      <c r="F40" s="361"/>
      <c r="G40" s="361"/>
      <c r="H40" s="361"/>
      <c r="I40" s="361"/>
      <c r="J40" s="361"/>
      <c r="K40" s="361"/>
      <c r="L40" s="361"/>
      <c r="M40" s="361"/>
    </row>
    <row r="41" spans="2:13" ht="18" x14ac:dyDescent="0.25">
      <c r="B41" s="358" t="s">
        <v>488</v>
      </c>
      <c r="C41" s="359" t="s">
        <v>747</v>
      </c>
      <c r="D41" s="353"/>
      <c r="E41" s="361"/>
      <c r="F41" s="361"/>
      <c r="G41" s="361"/>
      <c r="H41" s="361"/>
      <c r="I41" s="361"/>
      <c r="J41" s="361"/>
      <c r="K41" s="361"/>
      <c r="L41" s="361"/>
      <c r="M41" s="361"/>
    </row>
    <row r="42" spans="2:13" ht="36" customHeight="1" x14ac:dyDescent="0.2">
      <c r="B42" s="353"/>
      <c r="C42" s="1261" t="s">
        <v>749</v>
      </c>
      <c r="D42" s="1261"/>
      <c r="E42" s="1261"/>
      <c r="F42" s="1261"/>
      <c r="G42" s="1261"/>
      <c r="H42" s="1261"/>
      <c r="I42" s="1261"/>
      <c r="J42" s="1261"/>
      <c r="K42" s="1261"/>
      <c r="L42" s="1261"/>
      <c r="M42" s="1261"/>
    </row>
    <row r="43" spans="2:13" ht="18.75" customHeight="1" x14ac:dyDescent="0.2">
      <c r="B43" s="353"/>
      <c r="C43" s="1261" t="s">
        <v>750</v>
      </c>
      <c r="D43" s="1261"/>
      <c r="E43" s="1261"/>
      <c r="F43" s="1261"/>
      <c r="G43" s="1261"/>
      <c r="H43" s="1261"/>
      <c r="I43" s="1261"/>
      <c r="J43" s="1261"/>
      <c r="K43" s="1261"/>
      <c r="L43" s="1261"/>
      <c r="M43" s="361"/>
    </row>
    <row r="44" spans="2:13" ht="18" x14ac:dyDescent="0.2">
      <c r="B44" s="353"/>
      <c r="C44" s="1261" t="s">
        <v>494</v>
      </c>
      <c r="D44" s="1261"/>
      <c r="E44" s="1261"/>
      <c r="F44" s="1261"/>
      <c r="G44" s="1261"/>
      <c r="H44" s="1261"/>
      <c r="I44" s="1261"/>
      <c r="J44" s="1261"/>
      <c r="K44" s="1261"/>
      <c r="L44" s="1261"/>
      <c r="M44" s="1261"/>
    </row>
    <row r="45" spans="2:13" ht="18" x14ac:dyDescent="0.2">
      <c r="B45" s="353"/>
      <c r="C45" s="361"/>
      <c r="D45" s="361"/>
      <c r="E45" s="361"/>
      <c r="F45" s="361"/>
      <c r="G45" s="361"/>
      <c r="H45" s="361"/>
      <c r="I45" s="361"/>
      <c r="J45" s="361"/>
      <c r="K45" s="361"/>
      <c r="L45" s="361"/>
      <c r="M45" s="361"/>
    </row>
    <row r="46" spans="2:13" ht="18" x14ac:dyDescent="0.25">
      <c r="B46" s="358" t="s">
        <v>744</v>
      </c>
      <c r="C46" s="359" t="s">
        <v>748</v>
      </c>
      <c r="D46" s="353"/>
      <c r="E46" s="353"/>
      <c r="F46" s="353"/>
      <c r="G46" s="353"/>
      <c r="H46" s="353"/>
      <c r="I46" s="353"/>
      <c r="J46" s="353"/>
      <c r="K46" s="353"/>
      <c r="L46" s="353"/>
      <c r="M46" s="353"/>
    </row>
    <row r="47" spans="2:13" ht="18" x14ac:dyDescent="0.2">
      <c r="B47" s="353"/>
      <c r="C47" s="1261" t="s">
        <v>493</v>
      </c>
      <c r="D47" s="1261"/>
      <c r="E47" s="1261"/>
      <c r="F47" s="1261"/>
      <c r="G47" s="1261"/>
      <c r="H47" s="1261"/>
      <c r="I47" s="1261"/>
      <c r="J47" s="1261"/>
      <c r="K47" s="1261"/>
      <c r="L47" s="1261"/>
      <c r="M47" s="1261"/>
    </row>
    <row r="48" spans="2:13" ht="18" x14ac:dyDescent="0.2">
      <c r="B48" s="353"/>
      <c r="C48" s="361"/>
      <c r="D48" s="361"/>
      <c r="E48" s="361"/>
      <c r="F48" s="361"/>
      <c r="G48" s="361"/>
      <c r="H48" s="361"/>
      <c r="I48" s="361"/>
      <c r="J48" s="361"/>
      <c r="K48" s="361"/>
      <c r="L48" s="361"/>
      <c r="M48" s="361"/>
    </row>
    <row r="49" spans="2:13" ht="18" x14ac:dyDescent="0.25">
      <c r="B49" s="358">
        <v>3.4</v>
      </c>
      <c r="C49" s="352" t="s">
        <v>496</v>
      </c>
      <c r="D49" s="351"/>
      <c r="E49" s="353"/>
      <c r="F49" s="353"/>
      <c r="G49" s="353"/>
      <c r="H49" s="353"/>
      <c r="I49" s="353"/>
      <c r="J49" s="353"/>
      <c r="K49" s="353"/>
      <c r="L49" s="353"/>
      <c r="M49" s="353"/>
    </row>
    <row r="50" spans="2:13" ht="39.75" customHeight="1" x14ac:dyDescent="0.2">
      <c r="B50" s="353"/>
      <c r="C50" s="1261" t="s">
        <v>694</v>
      </c>
      <c r="D50" s="1261"/>
      <c r="E50" s="1261"/>
      <c r="F50" s="1261"/>
      <c r="G50" s="1261"/>
      <c r="H50" s="1261"/>
      <c r="I50" s="1261"/>
      <c r="J50" s="1261"/>
      <c r="K50" s="1261"/>
      <c r="L50" s="1261"/>
      <c r="M50" s="1261"/>
    </row>
    <row r="51" spans="2:13" ht="51.75" customHeight="1" x14ac:dyDescent="0.2">
      <c r="B51" s="353"/>
      <c r="C51" s="1261" t="s">
        <v>719</v>
      </c>
      <c r="D51" s="1261"/>
      <c r="E51" s="1261"/>
      <c r="F51" s="1261"/>
      <c r="G51" s="1261"/>
      <c r="H51" s="1261"/>
      <c r="I51" s="1261"/>
      <c r="J51" s="1261"/>
      <c r="K51" s="1261"/>
      <c r="L51" s="1261"/>
      <c r="M51" s="1261"/>
    </row>
    <row r="52" spans="2:13" ht="18" x14ac:dyDescent="0.2">
      <c r="B52" s="353"/>
      <c r="C52" s="361"/>
      <c r="D52" s="361"/>
      <c r="E52" s="361"/>
      <c r="F52" s="361"/>
      <c r="G52" s="361"/>
      <c r="H52" s="361"/>
      <c r="I52" s="361"/>
      <c r="J52" s="361"/>
      <c r="K52" s="361"/>
      <c r="L52" s="361"/>
      <c r="M52" s="361"/>
    </row>
    <row r="53" spans="2:13" ht="18" x14ac:dyDescent="0.25">
      <c r="B53" s="358">
        <v>3.5</v>
      </c>
      <c r="C53" s="377" t="s">
        <v>511</v>
      </c>
      <c r="D53" s="378"/>
      <c r="E53" s="353"/>
      <c r="F53" s="353"/>
      <c r="G53" s="353"/>
      <c r="H53" s="353"/>
      <c r="I53" s="353"/>
      <c r="J53" s="353"/>
      <c r="K53" s="353"/>
      <c r="L53" s="353"/>
      <c r="M53" s="353"/>
    </row>
    <row r="54" spans="2:13" ht="18" customHeight="1" x14ac:dyDescent="0.2">
      <c r="B54" s="353"/>
      <c r="C54" s="1261" t="s">
        <v>512</v>
      </c>
      <c r="D54" s="1261"/>
      <c r="E54" s="1261"/>
      <c r="F54" s="1261"/>
      <c r="G54" s="1261"/>
      <c r="H54" s="1261"/>
      <c r="I54" s="1261"/>
      <c r="J54" s="1261"/>
      <c r="K54" s="1261"/>
      <c r="L54" s="1261"/>
      <c r="M54" s="1261"/>
    </row>
    <row r="55" spans="2:13" ht="18" customHeight="1" x14ac:dyDescent="0.2">
      <c r="C55" s="1261"/>
      <c r="D55" s="1261"/>
      <c r="E55" s="1261"/>
      <c r="F55" s="1261"/>
      <c r="G55" s="1261"/>
      <c r="H55" s="1261"/>
      <c r="I55" s="1261"/>
      <c r="J55" s="1261"/>
      <c r="K55" s="1261"/>
      <c r="L55" s="1261"/>
      <c r="M55" s="1261"/>
    </row>
    <row r="57" spans="2:13" ht="18" x14ac:dyDescent="0.25">
      <c r="B57" s="358" t="s">
        <v>704</v>
      </c>
      <c r="C57" s="359" t="s">
        <v>685</v>
      </c>
      <c r="D57" s="353"/>
      <c r="E57" s="353"/>
      <c r="F57" s="353"/>
      <c r="G57" s="353"/>
      <c r="H57" s="353"/>
      <c r="I57" s="353"/>
      <c r="J57" s="353"/>
      <c r="K57" s="353"/>
      <c r="L57" s="353"/>
      <c r="M57" s="353"/>
    </row>
    <row r="58" spans="2:13" ht="18" x14ac:dyDescent="0.2">
      <c r="B58" s="353"/>
      <c r="C58" s="1261" t="s">
        <v>495</v>
      </c>
      <c r="D58" s="1261"/>
      <c r="E58" s="1261"/>
      <c r="F58" s="1261"/>
      <c r="G58" s="1261"/>
      <c r="H58" s="1261"/>
      <c r="I58" s="1261"/>
      <c r="J58" s="1261"/>
      <c r="K58" s="1261"/>
      <c r="L58" s="1261"/>
      <c r="M58" s="1261"/>
    </row>
    <row r="59" spans="2:13" ht="18" x14ac:dyDescent="0.2">
      <c r="B59" s="353"/>
      <c r="C59" s="1261" t="s">
        <v>718</v>
      </c>
      <c r="D59" s="1261"/>
      <c r="E59" s="1261"/>
      <c r="F59" s="1261"/>
      <c r="G59" s="1261"/>
      <c r="H59" s="1261"/>
      <c r="I59" s="1261"/>
      <c r="J59" s="1261"/>
      <c r="K59" s="1261"/>
      <c r="L59" s="1261"/>
      <c r="M59" s="361"/>
    </row>
    <row r="60" spans="2:13" ht="36" customHeight="1" x14ac:dyDescent="0.2">
      <c r="B60" s="353"/>
      <c r="C60" s="1261" t="s">
        <v>849</v>
      </c>
      <c r="D60" s="1261"/>
      <c r="E60" s="1261"/>
      <c r="F60" s="1261"/>
      <c r="G60" s="1261"/>
      <c r="H60" s="1261"/>
      <c r="I60" s="1261"/>
      <c r="J60" s="1261"/>
      <c r="K60" s="1261"/>
      <c r="L60" s="1261"/>
      <c r="M60" s="361"/>
    </row>
    <row r="61" spans="2:13" ht="37.5" customHeight="1" x14ac:dyDescent="0.2">
      <c r="B61" s="353"/>
      <c r="C61" s="1261" t="s">
        <v>727</v>
      </c>
      <c r="D61" s="1261"/>
      <c r="E61" s="1261"/>
      <c r="F61" s="1261"/>
      <c r="G61" s="1261"/>
      <c r="H61" s="1261"/>
      <c r="I61" s="1261"/>
      <c r="J61" s="1261"/>
      <c r="K61" s="1261"/>
      <c r="L61" s="1261"/>
      <c r="M61" s="361"/>
    </row>
    <row r="62" spans="2:13" ht="54.75" customHeight="1" x14ac:dyDescent="0.2">
      <c r="B62" s="353"/>
      <c r="C62" s="1261" t="s">
        <v>728</v>
      </c>
      <c r="D62" s="1261"/>
      <c r="E62" s="1261"/>
      <c r="F62" s="1261"/>
      <c r="G62" s="1261"/>
      <c r="H62" s="1261"/>
      <c r="I62" s="1261"/>
      <c r="J62" s="1261"/>
      <c r="K62" s="1261"/>
      <c r="L62" s="1261"/>
      <c r="M62" s="361"/>
    </row>
    <row r="63" spans="2:13" ht="39.4" customHeight="1" x14ac:dyDescent="0.2">
      <c r="B63" s="353"/>
      <c r="C63" s="1261" t="s">
        <v>729</v>
      </c>
      <c r="D63" s="1261"/>
      <c r="E63" s="1261"/>
      <c r="F63" s="1261"/>
      <c r="G63" s="1261"/>
      <c r="H63" s="1261"/>
      <c r="I63" s="1261"/>
      <c r="J63" s="1261"/>
      <c r="K63" s="1261"/>
      <c r="L63" s="1261"/>
      <c r="M63" s="361"/>
    </row>
    <row r="64" spans="2:13" ht="18" x14ac:dyDescent="0.2">
      <c r="B64" s="353"/>
      <c r="C64" s="1261" t="s">
        <v>715</v>
      </c>
      <c r="D64" s="1261"/>
      <c r="E64" s="1261"/>
      <c r="F64" s="1261"/>
      <c r="G64" s="1261"/>
      <c r="H64" s="1261"/>
      <c r="I64" s="1261"/>
      <c r="J64" s="1261"/>
      <c r="K64" s="1261"/>
      <c r="L64" s="1261"/>
      <c r="M64" s="361"/>
    </row>
    <row r="65" spans="2:13" ht="18" x14ac:dyDescent="0.2">
      <c r="B65" s="353"/>
      <c r="C65" s="1261" t="s">
        <v>716</v>
      </c>
      <c r="D65" s="1261"/>
      <c r="E65" s="1261"/>
      <c r="F65" s="1261"/>
      <c r="G65" s="1261"/>
      <c r="H65" s="1261"/>
      <c r="I65" s="1261"/>
      <c r="J65" s="1261"/>
      <c r="K65" s="1261"/>
      <c r="L65" s="1261"/>
      <c r="M65" s="361"/>
    </row>
    <row r="66" spans="2:13" ht="18" customHeight="1" x14ac:dyDescent="0.2">
      <c r="B66" s="353"/>
      <c r="C66" s="1261" t="s">
        <v>717</v>
      </c>
      <c r="D66" s="1261"/>
      <c r="E66" s="1261"/>
      <c r="F66" s="1261"/>
      <c r="G66" s="1261"/>
      <c r="H66" s="1261"/>
      <c r="I66" s="1261"/>
      <c r="J66" s="1261"/>
      <c r="K66" s="1261"/>
      <c r="L66" s="1261"/>
      <c r="M66" s="361"/>
    </row>
    <row r="67" spans="2:13" ht="18" x14ac:dyDescent="0.2">
      <c r="B67" s="353"/>
      <c r="C67" s="1261"/>
      <c r="D67" s="1261"/>
      <c r="E67" s="1261"/>
      <c r="F67" s="1261"/>
      <c r="G67" s="1261"/>
      <c r="H67" s="1261"/>
      <c r="I67" s="1261"/>
      <c r="J67" s="1261"/>
      <c r="K67" s="1261"/>
      <c r="L67" s="1261"/>
      <c r="M67" s="1261"/>
    </row>
    <row r="68" spans="2:13" ht="18" x14ac:dyDescent="0.25">
      <c r="B68" s="358" t="s">
        <v>705</v>
      </c>
      <c r="C68" s="359" t="s">
        <v>772</v>
      </c>
      <c r="D68" s="353"/>
      <c r="E68" s="353"/>
      <c r="F68" s="353"/>
      <c r="G68" s="353"/>
      <c r="H68" s="353"/>
      <c r="I68" s="353"/>
      <c r="J68" s="353"/>
      <c r="K68" s="353"/>
      <c r="L68" s="353"/>
      <c r="M68" s="353"/>
    </row>
    <row r="69" spans="2:13" ht="47.25" customHeight="1" x14ac:dyDescent="0.2">
      <c r="B69" s="353"/>
      <c r="C69" s="1261" t="s">
        <v>769</v>
      </c>
      <c r="D69" s="1261"/>
      <c r="E69" s="1261"/>
      <c r="F69" s="1261"/>
      <c r="G69" s="1261"/>
      <c r="H69" s="1261"/>
      <c r="I69" s="1261"/>
      <c r="J69" s="1261"/>
      <c r="K69" s="1261"/>
      <c r="L69" s="1261"/>
      <c r="M69" s="361"/>
    </row>
    <row r="70" spans="2:13" ht="45" customHeight="1" x14ac:dyDescent="0.2">
      <c r="B70" s="353"/>
      <c r="C70" s="1261" t="s">
        <v>774</v>
      </c>
      <c r="D70" s="1261"/>
      <c r="E70" s="1261"/>
      <c r="F70" s="1261"/>
      <c r="G70" s="1261"/>
      <c r="H70" s="1261"/>
      <c r="I70" s="1261"/>
      <c r="J70" s="1261"/>
      <c r="K70" s="1261"/>
      <c r="L70" s="1261"/>
      <c r="M70" s="361"/>
    </row>
    <row r="71" spans="2:13" ht="18" x14ac:dyDescent="0.2">
      <c r="B71" s="353"/>
      <c r="C71" s="361"/>
      <c r="D71" s="361"/>
      <c r="E71" s="361"/>
      <c r="F71" s="361"/>
      <c r="G71" s="361"/>
      <c r="H71" s="361"/>
      <c r="I71" s="361"/>
      <c r="J71" s="361"/>
      <c r="K71" s="361"/>
      <c r="L71" s="361"/>
      <c r="M71" s="361"/>
    </row>
    <row r="72" spans="2:13" ht="18" x14ac:dyDescent="0.25">
      <c r="B72" s="358" t="s">
        <v>745</v>
      </c>
      <c r="C72" s="359" t="s">
        <v>759</v>
      </c>
      <c r="D72" s="353"/>
      <c r="E72" s="353"/>
      <c r="F72" s="353"/>
      <c r="G72" s="353"/>
      <c r="H72" s="353"/>
      <c r="I72" s="353"/>
      <c r="J72" s="353"/>
      <c r="K72" s="353"/>
      <c r="L72" s="353"/>
      <c r="M72" s="353"/>
    </row>
    <row r="73" spans="2:13" ht="17.649999999999999" customHeight="1" x14ac:dyDescent="0.2">
      <c r="B73" s="353"/>
      <c r="C73" s="1261" t="s">
        <v>684</v>
      </c>
      <c r="D73" s="1261"/>
      <c r="E73" s="1261"/>
      <c r="F73" s="1261"/>
      <c r="G73" s="1261"/>
      <c r="H73" s="1261"/>
      <c r="I73" s="1261"/>
      <c r="J73" s="1261"/>
      <c r="K73" s="1261"/>
      <c r="L73" s="1261"/>
      <c r="M73" s="1261"/>
    </row>
    <row r="75" spans="2:13" ht="18" x14ac:dyDescent="0.25">
      <c r="B75" s="358" t="s">
        <v>852</v>
      </c>
      <c r="C75" s="359" t="s">
        <v>853</v>
      </c>
      <c r="D75" s="353"/>
      <c r="E75" s="353"/>
      <c r="F75" s="353"/>
      <c r="G75" s="353"/>
      <c r="H75" s="353"/>
      <c r="I75" s="353"/>
      <c r="J75" s="353"/>
      <c r="K75" s="353"/>
      <c r="L75" s="353"/>
      <c r="M75" s="353"/>
    </row>
    <row r="76" spans="2:13" ht="37.15" customHeight="1" x14ac:dyDescent="0.2">
      <c r="B76" s="353"/>
      <c r="C76" s="1261" t="s">
        <v>854</v>
      </c>
      <c r="D76" s="1261"/>
      <c r="E76" s="1261"/>
      <c r="F76" s="1261"/>
      <c r="G76" s="1261"/>
      <c r="H76" s="1261"/>
      <c r="I76" s="1261"/>
      <c r="J76" s="1261"/>
      <c r="K76" s="1261"/>
      <c r="L76" s="1261"/>
      <c r="M76" s="1261"/>
    </row>
    <row r="78" spans="2:13" ht="18" x14ac:dyDescent="0.25">
      <c r="B78" s="358" t="s">
        <v>489</v>
      </c>
      <c r="C78" s="359" t="s">
        <v>490</v>
      </c>
      <c r="D78" s="353"/>
      <c r="E78" s="353"/>
      <c r="F78" s="353"/>
      <c r="G78" s="353"/>
      <c r="H78" s="353"/>
      <c r="I78" s="353"/>
      <c r="J78" s="353"/>
      <c r="K78" s="353"/>
      <c r="L78" s="353"/>
      <c r="M78" s="353"/>
    </row>
    <row r="79" spans="2:13" ht="18" x14ac:dyDescent="0.2">
      <c r="B79" s="353"/>
      <c r="C79" s="1261" t="s">
        <v>1244</v>
      </c>
      <c r="D79" s="1261"/>
      <c r="E79" s="1261"/>
      <c r="F79" s="1261"/>
      <c r="G79" s="1261"/>
      <c r="H79" s="1261"/>
      <c r="I79" s="1261"/>
      <c r="J79" s="1261"/>
      <c r="K79" s="1261"/>
      <c r="L79" s="1261"/>
      <c r="M79" s="1261"/>
    </row>
  </sheetData>
  <mergeCells count="39">
    <mergeCell ref="C54:M55"/>
    <mergeCell ref="C24:M24"/>
    <mergeCell ref="C58:M58"/>
    <mergeCell ref="C67:M67"/>
    <mergeCell ref="D35:M35"/>
    <mergeCell ref="C42:M42"/>
    <mergeCell ref="C27:M27"/>
    <mergeCell ref="C28:M28"/>
    <mergeCell ref="C29:M29"/>
    <mergeCell ref="C44:M44"/>
    <mergeCell ref="C50:M50"/>
    <mergeCell ref="C39:M39"/>
    <mergeCell ref="C51:M51"/>
    <mergeCell ref="C32:M32"/>
    <mergeCell ref="C34:M34"/>
    <mergeCell ref="C33:M33"/>
    <mergeCell ref="C36:M36"/>
    <mergeCell ref="K1:M1"/>
    <mergeCell ref="C4:M4"/>
    <mergeCell ref="C21:M21"/>
    <mergeCell ref="C18:M18"/>
    <mergeCell ref="C7:M7"/>
    <mergeCell ref="C8:M8"/>
    <mergeCell ref="C79:M79"/>
    <mergeCell ref="C38:M38"/>
    <mergeCell ref="C66:L66"/>
    <mergeCell ref="C65:L65"/>
    <mergeCell ref="C64:L64"/>
    <mergeCell ref="C63:L63"/>
    <mergeCell ref="C62:L62"/>
    <mergeCell ref="C73:M73"/>
    <mergeCell ref="C61:L61"/>
    <mergeCell ref="C60:L60"/>
    <mergeCell ref="C69:L69"/>
    <mergeCell ref="C70:L70"/>
    <mergeCell ref="C76:M76"/>
    <mergeCell ref="C59:L59"/>
    <mergeCell ref="C47:M47"/>
    <mergeCell ref="C43:L43"/>
  </mergeCells>
  <hyperlinks>
    <hyperlink ref="C25" r:id="rId1" xr:uid="{00000000-0004-0000-0000-000000000000}"/>
  </hyperlinks>
  <pageMargins left="0.7" right="0.7" top="0.75" bottom="0.75" header="0.3" footer="0.3"/>
  <pageSetup scale="55" fitToHeight="0" orientation="landscape" r:id="rId2"/>
  <headerFooter>
    <oddFooter xml:space="preserve">&amp;R&amp;6&amp;Z&amp;F   &amp;D
&amp;7© 2016 TRC   All rights reserved. </oddFooter>
  </headerFooter>
  <rowBreaks count="1" manualBreakCount="1">
    <brk id="30" max="16383"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DA2EB-1952-4701-AB59-DBE3CE1C2CEE}">
  <sheetPr codeName="Sheet27">
    <tabColor rgb="FF92D050"/>
    <pageSetUpPr fitToPage="1"/>
  </sheetPr>
  <dimension ref="A1:AU83"/>
  <sheetViews>
    <sheetView tabSelected="1" topLeftCell="A5" zoomScale="80" zoomScaleNormal="80" zoomScaleSheetLayoutView="80" workbookViewId="0">
      <selection activeCell="E35" sqref="E35"/>
    </sheetView>
  </sheetViews>
  <sheetFormatPr defaultColWidth="12.7109375" defaultRowHeight="12.75" x14ac:dyDescent="0.2"/>
  <cols>
    <col min="1" max="1" width="12.7109375" style="4" customWidth="1"/>
    <col min="2" max="2" width="12.140625" style="4" customWidth="1"/>
    <col min="3" max="3" width="33.28515625" style="4" customWidth="1"/>
    <col min="4" max="4" width="36.28515625" style="3" customWidth="1"/>
    <col min="5" max="5" width="19.7109375" style="4" customWidth="1"/>
    <col min="6" max="6" width="13" style="4" customWidth="1"/>
    <col min="7" max="7" width="3.7109375" style="4" customWidth="1"/>
    <col min="8" max="8" width="18.42578125" style="4" customWidth="1"/>
    <col min="9" max="9" width="10.140625" style="4" customWidth="1"/>
    <col min="10" max="10" width="16" style="4" customWidth="1"/>
    <col min="11" max="11" width="20.28515625" style="4" customWidth="1"/>
    <col min="12" max="13" width="16.7109375" style="4" customWidth="1"/>
    <col min="14" max="14" width="35.5703125" style="4" customWidth="1"/>
    <col min="15" max="15" width="12.7109375" style="4" customWidth="1"/>
    <col min="16" max="16" width="16.42578125" style="4" customWidth="1"/>
    <col min="17" max="17" width="11" style="4" hidden="1" customWidth="1"/>
    <col min="18" max="18" width="8" style="4" hidden="1" customWidth="1"/>
    <col min="19" max="19" width="10.5703125" style="4" hidden="1" customWidth="1"/>
    <col min="20" max="20" width="8.28515625" style="4" hidden="1" customWidth="1"/>
    <col min="21" max="21" width="14.140625" style="4" hidden="1" customWidth="1"/>
    <col min="22" max="22" width="9.28515625" style="4" hidden="1" customWidth="1"/>
    <col min="23" max="23" width="22.7109375" style="150" hidden="1" customWidth="1"/>
    <col min="24" max="24" width="29.28515625" style="4" customWidth="1"/>
    <col min="25" max="33" width="18.140625" style="4" customWidth="1"/>
    <col min="34" max="34" width="11.7109375" style="4" customWidth="1"/>
    <col min="35" max="36" width="12.7109375" style="4" customWidth="1"/>
    <col min="37" max="37" width="14.42578125" style="4" customWidth="1"/>
    <col min="38" max="41" width="12.7109375" style="4" customWidth="1"/>
    <col min="42" max="42" width="15" style="4" customWidth="1"/>
    <col min="43" max="43" width="18.42578125" style="4" customWidth="1"/>
    <col min="44" max="44" width="14.42578125" style="4" customWidth="1"/>
    <col min="45" max="45" width="20.42578125" style="4" customWidth="1"/>
    <col min="46" max="46" width="21.140625" style="4" customWidth="1"/>
    <col min="47" max="47" width="22.140625" style="4" customWidth="1"/>
    <col min="48" max="16384" width="12.7109375" style="4"/>
  </cols>
  <sheetData>
    <row r="1" spans="1:47" ht="15.75" x14ac:dyDescent="0.25">
      <c r="A1" s="235" t="s">
        <v>2533</v>
      </c>
      <c r="B1" s="235"/>
      <c r="C1" s="236"/>
      <c r="D1" s="236"/>
      <c r="E1" s="236"/>
      <c r="F1" s="236"/>
      <c r="G1" s="236"/>
      <c r="H1" s="236"/>
      <c r="I1" s="235"/>
      <c r="J1" s="1266" t="str">
        <f>+Instructions!K1</f>
        <v>Last Revised 08/01/2024</v>
      </c>
      <c r="K1" s="1267"/>
      <c r="L1" s="1267"/>
      <c r="M1" s="555"/>
      <c r="N1" s="454" t="str">
        <f>+Instructions!N1</f>
        <v>KCS</v>
      </c>
      <c r="AO1" s="4" t="s">
        <v>5</v>
      </c>
    </row>
    <row r="2" spans="1:47" ht="15" customHeight="1" x14ac:dyDescent="0.2">
      <c r="A2" s="1268" t="s">
        <v>353</v>
      </c>
      <c r="B2" s="1269"/>
      <c r="C2" s="1269"/>
      <c r="D2" s="1269"/>
      <c r="E2" s="1269"/>
      <c r="F2" s="1269"/>
      <c r="G2" s="1269"/>
      <c r="H2" s="1269"/>
    </row>
    <row r="3" spans="1:47" ht="15" customHeight="1" thickBot="1" x14ac:dyDescent="0.25">
      <c r="A3" s="1269"/>
      <c r="B3" s="1269"/>
      <c r="C3" s="1269"/>
      <c r="D3" s="1269"/>
      <c r="E3" s="1269"/>
      <c r="F3" s="1269"/>
      <c r="G3" s="1269"/>
      <c r="H3" s="1269"/>
      <c r="K3" s="113"/>
      <c r="L3" s="113"/>
      <c r="N3" s="150"/>
      <c r="W3" s="43"/>
    </row>
    <row r="4" spans="1:47" ht="37.5" customHeight="1" thickTop="1" x14ac:dyDescent="0.3">
      <c r="A4" s="1185" t="s">
        <v>738</v>
      </c>
      <c r="B4" s="71"/>
      <c r="C4" s="6"/>
      <c r="F4" s="40" t="s">
        <v>43</v>
      </c>
      <c r="G4" s="1270" t="s">
        <v>41</v>
      </c>
      <c r="H4" s="1270"/>
      <c r="I4" s="1270"/>
      <c r="J4" s="188" t="str">
        <f>+IF(Multiplier&gt;0,"Direct Rate", "Billing Rate")</f>
        <v>Billing Rate</v>
      </c>
      <c r="K4" s="41" t="s">
        <v>739</v>
      </c>
      <c r="L4" s="414" t="s">
        <v>680</v>
      </c>
      <c r="M4" s="435" t="s">
        <v>702</v>
      </c>
      <c r="N4" s="551" t="s">
        <v>755</v>
      </c>
      <c r="Q4" s="251" t="s">
        <v>701</v>
      </c>
      <c r="R4" s="251"/>
      <c r="S4" s="251"/>
      <c r="T4" s="251" t="s">
        <v>373</v>
      </c>
      <c r="U4" s="251"/>
      <c r="V4" s="251"/>
      <c r="W4" s="659"/>
      <c r="X4" s="251"/>
      <c r="Y4" s="251"/>
      <c r="Z4" s="251"/>
      <c r="AA4" s="251"/>
      <c r="AB4" s="251"/>
      <c r="AC4" s="251"/>
      <c r="AD4" s="251"/>
      <c r="AE4" s="251"/>
      <c r="AF4" s="251"/>
      <c r="AG4" s="251"/>
      <c r="AI4" s="39"/>
      <c r="AJ4" s="39"/>
      <c r="AK4" s="39"/>
      <c r="AL4" s="39"/>
      <c r="AM4" s="39"/>
      <c r="AN4" s="39"/>
      <c r="AO4" s="39"/>
    </row>
    <row r="5" spans="1:47" ht="15" customHeight="1" thickBot="1" x14ac:dyDescent="0.25">
      <c r="A5" s="6"/>
      <c r="B5" s="6"/>
      <c r="C5" s="6"/>
      <c r="F5" s="410" t="s">
        <v>785</v>
      </c>
      <c r="G5" s="1271" t="str">
        <f>IF($P$5=17,T5,(HLOOKUP(CodeA4,'RATE Schedules'!C$24:AD$25,2,FALSE)))</f>
        <v>PRINCIPAL/ TECH DIRECT 4</v>
      </c>
      <c r="H5" s="1271"/>
      <c r="I5" s="1271"/>
      <c r="J5" s="421">
        <f>VLOOKUP(RateSchedule,ClientFeeTable,3,FALSE)</f>
        <v>363</v>
      </c>
      <c r="K5" s="241">
        <f t="shared" ref="K5:K32" si="0">IF(M5&gt;0,(M5-M5*LRDiscount),Q5-Q5*LRDiscount)</f>
        <v>363</v>
      </c>
      <c r="L5" s="415" t="str">
        <f>IF(UserLaborDiscountRate=0,"",IF(M5&gt;0,(M5-M5*UserLaborDiscountRate),(Q5-Q5*UserLaborDiscountRate)))</f>
        <v/>
      </c>
      <c r="M5" s="1161"/>
      <c r="N5" s="552"/>
      <c r="O5" s="216"/>
      <c r="P5" s="42">
        <f>RateSchedule</f>
        <v>1</v>
      </c>
      <c r="Q5" s="486">
        <f>+IF(Multiplier&gt;0,CalcRateA4*Multiplier,CalcRateA4)</f>
        <v>363</v>
      </c>
      <c r="R5" s="486"/>
      <c r="S5" s="486"/>
      <c r="T5" t="s">
        <v>514</v>
      </c>
      <c r="U5" s="278"/>
      <c r="V5" s="278"/>
      <c r="W5" s="163"/>
      <c r="X5" s="37"/>
      <c r="Y5" s="37"/>
      <c r="Z5" s="37"/>
      <c r="AA5" s="37"/>
      <c r="AB5" s="37"/>
      <c r="AC5" s="37"/>
      <c r="AD5" s="37"/>
      <c r="AE5" s="37"/>
      <c r="AF5" s="37"/>
      <c r="AG5" s="37"/>
      <c r="AH5" s="37"/>
      <c r="AI5" s="37"/>
      <c r="AJ5" s="37"/>
      <c r="AL5" s="37"/>
      <c r="AM5" s="37"/>
      <c r="AN5" s="37"/>
      <c r="AO5" s="37"/>
      <c r="AP5" s="43"/>
      <c r="AQ5" s="43"/>
      <c r="AR5" s="43"/>
      <c r="AS5" s="43"/>
      <c r="AT5" s="43"/>
      <c r="AU5" s="43"/>
    </row>
    <row r="6" spans="1:47" ht="15" customHeight="1" thickTop="1" x14ac:dyDescent="0.2">
      <c r="A6" s="1188" t="s">
        <v>0</v>
      </c>
      <c r="B6" s="1272"/>
      <c r="C6" s="1272"/>
      <c r="D6" s="1272"/>
      <c r="E6" s="1273"/>
      <c r="F6" s="410" t="s">
        <v>786</v>
      </c>
      <c r="G6" s="1271" t="str">
        <f>IF($P$5=17,T6,(HLOOKUP(CodeA3,'RATE Schedules'!C$24:AD$25,2,FALSE)))</f>
        <v>PRINCIPAL/ TECH DIRECT 3</v>
      </c>
      <c r="H6" s="1271"/>
      <c r="I6" s="1271"/>
      <c r="J6" s="421">
        <f>VLOOKUP(RateSchedule,ClientFeeTable,4,FALSE)</f>
        <v>316</v>
      </c>
      <c r="K6" s="241">
        <f t="shared" si="0"/>
        <v>316</v>
      </c>
      <c r="L6" s="415" t="str">
        <f t="shared" ref="L6:L32" si="1">IF(UserLaborDiscountRate=0,"",IF(M6&gt;0,(M6-M6*UserLaborDiscountRate),(Q6-Q6*UserLaborDiscountRate)))</f>
        <v/>
      </c>
      <c r="M6" s="1161"/>
      <c r="N6" s="552"/>
      <c r="O6" s="216"/>
      <c r="P6" s="42"/>
      <c r="Q6" s="486">
        <f>+IF(Multiplier&gt;0,CalcRateA3*Multiplier,CalcRateA3)</f>
        <v>316</v>
      </c>
      <c r="R6" s="486"/>
      <c r="S6" s="486"/>
      <c r="T6" t="s">
        <v>514</v>
      </c>
      <c r="U6" s="384"/>
      <c r="V6"/>
      <c r="W6" s="660"/>
      <c r="X6"/>
      <c r="Y6"/>
      <c r="Z6"/>
      <c r="AA6"/>
      <c r="AB6"/>
      <c r="AC6"/>
      <c r="AD6"/>
      <c r="AE6"/>
      <c r="AF6"/>
      <c r="AG6"/>
      <c r="AH6" s="37"/>
      <c r="AI6" s="37"/>
      <c r="AJ6" s="37"/>
      <c r="AL6" s="37"/>
      <c r="AM6" s="37"/>
      <c r="AN6" s="37"/>
      <c r="AO6" s="37"/>
      <c r="AP6" s="43"/>
      <c r="AQ6" s="43"/>
      <c r="AR6" s="43"/>
      <c r="AS6" s="43"/>
      <c r="AT6" s="43"/>
      <c r="AU6" s="43"/>
    </row>
    <row r="7" spans="1:47" ht="15" customHeight="1" x14ac:dyDescent="0.2">
      <c r="A7" s="1189" t="s">
        <v>371</v>
      </c>
      <c r="B7" s="1274"/>
      <c r="C7" s="1274"/>
      <c r="D7" s="1274"/>
      <c r="E7" s="1275"/>
      <c r="F7" s="410" t="s">
        <v>787</v>
      </c>
      <c r="G7" s="1271" t="str">
        <f>IF($P$5=17,T7,(HLOOKUP(CodeA2,'RATE Schedules'!C$24:AD$25,2,FALSE)))</f>
        <v>PRINCIPAL/ TECH DIRECT 2</v>
      </c>
      <c r="H7" s="1271"/>
      <c r="I7" s="1271"/>
      <c r="J7" s="421">
        <f>VLOOKUP(RateSchedule,ClientFeeTable,5,FALSE)</f>
        <v>283</v>
      </c>
      <c r="K7" s="241">
        <f t="shared" si="0"/>
        <v>283</v>
      </c>
      <c r="L7" s="415" t="str">
        <f t="shared" si="1"/>
        <v/>
      </c>
      <c r="M7" s="1161"/>
      <c r="N7" s="553"/>
      <c r="O7" s="517"/>
      <c r="Q7" s="486">
        <f>+IF(Multiplier&gt;0,CalcRateA2*Multiplier,CalcRateA2)</f>
        <v>283</v>
      </c>
      <c r="R7" s="486"/>
      <c r="S7" s="486"/>
      <c r="T7" t="s">
        <v>514</v>
      </c>
      <c r="U7" s="279"/>
      <c r="V7"/>
      <c r="W7" s="660"/>
      <c r="X7"/>
      <c r="Y7"/>
      <c r="Z7"/>
      <c r="AA7"/>
      <c r="AB7"/>
      <c r="AC7"/>
      <c r="AD7"/>
      <c r="AE7"/>
      <c r="AF7"/>
      <c r="AG7"/>
      <c r="AP7" s="38"/>
      <c r="AQ7" s="38"/>
      <c r="AR7" s="38"/>
      <c r="AS7" s="38"/>
      <c r="AT7" s="38"/>
      <c r="AU7" s="38"/>
    </row>
    <row r="8" spans="1:47" ht="15" customHeight="1" x14ac:dyDescent="0.2">
      <c r="A8" s="1189" t="s">
        <v>2</v>
      </c>
      <c r="B8" s="1276"/>
      <c r="C8" s="1276"/>
      <c r="D8" s="1276"/>
      <c r="E8" s="1277"/>
      <c r="F8" s="410" t="s">
        <v>788</v>
      </c>
      <c r="G8" s="1271" t="str">
        <f>IF($P$5=17,T8,(HLOOKUP(CodeA1,'RATE Schedules'!C$24:AD$25,2,FALSE)))</f>
        <v>PRINCIPAL/ TECH DIRECT 1</v>
      </c>
      <c r="H8" s="1271"/>
      <c r="I8" s="1271"/>
      <c r="J8" s="421">
        <f>VLOOKUP(RateSchedule,ClientFeeTable,6,FALSE)</f>
        <v>262</v>
      </c>
      <c r="K8" s="241">
        <f t="shared" si="0"/>
        <v>262</v>
      </c>
      <c r="L8" s="415" t="str">
        <f t="shared" si="1"/>
        <v/>
      </c>
      <c r="M8" s="1161"/>
      <c r="N8" s="553"/>
      <c r="O8" s="518"/>
      <c r="Q8" s="486">
        <f>+IF(Multiplier&gt;0,CalcRateA1*Multiplier,CalcRateA1)</f>
        <v>262</v>
      </c>
      <c r="R8" s="486"/>
      <c r="S8" s="486"/>
      <c r="T8" s="251" t="s">
        <v>1294</v>
      </c>
      <c r="U8" s="279"/>
      <c r="V8"/>
      <c r="W8" s="660"/>
      <c r="X8"/>
      <c r="Y8"/>
      <c r="Z8"/>
      <c r="AA8"/>
      <c r="AB8"/>
      <c r="AC8"/>
      <c r="AD8"/>
      <c r="AE8"/>
      <c r="AF8"/>
      <c r="AG8"/>
      <c r="AP8" s="38"/>
      <c r="AQ8" s="38"/>
      <c r="AR8" s="38"/>
      <c r="AS8" s="38"/>
      <c r="AT8" s="38"/>
      <c r="AU8" s="38"/>
    </row>
    <row r="9" spans="1:47" ht="15" customHeight="1" x14ac:dyDescent="0.2">
      <c r="A9" s="1189" t="s">
        <v>3</v>
      </c>
      <c r="B9" s="1278">
        <f ca="1">TODAY()</f>
        <v>45516</v>
      </c>
      <c r="C9" s="1279"/>
      <c r="D9" s="1279"/>
      <c r="E9" s="1159"/>
      <c r="F9" s="410" t="s">
        <v>789</v>
      </c>
      <c r="G9" s="1271" t="str">
        <f>IF($P$5=17,T9,(HLOOKUP(CodeB4,'RATE Schedules'!C$24:AD$25,2,FALSE)))</f>
        <v>PROG MGR/SR TECH MGR 4</v>
      </c>
      <c r="H9" s="1271"/>
      <c r="I9" s="1271"/>
      <c r="J9" s="421">
        <f>VLOOKUP(RateSchedule,ClientFeeTable,7,FALSE)</f>
        <v>254</v>
      </c>
      <c r="K9" s="241">
        <f t="shared" si="0"/>
        <v>254</v>
      </c>
      <c r="L9" s="415" t="str">
        <f t="shared" si="1"/>
        <v/>
      </c>
      <c r="M9" s="1161"/>
      <c r="N9" s="553"/>
      <c r="O9" s="518"/>
      <c r="Q9" s="486">
        <f>+IF(Multiplier&gt;0,CalcRateB4*Multiplier,CalcRateB4)</f>
        <v>254</v>
      </c>
      <c r="T9" s="251" t="s">
        <v>374</v>
      </c>
      <c r="U9" s="279"/>
      <c r="V9"/>
      <c r="W9" s="660"/>
      <c r="X9"/>
      <c r="Y9"/>
      <c r="Z9"/>
      <c r="AA9"/>
      <c r="AB9"/>
      <c r="AC9"/>
      <c r="AD9"/>
      <c r="AE9"/>
      <c r="AF9"/>
      <c r="AG9"/>
      <c r="AP9" s="38"/>
      <c r="AQ9" s="38"/>
      <c r="AR9" s="38"/>
      <c r="AS9" s="38"/>
      <c r="AT9" s="38"/>
      <c r="AU9" s="38"/>
    </row>
    <row r="10" spans="1:47" ht="15" customHeight="1" x14ac:dyDescent="0.2">
      <c r="A10" s="1189" t="s">
        <v>410</v>
      </c>
      <c r="B10" s="1279"/>
      <c r="C10" s="1279"/>
      <c r="D10" s="1279"/>
      <c r="E10" s="1282"/>
      <c r="F10" s="410" t="s">
        <v>790</v>
      </c>
      <c r="G10" s="1271" t="str">
        <f>IF($P$5=17,T10,(HLOOKUP(CodeB3,'RATE Schedules'!C$24:AD$25,2,FALSE)))</f>
        <v>PROG MGR/SR TECH MGR 3</v>
      </c>
      <c r="H10" s="1271"/>
      <c r="I10" s="1271"/>
      <c r="J10" s="421">
        <f>VLOOKUP(RateSchedule,ClientFeeTable,8,FALSE)</f>
        <v>235</v>
      </c>
      <c r="K10" s="241">
        <f t="shared" si="0"/>
        <v>235</v>
      </c>
      <c r="L10" s="415" t="str">
        <f t="shared" si="1"/>
        <v/>
      </c>
      <c r="M10" s="1161"/>
      <c r="N10" s="553"/>
      <c r="O10" s="518"/>
      <c r="Q10" s="486">
        <f>+IF(Multiplier&gt;0,CalcRateB3*Multiplier,CalcRateB3)</f>
        <v>235</v>
      </c>
      <c r="T10" s="251" t="s">
        <v>1295</v>
      </c>
      <c r="U10" s="279"/>
      <c r="V10"/>
      <c r="W10" s="660"/>
      <c r="X10"/>
      <c r="Y10"/>
      <c r="Z10"/>
      <c r="AA10"/>
      <c r="AB10"/>
      <c r="AC10"/>
      <c r="AD10"/>
      <c r="AE10"/>
      <c r="AF10"/>
      <c r="AG10"/>
      <c r="AP10" s="38"/>
      <c r="AQ10" s="38"/>
      <c r="AR10" s="38"/>
      <c r="AS10" s="38"/>
      <c r="AT10" s="38"/>
      <c r="AU10" s="38"/>
    </row>
    <row r="11" spans="1:47" ht="15" customHeight="1" x14ac:dyDescent="0.2">
      <c r="A11" s="1179"/>
      <c r="B11" s="1280"/>
      <c r="C11" s="1280"/>
      <c r="D11" s="1280"/>
      <c r="E11" s="1281"/>
      <c r="F11" s="410" t="s">
        <v>791</v>
      </c>
      <c r="G11" s="1271" t="str">
        <f>IF($P$5=17,T11,(HLOOKUP(CodeB2,'RATE Schedules'!C$24:AD$25,2,FALSE)))</f>
        <v>PROG MGR/SR TECH MGR 2</v>
      </c>
      <c r="H11" s="1271"/>
      <c r="I11" s="1271"/>
      <c r="J11" s="421">
        <f>VLOOKUP(RateSchedule,ClientFeeTable,9,FALSE)</f>
        <v>229</v>
      </c>
      <c r="K11" s="241">
        <f t="shared" si="0"/>
        <v>229</v>
      </c>
      <c r="L11" s="415" t="str">
        <f t="shared" si="1"/>
        <v/>
      </c>
      <c r="M11" s="1161"/>
      <c r="N11" s="553"/>
      <c r="O11" s="518"/>
      <c r="Q11" s="486">
        <f>+IF(Multiplier&gt;0,CalcRateB2*Multiplier,CalcRateB2)</f>
        <v>229</v>
      </c>
      <c r="T11" s="251" t="s">
        <v>1300</v>
      </c>
      <c r="U11" s="279"/>
      <c r="V11"/>
      <c r="W11" s="660"/>
      <c r="X11"/>
      <c r="Y11"/>
      <c r="Z11"/>
      <c r="AA11"/>
      <c r="AB11"/>
      <c r="AC11"/>
      <c r="AD11"/>
      <c r="AE11"/>
      <c r="AF11"/>
      <c r="AG11"/>
      <c r="AP11" s="38"/>
      <c r="AQ11" s="38"/>
      <c r="AR11" s="38"/>
      <c r="AS11" s="38"/>
      <c r="AT11" s="38"/>
      <c r="AU11" s="38"/>
    </row>
    <row r="12" spans="1:47" ht="15" customHeight="1" x14ac:dyDescent="0.2">
      <c r="A12" s="251"/>
      <c r="B12" s="251"/>
      <c r="C12" s="251"/>
      <c r="D12" s="251"/>
      <c r="E12" s="251"/>
      <c r="F12" s="410" t="s">
        <v>792</v>
      </c>
      <c r="G12" s="1271" t="str">
        <f>IF($P$5=17,T12,(HLOOKUP(CodeB1,'RATE Schedules'!C$24:AD$25,2,FALSE)))</f>
        <v>PROG MGR/SR TECH MGR 1</v>
      </c>
      <c r="H12" s="1271"/>
      <c r="I12" s="1271"/>
      <c r="J12" s="421">
        <f>VLOOKUP(RateSchedule,ClientFeeTable,10,FALSE)</f>
        <v>219</v>
      </c>
      <c r="K12" s="241">
        <f t="shared" si="0"/>
        <v>219</v>
      </c>
      <c r="L12" s="415" t="str">
        <f t="shared" si="1"/>
        <v/>
      </c>
      <c r="M12" s="1161"/>
      <c r="N12" s="553"/>
      <c r="O12" s="518"/>
      <c r="Q12" s="486">
        <f>+IF(Multiplier&gt;0,CalcRateB1*Multiplier,CalcRateB1)</f>
        <v>219</v>
      </c>
      <c r="T12" s="251" t="s">
        <v>1301</v>
      </c>
      <c r="U12" s="279"/>
      <c r="V12"/>
      <c r="W12" s="660"/>
      <c r="X12"/>
      <c r="Y12"/>
      <c r="Z12"/>
      <c r="AA12"/>
      <c r="AB12"/>
      <c r="AC12"/>
      <c r="AD12"/>
      <c r="AE12"/>
      <c r="AF12"/>
      <c r="AG12"/>
      <c r="AP12" s="38"/>
      <c r="AQ12" s="38"/>
      <c r="AR12" s="38"/>
      <c r="AS12" s="38"/>
      <c r="AT12" s="38"/>
      <c r="AU12" s="38"/>
    </row>
    <row r="13" spans="1:47" ht="15" customHeight="1" x14ac:dyDescent="0.2">
      <c r="A13" s="251"/>
      <c r="B13" s="251"/>
      <c r="C13" s="251"/>
      <c r="D13" s="251"/>
      <c r="E13" s="251"/>
      <c r="F13" s="410" t="s">
        <v>793</v>
      </c>
      <c r="G13" s="1271" t="str">
        <f>IF($P$5=17,T13,(HLOOKUP(CodeC4,'RATE Schedules'!C$24:AD$25,2,FALSE)))</f>
        <v xml:space="preserve">PROJECT/  
TECH MGR 4   </v>
      </c>
      <c r="H13" s="1271"/>
      <c r="I13" s="1271"/>
      <c r="J13" s="421">
        <f>VLOOKUP(RateSchedule,ClientFeeTable,11,FALSE)</f>
        <v>211</v>
      </c>
      <c r="K13" s="241">
        <f t="shared" si="0"/>
        <v>211</v>
      </c>
      <c r="L13" s="415" t="str">
        <f t="shared" si="1"/>
        <v/>
      </c>
      <c r="M13" s="1161"/>
      <c r="N13" s="553"/>
      <c r="O13" s="518"/>
      <c r="Q13" s="486">
        <f>+IF(Multiplier&gt;0,CalcRateC4*Multiplier,CalcRateC4)</f>
        <v>211</v>
      </c>
      <c r="T13" s="251" t="s">
        <v>1302</v>
      </c>
      <c r="U13" s="279"/>
      <c r="V13"/>
      <c r="W13" s="660"/>
      <c r="X13"/>
      <c r="Y13"/>
      <c r="Z13"/>
      <c r="AA13"/>
      <c r="AB13"/>
      <c r="AC13"/>
      <c r="AD13"/>
      <c r="AE13"/>
      <c r="AF13"/>
      <c r="AG13"/>
      <c r="AP13" s="38"/>
      <c r="AQ13" s="38"/>
      <c r="AR13" s="38"/>
      <c r="AS13" s="38"/>
      <c r="AT13" s="38"/>
      <c r="AU13" s="38"/>
    </row>
    <row r="14" spans="1:47" ht="15" customHeight="1" x14ac:dyDescent="0.2">
      <c r="A14" s="251"/>
      <c r="B14" s="251"/>
      <c r="C14" s="251"/>
      <c r="E14" s="251"/>
      <c r="F14" s="410" t="s">
        <v>794</v>
      </c>
      <c r="G14" s="1271" t="str">
        <f>IF($P$5=17,T14,(HLOOKUP(CodeC3,'RATE Schedules'!C$24:AD$25,2,FALSE)))</f>
        <v>PROJECT/  
TECH MGR 3</v>
      </c>
      <c r="H14" s="1271"/>
      <c r="I14" s="1271"/>
      <c r="J14" s="421">
        <f>VLOOKUP(RateSchedule,ClientFeeTable,12,FALSE)</f>
        <v>201</v>
      </c>
      <c r="K14" s="241">
        <f t="shared" si="0"/>
        <v>201</v>
      </c>
      <c r="L14" s="415" t="str">
        <f t="shared" si="1"/>
        <v/>
      </c>
      <c r="M14" s="1161"/>
      <c r="N14" s="553"/>
      <c r="O14" s="518"/>
      <c r="Q14" s="486">
        <f>+IF(Multiplier&gt;0,CalcRateC3*Multiplier,CalcRateC3)</f>
        <v>201</v>
      </c>
      <c r="T14" s="251" t="s">
        <v>1303</v>
      </c>
      <c r="U14" s="279"/>
      <c r="V14"/>
      <c r="W14" s="660"/>
      <c r="X14"/>
      <c r="Y14"/>
      <c r="Z14"/>
      <c r="AA14"/>
      <c r="AB14"/>
      <c r="AC14"/>
      <c r="AD14"/>
      <c r="AE14"/>
      <c r="AF14"/>
      <c r="AG14"/>
      <c r="AP14" s="38"/>
      <c r="AQ14" s="38"/>
      <c r="AR14" s="38"/>
      <c r="AS14" s="38"/>
      <c r="AT14" s="38"/>
      <c r="AU14" s="38"/>
    </row>
    <row r="15" spans="1:47" ht="15" customHeight="1" x14ac:dyDescent="0.2">
      <c r="A15" s="251"/>
      <c r="B15" s="251"/>
      <c r="C15" s="251"/>
      <c r="D15" s="251"/>
      <c r="E15" s="251"/>
      <c r="F15" s="410" t="s">
        <v>795</v>
      </c>
      <c r="G15" s="1271" t="str">
        <f>IF($P$5=17,T15,(HLOOKUP(CodeC2,'RATE Schedules'!C$24:AD$25,2,FALSE)))</f>
        <v>PROJECT/  
TECH MGR 2</v>
      </c>
      <c r="H15" s="1271"/>
      <c r="I15" s="1271"/>
      <c r="J15" s="421">
        <f>VLOOKUP(RateSchedule,ClientFeeTable,13,FALSE)</f>
        <v>193</v>
      </c>
      <c r="K15" s="241">
        <f t="shared" si="0"/>
        <v>193</v>
      </c>
      <c r="L15" s="415" t="str">
        <f t="shared" si="1"/>
        <v/>
      </c>
      <c r="M15" s="1161"/>
      <c r="N15" s="553"/>
      <c r="O15" s="518"/>
      <c r="Q15" s="486">
        <f>+IF(Multiplier&gt;0,CalcRateC2*Multiplier,CalcRateC2)</f>
        <v>193</v>
      </c>
      <c r="T15" s="251" t="s">
        <v>1296</v>
      </c>
      <c r="U15" s="279"/>
      <c r="V15"/>
      <c r="W15" s="661"/>
      <c r="X15"/>
      <c r="Y15"/>
      <c r="Z15"/>
      <c r="AA15"/>
      <c r="AB15"/>
      <c r="AC15"/>
      <c r="AD15"/>
      <c r="AE15"/>
      <c r="AF15"/>
      <c r="AG15"/>
      <c r="AP15" s="38"/>
      <c r="AQ15" s="38"/>
      <c r="AR15" s="38"/>
      <c r="AS15" s="38"/>
      <c r="AT15" s="38"/>
      <c r="AU15" s="38"/>
    </row>
    <row r="16" spans="1:47" ht="15" customHeight="1" thickBot="1" x14ac:dyDescent="0.25">
      <c r="A16" s="251"/>
      <c r="B16" s="251"/>
      <c r="C16" s="251"/>
      <c r="D16" s="251"/>
      <c r="E16" s="251"/>
      <c r="F16" s="410" t="s">
        <v>796</v>
      </c>
      <c r="G16" s="1271" t="str">
        <f>IF($P$5=17,T16,(HLOOKUP(CodeC1,'RATE Schedules'!C$24:AD$25,2,FALSE)))</f>
        <v>PROJECT/  
TECH MGR 1</v>
      </c>
      <c r="H16" s="1271"/>
      <c r="I16" s="1271"/>
      <c r="J16" s="421">
        <f>VLOOKUP(RateSchedule,ClientFeeTable,14,FALSE)</f>
        <v>187</v>
      </c>
      <c r="K16" s="241">
        <f t="shared" si="0"/>
        <v>187</v>
      </c>
      <c r="L16" s="415" t="str">
        <f t="shared" si="1"/>
        <v/>
      </c>
      <c r="M16" s="1161"/>
      <c r="N16" s="553"/>
      <c r="O16" s="518"/>
      <c r="Q16" s="486">
        <f>+IF(Multiplier&gt;0,CalcRateC1*Multiplier,CalcRateC1)</f>
        <v>187</v>
      </c>
      <c r="T16" s="251" t="s">
        <v>1304</v>
      </c>
      <c r="U16" s="279"/>
      <c r="V16"/>
      <c r="W16" s="660"/>
      <c r="X16"/>
      <c r="Y16"/>
      <c r="Z16"/>
      <c r="AA16"/>
      <c r="AB16"/>
      <c r="AC16"/>
      <c r="AD16"/>
      <c r="AE16"/>
      <c r="AF16"/>
      <c r="AG16"/>
      <c r="AP16" s="38"/>
      <c r="AQ16" s="38"/>
      <c r="AR16" s="38"/>
      <c r="AS16" s="38"/>
      <c r="AT16" s="38"/>
      <c r="AU16" s="38"/>
    </row>
    <row r="17" spans="1:47" ht="15" customHeight="1" thickTop="1" thickBot="1" x14ac:dyDescent="0.25">
      <c r="A17" s="251"/>
      <c r="B17" s="1170" t="s">
        <v>1380</v>
      </c>
      <c r="C17" s="1171" t="s">
        <v>1381</v>
      </c>
      <c r="D17" s="1172" t="s">
        <v>1379</v>
      </c>
      <c r="F17" s="410" t="s">
        <v>797</v>
      </c>
      <c r="G17" s="1271" t="str">
        <f>IF($P$5=17,T17,(HLOOKUP(CodeD4,'RATE Schedules'!C$24:AD$25,2,FALSE)))</f>
        <v>SR SCI/ENG/ SPECIALIST 4</v>
      </c>
      <c r="H17" s="1271"/>
      <c r="I17" s="1271"/>
      <c r="J17" s="421">
        <f>VLOOKUP(RateSchedule,ClientFeeTable,15,FALSE)</f>
        <v>178</v>
      </c>
      <c r="K17" s="241">
        <f t="shared" si="0"/>
        <v>178</v>
      </c>
      <c r="L17" s="415" t="str">
        <f t="shared" si="1"/>
        <v/>
      </c>
      <c r="M17" s="1161"/>
      <c r="N17" s="553"/>
      <c r="O17" s="518"/>
      <c r="Q17" s="486">
        <f>+IF(Multiplier&gt;0,CalcRateD4*Multiplier,CalcRateD4)</f>
        <v>178</v>
      </c>
      <c r="T17" s="251" t="s">
        <v>1297</v>
      </c>
      <c r="U17" s="279"/>
      <c r="V17"/>
      <c r="W17" s="660"/>
      <c r="X17"/>
      <c r="Y17"/>
      <c r="Z17"/>
      <c r="AA17"/>
      <c r="AB17"/>
      <c r="AC17"/>
      <c r="AD17"/>
      <c r="AE17"/>
      <c r="AF17"/>
      <c r="AG17"/>
      <c r="AP17" s="38"/>
      <c r="AQ17" s="38"/>
      <c r="AR17" s="38"/>
      <c r="AS17" s="38"/>
      <c r="AT17" s="38"/>
      <c r="AU17" s="38"/>
    </row>
    <row r="18" spans="1:47" ht="15" customHeight="1" thickTop="1" x14ac:dyDescent="0.2">
      <c r="A18" s="251"/>
      <c r="B18" s="1180">
        <v>1</v>
      </c>
      <c r="C18" s="1173" t="s">
        <v>2349</v>
      </c>
      <c r="D18" s="1174" t="s">
        <v>2552</v>
      </c>
      <c r="E18" s="251"/>
      <c r="F18" s="410" t="s">
        <v>798</v>
      </c>
      <c r="G18" s="1271" t="str">
        <f>IF($P$5=17,T18,(HLOOKUP(CodeD3,'RATE Schedules'!C$24:AD$25,2,FALSE)))</f>
        <v>SR SCI/ENG/ SPECIALIST 3</v>
      </c>
      <c r="H18" s="1271"/>
      <c r="I18" s="1271"/>
      <c r="J18" s="421">
        <f>VLOOKUP(RateSchedule,ClientFeeTable,16,FALSE)</f>
        <v>169</v>
      </c>
      <c r="K18" s="241">
        <f t="shared" si="0"/>
        <v>169</v>
      </c>
      <c r="L18" s="415" t="str">
        <f t="shared" si="1"/>
        <v/>
      </c>
      <c r="M18" s="1161"/>
      <c r="N18" s="553"/>
      <c r="O18" s="518"/>
      <c r="Q18" s="486">
        <f>+IF(Multiplier&gt;0,CalcRateD3*Multiplier,CalcRateD3)</f>
        <v>169</v>
      </c>
      <c r="T18" s="251" t="s">
        <v>1310</v>
      </c>
      <c r="U18" s="279"/>
      <c r="V18"/>
      <c r="W18" s="660"/>
      <c r="X18"/>
      <c r="Y18"/>
      <c r="Z18"/>
      <c r="AA18"/>
      <c r="AB18"/>
      <c r="AC18"/>
      <c r="AD18"/>
      <c r="AE18"/>
      <c r="AF18"/>
      <c r="AG18"/>
      <c r="AP18" s="38"/>
      <c r="AQ18" s="38"/>
      <c r="AR18" s="38"/>
      <c r="AS18" s="38"/>
      <c r="AT18" s="38"/>
      <c r="AU18" s="38"/>
    </row>
    <row r="19" spans="1:47" ht="15" customHeight="1" x14ac:dyDescent="0.2">
      <c r="A19" s="251"/>
      <c r="B19" s="1181">
        <v>2</v>
      </c>
      <c r="C19" s="1175" t="s">
        <v>2522</v>
      </c>
      <c r="D19" s="1176" t="s">
        <v>2545</v>
      </c>
      <c r="E19" s="251"/>
      <c r="F19" s="410" t="s">
        <v>799</v>
      </c>
      <c r="G19" s="1271" t="str">
        <f>IF($P$5=17,T19,(HLOOKUP(CodeD2,'RATE Schedules'!C$24:AD$25,2,FALSE)))</f>
        <v>SR SCI/ENG/ SPECIALIST 2</v>
      </c>
      <c r="H19" s="1271"/>
      <c r="I19" s="1271"/>
      <c r="J19" s="421">
        <f>VLOOKUP(RateSchedule,ClientFeeTable,17,FALSE)</f>
        <v>162</v>
      </c>
      <c r="K19" s="241">
        <f t="shared" si="0"/>
        <v>162</v>
      </c>
      <c r="L19" s="415" t="str">
        <f t="shared" si="1"/>
        <v/>
      </c>
      <c r="M19" s="1161"/>
      <c r="N19" s="553"/>
      <c r="O19" s="518"/>
      <c r="Q19" s="486">
        <f>+IF(Multiplier&gt;0,CalcRateD2*Multiplier,CalcRateD2)</f>
        <v>162</v>
      </c>
      <c r="T19" s="251" t="s">
        <v>1311</v>
      </c>
      <c r="U19" s="279"/>
      <c r="V19"/>
      <c r="W19" s="660"/>
      <c r="X19"/>
      <c r="Y19"/>
      <c r="Z19"/>
      <c r="AA19"/>
      <c r="AB19"/>
      <c r="AC19"/>
      <c r="AD19"/>
      <c r="AE19"/>
      <c r="AF19"/>
      <c r="AG19"/>
      <c r="AP19" s="38"/>
      <c r="AQ19" s="38"/>
      <c r="AR19" s="38"/>
      <c r="AS19" s="38"/>
      <c r="AT19" s="38"/>
      <c r="AU19" s="38"/>
    </row>
    <row r="20" spans="1:47" ht="15" customHeight="1" x14ac:dyDescent="0.2">
      <c r="A20" s="251"/>
      <c r="B20" s="1182">
        <v>3</v>
      </c>
      <c r="C20" s="1175" t="s">
        <v>2546</v>
      </c>
      <c r="D20" s="1176" t="s">
        <v>2523</v>
      </c>
      <c r="E20" s="251"/>
      <c r="F20" s="410" t="s">
        <v>800</v>
      </c>
      <c r="G20" s="1271" t="str">
        <f>IF($P$5=17,T20,(HLOOKUP(CodeD1,'RATE Schedules'!C$24:AD$25,2,FALSE)))</f>
        <v>SR SCI/ENG/ SPECIALIST 1</v>
      </c>
      <c r="H20" s="1271"/>
      <c r="I20" s="1271"/>
      <c r="J20" s="421">
        <f>VLOOKUP(RateSchedule,ClientFeeTable,18,FALSE)</f>
        <v>155</v>
      </c>
      <c r="K20" s="241">
        <f t="shared" si="0"/>
        <v>155</v>
      </c>
      <c r="L20" s="415" t="str">
        <f t="shared" si="1"/>
        <v/>
      </c>
      <c r="M20" s="1161"/>
      <c r="N20" s="553"/>
      <c r="O20" s="518"/>
      <c r="Q20" s="486">
        <f>+IF(Multiplier&gt;0,CalcRateD1*Multiplier,CalcRateD1)</f>
        <v>155</v>
      </c>
      <c r="T20" s="251" t="s">
        <v>1305</v>
      </c>
      <c r="U20" s="279"/>
      <c r="V20"/>
      <c r="W20" s="661"/>
      <c r="X20"/>
      <c r="Y20"/>
      <c r="Z20"/>
      <c r="AA20"/>
      <c r="AB20"/>
      <c r="AC20"/>
      <c r="AD20"/>
      <c r="AE20"/>
      <c r="AF20"/>
      <c r="AG20"/>
      <c r="AP20" s="38"/>
      <c r="AQ20" s="38"/>
      <c r="AR20" s="38"/>
      <c r="AS20" s="38"/>
      <c r="AT20" s="38"/>
      <c r="AU20" s="38"/>
    </row>
    <row r="21" spans="1:47" ht="15" customHeight="1" x14ac:dyDescent="0.2">
      <c r="A21" s="187"/>
      <c r="B21" s="1181">
        <v>4</v>
      </c>
      <c r="C21" s="1175" t="s">
        <v>2524</v>
      </c>
      <c r="D21" s="1176" t="s">
        <v>2523</v>
      </c>
      <c r="E21" s="1158"/>
      <c r="F21" s="410" t="s">
        <v>801</v>
      </c>
      <c r="G21" s="1271" t="str">
        <f>IF($P$5=17,T21,(HLOOKUP(CodeE4,'RATE Schedules'!C$24:AD$25,2,FALSE)))</f>
        <v>PROJ SCI/ENG/ SPECIALIST 4</v>
      </c>
      <c r="H21" s="1271"/>
      <c r="I21" s="1271"/>
      <c r="J21" s="421">
        <f>VLOOKUP(RateSchedule,ClientFeeTable,19,FALSE)</f>
        <v>147</v>
      </c>
      <c r="K21" s="241">
        <f t="shared" si="0"/>
        <v>147</v>
      </c>
      <c r="L21" s="415" t="str">
        <f t="shared" si="1"/>
        <v/>
      </c>
      <c r="M21" s="1161"/>
      <c r="N21" s="553"/>
      <c r="O21" s="518"/>
      <c r="Q21" s="486">
        <f>+IF(Multiplier&gt;0,CalcRateE4*Multiplier,CalcRateE4)</f>
        <v>147</v>
      </c>
      <c r="T21" s="251" t="s">
        <v>1298</v>
      </c>
      <c r="U21" s="279"/>
      <c r="V21"/>
      <c r="W21" s="660"/>
      <c r="X21"/>
      <c r="Y21"/>
      <c r="Z21"/>
      <c r="AA21"/>
      <c r="AB21"/>
      <c r="AC21"/>
      <c r="AD21"/>
      <c r="AE21"/>
      <c r="AF21"/>
      <c r="AG21"/>
      <c r="AP21" s="38"/>
      <c r="AQ21" s="38"/>
      <c r="AR21" s="38"/>
      <c r="AS21" s="38"/>
      <c r="AT21" s="38"/>
      <c r="AU21" s="38"/>
    </row>
    <row r="22" spans="1:47" ht="15" customHeight="1" x14ac:dyDescent="0.2">
      <c r="A22" s="187"/>
      <c r="B22" s="1182">
        <v>5</v>
      </c>
      <c r="C22" s="1175" t="s">
        <v>2525</v>
      </c>
      <c r="D22" s="1176" t="s">
        <v>2541</v>
      </c>
      <c r="E22" s="215"/>
      <c r="F22" s="410" t="s">
        <v>802</v>
      </c>
      <c r="G22" s="1271" t="str">
        <f>IF($P$5=17,T22,(HLOOKUP(CodeE3,'RATE Schedules'!C$24:AD$25,2,FALSE)))</f>
        <v>PROJ SCI/ENG/ SPECIALIST 3</v>
      </c>
      <c r="H22" s="1271"/>
      <c r="I22" s="1271"/>
      <c r="J22" s="421">
        <f>VLOOKUP(RateSchedule,ClientFeeTable,20,FALSE)</f>
        <v>139</v>
      </c>
      <c r="K22" s="241">
        <f t="shared" si="0"/>
        <v>139</v>
      </c>
      <c r="L22" s="415" t="str">
        <f t="shared" si="1"/>
        <v/>
      </c>
      <c r="M22" s="1161"/>
      <c r="N22" s="553"/>
      <c r="O22" s="518"/>
      <c r="Q22" s="486">
        <f>+IF(Multiplier&gt;0,CalcRateE3*Multiplier,CalcRateE3)</f>
        <v>139</v>
      </c>
      <c r="T22" s="251" t="s">
        <v>1299</v>
      </c>
      <c r="U22" s="279"/>
      <c r="V22"/>
      <c r="W22" s="660"/>
      <c r="X22"/>
      <c r="Y22"/>
      <c r="Z22"/>
      <c r="AA22"/>
      <c r="AB22"/>
      <c r="AC22"/>
      <c r="AD22"/>
      <c r="AE22"/>
      <c r="AF22"/>
      <c r="AG22"/>
      <c r="AP22" s="38"/>
    </row>
    <row r="23" spans="1:47" ht="15" customHeight="1" x14ac:dyDescent="0.2">
      <c r="A23" s="187"/>
      <c r="B23" s="1181">
        <v>6</v>
      </c>
      <c r="C23" s="1175" t="s">
        <v>2531</v>
      </c>
      <c r="D23" s="1176" t="s">
        <v>2541</v>
      </c>
      <c r="E23" s="215"/>
      <c r="F23" s="410" t="s">
        <v>803</v>
      </c>
      <c r="G23" s="1271" t="str">
        <f>IF($P$5=17,T23,(HLOOKUP(CodeE2,'RATE Schedules'!C$24:AD$25,2,FALSE)))</f>
        <v>PROJ SCI/ENG/ SPECIALIST 2</v>
      </c>
      <c r="H23" s="1271"/>
      <c r="I23" s="1271"/>
      <c r="J23" s="421">
        <f>VLOOKUP(RateSchedule,ClientFeeTable,21,FALSE)</f>
        <v>133</v>
      </c>
      <c r="K23" s="241">
        <f t="shared" si="0"/>
        <v>133</v>
      </c>
      <c r="L23" s="415" t="str">
        <f t="shared" si="1"/>
        <v/>
      </c>
      <c r="M23" s="1161"/>
      <c r="N23" s="553"/>
      <c r="O23" s="518"/>
      <c r="Q23" s="486">
        <f>+IF(Multiplier&gt;0,CalcRateE2*Multiplier,CalcRateE2)</f>
        <v>133</v>
      </c>
      <c r="T23" s="251" t="s">
        <v>1312</v>
      </c>
      <c r="U23" s="279"/>
      <c r="V23"/>
      <c r="W23" s="660"/>
      <c r="X23"/>
      <c r="Y23"/>
      <c r="Z23"/>
      <c r="AA23"/>
      <c r="AB23"/>
      <c r="AC23"/>
      <c r="AD23"/>
      <c r="AE23"/>
      <c r="AF23"/>
      <c r="AG23"/>
      <c r="AP23" s="38"/>
      <c r="AQ23" s="38"/>
      <c r="AR23" s="38"/>
      <c r="AS23" s="38"/>
      <c r="AT23" s="38"/>
      <c r="AU23" s="38"/>
    </row>
    <row r="24" spans="1:47" ht="15" customHeight="1" x14ac:dyDescent="0.2">
      <c r="A24" s="187"/>
      <c r="B24" s="1182">
        <v>7</v>
      </c>
      <c r="C24" s="1175" t="s">
        <v>2532</v>
      </c>
      <c r="D24" s="1176" t="s">
        <v>2555</v>
      </c>
      <c r="E24" s="251"/>
      <c r="F24" s="410" t="s">
        <v>804</v>
      </c>
      <c r="G24" s="1271" t="str">
        <f>IF($P$5=17,T24,(HLOOKUP(CodeE1,'RATE Schedules'!C$24:AD$25,2,FALSE)))</f>
        <v>PROJ SCI/ENG/ SPECIALIST 1</v>
      </c>
      <c r="H24" s="1271"/>
      <c r="I24" s="1271"/>
      <c r="J24" s="421">
        <f>VLOOKUP(RateSchedule,ClientFeeTable,22,FALSE)</f>
        <v>123</v>
      </c>
      <c r="K24" s="241">
        <f t="shared" si="0"/>
        <v>123</v>
      </c>
      <c r="L24" s="415" t="str">
        <f t="shared" si="1"/>
        <v/>
      </c>
      <c r="M24" s="1161"/>
      <c r="N24" s="553"/>
      <c r="O24" s="518"/>
      <c r="Q24" s="486">
        <f>+IF(Multiplier&gt;0,CalcRateE1*Multiplier,CalcRateE1)</f>
        <v>123</v>
      </c>
      <c r="T24" s="251" t="s">
        <v>1313</v>
      </c>
      <c r="U24" s="279"/>
      <c r="V24"/>
      <c r="W24" s="660"/>
      <c r="X24"/>
      <c r="Y24"/>
      <c r="Z24"/>
      <c r="AA24"/>
      <c r="AB24"/>
      <c r="AC24"/>
      <c r="AD24"/>
      <c r="AE24"/>
      <c r="AF24"/>
      <c r="AG24"/>
      <c r="AP24" s="38"/>
      <c r="AQ24" s="38"/>
      <c r="AR24" s="38"/>
      <c r="AS24" s="38"/>
      <c r="AT24" s="38"/>
      <c r="AU24" s="38"/>
    </row>
    <row r="25" spans="1:47" ht="15" customHeight="1" x14ac:dyDescent="0.2">
      <c r="A25" s="187"/>
      <c r="B25" s="1181">
        <v>8</v>
      </c>
      <c r="C25" s="1175" t="s">
        <v>2526</v>
      </c>
      <c r="D25" s="1176" t="s">
        <v>2545</v>
      </c>
      <c r="E25" s="251"/>
      <c r="F25" s="410" t="s">
        <v>805</v>
      </c>
      <c r="G25" s="1271" t="str">
        <f>IF($P$5=17,T25,(HLOOKUP(CodeF4,'RATE Schedules'!C$24:AD$25,2,FALSE)))</f>
        <v>SCI/ENG/SPEC/ TECH/SPRT 8</v>
      </c>
      <c r="H25" s="1271"/>
      <c r="I25" s="1271"/>
      <c r="J25" s="421">
        <f>VLOOKUP(RateSchedule,ClientFeeTable,23,FALSE)</f>
        <v>117</v>
      </c>
      <c r="K25" s="241">
        <f t="shared" si="0"/>
        <v>117</v>
      </c>
      <c r="L25" s="415" t="str">
        <f t="shared" si="1"/>
        <v/>
      </c>
      <c r="M25" s="1161"/>
      <c r="N25" s="553"/>
      <c r="O25" s="518"/>
      <c r="Q25" s="486">
        <f>+IF(Multiplier&gt;0,CalcRateF4*Multiplier,CalcRateF4)</f>
        <v>117</v>
      </c>
      <c r="T25" s="251" t="s">
        <v>1314</v>
      </c>
      <c r="U25" s="279"/>
      <c r="V25"/>
      <c r="W25" s="660"/>
      <c r="X25"/>
      <c r="Y25"/>
      <c r="Z25"/>
      <c r="AA25"/>
      <c r="AB25"/>
      <c r="AC25"/>
      <c r="AD25"/>
      <c r="AE25"/>
      <c r="AF25"/>
      <c r="AG25"/>
      <c r="AP25" s="38"/>
      <c r="AQ25" s="38"/>
      <c r="AR25" s="38"/>
      <c r="AS25" s="38"/>
      <c r="AT25" s="38"/>
      <c r="AU25" s="38"/>
    </row>
    <row r="26" spans="1:47" ht="15" customHeight="1" x14ac:dyDescent="0.2">
      <c r="A26" s="187"/>
      <c r="B26" s="1182">
        <v>9</v>
      </c>
      <c r="C26" s="1175" t="s">
        <v>2527</v>
      </c>
      <c r="D26" s="1176" t="s">
        <v>2543</v>
      </c>
      <c r="E26" s="251"/>
      <c r="F26" s="410" t="s">
        <v>806</v>
      </c>
      <c r="G26" s="1271" t="str">
        <f>IF($P$5=17,T26,(HLOOKUP(CodeF3,'RATE Schedules'!C$24:AD$25,2,FALSE)))</f>
        <v>SCI/ENG/SPEC/ TECH/SPRT 7</v>
      </c>
      <c r="H26" s="1271"/>
      <c r="I26" s="1271"/>
      <c r="J26" s="421">
        <f>VLOOKUP(RateSchedule,ClientFeeTable,24,FALSE)</f>
        <v>110</v>
      </c>
      <c r="K26" s="241">
        <f t="shared" si="0"/>
        <v>110</v>
      </c>
      <c r="L26" s="415" t="str">
        <f t="shared" si="1"/>
        <v/>
      </c>
      <c r="M26" s="1161"/>
      <c r="N26" s="553"/>
      <c r="O26" s="518"/>
      <c r="Q26" s="486">
        <f>+IF(Multiplier&gt;0,CalcRateF3*Multiplier,CalcRateF3)</f>
        <v>110</v>
      </c>
      <c r="T26" s="251" t="s">
        <v>1315</v>
      </c>
      <c r="U26" s="279"/>
      <c r="V26"/>
      <c r="W26" s="660"/>
      <c r="X26"/>
      <c r="Y26"/>
      <c r="Z26"/>
      <c r="AA26"/>
      <c r="AB26"/>
      <c r="AC26"/>
      <c r="AD26"/>
      <c r="AE26"/>
      <c r="AF26"/>
      <c r="AG26"/>
      <c r="AP26" s="38"/>
      <c r="AQ26" s="38"/>
      <c r="AR26" s="38"/>
      <c r="AS26" s="38"/>
      <c r="AT26" s="38"/>
      <c r="AU26" s="38"/>
    </row>
    <row r="27" spans="1:47" ht="15" customHeight="1" x14ac:dyDescent="0.2">
      <c r="A27" s="187"/>
      <c r="B27" s="1181">
        <v>10</v>
      </c>
      <c r="C27" s="1175" t="s">
        <v>2528</v>
      </c>
      <c r="D27" s="1176" t="s">
        <v>2047</v>
      </c>
      <c r="E27" s="251"/>
      <c r="F27" s="410" t="s">
        <v>807</v>
      </c>
      <c r="G27" s="1271" t="str">
        <f>IF($P$5=17,T27,(HLOOKUP(CodeF2,'RATE Schedules'!C$24:AD$25,2,FALSE)))</f>
        <v>SCI/ENG/SPEC/ TECH/SPRT 6</v>
      </c>
      <c r="H27" s="1271"/>
      <c r="I27" s="1271"/>
      <c r="J27" s="421">
        <f>VLOOKUP(RateSchedule,ClientFeeTable,25,FALSE)</f>
        <v>101</v>
      </c>
      <c r="K27" s="241">
        <f t="shared" si="0"/>
        <v>101</v>
      </c>
      <c r="L27" s="415" t="str">
        <f t="shared" si="1"/>
        <v/>
      </c>
      <c r="M27" s="1161"/>
      <c r="N27" s="553"/>
      <c r="O27" s="518"/>
      <c r="Q27" s="486">
        <f>+IF(Multiplier&gt;0,CalcRateF2*Multiplier,CalcRateF2)</f>
        <v>101</v>
      </c>
      <c r="T27" s="251" t="s">
        <v>1293</v>
      </c>
      <c r="U27" s="279"/>
      <c r="V27"/>
      <c r="W27" s="661"/>
      <c r="X27"/>
      <c r="Y27"/>
      <c r="Z27"/>
      <c r="AA27"/>
      <c r="AB27"/>
      <c r="AC27"/>
      <c r="AD27"/>
      <c r="AE27"/>
      <c r="AF27"/>
      <c r="AG27"/>
      <c r="AP27" s="38"/>
      <c r="AQ27" s="38"/>
      <c r="AR27" s="38"/>
      <c r="AS27" s="38"/>
      <c r="AT27" s="38"/>
      <c r="AU27" s="38"/>
    </row>
    <row r="28" spans="1:47" ht="15" customHeight="1" x14ac:dyDescent="0.2">
      <c r="A28" s="187"/>
      <c r="B28" s="1183">
        <v>11</v>
      </c>
      <c r="C28" s="1175" t="s">
        <v>2529</v>
      </c>
      <c r="D28" s="1176" t="s">
        <v>2047</v>
      </c>
      <c r="E28" s="251"/>
      <c r="F28" s="410" t="s">
        <v>808</v>
      </c>
      <c r="G28" s="1271" t="str">
        <f>IF($P$5=17,T28,(HLOOKUP(CodeF1,'RATE Schedules'!C$24:AD$25,2,FALSE)))</f>
        <v>SCI/ENG/SPEC/ TECH/SPRT 5</v>
      </c>
      <c r="H28" s="1271"/>
      <c r="I28" s="1271"/>
      <c r="J28" s="421">
        <f>VLOOKUP(RateSchedule,ClientFeeTable,26,FALSE)</f>
        <v>94</v>
      </c>
      <c r="K28" s="241">
        <f t="shared" si="0"/>
        <v>94</v>
      </c>
      <c r="L28" s="415" t="str">
        <f t="shared" si="1"/>
        <v/>
      </c>
      <c r="M28" s="1161"/>
      <c r="N28" s="553"/>
      <c r="O28" s="215"/>
      <c r="Q28" s="486">
        <f>+IF(Multiplier&gt;0,CalcRateF1*Multiplier,CalcRateF1)</f>
        <v>94</v>
      </c>
      <c r="T28" s="251" t="s">
        <v>1306</v>
      </c>
      <c r="U28" s="279"/>
      <c r="V28"/>
      <c r="W28" s="660"/>
      <c r="X28"/>
      <c r="Y28"/>
      <c r="Z28"/>
      <c r="AA28"/>
      <c r="AB28"/>
      <c r="AC28"/>
      <c r="AD28"/>
      <c r="AE28"/>
      <c r="AF28"/>
      <c r="AG28"/>
      <c r="AP28" s="38"/>
      <c r="AQ28" s="38"/>
      <c r="AR28" s="38"/>
      <c r="AS28" s="38"/>
      <c r="AT28" s="38"/>
      <c r="AU28" s="38"/>
    </row>
    <row r="29" spans="1:47" ht="15" customHeight="1" x14ac:dyDescent="0.2">
      <c r="A29" s="187"/>
      <c r="B29" s="1183">
        <v>12</v>
      </c>
      <c r="C29" s="1175" t="s">
        <v>2547</v>
      </c>
      <c r="D29" s="1176" t="s">
        <v>2541</v>
      </c>
      <c r="E29" s="251"/>
      <c r="F29" s="410" t="s">
        <v>809</v>
      </c>
      <c r="G29" s="1271" t="str">
        <f>IF($P$5=17,T29,(HLOOKUP(CodeG4,'RATE Schedules'!C$24:AD$25,2,FALSE)))</f>
        <v>SCI/ENG/SPEC/ TECH/SPRT 4</v>
      </c>
      <c r="H29" s="1271"/>
      <c r="I29" s="1271"/>
      <c r="J29" s="421">
        <f>VLOOKUP(RateSchedule,ClientFeeTable,27,FALSE)</f>
        <v>85</v>
      </c>
      <c r="K29" s="241">
        <f t="shared" si="0"/>
        <v>85</v>
      </c>
      <c r="L29" s="415" t="str">
        <f t="shared" si="1"/>
        <v/>
      </c>
      <c r="M29" s="1161"/>
      <c r="N29" s="553"/>
      <c r="O29" s="215"/>
      <c r="Q29" s="486">
        <f>+IF(Multiplier&gt;0,CalcRateG4*Multiplier,CalcRateG4)</f>
        <v>85</v>
      </c>
      <c r="T29" s="251" t="s">
        <v>1316</v>
      </c>
      <c r="U29" s="279"/>
      <c r="V29"/>
      <c r="W29" s="660"/>
      <c r="X29"/>
      <c r="Y29"/>
      <c r="Z29"/>
      <c r="AA29"/>
      <c r="AB29"/>
      <c r="AC29"/>
      <c r="AD29"/>
      <c r="AE29"/>
      <c r="AF29"/>
      <c r="AG29"/>
      <c r="AP29" s="38"/>
      <c r="AQ29" s="38"/>
      <c r="AR29" s="38"/>
      <c r="AS29" s="38"/>
      <c r="AT29" s="38"/>
      <c r="AU29" s="38"/>
    </row>
    <row r="30" spans="1:47" ht="15" customHeight="1" x14ac:dyDescent="0.2">
      <c r="A30" s="187"/>
      <c r="B30" s="1183">
        <v>13</v>
      </c>
      <c r="C30" s="1175" t="s">
        <v>2549</v>
      </c>
      <c r="D30" s="1176" t="s">
        <v>2545</v>
      </c>
      <c r="E30" s="251"/>
      <c r="F30" s="410" t="s">
        <v>810</v>
      </c>
      <c r="G30" s="1271" t="str">
        <f>IF($P$5=17,T30,(HLOOKUP(CodeG3,'RATE Schedules'!C$24:AD$25,2,FALSE)))</f>
        <v>SCI/ENG/SPEC/ TECH/SPRT 3</v>
      </c>
      <c r="H30" s="1271"/>
      <c r="I30" s="1271"/>
      <c r="J30" s="421">
        <f>VLOOKUP(RateSchedule,ClientFeeTable,28,FALSE)</f>
        <v>78</v>
      </c>
      <c r="K30" s="241">
        <f t="shared" si="0"/>
        <v>78</v>
      </c>
      <c r="L30" s="415" t="str">
        <f t="shared" si="1"/>
        <v/>
      </c>
      <c r="M30" s="1161"/>
      <c r="N30" s="553"/>
      <c r="O30" s="215"/>
      <c r="Q30" s="486">
        <f>+IF(Multiplier&gt;0,CalcRateG3*Multiplier,CalcRateG3)</f>
        <v>78</v>
      </c>
      <c r="T30" s="251" t="s">
        <v>1309</v>
      </c>
      <c r="U30" s="279"/>
      <c r="V30"/>
      <c r="W30" s="660"/>
      <c r="X30"/>
      <c r="Y30"/>
      <c r="Z30"/>
      <c r="AA30"/>
      <c r="AB30"/>
      <c r="AC30"/>
      <c r="AD30"/>
      <c r="AE30"/>
      <c r="AF30"/>
      <c r="AG30"/>
      <c r="AP30" s="38"/>
      <c r="AQ30" s="38"/>
      <c r="AR30" s="38"/>
      <c r="AS30" s="38"/>
      <c r="AT30" s="38"/>
      <c r="AU30" s="38"/>
    </row>
    <row r="31" spans="1:47" ht="15" customHeight="1" x14ac:dyDescent="0.2">
      <c r="A31" s="187"/>
      <c r="B31" s="1183">
        <v>14</v>
      </c>
      <c r="C31" s="1175" t="s">
        <v>2550</v>
      </c>
      <c r="D31" s="1176" t="s">
        <v>2545</v>
      </c>
      <c r="E31" s="251"/>
      <c r="F31" s="410" t="s">
        <v>811</v>
      </c>
      <c r="G31" s="1271" t="str">
        <f>IF($P$5=17,T31,(HLOOKUP(CodeG2,'RATE Schedules'!C$24:AD$25,2,FALSE)))</f>
        <v>SCI/ENG/SPEC/ TECH/SPRT 2</v>
      </c>
      <c r="H31" s="1271"/>
      <c r="I31" s="1271"/>
      <c r="J31" s="421">
        <f>VLOOKUP(RateSchedule,ClientFeeTable,29,FALSE)</f>
        <v>71</v>
      </c>
      <c r="K31" s="241">
        <f t="shared" si="0"/>
        <v>71</v>
      </c>
      <c r="L31" s="415" t="str">
        <f t="shared" si="1"/>
        <v/>
      </c>
      <c r="M31" s="1161"/>
      <c r="N31" s="553"/>
      <c r="O31" s="215"/>
      <c r="Q31" s="486">
        <f>+IF(Multiplier&gt;0,CalcRateG2*Multiplier,CalcRateG2)</f>
        <v>71</v>
      </c>
      <c r="T31" s="251" t="s">
        <v>1307</v>
      </c>
      <c r="U31" s="279"/>
      <c r="V31"/>
      <c r="W31" s="660"/>
      <c r="X31"/>
      <c r="Y31"/>
      <c r="Z31"/>
      <c r="AA31"/>
      <c r="AB31"/>
      <c r="AC31"/>
      <c r="AD31"/>
      <c r="AE31"/>
      <c r="AF31"/>
      <c r="AG31"/>
      <c r="AP31" s="38"/>
      <c r="AQ31" s="38"/>
      <c r="AR31" s="38"/>
      <c r="AS31" s="38"/>
      <c r="AT31" s="38"/>
      <c r="AU31" s="38"/>
    </row>
    <row r="32" spans="1:47" ht="15" customHeight="1" thickBot="1" x14ac:dyDescent="0.25">
      <c r="A32" s="187"/>
      <c r="B32" s="1183">
        <v>15</v>
      </c>
      <c r="C32" s="1175" t="s">
        <v>2551</v>
      </c>
      <c r="D32" s="1176" t="s">
        <v>2552</v>
      </c>
      <c r="E32" s="251"/>
      <c r="F32" s="490" t="s">
        <v>812</v>
      </c>
      <c r="G32" s="1287" t="str">
        <f>IF($P$5=17,T32,(HLOOKUP(CodeG1,'RATE Schedules'!C$24:AD$25,2,FALSE)))</f>
        <v>SCI/ENG/SPEC/ TECH/SPRT 1</v>
      </c>
      <c r="H32" s="1287"/>
      <c r="I32" s="1287"/>
      <c r="J32" s="422">
        <f>VLOOKUP(RateSchedule,ClientFeeTable,30,FALSE)</f>
        <v>57</v>
      </c>
      <c r="K32" s="389">
        <f t="shared" si="0"/>
        <v>57</v>
      </c>
      <c r="L32" s="416" t="str">
        <f t="shared" si="1"/>
        <v/>
      </c>
      <c r="M32" s="1162"/>
      <c r="N32" s="554"/>
      <c r="O32" s="215"/>
      <c r="Q32" s="486">
        <f>+IF(Multiplier&gt;0,CalcRateG1*Multiplier,CalcRateG1)</f>
        <v>57</v>
      </c>
      <c r="T32" s="832" t="s">
        <v>1308</v>
      </c>
      <c r="U32" s="279"/>
      <c r="V32"/>
      <c r="W32" s="660"/>
      <c r="X32"/>
      <c r="Y32"/>
      <c r="Z32"/>
      <c r="AA32"/>
      <c r="AB32"/>
      <c r="AC32"/>
      <c r="AD32"/>
      <c r="AE32"/>
      <c r="AF32"/>
      <c r="AG32"/>
      <c r="AP32" s="38"/>
      <c r="AQ32" s="38"/>
      <c r="AR32" s="38"/>
      <c r="AS32" s="38"/>
      <c r="AT32" s="38"/>
      <c r="AU32" s="38"/>
    </row>
    <row r="33" spans="1:47" ht="14.25" customHeight="1" thickTop="1" x14ac:dyDescent="0.2">
      <c r="A33" s="187"/>
      <c r="B33" s="1183">
        <v>16</v>
      </c>
      <c r="C33" s="1175" t="s">
        <v>2553</v>
      </c>
      <c r="D33" s="1176" t="s">
        <v>2545</v>
      </c>
      <c r="E33" s="251"/>
      <c r="F33" s="662"/>
      <c r="G33" s="1289"/>
      <c r="H33" s="1289"/>
      <c r="I33" s="1289"/>
      <c r="J33" s="515" t="str">
        <f>+IF(Multiplier&gt;0,"Multiplier =","")</f>
        <v/>
      </c>
      <c r="K33" s="516">
        <f>+IF(MultiplierRate&gt;0,MultiplierRate,"")</f>
        <v>3.2</v>
      </c>
      <c r="L33" s="413"/>
      <c r="N33" s="214"/>
      <c r="O33" s="214"/>
      <c r="T33"/>
      <c r="U33" s="279"/>
      <c r="V33"/>
      <c r="W33" s="660"/>
      <c r="X33"/>
      <c r="Y33"/>
      <c r="Z33"/>
      <c r="AA33"/>
      <c r="AB33"/>
      <c r="AC33"/>
      <c r="AD33"/>
      <c r="AE33"/>
      <c r="AF33"/>
      <c r="AG33"/>
      <c r="AP33" s="38"/>
      <c r="AQ33" s="38"/>
      <c r="AR33" s="38"/>
      <c r="AS33" s="38"/>
      <c r="AT33" s="38"/>
      <c r="AU33" s="38"/>
    </row>
    <row r="34" spans="1:47" x14ac:dyDescent="0.2">
      <c r="A34" s="187"/>
      <c r="B34" s="1183">
        <v>17</v>
      </c>
      <c r="C34" s="1175" t="s">
        <v>2554</v>
      </c>
      <c r="D34" s="1176" t="s">
        <v>2047</v>
      </c>
      <c r="E34" s="1158"/>
      <c r="K34" s="663"/>
      <c r="L34" s="89"/>
      <c r="W34" s="164"/>
      <c r="X34" s="164"/>
      <c r="Y34" s="164"/>
      <c r="Z34" s="164"/>
      <c r="AA34" s="164"/>
      <c r="AB34" s="164"/>
      <c r="AC34" s="164"/>
      <c r="AD34" s="164"/>
      <c r="AE34" s="164"/>
      <c r="AF34" s="164"/>
      <c r="AG34" s="164"/>
      <c r="AH34" s="164"/>
      <c r="AI34" s="164"/>
      <c r="AJ34" s="164"/>
    </row>
    <row r="35" spans="1:47" x14ac:dyDescent="0.2">
      <c r="A35" s="187"/>
      <c r="B35" s="1183">
        <v>18</v>
      </c>
      <c r="C35" s="1175" t="s">
        <v>2556</v>
      </c>
      <c r="D35" s="1176" t="s">
        <v>2523</v>
      </c>
      <c r="E35" s="1158"/>
      <c r="K35" s="663"/>
    </row>
    <row r="36" spans="1:47" s="866" customFormat="1" x14ac:dyDescent="0.2">
      <c r="A36" s="187"/>
      <c r="B36" s="1183">
        <v>19</v>
      </c>
      <c r="C36" s="1175" t="s">
        <v>2558</v>
      </c>
      <c r="D36" s="1176" t="s">
        <v>2552</v>
      </c>
      <c r="E36" s="1158"/>
      <c r="W36" s="867"/>
    </row>
    <row r="37" spans="1:47" x14ac:dyDescent="0.2">
      <c r="A37" s="187"/>
      <c r="B37" s="1184">
        <v>20</v>
      </c>
      <c r="C37" s="1175" t="s">
        <v>2557</v>
      </c>
      <c r="D37" s="1176" t="s">
        <v>2523</v>
      </c>
      <c r="E37" s="1158"/>
    </row>
    <row r="38" spans="1:47" ht="13.5" thickBot="1" x14ac:dyDescent="0.25">
      <c r="A38" s="187"/>
      <c r="B38" s="1177"/>
      <c r="C38" s="1177"/>
      <c r="D38" s="1178"/>
      <c r="E38" s="251"/>
    </row>
    <row r="39" spans="1:47" ht="13.5" thickTop="1" x14ac:dyDescent="0.2"/>
    <row r="40" spans="1:47" ht="12.75" customHeight="1" x14ac:dyDescent="0.2">
      <c r="E40" s="251"/>
    </row>
    <row r="41" spans="1:47" x14ac:dyDescent="0.2">
      <c r="D41" s="4"/>
    </row>
    <row r="42" spans="1:47" x14ac:dyDescent="0.2">
      <c r="A42" s="354" t="s">
        <v>4</v>
      </c>
      <c r="D42" s="44"/>
    </row>
    <row r="43" spans="1:47" x14ac:dyDescent="0.2">
      <c r="B43" s="7"/>
      <c r="D43" s="4"/>
    </row>
    <row r="44" spans="1:47" x14ac:dyDescent="0.2">
      <c r="A44" s="381" t="s">
        <v>513</v>
      </c>
      <c r="B44" s="382"/>
      <c r="C44" s="382"/>
      <c r="D44" s="383"/>
      <c r="E44" s="436" t="s">
        <v>523</v>
      </c>
    </row>
    <row r="45" spans="1:47" x14ac:dyDescent="0.2">
      <c r="A45" s="1284" t="s">
        <v>2535</v>
      </c>
      <c r="B45" s="1290"/>
      <c r="C45" s="1291"/>
      <c r="D45" s="380">
        <f>SurchargeRate</f>
        <v>0.06</v>
      </c>
      <c r="E45" s="1163"/>
    </row>
    <row r="46" spans="1:47" x14ac:dyDescent="0.2">
      <c r="A46" s="1292" t="s">
        <v>2536</v>
      </c>
      <c r="B46" s="1293"/>
      <c r="C46" s="1294"/>
      <c r="D46" s="379">
        <f>MarkupRate</f>
        <v>0.15</v>
      </c>
      <c r="E46" s="1163"/>
    </row>
    <row r="47" spans="1:47" x14ac:dyDescent="0.2">
      <c r="A47" s="1292" t="s">
        <v>2537</v>
      </c>
      <c r="B47" s="1293"/>
      <c r="C47" s="1294"/>
      <c r="D47" s="379">
        <f>ExpMarkupRate</f>
        <v>0.15</v>
      </c>
      <c r="E47" s="1164"/>
    </row>
    <row r="48" spans="1:47" x14ac:dyDescent="0.2">
      <c r="A48" s="1284" t="s">
        <v>2538</v>
      </c>
      <c r="B48" s="1285"/>
      <c r="C48" s="1286"/>
      <c r="D48" s="1037">
        <v>0.15</v>
      </c>
      <c r="E48" s="1164"/>
    </row>
    <row r="49" spans="1:11" x14ac:dyDescent="0.2">
      <c r="A49" s="1284" t="s">
        <v>2539</v>
      </c>
      <c r="B49" s="1285"/>
      <c r="C49" s="1286"/>
      <c r="D49" s="386">
        <f>InsuranceMarkup</f>
        <v>0.02</v>
      </c>
      <c r="E49" s="1164"/>
    </row>
    <row r="50" spans="1:11" x14ac:dyDescent="0.2">
      <c r="A50" s="1284" t="s">
        <v>2540</v>
      </c>
      <c r="B50" s="1290"/>
      <c r="C50" s="1291"/>
      <c r="D50" s="1036">
        <f>LaborDiscountRate</f>
        <v>0</v>
      </c>
      <c r="E50" s="1164"/>
    </row>
    <row r="51" spans="1:11" x14ac:dyDescent="0.2">
      <c r="A51" s="455"/>
      <c r="B51" s="455"/>
      <c r="C51" s="455"/>
      <c r="D51" s="455"/>
      <c r="E51" s="1165"/>
    </row>
    <row r="52" spans="1:11" x14ac:dyDescent="0.2">
      <c r="A52" s="1288" t="s">
        <v>2530</v>
      </c>
      <c r="B52" s="1288"/>
      <c r="C52" s="1288"/>
      <c r="D52" s="1288"/>
      <c r="E52" s="1166">
        <v>3.2</v>
      </c>
    </row>
    <row r="53" spans="1:11" x14ac:dyDescent="0.2">
      <c r="A53" s="1288"/>
      <c r="B53" s="1288"/>
      <c r="C53" s="1288"/>
      <c r="D53" s="1288"/>
    </row>
    <row r="54" spans="1:11" x14ac:dyDescent="0.2">
      <c r="A54" s="1283"/>
      <c r="B54" s="1283"/>
      <c r="C54" s="1283"/>
      <c r="D54" s="36"/>
    </row>
    <row r="55" spans="1:11" ht="15" x14ac:dyDescent="0.2">
      <c r="A55" s="868" t="s">
        <v>1382</v>
      </c>
      <c r="B55" s="869"/>
      <c r="C55" s="869"/>
      <c r="D55" s="870"/>
      <c r="E55" s="869"/>
      <c r="F55" s="869"/>
      <c r="G55" s="869"/>
      <c r="H55" s="869"/>
      <c r="I55" s="869"/>
      <c r="J55" s="869"/>
      <c r="K55" s="871"/>
    </row>
    <row r="56" spans="1:11" x14ac:dyDescent="0.2">
      <c r="A56" s="1283"/>
      <c r="B56" s="1283"/>
      <c r="C56" s="1283"/>
      <c r="D56" s="36"/>
    </row>
    <row r="57" spans="1:11" x14ac:dyDescent="0.2">
      <c r="A57" s="1283"/>
      <c r="B57" s="1283"/>
      <c r="C57" s="1283"/>
      <c r="D57" s="36"/>
    </row>
    <row r="58" spans="1:11" x14ac:dyDescent="0.2">
      <c r="A58" s="1283"/>
      <c r="B58" s="1283"/>
      <c r="C58" s="1283"/>
      <c r="D58" s="36"/>
    </row>
    <row r="59" spans="1:11" x14ac:dyDescent="0.2">
      <c r="D59" s="1"/>
    </row>
    <row r="60" spans="1:11" x14ac:dyDescent="0.2">
      <c r="D60" s="1"/>
    </row>
    <row r="61" spans="1:11" x14ac:dyDescent="0.2">
      <c r="D61" s="1"/>
    </row>
    <row r="72" spans="5:5" x14ac:dyDescent="0.2">
      <c r="E72" s="251"/>
    </row>
    <row r="73" spans="5:5" x14ac:dyDescent="0.2">
      <c r="E73" s="251"/>
    </row>
    <row r="74" spans="5:5" x14ac:dyDescent="0.2">
      <c r="E74" s="251"/>
    </row>
    <row r="75" spans="5:5" x14ac:dyDescent="0.2">
      <c r="E75" s="251"/>
    </row>
    <row r="76" spans="5:5" x14ac:dyDescent="0.2">
      <c r="E76" s="251"/>
    </row>
    <row r="77" spans="5:5" x14ac:dyDescent="0.2">
      <c r="E77" s="251"/>
    </row>
    <row r="78" spans="5:5" x14ac:dyDescent="0.2">
      <c r="E78" s="251"/>
    </row>
    <row r="79" spans="5:5" x14ac:dyDescent="0.2">
      <c r="E79" s="251"/>
    </row>
    <row r="80" spans="5:5" x14ac:dyDescent="0.2">
      <c r="E80" s="251"/>
    </row>
    <row r="81" spans="5:5" x14ac:dyDescent="0.2">
      <c r="E81" s="251"/>
    </row>
    <row r="82" spans="5:5" x14ac:dyDescent="0.2">
      <c r="E82" s="251"/>
    </row>
    <row r="83" spans="5:5" x14ac:dyDescent="0.2">
      <c r="E83" s="251"/>
    </row>
  </sheetData>
  <sheetProtection algorithmName="SHA-512" hashValue="0tLqV03pLu6wKmL/m4D6BSM2Y5pIYXKWpmYfCwirNvNMflGfw2SJtxTTpdBd2HYk0K+2EsDIegwy/DvsORlzbQ==" saltValue="vdxmZtyGhjnIo0FMeZE5Cg==" spinCount="100000" sheet="1" objects="1" scenarios="1"/>
  <protectedRanges>
    <protectedRange sqref="E45:E52" name="SetMarkupValue In Input"/>
    <protectedRange sqref="E52" name="Multiplier"/>
    <protectedRange sqref="X6:X33" name="Notes_1"/>
    <protectedRange sqref="M5:M32" name="Rate Override"/>
    <protectedRange sqref="E13:E16 D15:D16 D13 E18:E19 D29 B13:C16 B6:E12" name="Project Info"/>
    <protectedRange sqref="E44:E50" name="User Discounts"/>
    <protectedRange sqref="N5:N32" name="Notes"/>
    <protectedRange sqref="E24:E33 E38 E20 E40" name="Project Info_2"/>
    <protectedRange sqref="C17:D17" name="Project Info_3"/>
    <protectedRange sqref="E72:E83" name="Project Info_4"/>
  </protectedRanges>
  <dataConsolidate/>
  <mergeCells count="49">
    <mergeCell ref="A57:C57"/>
    <mergeCell ref="A58:C58"/>
    <mergeCell ref="G29:I29"/>
    <mergeCell ref="A49:C49"/>
    <mergeCell ref="G30:I30"/>
    <mergeCell ref="G31:I31"/>
    <mergeCell ref="G32:I32"/>
    <mergeCell ref="A52:D53"/>
    <mergeCell ref="G33:I33"/>
    <mergeCell ref="A45:C45"/>
    <mergeCell ref="A46:C46"/>
    <mergeCell ref="A47:C47"/>
    <mergeCell ref="A48:C48"/>
    <mergeCell ref="A50:C50"/>
    <mergeCell ref="A54:C54"/>
    <mergeCell ref="A56:C56"/>
    <mergeCell ref="G28:I28"/>
    <mergeCell ref="G20:I20"/>
    <mergeCell ref="G21:I21"/>
    <mergeCell ref="G22:I22"/>
    <mergeCell ref="G17:I17"/>
    <mergeCell ref="G18:I18"/>
    <mergeCell ref="G19:I19"/>
    <mergeCell ref="G23:I23"/>
    <mergeCell ref="G24:I24"/>
    <mergeCell ref="G25:I25"/>
    <mergeCell ref="G26:I26"/>
    <mergeCell ref="G27:I27"/>
    <mergeCell ref="G14:I14"/>
    <mergeCell ref="G15:I15"/>
    <mergeCell ref="G16:I16"/>
    <mergeCell ref="G10:I10"/>
    <mergeCell ref="B11:E11"/>
    <mergeCell ref="G11:I11"/>
    <mergeCell ref="G12:I12"/>
    <mergeCell ref="G13:I13"/>
    <mergeCell ref="B10:E10"/>
    <mergeCell ref="B7:E7"/>
    <mergeCell ref="G7:I7"/>
    <mergeCell ref="B8:E8"/>
    <mergeCell ref="G8:I8"/>
    <mergeCell ref="B9:D9"/>
    <mergeCell ref="G9:I9"/>
    <mergeCell ref="J1:L1"/>
    <mergeCell ref="A2:H3"/>
    <mergeCell ref="G4:I4"/>
    <mergeCell ref="G5:I5"/>
    <mergeCell ref="B6:E6"/>
    <mergeCell ref="G6:I6"/>
  </mergeCells>
  <conditionalFormatting sqref="D54:D58">
    <cfRule type="expression" dxfId="671" priority="6" stopIfTrue="1">
      <formula>Contingency=TRUE</formula>
    </cfRule>
  </conditionalFormatting>
  <conditionalFormatting sqref="K3:L3">
    <cfRule type="expression" dxfId="670" priority="7" stopIfTrue="1">
      <formula>N5&gt;0</formula>
    </cfRule>
  </conditionalFormatting>
  <conditionalFormatting sqref="J5">
    <cfRule type="expression" dxfId="669" priority="5">
      <formula>$M5&gt;0</formula>
    </cfRule>
  </conditionalFormatting>
  <conditionalFormatting sqref="J6">
    <cfRule type="expression" dxfId="668" priority="4">
      <formula>$M6&gt;0</formula>
    </cfRule>
  </conditionalFormatting>
  <conditionalFormatting sqref="J7">
    <cfRule type="expression" dxfId="667" priority="3">
      <formula>$M7&gt;0</formula>
    </cfRule>
  </conditionalFormatting>
  <conditionalFormatting sqref="J8:J32">
    <cfRule type="expression" dxfId="666" priority="2">
      <formula>$M8&gt;0</formula>
    </cfRule>
  </conditionalFormatting>
  <dataValidations count="1">
    <dataValidation type="decimal" operator="greaterThan" showInputMessage="1" showErrorMessage="1" sqref="E52" xr:uid="{14BB284D-4686-467B-86AC-7EA035084A4F}">
      <formula1>1.99</formula1>
    </dataValidation>
  </dataValidations>
  <printOptions horizontalCentered="1"/>
  <pageMargins left="0.25" right="0.25" top="0.75" bottom="0.75" header="0.3" footer="0.3"/>
  <pageSetup scale="50" orientation="landscape" r:id="rId1"/>
  <headerFooter alignWithMargins="0">
    <oddFooter xml:space="preserve">&amp;R&amp;6&amp;Z&amp;F   &amp;D
&amp;7© 2016 TRC   All rights reserved.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Drop Down 1">
              <controlPr locked="0" defaultSize="0" autoFill="0" autoLine="0" autoPict="0" macro="[0]!DoLockup">
                <anchor moveWithCells="1">
                  <from>
                    <xdr:col>1</xdr:col>
                    <xdr:colOff>0</xdr:colOff>
                    <xdr:row>40</xdr:row>
                    <xdr:rowOff>180975</xdr:rowOff>
                  </from>
                  <to>
                    <xdr:col>2</xdr:col>
                    <xdr:colOff>1409700</xdr:colOff>
                    <xdr:row>42</xdr:row>
                    <xdr:rowOff>38100</xdr:rowOff>
                  </to>
                </anchor>
              </controlPr>
            </control>
          </mc:Choice>
        </mc:AlternateContent>
        <mc:AlternateContent xmlns:mc="http://schemas.openxmlformats.org/markup-compatibility/2006">
          <mc:Choice Requires="x14">
            <control shapeId="83976" r:id="rId5" name="Button 8">
              <controlPr defaultSize="0" print="0" autoFill="0" autoPict="0" macro="[0]!Button2_Click">
                <anchor moveWithCells="1" sizeWithCells="1">
                  <from>
                    <xdr:col>0</xdr:col>
                    <xdr:colOff>809625</xdr:colOff>
                    <xdr:row>11</xdr:row>
                    <xdr:rowOff>123825</xdr:rowOff>
                  </from>
                  <to>
                    <xdr:col>2</xdr:col>
                    <xdr:colOff>809625</xdr:colOff>
                    <xdr:row>14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B58C2F4F-078B-448C-8694-5217203D7F59}">
            <xm:f>'RATE Schedules'!$B$8&gt;0</xm:f>
            <x14:dxf>
              <fill>
                <patternFill>
                  <bgColor rgb="FFFFFFCC"/>
                </patternFill>
              </fill>
            </x14:dxf>
          </x14:cfRule>
          <xm:sqref>J4:J32</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pageSetUpPr fitToPage="1"/>
  </sheetPr>
  <dimension ref="A1:AU77"/>
  <sheetViews>
    <sheetView showZeros="0" topLeftCell="A40" zoomScale="85" zoomScaleNormal="85" workbookViewId="0">
      <selection activeCell="I61" sqref="I61"/>
    </sheetView>
  </sheetViews>
  <sheetFormatPr defaultColWidth="12.7109375" defaultRowHeight="12.75" x14ac:dyDescent="0.2"/>
  <cols>
    <col min="1" max="1" width="13.42578125" style="4" customWidth="1"/>
    <col min="2" max="2" width="4.28515625" style="4" customWidth="1"/>
    <col min="3" max="3" width="10.28515625" style="4" customWidth="1"/>
    <col min="4" max="4" width="17.7109375" style="3" customWidth="1"/>
    <col min="5" max="5" width="20.42578125" style="4" customWidth="1"/>
    <col min="6" max="6" width="13" style="4" customWidth="1"/>
    <col min="7" max="7" width="5.42578125" style="4" customWidth="1"/>
    <col min="8" max="8" width="15.28515625" style="4" customWidth="1"/>
    <col min="9" max="9" width="6" style="4" customWidth="1"/>
    <col min="10" max="12" width="18.7109375" style="4" customWidth="1"/>
    <col min="13" max="13" width="12.140625" style="4" customWidth="1"/>
    <col min="14" max="14" width="12.7109375" style="883" hidden="1" customWidth="1"/>
    <col min="15" max="15" width="16.7109375" style="883" hidden="1" customWidth="1"/>
    <col min="16" max="16" width="16.140625" style="883" hidden="1" customWidth="1"/>
    <col min="17" max="18" width="12.7109375" style="883" hidden="1" customWidth="1"/>
    <col min="19" max="19" width="11" style="883" hidden="1" customWidth="1"/>
    <col min="20" max="20" width="16.5703125" style="883" hidden="1" customWidth="1"/>
    <col min="21" max="21" width="11.85546875" style="883" hidden="1" customWidth="1"/>
    <col min="22" max="22" width="13.5703125" style="883" hidden="1" customWidth="1"/>
    <col min="23" max="23" width="15" style="892" hidden="1" customWidth="1"/>
    <col min="24" max="24" width="15" style="883" hidden="1" customWidth="1"/>
    <col min="25" max="25" width="16.140625" style="883" hidden="1" customWidth="1"/>
    <col min="26" max="26" width="18.42578125" style="883" hidden="1" customWidth="1"/>
    <col min="27" max="27" width="19" style="883" hidden="1" customWidth="1"/>
    <col min="28" max="28" width="15.7109375" style="883" hidden="1" customWidth="1"/>
    <col min="29" max="29" width="14.28515625" style="883" hidden="1" customWidth="1"/>
    <col min="30" max="30" width="12.140625" style="883" hidden="1" customWidth="1"/>
    <col min="31" max="31" width="14.5703125" style="883" hidden="1" customWidth="1"/>
    <col min="32" max="32" width="14.85546875" style="883" hidden="1" customWidth="1"/>
    <col min="33" max="33" width="12.28515625" style="883" hidden="1" customWidth="1"/>
    <col min="34" max="34" width="10" style="883" hidden="1" customWidth="1"/>
    <col min="35" max="35" width="10.7109375" style="883" hidden="1" customWidth="1"/>
    <col min="36" max="36" width="12.7109375" style="4" hidden="1" customWidth="1"/>
    <col min="37" max="37" width="14.42578125" style="4" customWidth="1"/>
    <col min="38" max="41" width="12.7109375" style="4" customWidth="1"/>
    <col min="42" max="42" width="15" style="4" customWidth="1"/>
    <col min="43" max="43" width="18.42578125" style="4" customWidth="1"/>
    <col min="44" max="44" width="14.42578125" style="4" customWidth="1"/>
    <col min="45" max="45" width="20.42578125" style="4" customWidth="1"/>
    <col min="46" max="46" width="21.140625" style="4" customWidth="1"/>
    <col min="47" max="47" width="22.140625" style="4" customWidth="1"/>
    <col min="48" max="16384" width="12.7109375" style="4"/>
  </cols>
  <sheetData>
    <row r="1" spans="1:47" ht="16.5" customHeight="1" x14ac:dyDescent="0.25">
      <c r="B1" s="71"/>
      <c r="C1" s="6"/>
      <c r="F1"/>
      <c r="G1"/>
      <c r="H1"/>
      <c r="I1"/>
      <c r="J1"/>
      <c r="K1"/>
      <c r="L1"/>
      <c r="M1"/>
      <c r="N1" s="878"/>
      <c r="O1" s="879"/>
      <c r="P1" s="879"/>
      <c r="Q1" s="879"/>
      <c r="R1" s="879"/>
      <c r="S1" s="880"/>
      <c r="T1" s="880"/>
      <c r="U1" s="880"/>
      <c r="V1" s="880"/>
      <c r="W1" s="881" t="b">
        <v>1</v>
      </c>
      <c r="X1" s="1169" t="b">
        <v>1</v>
      </c>
      <c r="Y1" s="1160" t="b">
        <v>1</v>
      </c>
      <c r="Z1" s="1160" t="b">
        <v>1</v>
      </c>
      <c r="AI1" s="882"/>
      <c r="AJ1" s="39"/>
      <c r="AK1" s="39"/>
      <c r="AL1" s="39"/>
      <c r="AM1" s="39"/>
      <c r="AN1" s="39"/>
      <c r="AO1" s="39"/>
    </row>
    <row r="2" spans="1:47" ht="16.5" customHeight="1" thickBot="1" x14ac:dyDescent="0.25">
      <c r="A2" s="6"/>
      <c r="B2" s="6"/>
      <c r="C2" s="6"/>
      <c r="F2"/>
      <c r="G2"/>
      <c r="H2"/>
      <c r="I2"/>
      <c r="J2"/>
      <c r="K2"/>
      <c r="L2"/>
      <c r="M2"/>
      <c r="N2" s="884"/>
      <c r="O2" s="879"/>
      <c r="P2" s="879"/>
      <c r="Q2" s="879"/>
      <c r="R2" s="879"/>
      <c r="S2" s="885"/>
      <c r="T2" s="886"/>
      <c r="U2" s="886"/>
      <c r="V2" s="886"/>
      <c r="W2" s="881" t="b">
        <v>1</v>
      </c>
      <c r="X2" s="1167" t="b">
        <v>1</v>
      </c>
      <c r="Y2" s="1167" t="b">
        <v>1</v>
      </c>
      <c r="Z2" s="1167" t="b">
        <v>1</v>
      </c>
      <c r="AA2" s="887"/>
      <c r="AB2" s="887"/>
      <c r="AC2" s="887"/>
      <c r="AD2" s="887"/>
      <c r="AE2" s="887"/>
      <c r="AF2" s="887"/>
      <c r="AG2" s="887"/>
      <c r="AH2" s="887"/>
      <c r="AI2" s="887"/>
      <c r="AJ2" s="37"/>
      <c r="AL2" s="37"/>
      <c r="AM2" s="37"/>
      <c r="AN2" s="37"/>
      <c r="AO2" s="37"/>
      <c r="AP2" s="43"/>
      <c r="AQ2" s="43"/>
      <c r="AR2" s="43"/>
      <c r="AS2" s="43"/>
      <c r="AT2" s="43"/>
      <c r="AU2" s="43"/>
    </row>
    <row r="3" spans="1:47" ht="15" customHeight="1" thickTop="1" x14ac:dyDescent="0.2">
      <c r="A3" s="504" t="s">
        <v>0</v>
      </c>
      <c r="B3" s="1295">
        <f>+ProjectName</f>
        <v>0</v>
      </c>
      <c r="C3" s="1295"/>
      <c r="D3" s="1295"/>
      <c r="E3" s="1296"/>
      <c r="F3"/>
      <c r="G3"/>
      <c r="H3"/>
      <c r="I3"/>
      <c r="J3"/>
      <c r="K3"/>
      <c r="L3"/>
      <c r="M3"/>
      <c r="N3" s="884"/>
      <c r="O3" s="879"/>
      <c r="P3" s="879"/>
      <c r="Q3" s="879"/>
      <c r="R3" s="879"/>
      <c r="S3" s="885"/>
      <c r="T3" s="888"/>
      <c r="U3" s="888"/>
      <c r="V3" s="879"/>
      <c r="W3" s="881" t="b">
        <v>1</v>
      </c>
      <c r="X3" s="1167" t="b">
        <v>1</v>
      </c>
      <c r="Y3" s="1167" t="b">
        <v>1</v>
      </c>
      <c r="Z3" s="1167" t="b">
        <v>1</v>
      </c>
      <c r="AA3" s="887"/>
      <c r="AB3" s="887"/>
      <c r="AC3" s="887"/>
      <c r="AD3" s="887"/>
      <c r="AE3" s="887"/>
      <c r="AF3" s="887"/>
      <c r="AG3" s="887"/>
      <c r="AH3" s="887"/>
      <c r="AI3" s="887"/>
      <c r="AJ3" s="37"/>
      <c r="AL3" s="37"/>
      <c r="AM3" s="37"/>
      <c r="AN3" s="37"/>
      <c r="AO3" s="37"/>
      <c r="AP3" s="43"/>
      <c r="AQ3" s="43"/>
      <c r="AR3" s="43"/>
      <c r="AS3" s="43"/>
      <c r="AT3" s="43"/>
      <c r="AU3" s="43"/>
    </row>
    <row r="4" spans="1:47" ht="15" customHeight="1" x14ac:dyDescent="0.2">
      <c r="A4" s="505" t="s">
        <v>371</v>
      </c>
      <c r="B4" s="1304">
        <f>ProjectNumber</f>
        <v>0</v>
      </c>
      <c r="C4" s="1304"/>
      <c r="D4" s="1304"/>
      <c r="E4" s="1305"/>
      <c r="F4"/>
      <c r="G4"/>
      <c r="I4"/>
      <c r="J4"/>
      <c r="K4"/>
      <c r="L4"/>
      <c r="M4"/>
      <c r="N4" s="889"/>
      <c r="O4" s="879"/>
      <c r="P4" s="879"/>
      <c r="Q4" s="879"/>
      <c r="R4" s="879"/>
      <c r="S4" s="885"/>
      <c r="T4" s="888"/>
      <c r="U4" s="890"/>
      <c r="V4" s="879"/>
      <c r="W4" s="881" t="b">
        <v>1</v>
      </c>
      <c r="X4" s="1160" t="b">
        <v>1</v>
      </c>
      <c r="Y4" s="1160" t="b">
        <v>1</v>
      </c>
      <c r="Z4" s="1160" t="b">
        <v>1</v>
      </c>
      <c r="AP4" s="38"/>
      <c r="AQ4" s="38"/>
      <c r="AR4" s="38"/>
      <c r="AS4" s="38"/>
      <c r="AT4" s="38"/>
      <c r="AU4" s="38"/>
    </row>
    <row r="5" spans="1:47" ht="15" customHeight="1" x14ac:dyDescent="0.2">
      <c r="A5" s="505" t="s">
        <v>2</v>
      </c>
      <c r="B5" s="1306">
        <f>PreparedBy</f>
        <v>0</v>
      </c>
      <c r="C5" s="1306"/>
      <c r="D5" s="1306"/>
      <c r="E5" s="1307"/>
      <c r="F5"/>
      <c r="G5"/>
      <c r="H5"/>
      <c r="I5"/>
      <c r="J5"/>
      <c r="K5"/>
      <c r="L5"/>
      <c r="M5"/>
      <c r="N5" s="889"/>
      <c r="O5" s="889"/>
      <c r="Q5" s="885"/>
      <c r="R5" s="885"/>
      <c r="S5" s="885"/>
      <c r="T5" s="890"/>
      <c r="U5" s="890"/>
      <c r="V5" s="879"/>
      <c r="W5" s="881" t="b">
        <v>1</v>
      </c>
      <c r="X5" s="1160" t="b">
        <v>1</v>
      </c>
      <c r="Y5" s="1160" t="b">
        <v>1</v>
      </c>
      <c r="Z5" s="1160" t="b">
        <v>1</v>
      </c>
      <c r="AP5" s="38"/>
      <c r="AQ5" s="38"/>
      <c r="AR5" s="38"/>
      <c r="AS5" s="38"/>
      <c r="AT5" s="38"/>
      <c r="AU5" s="38"/>
    </row>
    <row r="6" spans="1:47" ht="15" customHeight="1" x14ac:dyDescent="0.2">
      <c r="A6" s="505" t="s">
        <v>3</v>
      </c>
      <c r="B6" s="1302">
        <f ca="1">TODAY()</f>
        <v>45516</v>
      </c>
      <c r="C6" s="1302"/>
      <c r="D6" s="1302"/>
      <c r="E6" s="1303"/>
      <c r="F6"/>
      <c r="G6"/>
      <c r="H6"/>
      <c r="I6"/>
      <c r="J6"/>
      <c r="K6"/>
      <c r="L6"/>
      <c r="M6"/>
      <c r="N6" s="889"/>
      <c r="O6" s="889"/>
      <c r="Q6" s="885"/>
      <c r="T6" s="890"/>
      <c r="U6" s="890"/>
      <c r="V6" s="879"/>
      <c r="W6" s="881" t="b">
        <v>1</v>
      </c>
      <c r="X6" s="1160" t="b">
        <v>1</v>
      </c>
      <c r="Y6" s="1160" t="b">
        <v>1</v>
      </c>
      <c r="Z6" s="1160" t="b">
        <v>1</v>
      </c>
      <c r="AP6" s="38"/>
      <c r="AQ6" s="38"/>
      <c r="AR6" s="38"/>
      <c r="AS6" s="38"/>
      <c r="AT6" s="38"/>
      <c r="AU6" s="38"/>
    </row>
    <row r="7" spans="1:47" ht="15" customHeight="1" x14ac:dyDescent="0.2">
      <c r="A7" s="1299"/>
      <c r="B7" s="1300"/>
      <c r="C7" s="1300"/>
      <c r="D7" s="1300"/>
      <c r="E7" s="1301"/>
      <c r="F7"/>
      <c r="G7"/>
      <c r="H7"/>
      <c r="I7"/>
      <c r="J7"/>
      <c r="K7"/>
      <c r="L7"/>
      <c r="M7"/>
      <c r="N7" s="889"/>
      <c r="O7" s="889"/>
      <c r="Q7" s="885"/>
      <c r="T7" s="890"/>
      <c r="U7" s="890"/>
      <c r="V7" s="879"/>
      <c r="W7" s="881" t="b">
        <v>1</v>
      </c>
      <c r="X7" s="1160" t="b">
        <v>1</v>
      </c>
      <c r="Y7" s="1160" t="b">
        <v>1</v>
      </c>
      <c r="Z7" s="1160" t="b">
        <v>1</v>
      </c>
      <c r="AP7" s="38"/>
      <c r="AQ7" s="38"/>
      <c r="AR7" s="38"/>
      <c r="AS7" s="38"/>
      <c r="AT7" s="38"/>
      <c r="AU7" s="38"/>
    </row>
    <row r="8" spans="1:47" ht="15" customHeight="1" x14ac:dyDescent="0.2">
      <c r="A8" s="505" t="s">
        <v>410</v>
      </c>
      <c r="B8" s="1297">
        <f>+INPUT!B11</f>
        <v>0</v>
      </c>
      <c r="C8" s="1297"/>
      <c r="D8" s="1297"/>
      <c r="E8" s="1298"/>
      <c r="F8"/>
      <c r="G8"/>
      <c r="H8"/>
      <c r="I8"/>
      <c r="J8"/>
      <c r="K8"/>
      <c r="L8"/>
      <c r="M8"/>
      <c r="N8" s="889"/>
      <c r="O8" s="889"/>
      <c r="Q8" s="885"/>
      <c r="T8" s="890"/>
      <c r="U8" s="890"/>
      <c r="V8" s="879"/>
      <c r="W8" s="881" t="b">
        <v>1</v>
      </c>
      <c r="X8" s="1160" t="b">
        <v>1</v>
      </c>
      <c r="Y8" s="1160" t="b">
        <v>1</v>
      </c>
      <c r="Z8" s="1160" t="b">
        <v>1</v>
      </c>
      <c r="AP8" s="38"/>
      <c r="AQ8" s="38"/>
      <c r="AR8" s="38"/>
      <c r="AS8" s="38"/>
      <c r="AT8" s="38"/>
      <c r="AU8" s="38"/>
    </row>
    <row r="9" spans="1:47" ht="12" customHeight="1" thickBot="1" x14ac:dyDescent="0.25">
      <c r="A9" s="500"/>
      <c r="B9" s="501"/>
      <c r="C9" s="501"/>
      <c r="D9" s="502"/>
      <c r="E9" s="503"/>
      <c r="F9"/>
      <c r="G9"/>
      <c r="H9"/>
      <c r="I9"/>
      <c r="J9"/>
      <c r="K9"/>
      <c r="L9"/>
      <c r="M9"/>
      <c r="N9" s="889"/>
      <c r="O9" s="889"/>
      <c r="Q9" s="885"/>
      <c r="T9" s="890"/>
      <c r="U9" s="890"/>
      <c r="V9" s="879"/>
      <c r="W9" s="881" t="b">
        <v>1</v>
      </c>
      <c r="X9" s="1160" t="b">
        <v>1</v>
      </c>
      <c r="Y9" s="1160" t="b">
        <v>1</v>
      </c>
      <c r="Z9" s="1160" t="b">
        <v>1</v>
      </c>
      <c r="AP9" s="38"/>
      <c r="AQ9" s="38"/>
      <c r="AR9" s="38"/>
      <c r="AS9" s="38"/>
      <c r="AT9" s="38"/>
      <c r="AU9" s="38"/>
    </row>
    <row r="10" spans="1:47" customFormat="1" ht="12.75" customHeight="1" thickTop="1" x14ac:dyDescent="0.2">
      <c r="N10" s="879"/>
      <c r="O10" s="879"/>
      <c r="P10" s="879"/>
      <c r="Q10" s="879"/>
      <c r="R10" s="879"/>
      <c r="S10" s="879"/>
      <c r="T10" s="879"/>
      <c r="U10" s="879"/>
      <c r="V10" s="879"/>
      <c r="W10" s="881" t="b">
        <v>1</v>
      </c>
      <c r="X10" s="1168" t="b">
        <v>1</v>
      </c>
      <c r="Y10" s="1168" t="b">
        <v>1</v>
      </c>
      <c r="Z10" s="1168" t="b">
        <v>1</v>
      </c>
      <c r="AA10" s="879"/>
      <c r="AB10" s="879"/>
      <c r="AC10" s="879"/>
      <c r="AD10" s="879"/>
      <c r="AE10" s="879"/>
      <c r="AF10" s="879"/>
      <c r="AG10" s="879"/>
      <c r="AH10" s="879"/>
      <c r="AI10" s="879"/>
    </row>
    <row r="11" spans="1:47" ht="21" customHeight="1" x14ac:dyDescent="0.25">
      <c r="A11" s="224" t="s">
        <v>734</v>
      </c>
      <c r="N11" s="889"/>
      <c r="O11" s="889"/>
      <c r="T11" s="891"/>
      <c r="U11" s="888"/>
      <c r="V11" s="891"/>
      <c r="AP11" s="38"/>
      <c r="AQ11" s="38"/>
      <c r="AR11" s="38"/>
      <c r="AS11" s="38"/>
      <c r="AT11" s="38"/>
      <c r="AU11" s="38"/>
    </row>
    <row r="12" spans="1:47" ht="23.25" customHeight="1" thickBot="1" x14ac:dyDescent="0.25">
      <c r="D12" s="2"/>
      <c r="AR12" s="38"/>
    </row>
    <row r="13" spans="1:47" ht="18" customHeight="1" thickTop="1" x14ac:dyDescent="0.2">
      <c r="A13" s="1318" t="s">
        <v>5</v>
      </c>
      <c r="B13" s="1319"/>
      <c r="C13" s="1320"/>
      <c r="D13" s="1324" t="s">
        <v>6</v>
      </c>
      <c r="E13" s="506" t="str">
        <f>"Phase"&amp;" "&amp;INPUT!B18</f>
        <v>Phase 1</v>
      </c>
      <c r="F13" s="1326" t="str">
        <f>"Phase"&amp;" "&amp;INPUT!B19</f>
        <v>Phase 2</v>
      </c>
      <c r="G13" s="1327"/>
      <c r="H13" s="1326" t="str">
        <f>"Phase"&amp;" "&amp;INPUT!B20</f>
        <v>Phase 3</v>
      </c>
      <c r="I13" s="1328"/>
      <c r="J13" s="423" t="str">
        <f>"Phase"&amp;" "&amp;INPUT!B21</f>
        <v>Phase 4</v>
      </c>
      <c r="K13" s="423" t="str">
        <f>"Phase"&amp;" "&amp;INPUT!B22</f>
        <v>Phase 5</v>
      </c>
      <c r="L13" s="424" t="str">
        <f>"Phase"&amp;" "&amp;INPUT!B23</f>
        <v>Phase 6</v>
      </c>
    </row>
    <row r="14" spans="1:47" ht="38.25" customHeight="1" x14ac:dyDescent="0.2">
      <c r="A14" s="1321"/>
      <c r="B14" s="1322"/>
      <c r="C14" s="1323"/>
      <c r="D14" s="1325"/>
      <c r="E14" s="507" t="str">
        <f>IF(Element1&lt;&gt;"", Element1,"")</f>
        <v>Phase Name 1</v>
      </c>
      <c r="F14" s="1329" t="str">
        <f>IF(Element2&lt;&gt;"", Element2,"")</f>
        <v>Phase Name 2</v>
      </c>
      <c r="G14" s="1330"/>
      <c r="H14" s="1329" t="str">
        <f>IF(Element3&lt;&gt;"", Element3,"")</f>
        <v>Phase Name 3</v>
      </c>
      <c r="I14" s="1330"/>
      <c r="J14" s="425" t="str">
        <f>IF(Element4&lt;&gt;"", Element4,"")</f>
        <v>Phase Name 4</v>
      </c>
      <c r="K14" s="425" t="str">
        <f>IF(Element5&lt;&gt;"", Element5,"")</f>
        <v>Phase Name 5</v>
      </c>
      <c r="L14" s="426" t="str">
        <f>IF(Element6&lt;&gt;"", Element6,"")</f>
        <v>Phase Name 6</v>
      </c>
      <c r="P14" s="893" t="s">
        <v>297</v>
      </c>
      <c r="Q14" s="893" t="s">
        <v>298</v>
      </c>
      <c r="R14" s="893" t="s">
        <v>299</v>
      </c>
      <c r="S14" s="893" t="s">
        <v>300</v>
      </c>
      <c r="T14" s="893" t="s">
        <v>301</v>
      </c>
      <c r="U14" s="893" t="s">
        <v>302</v>
      </c>
      <c r="V14" s="893" t="s">
        <v>645</v>
      </c>
      <c r="W14" s="893" t="s">
        <v>646</v>
      </c>
      <c r="X14" s="893" t="s">
        <v>647</v>
      </c>
      <c r="Y14" s="893" t="s">
        <v>648</v>
      </c>
      <c r="Z14" s="893" t="s">
        <v>2339</v>
      </c>
      <c r="AA14" s="893" t="s">
        <v>2340</v>
      </c>
      <c r="AB14" s="893" t="s">
        <v>2341</v>
      </c>
      <c r="AC14" s="893" t="s">
        <v>2342</v>
      </c>
      <c r="AD14" s="893" t="s">
        <v>2343</v>
      </c>
      <c r="AE14" s="893" t="s">
        <v>2344</v>
      </c>
      <c r="AF14" s="893" t="s">
        <v>2345</v>
      </c>
      <c r="AG14" s="893" t="s">
        <v>2346</v>
      </c>
      <c r="AH14" s="893" t="s">
        <v>2347</v>
      </c>
      <c r="AI14" s="893" t="s">
        <v>2348</v>
      </c>
    </row>
    <row r="15" spans="1:47" ht="12.75" customHeight="1" x14ac:dyDescent="0.2">
      <c r="A15" s="1308" t="s">
        <v>360</v>
      </c>
      <c r="B15" s="1309"/>
      <c r="C15" s="1310"/>
      <c r="D15" s="1047">
        <f>SUM(P15:AI15)</f>
        <v>118273.19999999998</v>
      </c>
      <c r="E15" s="508">
        <f>IF(AND(Contingency =TRUE,ApplyContingencyPhase1=TRUE),IFERROR(E1LaborTotal,0)+IFERROR(E1LaborTotal,0)*ContingencyLabor,IFERROR(E1LaborTotal,0))</f>
        <v>6717.6</v>
      </c>
      <c r="F15" s="1311">
        <f>IF(AND(Contingency =TRUE,ApplyContingencyPhase2=TRUE),IFERROR(E2LaborTotal,0)+IFERROR(E2LaborTotal,0)*ContingencyLabor,IFERROR(E2LaborTotal,0))</f>
        <v>5846.4</v>
      </c>
      <c r="G15" s="1312"/>
      <c r="H15" s="1311">
        <f>IF(AND(Contingency =TRUE,ApplyContingencyPhase3=TRUE),IFERROR(E3LaborTotal,0)+IFERROR(E3LaborTotal,0)*ContingencyLabor,IFERROR(E3LaborTotal,0))</f>
        <v>5846.4</v>
      </c>
      <c r="I15" s="1312"/>
      <c r="J15" s="34">
        <f>IF(AND(Contingency =TRUE,ApplyContingencyPhase4=TRUE),IFERROR(E4LaborTotal,0)+IFERROR(E4LaborTotal,0)*ContingencyLabor,IFERROR(E4LaborTotal,0))</f>
        <v>5846.4</v>
      </c>
      <c r="K15" s="34">
        <f>IF(AND(Contingency =TRUE,ApplyContingencyPhase5=TRUE),IFERROR(E5LaborTotal,0)+IFERROR(E5LaborTotal,0)*ContingencyLabor,IFERROR(E5LaborTotal,0))</f>
        <v>5846.4</v>
      </c>
      <c r="L15" s="35">
        <f>IF(AND(Contingency =TRUE,ApplyContingencyPhase6=TRUE),IFERROR(E6LaborTotal,0)+IFERROR(E6LaborTotal,0)*ContingencyLabor,IFERROR(E6LaborTotal,0))</f>
        <v>5846.4</v>
      </c>
      <c r="O15" s="880" t="s">
        <v>681</v>
      </c>
      <c r="P15" s="894">
        <f>IF(Include1=TRUE,Element1Labor,0)</f>
        <v>6717.6</v>
      </c>
      <c r="Q15" s="894">
        <f>IF(Include2=TRUE,Element2Labor,0)</f>
        <v>5846.4</v>
      </c>
      <c r="R15" s="894">
        <f>IF(Include3=TRUE,Element3Labor,0)</f>
        <v>5846.4</v>
      </c>
      <c r="S15" s="894">
        <f>IF(Include4=TRUE,Element4Labor,0)</f>
        <v>5846.4</v>
      </c>
      <c r="T15" s="894">
        <f>IF(Include5=TRUE,Element5Labor,0)</f>
        <v>5846.4</v>
      </c>
      <c r="U15" s="894">
        <f>IF(Include6=TRUE,Element6Labor,0)</f>
        <v>5846.4</v>
      </c>
      <c r="V15" s="894">
        <f>IF(Include7=TRUE,Element7Labor,0)</f>
        <v>5846.4</v>
      </c>
      <c r="W15" s="894">
        <f>IF(Include8=TRUE,Element8Labor,0)</f>
        <v>5846.4</v>
      </c>
      <c r="X15" s="894">
        <f>IF(Include9=TRUE,Element9Labor,0)</f>
        <v>5846.4</v>
      </c>
      <c r="Y15" s="894">
        <f>IF(Include10=TRUE,Element10Labor,0)</f>
        <v>5846.4</v>
      </c>
      <c r="Z15" s="894">
        <f>IF(Include11=TRUE,IFERROR(Element11Labor,0))</f>
        <v>5846.4</v>
      </c>
      <c r="AA15" s="894">
        <f>IF(Include12=TRUE,IFERROR(Element12Labor,0))</f>
        <v>5846.4</v>
      </c>
      <c r="AB15" s="894">
        <f>IF(Include13=TRUE,IFERROR(Element13Labor,0))</f>
        <v>5846.4</v>
      </c>
      <c r="AC15" s="894">
        <f>IF(Include14=TRUE,IFERROR(Element14Labor,0))</f>
        <v>5846.4</v>
      </c>
      <c r="AD15" s="894">
        <f>IF(Include15=TRUE,IFERROR(Element15Labor,0))</f>
        <v>5846.4</v>
      </c>
      <c r="AE15" s="894">
        <f>IF(Include16=TRUE,IFERROR(Element16Labor,0))</f>
        <v>9573.6</v>
      </c>
      <c r="AF15" s="894">
        <f>IF(Include17=TRUE,IFERROR(Element17Labor,0))</f>
        <v>5846.4</v>
      </c>
      <c r="AG15" s="894">
        <f>IF(Include18=TRUE,IFERROR(Element18Labor,0))</f>
        <v>5846.4</v>
      </c>
      <c r="AH15" s="1046">
        <f>IF(Include19=TRUE,IFERROR(Element19Labor,0))</f>
        <v>5846.4</v>
      </c>
      <c r="AI15" s="1046">
        <f>IF(Include20=TRUE,IFERROR(Element20Labor,0))</f>
        <v>2593.1999999999998</v>
      </c>
      <c r="AJ15"/>
      <c r="AK15"/>
      <c r="AL15"/>
      <c r="AM15"/>
      <c r="AN15"/>
    </row>
    <row r="16" spans="1:47" ht="12.75" customHeight="1" x14ac:dyDescent="0.2">
      <c r="A16" s="1313" t="s">
        <v>751</v>
      </c>
      <c r="B16" s="1246"/>
      <c r="C16" s="1339"/>
      <c r="D16" s="104">
        <f>+SUM(P16:AI16)</f>
        <v>7096.391999999998</v>
      </c>
      <c r="E16" s="549">
        <f xml:space="preserve"> IF(AND(Contingency =TRUE,ApplyContingencyPhase1=TRUE),+IFERROR('Budget Detail'!G39,0)*(1+ContingencyLabor),+IFERROR('Budget Detail'!G39,0))</f>
        <v>403.05599999999998</v>
      </c>
      <c r="F16" s="1316">
        <f xml:space="preserve"> IF(AND(Contingency =TRUE,ApplyContingencyPhase2=TRUE),+IFERROR('Budget Detail'!I39,0)*(1+ContingencyLabor),+IFERROR('Budget Detail'!I39,0))</f>
        <v>350.78399999999999</v>
      </c>
      <c r="G16" s="1317"/>
      <c r="H16" s="1316">
        <f xml:space="preserve"> IF(AND(Contingency =TRUE,ApplyContingencyPhase3=TRUE),+IFERROR('Budget Detail'!K39,0)*(1+ContingencyLabor),+IFERROR('Budget Detail'!K39,0))</f>
        <v>350.78399999999999</v>
      </c>
      <c r="I16" s="1317"/>
      <c r="J16" s="673">
        <f xml:space="preserve"> IF(AND(Contingency =TRUE,ApplyContingencyPhase4=TRUE),+IFERROR('Budget Detail'!M39,0)*(1+ContingencyLabor),+IFERROR('Budget Detail'!M39,0))</f>
        <v>350.78399999999999</v>
      </c>
      <c r="K16" s="673">
        <f>IF(AND(Contingency =TRUE,ApplyContingencyPhase5=TRUE),+IFERROR('Budget Detail'!O39,0)*(1+ContingencyLabor),+IFERROR('Budget Detail'!O39,0))</f>
        <v>350.78399999999999</v>
      </c>
      <c r="L16" s="675">
        <f xml:space="preserve"> IF(AND(Contingency =TRUE,ApplyContingencyPhase6=TRUE),+IFERROR('Budget Detail'!Q39,0)*(1+ContingencyLabor),+IFERROR('Budget Detail'!Q39,0))</f>
        <v>350.78399999999999</v>
      </c>
      <c r="N16" s="895">
        <f>+IF(ISBLANK(UserSurchargeRate),SurchargeRate,UserSurchargeRate)</f>
        <v>0.06</v>
      </c>
      <c r="O16" s="880" t="s">
        <v>731</v>
      </c>
      <c r="P16" s="894">
        <f>IF(Include1=TRUE,Element1Labor*SurchargeMirror,0)</f>
        <v>403.05599999999998</v>
      </c>
      <c r="Q16" s="894">
        <f>IF(Include2=TRUE,Element2Labor*SurchargeMirror,0)</f>
        <v>350.78399999999999</v>
      </c>
      <c r="R16" s="894">
        <f>IF(Include3=TRUE,Element3Labor*SurchargeMirror,0)</f>
        <v>350.78399999999999</v>
      </c>
      <c r="S16" s="894">
        <f>IF(Include4=TRUE,Element4Labor*SurchargeMirror,0)</f>
        <v>350.78399999999999</v>
      </c>
      <c r="T16" s="894">
        <f>IF(Include5=TRUE,Element5Labor*SurchargeMirror,0)</f>
        <v>350.78399999999999</v>
      </c>
      <c r="U16" s="894">
        <f>IF(Include6=TRUE,Element6Labor*SurchargeMirror,0)</f>
        <v>350.78399999999999</v>
      </c>
      <c r="V16" s="894">
        <f>IF(Include7=TRUE,Element7Labor*SurchargeMirror,0)</f>
        <v>350.78399999999999</v>
      </c>
      <c r="W16" s="894">
        <f>IF(Include8=TRUE,Element8Labor*SurchargeMirror,0)</f>
        <v>350.78399999999999</v>
      </c>
      <c r="X16" s="894">
        <f>IF(Include9=TRUE,Element9Labor*SurchargeMirror,0)</f>
        <v>350.78399999999999</v>
      </c>
      <c r="Y16" s="894">
        <f>IF(Include10=TRUE,Element10Labor*SurchargeMirror,0)</f>
        <v>350.78399999999999</v>
      </c>
      <c r="Z16" s="894">
        <f>IF(Include11=TRUE,IFERROR(Element11Labor*SurchargeMirror,0))</f>
        <v>350.78399999999999</v>
      </c>
      <c r="AA16" s="894">
        <f>IF(Include12=TRUE,IFERROR(Element12Labor*SurchargeMirror,0))</f>
        <v>350.78399999999999</v>
      </c>
      <c r="AB16" s="894">
        <f>IF(Include13=TRUE,IFERROR(Element13Labor*SurchargeMirror,0))</f>
        <v>350.78399999999999</v>
      </c>
      <c r="AC16" s="894">
        <f>IF(Include14=TRUE,IFERROR(Element14Labor*SurchargeMirror,0))</f>
        <v>350.78399999999999</v>
      </c>
      <c r="AD16" s="894">
        <f>IF(Include15=TRUE,IFERROR(Element15Labor*SurchargeMirror,0))</f>
        <v>350.78399999999999</v>
      </c>
      <c r="AE16" s="894">
        <f>IF(Include16=TRUE,IFERROR(Element16Labor*SurchargeMirror,0))</f>
        <v>574.41600000000005</v>
      </c>
      <c r="AF16" s="894">
        <f>IF(Include17=TRUE,IFERROR(Element17Labor*SurchargeMirror,0))</f>
        <v>350.78399999999999</v>
      </c>
      <c r="AG16" s="894">
        <f>IF(Include18=TRUE,IFERROR(Element18Labor*SurchargeMirror,0))</f>
        <v>350.78399999999999</v>
      </c>
      <c r="AH16" s="1046">
        <f>IF(Include19=TRUE,IFERROR(Element19Labor*SurchargeMirror,0))</f>
        <v>350.78399999999999</v>
      </c>
      <c r="AI16" s="1046">
        <f>IF(Include20=TRUE,IFERROR(Element20Labor,0)*SurchargeMirror,0)</f>
        <v>155.59199999999998</v>
      </c>
      <c r="AJ16"/>
      <c r="AK16"/>
      <c r="AL16"/>
      <c r="AM16"/>
      <c r="AN16"/>
    </row>
    <row r="17" spans="1:40" x14ac:dyDescent="0.2">
      <c r="A17" s="1313" t="s">
        <v>361</v>
      </c>
      <c r="B17" s="1245"/>
      <c r="C17" s="1244"/>
      <c r="D17" s="104">
        <f t="shared" ref="D17:D22" ca="1" si="0">SUM(P17:AI17)</f>
        <v>357867.7648</v>
      </c>
      <c r="E17" s="508" cm="1">
        <f t="array" aca="1" ref="E17" ca="1" xml:space="preserve"> IF(AND(Contingency = TRUE, ApplyContingencyPhase1 = TRUE, NOT(ISERROR(INDIRECT("'Phase 1'!A1")))),
    (E1ExpenseTotal + E1TravelTotal) + (E1ExpenseTotal + E1TravelTotal) * ContingencyExpense,
    IF(NOT(ISERROR(INDIRECT("'Phase 1'!A1"))),E1ExpenseTotal + E1TravelTotal,""))</f>
        <v>16637.390640000001</v>
      </c>
      <c r="F17" s="1314" cm="1">
        <f t="array" aca="1" ref="F17" ca="1" xml:space="preserve"> IF(AND(Contingency = TRUE, ApplyContingencyPhase2 = TRUE, NOT(ISERROR(INDIRECT("'Phase 2'!A1")))),
    (E2ExpenseTotal + E2TravelTotal) + (E2ExpenseTotal + E2TravelTotal) * ContingencyExpense,
    IF(NOT(ISERROR(INDIRECT("'Phase 2'!A1"))),E2ExpenseTotal + E2TravelTotal,""))</f>
        <v>17965.886640000001</v>
      </c>
      <c r="G17" s="1315"/>
      <c r="H17" s="1314" cm="1">
        <f t="array" aca="1" ref="H17" ca="1" xml:space="preserve"> IF(AND(Contingency = TRUE, ApplyContingencyPhase3 = TRUE, NOT(ISERROR(INDIRECT("'Phase 3'!A1")))),
    (E3ExpenseTotal + E3TravelTotal) + (E3ExpenseTotal + E3TravelTotal) * ContingencyExpense,
    IF(NOT(ISERROR(INDIRECT("'Phase 3'!A1"))),E3ExpenseTotal + E3TravelTotal,""))</f>
        <v>19377.322640000002</v>
      </c>
      <c r="I17" s="1315"/>
      <c r="J17" s="34" cm="1">
        <f t="array" aca="1" ref="J17" ca="1" xml:space="preserve"> IF(AND(Contingency = TRUE, ApplyContingencyPhase4 = TRUE, NOT(ISERROR(INDIRECT("'Phase 4'!A1")))),
    (E4ExpenseTotal + E4TravelTotal) + (E4ExpenseTotal + E4TravelTotal) * ContingencyExpense,
    IF(NOT(ISERROR(INDIRECT("'Phase 4'!A1"))),E4ExpenseTotal + E4TravelTotal,""))</f>
        <v>17864.38264</v>
      </c>
      <c r="K17" s="34" cm="1">
        <f t="array" aca="1" ref="K17" ca="1" xml:space="preserve"> IF(AND(Contingency = TRUE, ApplyContingencyPhase5 = TRUE, NOT(ISERROR(INDIRECT("'Phase 5'!A1")))),
    (E5ExpenseTotal + E5TravelTotal) + (E5ExpenseTotal + E5TravelTotal) * ContingencyExpense,
    IF(NOT(ISERROR(INDIRECT("'Phase 5'!A1"))),E5ExpenseTotal + E5TravelTotal,""))</f>
        <v>17966.04264</v>
      </c>
      <c r="L17" s="35" cm="1">
        <f t="array" aca="1" ref="L17" ca="1" xml:space="preserve"> IF(AND(Contingency = TRUE, ApplyContingencyPhase6 = TRUE, NOT(ISERROR(INDIRECT("'Phase 6'!A1")))),
    (E6ExpenseTotal + E6TravelTotal) + (E6ExpenseTotal + E6TravelTotal) * ContingencyExpense,
    IF(NOT(ISERROR(INDIRECT("'Phase 6'!A1"))),  E6ExpenseTotal + E6TravelTotal, ""))</f>
        <v>17690.962640000002</v>
      </c>
      <c r="O17" s="880" t="s">
        <v>361</v>
      </c>
      <c r="P17" s="894">
        <f ca="1">IF(Include1=TRUE,Element1Expenses,0)</f>
        <v>16637.390640000001</v>
      </c>
      <c r="Q17" s="894">
        <f ca="1">IF(Include2=TRUE,Element2Expenses,0)</f>
        <v>17965.886640000001</v>
      </c>
      <c r="R17" s="894">
        <f ca="1">IF(Include3=TRUE,Element3Expenses,0)</f>
        <v>19377.322640000002</v>
      </c>
      <c r="S17" s="894">
        <f ca="1">IF(Include4=TRUE,Element4Expenses,0)</f>
        <v>17864.38264</v>
      </c>
      <c r="T17" s="894">
        <f ca="1">IF(Include5=TRUE,Element5Expenses,0)</f>
        <v>17966.04264</v>
      </c>
      <c r="U17" s="894">
        <f ca="1">IF(Include6=TRUE,Element6Expenses,0)</f>
        <v>17690.962640000002</v>
      </c>
      <c r="V17" s="894">
        <f ca="1">IF(Include7=TRUE,Element7Expenses,0)</f>
        <v>17966.04264</v>
      </c>
      <c r="W17" s="894">
        <f ca="1">IF(Include8=TRUE,Element8Expenses,0)</f>
        <v>17670.422640000001</v>
      </c>
      <c r="X17" s="894">
        <f ca="1">IF(Include9=TRUE,Element9Expenses,0)</f>
        <v>17966.04264</v>
      </c>
      <c r="Y17" s="894">
        <f ca="1">IF(Include10=TRUE,Element10Expenses,0)</f>
        <v>17852.422640000001</v>
      </c>
      <c r="Z17" s="894">
        <f ca="1">IF(Include11=TRUE,IFERROR(Element11Expenses,0))</f>
        <v>18181.322640000002</v>
      </c>
      <c r="AA17" s="894">
        <f ca="1">IF(Include12=TRUE,IFERROR(Element12Expenses,0))</f>
        <v>17966.04264</v>
      </c>
      <c r="AB17" s="894">
        <f ca="1">IF(Include13=TRUE,IFERROR(Element13Expenses,0))</f>
        <v>17906.24264</v>
      </c>
      <c r="AC17" s="894">
        <f ca="1">IF(Include14=TRUE,IFERROR(Element14Expenses,0))</f>
        <v>17683.162640000002</v>
      </c>
      <c r="AD17" s="894">
        <f ca="1">IF(Include15=TRUE,IFERROR(Element15Expenses,0))</f>
        <v>17906.24264</v>
      </c>
      <c r="AE17" s="894">
        <f ca="1">IF(Include16=TRUE,IFERROR(Element16Expenses,0))</f>
        <v>17728.40264</v>
      </c>
      <c r="AF17" s="894">
        <f ca="1">IF(Include17=TRUE,IFERROR(Element17Expenses,0))</f>
        <v>17966.04264</v>
      </c>
      <c r="AG17" s="894">
        <f ca="1">IF(Include18=TRUE,IFERROR(Element18Expenses,0))</f>
        <v>17966.04264</v>
      </c>
      <c r="AH17" s="1046">
        <f ca="1">IF(Include19=TRUE,IFERROR(Element19Expenses,0))</f>
        <v>17966.04264</v>
      </c>
      <c r="AI17" s="1046">
        <f ca="1">IF(Include20=TRUE,IFERROR(Element20Expenses,0))</f>
        <v>17641.302640000002</v>
      </c>
      <c r="AJ17"/>
      <c r="AK17"/>
      <c r="AL17"/>
      <c r="AM17"/>
      <c r="AN17"/>
    </row>
    <row r="18" spans="1:40" x14ac:dyDescent="0.2">
      <c r="A18" s="1346" t="s">
        <v>814</v>
      </c>
      <c r="B18" s="1347"/>
      <c r="C18" s="1348"/>
      <c r="D18" s="104">
        <f t="shared" ca="1" si="0"/>
        <v>9044.3179999999993</v>
      </c>
      <c r="E18" s="508" cm="1">
        <f t="array" aca="1" ref="E18" ca="1" xml:space="preserve"> IF(NOT(ISERROR(INDIRECT("'Phase 1'!A1"))),'Budget Detail'!G82,"")</f>
        <v>442.05054000000007</v>
      </c>
      <c r="F18" s="1351" cm="1">
        <f t="array" aca="1" ref="F18" ca="1" xml:space="preserve"> IF(NOT(ISERROR(INDIRECT("'Phase 2'!A1"))),'Budget Detail'!I82,"")</f>
        <v>452.20733999999999</v>
      </c>
      <c r="G18" s="1352"/>
      <c r="H18" s="1351" cm="1">
        <f t="array" aca="1" ref="H18" ca="1" xml:space="preserve"> IF(NOT(ISERROR(INDIRECT("'Phase 3'!A1"))),'Budget Detail'!K82,"")</f>
        <v>479.35034000000002</v>
      </c>
      <c r="I18" s="1352"/>
      <c r="J18" s="34" cm="1">
        <f t="array" aca="1" ref="J18" ca="1" xml:space="preserve"> IF(NOT(ISERROR(INDIRECT("'Phase 4'!A1"))),'Budget Detail'!M82,"")</f>
        <v>450.25533999999999</v>
      </c>
      <c r="K18" s="34" cm="1">
        <f t="array" aca="1" ref="K18" ca="1" xml:space="preserve"> IF(NOT(ISERROR(INDIRECT("'Phase 5'!A1"))),'Budget Detail'!O82,"")</f>
        <v>452.21034000000003</v>
      </c>
      <c r="L18" s="35" cm="1">
        <f t="array" aca="1" ref="L18" ca="1" xml:space="preserve"> IF(NOT(ISERROR(INDIRECT("'Phase 6'!A1"))),'Budget Detail'!Q82,"")</f>
        <v>446.92034000000001</v>
      </c>
      <c r="N18" s="896">
        <f>+IF(ISBLANK(UserInsuranceMarkup),InsuranceMarkup,UserInsuranceMarkup)</f>
        <v>0.02</v>
      </c>
      <c r="O18" s="880" t="s">
        <v>815</v>
      </c>
      <c r="P18" s="894">
        <f ca="1">IF(Include1=TRUE,'Budget Detail'!G82,0)</f>
        <v>442.05054000000007</v>
      </c>
      <c r="Q18" s="894">
        <f ca="1">IF(Include2=TRUE,'Budget Detail'!I82,0)</f>
        <v>452.20733999999999</v>
      </c>
      <c r="R18" s="894">
        <f ca="1">IF(Include3=TRUE,'Budget Detail'!K82,0)</f>
        <v>479.35034000000002</v>
      </c>
      <c r="S18" s="894">
        <f ca="1">IF(Include4=TRUE,'Budget Detail'!M82,0)</f>
        <v>450.25533999999999</v>
      </c>
      <c r="T18" s="894">
        <f ca="1">IF(Include5=TRUE,'Budget Detail'!O82,0)</f>
        <v>452.21034000000003</v>
      </c>
      <c r="U18" s="894">
        <f ca="1">IF(Include6=TRUE,'Budget Detail'!Q82,0)</f>
        <v>446.92034000000001</v>
      </c>
      <c r="V18" s="894">
        <f ca="1">IF(Include7=TRUE,'Budget Detail'!S82,0)</f>
        <v>452.21034000000003</v>
      </c>
      <c r="W18" s="894">
        <f ca="1">IF(Include8=TRUE,'Budget Detail'!U82,0)</f>
        <v>446.52534000000003</v>
      </c>
      <c r="X18" s="894">
        <f ca="1">IF(Include9=TRUE,'Budget Detail'!W82,0)</f>
        <v>452.21034000000003</v>
      </c>
      <c r="Y18" s="894">
        <f ca="1">IF(Include10=TRUE,IFERROR('Budget Detail'!Y82,0))</f>
        <v>450.02534000000003</v>
      </c>
      <c r="Z18" s="894">
        <f ca="1">IF(Include11=TRUE,IFERROR(E11InsuranceFee,0))</f>
        <v>456.35034000000002</v>
      </c>
      <c r="AA18" s="894">
        <f ca="1">IF(Include12=TRUE,IFERROR(E12InsuranceFee,0))</f>
        <v>452.21034000000003</v>
      </c>
      <c r="AB18" s="894">
        <f ca="1">IF(Include13=TRUE,IFERROR(E13InsuranceFee,0))</f>
        <v>451.06034</v>
      </c>
      <c r="AC18" s="894">
        <f ca="1">IF(Include14=TRUE,IFERROR(E14InsuranceFee,0))</f>
        <v>451.06034</v>
      </c>
      <c r="AD18" s="894">
        <f ca="1">IF(Include15=TRUE,IFERROR(E15InsuranceFee,0))</f>
        <v>451.06034</v>
      </c>
      <c r="AE18" s="894">
        <f ca="1">IF(Include16=TRUE,IFERROR(E16InsuranceFee,0))</f>
        <v>513.48753999999997</v>
      </c>
      <c r="AF18" s="894">
        <f ca="1">IF(Include17=TRUE,IFERROR(E17InsuranceFee,0))</f>
        <v>452.21034000000003</v>
      </c>
      <c r="AG18" s="894">
        <f ca="1">IF(Include18=TRUE,IFERROR(E18InsuranceFee,0))</f>
        <v>452.21034000000003</v>
      </c>
      <c r="AH18" s="1046">
        <f ca="1">IF(Include19=TRUE,IFERROR(E19InsuranceFee,0))</f>
        <v>452.21034000000003</v>
      </c>
      <c r="AI18" s="1046" cm="1">
        <f t="array" aca="1" ref="AI18" ca="1">IF(Include20=TRUE,IFERROR(E20InsuranceFee,0))</f>
        <v>388.49214000000001</v>
      </c>
      <c r="AJ18"/>
      <c r="AK18"/>
      <c r="AL18"/>
      <c r="AM18"/>
      <c r="AN18"/>
    </row>
    <row r="19" spans="1:40" x14ac:dyDescent="0.2">
      <c r="A19" s="1334" t="s">
        <v>362</v>
      </c>
      <c r="B19" s="1335"/>
      <c r="C19" s="1335"/>
      <c r="D19" s="511">
        <f t="shared" ca="1" si="0"/>
        <v>492281.67479999998</v>
      </c>
      <c r="E19" s="512">
        <f ca="1">SUM(E15:E18)</f>
        <v>24200.097180000001</v>
      </c>
      <c r="F19" s="1336">
        <f ca="1">+SUM(F15:G18)</f>
        <v>24615.277979999999</v>
      </c>
      <c r="G19" s="1337"/>
      <c r="H19" s="1336">
        <f ca="1">+SUM(H15:I18)</f>
        <v>26053.85698</v>
      </c>
      <c r="I19" s="1338"/>
      <c r="J19" s="672">
        <f ca="1">SUM(J15:J18)</f>
        <v>24511.821979999997</v>
      </c>
      <c r="K19" s="222">
        <f ca="1">SUM(K15:K18)</f>
        <v>24615.436980000002</v>
      </c>
      <c r="L19" s="223">
        <f ca="1">SUM(L15:L18)</f>
        <v>24335.06698</v>
      </c>
      <c r="O19" s="897" t="s">
        <v>735</v>
      </c>
      <c r="P19" s="898">
        <f ca="1">IF(Include1=TRUE,SUM(P15:P18),0)</f>
        <v>24200.097180000001</v>
      </c>
      <c r="Q19" s="898">
        <f ca="1">IF(Include2=TRUE,SUM(Q15:Q18),0)</f>
        <v>24615.277979999999</v>
      </c>
      <c r="R19" s="898">
        <f ca="1">IF(Include3=TRUE,SUM(R15:R18),0)</f>
        <v>26053.85698</v>
      </c>
      <c r="S19" s="898">
        <f ca="1">IF(Include4=TRUE,SUM(S15:S18),0)</f>
        <v>24511.821979999997</v>
      </c>
      <c r="T19" s="898">
        <f ca="1">IF(Include5=TRUE,SUM(T15:T18),0)</f>
        <v>24615.436980000002</v>
      </c>
      <c r="U19" s="898">
        <f ca="1">IF(Include6=TRUE,SUM(U15:U18),0)</f>
        <v>24335.06698</v>
      </c>
      <c r="V19" s="898">
        <f ca="1">IF(Include7=TRUE,SUM(V15:V18),0)</f>
        <v>24615.436980000002</v>
      </c>
      <c r="W19" s="898">
        <f ca="1">IF(Include8=TRUE,SUM(W15:W18),0)</f>
        <v>24314.131979999998</v>
      </c>
      <c r="X19" s="898">
        <f ca="1">IF(Include9=TRUE,SUM(X15:X18),0)</f>
        <v>24615.436980000002</v>
      </c>
      <c r="Y19" s="898">
        <f ca="1">IF(Include10=TRUE,SUM(Y15:Y18),0)</f>
        <v>24499.631979999998</v>
      </c>
      <c r="Z19" s="898">
        <f ca="1">IF(Include11=TRUE,SUM(Z15:Z18),0)</f>
        <v>24834.85698</v>
      </c>
      <c r="AA19" s="898">
        <f ca="1">IF(Include12=TRUE,SUM(AA15:AA18),0)</f>
        <v>24615.436980000002</v>
      </c>
      <c r="AB19" s="898">
        <f ca="1">IF(Include13=TRUE,SUM(AB15:AB18),0)</f>
        <v>24554.486979999998</v>
      </c>
      <c r="AC19" s="898">
        <f ca="1">IF(Include14=TRUE,SUM(AC15:AC18),0)</f>
        <v>24331.406980000003</v>
      </c>
      <c r="AD19" s="898">
        <f ca="1">IF(Include15=TRUE,SUM(AD15:AD18),0)</f>
        <v>24554.486979999998</v>
      </c>
      <c r="AE19" s="898">
        <f ca="1">IF(Include16=TRUE,SUM(AE15:AE18),0)</f>
        <v>28389.906179999998</v>
      </c>
      <c r="AF19" s="898">
        <f ca="1">IF(Include17=TRUE,SUM(AF15:AF18),0)</f>
        <v>24615.436980000002</v>
      </c>
      <c r="AG19" s="898">
        <f ca="1">IF(Include18=TRUE,SUM(AG15:AG18),0)</f>
        <v>24615.436980000002</v>
      </c>
      <c r="AH19" s="898">
        <f ca="1">IF(Include19=TRUE,SUM(AH15:AH18),0)</f>
        <v>24615.436980000002</v>
      </c>
      <c r="AI19" s="898">
        <f ca="1">IF(Include20=TRUE,SUM(AI15:AI18),0)</f>
        <v>20778.586780000001</v>
      </c>
      <c r="AJ19"/>
      <c r="AK19"/>
      <c r="AL19"/>
      <c r="AM19"/>
      <c r="AN19"/>
    </row>
    <row r="20" spans="1:40" x14ac:dyDescent="0.2">
      <c r="A20" s="1331" t="s">
        <v>88</v>
      </c>
      <c r="B20" s="1244"/>
      <c r="C20" s="1244"/>
      <c r="D20" s="104">
        <f t="shared" ca="1" si="0"/>
        <v>456.39360000000005</v>
      </c>
      <c r="E20" s="508" cm="1">
        <f t="array" aca="1" ref="E20" ca="1" xml:space="preserve"> IF(AND(Contingency =TRUE,ApplyContingencyPhase1=TRUE,NOT(ISERROR(INDIRECT("'Phase 1'!A1")))),E1EquipmentTotal+E1EquipmentTotal*ContingencyProcurement,IF(NOT(ISERROR(INDIRECT("'Phase 1'!A1"))),E1EquipmentTotal,""))</f>
        <v>22.819679999999998</v>
      </c>
      <c r="F20" s="1314" cm="1">
        <f t="array" aca="1" ref="F20" ca="1" xml:space="preserve"> IF(AND(Contingency =TRUE,ApplyContingencyPhase2=TRUE,NOT(ISERROR(INDIRECT("'Phase 2'!A1")))),E2EquipmentTotal+E2EquipmentTotal*ContingencyProcurement,IF(NOT(ISERROR(INDIRECT("'Phase 2'!A1"))),E2EquipmentTotal,""))</f>
        <v>22.819679999999998</v>
      </c>
      <c r="G20" s="1315"/>
      <c r="H20" s="1314" cm="1">
        <f t="array" aca="1" ref="H20" ca="1" xml:space="preserve"> IF(AND(Contingency =TRUE,ApplyContingencyPhase3=TRUE,NOT(ISERROR(INDIRECT("'Phase 3'!A1")))),E3EquipmentTotal+E3EquipmentTotal*ContingencyProcurement,IF(NOT(ISERROR(INDIRECT("'Phase 3'!A1"))),E3EquipmentTotal,""))</f>
        <v>22.819679999999998</v>
      </c>
      <c r="I20" s="1315"/>
      <c r="J20" s="34" cm="1">
        <f t="array" aca="1" ref="J20" ca="1" xml:space="preserve"> IF(AND(Contingency =TRUE,ApplyContingencyPhase4=TRUE,NOT(ISERROR(INDIRECT("'Phase 4'!A1")))),E4EquipmentTotal+E4EquipmentTotal*ContingencyProcurement,IF(NOT(ISERROR(INDIRECT("'Phase 4'!A1"))),E4EquipmentTotal,""))</f>
        <v>22.819679999999998</v>
      </c>
      <c r="K20" s="34" cm="1">
        <f t="array" aca="1" ref="K20" ca="1" xml:space="preserve"> IF(AND(Contingency =TRUE,ApplyContingencyPhase5=TRUE,NOT(ISERROR(INDIRECT("'Phase 5'!A1")))),E5EquipmentTotal+E5EquipmentTotal*ContingencyProcurement,IF(NOT(ISERROR(INDIRECT("'Phase 5'!A1"))),E5EquipmentTotal,""))</f>
        <v>22.819679999999998</v>
      </c>
      <c r="L20" s="35" cm="1">
        <f t="array" aca="1" ref="L20" ca="1" xml:space="preserve"> IF(AND(Contingency =TRUE,ApplyContingencyPhase6=TRUE,NOT(ISERROR(INDIRECT("'Phase 6'!A1")))),E6EquipmentTotal+E6EquipmentTotal*ContingencyProcurement,IF(NOT(ISERROR(INDIRECT("'Phase 6'!A1"))),E6EquipmentTotal,""))</f>
        <v>22.819679999999998</v>
      </c>
      <c r="O20" s="880" t="s">
        <v>732</v>
      </c>
      <c r="P20" s="894">
        <f ca="1">IF(Include1=TRUE,Element1Procurement,0)</f>
        <v>22.819679999999998</v>
      </c>
      <c r="Q20" s="894">
        <f ca="1">IF(Include2=TRUE,Element2Procurement,0)</f>
        <v>22.819679999999998</v>
      </c>
      <c r="R20" s="894">
        <f ca="1">IF(Include3=TRUE,Element3Procurement,0)</f>
        <v>22.819679999999998</v>
      </c>
      <c r="S20" s="894">
        <f ca="1">IF(Include4=TRUE,Element4Procurement,0)</f>
        <v>22.819679999999998</v>
      </c>
      <c r="T20" s="894">
        <f ca="1">IF(Include5=TRUE,Element5Procurement,0)</f>
        <v>22.819679999999998</v>
      </c>
      <c r="U20" s="894">
        <f ca="1">IF(Include6=TRUE,Element6Procurement,0)</f>
        <v>22.819679999999998</v>
      </c>
      <c r="V20" s="894">
        <f ca="1">IF(Include7=TRUE,Element7Procurement,0)</f>
        <v>22.819679999999998</v>
      </c>
      <c r="W20" s="894">
        <f ca="1">IF(Include8=TRUE,Element8Procurement,0)</f>
        <v>22.819679999999998</v>
      </c>
      <c r="X20" s="894">
        <f ca="1">IF(Include9=TRUE,Element9Procurement,0)</f>
        <v>22.819679999999998</v>
      </c>
      <c r="Y20" s="894">
        <f ca="1">IF(Include10=TRUE,Element10Procurement,0)</f>
        <v>22.819679999999998</v>
      </c>
      <c r="Z20" s="894">
        <f ca="1">IF(Include11=TRUE,IFERROR(Element11Procurement,0))</f>
        <v>22.819679999999998</v>
      </c>
      <c r="AA20" s="894">
        <f ca="1">IF(Include12=TRUE,IFERROR(Element12Procurement,0))</f>
        <v>22.819679999999998</v>
      </c>
      <c r="AB20" s="894">
        <f ca="1">IF(Include13=TRUE,IFERROR(Element13Procurement,0))</f>
        <v>22.819679999999998</v>
      </c>
      <c r="AC20" s="894">
        <f ca="1">IF(Include14=TRUE,IFERROR(Element14Procurement,0))</f>
        <v>22.819679999999998</v>
      </c>
      <c r="AD20" s="894">
        <f ca="1">IF(Include15=TRUE,Element15Procurement,0)</f>
        <v>22.819679999999998</v>
      </c>
      <c r="AE20" s="894">
        <f ca="1">IF(Include16=TRUE,IFERROR(Element16Procurement,0))</f>
        <v>22.819679999999998</v>
      </c>
      <c r="AF20" s="894">
        <f ca="1">IF(Include17=TRUE,IFERROR(Element17Procurement,0))</f>
        <v>22.819679999999998</v>
      </c>
      <c r="AG20" s="894">
        <f ca="1">IF(Include18=TRUE,IFERROR(Element18Procurement,0))</f>
        <v>22.819679999999998</v>
      </c>
      <c r="AH20" s="894">
        <f ca="1">IF(Include19=TRUE,IFERROR(Element19Procurement,0))</f>
        <v>22.819679999999998</v>
      </c>
      <c r="AI20" s="894">
        <f ca="1">IF(Include20=TRUE,IFERROR(Element20Procurement,0))</f>
        <v>22.819679999999998</v>
      </c>
      <c r="AJ20"/>
      <c r="AK20"/>
      <c r="AL20"/>
      <c r="AM20"/>
      <c r="AN20"/>
    </row>
    <row r="21" spans="1:40" x14ac:dyDescent="0.2">
      <c r="A21" s="1331" t="s">
        <v>7</v>
      </c>
      <c r="B21" s="1245"/>
      <c r="C21" s="1244"/>
      <c r="D21" s="104">
        <f t="shared" ca="1" si="0"/>
        <v>1683.7600000000007</v>
      </c>
      <c r="E21" s="508" cm="1">
        <f t="array" aca="1" ref="E21" ca="1">IF(AND(Contingency =TRUE,ApplyContingencyPhase1=TRUE,NOT(ISERROR(INDIRECT("'Phase 1'!A1")))), E1LabTotal+ E1LabTotal*ContingencyLab, IF(NOT(ISERROR(INDIRECT("'Phase 1'!A1"))),E1LabTotal,""))</f>
        <v>84.187999999999988</v>
      </c>
      <c r="F21" s="1314" cm="1">
        <f t="array" aca="1" ref="F21" ca="1">IF(AND(Contingency =TRUE,ApplyContingencyPhase2=TRUE,NOT(ISERROR(INDIRECT("'Phase 2'!A1")))), E2LabTotal+ E2LabTotal*ContingencyLab, IF(NOT(ISERROR(INDIRECT("'Phase 2'!A1"))),E2LabTotal,""))</f>
        <v>84.187999999999988</v>
      </c>
      <c r="G21" s="1345"/>
      <c r="H21" s="1314" cm="1">
        <f t="array" aca="1" ref="H21" ca="1">IF(AND(Contingency =TRUE,ApplyContingencyPhase3=TRUE,NOT(ISERROR(INDIRECT("'Phase 3'!A1")))), E3LabTotal+ E3LabTotal*ContingencyLab, IF(NOT(ISERROR(INDIRECT("'Phase 3'!A1"))),E3LabTotal,""))</f>
        <v>84.187999999999988</v>
      </c>
      <c r="I21" s="1345"/>
      <c r="J21" s="34" cm="1">
        <f t="array" aca="1" ref="J21" ca="1">IF(AND(Contingency =TRUE,ApplyContingencyPhase4=TRUE,NOT(ISERROR(INDIRECT("'Phase 4'!A1")))), E4LabTotal+ E4LabTotal*ContingencyLab, IF(NOT(ISERROR(INDIRECT("'Phase 4'!A1"))),E4LabTotal,""))</f>
        <v>84.187999999999988</v>
      </c>
      <c r="K21" s="34" cm="1">
        <f t="array" aca="1" ref="K21" ca="1">IF(AND(Contingency =TRUE,ApplyContingencyPhase5=TRUE,NOT(ISERROR(INDIRECT("'Phase 5'!A1")))), E5LabTotal+ E5LabTotal*ContingencyLab, IF(NOT(ISERROR(INDIRECT("'Phase 5'!A1"))),E5LabTotal,""))</f>
        <v>84.187999999999988</v>
      </c>
      <c r="L21" s="35" cm="1">
        <f t="array" aca="1" ref="L21" ca="1">IF(AND(Contingency =TRUE,ApplyContingencyPhase6=TRUE,NOT(ISERROR(INDIRECT("'Phase 6'!A1")))), E6LabTotal+ E6LabTotal*ContingencyLab, IF(NOT(ISERROR(INDIRECT("'Phase 6'!A1"))),E6LabTotal,""))</f>
        <v>84.187999999999988</v>
      </c>
      <c r="O21" s="880" t="s">
        <v>733</v>
      </c>
      <c r="P21" s="894">
        <f ca="1">IF(Include1=TRUE,Element1LabCosts,0)</f>
        <v>84.187999999999988</v>
      </c>
      <c r="Q21" s="894">
        <f ca="1">IF(Include2=TRUE,Element2LabCosts,0)</f>
        <v>84.187999999999988</v>
      </c>
      <c r="R21" s="894">
        <f ca="1">IF(Include3=TRUE,Element3LabCosts,0)</f>
        <v>84.187999999999988</v>
      </c>
      <c r="S21" s="894">
        <f ca="1">IF(Include4=TRUE,Element4LabCosts,0)</f>
        <v>84.187999999999988</v>
      </c>
      <c r="T21" s="894">
        <f ca="1">IF(Include5=TRUE,Element5LabCosts,0)</f>
        <v>84.187999999999988</v>
      </c>
      <c r="U21" s="894">
        <f ca="1">IF(Include6=TRUE,Element6LabCosts,0)</f>
        <v>84.187999999999988</v>
      </c>
      <c r="V21" s="894">
        <f ca="1">IF(Include7=TRUE,Element7LabCosts,0)</f>
        <v>84.187999999999988</v>
      </c>
      <c r="W21" s="894">
        <f ca="1">IF(Include8=TRUE,Element8LabCosts,0)</f>
        <v>84.187999999999988</v>
      </c>
      <c r="X21" s="894">
        <f ca="1">IF(Include9=TRUE,Element9LabCosts,0)</f>
        <v>84.187999999999988</v>
      </c>
      <c r="Y21" s="894">
        <f ca="1">IF(Include10=TRUE,Element10LabCosts,0)</f>
        <v>84.187999999999988</v>
      </c>
      <c r="Z21" s="894">
        <f ca="1">IF(Include11=TRUE,IFERROR(Element11LabCosts,0))</f>
        <v>84.187999999999988</v>
      </c>
      <c r="AA21" s="894">
        <f ca="1">IF(Include12=TRUE,IFERROR(Element12LabCosts,0))</f>
        <v>84.187999999999988</v>
      </c>
      <c r="AB21" s="894">
        <f ca="1">IF(Include13=TRUE,IFERROR(Element13LabCosts,0))</f>
        <v>84.187999999999988</v>
      </c>
      <c r="AC21" s="894">
        <f ca="1">IF(Include14=TRUE,IFERROR(Element14LabCosts,0))</f>
        <v>84.187999999999988</v>
      </c>
      <c r="AD21" s="894">
        <f ca="1">IF(Include15=TRUE,IFERROR(Element15LabCosts,0))</f>
        <v>84.187999999999988</v>
      </c>
      <c r="AE21" s="894">
        <f ca="1">IF(Include16=TRUE,IFERROR(Element16LabCosts,0))</f>
        <v>84.187999999999988</v>
      </c>
      <c r="AF21" s="894">
        <f ca="1">IF(Include17=TRUE,IFERROR(Element17LabCosts,0))</f>
        <v>84.187999999999988</v>
      </c>
      <c r="AG21" s="894">
        <f ca="1">IF(Include18=TRUE,IFERROR(Element18LabCosts,0))</f>
        <v>84.187999999999988</v>
      </c>
      <c r="AH21" s="894">
        <f ca="1">IF(Include19=TRUE,IFERROR(Element19LabCosts,0))</f>
        <v>84.187999999999988</v>
      </c>
      <c r="AI21" s="894">
        <f ca="1">IF(Include20=TRUE,IFERROR(Element20LabCosts,0))</f>
        <v>84.187999999999988</v>
      </c>
      <c r="AJ21"/>
      <c r="AK21"/>
      <c r="AL21"/>
      <c r="AM21"/>
      <c r="AN21"/>
    </row>
    <row r="22" spans="1:40" x14ac:dyDescent="0.2">
      <c r="A22" s="1331" t="s">
        <v>8</v>
      </c>
      <c r="B22" s="1245"/>
      <c r="C22" s="1244"/>
      <c r="D22" s="104">
        <f t="shared" ca="1" si="0"/>
        <v>1419.8912000000003</v>
      </c>
      <c r="E22" s="508" cm="1">
        <f t="array" aca="1" ref="E22" ca="1" xml:space="preserve">  IF(AND(Contingency =TRUE,ApplyContingencyPhase1=TRUE,NOT(ISERROR(INDIRECT("'Phase 1'!A1")))), IFERROR(E1SubsTotal,0)+ IFERROR(E1SubsTotal,0)*ContingencySubs, IF(NOT(ISERROR(INDIRECT("'Phase 1'!A1"))),E1SubsTotal,""))</f>
        <v>70.994559999999993</v>
      </c>
      <c r="F22" s="1332" cm="1">
        <f t="array" aca="1" ref="F22" ca="1" xml:space="preserve">  IF(AND(Contingency =TRUE,ApplyContingencyPhase2=TRUE,NOT(ISERROR(INDIRECT("'Phase 2'!A1")))), IFERROR(E2SubsTotal,0)+ IFERROR(E2SubsTotal,0)*ContingencySubs, IF(NOT(ISERROR(INDIRECT("'Phase 2'!A1"))),E2SubsTotal,""))</f>
        <v>70.994559999999993</v>
      </c>
      <c r="G22" s="1333"/>
      <c r="H22" s="1332" cm="1">
        <f t="array" aca="1" ref="H22" ca="1">IF(AND(Contingency =TRUE,ApplyContingencyPhase3=TRUE,NOT(ISERROR(INDIRECT("'Phase 3'!A1")))), IFERROR(E3SubsTotal,0)+ IFERROR(E3SubsTotal,0)*ContingencySubs, IF(NOT(ISERROR(INDIRECT("'Phase 3'!A1"))),E3SubsTotal,""))</f>
        <v>70.994559999999993</v>
      </c>
      <c r="I22" s="1333"/>
      <c r="J22" s="34" cm="1">
        <f t="array" aca="1" ref="J22" ca="1">IF(AND(Contingency =TRUE,ApplyContingencyPhase4=TRUE,NOT(ISERROR(INDIRECT("'Phase 4'!A1")))), IFERROR(E4SubsTotal,0)+ IFERROR(E4SubsTotal,0)*ContingencySubs, IF(NOT(ISERROR(INDIRECT("'Phase 4'!A1"))),E4SubsTotal,""))</f>
        <v>70.994559999999993</v>
      </c>
      <c r="K22" s="34" cm="1">
        <f t="array" aca="1" ref="K22" ca="1" xml:space="preserve">  IF(AND(Contingency =TRUE,ApplyContingencyPhase5=TRUE,NOT(ISERROR(INDIRECT("'Phase 5'!A1")))), IFERROR(E5SubsTotal,0)+ IFERROR(E5SubsTotal,0)*ContingencySubs, IF(NOT(ISERROR(INDIRECT("'Phase 5'!A1"))),E5SubsTotal,""))</f>
        <v>70.994559999999993</v>
      </c>
      <c r="L22" s="35" cm="1">
        <f t="array" aca="1" ref="L22" ca="1" xml:space="preserve">  IF(AND(Contingency =TRUE,ApplyContingencyPhase6=TRUE,NOT(ISERROR(INDIRECT("'Phase 6'!A1")))), IFERROR(E6SubsTotal,0)+ IFERROR(E6SubsTotal,0)*ContingencySubs, IF(NOT(ISERROR(INDIRECT("'Phase 6'!A1"))),E6SubsTotal,""))</f>
        <v>70.994559999999993</v>
      </c>
      <c r="N22" s="899"/>
      <c r="O22" s="880" t="s">
        <v>319</v>
      </c>
      <c r="P22" s="894">
        <f ca="1">IF(Include1=TRUE,Element1SubCosts,0)</f>
        <v>70.994559999999993</v>
      </c>
      <c r="Q22" s="894">
        <f ca="1">IF(Include2=TRUE,Element2SubCosts,0)</f>
        <v>70.994559999999993</v>
      </c>
      <c r="R22" s="894">
        <f ca="1">IF(Include3=TRUE,Element3SubCosts,0)</f>
        <v>70.994559999999993</v>
      </c>
      <c r="S22" s="894">
        <f ca="1">IF(Include4=TRUE,Element4SubCosts,0)</f>
        <v>70.994559999999993</v>
      </c>
      <c r="T22" s="894">
        <f ca="1">IF(Include5=TRUE,Element5SubCosts,0)</f>
        <v>70.994559999999993</v>
      </c>
      <c r="U22" s="894">
        <f ca="1">IF(Include6=TRUE,Element6SubCosts,0)</f>
        <v>70.994559999999993</v>
      </c>
      <c r="V22" s="894">
        <f ca="1">IF(Include7=TRUE,Element7SubCosts,0)</f>
        <v>70.994559999999993</v>
      </c>
      <c r="W22" s="894">
        <f ca="1">IF(Include8=TRUE,Element8SubCosts,0)</f>
        <v>70.994559999999993</v>
      </c>
      <c r="X22" s="894">
        <f ca="1">IF(Include9=TRUE,Element9SubCosts,0)</f>
        <v>70.994559999999993</v>
      </c>
      <c r="Y22" s="894">
        <f ca="1">IF(Include10=TRUE,Element10SubCosts,0)</f>
        <v>70.994559999999993</v>
      </c>
      <c r="Z22" s="894">
        <f ca="1">IF(Include11=TRUE,IFERROR(Element11SubCosts,0))</f>
        <v>70.994559999999993</v>
      </c>
      <c r="AA22" s="894">
        <f ca="1">IF(Include12=TRUE,IFERROR(Element12SubCosts,0))</f>
        <v>70.994559999999993</v>
      </c>
      <c r="AB22" s="894">
        <f ca="1">IF(Include13=TRUE,IFERROR(Element13SubCosts,0))</f>
        <v>70.994559999999993</v>
      </c>
      <c r="AC22" s="894">
        <f ca="1">IF(Include14=TRUE,IFERROR(Element14SubCosts,0))</f>
        <v>70.994559999999993</v>
      </c>
      <c r="AD22" s="894">
        <f ca="1">IF(Include15=TRUE,IFERROR(Element15SubCosts,0))</f>
        <v>70.994559999999993</v>
      </c>
      <c r="AE22" s="894">
        <f ca="1">IF(Include16=TRUE,IFERROR(Element16SubCosts,0))</f>
        <v>70.994559999999993</v>
      </c>
      <c r="AF22" s="894">
        <f ca="1">IF(Include17=TRUE,IFERROR(Element17SubCosts,0))</f>
        <v>70.994559999999993</v>
      </c>
      <c r="AG22" s="894">
        <f ca="1">IF(Include18=TRUE,IFERROR(Element18SubCosts,0))</f>
        <v>70.994559999999993</v>
      </c>
      <c r="AH22" s="894">
        <f ca="1">IF(Include19=TRUE,IFERROR(Element19SubCosts,0))</f>
        <v>70.994559999999993</v>
      </c>
      <c r="AI22" s="894">
        <f ca="1">IF(Include20=TRUE,IFERROR(Element20SubCosts,0))</f>
        <v>70.994559999999993</v>
      </c>
      <c r="AJ22"/>
      <c r="AK22"/>
      <c r="AL22"/>
      <c r="AM22"/>
      <c r="AN22"/>
    </row>
    <row r="23" spans="1:40" ht="13.5" thickBot="1" x14ac:dyDescent="0.25">
      <c r="A23" s="1340" t="s">
        <v>6</v>
      </c>
      <c r="B23" s="1341"/>
      <c r="C23" s="1342"/>
      <c r="D23" s="105">
        <f ca="1">SUM(D19:D22)</f>
        <v>495841.71960000001</v>
      </c>
      <c r="E23" s="510">
        <f t="shared" ref="E23:L23" ca="1" si="1">SUM(E19:E22)</f>
        <v>24378.099419999999</v>
      </c>
      <c r="F23" s="1343">
        <f t="shared" ca="1" si="1"/>
        <v>24793.280219999997</v>
      </c>
      <c r="G23" s="1344"/>
      <c r="H23" s="1343">
        <f t="shared" ca="1" si="1"/>
        <v>26231.859219999998</v>
      </c>
      <c r="I23" s="1355"/>
      <c r="J23" s="106">
        <f t="shared" ca="1" si="1"/>
        <v>24689.824219999995</v>
      </c>
      <c r="K23" s="106">
        <f t="shared" ca="1" si="1"/>
        <v>24793.43922</v>
      </c>
      <c r="L23" s="107">
        <f t="shared" ca="1" si="1"/>
        <v>24513.069219999998</v>
      </c>
      <c r="W23" s="894"/>
      <c r="X23" s="894"/>
      <c r="Y23" s="894"/>
      <c r="Z23" s="894"/>
      <c r="AA23" s="894"/>
      <c r="AB23" s="894"/>
      <c r="AC23" s="894"/>
      <c r="AD23" s="894"/>
      <c r="AE23" s="894"/>
      <c r="AF23" s="894"/>
      <c r="AG23" s="894"/>
      <c r="AH23" s="900"/>
      <c r="AI23" s="900"/>
      <c r="AJ23" s="164"/>
    </row>
    <row r="24" spans="1:40" ht="12.75" customHeight="1" thickTop="1" x14ac:dyDescent="0.2">
      <c r="A24" s="191"/>
      <c r="B24" s="191"/>
      <c r="C24"/>
      <c r="D24" s="158"/>
      <c r="E24" s="158"/>
      <c r="F24" s="390"/>
      <c r="G24" s="391"/>
      <c r="H24" s="390"/>
      <c r="I24" s="390"/>
      <c r="J24" s="158"/>
      <c r="K24"/>
      <c r="L24" s="158"/>
      <c r="W24" s="900"/>
      <c r="X24" s="900"/>
      <c r="Y24" s="900"/>
      <c r="Z24" s="900"/>
      <c r="AA24" s="900"/>
      <c r="AB24" s="900"/>
      <c r="AC24" s="900"/>
      <c r="AD24" s="900"/>
      <c r="AE24" s="900"/>
      <c r="AF24" s="900"/>
      <c r="AG24" s="900"/>
      <c r="AH24" s="900"/>
      <c r="AI24" s="900"/>
      <c r="AJ24" s="164"/>
    </row>
    <row r="25" spans="1:40" ht="17.25" customHeight="1" x14ac:dyDescent="0.2">
      <c r="A25" s="191"/>
      <c r="B25" s="191"/>
      <c r="C25"/>
      <c r="D25" s="158"/>
      <c r="E25" s="158"/>
      <c r="F25" s="390"/>
      <c r="G25" s="391"/>
      <c r="H25" s="390"/>
      <c r="I25" s="390"/>
      <c r="J25" s="158"/>
      <c r="K25" s="158"/>
      <c r="L25" s="158"/>
      <c r="W25" s="900"/>
      <c r="X25" s="900"/>
      <c r="Y25" s="900"/>
      <c r="Z25" s="900"/>
      <c r="AA25" s="900"/>
      <c r="AB25" s="900"/>
      <c r="AC25" s="900"/>
      <c r="AD25" s="900"/>
      <c r="AE25" s="900"/>
      <c r="AF25" s="900"/>
      <c r="AG25" s="900"/>
      <c r="AH25" s="900"/>
      <c r="AI25" s="900"/>
      <c r="AJ25" s="164"/>
    </row>
    <row r="26" spans="1:40" ht="26.25" customHeight="1" thickBot="1" x14ac:dyDescent="0.25">
      <c r="A26" s="191"/>
      <c r="B26" s="191"/>
      <c r="C26"/>
      <c r="D26" s="158"/>
      <c r="E26" s="158"/>
      <c r="F26" s="390"/>
      <c r="G26" s="391"/>
      <c r="H26" s="390"/>
      <c r="I26" s="390"/>
      <c r="J26" s="158"/>
      <c r="K26" s="158"/>
      <c r="L26" s="976"/>
      <c r="W26" s="900"/>
      <c r="X26" s="900"/>
      <c r="Y26" s="900"/>
      <c r="Z26" s="900"/>
      <c r="AA26" s="900"/>
      <c r="AB26" s="900"/>
      <c r="AC26" s="900"/>
      <c r="AD26" s="900"/>
      <c r="AE26" s="900"/>
      <c r="AF26" s="900"/>
      <c r="AG26" s="900"/>
      <c r="AH26" s="900"/>
      <c r="AI26" s="900"/>
      <c r="AJ26" s="164"/>
    </row>
    <row r="27" spans="1:40" ht="18" customHeight="1" thickTop="1" x14ac:dyDescent="0.2">
      <c r="A27" s="1318" t="s">
        <v>5</v>
      </c>
      <c r="B27" s="1319"/>
      <c r="C27" s="1320"/>
      <c r="D27" s="1324" t="s">
        <v>6</v>
      </c>
      <c r="E27" s="506" t="str">
        <f>"Phase"&amp;" "&amp;INPUT!B24</f>
        <v>Phase 7</v>
      </c>
      <c r="F27" s="1326" t="str">
        <f>"Phase"&amp;" "&amp;INPUT!B25</f>
        <v>Phase 8</v>
      </c>
      <c r="G27" s="1327"/>
      <c r="H27" s="1326" t="str">
        <f>"Phase"&amp;" "&amp;INPUT!B26</f>
        <v>Phase 9</v>
      </c>
      <c r="I27" s="1328"/>
      <c r="J27" s="427" t="str">
        <f>"Phase"&amp;" "&amp;INPUT!B27</f>
        <v>Phase 10</v>
      </c>
      <c r="K27" s="427" t="str">
        <f>"Phase"&amp;" "&amp;INPUT!B28</f>
        <v>Phase 11</v>
      </c>
      <c r="L27" s="427" t="str">
        <f>"Phase"&amp;" "&amp;INPUT!B29</f>
        <v>Phase 12</v>
      </c>
      <c r="W27" s="900"/>
      <c r="X27" s="900"/>
      <c r="Y27" s="900"/>
      <c r="Z27" s="900"/>
      <c r="AA27" s="900"/>
      <c r="AB27" s="900"/>
      <c r="AC27" s="900"/>
      <c r="AD27" s="900"/>
      <c r="AE27" s="900"/>
      <c r="AF27" s="900"/>
      <c r="AG27" s="900"/>
      <c r="AH27" s="900"/>
      <c r="AI27" s="900"/>
      <c r="AJ27" s="164"/>
    </row>
    <row r="28" spans="1:40" ht="38.25" customHeight="1" x14ac:dyDescent="0.2">
      <c r="A28" s="1321"/>
      <c r="B28" s="1322"/>
      <c r="C28" s="1323"/>
      <c r="D28" s="1325"/>
      <c r="E28" s="507" t="str">
        <f>IF(Element7&lt;&gt;"", Element7,"")</f>
        <v>Phase Name 7</v>
      </c>
      <c r="F28" s="1329" t="str">
        <f>IF(Element8&lt;&gt;"", Element8,"")</f>
        <v>Phase Name 8</v>
      </c>
      <c r="G28" s="1330"/>
      <c r="H28" s="1329" t="str">
        <f>IF(Element9&lt;&gt;"", Element9,"")</f>
        <v>Phase Name 9</v>
      </c>
      <c r="I28" s="1330"/>
      <c r="J28" s="426" t="str">
        <f>IF(Element10&lt;&gt;"", Element10,"")</f>
        <v>Phase Name 10</v>
      </c>
      <c r="K28" s="426" t="str">
        <f>IF(Element11&lt;&gt;"", Element11,"")</f>
        <v>Phase Name 11</v>
      </c>
      <c r="L28" s="426" t="str">
        <f>IF(Element12&lt;&gt;"", Element12,"")</f>
        <v>Phase Name 12</v>
      </c>
      <c r="W28" s="900"/>
      <c r="X28" s="900"/>
      <c r="Y28" s="900"/>
      <c r="Z28" s="900"/>
      <c r="AA28" s="900"/>
      <c r="AB28" s="900"/>
      <c r="AC28" s="900"/>
      <c r="AD28" s="900"/>
      <c r="AE28" s="900"/>
      <c r="AF28" s="900"/>
      <c r="AG28" s="900"/>
      <c r="AH28" s="900"/>
      <c r="AI28" s="900"/>
      <c r="AJ28" s="164"/>
    </row>
    <row r="29" spans="1:40" x14ac:dyDescent="0.2">
      <c r="A29" s="1308" t="s">
        <v>360</v>
      </c>
      <c r="B29" s="1309"/>
      <c r="C29" s="1310"/>
      <c r="D29" s="487"/>
      <c r="E29" s="508">
        <f>IF(AND(Contingency =TRUE,ApplyContingencyPhase7=TRUE),IFERROR(E7LaborTotal,0)+IFERROR(E7LaborTotal,0)*ContingencyLabor,IFERROR(E7LaborTotal,0))</f>
        <v>5846.4</v>
      </c>
      <c r="F29" s="1311">
        <f>IF(AND(Contingency =TRUE,ApplyContingencyPhase8=TRUE),IFERROR(E8LaborTotal,0)+IFERROR(E8LaborTotal,0)*ContingencyLabor,IFERROR(E8LaborTotal,0))</f>
        <v>5846.4</v>
      </c>
      <c r="G29" s="1312"/>
      <c r="H29" s="1311">
        <f>IF(AND(Contingency =TRUE,ApplyContingencyPhase9=TRUE),IFERROR(E9LaborTotal,0)+IFERROR(E9LaborTotal,0)*ContingencyLabor,IFERROR(E9LaborTotal,0))</f>
        <v>5846.4</v>
      </c>
      <c r="I29" s="1312"/>
      <c r="J29" s="35">
        <f>IF(AND(Contingency =TRUE,ApplyContingencyPhase10=TRUE),IFERROR(E10LaborTotal,0)+IFERROR(E10LaborTotal,0)*ContingencyLabor,IFERROR(E10LaborTotal,0))</f>
        <v>5846.4</v>
      </c>
      <c r="K29" s="35">
        <f>IF(AND(Contingency =TRUE,ApplyContingencyPhase11=TRUE),IFERROR(E11LaborTotal,0)+IFERROR(E11LaborTotal,0)*ContingencyLabor,IFERROR(E11LaborTotal,0))</f>
        <v>5846.4</v>
      </c>
      <c r="L29" s="35">
        <f>IF(AND(Contingency =TRUE,ApplyContingencyPhase12=TRUE),IFERROR(E12LaborTotal,0)+IFERROR(E12LaborTotal,0)*ContingencyLabor,IFERROR(E12LaborTotal,0))</f>
        <v>5846.4</v>
      </c>
      <c r="O29" s="880" t="s">
        <v>681</v>
      </c>
      <c r="W29" s="900"/>
      <c r="X29" s="900"/>
      <c r="Y29" s="900"/>
      <c r="Z29" s="900"/>
      <c r="AA29" s="900"/>
      <c r="AB29" s="900"/>
      <c r="AC29" s="900"/>
      <c r="AD29" s="900"/>
      <c r="AE29" s="900"/>
      <c r="AF29" s="900"/>
      <c r="AG29" s="900"/>
      <c r="AH29" s="900"/>
      <c r="AI29" s="900"/>
      <c r="AJ29" s="164"/>
    </row>
    <row r="30" spans="1:40" x14ac:dyDescent="0.2">
      <c r="A30" s="1313" t="s">
        <v>751</v>
      </c>
      <c r="B30" s="1246"/>
      <c r="C30" s="1339"/>
      <c r="D30" s="487"/>
      <c r="E30" s="549">
        <f xml:space="preserve"> IF(AND(Contingency =TRUE,ApplyContingencyPhase7=TRUE),+IFERROR('Budget Detail'!S39,0)*(1+ContingencyLabor),+IFERROR('Budget Detail'!S39,0))</f>
        <v>350.78399999999999</v>
      </c>
      <c r="F30" s="1316">
        <f xml:space="preserve"> IF(AND(Contingency =TRUE,ApplyContingencyPhase8=TRUE),+IFERROR('Budget Detail'!U39,0)*(1+ContingencyLabor),+IFERROR('Budget Detail'!U39,0))</f>
        <v>350.78399999999999</v>
      </c>
      <c r="G30" s="1317"/>
      <c r="H30" s="1316">
        <f xml:space="preserve"> IF(AND(Contingency =TRUE,ApplyContingencyPhase9=TRUE),+IFERROR('Budget Detail'!W39,0)*(1+ContingencyLabor),+IFERROR('Budget Detail'!W39,0))</f>
        <v>350.78399999999999</v>
      </c>
      <c r="I30" s="1317"/>
      <c r="J30" s="550">
        <f>IF(AND(Contingency =TRUE,ApplyContingencyPhase10=TRUE),+IFERROR('Budget Detail'!Y39,0)*(1+ContingencyLabor),+IFERROR('Budget Detail'!Y39,0))</f>
        <v>350.78399999999999</v>
      </c>
      <c r="K30" s="35">
        <f>IF(AND(Contingency =TRUE,ApplyContingencyPhase11=TRUE),+IFERROR(E11CommunicationFee,0)*(1+ContingencyLabor),+IFERROR(E11CommunicationFee,0))</f>
        <v>350.78399999999999</v>
      </c>
      <c r="L30" s="35">
        <f xml:space="preserve"> IF(AND(Contingency =TRUE,ApplyContingencyPhase12=TRUE),+IFERROR(E12CommunicationFee,0)*(1+ContingencyLabor),+IFERROR(E12CommunicationFee,0))</f>
        <v>350.78399999999999</v>
      </c>
      <c r="O30" s="880" t="s">
        <v>731</v>
      </c>
      <c r="W30" s="900"/>
      <c r="X30" s="900"/>
      <c r="Y30" s="900"/>
      <c r="Z30" s="900"/>
      <c r="AA30" s="900"/>
      <c r="AB30" s="900"/>
      <c r="AC30" s="900"/>
      <c r="AD30" s="900"/>
      <c r="AE30" s="900"/>
      <c r="AF30" s="900"/>
      <c r="AG30" s="900"/>
      <c r="AH30" s="900"/>
      <c r="AI30" s="900"/>
      <c r="AJ30" s="164"/>
    </row>
    <row r="31" spans="1:40" x14ac:dyDescent="0.2">
      <c r="A31" s="1313" t="s">
        <v>361</v>
      </c>
      <c r="B31" s="1245"/>
      <c r="C31" s="1244"/>
      <c r="D31" s="487"/>
      <c r="E31" s="1045" cm="1">
        <f t="array" aca="1" ref="E31" ca="1" xml:space="preserve"> IF(AND(Contingency = TRUE, ApplyContingencyPhase7 = TRUE, NOT(ISERROR(INDIRECT("'Phase 7'!A1")))),
    (E7ExpenseTotal + E7TravelTotal) + (E7ExpenseTotal + E7TravelTotal) * ContingencyExpense,IF(NOT(ISERROR(INDIRECT("'Phase 7'!A1"))),
        E7ExpenseTotal + E7TravelTotal,""))</f>
        <v>17966.04264</v>
      </c>
      <c r="F31" s="1349" cm="1">
        <f t="array" aca="1" ref="F31" ca="1" xml:space="preserve"> IF(AND(Contingency = TRUE, ApplyContingencyPhase8 = TRUE, NOT(ISERROR(INDIRECT("'Phase 8'!A1")))),
    (E8ExpenseTotal + E8TravelTotal) + (E8ExpenseTotal + E8TravelTotal) * ContingencyExpense,
    IF(NOT(ISERROR(INDIRECT("'Phase 8'!A1"))),  E8ExpenseTotal + E8TravelTotal, ""))</f>
        <v>17670.422640000001</v>
      </c>
      <c r="G31" s="1315"/>
      <c r="H31" s="1314" cm="1">
        <f t="array" aca="1" ref="H31" ca="1">IF(AND(Contingency = TRUE, ApplyContingencyPhase9 = TRUE, NOT(ISERROR(INDIRECT("'Phase 9'!A1")))),
    (E9ExpenseTotal + E9TravelTotal) + (E9ExpenseTotal + E9TravelTotal) * ContingencyExpense,
    IF(NOT(ISERROR(INDIRECT("'Phase 9'!A1"))),  E9ExpenseTotal + E9TravelTotal, ""))</f>
        <v>17966.04264</v>
      </c>
      <c r="I31" s="1315"/>
      <c r="J31" s="35" cm="1">
        <f t="array" aca="1" ref="J31" ca="1" xml:space="preserve"> IF(AND(Contingency = TRUE, ApplyContingencyPhase10 = TRUE, NOT(ISERROR(INDIRECT("'Phase 10'!A1")))),
    (E10ExpenseTotal + E10TravelTotal) + (E10ExpenseTotal + E10TravelTotal) * ContingencyExpense,
    IF(NOT(ISERROR(INDIRECT("'Phase 10'!A1"))),  E10ExpenseTotal + E10TravelTotal, ""))</f>
        <v>17852.422640000001</v>
      </c>
      <c r="K31" s="35" cm="1">
        <f t="array" aca="1" ref="K31" ca="1" xml:space="preserve"> IF(AND(Contingency =TRUE,ApplyContingencyPhase11=TRUE), (IFERROR(E11ExpenseTotal,0)+IFERROR(E11TravelTotal,0))+ (IFERROR(E11ExpenseTotal,0)+IFERROR(E11TravelTotal,0))*ContingencyExpense,IFERROR(E11ExpenseTotal,0)+IFERROR(E11TravelTotal,0))</f>
        <v>18181.322640000002</v>
      </c>
      <c r="L31" s="35">
        <f ca="1" xml:space="preserve"> IF(AND(Contingency =TRUE,ApplyContingencyPhase12=TRUE), (IFERROR(E12ExpenseTotal,0)+IFERROR(E12TravelTotal,0))+ (IFERROR(E12ExpenseTotal,0)+IFERROR(E12TravelTotal,0))*ContingencyExpense,IFERROR(E12ExpenseTotal,0)+IFERROR(E12TravelTotal,0))</f>
        <v>17966.04264</v>
      </c>
      <c r="O31" s="880" t="s">
        <v>361</v>
      </c>
      <c r="W31" s="900"/>
      <c r="X31" s="900"/>
      <c r="Y31" s="900"/>
      <c r="Z31" s="900"/>
      <c r="AA31" s="900"/>
      <c r="AB31" s="900"/>
      <c r="AC31" s="900"/>
      <c r="AD31" s="900"/>
      <c r="AE31" s="900"/>
      <c r="AF31" s="900"/>
      <c r="AG31" s="900"/>
      <c r="AH31" s="900"/>
      <c r="AI31" s="900"/>
      <c r="AJ31" s="164"/>
    </row>
    <row r="32" spans="1:40" x14ac:dyDescent="0.2">
      <c r="A32" s="1346" t="s">
        <v>814</v>
      </c>
      <c r="B32" s="1347"/>
      <c r="C32" s="1348"/>
      <c r="D32" s="487"/>
      <c r="E32" s="508" cm="1">
        <f t="array" aca="1" ref="E32" ca="1" xml:space="preserve"> IF(NOT(ISERROR(INDIRECT("'Phase 7'!A1"))),'Budget Detail'!S82,"")</f>
        <v>452.21034000000003</v>
      </c>
      <c r="F32" s="1353" cm="1">
        <f t="array" aca="1" ref="F32" ca="1" xml:space="preserve"> IF(NOT(ISERROR(INDIRECT("'Phase 8'!A1"))),'Budget Detail'!U82,"")</f>
        <v>446.52534000000003</v>
      </c>
      <c r="G32" s="1354"/>
      <c r="H32" s="1353" cm="1">
        <f t="array" aca="1" ref="H32" ca="1" xml:space="preserve"> IF(NOT(ISERROR(INDIRECT("'Phase 9'!A1"))),'Budget Detail'!W82,"")</f>
        <v>452.21034000000003</v>
      </c>
      <c r="I32" s="1354"/>
      <c r="J32" s="35" cm="1">
        <f t="array" aca="1" ref="J32" ca="1" xml:space="preserve"> IF(NOT(ISERROR(INDIRECT("'Phase 10'!A1"))),'Budget Detail'!Y82,"")</f>
        <v>450.02534000000003</v>
      </c>
      <c r="K32" s="35" cm="1">
        <f t="array" aca="1" ref="K32" ca="1">+IFERROR(E11InsuranceFee,0)</f>
        <v>456.35034000000002</v>
      </c>
      <c r="L32" s="35">
        <f ca="1">+IFERROR(E12InsuranceFee,0)</f>
        <v>452.21034000000003</v>
      </c>
      <c r="O32" s="880" t="s">
        <v>815</v>
      </c>
      <c r="W32" s="900"/>
      <c r="X32" s="900"/>
      <c r="Y32" s="900"/>
      <c r="Z32" s="900"/>
      <c r="AA32" s="900"/>
      <c r="AB32" s="900"/>
      <c r="AC32" s="900"/>
      <c r="AD32" s="900"/>
      <c r="AE32" s="900"/>
      <c r="AF32" s="900"/>
      <c r="AG32" s="900"/>
      <c r="AH32" s="900"/>
      <c r="AI32" s="900"/>
      <c r="AJ32" s="164"/>
    </row>
    <row r="33" spans="1:36" x14ac:dyDescent="0.2">
      <c r="A33" s="1334" t="s">
        <v>362</v>
      </c>
      <c r="B33" s="1335"/>
      <c r="C33" s="1350"/>
      <c r="D33" s="488"/>
      <c r="E33" s="509">
        <f ca="1">SUM(E29:E32)</f>
        <v>24615.436980000002</v>
      </c>
      <c r="F33" s="1356">
        <f t="shared" ref="F33:I33" ca="1" si="2">SUM(F29:F32)</f>
        <v>24314.131979999998</v>
      </c>
      <c r="G33" s="1357">
        <f t="shared" si="2"/>
        <v>0</v>
      </c>
      <c r="H33" s="1356">
        <f t="shared" ca="1" si="2"/>
        <v>24615.436980000002</v>
      </c>
      <c r="I33" s="1358">
        <f t="shared" si="2"/>
        <v>0</v>
      </c>
      <c r="J33" s="223">
        <f ca="1">SUM(J29:J32)</f>
        <v>24499.631979999998</v>
      </c>
      <c r="K33" s="223">
        <f ca="1">SUM(K29:K32)</f>
        <v>24834.85698</v>
      </c>
      <c r="L33" s="223">
        <f ca="1">SUM(L29:L32)</f>
        <v>24615.436980000002</v>
      </c>
      <c r="O33" s="897" t="s">
        <v>735</v>
      </c>
      <c r="W33" s="900"/>
      <c r="X33" s="900"/>
      <c r="Y33" s="900"/>
      <c r="Z33" s="900"/>
      <c r="AA33" s="900"/>
      <c r="AB33" s="900"/>
      <c r="AC33" s="900"/>
      <c r="AD33" s="900"/>
      <c r="AE33" s="900"/>
      <c r="AF33" s="900"/>
      <c r="AG33" s="900"/>
      <c r="AH33" s="900"/>
      <c r="AI33" s="900"/>
      <c r="AJ33" s="164"/>
    </row>
    <row r="34" spans="1:36" x14ac:dyDescent="0.2">
      <c r="A34" s="1331" t="s">
        <v>88</v>
      </c>
      <c r="B34" s="1244"/>
      <c r="C34" s="1244"/>
      <c r="D34" s="487"/>
      <c r="E34" s="508" cm="1">
        <f t="array" aca="1" ref="E34" ca="1" xml:space="preserve"> IF(AND(Contingency =TRUE,ApplyContingencyPhase7=TRUE,NOT(ISERROR(INDIRECT("'Phase 7'!A1")))),E7EquipmentTotal+E7EquipmentTotal*ContingencyProcurement,IF(NOT(ISERROR(INDIRECT("'Phase 7'!A1"))),E7EquipmentTotal,""))</f>
        <v>22.819679999999998</v>
      </c>
      <c r="F34" s="1314" cm="1">
        <f t="array" aca="1" ref="F34" ca="1" xml:space="preserve"> IF(AND(Contingency =TRUE,ApplyContingencyPhase8=TRUE,NOT(ISERROR(INDIRECT("'Phase 8'!A1")))),E8EquipmentTotal+E8EquipmentTotal*ContingencyProcurement,IF(NOT(ISERROR(INDIRECT("'Phase 8'!A1"))),E8EquipmentTotal,""))</f>
        <v>22.819679999999998</v>
      </c>
      <c r="G34" s="1315"/>
      <c r="H34" s="1314" cm="1">
        <f t="array" aca="1" ref="H34" ca="1" xml:space="preserve"> IF(AND(Contingency =TRUE,ApplyContingencyPhase9=TRUE,NOT(ISERROR(INDIRECT("'Phase 9'!A1")))),E9EquipmentTotal+E9EquipmentTotal*ContingencyProcurement,IF(NOT(ISERROR(INDIRECT("'Phase 9'!A1"))),E9EquipmentTotal,""))</f>
        <v>22.819679999999998</v>
      </c>
      <c r="I34" s="1315"/>
      <c r="J34" s="35" cm="1">
        <f t="array" aca="1" ref="J34" ca="1" xml:space="preserve"> IF(AND(Contingency =TRUE,ApplyContingencyPhase10=TRUE,NOT(ISERROR(INDIRECT("'Phase 10'!A1")))),E10EquipmentTotal+E10EquipmentTotal*ContingencyProcurement,IF(NOT(ISERROR(INDIRECT("'Phase 10'!A1"))),E10EquipmentTotal,""))</f>
        <v>22.819679999999998</v>
      </c>
      <c r="K34" s="35" cm="1">
        <f t="array" aca="1" ref="K34" ca="1">IF(AND(Contingency =TRUE,ApplyContingencyPhase11=TRUE),IFERROR(E11EquipmentTotal,0)+IFERROR(E11EquipmentTotal,0)*ContingencyProcurement,IFERROR(E11EquipmentTotal,0))</f>
        <v>22.819679999999998</v>
      </c>
      <c r="L34" s="35">
        <f ca="1" xml:space="preserve"> IF(AND(Contingency =TRUE,ApplyContingencyPhase12=TRUE),IFERROR(E12EquipmentTotal,0)+IFERROR(E12EquipmentTotal,0)*ContingencyProcurement,IFERROR(E12EquipmentTotal,0))</f>
        <v>22.819679999999998</v>
      </c>
      <c r="O34" s="880" t="s">
        <v>732</v>
      </c>
      <c r="W34" s="900"/>
      <c r="X34" s="900"/>
      <c r="Y34" s="900"/>
      <c r="Z34" s="900"/>
      <c r="AA34" s="900"/>
      <c r="AB34" s="900"/>
      <c r="AC34" s="900"/>
      <c r="AD34" s="900"/>
      <c r="AE34" s="900"/>
      <c r="AF34" s="900"/>
      <c r="AG34" s="900"/>
      <c r="AH34" s="900"/>
      <c r="AI34" s="900"/>
      <c r="AJ34" s="164"/>
    </row>
    <row r="35" spans="1:36" x14ac:dyDescent="0.2">
      <c r="A35" s="1331" t="s">
        <v>7</v>
      </c>
      <c r="B35" s="1245"/>
      <c r="C35" s="1244"/>
      <c r="D35" s="487"/>
      <c r="E35" s="508" cm="1">
        <f t="array" aca="1" ref="E35" ca="1">IF(AND(Contingency =TRUE,ApplyContingencyPhase7=TRUE,NOT(ISERROR(INDIRECT("'Phase 7'!A1")))), E7LabTotal+ E7LabTotal*ContingencyLab, IF(NOT(ISERROR(INDIRECT("'Phase 7'!A1"))),E7LabTotal,""))</f>
        <v>84.187999999999988</v>
      </c>
      <c r="F35" s="1314" cm="1">
        <f t="array" aca="1" ref="F35" ca="1">IF(AND(Contingency =TRUE,ApplyContingencyPhase8=TRUE,NOT(ISERROR(INDIRECT("'Phase 8'!A1")))), E8LabTotal+ E8LabTotal*ContingencyLab, IF(NOT(ISERROR(INDIRECT("'Phase 8'!A1"))),E8LabTotal,""))</f>
        <v>84.187999999999988</v>
      </c>
      <c r="G35" s="1345"/>
      <c r="H35" s="1314" cm="1">
        <f t="array" aca="1" ref="H35" ca="1">IF(AND(Contingency =TRUE,ApplyContingencyPhase9=TRUE,NOT(ISERROR(INDIRECT("'Phase 9'!A1")))), E9LabTotal+ E9LabTotal*ContingencyLab, IF(NOT(ISERROR(INDIRECT("'Phase 9'!A1"))),E9LabTotal,""))</f>
        <v>84.187999999999988</v>
      </c>
      <c r="I35" s="1345"/>
      <c r="J35" s="35" cm="1">
        <f t="array" aca="1" ref="J35" ca="1">IF(AND(Contingency =TRUE,ApplyContingencyPhase10=TRUE,NOT(ISERROR(INDIRECT("'Phase 10'!A1")))), E10LabTotal+ E10LabTotal*ContingencyLab, IF(NOT(ISERROR(INDIRECT("'Phase 10'!A1"))),E10LabTotal,""))</f>
        <v>84.187999999999988</v>
      </c>
      <c r="K35" s="35" cm="1">
        <f t="array" aca="1" ref="K35" ca="1">IF(AND(Contingency =TRUE,ApplyContingencyPhase11=TRUE),IFERROR( E11LabTotal,0)+ IFERROR(E11LabTotal,0)*ContingencyLab, IFERROR(E11LabTotal,0))</f>
        <v>84.187999999999988</v>
      </c>
      <c r="L35" s="35">
        <f ca="1" xml:space="preserve">  IF(AND(Contingency =TRUE,ApplyContingencyPhase12=TRUE), IFERROR(E12LabTotal,0)+IFERROR( E12LabTotal,0)*ContingencyLab, IFERROR(E12LabTotal,0))</f>
        <v>84.187999999999988</v>
      </c>
      <c r="O35" s="880" t="s">
        <v>733</v>
      </c>
      <c r="W35" s="900"/>
      <c r="X35" s="900"/>
      <c r="Y35" s="900"/>
      <c r="Z35" s="900"/>
      <c r="AA35" s="900"/>
      <c r="AB35" s="900"/>
      <c r="AC35" s="900"/>
      <c r="AD35" s="900"/>
      <c r="AE35" s="900"/>
      <c r="AF35" s="900"/>
      <c r="AG35" s="900"/>
      <c r="AH35" s="900"/>
      <c r="AI35" s="900"/>
      <c r="AJ35" s="164"/>
    </row>
    <row r="36" spans="1:36" x14ac:dyDescent="0.2">
      <c r="A36" s="1331" t="s">
        <v>8</v>
      </c>
      <c r="B36" s="1245"/>
      <c r="C36" s="1244"/>
      <c r="D36" s="487"/>
      <c r="E36" s="508" cm="1">
        <f t="array" aca="1" ref="E36" ca="1" xml:space="preserve">  IF(AND(Contingency =TRUE,ApplyContingencyPhase7=TRUE,NOT(ISERROR(INDIRECT("'Phase 7'!A1")))), IFERROR(E7SubsTotal,0)+ IFERROR(E7SubsTotal,0)*ContingencySubs, IF(NOT(ISERROR(INDIRECT("'Phase 7'!A1"))),E7SubsTotal,""))</f>
        <v>70.994559999999993</v>
      </c>
      <c r="F36" s="1332" cm="1">
        <f t="array" aca="1" ref="F36" ca="1" xml:space="preserve">  IF(AND(Contingency =TRUE,ApplyContingencyPhase8=TRUE,NOT(ISERROR(INDIRECT("'Phase 8'!A1")))), IFERROR(E8SubsTotal,0)+ IFERROR(E8SubsTotal,0)*ContingencySubs, IF(NOT(ISERROR(INDIRECT("'Phase 8'!A1"))),E8SubsTotal,""))</f>
        <v>70.994559999999993</v>
      </c>
      <c r="G36" s="1333"/>
      <c r="H36" s="1332" cm="1">
        <f t="array" aca="1" ref="H36" ca="1" xml:space="preserve">  IF(AND(Contingency =TRUE,ApplyContingencyPhase9=TRUE,NOT(ISERROR(INDIRECT("'Phase 9'!A1")))), IFERROR(E9SubsTotal,0)+ IFERROR(E9SubsTotal,0)*ContingencySubs, IF(NOT(ISERROR(INDIRECT("'Phase 9'!A1"))),E9SubsTotal,""))</f>
        <v>70.994559999999993</v>
      </c>
      <c r="I36" s="1333"/>
      <c r="J36" s="35" cm="1">
        <f t="array" aca="1" ref="J36" ca="1" xml:space="preserve">  IF(AND(Contingency =TRUE,ApplyContingencyPhase10=TRUE,NOT(ISERROR(INDIRECT("'Phase 10'!A1")))), IFERROR(E10SubsTotal,0)+ IFERROR(E10SubsTotal,0)*ContingencySubs, IF(NOT(ISERROR(INDIRECT("'Phase 10'!A1"))),E10SubsTotal,""))</f>
        <v>70.994559999999993</v>
      </c>
      <c r="K36" s="35">
        <f ca="1" xml:space="preserve">  IF(AND(Contingency =TRUE,ApplyContingencyPhase11=TRUE), IFERROR(E11SubsTotal,0)+ IFERROR(E11SubsTotal,0)*ContingencySubs, IFERROR(E11SubsTotal,0))</f>
        <v>70.994559999999993</v>
      </c>
      <c r="L36" s="35">
        <f ca="1" xml:space="preserve">  IF(AND(Contingency =TRUE,ApplyContingencyPhase12=TRUE), IFERROR(E12SubsTotal,0)+ IFERROR(E12SubsTotal,0)*ContingencySubs, IFERROR(E12SubsTotal,0))</f>
        <v>70.994559999999993</v>
      </c>
      <c r="O36" s="880" t="s">
        <v>319</v>
      </c>
      <c r="W36" s="900"/>
      <c r="X36" s="900"/>
      <c r="Y36" s="900"/>
      <c r="Z36" s="900"/>
      <c r="AA36" s="900"/>
      <c r="AB36" s="900"/>
      <c r="AC36" s="900"/>
      <c r="AD36" s="900"/>
      <c r="AE36" s="900"/>
      <c r="AF36" s="900"/>
      <c r="AG36" s="900"/>
      <c r="AH36" s="900"/>
      <c r="AI36" s="900"/>
      <c r="AJ36" s="164"/>
    </row>
    <row r="37" spans="1:36" ht="12.75" customHeight="1" thickBot="1" x14ac:dyDescent="0.25">
      <c r="A37" s="1340" t="s">
        <v>6</v>
      </c>
      <c r="B37" s="1341"/>
      <c r="C37" s="1342"/>
      <c r="D37" s="489"/>
      <c r="E37" s="510">
        <f ca="1">SUM(E33:E36)</f>
        <v>24793.43922</v>
      </c>
      <c r="F37" s="1343">
        <f ca="1">SUM(F33:F36)</f>
        <v>24492.134219999996</v>
      </c>
      <c r="G37" s="1344"/>
      <c r="H37" s="1343">
        <f ca="1">SUM(H33:H36)</f>
        <v>24793.43922</v>
      </c>
      <c r="I37" s="1355"/>
      <c r="J37" s="107">
        <f ca="1">SUM(J33:J36)</f>
        <v>24677.634219999996</v>
      </c>
      <c r="K37" s="107">
        <f ca="1">SUM(K33:K36)</f>
        <v>25012.859219999998</v>
      </c>
      <c r="L37" s="107">
        <f ca="1">SUM(L33:L36)</f>
        <v>24793.43922</v>
      </c>
      <c r="W37" s="900"/>
      <c r="X37" s="900"/>
      <c r="Y37" s="900"/>
      <c r="Z37" s="900"/>
      <c r="AA37" s="900"/>
      <c r="AB37" s="900"/>
      <c r="AC37" s="900"/>
      <c r="AD37" s="900"/>
      <c r="AE37" s="900"/>
      <c r="AF37" s="900"/>
      <c r="AG37" s="900"/>
      <c r="AH37" s="900"/>
      <c r="AI37" s="900"/>
      <c r="AJ37" s="164"/>
    </row>
    <row r="38" spans="1:36" ht="12.75" customHeight="1" thickTop="1" x14ac:dyDescent="0.2">
      <c r="A38" s="191"/>
      <c r="B38" s="191"/>
      <c r="C38"/>
      <c r="D38" s="4"/>
      <c r="E38" s="158"/>
      <c r="F38" s="390"/>
      <c r="G38" s="391"/>
      <c r="H38" s="390"/>
      <c r="I38" s="390"/>
      <c r="J38" s="158"/>
      <c r="K38" s="158"/>
      <c r="L38"/>
      <c r="W38" s="900"/>
      <c r="X38" s="900"/>
      <c r="Y38" s="900"/>
      <c r="Z38" s="900"/>
      <c r="AA38" s="900"/>
      <c r="AB38" s="900"/>
      <c r="AC38" s="900"/>
      <c r="AD38" s="900"/>
      <c r="AE38" s="900"/>
      <c r="AF38" s="900"/>
      <c r="AG38" s="900"/>
      <c r="AH38" s="900"/>
      <c r="AI38" s="900"/>
      <c r="AJ38" s="164"/>
    </row>
    <row r="39" spans="1:36" ht="16.5" customHeight="1" x14ac:dyDescent="0.2">
      <c r="A39" s="191"/>
      <c r="B39" s="191"/>
      <c r="C39"/>
      <c r="D39" s="4"/>
      <c r="E39" s="158"/>
      <c r="F39" s="390"/>
      <c r="G39" s="391"/>
      <c r="H39" s="390"/>
      <c r="I39" s="390"/>
      <c r="J39" s="158"/>
      <c r="K39" s="158"/>
      <c r="L39"/>
      <c r="W39" s="900"/>
      <c r="X39" s="900"/>
      <c r="Y39" s="900"/>
      <c r="Z39" s="900"/>
      <c r="AA39" s="900"/>
      <c r="AB39" s="900"/>
      <c r="AC39" s="900"/>
      <c r="AD39" s="900"/>
      <c r="AE39" s="900"/>
      <c r="AF39" s="900"/>
      <c r="AG39" s="900"/>
      <c r="AH39" s="900"/>
      <c r="AI39" s="900"/>
      <c r="AJ39" s="164"/>
    </row>
    <row r="40" spans="1:36" ht="20.25" customHeight="1" x14ac:dyDescent="0.2">
      <c r="A40" s="191"/>
      <c r="B40" s="191"/>
      <c r="D40" s="4"/>
      <c r="E40" s="158"/>
      <c r="F40" s="390"/>
      <c r="G40" s="391"/>
      <c r="H40" s="390"/>
      <c r="I40" s="390"/>
      <c r="J40" s="158"/>
      <c r="K40" s="158"/>
      <c r="L40"/>
      <c r="W40" s="900"/>
      <c r="X40" s="900"/>
      <c r="Y40" s="900"/>
      <c r="Z40" s="900"/>
      <c r="AA40" s="900"/>
      <c r="AB40" s="900"/>
      <c r="AC40" s="900"/>
      <c r="AD40" s="900"/>
      <c r="AE40" s="900"/>
      <c r="AF40" s="900"/>
      <c r="AG40" s="900"/>
      <c r="AH40" s="900"/>
      <c r="AI40" s="900"/>
      <c r="AJ40" s="164"/>
    </row>
    <row r="41" spans="1:36" ht="11.25" customHeight="1" thickBot="1" x14ac:dyDescent="0.25">
      <c r="A41" s="191"/>
      <c r="B41" s="191"/>
      <c r="D41" s="4"/>
      <c r="E41" s="158"/>
      <c r="F41" s="390"/>
      <c r="G41" s="391"/>
      <c r="H41" s="390"/>
      <c r="I41" s="390"/>
      <c r="J41" s="158"/>
      <c r="K41" s="158"/>
      <c r="L41"/>
      <c r="W41" s="900"/>
      <c r="X41" s="900"/>
      <c r="Y41" s="900"/>
      <c r="Z41" s="900"/>
      <c r="AA41" s="900"/>
      <c r="AB41" s="900"/>
      <c r="AC41" s="900"/>
      <c r="AD41" s="900"/>
      <c r="AE41" s="900"/>
      <c r="AF41" s="900"/>
      <c r="AG41" s="900"/>
      <c r="AH41" s="900"/>
      <c r="AI41" s="900"/>
      <c r="AJ41" s="164"/>
    </row>
    <row r="42" spans="1:36" ht="18.75" customHeight="1" thickTop="1" x14ac:dyDescent="0.2">
      <c r="A42" s="1318" t="s">
        <v>5</v>
      </c>
      <c r="B42" s="1319"/>
      <c r="C42" s="1320"/>
      <c r="D42" s="1324" t="s">
        <v>6</v>
      </c>
      <c r="E42" s="506" t="str">
        <f>"Phase"&amp;" "&amp;INPUT!B30</f>
        <v>Phase 13</v>
      </c>
      <c r="F42" s="1326" t="str">
        <f>"Phase"&amp;" "&amp;INPUT!B31</f>
        <v>Phase 14</v>
      </c>
      <c r="G42" s="1327"/>
      <c r="H42" s="1326" t="str">
        <f>"Phase"&amp;" "&amp;INPUT!B32</f>
        <v>Phase 15</v>
      </c>
      <c r="I42" s="1328"/>
      <c r="J42" s="427" t="str">
        <f>"Phase"&amp;" "&amp;INPUT!B33</f>
        <v>Phase 16</v>
      </c>
      <c r="K42" s="427" t="str">
        <f>"Phase"&amp;" "&amp;INPUT!B34</f>
        <v>Phase 17</v>
      </c>
      <c r="L42" s="427" t="str">
        <f>"Phase"&amp;" "&amp;INPUT!B35</f>
        <v>Phase 18</v>
      </c>
      <c r="W42" s="900"/>
      <c r="X42" s="900"/>
      <c r="Y42" s="900"/>
      <c r="Z42" s="900"/>
      <c r="AA42" s="900"/>
      <c r="AB42" s="900"/>
      <c r="AC42" s="900"/>
      <c r="AD42" s="900"/>
      <c r="AE42" s="900"/>
      <c r="AF42" s="900"/>
      <c r="AG42" s="900"/>
      <c r="AH42" s="900"/>
      <c r="AI42" s="900"/>
      <c r="AJ42" s="164"/>
    </row>
    <row r="43" spans="1:36" ht="32.25" customHeight="1" x14ac:dyDescent="0.2">
      <c r="A43" s="1321"/>
      <c r="B43" s="1322"/>
      <c r="C43" s="1323"/>
      <c r="D43" s="1325"/>
      <c r="E43" s="507" t="str">
        <f>IF(Element13&lt;&gt;"", Element13,"")</f>
        <v>Phase Name 13</v>
      </c>
      <c r="F43" s="1329" t="str">
        <f>IF(Element14&lt;&gt;"", Element14,"")</f>
        <v>Phase Name 14</v>
      </c>
      <c r="G43" s="1330"/>
      <c r="H43" s="1329" t="str">
        <f>IF(Element15&lt;&gt;"", Element15,"")</f>
        <v>Phase Name 15</v>
      </c>
      <c r="I43" s="1330"/>
      <c r="J43" s="426" t="str">
        <f>IF(Element16&lt;&gt;"", Element16,"")</f>
        <v>Phase Name 16</v>
      </c>
      <c r="K43" s="426" t="str">
        <f>IF(Element17&lt;&gt;"", Element17,"")</f>
        <v>Phase Name 17</v>
      </c>
      <c r="L43" s="426" t="str">
        <f>IF(Element18&lt;&gt;"", Element18,"")</f>
        <v>Phase Name 18</v>
      </c>
      <c r="W43" s="900"/>
      <c r="X43" s="900"/>
      <c r="Y43" s="900"/>
      <c r="Z43" s="900"/>
      <c r="AA43" s="900"/>
      <c r="AB43" s="900"/>
      <c r="AC43" s="900"/>
      <c r="AD43" s="900"/>
      <c r="AE43" s="900"/>
      <c r="AF43" s="900"/>
      <c r="AG43" s="900"/>
      <c r="AH43" s="900"/>
      <c r="AI43" s="900"/>
      <c r="AJ43" s="164"/>
    </row>
    <row r="44" spans="1:36" ht="12.75" customHeight="1" x14ac:dyDescent="0.2">
      <c r="A44" s="1308" t="s">
        <v>360</v>
      </c>
      <c r="B44" s="1309"/>
      <c r="C44" s="1310"/>
      <c r="D44" s="487"/>
      <c r="E44" s="1190">
        <f>IF(AND(Contingency =TRUE,ApplyContingencyPhase13=TRUE),IFERROR(E13LaborTotal,0)+IFERROR(E13LaborTotal,0)*ContingencyLabor,IFERROR(E13LaborTotal,0))</f>
        <v>5846.4</v>
      </c>
      <c r="F44" s="1311">
        <f>IF(AND(Contingency =TRUE,ApplyContingencyPhase14=TRUE),IFERROR(E14LaborTotal,0)+IFERROR(E14LaborTotal,0)*ContingencyLabor,IFERROR(E14LaborTotal,0))</f>
        <v>5846.4</v>
      </c>
      <c r="G44" s="1312"/>
      <c r="H44" s="1311">
        <f>IF(AND(Contingency =TRUE,ApplyContingencyPhase15=TRUE),IFERROR(E15LaborTotal,0)+IFERROR(E15LaborTotal,0)*ContingencyLabor,IFERROR(E15LaborTotal,0))</f>
        <v>5846.4</v>
      </c>
      <c r="I44" s="1312"/>
      <c r="J44" s="35">
        <f>IF(AND(Contingency =TRUE,ApplyContingencyPhase16=TRUE),IFERROR(E16LaborTotal,0)+IFERROR(E16LaborTotal,0)*ContingencyLabor,IFERROR(E16LaborTotal,0))</f>
        <v>9573.6</v>
      </c>
      <c r="K44" s="35">
        <f>IF(AND(Contingency =TRUE,ApplyContingencyPhase17=TRUE),IFERROR(E17LaborTotal,0)+IFERROR(E17LaborTotal,0)*ContingencyLabor,IFERROR(E17LaborTotal,0))</f>
        <v>5846.4</v>
      </c>
      <c r="L44" s="35">
        <f>IF(AND(Contingency =TRUE,ApplyContingencyPhase18=TRUE),IFERROR(E18LaborTotal,0)+IFERROR(E18LaborTotal,0)*ContingencyLabor,IFERROR(E18LaborTotal,0))</f>
        <v>5846.4</v>
      </c>
      <c r="W44" s="900"/>
      <c r="X44" s="900"/>
      <c r="Y44" s="900"/>
      <c r="Z44" s="900"/>
      <c r="AA44" s="900"/>
      <c r="AB44" s="900"/>
      <c r="AC44" s="900"/>
      <c r="AD44" s="900"/>
      <c r="AE44" s="900"/>
      <c r="AF44" s="900"/>
      <c r="AG44" s="900"/>
      <c r="AH44" s="900"/>
      <c r="AI44" s="900"/>
      <c r="AJ44" s="164"/>
    </row>
    <row r="45" spans="1:36" ht="12.75" customHeight="1" x14ac:dyDescent="0.2">
      <c r="A45" s="1313" t="s">
        <v>751</v>
      </c>
      <c r="B45" s="1246"/>
      <c r="C45" s="1339"/>
      <c r="D45" s="487"/>
      <c r="E45" s="1190">
        <f xml:space="preserve"> IF(AND(Contingency =TRUE,ApplyContingencyPhase13=TRUE),+IFERROR(E13CommunicationFee,0)*(1+ContingencyLabor),+IFERROR(E13CommunicationFee,0))</f>
        <v>350.78399999999999</v>
      </c>
      <c r="F45" s="1314">
        <f xml:space="preserve"> IF(AND(Contingency =TRUE,ApplyContingencyPhase14=TRUE),+IFERROR(E14CommunicationFee,0)*(1+ContingencyLabor),+IFERROR(E14CommunicationFee,0))</f>
        <v>350.78399999999999</v>
      </c>
      <c r="G45" s="1315"/>
      <c r="H45" s="1314">
        <f xml:space="preserve"> IF(AND(Contingency =TRUE,ApplyContingencyPhase15=TRUE),+IFERROR(E15CommunicationFee,0)*(1+ContingencyLabor),+IFERROR(E15CommunicationFee,0))</f>
        <v>350.78399999999999</v>
      </c>
      <c r="I45" s="1315"/>
      <c r="J45" s="35">
        <f xml:space="preserve"> IF(AND(Contingency =TRUE,ApplyContingencyPhase16=TRUE),+IFERROR(E16CommunicationFee,0)*(1+ContingencyLabor),+IFERROR(E16CommunicationFee,0))</f>
        <v>574.41599999999994</v>
      </c>
      <c r="K45" s="35">
        <f xml:space="preserve"> IF(AND(Contingency =TRUE,ApplyContingencyPhase17=TRUE),+IFERROR(E17CommunicationFee,0)*(1+ContingencyLabor),+IFERROR(E17CommunicationFee,0))</f>
        <v>350.78399999999999</v>
      </c>
      <c r="L45" s="35">
        <f xml:space="preserve"> IF(AND(Contingency =TRUE,ApplyContingencyPhase18=TRUE),+IFERROR(E18CommunicationFee,0)*(1+ContingencyLabor),+IFERROR(E18CommunicationFee,0))</f>
        <v>350.78399999999999</v>
      </c>
      <c r="W45" s="900"/>
      <c r="X45" s="900"/>
      <c r="Y45" s="900"/>
      <c r="Z45" s="900"/>
      <c r="AA45" s="900"/>
      <c r="AB45" s="900"/>
      <c r="AC45" s="900"/>
      <c r="AD45" s="900"/>
      <c r="AE45" s="900"/>
      <c r="AF45" s="900"/>
      <c r="AG45" s="900"/>
      <c r="AH45" s="900"/>
      <c r="AI45" s="900"/>
      <c r="AJ45" s="164"/>
    </row>
    <row r="46" spans="1:36" ht="12.75" customHeight="1" x14ac:dyDescent="0.2">
      <c r="A46" s="1313" t="s">
        <v>361</v>
      </c>
      <c r="B46" s="1245"/>
      <c r="C46" s="1244"/>
      <c r="D46" s="487"/>
      <c r="E46" s="1190">
        <f ca="1" xml:space="preserve"> IF(AND(Contingency =TRUE,ApplyContingencyPhase13=TRUE), (IFERROR(E13ExpenseTotal,0)+IFERROR(E13TravelTotal,0))+ (IFERROR(E13ExpenseTotal,0)+IFERROR(E13TravelTotal,0))*ContingencyExpense,IFERROR(E13ExpenseTotal,0)+IFERROR(E13TravelTotal,0))</f>
        <v>17906.24264</v>
      </c>
      <c r="F46" s="1314">
        <f ca="1" xml:space="preserve"> IF(AND(Contingency =TRUE,ApplyContingencyPhase14=TRUE), (IFERROR(E14ExpenseTotal,0)+IFERROR(E14TravelTotal,0))+ (IFERROR(E14ExpenseTotal,0)+IFERROR(E14TravelTotal,0))*ContingencyExpense,IFERROR(E14ExpenseTotal,0)+IFERROR(E14TravelTotal,0))</f>
        <v>17683.162640000002</v>
      </c>
      <c r="G46" s="1315"/>
      <c r="H46" s="1314">
        <f ca="1" xml:space="preserve"> IF(AND(Contingency =TRUE,ApplyContingencyPhase15=TRUE), (IFERROR(E15ExpenseTotal,0)+IFERROR(E15TravelTotal,0))+ (IFERROR(E15ExpenseTotal,0)+IFERROR(E15TravelTotal,0))*ContingencyExpense,IFERROR(E15ExpenseTotal,0)+IFERROR(E15TravelTotal,0))</f>
        <v>17906.24264</v>
      </c>
      <c r="I46" s="1315"/>
      <c r="J46" s="35">
        <f ca="1" xml:space="preserve"> IF(AND(Contingency =TRUE,ApplyContingencyPhase16=TRUE), (IFERROR(E16ExpenseTotal,0)+IFERROR(E16TravelTotal,0))+ (IFERROR(E16ExpenseTotal,0)+IFERROR(E16TravelTotal,0))*ContingencyExpense,IFERROR(E16ExpenseTotal,0)+IFERROR(E16TravelTotal,0))</f>
        <v>17728.40264</v>
      </c>
      <c r="K46" s="35">
        <f ca="1" xml:space="preserve"> IF(AND(Contingency =TRUE,ApplyContingencyPhase17=TRUE), (IFERROR(E17ExpenseTotal,0)+IFERROR(E17TravelTotal,0))+ (IFERROR(E17ExpenseTotal,0)+IFERROR(E17TravelTotal,0))*ContingencyExpense,IFERROR(E17ExpenseTotal,0)+IFERROR(E17TravelTotal,0))</f>
        <v>17966.04264</v>
      </c>
      <c r="L46" s="35" cm="1">
        <f t="array" aca="1" ref="L46" ca="1" xml:space="preserve"> IF(AND(Contingency =TRUE,ApplyContingencyPhase18=TRUE), (IFERROR(E18ExpenseTotal,0)+IFERROR(E18TravelTotal,0))+ (IFERROR(E18ExpenseTotal,0)+IFERROR(E18TravelTotal,0))*ContingencyExpense,IFERROR(E18ExpenseTotal,0)+IFERROR(E18TravelTotal,0))</f>
        <v>17966.04264</v>
      </c>
      <c r="W46" s="900"/>
      <c r="X46" s="900"/>
      <c r="Y46" s="900"/>
      <c r="Z46" s="900"/>
      <c r="AA46" s="900"/>
      <c r="AB46" s="900"/>
      <c r="AC46" s="900"/>
      <c r="AD46" s="900"/>
      <c r="AE46" s="900"/>
      <c r="AF46" s="900"/>
      <c r="AG46" s="900"/>
      <c r="AH46" s="900"/>
      <c r="AI46" s="900"/>
    </row>
    <row r="47" spans="1:36" ht="12.75" customHeight="1" x14ac:dyDescent="0.2">
      <c r="A47" s="1346" t="s">
        <v>814</v>
      </c>
      <c r="B47" s="1347"/>
      <c r="C47" s="1348"/>
      <c r="D47" s="487"/>
      <c r="E47" s="1190">
        <f ca="1">+IFERROR(E13InsuranceFee,0)</f>
        <v>451.06034</v>
      </c>
      <c r="F47" s="1314">
        <f ca="1">+IFERROR(E14InsuranceFee,0)</f>
        <v>451.06034</v>
      </c>
      <c r="G47" s="1315"/>
      <c r="H47" s="1314">
        <f ca="1">+IFERROR(E15InsuranceFee,0)</f>
        <v>451.06034</v>
      </c>
      <c r="I47" s="1315"/>
      <c r="J47" s="35">
        <f ca="1">+IFERROR(E16InsuranceFee,0)</f>
        <v>513.48753999999997</v>
      </c>
      <c r="K47" s="35">
        <f ca="1">+IFERROR(E17InsuranceFee,0)</f>
        <v>452.21034000000003</v>
      </c>
      <c r="L47" s="35">
        <f ca="1">+IFERROR(E18InsuranceFee,0)</f>
        <v>452.21034000000003</v>
      </c>
      <c r="W47" s="900"/>
      <c r="X47" s="900"/>
      <c r="Y47" s="900"/>
      <c r="Z47" s="900"/>
      <c r="AA47" s="900"/>
      <c r="AB47" s="900"/>
      <c r="AC47" s="900"/>
      <c r="AD47" s="900"/>
      <c r="AE47" s="900"/>
      <c r="AF47" s="900"/>
      <c r="AG47" s="900"/>
      <c r="AH47" s="900"/>
      <c r="AI47" s="900"/>
      <c r="AJ47" s="164"/>
    </row>
    <row r="48" spans="1:36" ht="13.5" customHeight="1" x14ac:dyDescent="0.2">
      <c r="A48" s="1334" t="s">
        <v>362</v>
      </c>
      <c r="B48" s="1335"/>
      <c r="C48" s="1350"/>
      <c r="D48" s="488"/>
      <c r="E48" s="509">
        <f ca="1">SUM(E44:E47)</f>
        <v>24554.486979999998</v>
      </c>
      <c r="F48" s="1356">
        <f t="shared" ref="F48:I48" ca="1" si="3">SUM(F44:F47)</f>
        <v>24331.406980000003</v>
      </c>
      <c r="G48" s="1357">
        <f t="shared" si="3"/>
        <v>0</v>
      </c>
      <c r="H48" s="1356">
        <f t="shared" ca="1" si="3"/>
        <v>24554.486979999998</v>
      </c>
      <c r="I48" s="1358">
        <f t="shared" si="3"/>
        <v>0</v>
      </c>
      <c r="J48" s="223">
        <f ca="1">SUM(J44:J47)</f>
        <v>28389.906179999998</v>
      </c>
      <c r="K48" s="223">
        <f ca="1">SUM(K44:K47)</f>
        <v>24615.436980000002</v>
      </c>
      <c r="L48" s="223">
        <f ca="1">SUM(L44:L47)</f>
        <v>24615.436980000002</v>
      </c>
      <c r="W48" s="900"/>
      <c r="X48" s="900"/>
      <c r="Y48" s="900"/>
      <c r="Z48" s="900"/>
      <c r="AA48" s="900"/>
      <c r="AB48" s="900"/>
      <c r="AC48" s="900"/>
      <c r="AD48" s="900"/>
      <c r="AE48" s="900"/>
      <c r="AF48" s="900"/>
      <c r="AG48" s="900"/>
      <c r="AH48" s="900"/>
      <c r="AI48" s="900"/>
      <c r="AJ48" s="164"/>
    </row>
    <row r="49" spans="1:36" ht="12.75" customHeight="1" x14ac:dyDescent="0.2">
      <c r="A49" s="1331" t="s">
        <v>88</v>
      </c>
      <c r="B49" s="1244"/>
      <c r="C49" s="1244"/>
      <c r="D49" s="487"/>
      <c r="E49" s="508">
        <f ca="1" xml:space="preserve"> IF(AND(Contingency =TRUE,ApplyContingencyPhase13=TRUE),IFERROR(E13EquipmentTotal,0)+IFERROR(E13EquipmentTotal,0)*ContingencyProcurement,IFERROR(E13EquipmentTotal,0))</f>
        <v>22.819679999999998</v>
      </c>
      <c r="F49" s="1314">
        <f ca="1" xml:space="preserve"> IF(AND(Contingency =TRUE,ApplyContingencyPhase14=TRUE),IFERROR(E14EquipmentTotal,0)+IFERROR(E14EquipmentTotal,0)*ContingencyProcurement,IFERROR(E14EquipmentTotal,0))</f>
        <v>22.819679999999998</v>
      </c>
      <c r="G49" s="1315"/>
      <c r="H49" s="1314">
        <f ca="1" xml:space="preserve"> IF(AND(Contingency =TRUE,ApplyContingencyPhase15=TRUE),IFERROR(E15EquipmentTotal,0)+IFERROR(E15EquipmentTotal,0)*ContingencyProcurement,IFERROR(E15EquipmentTotal,0))</f>
        <v>22.819679999999998</v>
      </c>
      <c r="I49" s="1315"/>
      <c r="J49" s="35">
        <f ca="1" xml:space="preserve"> IF(AND(Contingency =TRUE,ApplyContingencyPhase16=TRUE),IFERROR(E16EquipmentTotal,0)+IFERROR(E16EquipmentTotal,0)*ContingencyProcurement,IFERROR(E16EquipmentTotal,0))</f>
        <v>22.819679999999998</v>
      </c>
      <c r="K49" s="35">
        <f ca="1" xml:space="preserve"> IF(AND(Contingency =TRUE,ApplyContingencyPhase17=TRUE),IFERROR(E17EquipmentTotal,0)+IFERROR(E17EquipmentTotal,0)*ContingencyProcurement,IFERROR(E17EquipmentTotal,0))</f>
        <v>22.819679999999998</v>
      </c>
      <c r="L49" s="35">
        <f ca="1" xml:space="preserve"> IF(AND(Contingency =TRUE,ApplyContingencyPhase18=TRUE),IFERROR(E18EquipmentTotal,0)+IFERROR(E18EquipmentTotal,0)*ContingencyProcurement,IFERROR(E18EquipmentTotal,0))</f>
        <v>22.819679999999998</v>
      </c>
      <c r="W49" s="900"/>
      <c r="X49" s="900"/>
      <c r="Y49" s="900"/>
      <c r="Z49" s="900"/>
      <c r="AA49" s="900"/>
      <c r="AB49" s="900"/>
      <c r="AC49" s="900"/>
      <c r="AD49" s="900"/>
      <c r="AE49" s="900"/>
      <c r="AF49" s="900"/>
      <c r="AG49" s="900"/>
      <c r="AH49" s="900"/>
      <c r="AI49" s="900"/>
      <c r="AJ49" s="164"/>
    </row>
    <row r="50" spans="1:36" ht="12.75" customHeight="1" x14ac:dyDescent="0.2">
      <c r="A50" s="1331" t="s">
        <v>7</v>
      </c>
      <c r="B50" s="1245"/>
      <c r="C50" s="1244"/>
      <c r="D50" s="487"/>
      <c r="E50" s="508">
        <f ca="1" xml:space="preserve">  IF(AND(Contingency =TRUE,ApplyContingencyPhase13=TRUE), IFERROR(E13LabTotal,0)+IFERROR( E13LabTotal,0)*ContingencyLab, IFERROR(E13LabTotal,0))</f>
        <v>84.187999999999988</v>
      </c>
      <c r="F50" s="1314">
        <f ca="1" xml:space="preserve">  IF(AND(Contingency =TRUE,ApplyContingencyPhase14=TRUE), IFERROR(E14LabTotal,0)+IFERROR( E14LabTotal,0)*ContingencyLab, IFERROR(E14LabTotal,0))</f>
        <v>84.187999999999988</v>
      </c>
      <c r="G50" s="1345"/>
      <c r="H50" s="1314">
        <f ca="1" xml:space="preserve">  IF(AND(Contingency =TRUE,ApplyContingencyPhase15=TRUE), IFERROR(E15LabTotal,0)+IFERROR( E15LabTotal,0)*ContingencyLab, IFERROR(E15LabTotal,0))</f>
        <v>84.187999999999988</v>
      </c>
      <c r="I50" s="1345"/>
      <c r="J50" s="35">
        <f ca="1" xml:space="preserve">  IF(AND(Contingency =TRUE,ApplyContingencyPhase16=TRUE), IFERROR(E16LabTotal,0)+IFERROR( E16LabTotal,0)*ContingencyLab, IFERROR(E16LabTotal,0))</f>
        <v>84.187999999999988</v>
      </c>
      <c r="K50" s="35">
        <f ca="1" xml:space="preserve">  IF(AND(Contingency =TRUE,ApplyContingencyPhase17=TRUE), IFERROR(E17LabTotal,0)+IFERROR( E17LabTotal,0)*ContingencyLab, IFERROR(E17LabTotal,0))</f>
        <v>84.187999999999988</v>
      </c>
      <c r="L50" s="35">
        <f ca="1" xml:space="preserve">  IF(AND(Contingency =TRUE,ApplyContingencyPhase18=TRUE), IFERROR(E18LabTotal,0)+IFERROR( E18LabTotal,0)*ContingencyLab, IFERROR(E18LabTotal,0))</f>
        <v>84.187999999999988</v>
      </c>
      <c r="W50" s="900"/>
      <c r="X50" s="900"/>
      <c r="Y50" s="900"/>
      <c r="Z50" s="900"/>
      <c r="AA50" s="900"/>
      <c r="AB50" s="900"/>
      <c r="AC50" s="900"/>
      <c r="AD50" s="900"/>
      <c r="AE50" s="900"/>
      <c r="AF50" s="900"/>
      <c r="AG50" s="900"/>
      <c r="AH50" s="900"/>
      <c r="AI50" s="900"/>
      <c r="AJ50" s="164"/>
    </row>
    <row r="51" spans="1:36" ht="12.75" customHeight="1" x14ac:dyDescent="0.2">
      <c r="A51" s="1331" t="s">
        <v>8</v>
      </c>
      <c r="B51" s="1245"/>
      <c r="C51" s="1244"/>
      <c r="D51" s="487"/>
      <c r="E51" s="508">
        <f ca="1" xml:space="preserve">  IF(AND(Contingency =TRUE,ApplyContingencyPhase13=TRUE), IFERROR(E13SubsTotal,0)+ IFERROR(E13SubsTotal,0)*ContingencySubs, IFERROR(E13SubsTotal,0))</f>
        <v>70.994559999999993</v>
      </c>
      <c r="F51" s="1332">
        <f ca="1" xml:space="preserve">  IF(AND(Contingency =TRUE,ApplyContingencyPhase14=TRUE), IFERROR(E14SubsTotal,0)+ IFERROR(E14SubsTotal,0)*ContingencySubs, IFERROR(E14SubsTotal,0))</f>
        <v>70.994559999999993</v>
      </c>
      <c r="G51" s="1333"/>
      <c r="H51" s="1332" cm="1">
        <f t="array" aca="1" ref="H51" ca="1" xml:space="preserve">  IF(AND(Contingency =TRUE,ApplyContingencyPhase15=TRUE), IFERROR(E15SubsTotal,0)+ IFERROR(E15SubsTotal,0)*ContingencySubs, IFERROR(E15SubsTotal,0))</f>
        <v>70.994559999999993</v>
      </c>
      <c r="I51" s="1333"/>
      <c r="J51" s="35">
        <f ca="1" xml:space="preserve">  IF(AND(Contingency =TRUE,ApplyContingencyPhase16=TRUE), IFERROR(E16SubsTotal,0)+ IFERROR(E16SubsTotal,0)*ContingencySubs, IFERROR(E16SubsTotal,0))</f>
        <v>70.994559999999993</v>
      </c>
      <c r="K51" s="35">
        <f ca="1" xml:space="preserve">  IF(AND(Contingency =TRUE,ApplyContingencyPhase17=TRUE), IFERROR(E17SubsTotal,0)+ IFERROR(E17SubsTotal,0)*ContingencySubs, IFERROR(E17SubsTotal,0))</f>
        <v>70.994559999999993</v>
      </c>
      <c r="L51" s="35">
        <f ca="1" xml:space="preserve">  IF(AND(Contingency =TRUE,ApplyContingencyPhase18=TRUE), IFERROR(E18SubsTotal,0)+ IFERROR(E18SubsTotal,0)*ContingencySubs, IFERROR(E18SubsTotal,0))</f>
        <v>70.994559999999993</v>
      </c>
      <c r="W51" s="900"/>
      <c r="X51" s="900"/>
      <c r="Y51" s="900"/>
      <c r="Z51" s="900"/>
      <c r="AA51" s="900"/>
      <c r="AB51" s="900"/>
      <c r="AC51" s="900"/>
      <c r="AD51" s="900"/>
      <c r="AE51" s="900"/>
      <c r="AF51" s="900"/>
      <c r="AG51" s="900"/>
      <c r="AH51" s="900"/>
      <c r="AI51" s="900"/>
      <c r="AJ51" s="164"/>
    </row>
    <row r="52" spans="1:36" ht="12.75" customHeight="1" thickBot="1" x14ac:dyDescent="0.25">
      <c r="A52" s="1340" t="s">
        <v>6</v>
      </c>
      <c r="B52" s="1341"/>
      <c r="C52" s="1342"/>
      <c r="D52" s="489"/>
      <c r="E52" s="510">
        <f ca="1">SUM(E48:E51)</f>
        <v>24732.489219999996</v>
      </c>
      <c r="F52" s="1343">
        <f ca="1">SUM(F48:F51)</f>
        <v>24509.409220000001</v>
      </c>
      <c r="G52" s="1344"/>
      <c r="H52" s="1343">
        <f ca="1">SUM(H48:H51)</f>
        <v>24732.489219999996</v>
      </c>
      <c r="I52" s="1355"/>
      <c r="J52" s="107">
        <f ca="1">SUM(J48:J51)</f>
        <v>28567.908419999996</v>
      </c>
      <c r="K52" s="107">
        <f ca="1">SUM(K48:K51)</f>
        <v>24793.43922</v>
      </c>
      <c r="L52" s="107">
        <f ca="1">SUM(L48:L51)</f>
        <v>24793.43922</v>
      </c>
      <c r="W52" s="900"/>
      <c r="X52" s="900"/>
      <c r="Y52" s="900"/>
      <c r="Z52" s="900"/>
      <c r="AA52" s="900"/>
      <c r="AB52" s="900"/>
      <c r="AC52" s="900"/>
      <c r="AD52" s="900"/>
      <c r="AE52" s="900"/>
      <c r="AF52" s="900"/>
      <c r="AG52" s="900"/>
      <c r="AH52" s="900"/>
      <c r="AI52" s="900"/>
      <c r="AJ52" s="164"/>
    </row>
    <row r="53" spans="1:36" ht="8.25" customHeight="1" thickTop="1" x14ac:dyDescent="0.2">
      <c r="A53" s="191"/>
      <c r="B53" s="191"/>
      <c r="C53"/>
      <c r="D53" s="1044"/>
      <c r="E53" s="158"/>
      <c r="F53" s="390"/>
      <c r="G53" s="391"/>
      <c r="H53" s="390"/>
      <c r="I53" s="390"/>
      <c r="J53" s="158"/>
      <c r="K53" s="158"/>
      <c r="L53"/>
      <c r="W53" s="900"/>
      <c r="X53" s="900"/>
      <c r="Y53" s="900"/>
      <c r="Z53" s="900"/>
      <c r="AA53" s="900"/>
      <c r="AB53" s="900"/>
      <c r="AC53" s="900"/>
      <c r="AD53" s="900"/>
      <c r="AE53" s="900"/>
      <c r="AF53" s="900"/>
      <c r="AG53" s="900"/>
      <c r="AH53" s="900"/>
      <c r="AI53" s="900"/>
      <c r="AJ53" s="164"/>
    </row>
    <row r="54" spans="1:36" ht="15.75" customHeight="1" x14ac:dyDescent="0.2">
      <c r="A54" s="191"/>
      <c r="B54" s="191"/>
      <c r="C54"/>
      <c r="D54" s="4"/>
      <c r="E54" s="158"/>
      <c r="F54" s="390"/>
      <c r="G54" s="391"/>
      <c r="H54" s="390"/>
      <c r="I54" s="390"/>
      <c r="J54" s="158"/>
      <c r="K54" s="158"/>
      <c r="L54"/>
      <c r="W54" s="900"/>
      <c r="X54" s="900"/>
      <c r="Y54" s="900"/>
      <c r="Z54" s="900"/>
      <c r="AA54" s="900"/>
      <c r="AB54" s="900"/>
      <c r="AC54" s="900"/>
      <c r="AD54" s="900"/>
      <c r="AE54" s="900"/>
      <c r="AF54" s="900"/>
      <c r="AG54" s="900"/>
      <c r="AH54" s="900"/>
      <c r="AI54" s="900"/>
      <c r="AJ54" s="164"/>
    </row>
    <row r="55" spans="1:36" ht="18" customHeight="1" x14ac:dyDescent="0.2">
      <c r="A55" s="191"/>
      <c r="B55" s="191"/>
      <c r="C55"/>
      <c r="D55" s="4"/>
      <c r="E55" s="158"/>
      <c r="F55" s="390"/>
      <c r="G55" s="391"/>
      <c r="H55" s="390"/>
      <c r="I55" s="390"/>
      <c r="J55" s="158"/>
      <c r="K55" s="158"/>
      <c r="L55"/>
      <c r="W55" s="900"/>
      <c r="X55" s="900"/>
      <c r="Y55" s="900"/>
      <c r="Z55" s="900"/>
      <c r="AA55" s="900"/>
      <c r="AB55" s="900"/>
      <c r="AC55" s="900"/>
      <c r="AD55" s="900"/>
      <c r="AE55" s="900"/>
      <c r="AF55" s="900"/>
      <c r="AG55" s="900"/>
      <c r="AH55" s="900"/>
      <c r="AI55" s="900"/>
      <c r="AJ55" s="164"/>
    </row>
    <row r="56" spans="1:36" ht="9" customHeight="1" x14ac:dyDescent="0.2">
      <c r="A56" s="191"/>
      <c r="B56" s="191"/>
      <c r="D56" s="4"/>
      <c r="E56" s="158"/>
      <c r="F56" s="390"/>
      <c r="G56" s="391"/>
      <c r="H56" s="390"/>
      <c r="I56" s="390"/>
      <c r="J56" s="158"/>
      <c r="K56" s="158"/>
      <c r="L56"/>
      <c r="W56" s="900"/>
      <c r="X56" s="900"/>
      <c r="Y56" s="900"/>
      <c r="Z56" s="900"/>
      <c r="AA56" s="900"/>
      <c r="AB56" s="900"/>
      <c r="AC56" s="900"/>
      <c r="AD56" s="900"/>
      <c r="AE56" s="900"/>
      <c r="AF56" s="900"/>
      <c r="AG56" s="900"/>
      <c r="AH56" s="900"/>
      <c r="AI56" s="900"/>
      <c r="AJ56" s="164"/>
    </row>
    <row r="57" spans="1:36" ht="4.5" customHeight="1" thickBot="1" x14ac:dyDescent="0.25">
      <c r="H57" s="158"/>
      <c r="I57" s="158"/>
      <c r="J57"/>
      <c r="L57"/>
      <c r="U57" s="900"/>
      <c r="V57" s="900"/>
      <c r="W57" s="900"/>
      <c r="X57" s="900"/>
      <c r="Y57" s="900"/>
      <c r="Z57" s="900"/>
      <c r="AA57" s="900"/>
      <c r="AB57" s="900"/>
      <c r="AC57" s="900"/>
      <c r="AD57" s="900"/>
      <c r="AE57" s="900"/>
      <c r="AF57" s="900"/>
      <c r="AG57" s="900"/>
      <c r="AH57" s="900"/>
      <c r="AI57" s="900"/>
    </row>
    <row r="58" spans="1:36" ht="18.75" customHeight="1" thickTop="1" x14ac:dyDescent="0.2">
      <c r="A58" s="1318" t="s">
        <v>5</v>
      </c>
      <c r="B58" s="1319"/>
      <c r="C58" s="1320"/>
      <c r="D58" s="1324" t="s">
        <v>6</v>
      </c>
      <c r="E58" s="506" t="str">
        <f>"Phase"&amp;" "&amp;INPUT!B36</f>
        <v>Phase 19</v>
      </c>
      <c r="F58" s="1326" t="str">
        <f>"Phase"&amp;" "&amp;INPUT!B37</f>
        <v>Phase 20</v>
      </c>
      <c r="G58" s="1327"/>
      <c r="H58" s="158"/>
      <c r="I58" s="158"/>
      <c r="J58"/>
      <c r="L58"/>
      <c r="U58" s="900"/>
      <c r="V58" s="900"/>
      <c r="W58" s="900"/>
      <c r="X58" s="900"/>
      <c r="Y58" s="900"/>
      <c r="Z58" s="900"/>
      <c r="AA58" s="900"/>
      <c r="AB58" s="900"/>
      <c r="AC58" s="900"/>
      <c r="AD58" s="900"/>
      <c r="AE58" s="900"/>
      <c r="AF58" s="900"/>
      <c r="AG58" s="900"/>
      <c r="AH58" s="900"/>
      <c r="AI58" s="900"/>
    </row>
    <row r="59" spans="1:36" ht="26.25" customHeight="1" x14ac:dyDescent="0.2">
      <c r="A59" s="1321"/>
      <c r="B59" s="1322"/>
      <c r="C59" s="1323"/>
      <c r="D59" s="1325"/>
      <c r="E59" s="507" t="str">
        <f>IF(Element19&lt;&gt;"", Element19,"")</f>
        <v>Phase Name 19</v>
      </c>
      <c r="F59" s="1329" t="str">
        <f>IF(Element20&lt;&gt;"", Element20,"")</f>
        <v>Phase Name 20</v>
      </c>
      <c r="G59" s="1330"/>
      <c r="H59" s="158"/>
      <c r="I59" s="158"/>
      <c r="J59"/>
      <c r="L59"/>
      <c r="U59" s="900"/>
      <c r="V59" s="900"/>
      <c r="W59" s="900"/>
      <c r="X59" s="900"/>
      <c r="Y59" s="900"/>
      <c r="Z59" s="900"/>
      <c r="AA59" s="900"/>
      <c r="AB59" s="900"/>
      <c r="AC59" s="900"/>
      <c r="AD59" s="900"/>
      <c r="AE59" s="900"/>
      <c r="AF59" s="900"/>
      <c r="AG59" s="900"/>
      <c r="AH59" s="900"/>
      <c r="AI59" s="900"/>
    </row>
    <row r="60" spans="1:36" ht="12.75" customHeight="1" x14ac:dyDescent="0.2">
      <c r="A60" s="1308" t="s">
        <v>360</v>
      </c>
      <c r="B60" s="1309"/>
      <c r="C60" s="1310"/>
      <c r="D60" s="487"/>
      <c r="E60" s="508">
        <f>IF(AND(Contingency =TRUE,ApplyContingencyPhase19=TRUE),IFERROR(E19LaborTotal,0)+IFERROR(E19LaborTotal,0)*ContingencyLabor,IFERROR(E19LaborTotal,0))</f>
        <v>5846.4</v>
      </c>
      <c r="F60" s="1311" cm="1">
        <f t="array" ref="F60">IF(AND(Contingency =TRUE,ApplyContingencyPhase20=TRUE),IFERROR(E20LaborTotal,0)+IFERROR(E20LaborTotal,0)*ContingencyLabor,IFERROR(E20LaborTotal,0))</f>
        <v>2593.1999999999998</v>
      </c>
      <c r="G60" s="1312"/>
      <c r="H60" s="158"/>
      <c r="I60" s="158"/>
      <c r="J60"/>
      <c r="L60"/>
      <c r="U60" s="900"/>
      <c r="V60" s="900"/>
      <c r="W60" s="900"/>
      <c r="X60" s="900"/>
      <c r="Y60" s="900"/>
      <c r="Z60" s="900"/>
      <c r="AA60" s="900"/>
      <c r="AB60" s="900"/>
      <c r="AC60" s="900"/>
      <c r="AD60" s="900"/>
      <c r="AE60" s="900"/>
      <c r="AF60" s="900"/>
      <c r="AG60" s="900"/>
      <c r="AH60" s="900"/>
      <c r="AI60" s="900"/>
    </row>
    <row r="61" spans="1:36" ht="12.75" customHeight="1" x14ac:dyDescent="0.2">
      <c r="A61" s="1313" t="s">
        <v>751</v>
      </c>
      <c r="B61" s="1246"/>
      <c r="C61" s="1339"/>
      <c r="D61" s="487"/>
      <c r="E61" s="1190">
        <f xml:space="preserve"> IF(AND(Contingency =TRUE,ApplyContingencyPhase19=TRUE),+IFERROR(E19CommunicationFee,0)*(1+ContingencyLabor),+IFERROR(E19CommunicationFee,0))</f>
        <v>350.78399999999999</v>
      </c>
      <c r="F61" s="1314" cm="1">
        <f t="array" ref="F61" xml:space="preserve"> IF(AND(Contingency =TRUE,ApplyContingencyPhase20=TRUE),+IFERROR(E20CommunicationFee,0)*(1+ContingencyLabor),+IFERROR(E20CommunicationFee,0))</f>
        <v>155.59199999999998</v>
      </c>
      <c r="G61" s="1315"/>
      <c r="H61" s="158"/>
      <c r="I61" s="158"/>
      <c r="J61"/>
      <c r="L61"/>
      <c r="U61" s="900"/>
      <c r="V61" s="900"/>
      <c r="W61" s="900"/>
      <c r="X61" s="900"/>
      <c r="Y61" s="900"/>
      <c r="Z61" s="900"/>
      <c r="AA61" s="900"/>
      <c r="AB61" s="900"/>
      <c r="AC61" s="900"/>
      <c r="AD61" s="900"/>
      <c r="AE61" s="900"/>
      <c r="AF61" s="900"/>
      <c r="AG61" s="900"/>
      <c r="AH61" s="900"/>
      <c r="AI61" s="900"/>
    </row>
    <row r="62" spans="1:36" ht="12.75" customHeight="1" x14ac:dyDescent="0.2">
      <c r="A62" s="1313" t="s">
        <v>361</v>
      </c>
      <c r="B62" s="1245"/>
      <c r="C62" s="1244"/>
      <c r="D62" s="487"/>
      <c r="E62" s="1190">
        <f ca="1" xml:space="preserve"> IF(AND(Contingency =TRUE,ApplyContingencyPhase19=TRUE), (IFERROR(E19ExpenseTotal,0)+IFERROR(E19TravelTotal,0))+ (IFERROR(E19ExpenseTotal,0)+IFERROR(E19TravelTotal,0))*ContingencyExpense,IFERROR(E19ExpenseTotal,0)+IFERROR(E19TravelTotal,0))</f>
        <v>17966.04264</v>
      </c>
      <c r="F62" s="1314">
        <f ca="1" xml:space="preserve"> IF(AND(Contingency =TRUE,ApplyContingencyPhase20=TRUE), (IFERROR(E20ExpenseTotal,0)+IFERROR(E20TravelTotal,0))+ (IFERROR(E20ExpenseTotal,0)+IFERROR(E20TravelTotal,0))*ContingencyExpense,IFERROR(E20ExpenseTotal,0)+IFERROR(E20TravelTotal,0))</f>
        <v>17641.302640000002</v>
      </c>
      <c r="G62" s="1315"/>
      <c r="H62" s="158"/>
      <c r="I62" s="158"/>
      <c r="J62"/>
      <c r="L62"/>
      <c r="U62" s="900"/>
      <c r="V62" s="900"/>
      <c r="W62" s="900"/>
      <c r="X62" s="900"/>
      <c r="Y62" s="900"/>
      <c r="Z62" s="900"/>
      <c r="AA62" s="900"/>
      <c r="AB62" s="900"/>
      <c r="AC62" s="900"/>
      <c r="AD62" s="900"/>
      <c r="AE62" s="900"/>
      <c r="AF62" s="900"/>
      <c r="AG62" s="900"/>
      <c r="AH62" s="900"/>
      <c r="AI62" s="900"/>
    </row>
    <row r="63" spans="1:36" ht="12.75" customHeight="1" x14ac:dyDescent="0.2">
      <c r="A63" s="1346" t="s">
        <v>814</v>
      </c>
      <c r="B63" s="1347"/>
      <c r="C63" s="1348"/>
      <c r="D63" s="487"/>
      <c r="E63" s="1190">
        <f ca="1">+IFERROR(E19InsuranceFee,0)</f>
        <v>452.21034000000003</v>
      </c>
      <c r="F63" s="1314" cm="1">
        <f t="array" aca="1" ref="F63" ca="1">+IFERROR(E20InsuranceFee,0)</f>
        <v>388.49214000000001</v>
      </c>
      <c r="G63" s="1315"/>
      <c r="H63" s="158"/>
      <c r="I63" s="158"/>
      <c r="J63"/>
      <c r="L63"/>
      <c r="U63" s="900"/>
      <c r="V63" s="900"/>
      <c r="W63" s="900"/>
      <c r="X63" s="900"/>
      <c r="Y63" s="900"/>
      <c r="Z63" s="900"/>
      <c r="AA63" s="900"/>
      <c r="AB63" s="900"/>
      <c r="AC63" s="900"/>
      <c r="AD63" s="900"/>
      <c r="AE63" s="900"/>
      <c r="AF63" s="900"/>
      <c r="AG63" s="900"/>
      <c r="AH63" s="900"/>
      <c r="AI63" s="900"/>
    </row>
    <row r="64" spans="1:36" ht="12.75" customHeight="1" x14ac:dyDescent="0.2">
      <c r="A64" s="1334" t="s">
        <v>362</v>
      </c>
      <c r="B64" s="1335"/>
      <c r="C64" s="1350"/>
      <c r="D64" s="488"/>
      <c r="E64" s="509">
        <f ca="1">SUM(E60:E63)</f>
        <v>24615.436980000002</v>
      </c>
      <c r="F64" s="1356">
        <f t="shared" ref="F64:G64" ca="1" si="4">SUM(F60:F63)</f>
        <v>20778.586780000001</v>
      </c>
      <c r="G64" s="1357">
        <f t="shared" si="4"/>
        <v>0</v>
      </c>
      <c r="H64" s="158"/>
      <c r="I64" s="158"/>
      <c r="J64"/>
      <c r="L64"/>
      <c r="U64" s="900"/>
      <c r="V64" s="900"/>
      <c r="W64" s="900"/>
      <c r="X64" s="900"/>
      <c r="Y64" s="900"/>
      <c r="Z64" s="900"/>
      <c r="AA64" s="900"/>
      <c r="AB64" s="900"/>
      <c r="AC64" s="900"/>
      <c r="AD64" s="900"/>
      <c r="AE64" s="900"/>
      <c r="AF64" s="900"/>
      <c r="AG64" s="900"/>
      <c r="AH64" s="900"/>
      <c r="AI64" s="900"/>
    </row>
    <row r="65" spans="1:36" ht="12.75" customHeight="1" x14ac:dyDescent="0.2">
      <c r="A65" s="1331" t="s">
        <v>88</v>
      </c>
      <c r="B65" s="1244"/>
      <c r="C65" s="1244"/>
      <c r="D65" s="487"/>
      <c r="E65" s="508">
        <f ca="1" xml:space="preserve"> IF(AND(Contingency =TRUE,ApplyContingencyPhase19=TRUE),IFERROR(E19EquipmentTotal,0)+IFERROR(E19EquipmentTotal,0)*ContingencyProcurement,IFERROR(E19EquipmentTotal,0))</f>
        <v>22.819679999999998</v>
      </c>
      <c r="F65" s="1349" cm="1">
        <f t="array" aca="1" ref="F65" ca="1" xml:space="preserve"> IF(AND(Contingency =TRUE,ApplyContingencyPhase20=TRUE),IFERROR(E20EquipmentTotal,0)+IFERROR(E20EquipmentTotal,0)*ContingencyProcurement,IFERROR(E20EquipmentTotal,0))</f>
        <v>22.819679999999998</v>
      </c>
      <c r="G65" s="1315"/>
      <c r="H65" s="158"/>
      <c r="I65" s="158"/>
      <c r="J65"/>
      <c r="L65"/>
      <c r="U65" s="900"/>
      <c r="V65" s="900"/>
      <c r="W65" s="900"/>
      <c r="X65" s="900"/>
      <c r="Y65" s="900"/>
      <c r="Z65" s="900"/>
      <c r="AA65" s="900"/>
      <c r="AB65" s="900"/>
      <c r="AC65" s="900"/>
      <c r="AD65" s="900"/>
      <c r="AE65" s="900"/>
      <c r="AF65" s="900"/>
      <c r="AG65" s="900"/>
      <c r="AH65" s="900"/>
      <c r="AI65" s="900"/>
    </row>
    <row r="66" spans="1:36" ht="12.75" customHeight="1" x14ac:dyDescent="0.2">
      <c r="A66" s="1331" t="s">
        <v>7</v>
      </c>
      <c r="B66" s="1245"/>
      <c r="C66" s="1244"/>
      <c r="D66" s="487"/>
      <c r="E66" s="508">
        <f ca="1" xml:space="preserve">  IF(AND(Contingency =TRUE,ApplyContingencyPhase19=TRUE), IFERROR(E19LabTotal,0)+IFERROR( E19LabTotal,0)*ContingencyLab, IFERROR(E19LabTotal,0))</f>
        <v>84.187999999999988</v>
      </c>
      <c r="F66" s="1314" cm="1">
        <f t="array" aca="1" ref="F66" ca="1" xml:space="preserve">  IF(AND(Contingency =TRUE,ApplyContingencyPhase20=TRUE), IFERROR(E20LabTotal,0)+IFERROR( E20LabTotal,0)*ContingencyLab, IFERROR(E20LabTotal,0))</f>
        <v>84.187999999999988</v>
      </c>
      <c r="G66" s="1345"/>
      <c r="H66" s="158"/>
      <c r="I66" s="158"/>
      <c r="J66"/>
      <c r="L66"/>
      <c r="U66" s="900"/>
      <c r="V66" s="900"/>
      <c r="W66" s="900"/>
      <c r="X66" s="900"/>
      <c r="Y66" s="900"/>
      <c r="Z66" s="900"/>
      <c r="AA66" s="900"/>
      <c r="AB66" s="900"/>
      <c r="AC66" s="900"/>
      <c r="AD66" s="900"/>
      <c r="AE66" s="900"/>
      <c r="AF66" s="900"/>
      <c r="AG66" s="900"/>
      <c r="AH66" s="900"/>
      <c r="AI66" s="900"/>
    </row>
    <row r="67" spans="1:36" ht="12.75" customHeight="1" x14ac:dyDescent="0.2">
      <c r="A67" s="1331" t="s">
        <v>8</v>
      </c>
      <c r="B67" s="1245"/>
      <c r="C67" s="1244"/>
      <c r="D67" s="487"/>
      <c r="E67" s="508">
        <f ca="1" xml:space="preserve">  IF(AND(Contingency =TRUE,ApplyContingencyPhase19=TRUE), IFERROR(E19SubsTotal,0)+ IFERROR(E19SubsTotal,0)*ContingencySubs, IFERROR(E19SubsTotal,0))</f>
        <v>70.994559999999993</v>
      </c>
      <c r="F67" s="1332" cm="1">
        <f t="array" aca="1" ref="F67" ca="1" xml:space="preserve">  IF(AND(Contingency =TRUE,ApplyContingencyPhase20=TRUE), IFERROR(E20SubsTotal,0)+ IFERROR(E20SubsTotal,0)*ContingencySubs, IFERROR(E20SubsTotal,0))</f>
        <v>70.994559999999993</v>
      </c>
      <c r="G67" s="1333"/>
      <c r="H67" s="158"/>
      <c r="I67" s="158"/>
      <c r="J67"/>
      <c r="L67"/>
      <c r="U67" s="900"/>
      <c r="V67" s="900"/>
      <c r="W67" s="900"/>
      <c r="X67" s="900"/>
      <c r="Y67" s="900"/>
      <c r="Z67" s="900"/>
      <c r="AA67" s="900"/>
      <c r="AB67" s="900"/>
      <c r="AC67" s="900"/>
      <c r="AD67" s="900"/>
      <c r="AE67" s="900"/>
      <c r="AF67" s="900"/>
      <c r="AG67" s="900"/>
      <c r="AH67" s="900"/>
      <c r="AI67" s="900"/>
    </row>
    <row r="68" spans="1:36" ht="12.75" customHeight="1" thickBot="1" x14ac:dyDescent="0.25">
      <c r="A68" s="1340" t="s">
        <v>6</v>
      </c>
      <c r="B68" s="1341"/>
      <c r="C68" s="1342"/>
      <c r="D68" s="489"/>
      <c r="E68" s="510">
        <f ca="1">SUM(E64:E67)</f>
        <v>24793.43922</v>
      </c>
      <c r="F68" s="1343">
        <f ca="1">SUM(F64:F67)</f>
        <v>20956.589019999999</v>
      </c>
      <c r="G68" s="1344"/>
      <c r="H68" s="390"/>
      <c r="I68" s="390"/>
      <c r="J68" s="158"/>
      <c r="K68" s="158"/>
      <c r="L68"/>
      <c r="W68" s="900"/>
      <c r="X68" s="900"/>
      <c r="Y68" s="900"/>
      <c r="Z68" s="900"/>
      <c r="AA68" s="900"/>
      <c r="AB68" s="900"/>
      <c r="AC68" s="900"/>
      <c r="AD68" s="900"/>
      <c r="AE68" s="900"/>
      <c r="AF68" s="900"/>
      <c r="AG68" s="900"/>
      <c r="AH68" s="900"/>
      <c r="AI68" s="900"/>
      <c r="AJ68" s="164"/>
    </row>
    <row r="69" spans="1:36" ht="12.75" customHeight="1" thickTop="1" x14ac:dyDescent="0.2">
      <c r="A69" s="191"/>
      <c r="B69" s="191"/>
      <c r="C69"/>
      <c r="D69" s="1044"/>
      <c r="E69" s="158"/>
      <c r="F69" s="390"/>
      <c r="G69" s="391"/>
      <c r="H69" s="390"/>
      <c r="I69" s="390"/>
      <c r="J69" s="158"/>
      <c r="K69" s="158"/>
      <c r="L69"/>
      <c r="W69" s="900"/>
      <c r="X69" s="900"/>
      <c r="Y69" s="900"/>
      <c r="Z69" s="900"/>
      <c r="AA69" s="900"/>
      <c r="AB69" s="900"/>
      <c r="AC69" s="900"/>
      <c r="AD69" s="900"/>
      <c r="AE69" s="900"/>
      <c r="AF69" s="900"/>
      <c r="AG69" s="900"/>
      <c r="AH69" s="900"/>
      <c r="AI69" s="900"/>
      <c r="AJ69" s="164"/>
    </row>
    <row r="70" spans="1:36" ht="36" customHeight="1" x14ac:dyDescent="0.2">
      <c r="D70" s="1"/>
      <c r="K70"/>
      <c r="L70" s="89"/>
      <c r="W70" s="900"/>
      <c r="X70" s="900"/>
      <c r="Y70" s="900"/>
      <c r="Z70" s="900"/>
      <c r="AA70" s="900"/>
      <c r="AB70" s="900"/>
      <c r="AC70" s="900"/>
      <c r="AD70" s="900"/>
      <c r="AE70" s="900"/>
      <c r="AF70" s="900"/>
      <c r="AG70" s="900"/>
    </row>
    <row r="71" spans="1:36" x14ac:dyDescent="0.2">
      <c r="A71" s="1283" t="str">
        <f>IF(Contingency,"Contingency on Labor (%)","")</f>
        <v>Contingency on Labor (%)</v>
      </c>
      <c r="B71" s="1283"/>
      <c r="C71" s="1283"/>
      <c r="D71" s="36">
        <v>0.2</v>
      </c>
    </row>
    <row r="72" spans="1:36" x14ac:dyDescent="0.2">
      <c r="A72" s="1283" t="str">
        <f>IF(Contingency,"Contingency on Expenses (%)","")</f>
        <v>Contingency on Expenses (%)</v>
      </c>
      <c r="B72" s="1283"/>
      <c r="C72" s="1283"/>
      <c r="D72" s="36">
        <v>0.04</v>
      </c>
    </row>
    <row r="73" spans="1:36" x14ac:dyDescent="0.2">
      <c r="A73" s="1283" t="str">
        <f>IF(Contingency,"Contingency on Lab (%)","")</f>
        <v>Contingency on Lab (%)</v>
      </c>
      <c r="B73" s="1283"/>
      <c r="C73" s="1283"/>
      <c r="D73" s="36">
        <v>0.04</v>
      </c>
    </row>
    <row r="74" spans="1:36" x14ac:dyDescent="0.2">
      <c r="A74" s="1283" t="str">
        <f>IF(Contingency,"Contingency on Subs (%)","")</f>
        <v>Contingency on Subs (%)</v>
      </c>
      <c r="B74" s="1283"/>
      <c r="C74" s="1283"/>
      <c r="D74" s="36">
        <v>0.04</v>
      </c>
    </row>
    <row r="75" spans="1:36" x14ac:dyDescent="0.2">
      <c r="A75" s="1283" t="str">
        <f>IF(Contingency,"Contingency on Procurement (%)","")</f>
        <v>Contingency on Procurement (%)</v>
      </c>
      <c r="B75" s="1283"/>
      <c r="C75" s="1283"/>
      <c r="D75" s="36">
        <v>0.04</v>
      </c>
    </row>
    <row r="76" spans="1:36" x14ac:dyDescent="0.2">
      <c r="D76" s="1"/>
    </row>
    <row r="77" spans="1:36" x14ac:dyDescent="0.2">
      <c r="D77" s="1"/>
    </row>
  </sheetData>
  <sheetProtection algorithmName="SHA-512" hashValue="hEVBAKOfMoXGuKWeqiLW3R/VvMZyCTahzxH5m8O3EfIcHCakeUjUs2CYWTODB88JW+DkLyEyG2fQZ1w0z6Z9Jw==" saltValue="VNpesDqSKMBV4k786ZhQlw==" spinCount="100000" sheet="1" objects="1" scenarios="1"/>
  <protectedRanges>
    <protectedRange sqref="E26:L26" name="ContingencyPhase7 to Phase12"/>
    <protectedRange sqref="E39:L39" name="IncludePhase13 To Phase18"/>
    <protectedRange sqref="E40:L240" name="ContingencyPhase13 to Phase18"/>
    <protectedRange sqref="D71:D75" name="ContingencyValue"/>
    <protectedRange sqref="E12:L12" name="ContingencyPhase1 to Phase6"/>
    <protectedRange sqref="K25:L25" name="IncludePhase11 to Phase 12"/>
    <protectedRange sqref="E54:F54" name="Include19 to Phase20"/>
    <protectedRange sqref="E55:F55" name="ContingencyPhase19 To 20"/>
  </protectedRanges>
  <dataConsolidate/>
  <mergeCells count="132">
    <mergeCell ref="H52:I52"/>
    <mergeCell ref="A67:C67"/>
    <mergeCell ref="F67:G67"/>
    <mergeCell ref="A68:C68"/>
    <mergeCell ref="F68:G68"/>
    <mergeCell ref="F66:G66"/>
    <mergeCell ref="A66:C66"/>
    <mergeCell ref="A50:C50"/>
    <mergeCell ref="F50:G50"/>
    <mergeCell ref="H50:I50"/>
    <mergeCell ref="A51:C51"/>
    <mergeCell ref="F51:G51"/>
    <mergeCell ref="H51:I51"/>
    <mergeCell ref="F63:G63"/>
    <mergeCell ref="F64:G64"/>
    <mergeCell ref="F65:G65"/>
    <mergeCell ref="A58:C59"/>
    <mergeCell ref="D58:D59"/>
    <mergeCell ref="A60:C60"/>
    <mergeCell ref="A61:C61"/>
    <mergeCell ref="A62:C62"/>
    <mergeCell ref="A63:C63"/>
    <mergeCell ref="A64:C64"/>
    <mergeCell ref="A65:C65"/>
    <mergeCell ref="F58:G58"/>
    <mergeCell ref="F59:G59"/>
    <mergeCell ref="F60:G60"/>
    <mergeCell ref="F61:G61"/>
    <mergeCell ref="F62:G62"/>
    <mergeCell ref="A52:C52"/>
    <mergeCell ref="F52:G52"/>
    <mergeCell ref="A48:C48"/>
    <mergeCell ref="F48:G48"/>
    <mergeCell ref="H48:I48"/>
    <mergeCell ref="A49:C49"/>
    <mergeCell ref="F49:G49"/>
    <mergeCell ref="H49:I49"/>
    <mergeCell ref="A46:C46"/>
    <mergeCell ref="F46:G46"/>
    <mergeCell ref="H46:I46"/>
    <mergeCell ref="A47:C47"/>
    <mergeCell ref="F47:G47"/>
    <mergeCell ref="H47:I47"/>
    <mergeCell ref="A44:C44"/>
    <mergeCell ref="F44:G44"/>
    <mergeCell ref="H44:I44"/>
    <mergeCell ref="A45:C45"/>
    <mergeCell ref="F45:G45"/>
    <mergeCell ref="H45:I45"/>
    <mergeCell ref="A42:C43"/>
    <mergeCell ref="D42:D43"/>
    <mergeCell ref="F42:G42"/>
    <mergeCell ref="H42:I42"/>
    <mergeCell ref="F43:G43"/>
    <mergeCell ref="H43:I43"/>
    <mergeCell ref="F18:G18"/>
    <mergeCell ref="F32:G32"/>
    <mergeCell ref="H32:I32"/>
    <mergeCell ref="H18:I18"/>
    <mergeCell ref="A74:C74"/>
    <mergeCell ref="H37:I37"/>
    <mergeCell ref="F35:G35"/>
    <mergeCell ref="H35:I35"/>
    <mergeCell ref="A36:C36"/>
    <mergeCell ref="F36:G36"/>
    <mergeCell ref="H36:I36"/>
    <mergeCell ref="H34:I34"/>
    <mergeCell ref="A29:C29"/>
    <mergeCell ref="F29:G29"/>
    <mergeCell ref="H29:I29"/>
    <mergeCell ref="A31:C31"/>
    <mergeCell ref="H23:I23"/>
    <mergeCell ref="H27:I27"/>
    <mergeCell ref="H28:I28"/>
    <mergeCell ref="H31:I31"/>
    <mergeCell ref="H30:I30"/>
    <mergeCell ref="F33:G33"/>
    <mergeCell ref="H33:I33"/>
    <mergeCell ref="H21:I21"/>
    <mergeCell ref="A75:C75"/>
    <mergeCell ref="A16:C16"/>
    <mergeCell ref="A30:C30"/>
    <mergeCell ref="F30:G30"/>
    <mergeCell ref="A71:C71"/>
    <mergeCell ref="A72:C72"/>
    <mergeCell ref="A73:C73"/>
    <mergeCell ref="F34:G34"/>
    <mergeCell ref="A23:C23"/>
    <mergeCell ref="F23:G23"/>
    <mergeCell ref="A21:C21"/>
    <mergeCell ref="F21:G21"/>
    <mergeCell ref="A37:C37"/>
    <mergeCell ref="F37:G37"/>
    <mergeCell ref="A18:C18"/>
    <mergeCell ref="A35:C35"/>
    <mergeCell ref="A34:C34"/>
    <mergeCell ref="A32:C32"/>
    <mergeCell ref="A27:C28"/>
    <mergeCell ref="D27:D28"/>
    <mergeCell ref="F27:G27"/>
    <mergeCell ref="F28:G28"/>
    <mergeCell ref="F31:G31"/>
    <mergeCell ref="A33:C33"/>
    <mergeCell ref="A22:C22"/>
    <mergeCell ref="F22:G22"/>
    <mergeCell ref="H22:I22"/>
    <mergeCell ref="A19:C19"/>
    <mergeCell ref="F19:G19"/>
    <mergeCell ref="H19:I19"/>
    <mergeCell ref="A20:C20"/>
    <mergeCell ref="F20:G20"/>
    <mergeCell ref="H20:I20"/>
    <mergeCell ref="A17:C17"/>
    <mergeCell ref="F17:G17"/>
    <mergeCell ref="H17:I17"/>
    <mergeCell ref="F16:G16"/>
    <mergeCell ref="H16:I16"/>
    <mergeCell ref="A13:C14"/>
    <mergeCell ref="D13:D14"/>
    <mergeCell ref="F13:G13"/>
    <mergeCell ref="H13:I13"/>
    <mergeCell ref="F14:G14"/>
    <mergeCell ref="H14:I14"/>
    <mergeCell ref="B3:E3"/>
    <mergeCell ref="B8:E8"/>
    <mergeCell ref="A7:E7"/>
    <mergeCell ref="B6:E6"/>
    <mergeCell ref="B4:E4"/>
    <mergeCell ref="B5:E5"/>
    <mergeCell ref="A15:C15"/>
    <mergeCell ref="F15:G15"/>
    <mergeCell ref="H15:I15"/>
  </mergeCells>
  <conditionalFormatting sqref="D71:D75">
    <cfRule type="expression" dxfId="664" priority="6" stopIfTrue="1">
      <formula>Contingency=TRUE</formula>
    </cfRule>
  </conditionalFormatting>
  <printOptions horizontalCentered="1"/>
  <pageMargins left="0.25" right="0.25" top="0.75" bottom="0.75" header="0.3" footer="0.3"/>
  <pageSetup scale="37" orientation="landscape" r:id="rId1"/>
  <headerFooter alignWithMargins="0">
    <oddFooter xml:space="preserve">&amp;R&amp;6&amp;Z&amp;F   &amp;D
&amp;7© 2016 TRC   All rights reserved. </oddFooter>
  </headerFooter>
  <drawing r:id="rId2"/>
  <legacyDrawing r:id="rId3"/>
  <controls>
    <mc:AlternateContent xmlns:mc="http://schemas.openxmlformats.org/markup-compatibility/2006">
      <mc:Choice Requires="x14">
        <control shapeId="45103" r:id="rId4" name="chbInclude13">
          <controlPr defaultSize="0" autoLine="0" linkedCell="Include13" r:id="rId5">
            <anchor moveWithCells="1">
              <from>
                <xdr:col>4</xdr:col>
                <xdr:colOff>47625</xdr:colOff>
                <xdr:row>37</xdr:row>
                <xdr:rowOff>95250</xdr:rowOff>
              </from>
              <to>
                <xdr:col>4</xdr:col>
                <xdr:colOff>1095375</xdr:colOff>
                <xdr:row>38</xdr:row>
                <xdr:rowOff>190500</xdr:rowOff>
              </to>
            </anchor>
          </controlPr>
        </control>
      </mc:Choice>
      <mc:Fallback>
        <control shapeId="45103" r:id="rId4" name="chbInclude13"/>
      </mc:Fallback>
    </mc:AlternateContent>
    <mc:AlternateContent xmlns:mc="http://schemas.openxmlformats.org/markup-compatibility/2006">
      <mc:Choice Requires="x14">
        <control shapeId="45102" r:id="rId6" name="chkApplyContingencyPhase20">
          <controlPr defaultSize="0" autoLine="0" linkedCell="ApplyContingencyPhase20" r:id="rId7">
            <anchor moveWithCells="1">
              <from>
                <xdr:col>5</xdr:col>
                <xdr:colOff>38100</xdr:colOff>
                <xdr:row>54</xdr:row>
                <xdr:rowOff>19050</xdr:rowOff>
              </from>
              <to>
                <xdr:col>7</xdr:col>
                <xdr:colOff>19050</xdr:colOff>
                <xdr:row>55</xdr:row>
                <xdr:rowOff>38100</xdr:rowOff>
              </to>
            </anchor>
          </controlPr>
        </control>
      </mc:Choice>
      <mc:Fallback>
        <control shapeId="45102" r:id="rId6" name="chkApplyContingencyPhase20"/>
      </mc:Fallback>
    </mc:AlternateContent>
    <mc:AlternateContent xmlns:mc="http://schemas.openxmlformats.org/markup-compatibility/2006">
      <mc:Choice Requires="x14">
        <control shapeId="45101" r:id="rId8" name="chkApplyContingencyPhase19">
          <controlPr defaultSize="0" autoLine="0" linkedCell="ApplyContingencyPhase19" r:id="rId9">
            <anchor moveWithCells="1">
              <from>
                <xdr:col>4</xdr:col>
                <xdr:colOff>38100</xdr:colOff>
                <xdr:row>54</xdr:row>
                <xdr:rowOff>19050</xdr:rowOff>
              </from>
              <to>
                <xdr:col>4</xdr:col>
                <xdr:colOff>1247775</xdr:colOff>
                <xdr:row>55</xdr:row>
                <xdr:rowOff>38100</xdr:rowOff>
              </to>
            </anchor>
          </controlPr>
        </control>
      </mc:Choice>
      <mc:Fallback>
        <control shapeId="45101" r:id="rId8" name="chkApplyContingencyPhase19"/>
      </mc:Fallback>
    </mc:AlternateContent>
    <mc:AlternateContent xmlns:mc="http://schemas.openxmlformats.org/markup-compatibility/2006">
      <mc:Choice Requires="x14">
        <control shapeId="45100" r:id="rId10" name="chkApplyContingencyPhase18">
          <controlPr defaultSize="0" autoLine="0" linkedCell="ApplyContingencyPhase18" r:id="rId11">
            <anchor moveWithCells="1">
              <from>
                <xdr:col>11</xdr:col>
                <xdr:colOff>38100</xdr:colOff>
                <xdr:row>39</xdr:row>
                <xdr:rowOff>19050</xdr:rowOff>
              </from>
              <to>
                <xdr:col>12</xdr:col>
                <xdr:colOff>0</xdr:colOff>
                <xdr:row>40</xdr:row>
                <xdr:rowOff>9525</xdr:rowOff>
              </to>
            </anchor>
          </controlPr>
        </control>
      </mc:Choice>
      <mc:Fallback>
        <control shapeId="45100" r:id="rId10" name="chkApplyContingencyPhase18"/>
      </mc:Fallback>
    </mc:AlternateContent>
    <mc:AlternateContent xmlns:mc="http://schemas.openxmlformats.org/markup-compatibility/2006">
      <mc:Choice Requires="x14">
        <control shapeId="45099" r:id="rId12" name="chkApplyContingencyPhase17">
          <controlPr defaultSize="0" autoLine="0" linkedCell="ApplyContingencyPhase17" r:id="rId13">
            <anchor moveWithCells="1">
              <from>
                <xdr:col>10</xdr:col>
                <xdr:colOff>38100</xdr:colOff>
                <xdr:row>39</xdr:row>
                <xdr:rowOff>19050</xdr:rowOff>
              </from>
              <to>
                <xdr:col>11</xdr:col>
                <xdr:colOff>0</xdr:colOff>
                <xdr:row>40</xdr:row>
                <xdr:rowOff>9525</xdr:rowOff>
              </to>
            </anchor>
          </controlPr>
        </control>
      </mc:Choice>
      <mc:Fallback>
        <control shapeId="45099" r:id="rId12" name="chkApplyContingencyPhase17"/>
      </mc:Fallback>
    </mc:AlternateContent>
    <mc:AlternateContent xmlns:mc="http://schemas.openxmlformats.org/markup-compatibility/2006">
      <mc:Choice Requires="x14">
        <control shapeId="45098" r:id="rId14" name="ApplyContingencyPhase16">
          <controlPr defaultSize="0" autoLine="0" linkedCell="ApplyContingencyPhase16" r:id="rId15">
            <anchor moveWithCells="1">
              <from>
                <xdr:col>9</xdr:col>
                <xdr:colOff>38100</xdr:colOff>
                <xdr:row>39</xdr:row>
                <xdr:rowOff>19050</xdr:rowOff>
              </from>
              <to>
                <xdr:col>10</xdr:col>
                <xdr:colOff>0</xdr:colOff>
                <xdr:row>40</xdr:row>
                <xdr:rowOff>9525</xdr:rowOff>
              </to>
            </anchor>
          </controlPr>
        </control>
      </mc:Choice>
      <mc:Fallback>
        <control shapeId="45098" r:id="rId14" name="ApplyContingencyPhase16"/>
      </mc:Fallback>
    </mc:AlternateContent>
    <mc:AlternateContent xmlns:mc="http://schemas.openxmlformats.org/markup-compatibility/2006">
      <mc:Choice Requires="x14">
        <control shapeId="45097" r:id="rId16" name="chkApplyContingencyPhase15">
          <controlPr defaultSize="0" autoLine="0" linkedCell="ApplyContingencyPhase15" r:id="rId17">
            <anchor moveWithCells="1">
              <from>
                <xdr:col>7</xdr:col>
                <xdr:colOff>38100</xdr:colOff>
                <xdr:row>39</xdr:row>
                <xdr:rowOff>19050</xdr:rowOff>
              </from>
              <to>
                <xdr:col>8</xdr:col>
                <xdr:colOff>228600</xdr:colOff>
                <xdr:row>40</xdr:row>
                <xdr:rowOff>9525</xdr:rowOff>
              </to>
            </anchor>
          </controlPr>
        </control>
      </mc:Choice>
      <mc:Fallback>
        <control shapeId="45097" r:id="rId16" name="chkApplyContingencyPhase15"/>
      </mc:Fallback>
    </mc:AlternateContent>
    <mc:AlternateContent xmlns:mc="http://schemas.openxmlformats.org/markup-compatibility/2006">
      <mc:Choice Requires="x14">
        <control shapeId="45096" r:id="rId18" name="chkApplyContingencyPhase14">
          <controlPr defaultSize="0" autoLine="0" linkedCell="ApplyContingencyPhase14" r:id="rId19">
            <anchor moveWithCells="1">
              <from>
                <xdr:col>5</xdr:col>
                <xdr:colOff>38100</xdr:colOff>
                <xdr:row>39</xdr:row>
                <xdr:rowOff>19050</xdr:rowOff>
              </from>
              <to>
                <xdr:col>7</xdr:col>
                <xdr:colOff>19050</xdr:colOff>
                <xdr:row>40</xdr:row>
                <xdr:rowOff>9525</xdr:rowOff>
              </to>
            </anchor>
          </controlPr>
        </control>
      </mc:Choice>
      <mc:Fallback>
        <control shapeId="45096" r:id="rId18" name="chkApplyContingencyPhase14"/>
      </mc:Fallback>
    </mc:AlternateContent>
    <mc:AlternateContent xmlns:mc="http://schemas.openxmlformats.org/markup-compatibility/2006">
      <mc:Choice Requires="x14">
        <control shapeId="45095" r:id="rId20" name="chkApplyContingencyPhase13">
          <controlPr defaultSize="0" autoLine="0" linkedCell="ApplyContingencyPhase13" r:id="rId21">
            <anchor moveWithCells="1">
              <from>
                <xdr:col>4</xdr:col>
                <xdr:colOff>38100</xdr:colOff>
                <xdr:row>39</xdr:row>
                <xdr:rowOff>19050</xdr:rowOff>
              </from>
              <to>
                <xdr:col>4</xdr:col>
                <xdr:colOff>1247775</xdr:colOff>
                <xdr:row>40</xdr:row>
                <xdr:rowOff>9525</xdr:rowOff>
              </to>
            </anchor>
          </controlPr>
        </control>
      </mc:Choice>
      <mc:Fallback>
        <control shapeId="45095" r:id="rId20" name="chkApplyContingencyPhase13"/>
      </mc:Fallback>
    </mc:AlternateContent>
    <mc:AlternateContent xmlns:mc="http://schemas.openxmlformats.org/markup-compatibility/2006">
      <mc:Choice Requires="x14">
        <control shapeId="45089" r:id="rId22" name="chkInclude11">
          <controlPr defaultSize="0" autoLine="0" linkedCell="Include11" r:id="rId23">
            <anchor moveWithCells="1">
              <from>
                <xdr:col>10</xdr:col>
                <xdr:colOff>57150</xdr:colOff>
                <xdr:row>24</xdr:row>
                <xdr:rowOff>19050</xdr:rowOff>
              </from>
              <to>
                <xdr:col>10</xdr:col>
                <xdr:colOff>1104900</xdr:colOff>
                <xdr:row>25</xdr:row>
                <xdr:rowOff>47625</xdr:rowOff>
              </to>
            </anchor>
          </controlPr>
        </control>
      </mc:Choice>
      <mc:Fallback>
        <control shapeId="45089" r:id="rId22" name="chkInclude11"/>
      </mc:Fallback>
    </mc:AlternateContent>
    <mc:AlternateContent xmlns:mc="http://schemas.openxmlformats.org/markup-compatibility/2006">
      <mc:Choice Requires="x14">
        <control shapeId="45088" r:id="rId24" name="chkInclude12">
          <controlPr defaultSize="0" autoLine="0" linkedCell="Include12" r:id="rId25">
            <anchor moveWithCells="1">
              <from>
                <xdr:col>11</xdr:col>
                <xdr:colOff>57150</xdr:colOff>
                <xdr:row>24</xdr:row>
                <xdr:rowOff>19050</xdr:rowOff>
              </from>
              <to>
                <xdr:col>11</xdr:col>
                <xdr:colOff>1104900</xdr:colOff>
                <xdr:row>25</xdr:row>
                <xdr:rowOff>47625</xdr:rowOff>
              </to>
            </anchor>
          </controlPr>
        </control>
      </mc:Choice>
      <mc:Fallback>
        <control shapeId="45088" r:id="rId24" name="chkInclude12"/>
      </mc:Fallback>
    </mc:AlternateContent>
    <mc:AlternateContent xmlns:mc="http://schemas.openxmlformats.org/markup-compatibility/2006">
      <mc:Choice Requires="x14">
        <control shapeId="45087" r:id="rId26" name="chkApplyContingencyPhase12">
          <controlPr defaultSize="0" autoLine="0" linkedCell="ApplyContingencyPhase12" r:id="rId27">
            <anchor moveWithCells="1">
              <from>
                <xdr:col>11</xdr:col>
                <xdr:colOff>38100</xdr:colOff>
                <xdr:row>25</xdr:row>
                <xdr:rowOff>19050</xdr:rowOff>
              </from>
              <to>
                <xdr:col>12</xdr:col>
                <xdr:colOff>0</xdr:colOff>
                <xdr:row>25</xdr:row>
                <xdr:rowOff>266700</xdr:rowOff>
              </to>
            </anchor>
          </controlPr>
        </control>
      </mc:Choice>
      <mc:Fallback>
        <control shapeId="45087" r:id="rId26" name="chkApplyContingencyPhase12"/>
      </mc:Fallback>
    </mc:AlternateContent>
    <mc:AlternateContent xmlns:mc="http://schemas.openxmlformats.org/markup-compatibility/2006">
      <mc:Choice Requires="x14">
        <control shapeId="45086" r:id="rId28" name="chkApplyContingencyPhase11">
          <controlPr defaultSize="0" autoLine="0" linkedCell="ApplyContingencyPhase11" r:id="rId29">
            <anchor moveWithCells="1">
              <from>
                <xdr:col>10</xdr:col>
                <xdr:colOff>38100</xdr:colOff>
                <xdr:row>25</xdr:row>
                <xdr:rowOff>19050</xdr:rowOff>
              </from>
              <to>
                <xdr:col>11</xdr:col>
                <xdr:colOff>0</xdr:colOff>
                <xdr:row>25</xdr:row>
                <xdr:rowOff>266700</xdr:rowOff>
              </to>
            </anchor>
          </controlPr>
        </control>
      </mc:Choice>
      <mc:Fallback>
        <control shapeId="45086" r:id="rId28" name="chkApplyContingencyPhase11"/>
      </mc:Fallback>
    </mc:AlternateContent>
    <mc:AlternateContent xmlns:mc="http://schemas.openxmlformats.org/markup-compatibility/2006">
      <mc:Choice Requires="x14">
        <control shapeId="45085" r:id="rId30" name="chkApplyContingencyPhase10">
          <controlPr defaultSize="0" autoLine="0" linkedCell="ApplyContingencyPhase10" r:id="rId31">
            <anchor moveWithCells="1">
              <from>
                <xdr:col>9</xdr:col>
                <xdr:colOff>38100</xdr:colOff>
                <xdr:row>25</xdr:row>
                <xdr:rowOff>19050</xdr:rowOff>
              </from>
              <to>
                <xdr:col>10</xdr:col>
                <xdr:colOff>0</xdr:colOff>
                <xdr:row>25</xdr:row>
                <xdr:rowOff>266700</xdr:rowOff>
              </to>
            </anchor>
          </controlPr>
        </control>
      </mc:Choice>
      <mc:Fallback>
        <control shapeId="45085" r:id="rId30" name="chkApplyContingencyPhase10"/>
      </mc:Fallback>
    </mc:AlternateContent>
    <mc:AlternateContent xmlns:mc="http://schemas.openxmlformats.org/markup-compatibility/2006">
      <mc:Choice Requires="x14">
        <control shapeId="45084" r:id="rId32" name="chkApplyContingencyPhase9">
          <controlPr defaultSize="0" autoLine="0" linkedCell="ApplyContingencyPhase9" r:id="rId33">
            <anchor moveWithCells="1">
              <from>
                <xdr:col>7</xdr:col>
                <xdr:colOff>38100</xdr:colOff>
                <xdr:row>25</xdr:row>
                <xdr:rowOff>19050</xdr:rowOff>
              </from>
              <to>
                <xdr:col>8</xdr:col>
                <xdr:colOff>228600</xdr:colOff>
                <xdr:row>25</xdr:row>
                <xdr:rowOff>266700</xdr:rowOff>
              </to>
            </anchor>
          </controlPr>
        </control>
      </mc:Choice>
      <mc:Fallback>
        <control shapeId="45084" r:id="rId32" name="chkApplyContingencyPhase9"/>
      </mc:Fallback>
    </mc:AlternateContent>
    <mc:AlternateContent xmlns:mc="http://schemas.openxmlformats.org/markup-compatibility/2006">
      <mc:Choice Requires="x14">
        <control shapeId="45083" r:id="rId34" name="chkApplyContingencyPhase8">
          <controlPr defaultSize="0" autoLine="0" linkedCell="ApplyContingencyPhase8" r:id="rId35">
            <anchor moveWithCells="1">
              <from>
                <xdr:col>5</xdr:col>
                <xdr:colOff>38100</xdr:colOff>
                <xdr:row>25</xdr:row>
                <xdr:rowOff>19050</xdr:rowOff>
              </from>
              <to>
                <xdr:col>7</xdr:col>
                <xdr:colOff>19050</xdr:colOff>
                <xdr:row>25</xdr:row>
                <xdr:rowOff>266700</xdr:rowOff>
              </to>
            </anchor>
          </controlPr>
        </control>
      </mc:Choice>
      <mc:Fallback>
        <control shapeId="45083" r:id="rId34" name="chkApplyContingencyPhase8"/>
      </mc:Fallback>
    </mc:AlternateContent>
    <mc:AlternateContent xmlns:mc="http://schemas.openxmlformats.org/markup-compatibility/2006">
      <mc:Choice Requires="x14">
        <control shapeId="45082" r:id="rId36" name="chkApplyContingencyPhase7">
          <controlPr defaultSize="0" autoLine="0" linkedCell="ApplyContingencyPhase7" r:id="rId37">
            <anchor moveWithCells="1">
              <from>
                <xdr:col>4</xdr:col>
                <xdr:colOff>38100</xdr:colOff>
                <xdr:row>25</xdr:row>
                <xdr:rowOff>19050</xdr:rowOff>
              </from>
              <to>
                <xdr:col>4</xdr:col>
                <xdr:colOff>1247775</xdr:colOff>
                <xdr:row>25</xdr:row>
                <xdr:rowOff>266700</xdr:rowOff>
              </to>
            </anchor>
          </controlPr>
        </control>
      </mc:Choice>
      <mc:Fallback>
        <control shapeId="45082" r:id="rId36" name="chkApplyContingencyPhase7"/>
      </mc:Fallback>
    </mc:AlternateContent>
    <mc:AlternateContent xmlns:mc="http://schemas.openxmlformats.org/markup-compatibility/2006">
      <mc:Choice Requires="x14">
        <control shapeId="45081" r:id="rId38" name="chkApplyContingencyPhase6">
          <controlPr defaultSize="0" autoLine="0" linkedCell="ApplyContingencyPhase6" r:id="rId39">
            <anchor moveWithCells="1">
              <from>
                <xdr:col>11</xdr:col>
                <xdr:colOff>38100</xdr:colOff>
                <xdr:row>11</xdr:row>
                <xdr:rowOff>19050</xdr:rowOff>
              </from>
              <to>
                <xdr:col>12</xdr:col>
                <xdr:colOff>0</xdr:colOff>
                <xdr:row>11</xdr:row>
                <xdr:rowOff>266700</xdr:rowOff>
              </to>
            </anchor>
          </controlPr>
        </control>
      </mc:Choice>
      <mc:Fallback>
        <control shapeId="45081" r:id="rId38" name="chkApplyContingencyPhase6"/>
      </mc:Fallback>
    </mc:AlternateContent>
    <mc:AlternateContent xmlns:mc="http://schemas.openxmlformats.org/markup-compatibility/2006">
      <mc:Choice Requires="x14">
        <control shapeId="45080" r:id="rId40" name="chkApplyContingencyPhase5">
          <controlPr defaultSize="0" autoLine="0" linkedCell="ApplyContingencyPhase5" r:id="rId41">
            <anchor moveWithCells="1">
              <from>
                <xdr:col>10</xdr:col>
                <xdr:colOff>38100</xdr:colOff>
                <xdr:row>11</xdr:row>
                <xdr:rowOff>19050</xdr:rowOff>
              </from>
              <to>
                <xdr:col>11</xdr:col>
                <xdr:colOff>0</xdr:colOff>
                <xdr:row>11</xdr:row>
                <xdr:rowOff>266700</xdr:rowOff>
              </to>
            </anchor>
          </controlPr>
        </control>
      </mc:Choice>
      <mc:Fallback>
        <control shapeId="45080" r:id="rId40" name="chkApplyContingencyPhase5"/>
      </mc:Fallback>
    </mc:AlternateContent>
    <mc:AlternateContent xmlns:mc="http://schemas.openxmlformats.org/markup-compatibility/2006">
      <mc:Choice Requires="x14">
        <control shapeId="45079" r:id="rId42" name="chkApplyContingencyPhase4">
          <controlPr defaultSize="0" autoLine="0" linkedCell="ApplyContingencyPhase4" r:id="rId43">
            <anchor moveWithCells="1">
              <from>
                <xdr:col>9</xdr:col>
                <xdr:colOff>38100</xdr:colOff>
                <xdr:row>11</xdr:row>
                <xdr:rowOff>19050</xdr:rowOff>
              </from>
              <to>
                <xdr:col>10</xdr:col>
                <xdr:colOff>0</xdr:colOff>
                <xdr:row>11</xdr:row>
                <xdr:rowOff>266700</xdr:rowOff>
              </to>
            </anchor>
          </controlPr>
        </control>
      </mc:Choice>
      <mc:Fallback>
        <control shapeId="45079" r:id="rId42" name="chkApplyContingencyPhase4"/>
      </mc:Fallback>
    </mc:AlternateContent>
    <mc:AlternateContent xmlns:mc="http://schemas.openxmlformats.org/markup-compatibility/2006">
      <mc:Choice Requires="x14">
        <control shapeId="45078" r:id="rId44" name="chkApplyContingencyPhase3">
          <controlPr defaultSize="0" autoLine="0" linkedCell="ApplyContingencyPhase3" r:id="rId45">
            <anchor moveWithCells="1">
              <from>
                <xdr:col>7</xdr:col>
                <xdr:colOff>38100</xdr:colOff>
                <xdr:row>11</xdr:row>
                <xdr:rowOff>19050</xdr:rowOff>
              </from>
              <to>
                <xdr:col>8</xdr:col>
                <xdr:colOff>228600</xdr:colOff>
                <xdr:row>11</xdr:row>
                <xdr:rowOff>266700</xdr:rowOff>
              </to>
            </anchor>
          </controlPr>
        </control>
      </mc:Choice>
      <mc:Fallback>
        <control shapeId="45078" r:id="rId44" name="chkApplyContingencyPhase3"/>
      </mc:Fallback>
    </mc:AlternateContent>
    <mc:AlternateContent xmlns:mc="http://schemas.openxmlformats.org/markup-compatibility/2006">
      <mc:Choice Requires="x14">
        <control shapeId="45077" r:id="rId46" name="ChkApplyContingencyPhase2">
          <controlPr defaultSize="0" autoLine="0" linkedCell="ApplyContingencyPhase2" r:id="rId47">
            <anchor moveWithCells="1">
              <from>
                <xdr:col>5</xdr:col>
                <xdr:colOff>38100</xdr:colOff>
                <xdr:row>11</xdr:row>
                <xdr:rowOff>19050</xdr:rowOff>
              </from>
              <to>
                <xdr:col>7</xdr:col>
                <xdr:colOff>19050</xdr:colOff>
                <xdr:row>11</xdr:row>
                <xdr:rowOff>266700</xdr:rowOff>
              </to>
            </anchor>
          </controlPr>
        </control>
      </mc:Choice>
      <mc:Fallback>
        <control shapeId="45077" r:id="rId46" name="ChkApplyContingencyPhase2"/>
      </mc:Fallback>
    </mc:AlternateContent>
    <mc:AlternateContent xmlns:mc="http://schemas.openxmlformats.org/markup-compatibility/2006">
      <mc:Choice Requires="x14">
        <control shapeId="45076" r:id="rId48" name="chkApplyContingencyPhase1">
          <controlPr defaultSize="0" autoLine="0" linkedCell="ApplyContingencyPhase1" r:id="rId49">
            <anchor moveWithCells="1">
              <from>
                <xdr:col>4</xdr:col>
                <xdr:colOff>38100</xdr:colOff>
                <xdr:row>11</xdr:row>
                <xdr:rowOff>19050</xdr:rowOff>
              </from>
              <to>
                <xdr:col>4</xdr:col>
                <xdr:colOff>1247775</xdr:colOff>
                <xdr:row>11</xdr:row>
                <xdr:rowOff>266700</xdr:rowOff>
              </to>
            </anchor>
          </controlPr>
        </control>
      </mc:Choice>
      <mc:Fallback>
        <control shapeId="45076" r:id="rId48" name="chkApplyContingencyPhase1"/>
      </mc:Fallback>
    </mc:AlternateContent>
    <mc:AlternateContent xmlns:mc="http://schemas.openxmlformats.org/markup-compatibility/2006">
      <mc:Choice Requires="x14">
        <control shapeId="45068" r:id="rId50" name="chkInclude10">
          <controlPr defaultSize="0" autoLine="0" linkedCell="Include10" r:id="rId51">
            <anchor moveWithCells="1">
              <from>
                <xdr:col>9</xdr:col>
                <xdr:colOff>57150</xdr:colOff>
                <xdr:row>24</xdr:row>
                <xdr:rowOff>19050</xdr:rowOff>
              </from>
              <to>
                <xdr:col>9</xdr:col>
                <xdr:colOff>1104900</xdr:colOff>
                <xdr:row>25</xdr:row>
                <xdr:rowOff>47625</xdr:rowOff>
              </to>
            </anchor>
          </controlPr>
        </control>
      </mc:Choice>
      <mc:Fallback>
        <control shapeId="45068" r:id="rId50" name="chkInclude10"/>
      </mc:Fallback>
    </mc:AlternateContent>
    <mc:AlternateContent xmlns:mc="http://schemas.openxmlformats.org/markup-compatibility/2006">
      <mc:Choice Requires="x14">
        <control shapeId="45067" r:id="rId52" name="CheckBox9">
          <controlPr defaultSize="0" autoLine="0" linkedCell="Include9" r:id="rId53">
            <anchor moveWithCells="1">
              <from>
                <xdr:col>7</xdr:col>
                <xdr:colOff>38100</xdr:colOff>
                <xdr:row>24</xdr:row>
                <xdr:rowOff>57150</xdr:rowOff>
              </from>
              <to>
                <xdr:col>8</xdr:col>
                <xdr:colOff>200025</xdr:colOff>
                <xdr:row>25</xdr:row>
                <xdr:rowOff>47625</xdr:rowOff>
              </to>
            </anchor>
          </controlPr>
        </control>
      </mc:Choice>
      <mc:Fallback>
        <control shapeId="45067" r:id="rId52" name="CheckBox9"/>
      </mc:Fallback>
    </mc:AlternateContent>
    <mc:AlternateContent xmlns:mc="http://schemas.openxmlformats.org/markup-compatibility/2006">
      <mc:Choice Requires="x14">
        <control shapeId="45066" r:id="rId54" name="CheckBox8">
          <controlPr defaultSize="0" autoLine="0" linkedCell="Include8" r:id="rId55">
            <anchor moveWithCells="1">
              <from>
                <xdr:col>5</xdr:col>
                <xdr:colOff>57150</xdr:colOff>
                <xdr:row>24</xdr:row>
                <xdr:rowOff>38100</xdr:rowOff>
              </from>
              <to>
                <xdr:col>6</xdr:col>
                <xdr:colOff>238125</xdr:colOff>
                <xdr:row>25</xdr:row>
                <xdr:rowOff>57150</xdr:rowOff>
              </to>
            </anchor>
          </controlPr>
        </control>
      </mc:Choice>
      <mc:Fallback>
        <control shapeId="45066" r:id="rId54" name="CheckBox8"/>
      </mc:Fallback>
    </mc:AlternateContent>
    <mc:AlternateContent xmlns:mc="http://schemas.openxmlformats.org/markup-compatibility/2006">
      <mc:Choice Requires="x14">
        <control shapeId="45065" r:id="rId56" name="CheckBox7">
          <controlPr defaultSize="0" autoLine="0" linkedCell="Include7" r:id="rId57">
            <anchor moveWithCells="1">
              <from>
                <xdr:col>4</xdr:col>
                <xdr:colOff>38100</xdr:colOff>
                <xdr:row>24</xdr:row>
                <xdr:rowOff>19050</xdr:rowOff>
              </from>
              <to>
                <xdr:col>4</xdr:col>
                <xdr:colOff>1085850</xdr:colOff>
                <xdr:row>25</xdr:row>
                <xdr:rowOff>47625</xdr:rowOff>
              </to>
            </anchor>
          </controlPr>
        </control>
      </mc:Choice>
      <mc:Fallback>
        <control shapeId="45065" r:id="rId56" name="CheckBox7"/>
      </mc:Fallback>
    </mc:AlternateContent>
    <mc:AlternateContent xmlns:mc="http://schemas.openxmlformats.org/markup-compatibility/2006">
      <mc:Choice Requires="x14">
        <control shapeId="45064" r:id="rId58" name="chkInclude6">
          <controlPr defaultSize="0" autoLine="0" linkedCell="Include6" r:id="rId59">
            <anchor moveWithCells="1">
              <from>
                <xdr:col>11</xdr:col>
                <xdr:colOff>38100</xdr:colOff>
                <xdr:row>10</xdr:row>
                <xdr:rowOff>19050</xdr:rowOff>
              </from>
              <to>
                <xdr:col>11</xdr:col>
                <xdr:colOff>1190625</xdr:colOff>
                <xdr:row>11</xdr:row>
                <xdr:rowOff>0</xdr:rowOff>
              </to>
            </anchor>
          </controlPr>
        </control>
      </mc:Choice>
      <mc:Fallback>
        <control shapeId="45064" r:id="rId58" name="chkInclude6"/>
      </mc:Fallback>
    </mc:AlternateContent>
    <mc:AlternateContent xmlns:mc="http://schemas.openxmlformats.org/markup-compatibility/2006">
      <mc:Choice Requires="x14">
        <control shapeId="45063" r:id="rId60" name="chkInclude5">
          <controlPr defaultSize="0" autoLine="0" linkedCell="Include5" r:id="rId61">
            <anchor moveWithCells="1">
              <from>
                <xdr:col>10</xdr:col>
                <xdr:colOff>57150</xdr:colOff>
                <xdr:row>10</xdr:row>
                <xdr:rowOff>19050</xdr:rowOff>
              </from>
              <to>
                <xdr:col>11</xdr:col>
                <xdr:colOff>95250</xdr:colOff>
                <xdr:row>11</xdr:row>
                <xdr:rowOff>0</xdr:rowOff>
              </to>
            </anchor>
          </controlPr>
        </control>
      </mc:Choice>
      <mc:Fallback>
        <control shapeId="45063" r:id="rId60" name="chkInclude5"/>
      </mc:Fallback>
    </mc:AlternateContent>
    <mc:AlternateContent xmlns:mc="http://schemas.openxmlformats.org/markup-compatibility/2006">
      <mc:Choice Requires="x14">
        <control shapeId="45062" r:id="rId62" name="chkInclude4">
          <controlPr defaultSize="0" autoLine="0" linkedCell="Include4" r:id="rId63">
            <anchor moveWithCells="1">
              <from>
                <xdr:col>9</xdr:col>
                <xdr:colOff>57150</xdr:colOff>
                <xdr:row>10</xdr:row>
                <xdr:rowOff>19050</xdr:rowOff>
              </from>
              <to>
                <xdr:col>10</xdr:col>
                <xdr:colOff>104775</xdr:colOff>
                <xdr:row>11</xdr:row>
                <xdr:rowOff>0</xdr:rowOff>
              </to>
            </anchor>
          </controlPr>
        </control>
      </mc:Choice>
      <mc:Fallback>
        <control shapeId="45062" r:id="rId62" name="chkInclude4"/>
      </mc:Fallback>
    </mc:AlternateContent>
    <mc:AlternateContent xmlns:mc="http://schemas.openxmlformats.org/markup-compatibility/2006">
      <mc:Choice Requires="x14">
        <control shapeId="45061" r:id="rId64" name="chkInclude3">
          <controlPr defaultSize="0" autoLine="0" linkedCell="Include3" r:id="rId65">
            <anchor moveWithCells="1">
              <from>
                <xdr:col>7</xdr:col>
                <xdr:colOff>76200</xdr:colOff>
                <xdr:row>10</xdr:row>
                <xdr:rowOff>57150</xdr:rowOff>
              </from>
              <to>
                <xdr:col>8</xdr:col>
                <xdr:colOff>352425</xdr:colOff>
                <xdr:row>10</xdr:row>
                <xdr:rowOff>238125</xdr:rowOff>
              </to>
            </anchor>
          </controlPr>
        </control>
      </mc:Choice>
      <mc:Fallback>
        <control shapeId="45061" r:id="rId64" name="chkInclude3"/>
      </mc:Fallback>
    </mc:AlternateContent>
    <mc:AlternateContent xmlns:mc="http://schemas.openxmlformats.org/markup-compatibility/2006">
      <mc:Choice Requires="x14">
        <control shapeId="45060" r:id="rId66" name="chkInclude2">
          <controlPr defaultSize="0" autoLine="0" autoPict="0" linkedCell="Include2" r:id="rId67">
            <anchor moveWithCells="1">
              <from>
                <xdr:col>5</xdr:col>
                <xdr:colOff>19050</xdr:colOff>
                <xdr:row>10</xdr:row>
                <xdr:rowOff>38100</xdr:rowOff>
              </from>
              <to>
                <xdr:col>6</xdr:col>
                <xdr:colOff>266700</xdr:colOff>
                <xdr:row>11</xdr:row>
                <xdr:rowOff>0</xdr:rowOff>
              </to>
            </anchor>
          </controlPr>
        </control>
      </mc:Choice>
      <mc:Fallback>
        <control shapeId="45060" r:id="rId66" name="chkInclude2"/>
      </mc:Fallback>
    </mc:AlternateContent>
    <mc:AlternateContent xmlns:mc="http://schemas.openxmlformats.org/markup-compatibility/2006">
      <mc:Choice Requires="x14">
        <control shapeId="45059" r:id="rId68" name="chkInclude1">
          <controlPr defaultSize="0" autoLine="0" linkedCell="Include1" r:id="rId69">
            <anchor moveWithCells="1">
              <from>
                <xdr:col>4</xdr:col>
                <xdr:colOff>38100</xdr:colOff>
                <xdr:row>10</xdr:row>
                <xdr:rowOff>19050</xdr:rowOff>
              </from>
              <to>
                <xdr:col>4</xdr:col>
                <xdr:colOff>1247775</xdr:colOff>
                <xdr:row>11</xdr:row>
                <xdr:rowOff>0</xdr:rowOff>
              </to>
            </anchor>
          </controlPr>
        </control>
      </mc:Choice>
      <mc:Fallback>
        <control shapeId="45059" r:id="rId68" name="chkInclude1"/>
      </mc:Fallback>
    </mc:AlternateContent>
    <mc:AlternateContent xmlns:mc="http://schemas.openxmlformats.org/markup-compatibility/2006">
      <mc:Choice Requires="x14">
        <control shapeId="45104" r:id="rId70" name="CheckBox14">
          <controlPr defaultSize="0" autoLine="0" linkedCell="Include14" r:id="rId71">
            <anchor moveWithCells="1">
              <from>
                <xdr:col>5</xdr:col>
                <xdr:colOff>47625</xdr:colOff>
                <xdr:row>37</xdr:row>
                <xdr:rowOff>104775</xdr:rowOff>
              </from>
              <to>
                <xdr:col>6</xdr:col>
                <xdr:colOff>219075</xdr:colOff>
                <xdr:row>39</xdr:row>
                <xdr:rowOff>0</xdr:rowOff>
              </to>
            </anchor>
          </controlPr>
        </control>
      </mc:Choice>
      <mc:Fallback>
        <control shapeId="45104" r:id="rId70" name="CheckBox14"/>
      </mc:Fallback>
    </mc:AlternateContent>
    <mc:AlternateContent xmlns:mc="http://schemas.openxmlformats.org/markup-compatibility/2006">
      <mc:Choice Requires="x14">
        <control shapeId="45105" r:id="rId72" name="CheckBox15">
          <controlPr defaultSize="0" autoLine="0" linkedCell="Include15" r:id="rId73">
            <anchor moveWithCells="1">
              <from>
                <xdr:col>7</xdr:col>
                <xdr:colOff>47625</xdr:colOff>
                <xdr:row>37</xdr:row>
                <xdr:rowOff>66675</xdr:rowOff>
              </from>
              <to>
                <xdr:col>8</xdr:col>
                <xdr:colOff>76200</xdr:colOff>
                <xdr:row>38</xdr:row>
                <xdr:rowOff>180975</xdr:rowOff>
              </to>
            </anchor>
          </controlPr>
        </control>
      </mc:Choice>
      <mc:Fallback>
        <control shapeId="45105" r:id="rId72" name="CheckBox15"/>
      </mc:Fallback>
    </mc:AlternateContent>
    <mc:AlternateContent xmlns:mc="http://schemas.openxmlformats.org/markup-compatibility/2006">
      <mc:Choice Requires="x14">
        <control shapeId="45106" r:id="rId74" name="CheckBox16">
          <controlPr defaultSize="0" autoLine="0" linkedCell="Include16" r:id="rId75">
            <anchor moveWithCells="1">
              <from>
                <xdr:col>9</xdr:col>
                <xdr:colOff>57150</xdr:colOff>
                <xdr:row>37</xdr:row>
                <xdr:rowOff>76200</xdr:rowOff>
              </from>
              <to>
                <xdr:col>9</xdr:col>
                <xdr:colOff>1095375</xdr:colOff>
                <xdr:row>38</xdr:row>
                <xdr:rowOff>200025</xdr:rowOff>
              </to>
            </anchor>
          </controlPr>
        </control>
      </mc:Choice>
      <mc:Fallback>
        <control shapeId="45106" r:id="rId74" name="CheckBox16"/>
      </mc:Fallback>
    </mc:AlternateContent>
    <mc:AlternateContent xmlns:mc="http://schemas.openxmlformats.org/markup-compatibility/2006">
      <mc:Choice Requires="x14">
        <control shapeId="45107" r:id="rId76" name="CheckBox17">
          <controlPr defaultSize="0" autoLine="0" linkedCell="Include17" r:id="rId77">
            <anchor moveWithCells="1">
              <from>
                <xdr:col>10</xdr:col>
                <xdr:colOff>28575</xdr:colOff>
                <xdr:row>37</xdr:row>
                <xdr:rowOff>85725</xdr:rowOff>
              </from>
              <to>
                <xdr:col>10</xdr:col>
                <xdr:colOff>1066800</xdr:colOff>
                <xdr:row>39</xdr:row>
                <xdr:rowOff>9525</xdr:rowOff>
              </to>
            </anchor>
          </controlPr>
        </control>
      </mc:Choice>
      <mc:Fallback>
        <control shapeId="45107" r:id="rId76" name="CheckBox17"/>
      </mc:Fallback>
    </mc:AlternateContent>
    <mc:AlternateContent xmlns:mc="http://schemas.openxmlformats.org/markup-compatibility/2006">
      <mc:Choice Requires="x14">
        <control shapeId="45108" r:id="rId78" name="CheckBox18">
          <controlPr defaultSize="0" autoLine="0" linkedCell="Include18" r:id="rId79">
            <anchor moveWithCells="1">
              <from>
                <xdr:col>11</xdr:col>
                <xdr:colOff>28575</xdr:colOff>
                <xdr:row>37</xdr:row>
                <xdr:rowOff>66675</xdr:rowOff>
              </from>
              <to>
                <xdr:col>11</xdr:col>
                <xdr:colOff>1066800</xdr:colOff>
                <xdr:row>39</xdr:row>
                <xdr:rowOff>0</xdr:rowOff>
              </to>
            </anchor>
          </controlPr>
        </control>
      </mc:Choice>
      <mc:Fallback>
        <control shapeId="45108" r:id="rId78" name="CheckBox18"/>
      </mc:Fallback>
    </mc:AlternateContent>
    <mc:AlternateContent xmlns:mc="http://schemas.openxmlformats.org/markup-compatibility/2006">
      <mc:Choice Requires="x14">
        <control shapeId="45109" r:id="rId80" name="CheckBox19">
          <controlPr defaultSize="0" autoLine="0" linkedCell="Include19" r:id="rId81">
            <anchor moveWithCells="1">
              <from>
                <xdr:col>4</xdr:col>
                <xdr:colOff>47625</xdr:colOff>
                <xdr:row>52</xdr:row>
                <xdr:rowOff>28575</xdr:rowOff>
              </from>
              <to>
                <xdr:col>4</xdr:col>
                <xdr:colOff>1085850</xdr:colOff>
                <xdr:row>54</xdr:row>
                <xdr:rowOff>19050</xdr:rowOff>
              </to>
            </anchor>
          </controlPr>
        </control>
      </mc:Choice>
      <mc:Fallback>
        <control shapeId="45109" r:id="rId80" name="CheckBox19"/>
      </mc:Fallback>
    </mc:AlternateContent>
    <mc:AlternateContent xmlns:mc="http://schemas.openxmlformats.org/markup-compatibility/2006">
      <mc:Choice Requires="x14">
        <control shapeId="45110" r:id="rId82" name="CheckBox20">
          <controlPr defaultSize="0" autoLine="0" linkedCell="Include20" r:id="rId83">
            <anchor moveWithCells="1">
              <from>
                <xdr:col>5</xdr:col>
                <xdr:colOff>66675</xdr:colOff>
                <xdr:row>52</xdr:row>
                <xdr:rowOff>38100</xdr:rowOff>
              </from>
              <to>
                <xdr:col>6</xdr:col>
                <xdr:colOff>238125</xdr:colOff>
                <xdr:row>54</xdr:row>
                <xdr:rowOff>38100</xdr:rowOff>
              </to>
            </anchor>
          </controlPr>
        </control>
      </mc:Choice>
      <mc:Fallback>
        <control shapeId="45110" r:id="rId82" name="CheckBox20"/>
      </mc:Fallback>
    </mc:AlternateContent>
    <mc:AlternateContent xmlns:mc="http://schemas.openxmlformats.org/markup-compatibility/2006">
      <mc:Choice Requires="x14">
        <control shapeId="45058" r:id="rId84" name="Check Box 2">
          <controlPr locked="0" defaultSize="0" autoFill="0" autoPict="0" macro="[0]!ContingencyChecked" altText="Add a Contingency (on this sheet and Profitabilility Summary only)?">
            <anchor moveWithCells="1">
              <from>
                <xdr:col>0</xdr:col>
                <xdr:colOff>0</xdr:colOff>
                <xdr:row>69</xdr:row>
                <xdr:rowOff>19050</xdr:rowOff>
              </from>
              <to>
                <xdr:col>9</xdr:col>
                <xdr:colOff>1190625</xdr:colOff>
                <xdr:row>69</xdr:row>
                <xdr:rowOff>419100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syncVertical="1" syncRef="AA60" transitionEvaluation="1" transitionEntry="1" codeName="Sheet2">
    <pageSetUpPr fitToPage="1"/>
  </sheetPr>
  <dimension ref="A1:AJS166"/>
  <sheetViews>
    <sheetView showZeros="0" topLeftCell="AA1" zoomScale="70" zoomScaleNormal="70" workbookViewId="0">
      <pane ySplit="7" topLeftCell="A60" activePane="bottomLeft" state="frozen"/>
      <selection pane="bottomLeft" activeCell="AQ90" sqref="AQ90"/>
    </sheetView>
  </sheetViews>
  <sheetFormatPr defaultColWidth="12.140625" defaultRowHeight="12.75" x14ac:dyDescent="0.2"/>
  <cols>
    <col min="1" max="1" width="4.140625" style="64" customWidth="1"/>
    <col min="2" max="2" width="7.7109375" style="11" customWidth="1"/>
    <col min="3" max="3" width="3" style="11" customWidth="1"/>
    <col min="4" max="4" width="26.7109375" style="11" customWidth="1"/>
    <col min="5" max="5" width="13.42578125" style="11" customWidth="1"/>
    <col min="6" max="6" width="12.5703125" style="11" customWidth="1"/>
    <col min="7" max="7" width="13" style="11" customWidth="1"/>
    <col min="8" max="8" width="11.7109375" style="11" bestFit="1" customWidth="1"/>
    <col min="9" max="9" width="13.42578125" style="11" bestFit="1" customWidth="1"/>
    <col min="10" max="10" width="11.7109375" style="11" bestFit="1" customWidth="1"/>
    <col min="11" max="11" width="12.7109375" style="11" customWidth="1"/>
    <col min="12" max="12" width="11.7109375" style="11" bestFit="1" customWidth="1"/>
    <col min="13" max="13" width="15.140625" style="11" bestFit="1" customWidth="1"/>
    <col min="14" max="14" width="11.7109375" style="11" bestFit="1" customWidth="1"/>
    <col min="15" max="15" width="15.28515625" style="11" bestFit="1" customWidth="1"/>
    <col min="16" max="16" width="11.7109375" style="11" bestFit="1" customWidth="1"/>
    <col min="17" max="17" width="13" style="11" bestFit="1" customWidth="1"/>
    <col min="18" max="45" width="13" style="11" customWidth="1"/>
    <col min="46" max="46" width="12.7109375" style="11" customWidth="1"/>
    <col min="47" max="47" width="18" style="11" bestFit="1" customWidth="1"/>
    <col min="48" max="48" width="12.140625" style="11"/>
    <col min="49" max="49" width="10.42578125" style="11" customWidth="1"/>
    <col min="50" max="50" width="11.28515625" style="901" hidden="1" customWidth="1"/>
    <col min="51" max="51" width="9.85546875" style="901" hidden="1" customWidth="1"/>
    <col min="52" max="52" width="10.5703125" style="901" hidden="1" customWidth="1"/>
    <col min="53" max="53" width="7.5703125" style="901" hidden="1" customWidth="1"/>
    <col min="54" max="54" width="5.42578125" style="902" hidden="1" customWidth="1"/>
    <col min="55" max="55" width="5.28515625" style="901" hidden="1" customWidth="1"/>
    <col min="56" max="56" width="6.140625" style="901" hidden="1" customWidth="1"/>
    <col min="57" max="57" width="6.7109375" style="901" hidden="1" customWidth="1"/>
    <col min="58" max="74" width="6.140625" style="901" hidden="1" customWidth="1"/>
    <col min="75" max="75" width="5.42578125" style="901" hidden="1" customWidth="1"/>
    <col min="76" max="76" width="5.28515625" style="901" hidden="1" customWidth="1"/>
    <col min="77" max="95" width="6.140625" style="901" hidden="1" customWidth="1"/>
    <col min="96" max="96" width="5.42578125" style="901" hidden="1" customWidth="1"/>
    <col min="97" max="97" width="11.28515625" style="901" hidden="1" customWidth="1"/>
    <col min="98" max="105" width="3.28515625" style="901" hidden="1" customWidth="1"/>
    <col min="106" max="116" width="4.28515625" style="901" hidden="1" customWidth="1"/>
    <col min="117" max="117" width="3.42578125" style="11" hidden="1" customWidth="1"/>
    <col min="118" max="16384" width="12.140625" style="11"/>
  </cols>
  <sheetData>
    <row r="1" spans="1:120" ht="15.75" x14ac:dyDescent="0.25">
      <c r="A1" s="1385" t="s">
        <v>10</v>
      </c>
      <c r="B1" s="1386"/>
      <c r="C1" s="1386"/>
      <c r="D1" s="1381">
        <f>ProjectName</f>
        <v>0</v>
      </c>
      <c r="E1" s="1244"/>
      <c r="F1" s="1244"/>
      <c r="G1" s="1244"/>
      <c r="H1" s="1244"/>
      <c r="J1" s="4"/>
      <c r="K1" s="4"/>
      <c r="L1" s="10"/>
      <c r="N1" s="10"/>
      <c r="P1" s="10"/>
      <c r="BE1" s="901" t="s">
        <v>321</v>
      </c>
    </row>
    <row r="2" spans="1:120" x14ac:dyDescent="0.2">
      <c r="A2" s="1385" t="s">
        <v>12</v>
      </c>
      <c r="B2" s="1386"/>
      <c r="C2" s="1386"/>
      <c r="D2" s="32">
        <f ca="1">DateField</f>
        <v>45516</v>
      </c>
      <c r="E2" s="5"/>
      <c r="F2" s="4"/>
      <c r="H2" s="9"/>
      <c r="I2" s="4"/>
      <c r="J2" s="9"/>
      <c r="L2" s="9"/>
      <c r="N2" s="9"/>
      <c r="P2" s="9"/>
    </row>
    <row r="3" spans="1:120" x14ac:dyDescent="0.2">
      <c r="A3" s="1385" t="s">
        <v>13</v>
      </c>
      <c r="B3" s="1386"/>
      <c r="C3" s="1386"/>
      <c r="D3" s="1387"/>
      <c r="E3" s="1244"/>
      <c r="F3" s="1244"/>
      <c r="G3" s="1244"/>
      <c r="H3" s="1244"/>
      <c r="I3" s="1244"/>
      <c r="AU3" s="121">
        <f>VersionInfo</f>
        <v>0</v>
      </c>
    </row>
    <row r="4" spans="1:120" s="617" customFormat="1" x14ac:dyDescent="0.2">
      <c r="A4" s="1385" t="s">
        <v>14</v>
      </c>
      <c r="B4" s="1386"/>
      <c r="C4" s="1386"/>
      <c r="D4" s="1381">
        <f>PreparedBy</f>
        <v>0</v>
      </c>
      <c r="E4" s="1244"/>
      <c r="F4" s="12" t="str">
        <f>TabName1&amp;":"</f>
        <v>Phase 1:</v>
      </c>
      <c r="G4" s="46"/>
      <c r="H4" s="12" t="str">
        <f>TabName2&amp;":"</f>
        <v>Phase 2:</v>
      </c>
      <c r="I4" s="46"/>
      <c r="J4" s="12" t="str">
        <f>TabName3&amp;":"</f>
        <v>Phase 3:</v>
      </c>
      <c r="K4" s="46"/>
      <c r="L4" s="12" t="str">
        <f>TabName4&amp;":"</f>
        <v>Phase 4:</v>
      </c>
      <c r="M4" s="46"/>
      <c r="N4" s="12" t="str">
        <f>TabName5&amp;":"</f>
        <v>Phase 5:</v>
      </c>
      <c r="O4" s="46"/>
      <c r="P4" s="12" t="str">
        <f>TabName6&amp;":"</f>
        <v>Phase 6:</v>
      </c>
      <c r="Q4" s="46"/>
      <c r="R4" s="12" t="str">
        <f>TabName7&amp;":"</f>
        <v>Phase 7:</v>
      </c>
      <c r="S4" s="46"/>
      <c r="T4" s="12" t="str">
        <f>TabName8&amp;":"</f>
        <v>Phase 8:</v>
      </c>
      <c r="U4" s="46"/>
      <c r="V4" s="12" t="str">
        <f>TabName9&amp;":"</f>
        <v>Phase 9:</v>
      </c>
      <c r="W4" s="46"/>
      <c r="X4" s="12" t="str">
        <f>tabname10&amp;":"</f>
        <v>Phase 10:</v>
      </c>
      <c r="Y4" s="46"/>
      <c r="Z4" s="46" t="s">
        <v>1681</v>
      </c>
      <c r="AA4" s="46"/>
      <c r="AB4" s="46" t="s">
        <v>1680</v>
      </c>
      <c r="AC4" s="46"/>
      <c r="AD4" s="46" t="s">
        <v>1679</v>
      </c>
      <c r="AE4" s="46"/>
      <c r="AF4" s="46" t="s">
        <v>1678</v>
      </c>
      <c r="AG4" s="46"/>
      <c r="AH4" s="46" t="s">
        <v>1677</v>
      </c>
      <c r="AI4" s="46"/>
      <c r="AJ4" s="46" t="s">
        <v>1676</v>
      </c>
      <c r="AK4" s="46"/>
      <c r="AL4" s="46" t="s">
        <v>1675</v>
      </c>
      <c r="AM4" s="46"/>
      <c r="AN4" s="46" t="s">
        <v>1674</v>
      </c>
      <c r="AO4" s="46"/>
      <c r="AP4" s="46" t="s">
        <v>1673</v>
      </c>
      <c r="AQ4" s="46"/>
      <c r="AR4" s="46" t="s">
        <v>1672</v>
      </c>
      <c r="AS4" s="46"/>
      <c r="AX4" s="903"/>
      <c r="AY4" s="903"/>
      <c r="AZ4" s="903"/>
      <c r="BA4" s="903"/>
      <c r="BB4" s="904"/>
      <c r="BC4" s="903"/>
      <c r="BD4" s="903"/>
      <c r="BE4" s="903"/>
      <c r="BF4" s="903"/>
      <c r="BG4" s="903"/>
      <c r="BH4" s="903"/>
      <c r="BI4" s="903"/>
      <c r="BJ4" s="903"/>
      <c r="BK4" s="903"/>
      <c r="BL4" s="903"/>
      <c r="BM4" s="903"/>
      <c r="BN4" s="903"/>
      <c r="BO4" s="903"/>
      <c r="BP4" s="903"/>
      <c r="BQ4" s="903"/>
      <c r="BR4" s="903"/>
      <c r="BS4" s="903"/>
      <c r="BT4" s="903"/>
      <c r="BU4" s="903"/>
      <c r="BV4" s="903"/>
      <c r="BW4" s="903"/>
      <c r="BX4" s="903"/>
      <c r="BY4" s="903"/>
      <c r="BZ4" s="903"/>
      <c r="CA4" s="903"/>
      <c r="CB4" s="903"/>
      <c r="CC4" s="903"/>
      <c r="CD4" s="903"/>
      <c r="CE4" s="903"/>
      <c r="CF4" s="903"/>
      <c r="CG4" s="903"/>
      <c r="CH4" s="903"/>
      <c r="CI4" s="903"/>
      <c r="CJ4" s="903"/>
      <c r="CK4" s="903"/>
      <c r="CL4" s="903"/>
      <c r="CM4" s="903"/>
      <c r="CN4" s="903"/>
      <c r="CO4" s="903"/>
      <c r="CP4" s="903"/>
      <c r="CQ4" s="903"/>
      <c r="CR4" s="903"/>
      <c r="CS4" s="903"/>
      <c r="CT4" s="903"/>
      <c r="CU4" s="903"/>
      <c r="CV4" s="903"/>
      <c r="CW4" s="903"/>
      <c r="CX4" s="903"/>
      <c r="CY4" s="903"/>
      <c r="CZ4" s="903"/>
      <c r="DA4" s="903"/>
      <c r="DB4" s="903"/>
      <c r="DC4" s="903"/>
      <c r="DD4" s="903"/>
      <c r="DE4" s="903"/>
      <c r="DF4" s="903"/>
      <c r="DG4" s="903"/>
      <c r="DH4" s="903"/>
      <c r="DI4" s="903"/>
      <c r="DJ4" s="903"/>
      <c r="DK4" s="903"/>
      <c r="DL4" s="903"/>
    </row>
    <row r="5" spans="1:120" s="617" customFormat="1" ht="24" customHeight="1" x14ac:dyDescent="0.2">
      <c r="A5" s="65"/>
      <c r="B5" s="33"/>
      <c r="C5" s="8"/>
      <c r="D5" s="623"/>
      <c r="E5"/>
      <c r="F5" s="1364" t="str">
        <f>IF(Element1&lt;&gt;"",Element1,"")</f>
        <v>Phase Name 1</v>
      </c>
      <c r="G5" s="1365"/>
      <c r="H5" s="1364" t="str">
        <f>IF(Element2&lt;&gt;"",Element2,"")</f>
        <v>Phase Name 2</v>
      </c>
      <c r="I5" s="1365"/>
      <c r="J5" s="1364" t="str">
        <f>IF(Element3&lt;&gt;"",Element3,"")</f>
        <v>Phase Name 3</v>
      </c>
      <c r="K5" s="1365"/>
      <c r="L5" s="1364" t="str">
        <f>IF(Element4&lt;&gt;"",Element4,"")</f>
        <v>Phase Name 4</v>
      </c>
      <c r="M5" s="1365"/>
      <c r="N5" s="1364" t="str">
        <f>IF(Element5&lt;&gt;"",Element5,"")</f>
        <v>Phase Name 5</v>
      </c>
      <c r="O5" s="1365"/>
      <c r="P5" s="1364" t="str">
        <f>IF(Element6&lt;&gt;"",Element6,"")</f>
        <v>Phase Name 6</v>
      </c>
      <c r="Q5" s="1365"/>
      <c r="R5" s="1364" t="str">
        <f>IF(Element7&lt;&gt;"",Element7,"")</f>
        <v>Phase Name 7</v>
      </c>
      <c r="S5" s="1365"/>
      <c r="T5" s="1364" t="str">
        <f>IF(Element8&lt;&gt;"",Element8,"")</f>
        <v>Phase Name 8</v>
      </c>
      <c r="U5" s="1365"/>
      <c r="V5" s="1364" t="str">
        <f>IF(Element9&lt;&gt;"",Element9,"")</f>
        <v>Phase Name 9</v>
      </c>
      <c r="W5" s="1365"/>
      <c r="X5" s="1364" t="str">
        <f>IF(Element10&lt;&gt;"",Element10,"")</f>
        <v>Phase Name 10</v>
      </c>
      <c r="Y5" s="1365"/>
      <c r="Z5" s="1234" t="str">
        <f>Element11</f>
        <v>Phase Name 11</v>
      </c>
      <c r="AA5" s="1234"/>
      <c r="AB5" s="1234" t="str">
        <f>Element12</f>
        <v>Phase Name 12</v>
      </c>
      <c r="AC5" s="1234"/>
      <c r="AD5" s="1234" t="str">
        <f>Element13</f>
        <v>Phase Name 13</v>
      </c>
      <c r="AE5" s="1234"/>
      <c r="AF5" s="1234" t="str">
        <f>Element14</f>
        <v>Phase Name 14</v>
      </c>
      <c r="AG5" s="1234"/>
      <c r="AH5" s="1234" t="str">
        <f>Element15</f>
        <v>Phase Name 15</v>
      </c>
      <c r="AI5" s="1234"/>
      <c r="AJ5" s="1234" t="str">
        <f>Element16</f>
        <v>Phase Name 16</v>
      </c>
      <c r="AK5" s="1234"/>
      <c r="AL5" s="1234" t="str">
        <f>Element17</f>
        <v>Phase Name 17</v>
      </c>
      <c r="AM5" s="1234"/>
      <c r="AN5" s="1234" t="str">
        <f>Element18</f>
        <v>Phase Name 18</v>
      </c>
      <c r="AO5" s="1234"/>
      <c r="AP5" s="1234" t="str">
        <f>Element19</f>
        <v>Phase Name 19</v>
      </c>
      <c r="AQ5" s="1234"/>
      <c r="AR5" s="1234" t="str">
        <f>Element20</f>
        <v>Phase Name 20</v>
      </c>
      <c r="AS5" s="1234"/>
      <c r="AX5" s="903"/>
      <c r="AY5" s="903"/>
      <c r="AZ5" s="903"/>
      <c r="BA5" s="903"/>
      <c r="BB5" s="904"/>
      <c r="BC5" s="1359" t="s">
        <v>290</v>
      </c>
      <c r="BD5" s="1359"/>
      <c r="BE5" s="903"/>
      <c r="BF5" s="903"/>
      <c r="BG5" s="903"/>
      <c r="BH5" s="903"/>
      <c r="BI5" s="903"/>
      <c r="BJ5" s="903"/>
      <c r="BK5" s="903"/>
      <c r="BL5" s="903"/>
      <c r="BM5" s="903"/>
      <c r="BN5" s="903"/>
      <c r="BO5" s="903"/>
      <c r="BP5" s="903"/>
      <c r="BQ5" s="903"/>
      <c r="BR5" s="903"/>
      <c r="BS5" s="903"/>
      <c r="BT5" s="903"/>
      <c r="BU5" s="903"/>
      <c r="BV5" s="903"/>
      <c r="BW5" s="903"/>
      <c r="BX5" s="1359" t="s">
        <v>291</v>
      </c>
      <c r="BY5" s="1359"/>
      <c r="BZ5" s="903"/>
      <c r="CA5" s="903"/>
      <c r="CB5" s="903"/>
      <c r="CC5" s="903"/>
      <c r="CD5" s="903"/>
      <c r="CE5" s="903"/>
      <c r="CF5" s="903"/>
      <c r="CG5" s="903"/>
      <c r="CH5" s="903"/>
      <c r="CI5" s="903"/>
      <c r="CJ5" s="903"/>
      <c r="CK5" s="903"/>
      <c r="CL5" s="903"/>
      <c r="CM5" s="903"/>
      <c r="CN5" s="903"/>
      <c r="CO5" s="903"/>
      <c r="CP5" s="903"/>
      <c r="CQ5" s="903"/>
      <c r="CR5" s="903"/>
      <c r="CS5" s="903" t="s">
        <v>292</v>
      </c>
      <c r="CT5" s="903"/>
      <c r="CU5" s="903"/>
      <c r="CV5" s="903"/>
      <c r="CW5" s="903"/>
      <c r="CX5" s="903"/>
      <c r="CY5" s="903"/>
      <c r="CZ5" s="903"/>
      <c r="DA5" s="903"/>
      <c r="DB5" s="903"/>
      <c r="DC5" s="903"/>
      <c r="DD5" s="903"/>
      <c r="DE5" s="903"/>
      <c r="DF5" s="903"/>
      <c r="DG5" s="903"/>
      <c r="DH5" s="903"/>
      <c r="DI5" s="903"/>
      <c r="DJ5" s="903"/>
      <c r="DK5" s="903"/>
      <c r="DL5" s="903"/>
    </row>
    <row r="6" spans="1:120" x14ac:dyDescent="0.2">
      <c r="A6" s="72"/>
      <c r="B6" s="13"/>
      <c r="C6" s="13"/>
      <c r="D6" s="13"/>
      <c r="E6" s="13"/>
      <c r="F6" s="14" t="s">
        <v>20</v>
      </c>
      <c r="G6" s="47"/>
      <c r="H6" s="14" t="s">
        <v>20</v>
      </c>
      <c r="I6" s="47"/>
      <c r="J6" s="14" t="s">
        <v>20</v>
      </c>
      <c r="K6" s="47"/>
      <c r="L6" s="14" t="s">
        <v>20</v>
      </c>
      <c r="M6" s="47"/>
      <c r="N6" s="14" t="s">
        <v>20</v>
      </c>
      <c r="O6" s="47"/>
      <c r="P6" s="14" t="s">
        <v>20</v>
      </c>
      <c r="Q6" s="47"/>
      <c r="R6" s="14" t="s">
        <v>20</v>
      </c>
      <c r="S6" s="47"/>
      <c r="T6" s="14" t="s">
        <v>20</v>
      </c>
      <c r="U6" s="47"/>
      <c r="V6" s="14" t="s">
        <v>20</v>
      </c>
      <c r="W6" s="47"/>
      <c r="X6" s="14" t="s">
        <v>20</v>
      </c>
      <c r="Y6" s="47"/>
      <c r="Z6" s="1192" t="s">
        <v>20</v>
      </c>
      <c r="AA6" s="1203"/>
      <c r="AB6" s="1192" t="s">
        <v>20</v>
      </c>
      <c r="AC6" s="1203"/>
      <c r="AD6" s="1192" t="s">
        <v>20</v>
      </c>
      <c r="AE6" s="1203"/>
      <c r="AF6" s="1192" t="s">
        <v>20</v>
      </c>
      <c r="AG6" s="1203"/>
      <c r="AH6" s="1192" t="s">
        <v>20</v>
      </c>
      <c r="AI6" s="1203"/>
      <c r="AJ6" s="1192" t="s">
        <v>20</v>
      </c>
      <c r="AK6" s="1203"/>
      <c r="AL6" s="1192" t="s">
        <v>20</v>
      </c>
      <c r="AM6" s="1203"/>
      <c r="AN6" s="1192" t="s">
        <v>20</v>
      </c>
      <c r="AO6" s="1203"/>
      <c r="AP6" s="1192" t="s">
        <v>20</v>
      </c>
      <c r="AQ6" s="1203"/>
      <c r="AR6" s="1192" t="s">
        <v>20</v>
      </c>
      <c r="AS6" s="1203"/>
      <c r="AT6" s="1360" t="s">
        <v>20</v>
      </c>
      <c r="AU6" s="1361"/>
      <c r="AV6" s="419" t="s">
        <v>681</v>
      </c>
      <c r="AW6" s="419" t="s">
        <v>682</v>
      </c>
    </row>
    <row r="7" spans="1:120" x14ac:dyDescent="0.2">
      <c r="A7" s="73"/>
      <c r="B7" s="5"/>
      <c r="C7" s="5"/>
      <c r="D7" s="5"/>
      <c r="E7" s="5"/>
      <c r="F7" s="1362">
        <f>ProjectNumber</f>
        <v>0</v>
      </c>
      <c r="G7" s="1363"/>
      <c r="H7" s="1362">
        <f>ProjectNumber</f>
        <v>0</v>
      </c>
      <c r="I7" s="1363"/>
      <c r="J7" s="1362">
        <f>ProjectNumber</f>
        <v>0</v>
      </c>
      <c r="K7" s="1363"/>
      <c r="L7" s="1362">
        <f>ProjectNumber</f>
        <v>0</v>
      </c>
      <c r="M7" s="1363"/>
      <c r="N7" s="1362">
        <f>ProjectNumber</f>
        <v>0</v>
      </c>
      <c r="O7" s="1363"/>
      <c r="P7" s="1362">
        <f>ProjectNumber</f>
        <v>0</v>
      </c>
      <c r="Q7" s="1363"/>
      <c r="R7" s="1362">
        <f>ProjectNumber</f>
        <v>0</v>
      </c>
      <c r="S7" s="1363"/>
      <c r="T7" s="1362">
        <f>ProjectNumber</f>
        <v>0</v>
      </c>
      <c r="U7" s="1363"/>
      <c r="V7" s="1362">
        <f>ProjectNumber</f>
        <v>0</v>
      </c>
      <c r="W7" s="1363"/>
      <c r="X7" s="1362">
        <f>ProjectNumber</f>
        <v>0</v>
      </c>
      <c r="Y7" s="1363"/>
      <c r="Z7" s="1222"/>
      <c r="AA7" s="1204"/>
      <c r="AB7" s="1222"/>
      <c r="AC7" s="1204"/>
      <c r="AD7" s="1222"/>
      <c r="AE7" s="1204"/>
      <c r="AF7" s="1222"/>
      <c r="AG7" s="1204"/>
      <c r="AH7" s="1222"/>
      <c r="AI7" s="1204"/>
      <c r="AJ7" s="1222"/>
      <c r="AK7" s="1204"/>
      <c r="AL7" s="1222"/>
      <c r="AM7" s="1204"/>
      <c r="AN7" s="1222"/>
      <c r="AO7" s="1204"/>
      <c r="AP7" s="1222"/>
      <c r="AQ7" s="1204"/>
      <c r="AR7" s="1548"/>
      <c r="AS7" s="1204"/>
      <c r="AT7" s="1366" t="s">
        <v>107</v>
      </c>
      <c r="AU7" s="1367"/>
      <c r="AV7" s="419" t="s">
        <v>677</v>
      </c>
      <c r="AW7" s="419" t="s">
        <v>677</v>
      </c>
      <c r="BC7" s="905" t="s">
        <v>108</v>
      </c>
      <c r="BD7" s="905" t="s">
        <v>109</v>
      </c>
      <c r="BE7" s="905" t="s">
        <v>110</v>
      </c>
      <c r="BF7" s="905" t="s">
        <v>111</v>
      </c>
      <c r="BG7" s="905" t="s">
        <v>112</v>
      </c>
      <c r="BH7" s="905" t="s">
        <v>113</v>
      </c>
      <c r="BI7" s="905" t="s">
        <v>533</v>
      </c>
      <c r="BJ7" s="905" t="s">
        <v>534</v>
      </c>
      <c r="BK7" s="905" t="s">
        <v>535</v>
      </c>
      <c r="BL7" s="905" t="s">
        <v>536</v>
      </c>
      <c r="BM7" s="905" t="s">
        <v>1385</v>
      </c>
      <c r="BN7" s="905" t="s">
        <v>1386</v>
      </c>
      <c r="BO7" s="905" t="s">
        <v>1387</v>
      </c>
      <c r="BP7" s="905" t="s">
        <v>1388</v>
      </c>
      <c r="BQ7" s="905" t="s">
        <v>1389</v>
      </c>
      <c r="BR7" s="905" t="s">
        <v>1390</v>
      </c>
      <c r="BS7" s="905" t="s">
        <v>1391</v>
      </c>
      <c r="BT7" s="907" t="s">
        <v>1392</v>
      </c>
      <c r="BU7" s="907" t="s">
        <v>1393</v>
      </c>
      <c r="BV7" s="907" t="s">
        <v>1394</v>
      </c>
      <c r="BW7" s="902"/>
      <c r="BX7" s="905" t="s">
        <v>108</v>
      </c>
      <c r="BY7" s="905" t="s">
        <v>109</v>
      </c>
      <c r="BZ7" s="905" t="s">
        <v>110</v>
      </c>
      <c r="CA7" s="905" t="s">
        <v>111</v>
      </c>
      <c r="CB7" s="905" t="s">
        <v>112</v>
      </c>
      <c r="CC7" s="905" t="s">
        <v>113</v>
      </c>
      <c r="CD7" s="905" t="s">
        <v>533</v>
      </c>
      <c r="CE7" s="905" t="s">
        <v>534</v>
      </c>
      <c r="CF7" s="905" t="s">
        <v>535</v>
      </c>
      <c r="CG7" s="905" t="s">
        <v>536</v>
      </c>
      <c r="CH7" s="905" t="s">
        <v>1385</v>
      </c>
      <c r="CI7" s="905" t="s">
        <v>1386</v>
      </c>
      <c r="CJ7" s="905" t="s">
        <v>1387</v>
      </c>
      <c r="CK7" s="905" t="s">
        <v>1388</v>
      </c>
      <c r="CL7" s="905" t="s">
        <v>1389</v>
      </c>
      <c r="CM7" s="905" t="s">
        <v>1390</v>
      </c>
      <c r="CN7" s="905" t="s">
        <v>1391</v>
      </c>
      <c r="CO7" s="905" t="s">
        <v>1392</v>
      </c>
      <c r="CP7" s="905" t="s">
        <v>1393</v>
      </c>
      <c r="CQ7" s="907" t="s">
        <v>1394</v>
      </c>
      <c r="CR7" s="902"/>
      <c r="CS7" s="905" t="s">
        <v>108</v>
      </c>
      <c r="CT7" s="905" t="s">
        <v>109</v>
      </c>
      <c r="CU7" s="905" t="s">
        <v>110</v>
      </c>
      <c r="CV7" s="905" t="s">
        <v>111</v>
      </c>
      <c r="CW7" s="905" t="s">
        <v>112</v>
      </c>
      <c r="CX7" s="905" t="s">
        <v>113</v>
      </c>
      <c r="CY7" s="906" t="s">
        <v>533</v>
      </c>
      <c r="CZ7" s="906" t="s">
        <v>534</v>
      </c>
      <c r="DA7" s="905" t="s">
        <v>535</v>
      </c>
      <c r="DB7" s="905" t="s">
        <v>536</v>
      </c>
      <c r="DC7" s="905" t="s">
        <v>1385</v>
      </c>
      <c r="DD7" s="905" t="s">
        <v>1386</v>
      </c>
      <c r="DE7" s="905" t="s">
        <v>1387</v>
      </c>
      <c r="DF7" s="905" t="s">
        <v>1388</v>
      </c>
      <c r="DG7" s="905" t="s">
        <v>1389</v>
      </c>
      <c r="DH7" s="905" t="s">
        <v>1390</v>
      </c>
      <c r="DI7" s="905" t="s">
        <v>1391</v>
      </c>
      <c r="DJ7" s="905" t="s">
        <v>1392</v>
      </c>
      <c r="DK7" s="905" t="s">
        <v>1393</v>
      </c>
      <c r="DL7" s="905" t="s">
        <v>1394</v>
      </c>
      <c r="DM7" s="159"/>
      <c r="DN7" s="159"/>
      <c r="DO7" s="159"/>
      <c r="DP7" s="159"/>
    </row>
    <row r="8" spans="1:120" x14ac:dyDescent="0.2">
      <c r="A8" s="245"/>
      <c r="B8" s="246" t="s">
        <v>21</v>
      </c>
      <c r="C8" s="24"/>
      <c r="D8" s="24"/>
      <c r="E8" s="246"/>
      <c r="F8" s="247" t="s">
        <v>22</v>
      </c>
      <c r="G8" s="248" t="s">
        <v>23</v>
      </c>
      <c r="H8" s="247" t="s">
        <v>22</v>
      </c>
      <c r="I8" s="248" t="s">
        <v>23</v>
      </c>
      <c r="J8" s="247" t="s">
        <v>22</v>
      </c>
      <c r="K8" s="248" t="s">
        <v>23</v>
      </c>
      <c r="L8" s="247" t="s">
        <v>22</v>
      </c>
      <c r="M8" s="248" t="s">
        <v>23</v>
      </c>
      <c r="N8" s="247" t="s">
        <v>22</v>
      </c>
      <c r="O8" s="248" t="s">
        <v>23</v>
      </c>
      <c r="P8" s="247" t="s">
        <v>22</v>
      </c>
      <c r="Q8" s="248" t="s">
        <v>23</v>
      </c>
      <c r="R8" s="247" t="s">
        <v>22</v>
      </c>
      <c r="S8" s="248" t="s">
        <v>23</v>
      </c>
      <c r="T8" s="247" t="s">
        <v>22</v>
      </c>
      <c r="U8" s="248" t="s">
        <v>23</v>
      </c>
      <c r="V8" s="247" t="s">
        <v>22</v>
      </c>
      <c r="W8" s="248" t="s">
        <v>23</v>
      </c>
      <c r="X8" s="1001" t="s">
        <v>22</v>
      </c>
      <c r="Y8" s="1002" t="s">
        <v>23</v>
      </c>
      <c r="Z8" s="1193" t="s">
        <v>22</v>
      </c>
      <c r="AA8" s="1205" t="s">
        <v>23</v>
      </c>
      <c r="AB8" s="1223" t="s">
        <v>22</v>
      </c>
      <c r="AC8" s="1205" t="s">
        <v>23</v>
      </c>
      <c r="AD8" s="1223" t="s">
        <v>22</v>
      </c>
      <c r="AE8" s="1205" t="s">
        <v>23</v>
      </c>
      <c r="AF8" s="1223" t="s">
        <v>22</v>
      </c>
      <c r="AG8" s="1205" t="s">
        <v>23</v>
      </c>
      <c r="AH8" s="1223" t="s">
        <v>22</v>
      </c>
      <c r="AI8" s="1205" t="s">
        <v>23</v>
      </c>
      <c r="AJ8" s="1223" t="s">
        <v>22</v>
      </c>
      <c r="AK8" s="1205" t="s">
        <v>23</v>
      </c>
      <c r="AL8" s="1223" t="s">
        <v>22</v>
      </c>
      <c r="AM8" s="1205" t="s">
        <v>23</v>
      </c>
      <c r="AN8" s="1223" t="s">
        <v>22</v>
      </c>
      <c r="AO8" s="1205" t="s">
        <v>23</v>
      </c>
      <c r="AP8" s="1223" t="s">
        <v>22</v>
      </c>
      <c r="AQ8" s="1205" t="s">
        <v>23</v>
      </c>
      <c r="AR8" s="1549" t="s">
        <v>22</v>
      </c>
      <c r="AS8" s="1205" t="s">
        <v>23</v>
      </c>
      <c r="AT8" s="622" t="s">
        <v>22</v>
      </c>
      <c r="AU8" s="248" t="s">
        <v>23</v>
      </c>
      <c r="AV8" s="419" t="s">
        <v>679</v>
      </c>
      <c r="AW8" s="419" t="s">
        <v>678</v>
      </c>
      <c r="AX8" s="907" t="s">
        <v>675</v>
      </c>
      <c r="AY8" s="907" t="s">
        <v>676</v>
      </c>
      <c r="AZ8" s="907" t="s">
        <v>658</v>
      </c>
      <c r="BA8" s="907"/>
    </row>
    <row r="9" spans="1:120" x14ac:dyDescent="0.2">
      <c r="A9" s="72"/>
      <c r="B9" s="217" t="str">
        <f>CodeA4</f>
        <v>EV28</v>
      </c>
      <c r="C9" s="15"/>
      <c r="D9" s="252" t="str">
        <f>TitleA4</f>
        <v>PRINCIPAL/ TECH DIRECT 4</v>
      </c>
      <c r="E9" s="253"/>
      <c r="F9" s="219">
        <f t="shared" ref="F9:F36" si="0">IFERROR(BC9,0)</f>
        <v>3</v>
      </c>
      <c r="G9" s="80">
        <f>IF(F9="","",IFERROR(budgetdetailPhase1dollar1,0))</f>
        <v>1089</v>
      </c>
      <c r="H9" s="219">
        <f t="shared" ref="H9:H36" si="1">IFERROR(BD9,0)</f>
        <v>1</v>
      </c>
      <c r="I9" s="80">
        <f>IF(H9="","",IFERROR(budgetdetailPhase2dollar1,0))</f>
        <v>363</v>
      </c>
      <c r="J9" s="219">
        <f t="shared" ref="J9:J36" si="2">IFERROR(BE9,0)</f>
        <v>1</v>
      </c>
      <c r="K9" s="80">
        <f>IF(J9="","",IFERROR(budgetdetailPhase3dollar1,0))</f>
        <v>363</v>
      </c>
      <c r="L9" s="219">
        <f t="shared" ref="L9:L36" si="3">IFERROR(BF9,0)</f>
        <v>1</v>
      </c>
      <c r="M9" s="80">
        <f>IF(L9="","",IFERROR(budgetdetailPhase4dollar1,0))</f>
        <v>363</v>
      </c>
      <c r="N9" s="219">
        <f t="shared" ref="N9:N36" si="4">IFERROR(BG9,0)</f>
        <v>1</v>
      </c>
      <c r="O9" s="80">
        <f>IF(N9="","",IFERROR(budgetdetailPhase5dollar1,0))</f>
        <v>363</v>
      </c>
      <c r="P9" s="219">
        <f t="shared" ref="P9:P36" si="5">IFERROR(BH9,0)</f>
        <v>1</v>
      </c>
      <c r="Q9" s="80">
        <f>IF(P9="","",IFERROR(budgetdetailPhase6dollar1,0))</f>
        <v>363</v>
      </c>
      <c r="R9" s="219">
        <f t="shared" ref="R9:R36" si="6">IFERROR(BI9,0)</f>
        <v>1</v>
      </c>
      <c r="S9" s="80">
        <f>IF(R9="","",IFERROR(budgetdetailPhase7dollar1,0))</f>
        <v>363</v>
      </c>
      <c r="T9" s="219">
        <f t="shared" ref="T9:T36" si="7">IFERROR(BJ9,0)</f>
        <v>1</v>
      </c>
      <c r="U9" s="80">
        <f>IF(T9="","",IFERROR(budgetdetailPhase8dollar1,0))</f>
        <v>363</v>
      </c>
      <c r="V9" s="219">
        <f t="shared" ref="V9:V36" si="8">IFERROR(BK9,0)</f>
        <v>1</v>
      </c>
      <c r="W9" s="80">
        <f>IF(V9="","",IFERROR(budgetdetailPhase9dollar1,0))</f>
        <v>363</v>
      </c>
      <c r="X9" s="219">
        <f t="shared" ref="X9:X36" si="9">IFERROR(BL9,0)</f>
        <v>1</v>
      </c>
      <c r="Y9" s="80" cm="1">
        <f t="array" ref="Y9">IF(X9="","",IFERROR(budgetdetailPhase10dollar1,0))</f>
        <v>363</v>
      </c>
      <c r="Z9" s="1225">
        <f>E11RateA4Total</f>
        <v>1</v>
      </c>
      <c r="AA9" s="1206">
        <f>IF(Z9="","",'Phase 11'!D44)</f>
        <v>363</v>
      </c>
      <c r="AB9" s="1225">
        <f>E12RateA4Total</f>
        <v>1</v>
      </c>
      <c r="AC9" s="1207">
        <f>IF(AB9="","",'Phase 12'!D44)</f>
        <v>363</v>
      </c>
      <c r="AD9" s="1225">
        <f>E13RateA4Total</f>
        <v>1</v>
      </c>
      <c r="AE9" s="1207">
        <f>IF(AD9="","",'Phase 13'!D44)</f>
        <v>363</v>
      </c>
      <c r="AF9" s="1225">
        <f>E14RateA4Total</f>
        <v>1</v>
      </c>
      <c r="AG9" s="1207">
        <f>IF(AF9="","",'Phase 14'!D44)</f>
        <v>363</v>
      </c>
      <c r="AH9" s="1225">
        <f>E15RateA4Total</f>
        <v>1</v>
      </c>
      <c r="AI9" s="1207">
        <f>IF(AH9="","",'Phase 15'!D44)</f>
        <v>363</v>
      </c>
      <c r="AJ9" s="1225">
        <f>E16RateA4Total</f>
        <v>2</v>
      </c>
      <c r="AK9" s="1207">
        <f>IF(AJ9="","",'Phase 16'!D45)</f>
        <v>726</v>
      </c>
      <c r="AL9" s="1225">
        <f>E17RateA4Total</f>
        <v>1</v>
      </c>
      <c r="AM9" s="1207">
        <f>IF(AL9="","",'Phase 17'!D44)</f>
        <v>363</v>
      </c>
      <c r="AN9" s="1225">
        <f>E18RateA4Total</f>
        <v>1</v>
      </c>
      <c r="AO9" s="1207">
        <f>IF(AN9="","",'Phase 18'!D44)</f>
        <v>363</v>
      </c>
      <c r="AP9" s="1225">
        <f>E19RateA4Total</f>
        <v>1</v>
      </c>
      <c r="AQ9" s="1207">
        <f>IF(AP9="","",'Phase 19'!D44)</f>
        <v>363</v>
      </c>
      <c r="AR9" s="1555">
        <f>E20RateA4Total</f>
        <v>1</v>
      </c>
      <c r="AS9" s="1207">
        <f>IF(AR9="","",'Phase 20'!D44)</f>
        <v>363</v>
      </c>
      <c r="AT9" s="1009" cm="1">
        <f t="array" aca="1" ref="AT9" ca="1">IFERROR(SUM(_xlfn._xlws.FILTER(INDEX(DynamicBudgetDetailRange, 1, _xlfn.SEQUENCE(1, COLUMNS(DynamicBudgetDetailRange), 1, 2)), ISNUMBER(INDEX(DynamicBudgetDetailRange, 1, _xlfn.SEQUENCE(1, COLUMNS(DynamicBudgetDetailRange), 1, 2))))),0)</f>
        <v>23</v>
      </c>
      <c r="AU9" s="80" cm="1">
        <f t="array" aca="1" ref="AU9" ca="1">IFERROR(SUM(_xlfn._xlws.FILTER(INDEX(DynamicTotalAmount, 1, _xlfn.SEQUENCE(1, COLUMNS(DynamicTotalAmount), 1, 2)), ISNUMBER(INDEX(DynamicTotalAmount, 1, _xlfn.SEQUENCE(1, COLUMNS(DynamicTotalAmount), 1, 2))))),0)</f>
        <v>8349</v>
      </c>
      <c r="AV9" s="418">
        <f ca="1">IF(AX9=0,"",AU9/AX9)</f>
        <v>3.245394177709203</v>
      </c>
      <c r="AW9" s="420">
        <f ca="1">IF(AU9=0,"",AZ9/AU9)</f>
        <v>0.23892141763085434</v>
      </c>
      <c r="AX9" s="901">
        <f>IFERROR(E1DirectLaborD48,0)</f>
        <v>2572.5688599999994</v>
      </c>
      <c r="AY9" s="901">
        <f>IFERROR(E1OverheadD49,0)</f>
        <v>3781.6762241999977</v>
      </c>
      <c r="AZ9" s="908">
        <f ca="1">AU9-(AX9+AY9)</f>
        <v>1994.7549158000029</v>
      </c>
      <c r="BA9" s="908"/>
      <c r="BB9" s="909" t="str">
        <f>CodeA4</f>
        <v>EV28</v>
      </c>
      <c r="BC9" s="910">
        <f>IFERROR(BX9+CS9,0)</f>
        <v>3</v>
      </c>
      <c r="BD9" s="910">
        <f t="shared" ref="BD9:BD36" si="10">BY9+CT9</f>
        <v>1</v>
      </c>
      <c r="BE9" s="910">
        <f t="shared" ref="BE9:BE36" si="11">BZ9+CU9</f>
        <v>1</v>
      </c>
      <c r="BF9" s="910">
        <f t="shared" ref="BF9:BF36" si="12">CA9+CV9</f>
        <v>1</v>
      </c>
      <c r="BG9" s="910">
        <f t="shared" ref="BG9:BG36" si="13">CB9+CW9</f>
        <v>1</v>
      </c>
      <c r="BH9" s="910">
        <f t="shared" ref="BH9:BH36" si="14">CC9+CX9</f>
        <v>1</v>
      </c>
      <c r="BI9" s="910">
        <f t="shared" ref="BI9:BI36" si="15">CD9+CY9</f>
        <v>1</v>
      </c>
      <c r="BJ9" s="910">
        <f t="shared" ref="BJ9:BJ36" si="16">CE9+CZ9</f>
        <v>1</v>
      </c>
      <c r="BK9" s="910">
        <f t="shared" ref="BK9:BK36" si="17">CF9+DA9</f>
        <v>1</v>
      </c>
      <c r="BL9" s="910">
        <f>CG9+DB9</f>
        <v>1</v>
      </c>
      <c r="BM9" s="910">
        <f>CH9+CS9</f>
        <v>1</v>
      </c>
      <c r="BN9" s="910">
        <f t="shared" ref="BN9:BU9" si="18">CI9+DD9</f>
        <v>1</v>
      </c>
      <c r="BO9" s="910">
        <f t="shared" si="18"/>
        <v>1</v>
      </c>
      <c r="BP9" s="910">
        <f t="shared" si="18"/>
        <v>1</v>
      </c>
      <c r="BQ9" s="910">
        <f t="shared" si="18"/>
        <v>1</v>
      </c>
      <c r="BR9" s="910">
        <f t="shared" si="18"/>
        <v>2</v>
      </c>
      <c r="BS9" s="910">
        <f t="shared" si="18"/>
        <v>1</v>
      </c>
      <c r="BT9" s="910">
        <f t="shared" si="18"/>
        <v>1</v>
      </c>
      <c r="BU9" s="910">
        <f t="shared" si="18"/>
        <v>1</v>
      </c>
      <c r="BV9" s="910">
        <f>CQ9+DL9</f>
        <v>1</v>
      </c>
      <c r="BW9" s="909" t="str">
        <f>CodeA4</f>
        <v>EV28</v>
      </c>
      <c r="BX9" s="910">
        <f>E1BASEA4</f>
        <v>3</v>
      </c>
      <c r="BY9" s="910">
        <f>E2BASEA4</f>
        <v>1</v>
      </c>
      <c r="BZ9" s="910">
        <f>_xlfn.SINGLE(E3BASEA4)</f>
        <v>1</v>
      </c>
      <c r="CA9" s="910">
        <f>_xlfn.SINGLE(E4BASEA4)</f>
        <v>1</v>
      </c>
      <c r="CB9" s="910">
        <f>_xlfn.SINGLE(E5BASEA4)</f>
        <v>1</v>
      </c>
      <c r="CC9" s="910">
        <f>_xlfn.SINGLE(E6BASEA4)</f>
        <v>1</v>
      </c>
      <c r="CD9" s="910">
        <f>_xlfn.SINGLE(E7BASEA4)</f>
        <v>1</v>
      </c>
      <c r="CE9" s="910">
        <f>_xlfn.SINGLE(E8BASEA4)</f>
        <v>1</v>
      </c>
      <c r="CF9" s="910">
        <f>_xlfn.SINGLE(E9BASEA4)</f>
        <v>1</v>
      </c>
      <c r="CG9" s="910">
        <f>_xlfn.SINGLE(E10BASEA4)</f>
        <v>1</v>
      </c>
      <c r="CH9" s="910">
        <f>E11BASEA4</f>
        <v>1</v>
      </c>
      <c r="CI9" s="910">
        <f>E12BASEA4</f>
        <v>1</v>
      </c>
      <c r="CJ9" s="910">
        <f>E13BASEA4</f>
        <v>1</v>
      </c>
      <c r="CK9" s="910">
        <f>E14BASEA4</f>
        <v>1</v>
      </c>
      <c r="CL9" s="910">
        <f>E15BASEA4</f>
        <v>1</v>
      </c>
      <c r="CM9" s="910">
        <f>E16BASEA4</f>
        <v>2</v>
      </c>
      <c r="CN9" s="910">
        <f>E17BASEA4</f>
        <v>1</v>
      </c>
      <c r="CO9" s="910">
        <f>E18BASEA4</f>
        <v>1</v>
      </c>
      <c r="CP9" s="910">
        <f>E19BASEA4</f>
        <v>1</v>
      </c>
      <c r="CQ9" s="910">
        <f>E20BASEA4</f>
        <v>1</v>
      </c>
      <c r="CR9" s="909" t="str">
        <f>CodeA4</f>
        <v>EV28</v>
      </c>
      <c r="CT9" s="910"/>
      <c r="CY9" s="910"/>
      <c r="CZ9" s="910"/>
      <c r="DA9" s="910"/>
      <c r="DB9" s="910"/>
      <c r="DC9" s="910"/>
      <c r="DE9" s="910"/>
      <c r="DG9" s="910"/>
      <c r="DH9" s="910"/>
      <c r="DI9" s="910"/>
      <c r="DJ9" s="910"/>
      <c r="DK9" s="910"/>
      <c r="DL9" s="910"/>
    </row>
    <row r="10" spans="1:120" ht="13.9" customHeight="1" x14ac:dyDescent="0.2">
      <c r="A10" s="1382" t="s">
        <v>79</v>
      </c>
      <c r="B10" s="217" t="str">
        <f>CodeA3</f>
        <v>EV27</v>
      </c>
      <c r="C10" s="218"/>
      <c r="D10" s="252" t="str">
        <f>TitleA3</f>
        <v>PRINCIPAL/ TECH DIRECT 3</v>
      </c>
      <c r="E10" s="253"/>
      <c r="F10" s="219">
        <f t="shared" si="0"/>
        <v>1</v>
      </c>
      <c r="G10" s="80">
        <f>IF(F10="","",IFERROR(budgetdetailPhase1dollar2,0))</f>
        <v>316</v>
      </c>
      <c r="H10" s="219">
        <f t="shared" si="1"/>
        <v>1</v>
      </c>
      <c r="I10" s="80">
        <f>IF(H10="","",IFERROR(budgetdetailPhase2dollar2,0))</f>
        <v>316</v>
      </c>
      <c r="J10" s="219">
        <f t="shared" si="2"/>
        <v>1</v>
      </c>
      <c r="K10" s="80">
        <f>IF(J10="","",IFERROR(budgetdetailPhase3dollar2,0))</f>
        <v>316</v>
      </c>
      <c r="L10" s="219">
        <f t="shared" si="3"/>
        <v>1</v>
      </c>
      <c r="M10" s="80">
        <f>IF(L10="","",IFERROR(budgetdetailPhase4dollar2,0))</f>
        <v>316</v>
      </c>
      <c r="N10" s="219">
        <f t="shared" si="4"/>
        <v>1</v>
      </c>
      <c r="O10" s="80">
        <f>IF(N10="","",IFERROR(budgetdetailPhase5dollar2,0))</f>
        <v>316</v>
      </c>
      <c r="P10" s="219">
        <f t="shared" si="5"/>
        <v>1</v>
      </c>
      <c r="Q10" s="80">
        <f>IF(P10="","",IFERROR(budgetdetailPhase6dollar2,0))</f>
        <v>316</v>
      </c>
      <c r="R10" s="219">
        <f t="shared" si="6"/>
        <v>1</v>
      </c>
      <c r="S10" s="80">
        <f>IF(R10="","",IFERROR(budgetdetailPhase7dollar2,0))</f>
        <v>316</v>
      </c>
      <c r="T10" s="219">
        <f t="shared" si="7"/>
        <v>1</v>
      </c>
      <c r="U10" s="80">
        <f>IF(T10="","",IFERROR(budgetdetailPhase8dollar2,0))</f>
        <v>316</v>
      </c>
      <c r="V10" s="219">
        <f t="shared" si="8"/>
        <v>1</v>
      </c>
      <c r="W10" s="80">
        <f>IF(V10="","",IFERROR(budgetdetailPhase9dollar2,0))</f>
        <v>316</v>
      </c>
      <c r="X10" s="219">
        <f t="shared" si="9"/>
        <v>1</v>
      </c>
      <c r="Y10" s="80">
        <f>IF(X10="","",IFERROR(budgetdetailPhase10dollar2,0))</f>
        <v>316</v>
      </c>
      <c r="Z10" s="1225">
        <f>E11RateA3Total</f>
        <v>1</v>
      </c>
      <c r="AA10" s="1207">
        <f>IF(Z10="","",'Phase 11'!E44)</f>
        <v>316</v>
      </c>
      <c r="AB10" s="1225">
        <f>E12RateA3Total</f>
        <v>1</v>
      </c>
      <c r="AC10" s="1207">
        <f>IF(AB10="","",'Phase 12'!E44)</f>
        <v>316</v>
      </c>
      <c r="AD10" s="1225">
        <f>E13RateA3Total</f>
        <v>1</v>
      </c>
      <c r="AE10" s="1207">
        <f>IF(AD10="","",'Phase 13'!E44)</f>
        <v>316</v>
      </c>
      <c r="AF10" s="1225">
        <f>E14RateA3Total</f>
        <v>1</v>
      </c>
      <c r="AG10" s="1207">
        <f>IF(AF10="","",'Phase 14'!E44)</f>
        <v>316</v>
      </c>
      <c r="AH10" s="1225">
        <f>E15RateA3Total</f>
        <v>1</v>
      </c>
      <c r="AI10" s="1207">
        <f>IF(AH10="","",'Phase 15'!E44)</f>
        <v>316</v>
      </c>
      <c r="AJ10" s="1225">
        <f>E16RateA3Total</f>
        <v>2</v>
      </c>
      <c r="AK10" s="1207">
        <f>IF(AJ10="","",'Phase 16'!E45)</f>
        <v>632</v>
      </c>
      <c r="AL10" s="1225">
        <f>E17RateA3Total</f>
        <v>1</v>
      </c>
      <c r="AM10" s="1207">
        <f>IF(AL10="","",'Phase 17'!E44)</f>
        <v>316</v>
      </c>
      <c r="AN10" s="1225">
        <f>E18RateA3Total</f>
        <v>1</v>
      </c>
      <c r="AO10" s="1207">
        <f>IF(AN10="","",'Phase 18'!E44)</f>
        <v>316</v>
      </c>
      <c r="AP10" s="1225">
        <f>E19RateA3Total</f>
        <v>1</v>
      </c>
      <c r="AQ10" s="1207">
        <f>IF(AP10="","",'Phase 19'!E44)</f>
        <v>316</v>
      </c>
      <c r="AR10" s="1555">
        <f>E20RateA3Total</f>
        <v>1</v>
      </c>
      <c r="AS10" s="1207">
        <f>IF(AR10="","",'Phase 20'!E44)</f>
        <v>316</v>
      </c>
      <c r="AT10" s="1009" cm="1">
        <f t="array" aca="1" ref="AT10" ca="1">SUM(_xlfn._xlws.FILTER(INDEX(DynamicBudgetDetailRange, 1, _xlfn.SEQUENCE(1, COLUMNS(DynamicBudgetDetailRange), 1, 2)), ISNUMBER(INDEX(DynamicBudgetDetailRange, 1, _xlfn.SEQUENCE(1, COLUMNS(DynamicBudgetDetailRange), 1, 2)))))</f>
        <v>21</v>
      </c>
      <c r="AU10" s="80" cm="1">
        <f t="array" aca="1" ref="AU10" ca="1">IFERROR(SUM(_xlfn._xlws.FILTER(INDEX(DynamicTotalAmount, 1, _xlfn.SEQUENCE(1, COLUMNS(DynamicTotalAmount), 1, 2)), ISNUMBER(INDEX(DynamicTotalAmount, 1, _xlfn.SEQUENCE(1, COLUMNS(DynamicTotalAmount), 1, 2))))),0)</f>
        <v>6636</v>
      </c>
      <c r="AV10" s="418">
        <f t="shared" ref="AV10:AV40" ca="1" si="19">IF(AX10=0,"",AU10/AX10)</f>
        <v>3.128031767367494</v>
      </c>
      <c r="AW10" s="420">
        <f t="shared" ref="AW10:AW36" ca="1" si="20">IF(AU10=0,"",AZ10/AU10)</f>
        <v>0.21036607563652829</v>
      </c>
      <c r="AX10" s="901">
        <f>IFERROR(E1DirectLaborE48,0)</f>
        <v>2121.461830799999</v>
      </c>
      <c r="AY10" s="901">
        <f>IFERROR(E1OverheadE49,0)</f>
        <v>3118.5488912759993</v>
      </c>
      <c r="AZ10" s="908">
        <f t="shared" ref="AZ10:AZ36" ca="1" si="21">AU10-(AX10+AY10)</f>
        <v>1395.9892779240017</v>
      </c>
      <c r="BA10" s="908"/>
      <c r="BB10" s="909" t="str">
        <f>CodeA3</f>
        <v>EV27</v>
      </c>
      <c r="BC10" s="910">
        <f t="shared" ref="BC10:BC36" si="22">BX10+CS10</f>
        <v>1</v>
      </c>
      <c r="BD10" s="910">
        <f t="shared" si="10"/>
        <v>1</v>
      </c>
      <c r="BE10" s="910">
        <f t="shared" si="11"/>
        <v>1</v>
      </c>
      <c r="BF10" s="910">
        <f t="shared" si="12"/>
        <v>1</v>
      </c>
      <c r="BG10" s="910">
        <f t="shared" si="13"/>
        <v>1</v>
      </c>
      <c r="BH10" s="910">
        <f t="shared" si="14"/>
        <v>1</v>
      </c>
      <c r="BI10" s="910">
        <f t="shared" si="15"/>
        <v>1</v>
      </c>
      <c r="BJ10" s="910">
        <f t="shared" si="16"/>
        <v>1</v>
      </c>
      <c r="BK10" s="910">
        <f t="shared" si="17"/>
        <v>1</v>
      </c>
      <c r="BL10" s="910">
        <f>CG10+DB10</f>
        <v>1</v>
      </c>
      <c r="BM10" s="910">
        <f t="shared" ref="BM10:BN17" si="23">CH10+DC10</f>
        <v>1</v>
      </c>
      <c r="BN10" s="910">
        <f t="shared" si="23"/>
        <v>1</v>
      </c>
      <c r="BO10" s="910">
        <f t="shared" ref="BO10:BO36" si="24">CJ10+DE10</f>
        <v>1</v>
      </c>
      <c r="BP10" s="910">
        <f>CK10+DF10</f>
        <v>1</v>
      </c>
      <c r="BQ10" s="910">
        <f t="shared" ref="BQ10:BQ36" si="25">CL10+DG10</f>
        <v>1</v>
      </c>
      <c r="BR10" s="910">
        <f t="shared" ref="BR10:BR36" si="26">CM10+DH10</f>
        <v>2</v>
      </c>
      <c r="BS10" s="910">
        <f t="shared" ref="BS10:BS36" si="27">CN10+DI10</f>
        <v>1</v>
      </c>
      <c r="BT10" s="910">
        <f>CO10+DJ10</f>
        <v>1</v>
      </c>
      <c r="BU10" s="910">
        <f t="shared" ref="BU10:BU35" si="28">CP10+DK10</f>
        <v>1</v>
      </c>
      <c r="BV10" s="910">
        <f t="shared" ref="BV10:BV36" si="29">CQ10+DL10</f>
        <v>1</v>
      </c>
      <c r="BW10" s="909" t="str">
        <f>CodeA3</f>
        <v>EV27</v>
      </c>
      <c r="BX10" s="910">
        <f>_xlfn.SINGLE(E1BASEA3)</f>
        <v>1</v>
      </c>
      <c r="BY10" s="910">
        <f>_xlfn.SINGLE(E2BASEA3)</f>
        <v>1</v>
      </c>
      <c r="BZ10" s="910">
        <f>_xlfn.SINGLE(E3BASEA3)</f>
        <v>1</v>
      </c>
      <c r="CA10" s="910">
        <f>_xlfn.SINGLE(E4BASEA3)</f>
        <v>1</v>
      </c>
      <c r="CB10" s="910">
        <f>_xlfn.SINGLE(E5BASEA3)</f>
        <v>1</v>
      </c>
      <c r="CC10" s="910">
        <f>_xlfn.SINGLE(E6BASEA3)</f>
        <v>1</v>
      </c>
      <c r="CD10" s="910">
        <f>_xlfn.SINGLE(E7BASEA3)</f>
        <v>1</v>
      </c>
      <c r="CE10" s="910">
        <f>_xlfn.SINGLE(E8BASEA3)</f>
        <v>1</v>
      </c>
      <c r="CF10" s="910">
        <f>_xlfn.SINGLE(E9BASEA3)</f>
        <v>1</v>
      </c>
      <c r="CG10" s="910">
        <f>_xlfn.SINGLE(E10BASEA3)</f>
        <v>1</v>
      </c>
      <c r="CH10" s="910">
        <f>E11BASEA3</f>
        <v>1</v>
      </c>
      <c r="CI10" s="910">
        <f>E12BASEA3</f>
        <v>1</v>
      </c>
      <c r="CJ10" s="910">
        <f>E13BASEA3</f>
        <v>1</v>
      </c>
      <c r="CK10" s="910">
        <f>E14BASEA3</f>
        <v>1</v>
      </c>
      <c r="CL10" s="910">
        <f>E15BASEA3</f>
        <v>1</v>
      </c>
      <c r="CM10" s="910">
        <f>E16BASEA3</f>
        <v>2</v>
      </c>
      <c r="CN10" s="910">
        <f>E17BASEA3</f>
        <v>1</v>
      </c>
      <c r="CO10" s="910">
        <f>E18BASEA3</f>
        <v>1</v>
      </c>
      <c r="CP10" s="910">
        <f>E19BASEA3</f>
        <v>1</v>
      </c>
      <c r="CQ10" s="910">
        <f>E20BASEA3</f>
        <v>1</v>
      </c>
      <c r="CR10" s="909" t="str">
        <f>CodeA3</f>
        <v>EV27</v>
      </c>
      <c r="CS10" s="910"/>
      <c r="CT10" s="910"/>
      <c r="CU10" s="910"/>
      <c r="CV10" s="910"/>
      <c r="CW10" s="910"/>
      <c r="CX10" s="910"/>
      <c r="CY10" s="910"/>
      <c r="CZ10" s="910"/>
      <c r="DA10" s="910"/>
      <c r="DB10" s="910"/>
      <c r="DC10" s="910"/>
      <c r="DD10" s="910"/>
      <c r="DE10" s="910"/>
      <c r="DF10" s="910"/>
      <c r="DG10" s="910"/>
      <c r="DH10" s="910"/>
      <c r="DI10" s="910"/>
      <c r="DJ10" s="910"/>
      <c r="DK10" s="910"/>
      <c r="DL10" s="910"/>
    </row>
    <row r="11" spans="1:120" ht="13.9" customHeight="1" x14ac:dyDescent="0.2">
      <c r="A11" s="1378"/>
      <c r="B11" s="217" t="str">
        <f>CodeA2</f>
        <v>EV26</v>
      </c>
      <c r="C11" s="218"/>
      <c r="D11" s="252" t="str">
        <f>TitleA2</f>
        <v>PRINCIPAL/ TECH DIRECT 2</v>
      </c>
      <c r="E11" s="253"/>
      <c r="F11" s="219">
        <f t="shared" si="0"/>
        <v>1</v>
      </c>
      <c r="G11" s="80">
        <f>IF(F11="","",IFERROR(budgetdetailPhase1dollar3,0))</f>
        <v>283</v>
      </c>
      <c r="H11" s="219">
        <f t="shared" si="1"/>
        <v>1</v>
      </c>
      <c r="I11" s="80">
        <f>IF(H11="","",IFERROR(budgetdetailPhase2dollar3,0))</f>
        <v>283</v>
      </c>
      <c r="J11" s="219">
        <f t="shared" si="2"/>
        <v>1</v>
      </c>
      <c r="K11" s="80">
        <f>IF(J11="","",IFERROR(budgetdetailPhase3dollar3,0))</f>
        <v>283</v>
      </c>
      <c r="L11" s="219">
        <f t="shared" si="3"/>
        <v>1</v>
      </c>
      <c r="M11" s="80">
        <f>IF(L11="","",IFERROR(budgetdetailPhase4dollar3,0))</f>
        <v>283</v>
      </c>
      <c r="N11" s="219">
        <f t="shared" si="4"/>
        <v>1</v>
      </c>
      <c r="O11" s="80">
        <f>IF(N11="","",IFERROR(budgetdetailPhase5dollar3,0))</f>
        <v>283</v>
      </c>
      <c r="P11" s="219">
        <f t="shared" si="5"/>
        <v>1</v>
      </c>
      <c r="Q11" s="80">
        <f>IF(P11="","",IFERROR(budgetdetailPhase6dollar3,0))</f>
        <v>283</v>
      </c>
      <c r="R11" s="219">
        <f t="shared" si="6"/>
        <v>1</v>
      </c>
      <c r="S11" s="80">
        <f>IF(R11="","",IFERROR(budgetdetailPhase7dollar3,0))</f>
        <v>283</v>
      </c>
      <c r="T11" s="219">
        <f t="shared" si="7"/>
        <v>1</v>
      </c>
      <c r="U11" s="80">
        <f>IF(T11="","",IFERROR(budgetdetailPhase8dollar3,0))</f>
        <v>283</v>
      </c>
      <c r="V11" s="219">
        <f t="shared" si="8"/>
        <v>1</v>
      </c>
      <c r="W11" s="80">
        <f>IF(V11="","",IFERROR(budgetdetailPhase9dollar3,0))</f>
        <v>283</v>
      </c>
      <c r="X11" s="219">
        <f t="shared" si="9"/>
        <v>1</v>
      </c>
      <c r="Y11" s="80">
        <f>IF(X11="","",IFERROR(budgetdetailPhase10dollar3,0))</f>
        <v>283</v>
      </c>
      <c r="Z11" s="1225">
        <f>E11RateA2Total</f>
        <v>1</v>
      </c>
      <c r="AA11" s="1207">
        <f>IF(Z11="","",'Phase 11'!F44)</f>
        <v>283</v>
      </c>
      <c r="AB11" s="1225">
        <f>E12RateA2Total</f>
        <v>1</v>
      </c>
      <c r="AC11" s="1207">
        <f>IF(AB11="","",'Phase 12'!F44)</f>
        <v>283</v>
      </c>
      <c r="AD11" s="1225">
        <f>E13RateA2Total</f>
        <v>1</v>
      </c>
      <c r="AE11" s="1207">
        <f>IF(AD11="","",'Phase 13'!F44)</f>
        <v>283</v>
      </c>
      <c r="AF11" s="1225">
        <f>E14RateA2Total</f>
        <v>1</v>
      </c>
      <c r="AG11" s="1207">
        <f>IF(AF11="","",'Phase 14'!F44)</f>
        <v>283</v>
      </c>
      <c r="AH11" s="1225">
        <f>E15RateA2Total</f>
        <v>1</v>
      </c>
      <c r="AI11" s="1207">
        <f>IF(AH11="","",'Phase 15'!F44)</f>
        <v>283</v>
      </c>
      <c r="AJ11" s="1225">
        <f>E16RateA2Total</f>
        <v>2</v>
      </c>
      <c r="AK11" s="1207">
        <f>IF(AJ11="","",'Phase 16'!F45)</f>
        <v>566</v>
      </c>
      <c r="AL11" s="1225">
        <f>E17RateA2Total</f>
        <v>1</v>
      </c>
      <c r="AM11" s="1207">
        <f>IF(AL11="","",'Phase 17'!F44)</f>
        <v>283</v>
      </c>
      <c r="AN11" s="1225">
        <f>E18RateA2Total</f>
        <v>1</v>
      </c>
      <c r="AO11" s="1207">
        <f>IF(AN11="","",'Phase 18'!F44)</f>
        <v>283</v>
      </c>
      <c r="AP11" s="1225">
        <f>E19RateA2Total</f>
        <v>1</v>
      </c>
      <c r="AQ11" s="1207">
        <f>IF(AP11="","",'Phase 19'!F44)</f>
        <v>283</v>
      </c>
      <c r="AR11" s="1555">
        <f>E20RateA2Total</f>
        <v>1</v>
      </c>
      <c r="AS11" s="1207">
        <f>IF(AR11="","",'Phase 20'!F44)</f>
        <v>283</v>
      </c>
      <c r="AT11" s="1009" cm="1">
        <f t="array" aca="1" ref="AT11" ca="1">SUM(_xlfn._xlws.FILTER(INDEX(DynamicBudgetDetailRange, 1, _xlfn.SEQUENCE(1, COLUMNS(DynamicBudgetDetailRange), 1, 2)), ISNUMBER(INDEX(DynamicBudgetDetailRange, 1, _xlfn.SEQUENCE(1, COLUMNS(DynamicBudgetDetailRange), 1, 2)))))</f>
        <v>21</v>
      </c>
      <c r="AU11" s="80" cm="1">
        <f t="array" aca="1" ref="AU11" ca="1">IFERROR(SUM(_xlfn._xlws.FILTER(INDEX(DynamicTotalAmount, 1, _xlfn.SEQUENCE(1, COLUMNS(DynamicTotalAmount), 1, 2)), ISNUMBER(INDEX(DynamicTotalAmount, 1, _xlfn.SEQUENCE(1, COLUMNS(DynamicTotalAmount), 1, 2))))),0)</f>
        <v>5943</v>
      </c>
      <c r="AV11" s="418">
        <f t="shared" ref="AV11:AV20" ca="1" si="30">IF(AX11=0,"",AU11/AX11)</f>
        <v>3.2386328989704527</v>
      </c>
      <c r="AW11" s="420">
        <f t="shared" ca="1" si="20"/>
        <v>0.23733251743808262</v>
      </c>
      <c r="AX11" s="901">
        <f>IFERROR(E1DirectLaborF48,0)</f>
        <v>1835.0335420508</v>
      </c>
      <c r="AY11" s="901">
        <f>IFERROR(E1OverheadF49,0)</f>
        <v>2697.499306814675</v>
      </c>
      <c r="AZ11" s="908">
        <f t="shared" ref="AZ11:AZ20" ca="1" si="31">AU11-(AX11+AY11)</f>
        <v>1410.467151134525</v>
      </c>
      <c r="BA11" s="908"/>
      <c r="BB11" s="909" t="str">
        <f>CodeA2</f>
        <v>EV26</v>
      </c>
      <c r="BC11" s="910">
        <f t="shared" si="22"/>
        <v>1</v>
      </c>
      <c r="BD11" s="910">
        <f t="shared" si="10"/>
        <v>1</v>
      </c>
      <c r="BE11" s="910">
        <f t="shared" si="11"/>
        <v>1</v>
      </c>
      <c r="BF11" s="910">
        <f t="shared" si="12"/>
        <v>1</v>
      </c>
      <c r="BG11" s="910">
        <f t="shared" si="13"/>
        <v>1</v>
      </c>
      <c r="BH11" s="910">
        <f t="shared" si="14"/>
        <v>1</v>
      </c>
      <c r="BI11" s="910">
        <f t="shared" si="15"/>
        <v>1</v>
      </c>
      <c r="BJ11" s="910">
        <f t="shared" si="16"/>
        <v>1</v>
      </c>
      <c r="BK11" s="910">
        <f t="shared" si="17"/>
        <v>1</v>
      </c>
      <c r="BL11" s="910">
        <f t="shared" ref="BL11:BL36" si="32">CG11+DB11</f>
        <v>1</v>
      </c>
      <c r="BM11" s="910">
        <f t="shared" si="23"/>
        <v>1</v>
      </c>
      <c r="BN11" s="910">
        <f t="shared" si="23"/>
        <v>1</v>
      </c>
      <c r="BO11" s="910">
        <f t="shared" si="24"/>
        <v>1</v>
      </c>
      <c r="BP11" s="910">
        <f t="shared" ref="BP11:BP36" si="33">CK11+DF11</f>
        <v>1</v>
      </c>
      <c r="BQ11" s="910">
        <f t="shared" si="25"/>
        <v>1</v>
      </c>
      <c r="BR11" s="910">
        <f t="shared" si="26"/>
        <v>2</v>
      </c>
      <c r="BS11" s="910">
        <f t="shared" si="27"/>
        <v>1</v>
      </c>
      <c r="BT11" s="910">
        <f>CO11+DJ11</f>
        <v>1</v>
      </c>
      <c r="BU11" s="910">
        <f t="shared" si="28"/>
        <v>1</v>
      </c>
      <c r="BV11" s="910">
        <f t="shared" si="29"/>
        <v>1</v>
      </c>
      <c r="BW11" s="909" t="str">
        <f>CodeA2</f>
        <v>EV26</v>
      </c>
      <c r="BX11" s="910">
        <f>_xlfn.SINGLE(E1BASEA2)</f>
        <v>1</v>
      </c>
      <c r="BY11" s="910">
        <f>_xlfn.SINGLE(E2BASEA2)</f>
        <v>1</v>
      </c>
      <c r="BZ11" s="910">
        <f>_xlfn.SINGLE(E3BASEA2)</f>
        <v>1</v>
      </c>
      <c r="CA11" s="910">
        <f>_xlfn.SINGLE(E4BASEA2)</f>
        <v>1</v>
      </c>
      <c r="CB11" s="910">
        <f>_xlfn.SINGLE(E5BASEA2)</f>
        <v>1</v>
      </c>
      <c r="CC11" s="910">
        <f>_xlfn.SINGLE(E6BASEA2)</f>
        <v>1</v>
      </c>
      <c r="CD11" s="910">
        <f>_xlfn.SINGLE(E7BASEA2)</f>
        <v>1</v>
      </c>
      <c r="CE11" s="910">
        <f>_xlfn.SINGLE(E8BASEA2)</f>
        <v>1</v>
      </c>
      <c r="CF11" s="910">
        <f>_xlfn.SINGLE(E9BASEA2)</f>
        <v>1</v>
      </c>
      <c r="CG11" s="910">
        <f>_xlfn.SINGLE(E10BASEA2)</f>
        <v>1</v>
      </c>
      <c r="CH11" s="910">
        <f>E11BASEA2</f>
        <v>1</v>
      </c>
      <c r="CI11" s="910">
        <f>E12BASEA2</f>
        <v>1</v>
      </c>
      <c r="CJ11" s="910">
        <f>E13BASEA2</f>
        <v>1</v>
      </c>
      <c r="CK11" s="910">
        <f>E14BASEA2</f>
        <v>1</v>
      </c>
      <c r="CL11" s="910">
        <f>E15BASEA2</f>
        <v>1</v>
      </c>
      <c r="CM11" s="910">
        <f>E16BASEA2</f>
        <v>2</v>
      </c>
      <c r="CN11" s="910">
        <f>E17BASEA2</f>
        <v>1</v>
      </c>
      <c r="CO11" s="910">
        <f>E18BASEA2</f>
        <v>1</v>
      </c>
      <c r="CP11" s="910">
        <f>E19BASEA2</f>
        <v>1</v>
      </c>
      <c r="CQ11" s="910">
        <f>E20BASEA2</f>
        <v>1</v>
      </c>
      <c r="CR11" s="909" t="str">
        <f>CodeA2</f>
        <v>EV26</v>
      </c>
      <c r="CS11" s="910"/>
      <c r="CT11" s="910"/>
      <c r="CU11" s="910"/>
      <c r="CV11" s="910"/>
      <c r="CW11" s="910"/>
      <c r="CX11" s="910"/>
      <c r="CY11" s="910"/>
      <c r="CZ11" s="910"/>
      <c r="DA11" s="910"/>
      <c r="DB11" s="910"/>
      <c r="DC11" s="910"/>
      <c r="DD11" s="910"/>
      <c r="DE11" s="910"/>
      <c r="DF11" s="910"/>
      <c r="DG11" s="910"/>
      <c r="DH11" s="910"/>
      <c r="DI11" s="910"/>
      <c r="DJ11" s="910"/>
      <c r="DK11" s="910"/>
      <c r="DL11" s="910"/>
    </row>
    <row r="12" spans="1:120" ht="13.9" customHeight="1" x14ac:dyDescent="0.2">
      <c r="A12" s="1378"/>
      <c r="B12" s="217" t="str">
        <f>CodeA1</f>
        <v>EV25</v>
      </c>
      <c r="C12" s="218"/>
      <c r="D12" s="252" t="str">
        <f>TitleA1</f>
        <v>PRINCIPAL/ TECH DIRECT 1</v>
      </c>
      <c r="E12" s="253"/>
      <c r="F12" s="219">
        <f t="shared" si="0"/>
        <v>1</v>
      </c>
      <c r="G12" s="80">
        <f>IF(F12="","",IFERROR(budgetdetailPhase1dollar4,0))</f>
        <v>262</v>
      </c>
      <c r="H12" s="219">
        <f t="shared" si="1"/>
        <v>1</v>
      </c>
      <c r="I12" s="80">
        <f>IF(H12="","",IFERROR(budgetdetailPhase2dollar4,0))</f>
        <v>262</v>
      </c>
      <c r="J12" s="219">
        <f t="shared" si="2"/>
        <v>1</v>
      </c>
      <c r="K12" s="80">
        <f>IF(J12="","",IFERROR(budgetdetailPhase3dollar4,0))</f>
        <v>262</v>
      </c>
      <c r="L12" s="219">
        <f t="shared" si="3"/>
        <v>1</v>
      </c>
      <c r="M12" s="80">
        <f>IF(L12="","",IFERROR(budgetdetailPhase4dollar4,0))</f>
        <v>262</v>
      </c>
      <c r="N12" s="219">
        <f t="shared" si="4"/>
        <v>1</v>
      </c>
      <c r="O12" s="80">
        <f>IF(N12="","",IFERROR(budgetdetailPhase5dollar4,0))</f>
        <v>262</v>
      </c>
      <c r="P12" s="219">
        <f t="shared" si="5"/>
        <v>1</v>
      </c>
      <c r="Q12" s="80">
        <f>IF(P12="","",IFERROR(budgetdetailPhase6dollar4,0))</f>
        <v>262</v>
      </c>
      <c r="R12" s="219">
        <f t="shared" si="6"/>
        <v>1</v>
      </c>
      <c r="S12" s="80">
        <f>IF(R12="","",IFERROR(budgetdetailPhase7dollar4,0))</f>
        <v>262</v>
      </c>
      <c r="T12" s="219">
        <f t="shared" si="7"/>
        <v>1</v>
      </c>
      <c r="U12" s="80">
        <f>IF(T12="","",IFERROR(budgetdetailPhase8dollar4,0))</f>
        <v>262</v>
      </c>
      <c r="V12" s="219">
        <f t="shared" si="8"/>
        <v>1</v>
      </c>
      <c r="W12" s="80">
        <f>IF(V12="","",IFERROR(budgetdetailPhase9dollar4,0))</f>
        <v>262</v>
      </c>
      <c r="X12" s="219">
        <f t="shared" si="9"/>
        <v>1</v>
      </c>
      <c r="Y12" s="80">
        <f>IF(X12="","",IFERROR(budgetdetailPhase10dollar4,0))</f>
        <v>262</v>
      </c>
      <c r="Z12" s="1225">
        <f>E11RateA1Total</f>
        <v>1</v>
      </c>
      <c r="AA12" s="1207">
        <f>IF(Z12="","",'Phase 11'!G44)</f>
        <v>262</v>
      </c>
      <c r="AB12" s="1225">
        <f>E12RateA1Total</f>
        <v>1</v>
      </c>
      <c r="AC12" s="1207">
        <f>IF(AB12="","",'Phase 12'!G44)</f>
        <v>262</v>
      </c>
      <c r="AD12" s="1225">
        <f>E13RateA1Total</f>
        <v>1</v>
      </c>
      <c r="AE12" s="1207">
        <f>IF(AD12="","",'Phase 13'!G44)</f>
        <v>262</v>
      </c>
      <c r="AF12" s="1225">
        <f>E14RateA1Total</f>
        <v>1</v>
      </c>
      <c r="AG12" s="1207">
        <f>IF(AF12="","",'Phase 14'!G44)</f>
        <v>262</v>
      </c>
      <c r="AH12" s="1225">
        <f>E15RateA1Total</f>
        <v>1</v>
      </c>
      <c r="AI12" s="1207">
        <f>IF(AH12="","",'Phase 15'!G44)</f>
        <v>262</v>
      </c>
      <c r="AJ12" s="1225">
        <f>E16RateA1Total</f>
        <v>2</v>
      </c>
      <c r="AK12" s="1207">
        <f>IF(AJ12="","",'Phase 16'!G45)</f>
        <v>524</v>
      </c>
      <c r="AL12" s="1225">
        <f>E17RateA1Total</f>
        <v>1</v>
      </c>
      <c r="AM12" s="1207">
        <f>IF(AL12="","",'Phase 17'!G44)</f>
        <v>262</v>
      </c>
      <c r="AN12" s="1225">
        <f>E18RateA1Total</f>
        <v>1</v>
      </c>
      <c r="AO12" s="1207">
        <f>IF(AN12="","",'Phase 18'!G44)</f>
        <v>262</v>
      </c>
      <c r="AP12" s="1225">
        <f>E19RateA1Total</f>
        <v>1</v>
      </c>
      <c r="AQ12" s="1207">
        <f>IF(AP12="","",'Phase 19'!G44)</f>
        <v>262</v>
      </c>
      <c r="AR12" s="1555">
        <f>E20RateA1Total</f>
        <v>1</v>
      </c>
      <c r="AS12" s="1207">
        <f>IF(AR12="","",'Phase 20'!G44)</f>
        <v>262</v>
      </c>
      <c r="AT12" s="1009" cm="1">
        <f t="array" aca="1" ref="AT12" ca="1">SUM(_xlfn._xlws.FILTER(INDEX(DynamicBudgetDetailRange, 1, _xlfn.SEQUENCE(1, COLUMNS(DynamicBudgetDetailRange), 1, 2)), ISNUMBER(INDEX(DynamicBudgetDetailRange, 1, _xlfn.SEQUENCE(1, COLUMNS(DynamicBudgetDetailRange), 1, 2)))))</f>
        <v>21</v>
      </c>
      <c r="AU12" s="80" cm="1">
        <f t="array" aca="1" ref="AU12" ca="1">IFERROR(SUM(_xlfn._xlws.FILTER(INDEX(DynamicTotalAmount, 1, _xlfn.SEQUENCE(1, COLUMNS(DynamicTotalAmount), 1, 2)), ISNUMBER(INDEX(DynamicTotalAmount, 1, _xlfn.SEQUENCE(1, COLUMNS(DynamicTotalAmount), 1, 2))))),0)</f>
        <v>5502</v>
      </c>
      <c r="AV12" s="418">
        <f t="shared" ca="1" si="30"/>
        <v>3.0806863932717565</v>
      </c>
      <c r="AW12" s="420">
        <f t="shared" ca="1" si="20"/>
        <v>0.1982306263323329</v>
      </c>
      <c r="AX12" s="901">
        <f>IFERROR(E1DirectLaborG48,0)</f>
        <v>1785.9656250686248</v>
      </c>
      <c r="AY12" s="901">
        <f>IFERROR(E1OverheadG49,0)</f>
        <v>2625.369468850879</v>
      </c>
      <c r="AZ12" s="908">
        <f t="shared" ca="1" si="31"/>
        <v>1090.6649060804957</v>
      </c>
      <c r="BA12" s="908"/>
      <c r="BB12" s="909" t="str">
        <f>CodeA1</f>
        <v>EV25</v>
      </c>
      <c r="BC12" s="910">
        <f t="shared" si="22"/>
        <v>1</v>
      </c>
      <c r="BD12" s="910">
        <f t="shared" si="10"/>
        <v>1</v>
      </c>
      <c r="BE12" s="910">
        <f t="shared" si="11"/>
        <v>1</v>
      </c>
      <c r="BF12" s="910">
        <f t="shared" si="12"/>
        <v>1</v>
      </c>
      <c r="BG12" s="910">
        <f t="shared" si="13"/>
        <v>1</v>
      </c>
      <c r="BH12" s="910">
        <f t="shared" si="14"/>
        <v>1</v>
      </c>
      <c r="BI12" s="910">
        <f t="shared" si="15"/>
        <v>1</v>
      </c>
      <c r="BJ12" s="910">
        <f t="shared" si="16"/>
        <v>1</v>
      </c>
      <c r="BK12" s="910">
        <f t="shared" si="17"/>
        <v>1</v>
      </c>
      <c r="BL12" s="910">
        <f t="shared" si="32"/>
        <v>1</v>
      </c>
      <c r="BM12" s="910">
        <f t="shared" si="23"/>
        <v>1</v>
      </c>
      <c r="BN12" s="910">
        <f t="shared" si="23"/>
        <v>1</v>
      </c>
      <c r="BO12" s="910">
        <f t="shared" si="24"/>
        <v>1</v>
      </c>
      <c r="BP12" s="910">
        <f t="shared" si="33"/>
        <v>1</v>
      </c>
      <c r="BQ12" s="910">
        <f t="shared" si="25"/>
        <v>1</v>
      </c>
      <c r="BR12" s="910">
        <f t="shared" si="26"/>
        <v>2</v>
      </c>
      <c r="BS12" s="910">
        <f t="shared" si="27"/>
        <v>1</v>
      </c>
      <c r="BT12" s="910">
        <f>CO12+DJ12</f>
        <v>1</v>
      </c>
      <c r="BU12" s="910">
        <f t="shared" si="28"/>
        <v>1</v>
      </c>
      <c r="BV12" s="910">
        <f t="shared" si="29"/>
        <v>1</v>
      </c>
      <c r="BW12" s="909" t="str">
        <f>CodeA1</f>
        <v>EV25</v>
      </c>
      <c r="BX12" s="910">
        <f>_xlfn.SINGLE(E1BASEA1)</f>
        <v>1</v>
      </c>
      <c r="BY12" s="910">
        <f>_xlfn.SINGLE(E2BASEA1)</f>
        <v>1</v>
      </c>
      <c r="BZ12" s="910">
        <f>_xlfn.SINGLE(E3BASEA1)</f>
        <v>1</v>
      </c>
      <c r="CA12" s="910">
        <f>_xlfn.SINGLE(E4BASEA1)</f>
        <v>1</v>
      </c>
      <c r="CB12" s="910">
        <f>_xlfn.SINGLE(E5BASEA1)</f>
        <v>1</v>
      </c>
      <c r="CC12" s="910">
        <f>_xlfn.SINGLE(E6BASEA1)</f>
        <v>1</v>
      </c>
      <c r="CD12" s="910">
        <f>_xlfn.SINGLE(E7BASEA1)</f>
        <v>1</v>
      </c>
      <c r="CE12" s="910">
        <f>_xlfn.SINGLE(E8BASEA1)</f>
        <v>1</v>
      </c>
      <c r="CF12" s="910">
        <f>_xlfn.SINGLE(E9BASEA1)</f>
        <v>1</v>
      </c>
      <c r="CG12" s="910">
        <f>_xlfn.SINGLE(E10BASEA1)</f>
        <v>1</v>
      </c>
      <c r="CH12" s="910">
        <f>E11BASEA1</f>
        <v>1</v>
      </c>
      <c r="CI12" s="910">
        <f>E12BASEA1</f>
        <v>1</v>
      </c>
      <c r="CJ12" s="910">
        <f>E13BASEA1</f>
        <v>1</v>
      </c>
      <c r="CK12" s="910">
        <f>E14BASEA1</f>
        <v>1</v>
      </c>
      <c r="CL12" s="910">
        <f>E15BASEA1</f>
        <v>1</v>
      </c>
      <c r="CM12" s="910">
        <f>E16BASEA1</f>
        <v>2</v>
      </c>
      <c r="CN12" s="910">
        <f>E17BASEA1</f>
        <v>1</v>
      </c>
      <c r="CO12" s="910">
        <f>E18BASEA1</f>
        <v>1</v>
      </c>
      <c r="CP12" s="910">
        <f>E19BASEA1</f>
        <v>1</v>
      </c>
      <c r="CQ12" s="910">
        <f>E20BASEA1</f>
        <v>1</v>
      </c>
      <c r="CR12" s="909" t="str">
        <f>CodeA1</f>
        <v>EV25</v>
      </c>
      <c r="CS12" s="910"/>
      <c r="CT12" s="910"/>
      <c r="CU12" s="910"/>
      <c r="CV12" s="910"/>
      <c r="CW12" s="910"/>
      <c r="CX12" s="910"/>
      <c r="CY12" s="910"/>
      <c r="CZ12" s="910"/>
      <c r="DA12" s="910"/>
      <c r="DB12" s="910"/>
      <c r="DC12" s="910"/>
      <c r="DE12" s="910"/>
      <c r="DF12" s="910"/>
      <c r="DG12" s="910"/>
      <c r="DI12" s="910"/>
      <c r="DJ12" s="910"/>
      <c r="DK12" s="910"/>
      <c r="DL12" s="910"/>
    </row>
    <row r="13" spans="1:120" ht="13.9" customHeight="1" x14ac:dyDescent="0.2">
      <c r="A13" s="1378"/>
      <c r="B13" s="217" t="str">
        <f>CodeB4</f>
        <v>EV24</v>
      </c>
      <c r="C13" s="218"/>
      <c r="D13" s="252" t="str">
        <f>TitleB4</f>
        <v>PROG MGR/SR TECH MGR 4</v>
      </c>
      <c r="E13" s="253"/>
      <c r="F13" s="219">
        <f t="shared" si="0"/>
        <v>1</v>
      </c>
      <c r="G13" s="80">
        <f>IF(F13="","",IFERROR(budgetdetailPhase1dollar5,0))</f>
        <v>254</v>
      </c>
      <c r="H13" s="219">
        <f t="shared" si="1"/>
        <v>1</v>
      </c>
      <c r="I13" s="80">
        <f>IF(H13="","",IFERROR(budgetdetailPhase2dollar5,0))</f>
        <v>254</v>
      </c>
      <c r="J13" s="219">
        <f t="shared" si="2"/>
        <v>1</v>
      </c>
      <c r="K13" s="80">
        <f>IF(J13="","",IFERROR(budgetdetailPhase3dollar5,0))</f>
        <v>254</v>
      </c>
      <c r="L13" s="219">
        <f t="shared" si="3"/>
        <v>1</v>
      </c>
      <c r="M13" s="80">
        <f>IF(L13="","",IFERROR(budgetdetailPhase4dollar5,0))</f>
        <v>254</v>
      </c>
      <c r="N13" s="219">
        <f t="shared" si="4"/>
        <v>1</v>
      </c>
      <c r="O13" s="80">
        <f>IF(N13="","",IFERROR(budgetdetailPhase5dollar5,0))</f>
        <v>254</v>
      </c>
      <c r="P13" s="219">
        <f t="shared" si="5"/>
        <v>1</v>
      </c>
      <c r="Q13" s="80">
        <f>IF(P13="","",IFERROR(budgetdetailPhase6dollar5,0))</f>
        <v>254</v>
      </c>
      <c r="R13" s="219">
        <f t="shared" si="6"/>
        <v>1</v>
      </c>
      <c r="S13" s="80">
        <f>IF(R13="","",IFERROR(budgetdetailPhase7dollar5,0))</f>
        <v>254</v>
      </c>
      <c r="T13" s="219">
        <f t="shared" si="7"/>
        <v>1</v>
      </c>
      <c r="U13" s="80">
        <f>IF(T13="","",IFERROR(budgetdetailPhase8dollar5,0))</f>
        <v>254</v>
      </c>
      <c r="V13" s="219">
        <f t="shared" si="8"/>
        <v>1</v>
      </c>
      <c r="W13" s="80">
        <f>IF(V13="","",IFERROR(budgetdetailPhase9dollar5,0))</f>
        <v>254</v>
      </c>
      <c r="X13" s="219">
        <f t="shared" si="9"/>
        <v>1</v>
      </c>
      <c r="Y13" s="80">
        <f>IF(X13="","",IFERROR(budgetdetailPhase10dollar5,0))</f>
        <v>254</v>
      </c>
      <c r="Z13" s="1225">
        <f>E11RateB4Total</f>
        <v>1</v>
      </c>
      <c r="AA13" s="1207">
        <f>IF(Z13="","",'Phase 11'!H44)</f>
        <v>254</v>
      </c>
      <c r="AB13" s="1225">
        <f>E12RateB4Total</f>
        <v>1</v>
      </c>
      <c r="AC13" s="1207">
        <f>IF(AB13="","",'Phase 12'!H44)</f>
        <v>254</v>
      </c>
      <c r="AD13" s="1225">
        <f>E13RateB4Total</f>
        <v>1</v>
      </c>
      <c r="AE13" s="1207">
        <f>IF(AD13="","",'Phase 13'!H44)</f>
        <v>254</v>
      </c>
      <c r="AF13" s="1225">
        <f>E14RateB4Total</f>
        <v>1</v>
      </c>
      <c r="AG13" s="1207">
        <f>IF(AF13="","",'Phase 14'!H44)</f>
        <v>254</v>
      </c>
      <c r="AH13" s="1225">
        <f>E15RateB4Total</f>
        <v>1</v>
      </c>
      <c r="AI13" s="1207">
        <f>IF(AH13="","",'Phase 15'!H44)</f>
        <v>254</v>
      </c>
      <c r="AJ13" s="1225">
        <f>E16RateB4Total</f>
        <v>2</v>
      </c>
      <c r="AK13" s="1207">
        <f>IF(AJ13="","",'Phase 16'!H45)</f>
        <v>508</v>
      </c>
      <c r="AL13" s="1225">
        <f>E17RateB4Total</f>
        <v>1</v>
      </c>
      <c r="AM13" s="1207">
        <f>IF(AL13="","",'Phase 17'!H44)</f>
        <v>254</v>
      </c>
      <c r="AN13" s="1225">
        <f>E18RateB4Total</f>
        <v>1</v>
      </c>
      <c r="AO13" s="1207">
        <f>IF(AN13="","",'Phase 18'!H44)</f>
        <v>254</v>
      </c>
      <c r="AP13" s="1225">
        <f>E19RateB4Total</f>
        <v>1</v>
      </c>
      <c r="AQ13" s="1207">
        <f>IF(AP13="","",'Phase 19'!H44)</f>
        <v>254</v>
      </c>
      <c r="AR13" s="1555">
        <f>E20RateB4Total</f>
        <v>1</v>
      </c>
      <c r="AS13" s="1207">
        <f>IF(AR13="","",'Phase 20'!H44)</f>
        <v>254</v>
      </c>
      <c r="AT13" s="1009" cm="1">
        <f t="array" aca="1" ref="AT13" ca="1">SUM(_xlfn._xlws.FILTER(INDEX(DynamicBudgetDetailRange, 1, _xlfn.SEQUENCE(1, COLUMNS(DynamicBudgetDetailRange), 1, 2)), ISNUMBER(INDEX(DynamicBudgetDetailRange, 1, _xlfn.SEQUENCE(1, COLUMNS(DynamicBudgetDetailRange), 1, 2)))))</f>
        <v>21</v>
      </c>
      <c r="AU13" s="80" cm="1">
        <f t="array" aca="1" ref="AU13" ca="1">IFERROR(SUM(_xlfn._xlws.FILTER(INDEX(DynamicTotalAmount, 1, _xlfn.SEQUENCE(1, COLUMNS(DynamicTotalAmount), 1, 2)), ISNUMBER(INDEX(DynamicTotalAmount, 1, _xlfn.SEQUENCE(1, COLUMNS(DynamicTotalAmount), 1, 2))))),0)</f>
        <v>5334</v>
      </c>
      <c r="AV13" s="418">
        <f t="shared" ca="1" si="30"/>
        <v>3.3638736864900975</v>
      </c>
      <c r="AW13" s="420">
        <f t="shared" ca="1" si="20"/>
        <v>0.26572748259842505</v>
      </c>
      <c r="AX13" s="901">
        <f>IFERROR(E1DirectLaborH48,0)</f>
        <v>1585.6719060000003</v>
      </c>
      <c r="AY13" s="901">
        <f>IFERROR(E1OverheadH49,0)</f>
        <v>2330.9377018200003</v>
      </c>
      <c r="AZ13" s="908">
        <f t="shared" ca="1" si="31"/>
        <v>1417.3903921799993</v>
      </c>
      <c r="BA13" s="908"/>
      <c r="BB13" s="909" t="str">
        <f>CodeB4</f>
        <v>EV24</v>
      </c>
      <c r="BC13" s="910">
        <f t="shared" si="22"/>
        <v>1</v>
      </c>
      <c r="BD13" s="910">
        <f t="shared" si="10"/>
        <v>1</v>
      </c>
      <c r="BE13" s="910">
        <f t="shared" si="11"/>
        <v>1</v>
      </c>
      <c r="BF13" s="910">
        <f t="shared" si="12"/>
        <v>1</v>
      </c>
      <c r="BG13" s="910">
        <f t="shared" si="13"/>
        <v>1</v>
      </c>
      <c r="BH13" s="910">
        <f t="shared" si="14"/>
        <v>1</v>
      </c>
      <c r="BI13" s="910">
        <f t="shared" si="15"/>
        <v>1</v>
      </c>
      <c r="BJ13" s="910">
        <f t="shared" si="16"/>
        <v>1</v>
      </c>
      <c r="BK13" s="910">
        <f t="shared" si="17"/>
        <v>1</v>
      </c>
      <c r="BL13" s="910">
        <f t="shared" si="32"/>
        <v>1</v>
      </c>
      <c r="BM13" s="910">
        <f t="shared" si="23"/>
        <v>1</v>
      </c>
      <c r="BN13" s="910">
        <f t="shared" si="23"/>
        <v>1</v>
      </c>
      <c r="BO13" s="910">
        <f t="shared" si="24"/>
        <v>1</v>
      </c>
      <c r="BP13" s="910">
        <f t="shared" si="33"/>
        <v>1</v>
      </c>
      <c r="BQ13" s="910">
        <f t="shared" si="25"/>
        <v>1</v>
      </c>
      <c r="BR13" s="910">
        <f t="shared" si="26"/>
        <v>2</v>
      </c>
      <c r="BS13" s="910">
        <f t="shared" si="27"/>
        <v>1</v>
      </c>
      <c r="BT13" s="910">
        <f t="shared" ref="BT13:BT36" si="34">CO13+DJ13</f>
        <v>1</v>
      </c>
      <c r="BU13" s="910">
        <f t="shared" si="28"/>
        <v>1</v>
      </c>
      <c r="BV13" s="910">
        <f t="shared" si="29"/>
        <v>1</v>
      </c>
      <c r="BW13" s="909" t="str">
        <f>CodeB4</f>
        <v>EV24</v>
      </c>
      <c r="BX13" s="910">
        <f>_xlfn.SINGLE(E1BASEB4)</f>
        <v>1</v>
      </c>
      <c r="BY13" s="910">
        <f>_xlfn.SINGLE(E2BASEB4)</f>
        <v>1</v>
      </c>
      <c r="BZ13" s="910">
        <f>_xlfn.SINGLE(E3BASEB4)</f>
        <v>1</v>
      </c>
      <c r="CA13" s="910">
        <f>_xlfn.SINGLE(E4BASEB4)</f>
        <v>1</v>
      </c>
      <c r="CB13" s="910">
        <f>_xlfn.SINGLE(E5BASEB4)</f>
        <v>1</v>
      </c>
      <c r="CC13" s="910">
        <f>_xlfn.SINGLE(E6BASEB4)</f>
        <v>1</v>
      </c>
      <c r="CD13" s="910">
        <f>_xlfn.SINGLE(E7BASEB4)</f>
        <v>1</v>
      </c>
      <c r="CE13" s="910">
        <f>_xlfn.SINGLE(E8BASEB4)</f>
        <v>1</v>
      </c>
      <c r="CF13" s="910">
        <f>_xlfn.SINGLE(E9BASEB4)</f>
        <v>1</v>
      </c>
      <c r="CG13" s="910">
        <f>_xlfn.SINGLE(E10BASEB4)</f>
        <v>1</v>
      </c>
      <c r="CH13" s="910">
        <f>E11BASEB4</f>
        <v>1</v>
      </c>
      <c r="CI13" s="910">
        <f>E12BASEB4</f>
        <v>1</v>
      </c>
      <c r="CJ13" s="910">
        <f>E13BASEB4</f>
        <v>1</v>
      </c>
      <c r="CK13" s="910">
        <f>E14BASEB4</f>
        <v>1</v>
      </c>
      <c r="CL13" s="910">
        <f>E15BASEB4</f>
        <v>1</v>
      </c>
      <c r="CM13" s="910">
        <f>E16BASEB4</f>
        <v>2</v>
      </c>
      <c r="CN13" s="910">
        <f>E17BASEB4</f>
        <v>1</v>
      </c>
      <c r="CO13" s="910">
        <f>E18BASEB4</f>
        <v>1</v>
      </c>
      <c r="CP13" s="910">
        <f>E19BASEB4</f>
        <v>1</v>
      </c>
      <c r="CQ13" s="910">
        <f>E20BASEB4</f>
        <v>1</v>
      </c>
      <c r="CR13" s="909" t="str">
        <f>CodeB4</f>
        <v>EV24</v>
      </c>
      <c r="CS13" s="910"/>
      <c r="CT13" s="910"/>
      <c r="CU13" s="910"/>
      <c r="CV13" s="910"/>
      <c r="CW13" s="910"/>
      <c r="CX13" s="910"/>
      <c r="CY13" s="910"/>
      <c r="CZ13" s="910"/>
      <c r="DA13" s="910"/>
      <c r="DB13" s="910"/>
      <c r="DC13" s="910"/>
      <c r="DE13" s="910"/>
      <c r="DF13" s="910"/>
      <c r="DG13" s="910"/>
      <c r="DI13" s="910"/>
      <c r="DK13" s="910"/>
      <c r="DL13" s="910"/>
    </row>
    <row r="14" spans="1:120" ht="13.9" customHeight="1" x14ac:dyDescent="0.2">
      <c r="A14" s="1378"/>
      <c r="B14" s="217" t="str">
        <f>CodeB3</f>
        <v>EV23</v>
      </c>
      <c r="C14" s="218"/>
      <c r="D14" s="252" t="str">
        <f>TitleB3</f>
        <v>PROG MGR/SR TECH MGR 3</v>
      </c>
      <c r="E14" s="253"/>
      <c r="F14" s="219">
        <f t="shared" si="0"/>
        <v>1</v>
      </c>
      <c r="G14" s="80">
        <f>IF(F14="","",IFERROR(budgetdetailPhase1dollar6,0))</f>
        <v>235</v>
      </c>
      <c r="H14" s="219">
        <f t="shared" si="1"/>
        <v>1</v>
      </c>
      <c r="I14" s="80">
        <f>IF(H14="","",IFERROR(budgetdetailPhase2dollar6,0))</f>
        <v>235</v>
      </c>
      <c r="J14" s="219">
        <f t="shared" si="2"/>
        <v>1</v>
      </c>
      <c r="K14" s="80">
        <f>IF(J14="","",IFERROR(budgetdetailPhase3dollar6,0))</f>
        <v>235</v>
      </c>
      <c r="L14" s="219">
        <f t="shared" si="3"/>
        <v>1</v>
      </c>
      <c r="M14" s="80">
        <f>IF(L14="","",IFERROR(budgetdetailPhase4dollar6,0))</f>
        <v>235</v>
      </c>
      <c r="N14" s="219">
        <f t="shared" si="4"/>
        <v>1</v>
      </c>
      <c r="O14" s="80">
        <f>IF(N14="","",IFERROR(budgetdetailPhase5dollar6,0))</f>
        <v>235</v>
      </c>
      <c r="P14" s="219">
        <f t="shared" si="5"/>
        <v>1</v>
      </c>
      <c r="Q14" s="80">
        <f>IF(P14="","",IFERROR(budgetdetailPhase6dollar6,0))</f>
        <v>235</v>
      </c>
      <c r="R14" s="219">
        <f t="shared" si="6"/>
        <v>1</v>
      </c>
      <c r="S14" s="80">
        <f>IF(R14="","",IFERROR(budgetdetailPhase7dollar6,0))</f>
        <v>235</v>
      </c>
      <c r="T14" s="219">
        <f t="shared" si="7"/>
        <v>1</v>
      </c>
      <c r="U14" s="80">
        <f>IF(T14="","",IFERROR(budgetdetailPhase8dollar6,0))</f>
        <v>235</v>
      </c>
      <c r="V14" s="219">
        <f t="shared" si="8"/>
        <v>1</v>
      </c>
      <c r="W14" s="80">
        <f>IF(V14="","",IFERROR(budgetdetailPhase9dollar6,0))</f>
        <v>235</v>
      </c>
      <c r="X14" s="219">
        <f t="shared" si="9"/>
        <v>1</v>
      </c>
      <c r="Y14" s="80">
        <f>IF(X14="","",IFERROR(budgetdetailPhase10dollar6,0))</f>
        <v>235</v>
      </c>
      <c r="Z14" s="1225">
        <f>E11RateB3Total</f>
        <v>1</v>
      </c>
      <c r="AA14" s="1207">
        <f>IF(Z14="","",'Phase 11'!I44)</f>
        <v>235</v>
      </c>
      <c r="AB14" s="1225">
        <f>E12RateB3Total</f>
        <v>1</v>
      </c>
      <c r="AC14" s="1207">
        <f>IF(AB14="","",'Phase 12'!I44)</f>
        <v>235</v>
      </c>
      <c r="AD14" s="1225">
        <f>E13RateB3Total</f>
        <v>1</v>
      </c>
      <c r="AE14" s="1207">
        <f>IF(AD14="","",'Phase 13'!I44)</f>
        <v>235</v>
      </c>
      <c r="AF14" s="1225">
        <f>E14RateB3Total</f>
        <v>1</v>
      </c>
      <c r="AG14" s="1207">
        <f>IF(AF14="","",'Phase 14'!I44)</f>
        <v>235</v>
      </c>
      <c r="AH14" s="1225">
        <f>E15RateB3Total</f>
        <v>1</v>
      </c>
      <c r="AI14" s="1207">
        <f>IF(AH14="","",'Phase 15'!I44)</f>
        <v>235</v>
      </c>
      <c r="AJ14" s="1225">
        <f>E16RateB3Total</f>
        <v>1</v>
      </c>
      <c r="AK14" s="1207">
        <f>IF(AJ14="","",'Phase 16'!I45)</f>
        <v>235</v>
      </c>
      <c r="AL14" s="1225">
        <f>E17RateB3Total</f>
        <v>1</v>
      </c>
      <c r="AM14" s="1207">
        <f>IF(AL14="","",'Phase 17'!I44)</f>
        <v>235</v>
      </c>
      <c r="AN14" s="1225">
        <f>E18RateB3Total</f>
        <v>1</v>
      </c>
      <c r="AO14" s="1207">
        <f>IF(AN14="","",'Phase 18'!I44)</f>
        <v>235</v>
      </c>
      <c r="AP14" s="1225">
        <f>E19RateB3Total</f>
        <v>1</v>
      </c>
      <c r="AQ14" s="1207">
        <f>IF(AP14="","",'Phase 19'!I44)</f>
        <v>235</v>
      </c>
      <c r="AR14" s="1555">
        <f>E20RateB3Total</f>
        <v>1</v>
      </c>
      <c r="AS14" s="1207">
        <f>IF(AR14="","",'Phase 20'!I44)</f>
        <v>235</v>
      </c>
      <c r="AT14" s="1009" cm="1">
        <f t="array" aca="1" ref="AT14" ca="1">SUM(_xlfn._xlws.FILTER(INDEX(DynamicBudgetDetailRange, 1, _xlfn.SEQUENCE(1, COLUMNS(DynamicBudgetDetailRange), 1, 2)), ISNUMBER(INDEX(DynamicBudgetDetailRange, 1, _xlfn.SEQUENCE(1, COLUMNS(DynamicBudgetDetailRange), 1, 2)))))</f>
        <v>20</v>
      </c>
      <c r="AU14" s="80" cm="1">
        <f t="array" aca="1" ref="AU14" ca="1">IFERROR(SUM(_xlfn._xlws.FILTER(INDEX(DynamicTotalAmount, 1, _xlfn.SEQUENCE(1, COLUMNS(DynamicTotalAmount), 1, 2)), ISNUMBER(INDEX(DynamicTotalAmount, 1, _xlfn.SEQUENCE(1, COLUMNS(DynamicTotalAmount), 1, 2))))),0)</f>
        <v>4700</v>
      </c>
      <c r="AV14" s="418">
        <f t="shared" ca="1" si="30"/>
        <v>3.247798596964274</v>
      </c>
      <c r="AW14" s="420">
        <f t="shared" ca="1" si="20"/>
        <v>0.23948486143546116</v>
      </c>
      <c r="AX14" s="901">
        <f>IFERROR(E1DirectLaborI48,0)</f>
        <v>1447.1340693333332</v>
      </c>
      <c r="AY14" s="901">
        <f>IFERROR(E1OverheadI49,0)</f>
        <v>2127.2870819199993</v>
      </c>
      <c r="AZ14" s="908">
        <f t="shared" ca="1" si="31"/>
        <v>1125.5788487466675</v>
      </c>
      <c r="BA14" s="908"/>
      <c r="BB14" s="909" t="str">
        <f>CodeB3</f>
        <v>EV23</v>
      </c>
      <c r="BC14" s="910">
        <f t="shared" si="22"/>
        <v>1</v>
      </c>
      <c r="BD14" s="910">
        <f t="shared" si="10"/>
        <v>1</v>
      </c>
      <c r="BE14" s="910">
        <f t="shared" si="11"/>
        <v>1</v>
      </c>
      <c r="BF14" s="910">
        <f t="shared" si="12"/>
        <v>1</v>
      </c>
      <c r="BG14" s="910">
        <f t="shared" si="13"/>
        <v>1</v>
      </c>
      <c r="BH14" s="910">
        <f t="shared" si="14"/>
        <v>1</v>
      </c>
      <c r="BI14" s="910">
        <f t="shared" si="15"/>
        <v>1</v>
      </c>
      <c r="BJ14" s="910">
        <f t="shared" si="16"/>
        <v>1</v>
      </c>
      <c r="BK14" s="910">
        <f t="shared" si="17"/>
        <v>1</v>
      </c>
      <c r="BL14" s="910">
        <f t="shared" si="32"/>
        <v>1</v>
      </c>
      <c r="BM14" s="910">
        <f t="shared" si="23"/>
        <v>1</v>
      </c>
      <c r="BN14" s="910">
        <f t="shared" si="23"/>
        <v>1</v>
      </c>
      <c r="BO14" s="910">
        <f t="shared" si="24"/>
        <v>1</v>
      </c>
      <c r="BP14" s="910">
        <f t="shared" si="33"/>
        <v>1</v>
      </c>
      <c r="BQ14" s="910">
        <f t="shared" si="25"/>
        <v>1</v>
      </c>
      <c r="BR14" s="910">
        <f t="shared" si="26"/>
        <v>1</v>
      </c>
      <c r="BS14" s="910">
        <f t="shared" si="27"/>
        <v>1</v>
      </c>
      <c r="BT14" s="910">
        <f t="shared" si="34"/>
        <v>1</v>
      </c>
      <c r="BU14" s="910">
        <f t="shared" si="28"/>
        <v>1</v>
      </c>
      <c r="BV14" s="910">
        <f t="shared" si="29"/>
        <v>1</v>
      </c>
      <c r="BW14" s="909" t="str">
        <f>CodeB3</f>
        <v>EV23</v>
      </c>
      <c r="BX14" s="910">
        <f>_xlfn.SINGLE(E1BASEB3)</f>
        <v>1</v>
      </c>
      <c r="BY14" s="910">
        <f>_xlfn.SINGLE(E2BASEB3)</f>
        <v>1</v>
      </c>
      <c r="BZ14" s="910">
        <f>_xlfn.SINGLE(E3BASEB3)</f>
        <v>1</v>
      </c>
      <c r="CA14" s="910">
        <f>_xlfn.SINGLE(E4BASEB3)</f>
        <v>1</v>
      </c>
      <c r="CB14" s="910">
        <f>_xlfn.SINGLE(E5BASEB3)</f>
        <v>1</v>
      </c>
      <c r="CC14" s="910">
        <f>_xlfn.SINGLE(E6BASEB3)</f>
        <v>1</v>
      </c>
      <c r="CD14" s="910">
        <f>_xlfn.SINGLE(E7BASEB3)</f>
        <v>1</v>
      </c>
      <c r="CE14" s="910">
        <f>_xlfn.SINGLE(E8BASEB3)</f>
        <v>1</v>
      </c>
      <c r="CF14" s="910">
        <f>_xlfn.SINGLE(E9BASEB3)</f>
        <v>1</v>
      </c>
      <c r="CG14" s="910">
        <f>_xlfn.SINGLE(E10BASEB3)</f>
        <v>1</v>
      </c>
      <c r="CH14" s="910">
        <f>E11BASEB3</f>
        <v>1</v>
      </c>
      <c r="CI14" s="910">
        <f>E12BASEB3</f>
        <v>1</v>
      </c>
      <c r="CJ14" s="910">
        <f>E13BASEB3</f>
        <v>1</v>
      </c>
      <c r="CK14" s="910">
        <f>E14BASEB3</f>
        <v>1</v>
      </c>
      <c r="CL14" s="910">
        <f>E15BASEB3</f>
        <v>1</v>
      </c>
      <c r="CM14" s="910">
        <f>E16BASEB3</f>
        <v>1</v>
      </c>
      <c r="CN14" s="910">
        <f>E17BASEB3</f>
        <v>1</v>
      </c>
      <c r="CO14" s="910">
        <f>E18BASEB3</f>
        <v>1</v>
      </c>
      <c r="CP14" s="910">
        <f>E19BASEB3</f>
        <v>1</v>
      </c>
      <c r="CQ14" s="910">
        <f>E20BASEB3</f>
        <v>1</v>
      </c>
      <c r="CR14" s="909" t="str">
        <f>CodeB3</f>
        <v>EV23</v>
      </c>
      <c r="CS14" s="910"/>
      <c r="CT14" s="910"/>
      <c r="CU14" s="910"/>
      <c r="CV14" s="910"/>
      <c r="CW14" s="910"/>
      <c r="CX14" s="910"/>
      <c r="CY14" s="910"/>
      <c r="CZ14" s="910"/>
      <c r="DA14" s="910"/>
      <c r="DB14" s="910"/>
      <c r="DC14" s="910"/>
      <c r="DD14" s="910"/>
      <c r="DE14" s="910"/>
      <c r="DF14" s="910"/>
      <c r="DG14" s="910"/>
      <c r="DI14" s="910"/>
      <c r="DJ14" s="910"/>
      <c r="DK14" s="910"/>
      <c r="DL14" s="910"/>
    </row>
    <row r="15" spans="1:120" ht="13.9" customHeight="1" x14ac:dyDescent="0.2">
      <c r="A15" s="1378"/>
      <c r="B15" s="217" t="str">
        <f>CodeB2</f>
        <v>EV22</v>
      </c>
      <c r="C15" s="218"/>
      <c r="D15" s="252" t="str">
        <f>TitleB2</f>
        <v>PROG MGR/SR TECH MGR 2</v>
      </c>
      <c r="E15" s="253"/>
      <c r="F15" s="219">
        <f t="shared" si="0"/>
        <v>1</v>
      </c>
      <c r="G15" s="80">
        <f>IF(F15="","",IFERROR(budgetdetailPhase1dollar7,0))</f>
        <v>229</v>
      </c>
      <c r="H15" s="219">
        <f t="shared" si="1"/>
        <v>1</v>
      </c>
      <c r="I15" s="80">
        <f>IF(H15="","",IFERROR(budgetdetailPhase2dollar7,0))</f>
        <v>229</v>
      </c>
      <c r="J15" s="219">
        <f t="shared" si="2"/>
        <v>1</v>
      </c>
      <c r="K15" s="80">
        <f>IF(J15="","",IFERROR(budgetdetailPhase3dollar7,0))</f>
        <v>229</v>
      </c>
      <c r="L15" s="219">
        <f t="shared" si="3"/>
        <v>1</v>
      </c>
      <c r="M15" s="80">
        <f>IF(L15="","",IFERROR(budgetdetailPhase4dollar7,0))</f>
        <v>229</v>
      </c>
      <c r="N15" s="219">
        <f t="shared" si="4"/>
        <v>1</v>
      </c>
      <c r="O15" s="80">
        <f>IF(N15="","",IFERROR(budgetdetailPhase5dollar7,0))</f>
        <v>229</v>
      </c>
      <c r="P15" s="219">
        <f t="shared" si="5"/>
        <v>1</v>
      </c>
      <c r="Q15" s="80">
        <f>IF(P15="","",IFERROR(budgetdetailPhase6dollar7,0))</f>
        <v>229</v>
      </c>
      <c r="R15" s="219">
        <f t="shared" si="6"/>
        <v>1</v>
      </c>
      <c r="S15" s="80">
        <f>IF(R15="","",IFERROR(budgetdetailPhase7dollar7,0))</f>
        <v>229</v>
      </c>
      <c r="T15" s="219">
        <f t="shared" si="7"/>
        <v>1</v>
      </c>
      <c r="U15" s="80">
        <f>IF(T15="","",IFERROR(budgetdetailPhase8dollar7,0))</f>
        <v>229</v>
      </c>
      <c r="V15" s="219">
        <f t="shared" si="8"/>
        <v>1</v>
      </c>
      <c r="W15" s="80">
        <f>IF(V15="","",IFERROR(budgetdetailPhase9dollar7,0))</f>
        <v>229</v>
      </c>
      <c r="X15" s="219">
        <f t="shared" si="9"/>
        <v>1</v>
      </c>
      <c r="Y15" s="80">
        <f>IF(X15="","",IFERROR(budgetdetailPhase10dollar7,0))</f>
        <v>229</v>
      </c>
      <c r="Z15" s="1225">
        <f>E11RateB2Total</f>
        <v>1</v>
      </c>
      <c r="AA15" s="1207">
        <f>IF(Z15="","",'Phase 11'!J44)</f>
        <v>229</v>
      </c>
      <c r="AB15" s="1225">
        <f>E12RateB2Total</f>
        <v>1</v>
      </c>
      <c r="AC15" s="1207">
        <f>IF(AB15="","",'Phase 12'!J44)</f>
        <v>229</v>
      </c>
      <c r="AD15" s="1225">
        <f>E13RateB2Total</f>
        <v>1</v>
      </c>
      <c r="AE15" s="1207">
        <f>IF(AD15="","",'Phase 13'!J44)</f>
        <v>229</v>
      </c>
      <c r="AF15" s="1225">
        <f>E14RateB2Total</f>
        <v>1</v>
      </c>
      <c r="AG15" s="1207">
        <f>IF(AF15="","",'Phase 14'!J44)</f>
        <v>229</v>
      </c>
      <c r="AH15" s="1225">
        <f>E15RateB2Total</f>
        <v>1</v>
      </c>
      <c r="AI15" s="1207">
        <f>IF(AH15="","",'Phase 15'!J44)</f>
        <v>229</v>
      </c>
      <c r="AJ15" s="1225">
        <f>E16RateB2Total</f>
        <v>2</v>
      </c>
      <c r="AK15" s="1207">
        <f>IF(AJ15="","",'Phase 16'!J45)</f>
        <v>458</v>
      </c>
      <c r="AL15" s="1225">
        <f>E17RateB2Total</f>
        <v>1</v>
      </c>
      <c r="AM15" s="1207">
        <f>IF(AL15="","",'Phase 17'!J44)</f>
        <v>229</v>
      </c>
      <c r="AN15" s="1225">
        <f>E18RateB2Total</f>
        <v>1</v>
      </c>
      <c r="AO15" s="1207">
        <f>IF(AN15="","",'Phase 18'!J44)</f>
        <v>229</v>
      </c>
      <c r="AP15" s="1225">
        <f>E19RateB2Total</f>
        <v>1</v>
      </c>
      <c r="AQ15" s="1207">
        <f>IF(AP15="","",'Phase 19'!J44)</f>
        <v>229</v>
      </c>
      <c r="AR15" s="1555">
        <f>E20RateB2Total</f>
        <v>1</v>
      </c>
      <c r="AS15" s="1207">
        <f>IF(AR15="","",'Phase 20'!J44)</f>
        <v>229</v>
      </c>
      <c r="AT15" s="1009" cm="1">
        <f t="array" aca="1" ref="AT15" ca="1">SUM(_xlfn._xlws.FILTER(INDEX(DynamicBudgetDetailRange, 1, _xlfn.SEQUENCE(1, COLUMNS(DynamicBudgetDetailRange), 1, 2)), ISNUMBER(INDEX(DynamicBudgetDetailRange, 1, _xlfn.SEQUENCE(1, COLUMNS(DynamicBudgetDetailRange), 1, 2)))))</f>
        <v>21</v>
      </c>
      <c r="AU15" s="80" cm="1">
        <f t="array" aca="1" ref="AU15" ca="1">IFERROR(SUM(_xlfn._xlws.FILTER(INDEX(DynamicTotalAmount, 1, _xlfn.SEQUENCE(1, COLUMNS(DynamicTotalAmount), 1, 2)), ISNUMBER(INDEX(DynamicTotalAmount, 1, _xlfn.SEQUENCE(1, COLUMNS(DynamicTotalAmount), 1, 2))))),0)</f>
        <v>4809</v>
      </c>
      <c r="AV15" s="418">
        <f t="shared" ca="1" si="30"/>
        <v>3.2124026275616471</v>
      </c>
      <c r="AW15" s="420">
        <f t="shared" ca="1" si="20"/>
        <v>0.23110509909063368</v>
      </c>
      <c r="AX15" s="901">
        <f>IFERROR(E1DirectLaborJ48,0)</f>
        <v>1497.0103556571423</v>
      </c>
      <c r="AY15" s="901">
        <f>IFERROR(E1OverheadJ49,0)</f>
        <v>2200.6052228160002</v>
      </c>
      <c r="AZ15" s="908">
        <f t="shared" ca="1" si="31"/>
        <v>1111.3844215268573</v>
      </c>
      <c r="BA15" s="908"/>
      <c r="BB15" s="909" t="str">
        <f>CodeB2</f>
        <v>EV22</v>
      </c>
      <c r="BC15" s="910">
        <f t="shared" si="22"/>
        <v>1</v>
      </c>
      <c r="BD15" s="910">
        <f t="shared" si="10"/>
        <v>1</v>
      </c>
      <c r="BE15" s="910">
        <f t="shared" si="11"/>
        <v>1</v>
      </c>
      <c r="BF15" s="910">
        <f t="shared" si="12"/>
        <v>1</v>
      </c>
      <c r="BG15" s="910">
        <f t="shared" si="13"/>
        <v>1</v>
      </c>
      <c r="BH15" s="910">
        <f t="shared" si="14"/>
        <v>1</v>
      </c>
      <c r="BI15" s="910">
        <f t="shared" si="15"/>
        <v>1</v>
      </c>
      <c r="BJ15" s="910">
        <f t="shared" si="16"/>
        <v>1</v>
      </c>
      <c r="BK15" s="910">
        <f t="shared" si="17"/>
        <v>1</v>
      </c>
      <c r="BL15" s="910">
        <f t="shared" si="32"/>
        <v>1</v>
      </c>
      <c r="BM15" s="910">
        <f t="shared" si="23"/>
        <v>1</v>
      </c>
      <c r="BN15" s="910">
        <f t="shared" si="23"/>
        <v>1</v>
      </c>
      <c r="BO15" s="910">
        <f t="shared" si="24"/>
        <v>1</v>
      </c>
      <c r="BP15" s="910">
        <f t="shared" si="33"/>
        <v>1</v>
      </c>
      <c r="BQ15" s="910">
        <f t="shared" si="25"/>
        <v>1</v>
      </c>
      <c r="BR15" s="910">
        <f t="shared" si="26"/>
        <v>2</v>
      </c>
      <c r="BS15" s="910">
        <f t="shared" si="27"/>
        <v>1</v>
      </c>
      <c r="BT15" s="910">
        <f t="shared" si="34"/>
        <v>1</v>
      </c>
      <c r="BU15" s="910">
        <f t="shared" si="28"/>
        <v>1</v>
      </c>
      <c r="BV15" s="910">
        <f t="shared" si="29"/>
        <v>1</v>
      </c>
      <c r="BW15" s="909" t="str">
        <f>CodeB2</f>
        <v>EV22</v>
      </c>
      <c r="BX15" s="910">
        <f>_xlfn.SINGLE(E1BASEB2)</f>
        <v>1</v>
      </c>
      <c r="BY15" s="910">
        <f>_xlfn.SINGLE(E2BASEB2)</f>
        <v>1</v>
      </c>
      <c r="BZ15" s="910">
        <f>_xlfn.SINGLE(E3BASEB2)</f>
        <v>1</v>
      </c>
      <c r="CA15" s="910">
        <f>_xlfn.SINGLE(E4BASEB2)</f>
        <v>1</v>
      </c>
      <c r="CB15" s="910">
        <f>_xlfn.SINGLE(E5BASEB2)</f>
        <v>1</v>
      </c>
      <c r="CC15" s="910">
        <f>_xlfn.SINGLE(E6BASEB2)</f>
        <v>1</v>
      </c>
      <c r="CD15" s="910">
        <f>_xlfn.SINGLE(E7BASEB2)</f>
        <v>1</v>
      </c>
      <c r="CE15" s="910">
        <f>_xlfn.SINGLE(E8BASEB2)</f>
        <v>1</v>
      </c>
      <c r="CF15" s="910">
        <f>_xlfn.SINGLE(E9BASEB2)</f>
        <v>1</v>
      </c>
      <c r="CG15" s="910">
        <f>_xlfn.SINGLE(E10BASEB2)</f>
        <v>1</v>
      </c>
      <c r="CH15" s="910">
        <f>E11BASEB2</f>
        <v>1</v>
      </c>
      <c r="CI15" s="910">
        <f>E12BASEB2</f>
        <v>1</v>
      </c>
      <c r="CJ15" s="910">
        <f>E13BASEB2</f>
        <v>1</v>
      </c>
      <c r="CK15" s="910">
        <f>E14BASEB2</f>
        <v>1</v>
      </c>
      <c r="CL15" s="910">
        <f>E15BASEB2</f>
        <v>1</v>
      </c>
      <c r="CM15" s="910">
        <f>E16BASEB2</f>
        <v>2</v>
      </c>
      <c r="CN15" s="910">
        <f>E17BASEB2</f>
        <v>1</v>
      </c>
      <c r="CO15" s="910">
        <f>E18BASEB2</f>
        <v>1</v>
      </c>
      <c r="CP15" s="910">
        <f>E19BASEB2</f>
        <v>1</v>
      </c>
      <c r="CQ15" s="910">
        <f>E20BASEB2</f>
        <v>1</v>
      </c>
      <c r="CR15" s="909" t="str">
        <f>CodeB2</f>
        <v>EV22</v>
      </c>
      <c r="CY15" s="910"/>
      <c r="CZ15" s="910"/>
      <c r="DA15" s="910"/>
      <c r="DB15" s="910"/>
      <c r="DC15" s="910"/>
      <c r="DD15" s="910"/>
      <c r="DE15" s="910"/>
      <c r="DG15" s="910"/>
      <c r="DH15" s="910"/>
      <c r="DI15" s="910"/>
      <c r="DJ15" s="910"/>
      <c r="DK15" s="910"/>
      <c r="DL15" s="910"/>
    </row>
    <row r="16" spans="1:120" ht="13.9" customHeight="1" x14ac:dyDescent="0.2">
      <c r="A16" s="1378"/>
      <c r="B16" s="217" t="str">
        <f>CodeB1</f>
        <v>EV21</v>
      </c>
      <c r="C16" s="218"/>
      <c r="D16" s="252" t="str">
        <f>TitleB1</f>
        <v>PROG MGR/SR TECH MGR 1</v>
      </c>
      <c r="E16" s="253"/>
      <c r="F16" s="219">
        <f t="shared" si="0"/>
        <v>1</v>
      </c>
      <c r="G16" s="80">
        <f>IF(F16="","",IFERROR(budgetdetailPhase1dollar8,0))</f>
        <v>219</v>
      </c>
      <c r="H16" s="219">
        <f t="shared" si="1"/>
        <v>1</v>
      </c>
      <c r="I16" s="80">
        <f>IF(H16="","",IFERROR(budgetdetailPhase2dollar8,0))</f>
        <v>219</v>
      </c>
      <c r="J16" s="219">
        <f t="shared" si="2"/>
        <v>1</v>
      </c>
      <c r="K16" s="80">
        <f>IF(J16="","",IFERROR(budgetdetailPhase3dollar8,0))</f>
        <v>219</v>
      </c>
      <c r="L16" s="219">
        <f t="shared" si="3"/>
        <v>1</v>
      </c>
      <c r="M16" s="80">
        <f>IF(L16="","",IFERROR(budgetdetailPhase4dollar8,0))</f>
        <v>219</v>
      </c>
      <c r="N16" s="219">
        <f t="shared" si="4"/>
        <v>1</v>
      </c>
      <c r="O16" s="80">
        <f>IF(N16="","",IFERROR(budgetdetailPhase5dollar8,0))</f>
        <v>219</v>
      </c>
      <c r="P16" s="219">
        <f t="shared" si="5"/>
        <v>1</v>
      </c>
      <c r="Q16" s="80">
        <f>IF(P16="","",IFERROR(budgetdetailPhase6dollar8,0))</f>
        <v>219</v>
      </c>
      <c r="R16" s="219">
        <f t="shared" si="6"/>
        <v>1</v>
      </c>
      <c r="S16" s="80">
        <f>IF(R16="","",IFERROR(budgetdetailPhase7dollar8,0))</f>
        <v>219</v>
      </c>
      <c r="T16" s="219">
        <f t="shared" si="7"/>
        <v>1</v>
      </c>
      <c r="U16" s="80">
        <f>IF(T16="","",IFERROR(budgetdetailPhase8dollar8,0))</f>
        <v>219</v>
      </c>
      <c r="V16" s="219">
        <f t="shared" si="8"/>
        <v>1</v>
      </c>
      <c r="W16" s="80">
        <f>IF(V16="","",IFERROR(budgetdetailPhase9dollar8,0))</f>
        <v>219</v>
      </c>
      <c r="X16" s="219">
        <f t="shared" si="9"/>
        <v>1</v>
      </c>
      <c r="Y16" s="80">
        <f>IF(X16="","",IFERROR(budgetdetailPhase10dollar8,0))</f>
        <v>219</v>
      </c>
      <c r="Z16" s="1225">
        <f>E11RateB1Total</f>
        <v>1</v>
      </c>
      <c r="AA16" s="1207">
        <f>IF(Z16="","",'Phase 11'!K44)</f>
        <v>219</v>
      </c>
      <c r="AB16" s="1225">
        <f>E12RateB1Total</f>
        <v>1</v>
      </c>
      <c r="AC16" s="1207">
        <f>IF(AB16="","",'Phase 12'!K44)</f>
        <v>219</v>
      </c>
      <c r="AD16" s="1225">
        <f>E13RateB1Total</f>
        <v>1</v>
      </c>
      <c r="AE16" s="1207">
        <f>IF(AD16="","",'Phase 13'!K44)</f>
        <v>219</v>
      </c>
      <c r="AF16" s="1225">
        <f>E14RateB1Total</f>
        <v>1</v>
      </c>
      <c r="AG16" s="1207">
        <f>IF(AF16="","",'Phase 14'!K44)</f>
        <v>219</v>
      </c>
      <c r="AH16" s="1225">
        <f>E15RateB1Total</f>
        <v>1</v>
      </c>
      <c r="AI16" s="1207">
        <f>IF(AH16="","",'Phase 15'!K44)</f>
        <v>219</v>
      </c>
      <c r="AJ16" s="1225">
        <f>E16RateB1Total</f>
        <v>2</v>
      </c>
      <c r="AK16" s="1207">
        <f>IF(AJ16="","",'Phase 16'!K45)</f>
        <v>438</v>
      </c>
      <c r="AL16" s="1225">
        <f>E17RateB1Total</f>
        <v>1</v>
      </c>
      <c r="AM16" s="1207">
        <f>IF(AL16="","",'Phase 17'!K44)</f>
        <v>219</v>
      </c>
      <c r="AN16" s="1225">
        <f>E18RateB1Total</f>
        <v>1</v>
      </c>
      <c r="AO16" s="1207">
        <f>IF(AN16="","",'Phase 18'!K44)</f>
        <v>219</v>
      </c>
      <c r="AP16" s="1225">
        <f>E19RateB1Total</f>
        <v>1</v>
      </c>
      <c r="AQ16" s="1207">
        <f>IF(AP16="","",'Phase 19'!K44)</f>
        <v>219</v>
      </c>
      <c r="AR16" s="1555">
        <f>E20RateB1Total</f>
        <v>1</v>
      </c>
      <c r="AS16" s="1207">
        <f>IF(AR16="","",'Phase 20'!K44)</f>
        <v>219</v>
      </c>
      <c r="AT16" s="1009" cm="1">
        <f t="array" aca="1" ref="AT16" ca="1">SUM(_xlfn._xlws.FILTER(INDEX(DynamicBudgetDetailRange, 1, _xlfn.SEQUENCE(1, COLUMNS(DynamicBudgetDetailRange), 1, 2)), ISNUMBER(INDEX(DynamicBudgetDetailRange, 1, _xlfn.SEQUENCE(1, COLUMNS(DynamicBudgetDetailRange), 1, 2)))))</f>
        <v>21</v>
      </c>
      <c r="AU16" s="80" cm="1">
        <f t="array" aca="1" ref="AU16" ca="1">IFERROR(SUM(_xlfn._xlws.FILTER(INDEX(DynamicTotalAmount, 1, _xlfn.SEQUENCE(1, COLUMNS(DynamicTotalAmount), 1, 2)), ISNUMBER(INDEX(DynamicTotalAmount, 1, _xlfn.SEQUENCE(1, COLUMNS(DynamicTotalAmount), 1, 2))))),0)</f>
        <v>4599</v>
      </c>
      <c r="AV16" s="418">
        <f t="shared" ca="1" si="30"/>
        <v>3.4620862063325211</v>
      </c>
      <c r="AW16" s="420">
        <f t="shared" ca="1" si="20"/>
        <v>0.28655733774563169</v>
      </c>
      <c r="AX16" s="901">
        <f>IFERROR(E1DirectLaborK48,0)</f>
        <v>1328.389799072</v>
      </c>
      <c r="AY16" s="901">
        <f>IFERROR(E1OverheadK49,0)</f>
        <v>1952.73300463584</v>
      </c>
      <c r="AZ16" s="908">
        <f t="shared" ca="1" si="31"/>
        <v>1317.8771962921601</v>
      </c>
      <c r="BA16" s="908"/>
      <c r="BB16" s="909" t="str">
        <f>CodeB1</f>
        <v>EV21</v>
      </c>
      <c r="BC16" s="910">
        <f t="shared" si="22"/>
        <v>1</v>
      </c>
      <c r="BD16" s="910">
        <f t="shared" si="10"/>
        <v>1</v>
      </c>
      <c r="BE16" s="910">
        <f t="shared" si="11"/>
        <v>1</v>
      </c>
      <c r="BF16" s="910">
        <f t="shared" si="12"/>
        <v>1</v>
      </c>
      <c r="BG16" s="910">
        <f t="shared" si="13"/>
        <v>1</v>
      </c>
      <c r="BH16" s="910">
        <f t="shared" si="14"/>
        <v>1</v>
      </c>
      <c r="BI16" s="910">
        <f t="shared" si="15"/>
        <v>1</v>
      </c>
      <c r="BJ16" s="910">
        <f t="shared" si="16"/>
        <v>1</v>
      </c>
      <c r="BK16" s="910">
        <f t="shared" si="17"/>
        <v>1</v>
      </c>
      <c r="BL16" s="910">
        <f t="shared" si="32"/>
        <v>1</v>
      </c>
      <c r="BM16" s="910">
        <f t="shared" si="23"/>
        <v>1</v>
      </c>
      <c r="BN16" s="910">
        <f t="shared" si="23"/>
        <v>1</v>
      </c>
      <c r="BO16" s="910">
        <f t="shared" si="24"/>
        <v>1</v>
      </c>
      <c r="BP16" s="910">
        <f t="shared" si="33"/>
        <v>1</v>
      </c>
      <c r="BQ16" s="910">
        <f t="shared" si="25"/>
        <v>1</v>
      </c>
      <c r="BR16" s="910">
        <f t="shared" si="26"/>
        <v>2</v>
      </c>
      <c r="BS16" s="910">
        <f t="shared" si="27"/>
        <v>1</v>
      </c>
      <c r="BT16" s="910">
        <f t="shared" si="34"/>
        <v>1</v>
      </c>
      <c r="BU16" s="910">
        <f t="shared" si="28"/>
        <v>1</v>
      </c>
      <c r="BV16" s="910">
        <f t="shared" si="29"/>
        <v>1</v>
      </c>
      <c r="BW16" s="909" t="str">
        <f>CodeB1</f>
        <v>EV21</v>
      </c>
      <c r="BX16" s="910">
        <f>_xlfn.SINGLE(E1BASEB1)</f>
        <v>1</v>
      </c>
      <c r="BY16" s="910">
        <f>_xlfn.SINGLE(E2BASEB1)</f>
        <v>1</v>
      </c>
      <c r="BZ16" s="910">
        <f>_xlfn.SINGLE(E3BASEB1)</f>
        <v>1</v>
      </c>
      <c r="CA16" s="910">
        <f>_xlfn.SINGLE(E4BASEB1)</f>
        <v>1</v>
      </c>
      <c r="CB16" s="910">
        <f>_xlfn.SINGLE(E5BASEB1)</f>
        <v>1</v>
      </c>
      <c r="CC16" s="910">
        <f>_xlfn.SINGLE(E6BASEB1)</f>
        <v>1</v>
      </c>
      <c r="CD16" s="910">
        <f>_xlfn.SINGLE(E7BASEB1)</f>
        <v>1</v>
      </c>
      <c r="CE16" s="910">
        <f>_xlfn.SINGLE(E8BASEB1)</f>
        <v>1</v>
      </c>
      <c r="CF16" s="910">
        <f>_xlfn.SINGLE(E9BASEB1)</f>
        <v>1</v>
      </c>
      <c r="CG16" s="910">
        <f>_xlfn.SINGLE(E10BASEB1)</f>
        <v>1</v>
      </c>
      <c r="CH16" s="910">
        <f>E11BASEB1</f>
        <v>1</v>
      </c>
      <c r="CI16" s="910">
        <f>E12BASEB1</f>
        <v>1</v>
      </c>
      <c r="CJ16" s="910">
        <f>E13BASEB1</f>
        <v>1</v>
      </c>
      <c r="CK16" s="910">
        <f>E14BASEB1</f>
        <v>1</v>
      </c>
      <c r="CL16" s="910">
        <f>E15BASEB1</f>
        <v>1</v>
      </c>
      <c r="CM16" s="910">
        <f>E16BASEB1</f>
        <v>2</v>
      </c>
      <c r="CN16" s="910">
        <f>E17BASEB1</f>
        <v>1</v>
      </c>
      <c r="CO16" s="910">
        <f>E18BASEB1</f>
        <v>1</v>
      </c>
      <c r="CP16" s="910">
        <f>E19BASEB1</f>
        <v>1</v>
      </c>
      <c r="CQ16" s="910">
        <f>E20BASEB1</f>
        <v>1</v>
      </c>
      <c r="CR16" s="909" t="str">
        <f>CodeB1</f>
        <v>EV21</v>
      </c>
      <c r="CY16" s="910"/>
      <c r="CZ16" s="910"/>
      <c r="DA16" s="910"/>
      <c r="DB16" s="910"/>
      <c r="DC16" s="910"/>
      <c r="DD16" s="910"/>
      <c r="DE16" s="910"/>
      <c r="DF16" s="910"/>
      <c r="DG16" s="910"/>
      <c r="DH16" s="910"/>
      <c r="DI16" s="910"/>
      <c r="DJ16" s="910"/>
      <c r="DK16" s="910"/>
      <c r="DL16" s="910"/>
    </row>
    <row r="17" spans="1:116" ht="13.9" customHeight="1" x14ac:dyDescent="0.2">
      <c r="A17" s="1378"/>
      <c r="B17" s="217" t="str">
        <f>CodeC4</f>
        <v>EV20</v>
      </c>
      <c r="C17" s="218"/>
      <c r="D17" s="252" t="str">
        <f>TitleC4</f>
        <v xml:space="preserve">PROJECT/  
TECH MGR 4   </v>
      </c>
      <c r="E17" s="253"/>
      <c r="F17" s="219">
        <f t="shared" si="0"/>
        <v>1</v>
      </c>
      <c r="G17" s="80">
        <f>IF(F17="","",IFERROR(budgetdetailPhase1dollar9,0))</f>
        <v>211</v>
      </c>
      <c r="H17" s="219">
        <f t="shared" si="1"/>
        <v>1</v>
      </c>
      <c r="I17" s="80">
        <f>IF(H17="","",IFERROR(budgetdetailPhase2dollar9,0))</f>
        <v>211</v>
      </c>
      <c r="J17" s="219">
        <f t="shared" si="2"/>
        <v>1</v>
      </c>
      <c r="K17" s="80">
        <f>IF(J17="","",IFERROR(budgetdetailPhase3dollar9,0))</f>
        <v>211</v>
      </c>
      <c r="L17" s="219">
        <f t="shared" si="3"/>
        <v>1</v>
      </c>
      <c r="M17" s="80">
        <f>IF(L17="","",IFERROR(budgetdetailPhase4dollar9,0))</f>
        <v>211</v>
      </c>
      <c r="N17" s="219">
        <f t="shared" si="4"/>
        <v>1</v>
      </c>
      <c r="O17" s="80">
        <f>IF(N17="","",IFERROR(budgetdetailPhase5dollar9,0))</f>
        <v>211</v>
      </c>
      <c r="P17" s="219">
        <f t="shared" si="5"/>
        <v>1</v>
      </c>
      <c r="Q17" s="80">
        <f>IF(P17="","",IFERROR(budgetdetailPhase6dollar9,0))</f>
        <v>211</v>
      </c>
      <c r="R17" s="219">
        <f t="shared" si="6"/>
        <v>1</v>
      </c>
      <c r="S17" s="80">
        <f>IF(R17="","",IFERROR(budgetdetailPhase7dollar9,0))</f>
        <v>211</v>
      </c>
      <c r="T17" s="219">
        <f t="shared" si="7"/>
        <v>1</v>
      </c>
      <c r="U17" s="80">
        <f>IF(T17="","",IFERROR(budgetdetailPhase8dollar9,0))</f>
        <v>211</v>
      </c>
      <c r="V17" s="219">
        <f t="shared" si="8"/>
        <v>1</v>
      </c>
      <c r="W17" s="80">
        <f>IF(V17="","",IFERROR(budgetdetailPhase9dollar9,0))</f>
        <v>211</v>
      </c>
      <c r="X17" s="219">
        <f t="shared" si="9"/>
        <v>1</v>
      </c>
      <c r="Y17" s="80">
        <f>IF(X17="","",IFERROR(budgetdetailPhase10dollar9,0))</f>
        <v>211</v>
      </c>
      <c r="Z17" s="1225">
        <f>E11RateC4Total</f>
        <v>1</v>
      </c>
      <c r="AA17" s="1207">
        <f>IF(Z17="","",'Phase 11'!L44)</f>
        <v>211</v>
      </c>
      <c r="AB17" s="1225">
        <f>E12RateC4Total</f>
        <v>1</v>
      </c>
      <c r="AC17" s="1207">
        <f>IF(AB17="","",'Phase 12'!L44)</f>
        <v>211</v>
      </c>
      <c r="AD17" s="1225">
        <f>E13RateC4Total</f>
        <v>1</v>
      </c>
      <c r="AE17" s="1207">
        <f>IF(AD17="","",'Phase 13'!L44)</f>
        <v>211</v>
      </c>
      <c r="AF17" s="1225">
        <f>E14RateC4Total</f>
        <v>1</v>
      </c>
      <c r="AG17" s="1207">
        <f>IF(AF17="","",'Phase 14'!L44)</f>
        <v>211</v>
      </c>
      <c r="AH17" s="1225">
        <f>E15RateC4Total</f>
        <v>1</v>
      </c>
      <c r="AI17" s="1207">
        <f>IF(AH17="","",'Phase 15'!L44)</f>
        <v>211</v>
      </c>
      <c r="AJ17" s="1225">
        <f>E16RateC4Total</f>
        <v>2</v>
      </c>
      <c r="AK17" s="1207">
        <f>IF(AJ17="","",'Phase 16'!L45)</f>
        <v>422</v>
      </c>
      <c r="AL17" s="1225">
        <f>E17RateC4Total</f>
        <v>1</v>
      </c>
      <c r="AM17" s="1207">
        <f>IF(AL17="","",'Phase 17'!L44)</f>
        <v>211</v>
      </c>
      <c r="AN17" s="1225">
        <f>E18RateC4Total</f>
        <v>1</v>
      </c>
      <c r="AO17" s="1207">
        <f>IF(AN17="","",'Phase 18'!L44)</f>
        <v>211</v>
      </c>
      <c r="AP17" s="1225">
        <f>E19RateC4Total</f>
        <v>1</v>
      </c>
      <c r="AQ17" s="1207">
        <f>IF(AP17="","",'Phase 19'!L44)</f>
        <v>211</v>
      </c>
      <c r="AR17" s="1555">
        <f>E20RateC4Total</f>
        <v>0</v>
      </c>
      <c r="AS17" s="1207" t="str">
        <f>IF(AR17="","",'Phase 20'!L44)</f>
        <v/>
      </c>
      <c r="AT17" s="1009" cm="1">
        <f t="array" aca="1" ref="AT17" ca="1">SUM(_xlfn._xlws.FILTER(INDEX(DynamicBudgetDetailRange, 1, _xlfn.SEQUENCE(1, COLUMNS(DynamicBudgetDetailRange), 1, 2)), ISNUMBER(INDEX(DynamicBudgetDetailRange, 1, _xlfn.SEQUENCE(1, COLUMNS(DynamicBudgetDetailRange), 1, 2)))))</f>
        <v>20</v>
      </c>
      <c r="AU17" s="80" cm="1">
        <f t="array" aca="1" ref="AU17" ca="1">IFERROR(SUM(_xlfn._xlws.FILTER(INDEX(DynamicTotalAmount, 1, _xlfn.SEQUENCE(1, COLUMNS(DynamicTotalAmount), 1, 2)), ISNUMBER(INDEX(DynamicTotalAmount, 1, _xlfn.SEQUENCE(1, COLUMNS(DynamicTotalAmount), 1, 2))))),0)</f>
        <v>4220</v>
      </c>
      <c r="AV17" s="418">
        <f t="shared" ca="1" si="30"/>
        <v>3.3717441234982917</v>
      </c>
      <c r="AW17" s="420">
        <f t="shared" ca="1" si="20"/>
        <v>0.26744144587184859</v>
      </c>
      <c r="AX17" s="901">
        <f>IFERROR(E1DirectLaborL48,0)</f>
        <v>1251.5777726399997</v>
      </c>
      <c r="AY17" s="901">
        <f>IFERROR(E1OverheadL49,0)</f>
        <v>1839.8193257807995</v>
      </c>
      <c r="AZ17" s="908">
        <f t="shared" ca="1" si="31"/>
        <v>1128.602901579201</v>
      </c>
      <c r="BA17" s="908"/>
      <c r="BB17" s="909" t="str">
        <f>CodeC4</f>
        <v>EV20</v>
      </c>
      <c r="BC17" s="910">
        <f t="shared" si="22"/>
        <v>1</v>
      </c>
      <c r="BD17" s="910">
        <f t="shared" si="10"/>
        <v>1</v>
      </c>
      <c r="BE17" s="910">
        <f t="shared" si="11"/>
        <v>1</v>
      </c>
      <c r="BF17" s="910">
        <f t="shared" si="12"/>
        <v>1</v>
      </c>
      <c r="BG17" s="910">
        <f t="shared" si="13"/>
        <v>1</v>
      </c>
      <c r="BH17" s="910">
        <f t="shared" si="14"/>
        <v>1</v>
      </c>
      <c r="BI17" s="910">
        <f t="shared" si="15"/>
        <v>1</v>
      </c>
      <c r="BJ17" s="910">
        <f t="shared" si="16"/>
        <v>1</v>
      </c>
      <c r="BK17" s="910">
        <f t="shared" si="17"/>
        <v>1</v>
      </c>
      <c r="BL17" s="910">
        <f t="shared" si="32"/>
        <v>1</v>
      </c>
      <c r="BM17" s="910">
        <f t="shared" si="23"/>
        <v>1</v>
      </c>
      <c r="BN17" s="910">
        <f t="shared" si="23"/>
        <v>1</v>
      </c>
      <c r="BO17" s="910">
        <f t="shared" si="24"/>
        <v>1</v>
      </c>
      <c r="BP17" s="910">
        <f t="shared" si="33"/>
        <v>1</v>
      </c>
      <c r="BQ17" s="910">
        <f t="shared" si="25"/>
        <v>1</v>
      </c>
      <c r="BR17" s="910">
        <f t="shared" si="26"/>
        <v>2</v>
      </c>
      <c r="BS17" s="910">
        <f>CN17+DI17</f>
        <v>1</v>
      </c>
      <c r="BT17" s="910">
        <f t="shared" si="34"/>
        <v>1</v>
      </c>
      <c r="BU17" s="910">
        <f t="shared" si="28"/>
        <v>1</v>
      </c>
      <c r="BV17" s="910">
        <f t="shared" si="29"/>
        <v>0</v>
      </c>
      <c r="BW17" s="909" t="str">
        <f>CodeC4</f>
        <v>EV20</v>
      </c>
      <c r="BX17" s="910">
        <f>_xlfn.SINGLE(E1BASEC4)</f>
        <v>1</v>
      </c>
      <c r="BY17" s="910">
        <f>_xlfn.SINGLE(E2BASEC4)</f>
        <v>1</v>
      </c>
      <c r="BZ17" s="910">
        <f>_xlfn.SINGLE(E3BASEC4)</f>
        <v>1</v>
      </c>
      <c r="CA17" s="910">
        <f>_xlfn.SINGLE(E4BASEC4)</f>
        <v>1</v>
      </c>
      <c r="CB17" s="910">
        <f>_xlfn.SINGLE(E5BASEC4)</f>
        <v>1</v>
      </c>
      <c r="CC17" s="910">
        <f>_xlfn.SINGLE(E6BASEC4)</f>
        <v>1</v>
      </c>
      <c r="CD17" s="910">
        <f>_xlfn.SINGLE(E7BASEC4)</f>
        <v>1</v>
      </c>
      <c r="CE17" s="910">
        <f>_xlfn.SINGLE(E8BASEC4)</f>
        <v>1</v>
      </c>
      <c r="CF17" s="910">
        <f>_xlfn.SINGLE(E9BASEC4)</f>
        <v>1</v>
      </c>
      <c r="CG17" s="910">
        <f>_xlfn.SINGLE(E10BASEC4)</f>
        <v>1</v>
      </c>
      <c r="CH17" s="910">
        <f>E11BASEC4</f>
        <v>1</v>
      </c>
      <c r="CI17" s="910">
        <f>E12BASEC4</f>
        <v>1</v>
      </c>
      <c r="CJ17" s="910">
        <f>E13BASEC4</f>
        <v>1</v>
      </c>
      <c r="CK17" s="910">
        <f>E14BASEC4</f>
        <v>1</v>
      </c>
      <c r="CL17" s="910">
        <f>E15BASEC4</f>
        <v>1</v>
      </c>
      <c r="CM17" s="910">
        <f>E16BASEC4</f>
        <v>2</v>
      </c>
      <c r="CN17" s="910">
        <f>E17BASEC4</f>
        <v>1</v>
      </c>
      <c r="CO17" s="910">
        <f>E18BASEC4</f>
        <v>1</v>
      </c>
      <c r="CP17" s="910">
        <f>E19BASEC4</f>
        <v>1</v>
      </c>
      <c r="CQ17" s="910">
        <f>E20BASEC4</f>
        <v>0</v>
      </c>
      <c r="CR17" s="909" t="str">
        <f>CodeC4</f>
        <v>EV20</v>
      </c>
      <c r="CY17" s="910"/>
      <c r="CZ17" s="910"/>
      <c r="DA17" s="910"/>
      <c r="DB17" s="910"/>
      <c r="DC17" s="910"/>
      <c r="DD17" s="910"/>
      <c r="DE17" s="910"/>
      <c r="DF17" s="910"/>
      <c r="DG17" s="910"/>
      <c r="DH17" s="910"/>
      <c r="DI17" s="910"/>
      <c r="DK17" s="910"/>
      <c r="DL17" s="910"/>
    </row>
    <row r="18" spans="1:116" ht="13.9" customHeight="1" x14ac:dyDescent="0.2">
      <c r="A18" s="1378"/>
      <c r="B18" s="217" t="str">
        <f>CodeC3</f>
        <v>EV19</v>
      </c>
      <c r="C18" s="218"/>
      <c r="D18" s="252" t="str">
        <f>TitleC3</f>
        <v>PROJECT/  
TECH MGR 3</v>
      </c>
      <c r="E18" s="253"/>
      <c r="F18" s="219">
        <f t="shared" si="0"/>
        <v>1</v>
      </c>
      <c r="G18" s="80">
        <f>IF(F18="","",IFERROR(budgetdetailPhase1dollar10,0))</f>
        <v>201</v>
      </c>
      <c r="H18" s="219">
        <f t="shared" si="1"/>
        <v>1</v>
      </c>
      <c r="I18" s="80">
        <f>IF(H18="","",IFERROR(budgetdetailPhase2dollar10,0))</f>
        <v>201</v>
      </c>
      <c r="J18" s="219">
        <f t="shared" si="2"/>
        <v>1</v>
      </c>
      <c r="K18" s="80">
        <f>IF(J18="","",IFERROR(budgetdetailPhase3dollar10,0))</f>
        <v>201</v>
      </c>
      <c r="L18" s="219">
        <f t="shared" si="3"/>
        <v>1</v>
      </c>
      <c r="M18" s="80">
        <f>IF(L18="","",IFERROR(budgetdetailPhase4dollar10,0))</f>
        <v>201</v>
      </c>
      <c r="N18" s="219">
        <f t="shared" si="4"/>
        <v>1</v>
      </c>
      <c r="O18" s="80">
        <f>IF(N18="","",IFERROR(budgetdetailPhase5dollar10,0))</f>
        <v>201</v>
      </c>
      <c r="P18" s="219">
        <f t="shared" si="5"/>
        <v>1</v>
      </c>
      <c r="Q18" s="80">
        <f>IF(P18="","",IFERROR(budgetdetailPhase6dollar10,0))</f>
        <v>201</v>
      </c>
      <c r="R18" s="219">
        <f t="shared" si="6"/>
        <v>1</v>
      </c>
      <c r="S18" s="80">
        <f>IF(R18="","",IFERROR(budgetdetailPhase7dollar10,0))</f>
        <v>201</v>
      </c>
      <c r="T18" s="219">
        <f t="shared" si="7"/>
        <v>1</v>
      </c>
      <c r="U18" s="80">
        <f>IF(T18="","",IFERROR(budgetdetailPhase8dollar10,0))</f>
        <v>201</v>
      </c>
      <c r="V18" s="219">
        <f t="shared" si="8"/>
        <v>1</v>
      </c>
      <c r="W18" s="80">
        <f>IF(V18="","",IFERROR(budgetdetailPhase9dollar10,0))</f>
        <v>201</v>
      </c>
      <c r="X18" s="219">
        <f t="shared" si="9"/>
        <v>1</v>
      </c>
      <c r="Y18" s="80">
        <f>IF(X18="","",IFERROR(budgetdetailPhase10dollar10,0))</f>
        <v>201</v>
      </c>
      <c r="Z18" s="1225">
        <f>E11RateC3Total</f>
        <v>1</v>
      </c>
      <c r="AA18" s="1207">
        <f>IF(Z18="","",'Phase 11'!M44)</f>
        <v>201</v>
      </c>
      <c r="AB18" s="1225">
        <f>E12RateC3Total</f>
        <v>1</v>
      </c>
      <c r="AC18" s="1207">
        <f>IF(AB18="","",'Phase 12'!M44)</f>
        <v>201</v>
      </c>
      <c r="AD18" s="1225">
        <f>E13RateC3Total</f>
        <v>1</v>
      </c>
      <c r="AE18" s="1207">
        <f>IF(AD18="","",'Phase 13'!M44)</f>
        <v>201</v>
      </c>
      <c r="AF18" s="1225">
        <f>E14RateC3Total</f>
        <v>1</v>
      </c>
      <c r="AG18" s="1207">
        <f>IF(AF18="","",'Phase 14'!M44)</f>
        <v>201</v>
      </c>
      <c r="AH18" s="1225">
        <f>E15RateC3Total</f>
        <v>1</v>
      </c>
      <c r="AI18" s="1207">
        <f>IF(AH18="","",'Phase 15'!M44)</f>
        <v>201</v>
      </c>
      <c r="AJ18" s="1225">
        <f>E16RateC3Total</f>
        <v>1</v>
      </c>
      <c r="AK18" s="1207">
        <f>IF(AJ18="","",'Phase 16'!M45)</f>
        <v>201</v>
      </c>
      <c r="AL18" s="1225">
        <f>E17RateC3Total</f>
        <v>1</v>
      </c>
      <c r="AM18" s="1207">
        <f>IF(AL18="","",'Phase 17'!M44)</f>
        <v>201</v>
      </c>
      <c r="AN18" s="1225">
        <f>E18RateC3Total</f>
        <v>1</v>
      </c>
      <c r="AO18" s="1207">
        <f>IF(AN18="","",'Phase 18'!M44)</f>
        <v>201</v>
      </c>
      <c r="AP18" s="1225">
        <f>E19RateC3Total</f>
        <v>1</v>
      </c>
      <c r="AQ18" s="1207">
        <f>IF(AP18="","",'Phase 19'!M44)</f>
        <v>201</v>
      </c>
      <c r="AR18" s="1555">
        <f>E20RateC3Total</f>
        <v>0</v>
      </c>
      <c r="AS18" s="1207" t="str">
        <f>IF(AR18="","",'Phase 20'!M44)</f>
        <v/>
      </c>
      <c r="AT18" s="1009" cm="1">
        <f t="array" aca="1" ref="AT18" ca="1">SUM(_xlfn._xlws.FILTER(INDEX(DynamicBudgetDetailRange, 1, _xlfn.SEQUENCE(1, COLUMNS(DynamicBudgetDetailRange), 1, 2)), ISNUMBER(INDEX(DynamicBudgetDetailRange, 1, _xlfn.SEQUENCE(1, COLUMNS(DynamicBudgetDetailRange), 1, 2)))))</f>
        <v>19</v>
      </c>
      <c r="AU18" s="80" cm="1">
        <f t="array" aca="1" ref="AU18" ca="1">IFERROR(SUM(_xlfn._xlws.FILTER(INDEX(DynamicTotalAmount, 1, _xlfn.SEQUENCE(1, COLUMNS(DynamicTotalAmount), 1, 2)), ISNUMBER(INDEX(DynamicTotalAmount, 1, _xlfn.SEQUENCE(1, COLUMNS(DynamicTotalAmount), 1, 2))))),0)</f>
        <v>3819</v>
      </c>
      <c r="AV18" s="418">
        <f t="shared" ca="1" si="30"/>
        <v>3.4042812052494216</v>
      </c>
      <c r="AW18" s="420">
        <f t="shared" ca="1" si="20"/>
        <v>0.2744430171657839</v>
      </c>
      <c r="AX18" s="901">
        <f>IFERROR(E1DirectLaborM48,0)</f>
        <v>1121.8227196129037</v>
      </c>
      <c r="AY18" s="901">
        <f>IFERROR(E1OverheadM49,0)</f>
        <v>1649.0793978309675</v>
      </c>
      <c r="AZ18" s="908">
        <f t="shared" ca="1" si="31"/>
        <v>1048.0978825561288</v>
      </c>
      <c r="BA18" s="908"/>
      <c r="BB18" s="909" t="str">
        <f>CodeC3</f>
        <v>EV19</v>
      </c>
      <c r="BC18" s="910">
        <f t="shared" si="22"/>
        <v>1</v>
      </c>
      <c r="BD18" s="910">
        <f t="shared" si="10"/>
        <v>1</v>
      </c>
      <c r="BE18" s="910">
        <f t="shared" si="11"/>
        <v>1</v>
      </c>
      <c r="BF18" s="910">
        <f t="shared" si="12"/>
        <v>1</v>
      </c>
      <c r="BG18" s="910">
        <f t="shared" si="13"/>
        <v>1</v>
      </c>
      <c r="BH18" s="910">
        <f t="shared" si="14"/>
        <v>1</v>
      </c>
      <c r="BI18" s="910">
        <f t="shared" si="15"/>
        <v>1</v>
      </c>
      <c r="BJ18" s="910">
        <f t="shared" si="16"/>
        <v>1</v>
      </c>
      <c r="BK18" s="910">
        <f t="shared" si="17"/>
        <v>1</v>
      </c>
      <c r="BL18" s="910">
        <f t="shared" si="32"/>
        <v>1</v>
      </c>
      <c r="BM18" s="910">
        <f t="shared" ref="BM18:BM33" si="35">CH18+DC18</f>
        <v>1</v>
      </c>
      <c r="BN18" s="910">
        <f t="shared" ref="BN18:BN36" si="36">CI18+DD18</f>
        <v>1</v>
      </c>
      <c r="BO18" s="910">
        <f t="shared" si="24"/>
        <v>1</v>
      </c>
      <c r="BP18" s="910">
        <f t="shared" si="33"/>
        <v>1</v>
      </c>
      <c r="BQ18" s="910">
        <f t="shared" si="25"/>
        <v>1</v>
      </c>
      <c r="BR18" s="910">
        <f t="shared" si="26"/>
        <v>1</v>
      </c>
      <c r="BS18" s="910">
        <f t="shared" si="27"/>
        <v>1</v>
      </c>
      <c r="BT18" s="910">
        <f>CO18+DJ18</f>
        <v>1</v>
      </c>
      <c r="BU18" s="910">
        <f t="shared" si="28"/>
        <v>1</v>
      </c>
      <c r="BV18" s="910">
        <f t="shared" si="29"/>
        <v>0</v>
      </c>
      <c r="BW18" s="909" t="str">
        <f>CodeC3</f>
        <v>EV19</v>
      </c>
      <c r="BX18" s="910">
        <f>_xlfn.SINGLE(E1BASEC3)</f>
        <v>1</v>
      </c>
      <c r="BY18" s="910">
        <f>_xlfn.SINGLE(E2BASEC3)</f>
        <v>1</v>
      </c>
      <c r="BZ18" s="910">
        <f>_xlfn.SINGLE(E3BASEC3)</f>
        <v>1</v>
      </c>
      <c r="CA18" s="910">
        <f>_xlfn.SINGLE(E4BASEC3)</f>
        <v>1</v>
      </c>
      <c r="CB18" s="910">
        <f>_xlfn.SINGLE(E5BASEC3)</f>
        <v>1</v>
      </c>
      <c r="CC18" s="910">
        <f>_xlfn.SINGLE(E6BASEC3)</f>
        <v>1</v>
      </c>
      <c r="CD18" s="910">
        <f>_xlfn.SINGLE(E7BASEC3)</f>
        <v>1</v>
      </c>
      <c r="CE18" s="910">
        <f>_xlfn.SINGLE(E8BASEC3)</f>
        <v>1</v>
      </c>
      <c r="CF18" s="910">
        <f>_xlfn.SINGLE(E9BASEC3)</f>
        <v>1</v>
      </c>
      <c r="CG18" s="910">
        <f>_xlfn.SINGLE(E10BASEC3)</f>
        <v>1</v>
      </c>
      <c r="CH18" s="910">
        <f>E11BASEC3</f>
        <v>1</v>
      </c>
      <c r="CI18" s="910">
        <f>E12BASEC3</f>
        <v>1</v>
      </c>
      <c r="CJ18" s="910">
        <f>E13BASEC3</f>
        <v>1</v>
      </c>
      <c r="CK18" s="910">
        <f>E14BASEC3</f>
        <v>1</v>
      </c>
      <c r="CL18" s="910">
        <f>E15BASEC3</f>
        <v>1</v>
      </c>
      <c r="CM18" s="910">
        <f>E16BASEC3</f>
        <v>1</v>
      </c>
      <c r="CN18" s="910">
        <f>E17BASEC3</f>
        <v>1</v>
      </c>
      <c r="CO18" s="910">
        <f>E18BASEC3</f>
        <v>1</v>
      </c>
      <c r="CP18" s="910">
        <f>E19BASEC3</f>
        <v>1</v>
      </c>
      <c r="CQ18" s="910">
        <f>E20BASEC3</f>
        <v>0</v>
      </c>
      <c r="CR18" s="909" t="str">
        <f>CodeC3</f>
        <v>EV19</v>
      </c>
      <c r="CY18" s="910"/>
      <c r="CZ18" s="910"/>
      <c r="DA18" s="910"/>
      <c r="DB18" s="910"/>
      <c r="DC18" s="910"/>
      <c r="DD18" s="910"/>
      <c r="DF18" s="910"/>
      <c r="DG18" s="910"/>
      <c r="DH18" s="910"/>
      <c r="DI18" s="910"/>
      <c r="DK18" s="910"/>
      <c r="DL18" s="910"/>
    </row>
    <row r="19" spans="1:116" ht="13.9" customHeight="1" x14ac:dyDescent="0.2">
      <c r="A19" s="1378"/>
      <c r="B19" s="217" t="str">
        <f>CodeC2</f>
        <v>EV18</v>
      </c>
      <c r="C19" s="218"/>
      <c r="D19" s="252" t="str">
        <f>TitleC2</f>
        <v>PROJECT/  
TECH MGR 2</v>
      </c>
      <c r="E19" s="253"/>
      <c r="F19" s="219">
        <f t="shared" si="0"/>
        <v>1</v>
      </c>
      <c r="G19" s="80">
        <f>IF(F19="","",IFERROR(budgetdetailPhase1dollar11,0))</f>
        <v>193</v>
      </c>
      <c r="H19" s="219">
        <f t="shared" si="1"/>
        <v>1</v>
      </c>
      <c r="I19" s="80">
        <f>IF(H19="","",IFERROR(budgetdetailPhase2dollar11,0))</f>
        <v>193</v>
      </c>
      <c r="J19" s="219">
        <f t="shared" si="2"/>
        <v>1</v>
      </c>
      <c r="K19" s="80">
        <f>IF(J19="","",IFERROR(budgetdetailPhase3dollar11,0))</f>
        <v>193</v>
      </c>
      <c r="L19" s="219">
        <f t="shared" si="3"/>
        <v>1</v>
      </c>
      <c r="M19" s="80">
        <f>IF(L19="","",IFERROR(budgetdetailPhase4dollar11,0))</f>
        <v>193</v>
      </c>
      <c r="N19" s="219">
        <f t="shared" si="4"/>
        <v>1</v>
      </c>
      <c r="O19" s="80">
        <f>IF(N19="","",IFERROR(budgetdetailPhase5dollar11,0))</f>
        <v>193</v>
      </c>
      <c r="P19" s="219">
        <f t="shared" si="5"/>
        <v>1</v>
      </c>
      <c r="Q19" s="80">
        <f>IF(P19="","",IFERROR(budgetdetailPhase6dollar11,0))</f>
        <v>193</v>
      </c>
      <c r="R19" s="219">
        <f t="shared" si="6"/>
        <v>1</v>
      </c>
      <c r="S19" s="80">
        <f>IF(R19="","",IFERROR(budgetdetailPhase7dollar11,0))</f>
        <v>193</v>
      </c>
      <c r="T19" s="219">
        <f t="shared" si="7"/>
        <v>1</v>
      </c>
      <c r="U19" s="80">
        <f>IF(T19="","",IFERROR(budgetdetailPhase8dollar11,0))</f>
        <v>193</v>
      </c>
      <c r="V19" s="219">
        <f t="shared" si="8"/>
        <v>1</v>
      </c>
      <c r="W19" s="80">
        <f>IF(V19="","",IFERROR(budgetdetailPhase9dollar11,0))</f>
        <v>193</v>
      </c>
      <c r="X19" s="219">
        <f t="shared" si="9"/>
        <v>1</v>
      </c>
      <c r="Y19" s="80">
        <f>IF(X19="","",IFERROR(budgetdetailPhase10dollar11,0))</f>
        <v>193</v>
      </c>
      <c r="Z19" s="1225">
        <f>E11RateC2Total</f>
        <v>1</v>
      </c>
      <c r="AA19" s="1207">
        <f>IF(Z19="","",'Phase 11'!N44)</f>
        <v>193</v>
      </c>
      <c r="AB19" s="1225">
        <f>E12RateC2Total</f>
        <v>1</v>
      </c>
      <c r="AC19" s="1207">
        <f>IF(AB19="","",'Phase 12'!N44)</f>
        <v>193</v>
      </c>
      <c r="AD19" s="1225">
        <f>E13RateC2Total</f>
        <v>1</v>
      </c>
      <c r="AE19" s="1207">
        <f>IF(AD19="","",'Phase 13'!N44)</f>
        <v>193</v>
      </c>
      <c r="AF19" s="1225">
        <f>E14RateC2Total</f>
        <v>1</v>
      </c>
      <c r="AG19" s="1207">
        <f>IF(AF19="","",'Phase 14'!N44)</f>
        <v>193</v>
      </c>
      <c r="AH19" s="1225">
        <f>E15RateC2Total</f>
        <v>1</v>
      </c>
      <c r="AI19" s="1207">
        <f>IF(AH19="","",'Phase 15'!N44)</f>
        <v>193</v>
      </c>
      <c r="AJ19" s="1225">
        <f>E16RateC2Total</f>
        <v>1</v>
      </c>
      <c r="AK19" s="1207">
        <f>IF(AJ19="","",'Phase 16'!N45)</f>
        <v>193</v>
      </c>
      <c r="AL19" s="1225">
        <f>E17RateC2Total</f>
        <v>1</v>
      </c>
      <c r="AM19" s="1207">
        <f>IF(AL19="","",'Phase 17'!N44)</f>
        <v>193</v>
      </c>
      <c r="AN19" s="1225">
        <f>E18RateC2Total</f>
        <v>1</v>
      </c>
      <c r="AO19" s="1207">
        <f>IF(AN19="","",'Phase 18'!N44)</f>
        <v>193</v>
      </c>
      <c r="AP19" s="1225">
        <f>E19RateC2Total</f>
        <v>1</v>
      </c>
      <c r="AQ19" s="1207">
        <f>IF(AP19="","",'Phase 19'!N44)</f>
        <v>193</v>
      </c>
      <c r="AR19" s="1555">
        <f>E20RateC2Total</f>
        <v>0</v>
      </c>
      <c r="AS19" s="1207" t="str">
        <f>IF(AR19="","",'Phase 20'!N44)</f>
        <v/>
      </c>
      <c r="AT19" s="1009" cm="1">
        <f t="array" aca="1" ref="AT19" ca="1">SUM(_xlfn._xlws.FILTER(INDEX(DynamicBudgetDetailRange, 1, _xlfn.SEQUENCE(1, COLUMNS(DynamicBudgetDetailRange), 1, 2)), ISNUMBER(INDEX(DynamicBudgetDetailRange, 1, _xlfn.SEQUENCE(1, COLUMNS(DynamicBudgetDetailRange), 1, 2)))))</f>
        <v>19</v>
      </c>
      <c r="AU19" s="80" cm="1">
        <f t="array" aca="1" ref="AU19" ca="1">IFERROR(SUM(_xlfn._xlws.FILTER(INDEX(DynamicTotalAmount, 1, _xlfn.SEQUENCE(1, COLUMNS(DynamicTotalAmount), 1, 2)), ISNUMBER(INDEX(DynamicTotalAmount, 1, _xlfn.SEQUENCE(1, COLUMNS(DynamicTotalAmount), 1, 2))))),0)</f>
        <v>3667</v>
      </c>
      <c r="AV19" s="418">
        <f t="shared" ca="1" si="30"/>
        <v>3.4918304397478219</v>
      </c>
      <c r="AW19" s="420">
        <f t="shared" ca="1" si="20"/>
        <v>0.29263461023657794</v>
      </c>
      <c r="AX19" s="901">
        <f>IFERROR(E1DirectLaborN48,0)</f>
        <v>1050.1655401872345</v>
      </c>
      <c r="AY19" s="901">
        <f>IFERROR(E1OverheadN49,0)</f>
        <v>1543.7433440752343</v>
      </c>
      <c r="AZ19" s="908">
        <f t="shared" ca="1" si="31"/>
        <v>1073.0911157375313</v>
      </c>
      <c r="BA19" s="908"/>
      <c r="BB19" s="909" t="str">
        <f>CodeC2</f>
        <v>EV18</v>
      </c>
      <c r="BC19" s="910">
        <f t="shared" si="22"/>
        <v>1</v>
      </c>
      <c r="BD19" s="910">
        <f t="shared" si="10"/>
        <v>1</v>
      </c>
      <c r="BE19" s="910">
        <f t="shared" si="11"/>
        <v>1</v>
      </c>
      <c r="BF19" s="910">
        <f t="shared" si="12"/>
        <v>1</v>
      </c>
      <c r="BG19" s="910">
        <f t="shared" si="13"/>
        <v>1</v>
      </c>
      <c r="BH19" s="910">
        <f t="shared" si="14"/>
        <v>1</v>
      </c>
      <c r="BI19" s="910">
        <f t="shared" si="15"/>
        <v>1</v>
      </c>
      <c r="BJ19" s="910">
        <f t="shared" si="16"/>
        <v>1</v>
      </c>
      <c r="BK19" s="910">
        <f t="shared" si="17"/>
        <v>1</v>
      </c>
      <c r="BL19" s="910">
        <f t="shared" si="32"/>
        <v>1</v>
      </c>
      <c r="BM19" s="910">
        <f t="shared" si="35"/>
        <v>1</v>
      </c>
      <c r="BN19" s="910">
        <f t="shared" si="36"/>
        <v>1</v>
      </c>
      <c r="BO19" s="910">
        <f t="shared" si="24"/>
        <v>1</v>
      </c>
      <c r="BP19" s="910">
        <f t="shared" si="33"/>
        <v>1</v>
      </c>
      <c r="BQ19" s="910">
        <f t="shared" si="25"/>
        <v>1</v>
      </c>
      <c r="BR19" s="910">
        <f>CM19+DH19</f>
        <v>1</v>
      </c>
      <c r="BS19" s="910">
        <f>CN19+DI19</f>
        <v>1</v>
      </c>
      <c r="BT19" s="910">
        <f t="shared" si="34"/>
        <v>1</v>
      </c>
      <c r="BU19" s="910">
        <f t="shared" si="28"/>
        <v>1</v>
      </c>
      <c r="BV19" s="910">
        <f t="shared" si="29"/>
        <v>0</v>
      </c>
      <c r="BW19" s="909" t="str">
        <f>CodeC2</f>
        <v>EV18</v>
      </c>
      <c r="BX19" s="910">
        <f>_xlfn.SINGLE(E1BASEC2)</f>
        <v>1</v>
      </c>
      <c r="BY19" s="910">
        <f>_xlfn.SINGLE(E2BASEC2)</f>
        <v>1</v>
      </c>
      <c r="BZ19" s="910">
        <f>_xlfn.SINGLE(E3BASEC2)</f>
        <v>1</v>
      </c>
      <c r="CA19" s="910">
        <f>_xlfn.SINGLE(E4BASEC2)</f>
        <v>1</v>
      </c>
      <c r="CB19" s="910">
        <f>_xlfn.SINGLE(E5BASEC2)</f>
        <v>1</v>
      </c>
      <c r="CC19" s="910">
        <f>_xlfn.SINGLE(E6BASEC2)</f>
        <v>1</v>
      </c>
      <c r="CD19" s="910">
        <f>_xlfn.SINGLE(E7BASEC2)</f>
        <v>1</v>
      </c>
      <c r="CE19" s="910">
        <f>_xlfn.SINGLE(E8BASEC2)</f>
        <v>1</v>
      </c>
      <c r="CF19" s="910">
        <f>_xlfn.SINGLE(E9BASEC2)</f>
        <v>1</v>
      </c>
      <c r="CG19" s="910">
        <f>_xlfn.SINGLE(E10BASEC2)</f>
        <v>1</v>
      </c>
      <c r="CH19" s="910">
        <f>E11BASEC2</f>
        <v>1</v>
      </c>
      <c r="CI19" s="910">
        <f>E12BASEC2</f>
        <v>1</v>
      </c>
      <c r="CJ19" s="910">
        <f>E13BASEC2</f>
        <v>1</v>
      </c>
      <c r="CK19" s="910">
        <f>E14BASEC2</f>
        <v>1</v>
      </c>
      <c r="CL19" s="910">
        <f>E15BASEC2</f>
        <v>1</v>
      </c>
      <c r="CM19" s="910">
        <f>E16BASEC2</f>
        <v>1</v>
      </c>
      <c r="CN19" s="910">
        <f>E17BASEC2</f>
        <v>1</v>
      </c>
      <c r="CO19" s="910">
        <f>E18BASEC2</f>
        <v>1</v>
      </c>
      <c r="CP19" s="910">
        <f>E19BASEC2</f>
        <v>1</v>
      </c>
      <c r="CQ19" s="910">
        <f>E20BASEC2</f>
        <v>0</v>
      </c>
      <c r="CR19" s="909" t="str">
        <f>CodeC2</f>
        <v>EV18</v>
      </c>
      <c r="CY19" s="910"/>
      <c r="CZ19" s="910"/>
      <c r="DA19" s="910"/>
      <c r="DB19" s="910"/>
      <c r="DC19" s="910"/>
      <c r="DD19" s="910"/>
      <c r="DE19" s="910"/>
      <c r="DF19" s="910"/>
      <c r="DG19" s="910"/>
      <c r="DH19" s="910"/>
      <c r="DI19" s="910"/>
      <c r="DK19" s="910"/>
      <c r="DL19" s="910"/>
    </row>
    <row r="20" spans="1:116" ht="13.9" customHeight="1" x14ac:dyDescent="0.2">
      <c r="A20" s="1378"/>
      <c r="B20" s="217" t="str">
        <f>CodeC1</f>
        <v>EV17</v>
      </c>
      <c r="C20" s="218"/>
      <c r="D20" s="252" t="str">
        <f>TitleC1</f>
        <v>PROJECT/  
TECH MGR 1</v>
      </c>
      <c r="E20" s="253"/>
      <c r="F20" s="219">
        <f t="shared" si="0"/>
        <v>1</v>
      </c>
      <c r="G20" s="80">
        <f>IF(F20="","",IFERROR(budgetdetailPhase1dollar12,0))</f>
        <v>187</v>
      </c>
      <c r="H20" s="219">
        <f t="shared" si="1"/>
        <v>1</v>
      </c>
      <c r="I20" s="80">
        <f>IF(H20="","",IFERROR(budgetdetailPhase2dollar12,0))</f>
        <v>187</v>
      </c>
      <c r="J20" s="219">
        <f t="shared" si="2"/>
        <v>1</v>
      </c>
      <c r="K20" s="80">
        <f>IF(J20="","",IFERROR(budgetdetailPhase3dollar12,0))</f>
        <v>187</v>
      </c>
      <c r="L20" s="219">
        <f t="shared" si="3"/>
        <v>1</v>
      </c>
      <c r="M20" s="80">
        <f>IF(L20="","",IFERROR(budgetdetailPhase4dollar12,0))</f>
        <v>187</v>
      </c>
      <c r="N20" s="219">
        <f t="shared" si="4"/>
        <v>1</v>
      </c>
      <c r="O20" s="80">
        <f>IF(N20="","",IFERROR(budgetdetailPhase5dollar12,0))</f>
        <v>187</v>
      </c>
      <c r="P20" s="219">
        <f t="shared" si="5"/>
        <v>1</v>
      </c>
      <c r="Q20" s="80">
        <f>IF(P20="","",IFERROR(budgetdetailPhase6dollar12,0))</f>
        <v>187</v>
      </c>
      <c r="R20" s="219">
        <f t="shared" si="6"/>
        <v>1</v>
      </c>
      <c r="S20" s="80">
        <f>IF(R20="","",IFERROR(budgetdetailPhase7dollar12,0))</f>
        <v>187</v>
      </c>
      <c r="T20" s="219">
        <f t="shared" si="7"/>
        <v>1</v>
      </c>
      <c r="U20" s="80">
        <f>IF(T20="","",IFERROR(budgetdetailPhase8dollar12,0))</f>
        <v>187</v>
      </c>
      <c r="V20" s="219">
        <f t="shared" si="8"/>
        <v>1</v>
      </c>
      <c r="W20" s="80">
        <f>IF(V20="","",IFERROR(budgetdetailPhase9dollar12,0))</f>
        <v>187</v>
      </c>
      <c r="X20" s="219">
        <f t="shared" si="9"/>
        <v>1</v>
      </c>
      <c r="Y20" s="80">
        <f>IF(X20="","",IFERROR(budgetdetailPhase10dollar12,0))</f>
        <v>187</v>
      </c>
      <c r="Z20" s="1225">
        <f>E11RateC1Total</f>
        <v>1</v>
      </c>
      <c r="AA20" s="1207">
        <f>IF(Z20="","",'Phase 11'!O44)</f>
        <v>187</v>
      </c>
      <c r="AB20" s="1225">
        <f>E12RateC1Total</f>
        <v>1</v>
      </c>
      <c r="AC20" s="1207">
        <f>IF(AB20="","",'Phase 12'!O44)</f>
        <v>187</v>
      </c>
      <c r="AD20" s="1225">
        <f>E13RateC1Total</f>
        <v>1</v>
      </c>
      <c r="AE20" s="1207">
        <f>IF(AD20="","",'Phase 13'!O44)</f>
        <v>187</v>
      </c>
      <c r="AF20" s="1225">
        <f>E14RateC1Total</f>
        <v>1</v>
      </c>
      <c r="AG20" s="1207">
        <f>IF(AF20="","",'Phase 14'!O44)</f>
        <v>187</v>
      </c>
      <c r="AH20" s="1225">
        <f>E15RateC1Total</f>
        <v>1</v>
      </c>
      <c r="AI20" s="1207">
        <f>IF(AH20="","",'Phase 15'!O44)</f>
        <v>187</v>
      </c>
      <c r="AJ20" s="1225">
        <f>E16RateC1Total</f>
        <v>1</v>
      </c>
      <c r="AK20" s="1207">
        <f>IF(AJ20="","",'Phase 16'!O45)</f>
        <v>187</v>
      </c>
      <c r="AL20" s="1225">
        <f>E17RateC1Total</f>
        <v>1</v>
      </c>
      <c r="AM20" s="1207">
        <f>IF(AL20="","",'Phase 17'!O44)</f>
        <v>187</v>
      </c>
      <c r="AN20" s="1225">
        <f>E18RateC1Total</f>
        <v>1</v>
      </c>
      <c r="AO20" s="1207">
        <f>IF(AN20="","",'Phase 18'!O44)</f>
        <v>187</v>
      </c>
      <c r="AP20" s="1225">
        <f>E19RateC1Total</f>
        <v>1</v>
      </c>
      <c r="AQ20" s="1207">
        <f>IF(AP20="","",'Phase 19'!O44)</f>
        <v>187</v>
      </c>
      <c r="AR20" s="1555">
        <f>E20RateC1Total</f>
        <v>0</v>
      </c>
      <c r="AS20" s="1207" t="str">
        <f>IF(AR20="","",'Phase 20'!O44)</f>
        <v/>
      </c>
      <c r="AT20" s="1009" cm="1">
        <f t="array" aca="1" ref="AT20" ca="1">SUM(_xlfn._xlws.FILTER(INDEX(DynamicBudgetDetailRange, 1, _xlfn.SEQUENCE(1, COLUMNS(DynamicBudgetDetailRange), 1, 2)), ISNUMBER(INDEX(DynamicBudgetDetailRange, 1, _xlfn.SEQUENCE(1, COLUMNS(DynamicBudgetDetailRange), 1, 2)))))</f>
        <v>19</v>
      </c>
      <c r="AU20" s="80" cm="1">
        <f t="array" aca="1" ref="AU20" ca="1">IFERROR(SUM(_xlfn._xlws.FILTER(INDEX(DynamicTotalAmount, 1, _xlfn.SEQUENCE(1, COLUMNS(DynamicTotalAmount), 1, 2)), ISNUMBER(INDEX(DynamicTotalAmount, 1, _xlfn.SEQUENCE(1, COLUMNS(DynamicTotalAmount), 1, 2))))),0)</f>
        <v>3553</v>
      </c>
      <c r="AV20" s="418">
        <f t="shared" ca="1" si="30"/>
        <v>3.790549924712785</v>
      </c>
      <c r="AW20" s="420">
        <f t="shared" ca="1" si="20"/>
        <v>0.34837950981818172</v>
      </c>
      <c r="AX20" s="901">
        <f>IFERROR(E1DirectLaborO48,0)</f>
        <v>937.33101280000039</v>
      </c>
      <c r="AY20" s="901">
        <f>IFERROR(E1OverheadO49,0)</f>
        <v>1377.8765888160001</v>
      </c>
      <c r="AZ20" s="908">
        <f t="shared" ca="1" si="31"/>
        <v>1237.7923983839996</v>
      </c>
      <c r="BA20" s="908"/>
      <c r="BB20" s="909" t="str">
        <f>CodeC1</f>
        <v>EV17</v>
      </c>
      <c r="BC20" s="910">
        <f t="shared" si="22"/>
        <v>1</v>
      </c>
      <c r="BD20" s="910">
        <f t="shared" si="10"/>
        <v>1</v>
      </c>
      <c r="BE20" s="910">
        <f t="shared" si="11"/>
        <v>1</v>
      </c>
      <c r="BF20" s="910">
        <f t="shared" si="12"/>
        <v>1</v>
      </c>
      <c r="BG20" s="910">
        <f t="shared" si="13"/>
        <v>1</v>
      </c>
      <c r="BH20" s="910">
        <f t="shared" si="14"/>
        <v>1</v>
      </c>
      <c r="BI20" s="910">
        <f t="shared" si="15"/>
        <v>1</v>
      </c>
      <c r="BJ20" s="910">
        <f t="shared" si="16"/>
        <v>1</v>
      </c>
      <c r="BK20" s="910">
        <f t="shared" si="17"/>
        <v>1</v>
      </c>
      <c r="BL20" s="910">
        <f t="shared" si="32"/>
        <v>1</v>
      </c>
      <c r="BM20" s="910">
        <f t="shared" si="35"/>
        <v>1</v>
      </c>
      <c r="BN20" s="910">
        <f t="shared" si="36"/>
        <v>1</v>
      </c>
      <c r="BO20" s="910">
        <f t="shared" si="24"/>
        <v>1</v>
      </c>
      <c r="BP20" s="910">
        <f t="shared" si="33"/>
        <v>1</v>
      </c>
      <c r="BQ20" s="910">
        <f t="shared" si="25"/>
        <v>1</v>
      </c>
      <c r="BR20" s="910">
        <f>CM20+DH20</f>
        <v>1</v>
      </c>
      <c r="BS20" s="910">
        <f>CN20+DI20</f>
        <v>1</v>
      </c>
      <c r="BT20" s="910">
        <f t="shared" si="34"/>
        <v>1</v>
      </c>
      <c r="BU20" s="910">
        <f t="shared" si="28"/>
        <v>1</v>
      </c>
      <c r="BV20" s="910">
        <f t="shared" si="29"/>
        <v>0</v>
      </c>
      <c r="BW20" s="909" t="str">
        <f>CodeC1</f>
        <v>EV17</v>
      </c>
      <c r="BX20" s="910">
        <f>_xlfn.SINGLE(E1BASEC1)</f>
        <v>1</v>
      </c>
      <c r="BY20" s="910">
        <f>_xlfn.SINGLE(E2BASEC1)</f>
        <v>1</v>
      </c>
      <c r="BZ20" s="910">
        <f>_xlfn.SINGLE(E3BASEC1)</f>
        <v>1</v>
      </c>
      <c r="CA20" s="910">
        <f>_xlfn.SINGLE(E4BASEC1)</f>
        <v>1</v>
      </c>
      <c r="CB20" s="910">
        <f>_xlfn.SINGLE(E5BASEC1)</f>
        <v>1</v>
      </c>
      <c r="CC20" s="910">
        <f>_xlfn.SINGLE(E6BASEC1)</f>
        <v>1</v>
      </c>
      <c r="CD20" s="910">
        <f>_xlfn.SINGLE(E7BASEC1)</f>
        <v>1</v>
      </c>
      <c r="CE20" s="910">
        <f>_xlfn.SINGLE(E8BASEC1)</f>
        <v>1</v>
      </c>
      <c r="CF20" s="910">
        <f>_xlfn.SINGLE(E9BASEC1)</f>
        <v>1</v>
      </c>
      <c r="CG20" s="910">
        <f>_xlfn.SINGLE(E10BASEC1)</f>
        <v>1</v>
      </c>
      <c r="CH20" s="910">
        <f>E11BASEC1</f>
        <v>1</v>
      </c>
      <c r="CI20" s="910">
        <f>E12BASEC1</f>
        <v>1</v>
      </c>
      <c r="CJ20" s="910">
        <f>E13BASEC1</f>
        <v>1</v>
      </c>
      <c r="CK20" s="910">
        <f>E14BASEC1</f>
        <v>1</v>
      </c>
      <c r="CL20" s="910">
        <f>E15BASEC1</f>
        <v>1</v>
      </c>
      <c r="CM20" s="910">
        <f>E16BASEC1</f>
        <v>1</v>
      </c>
      <c r="CN20" s="910">
        <f>E17BASEC1</f>
        <v>1</v>
      </c>
      <c r="CO20" s="910">
        <f>E18BASEC1</f>
        <v>1</v>
      </c>
      <c r="CP20" s="910">
        <f>E19BASEC1</f>
        <v>1</v>
      </c>
      <c r="CQ20" s="910">
        <f>E20BASEC1</f>
        <v>0</v>
      </c>
      <c r="CR20" s="909" t="str">
        <f>CodeC1</f>
        <v>EV17</v>
      </c>
      <c r="CY20" s="910"/>
      <c r="CZ20" s="910"/>
      <c r="DA20" s="910"/>
      <c r="DB20" s="910"/>
      <c r="DC20" s="910"/>
      <c r="DD20" s="910"/>
      <c r="DE20" s="910"/>
      <c r="DF20" s="910"/>
      <c r="DH20" s="910"/>
      <c r="DI20" s="910"/>
      <c r="DK20" s="910"/>
      <c r="DL20" s="910"/>
    </row>
    <row r="21" spans="1:116" ht="13.9" customHeight="1" x14ac:dyDescent="0.2">
      <c r="A21" s="1378"/>
      <c r="B21" s="217" t="str">
        <f>CodeD4</f>
        <v>EV16</v>
      </c>
      <c r="C21" s="218"/>
      <c r="D21" s="252" t="str">
        <f>TitleD4</f>
        <v>SR SCI/ENG/ SPECIALIST 4</v>
      </c>
      <c r="E21" s="253"/>
      <c r="F21" s="219">
        <f t="shared" si="0"/>
        <v>1</v>
      </c>
      <c r="G21" s="80">
        <f>IF(F21="","",IFERROR(budgetdetailPhase1dollar13,0))</f>
        <v>178</v>
      </c>
      <c r="H21" s="219">
        <f t="shared" si="1"/>
        <v>1</v>
      </c>
      <c r="I21" s="80">
        <f>IF(H21="","",IFERROR(budgetdetailPhase2dollar13,0))</f>
        <v>178</v>
      </c>
      <c r="J21" s="219">
        <f t="shared" si="2"/>
        <v>1</v>
      </c>
      <c r="K21" s="80">
        <f>IF(J21="","",IFERROR(budgetdetailPhase3dollar13,0))</f>
        <v>178</v>
      </c>
      <c r="L21" s="219">
        <f t="shared" si="3"/>
        <v>1</v>
      </c>
      <c r="M21" s="80">
        <f>IF(L21="","",IFERROR(budgetdetailPhase4dollar13,0))</f>
        <v>178</v>
      </c>
      <c r="N21" s="219">
        <f t="shared" si="4"/>
        <v>1</v>
      </c>
      <c r="O21" s="80">
        <f>IF(N21="","",IFERROR(budgetdetailPhase5dollar13,0))</f>
        <v>178</v>
      </c>
      <c r="P21" s="219">
        <f t="shared" si="5"/>
        <v>1</v>
      </c>
      <c r="Q21" s="80">
        <f>IF(P21="","",IFERROR(budgetdetailPhase6dollar13,0))</f>
        <v>178</v>
      </c>
      <c r="R21" s="219">
        <f t="shared" si="6"/>
        <v>1</v>
      </c>
      <c r="S21" s="80">
        <f>IF(R21="","",IFERROR(budgetdetailPhase7dollar13,0))</f>
        <v>178</v>
      </c>
      <c r="T21" s="219">
        <f t="shared" si="7"/>
        <v>1</v>
      </c>
      <c r="U21" s="80">
        <f>IF(T21="","",IFERROR(budgetdetailPhase8dollar13,0))</f>
        <v>178</v>
      </c>
      <c r="V21" s="219">
        <f t="shared" si="8"/>
        <v>1</v>
      </c>
      <c r="W21" s="80">
        <f>IF(V21="","",IFERROR(budgetdetailPhase9dollar13,0))</f>
        <v>178</v>
      </c>
      <c r="X21" s="219">
        <f t="shared" si="9"/>
        <v>1</v>
      </c>
      <c r="Y21" s="80">
        <f>IF(X21="","",IFERROR(budgetdetailPhase10dollar13,0))</f>
        <v>178</v>
      </c>
      <c r="Z21" s="1225">
        <f>E11RateD4Total</f>
        <v>1</v>
      </c>
      <c r="AA21" s="1207">
        <f>IF(Z21="","",'Phase 11'!P44)</f>
        <v>178</v>
      </c>
      <c r="AB21" s="1225">
        <f>E12RateD4Total</f>
        <v>1</v>
      </c>
      <c r="AC21" s="1207">
        <f>IF(AB21="","",'Phase 12'!P44)</f>
        <v>178</v>
      </c>
      <c r="AD21" s="1225">
        <f>E13RateD4Total</f>
        <v>1</v>
      </c>
      <c r="AE21" s="1207">
        <f>IF(AD21="","",'Phase 13'!P44)</f>
        <v>178</v>
      </c>
      <c r="AF21" s="1225">
        <f>E14RateD4Total</f>
        <v>1</v>
      </c>
      <c r="AG21" s="1207">
        <f>IF(AF21="","",'Phase 14'!P44)</f>
        <v>178</v>
      </c>
      <c r="AH21" s="1225">
        <f>E15RateD4Total</f>
        <v>1</v>
      </c>
      <c r="AI21" s="1207">
        <f>IF(AH21="","",'Phase 15'!P44)</f>
        <v>178</v>
      </c>
      <c r="AJ21" s="1225">
        <f>E16RateD4Total</f>
        <v>1</v>
      </c>
      <c r="AK21" s="1207">
        <f>IF(AJ21="","",'Phase 16'!P45)</f>
        <v>178</v>
      </c>
      <c r="AL21" s="1225">
        <f>E17RateD4Total</f>
        <v>1</v>
      </c>
      <c r="AM21" s="1207">
        <f>IF(AL21="","",'Phase 17'!P44)</f>
        <v>178</v>
      </c>
      <c r="AN21" s="1225">
        <f>E18RateD4Total</f>
        <v>1</v>
      </c>
      <c r="AO21" s="1207">
        <f>IF(AN21="","",'Phase 18'!P44)</f>
        <v>178</v>
      </c>
      <c r="AP21" s="1225">
        <f>E19RateD4Total</f>
        <v>1</v>
      </c>
      <c r="AQ21" s="1207">
        <f>IF(AP21="","",'Phase 19'!P44)</f>
        <v>178</v>
      </c>
      <c r="AR21" s="1555">
        <f>E20RateD4Total</f>
        <v>0</v>
      </c>
      <c r="AS21" s="1207" t="str">
        <f>IF(AR21="","",'Phase 20'!P44)</f>
        <v/>
      </c>
      <c r="AT21" s="1009" cm="1">
        <f t="array" aca="1" ref="AT21" ca="1">SUM(_xlfn._xlws.FILTER(INDEX(DynamicBudgetDetailRange, 1, _xlfn.SEQUENCE(1, COLUMNS(DynamicBudgetDetailRange), 1, 2)), ISNUMBER(INDEX(DynamicBudgetDetailRange, 1, _xlfn.SEQUENCE(1, COLUMNS(DynamicBudgetDetailRange), 1, 2)))))</f>
        <v>19</v>
      </c>
      <c r="AU21" s="80" cm="1">
        <f t="array" aca="1" ref="AU21" ca="1">IFERROR(SUM(_xlfn._xlws.FILTER(INDEX(DynamicTotalAmount, 1, _xlfn.SEQUENCE(1, COLUMNS(DynamicTotalAmount), 1, 2)), ISNUMBER(INDEX(DynamicTotalAmount, 1, _xlfn.SEQUENCE(1, COLUMNS(DynamicTotalAmount), 1, 2))))),0)</f>
        <v>3382</v>
      </c>
      <c r="AV21" s="418">
        <f t="shared" ca="1" si="19"/>
        <v>3.6148119056203356</v>
      </c>
      <c r="AW21" s="420">
        <f t="shared" ca="1" si="20"/>
        <v>0.31670026975411164</v>
      </c>
      <c r="AX21" s="901">
        <f>IFERROR(E1DirectLaborP48,0)</f>
        <v>935.59501525975452</v>
      </c>
      <c r="AY21" s="901">
        <f>IFERROR(E1OverheadP49,0)</f>
        <v>1375.3246724318399</v>
      </c>
      <c r="AZ21" s="908">
        <f t="shared" ca="1" si="21"/>
        <v>1071.0803123084056</v>
      </c>
      <c r="BA21" s="908"/>
      <c r="BB21" s="909" t="str">
        <f>CodeD4</f>
        <v>EV16</v>
      </c>
      <c r="BC21" s="910">
        <f t="shared" si="22"/>
        <v>1</v>
      </c>
      <c r="BD21" s="910">
        <f t="shared" si="10"/>
        <v>1</v>
      </c>
      <c r="BE21" s="910">
        <f t="shared" si="11"/>
        <v>1</v>
      </c>
      <c r="BF21" s="910">
        <f t="shared" si="12"/>
        <v>1</v>
      </c>
      <c r="BG21" s="910">
        <f t="shared" si="13"/>
        <v>1</v>
      </c>
      <c r="BH21" s="910">
        <f t="shared" si="14"/>
        <v>1</v>
      </c>
      <c r="BI21" s="910">
        <f t="shared" si="15"/>
        <v>1</v>
      </c>
      <c r="BJ21" s="910">
        <f t="shared" si="16"/>
        <v>1</v>
      </c>
      <c r="BK21" s="910">
        <f t="shared" si="17"/>
        <v>1</v>
      </c>
      <c r="BL21" s="910">
        <f t="shared" si="32"/>
        <v>1</v>
      </c>
      <c r="BM21" s="910">
        <f t="shared" si="35"/>
        <v>1</v>
      </c>
      <c r="BN21" s="910">
        <f t="shared" si="36"/>
        <v>1</v>
      </c>
      <c r="BO21" s="910">
        <f t="shared" si="24"/>
        <v>1</v>
      </c>
      <c r="BP21" s="910">
        <f t="shared" si="33"/>
        <v>1</v>
      </c>
      <c r="BQ21" s="910">
        <f t="shared" si="25"/>
        <v>1</v>
      </c>
      <c r="BR21" s="910">
        <f t="shared" si="26"/>
        <v>1</v>
      </c>
      <c r="BS21" s="910">
        <f t="shared" si="27"/>
        <v>1</v>
      </c>
      <c r="BT21" s="910">
        <f t="shared" si="34"/>
        <v>1</v>
      </c>
      <c r="BU21" s="910">
        <f>CP21+DK21</f>
        <v>1</v>
      </c>
      <c r="BV21" s="910">
        <f t="shared" si="29"/>
        <v>0</v>
      </c>
      <c r="BW21" s="909" t="str">
        <f>CodeD4</f>
        <v>EV16</v>
      </c>
      <c r="BX21" s="910">
        <f>_xlfn.SINGLE(E1BASED4)</f>
        <v>1</v>
      </c>
      <c r="BY21" s="910">
        <f>_xlfn.SINGLE(E2BASED4)</f>
        <v>1</v>
      </c>
      <c r="BZ21" s="910">
        <f>_xlfn.SINGLE(E3BASED4)</f>
        <v>1</v>
      </c>
      <c r="CA21" s="910">
        <f>_xlfn.SINGLE(E4BASED4)</f>
        <v>1</v>
      </c>
      <c r="CB21" s="910">
        <f>_xlfn.SINGLE(E5BASED4)</f>
        <v>1</v>
      </c>
      <c r="CC21" s="910">
        <f>_xlfn.SINGLE(E6BASED4)</f>
        <v>1</v>
      </c>
      <c r="CD21" s="910">
        <f>_xlfn.SINGLE(E7BASED4)</f>
        <v>1</v>
      </c>
      <c r="CE21" s="910">
        <f>_xlfn.SINGLE(E8BASED4)</f>
        <v>1</v>
      </c>
      <c r="CF21" s="910">
        <f>_xlfn.SINGLE(E9BASED4)</f>
        <v>1</v>
      </c>
      <c r="CG21" s="910">
        <f>_xlfn.SINGLE(E10BASED4)</f>
        <v>1</v>
      </c>
      <c r="CH21" s="910">
        <f>E11BASED4</f>
        <v>1</v>
      </c>
      <c r="CI21" s="910">
        <f>E12BASED4</f>
        <v>1</v>
      </c>
      <c r="CJ21" s="910">
        <f>E13BASED4</f>
        <v>1</v>
      </c>
      <c r="CK21" s="910">
        <f>E14BASED4</f>
        <v>1</v>
      </c>
      <c r="CL21" s="910">
        <f>E15BASED4</f>
        <v>1</v>
      </c>
      <c r="CM21" s="910">
        <f>E16BASED4</f>
        <v>1</v>
      </c>
      <c r="CN21" s="910">
        <f>E17BASED4</f>
        <v>1</v>
      </c>
      <c r="CO21" s="910">
        <f>E18BASED4</f>
        <v>1</v>
      </c>
      <c r="CP21" s="910">
        <f>E19BASED4</f>
        <v>1</v>
      </c>
      <c r="CQ21" s="910">
        <f>E20BASED4</f>
        <v>0</v>
      </c>
      <c r="CR21" s="909" t="str">
        <f>CodeD4</f>
        <v>EV16</v>
      </c>
      <c r="CY21" s="910"/>
      <c r="CZ21" s="910"/>
      <c r="DA21" s="910"/>
      <c r="DB21" s="910"/>
      <c r="DD21" s="910"/>
      <c r="DE21" s="910"/>
      <c r="DF21" s="910"/>
      <c r="DG21" s="910"/>
      <c r="DH21" s="910"/>
      <c r="DI21" s="910"/>
      <c r="DK21" s="910"/>
      <c r="DL21" s="910"/>
    </row>
    <row r="22" spans="1:116" ht="13.9" customHeight="1" x14ac:dyDescent="0.2">
      <c r="A22" s="1378"/>
      <c r="B22" s="217" t="str">
        <f>CodeD3</f>
        <v>EV15</v>
      </c>
      <c r="C22" s="218"/>
      <c r="D22" s="252" t="str">
        <f>TitleD3</f>
        <v>SR SCI/ENG/ SPECIALIST 3</v>
      </c>
      <c r="E22" s="253"/>
      <c r="F22" s="219">
        <f t="shared" si="0"/>
        <v>1</v>
      </c>
      <c r="G22" s="80">
        <f>IF(F22="","",IFERROR(budgetdetailPhase1dollar14,0))</f>
        <v>169</v>
      </c>
      <c r="H22" s="219">
        <f t="shared" si="1"/>
        <v>1</v>
      </c>
      <c r="I22" s="80">
        <f>IF(H22="","",IFERROR(budgetdetailPhase2dollar14,0))</f>
        <v>169</v>
      </c>
      <c r="J22" s="219">
        <f t="shared" si="2"/>
        <v>1</v>
      </c>
      <c r="K22" s="80">
        <f>IF(J22="","",IFERROR(budgetdetailPhase3dollar14,0))</f>
        <v>169</v>
      </c>
      <c r="L22" s="219">
        <f t="shared" si="3"/>
        <v>1</v>
      </c>
      <c r="M22" s="80">
        <f>IF(L22="","",IFERROR(budgetdetailPhase4dollar14,0))</f>
        <v>169</v>
      </c>
      <c r="N22" s="219">
        <f t="shared" si="4"/>
        <v>1</v>
      </c>
      <c r="O22" s="80">
        <f>IF(N22="","",IFERROR(budgetdetailPhase5dollar14,0))</f>
        <v>169</v>
      </c>
      <c r="P22" s="219">
        <f t="shared" si="5"/>
        <v>1</v>
      </c>
      <c r="Q22" s="80">
        <f>IF(P22="","",IFERROR(budgetdetailPhase6dollar14,0))</f>
        <v>169</v>
      </c>
      <c r="R22" s="219">
        <f t="shared" si="6"/>
        <v>1</v>
      </c>
      <c r="S22" s="80">
        <f>IF(R22="","",IFERROR(budgetdetailPhase7dollar14,0))</f>
        <v>169</v>
      </c>
      <c r="T22" s="219">
        <f t="shared" si="7"/>
        <v>1</v>
      </c>
      <c r="U22" s="80">
        <f>IF(T22="","",IFERROR(budgetdetailPhase8dollar14,0))</f>
        <v>169</v>
      </c>
      <c r="V22" s="219">
        <f t="shared" si="8"/>
        <v>1</v>
      </c>
      <c r="W22" s="80">
        <f>IF(V22="","",IFERROR(budgetdetailPhase9dollar14,0))</f>
        <v>169</v>
      </c>
      <c r="X22" s="219">
        <f t="shared" si="9"/>
        <v>1</v>
      </c>
      <c r="Y22" s="80">
        <f>IF(X22="","",IFERROR(budgetdetailPhase10dollar14,0))</f>
        <v>169</v>
      </c>
      <c r="Z22" s="1225">
        <f>E11RateD3Total</f>
        <v>1</v>
      </c>
      <c r="AA22" s="1207">
        <f>IF(Z22="","",'Phase 11'!Q44)</f>
        <v>169</v>
      </c>
      <c r="AB22" s="1225">
        <f>E12RateD3Total</f>
        <v>1</v>
      </c>
      <c r="AC22" s="1207">
        <f>IF(AB22="","",'Phase 12'!Q44)</f>
        <v>169</v>
      </c>
      <c r="AD22" s="1225">
        <f>E13RateD3Total</f>
        <v>1</v>
      </c>
      <c r="AE22" s="1207">
        <f>IF(AD22="","",'Phase 13'!Q44)</f>
        <v>169</v>
      </c>
      <c r="AF22" s="1225">
        <f>E14RateD3Total</f>
        <v>1</v>
      </c>
      <c r="AG22" s="1207">
        <f>IF(AF22="","",'Phase 14'!Q44)</f>
        <v>169</v>
      </c>
      <c r="AH22" s="1225">
        <f>E15RateD3Total</f>
        <v>1</v>
      </c>
      <c r="AI22" s="1207">
        <f>IF(AH22="","",'Phase 15'!Q44)</f>
        <v>169</v>
      </c>
      <c r="AJ22" s="1225">
        <f>E16RateD3Total</f>
        <v>1</v>
      </c>
      <c r="AK22" s="1207">
        <f>IF(AJ22="","",'Phase 16'!Q45)</f>
        <v>169</v>
      </c>
      <c r="AL22" s="1225">
        <f>E17RateD3Total</f>
        <v>1</v>
      </c>
      <c r="AM22" s="1207">
        <f>IF(AL22="","",'Phase 17'!Q44)</f>
        <v>169</v>
      </c>
      <c r="AN22" s="1225">
        <f>E18RateD3Total</f>
        <v>1</v>
      </c>
      <c r="AO22" s="1207">
        <f>IF(AN22="","",'Phase 18'!Q44)</f>
        <v>169</v>
      </c>
      <c r="AP22" s="1225">
        <f>E19RateD3Total</f>
        <v>1</v>
      </c>
      <c r="AQ22" s="1207">
        <f>IF(AP22="","",'Phase 19'!Q44)</f>
        <v>169</v>
      </c>
      <c r="AR22" s="1555">
        <f>E20RateD3Total</f>
        <v>0</v>
      </c>
      <c r="AS22" s="1207" t="str">
        <f>IF(AR22="","",'Phase 20'!Q44)</f>
        <v/>
      </c>
      <c r="AT22" s="1009" cm="1">
        <f t="array" aca="1" ref="AT22" ca="1">SUM(_xlfn._xlws.FILTER(INDEX(DynamicBudgetDetailRange, 1, _xlfn.SEQUENCE(1, COLUMNS(DynamicBudgetDetailRange), 1, 2)), ISNUMBER(INDEX(DynamicBudgetDetailRange, 1, _xlfn.SEQUENCE(1, COLUMNS(DynamicBudgetDetailRange), 1, 2)))))</f>
        <v>19</v>
      </c>
      <c r="AU22" s="80" cm="1">
        <f t="array" aca="1" ref="AU22" ca="1">IFERROR(SUM(_xlfn._xlws.FILTER(INDEX(DynamicTotalAmount, 1, _xlfn.SEQUENCE(1, COLUMNS(DynamicTotalAmount), 1, 2)), ISNUMBER(INDEX(DynamicTotalAmount, 1, _xlfn.SEQUENCE(1, COLUMNS(DynamicTotalAmount), 1, 2))))),0)</f>
        <v>3211</v>
      </c>
      <c r="AV22" s="418">
        <f t="shared" ca="1" si="19"/>
        <v>3.6502368368959872</v>
      </c>
      <c r="AW22" s="420">
        <f t="shared" ca="1" si="20"/>
        <v>0.32333157809552232</v>
      </c>
      <c r="AX22" s="901">
        <f>IFERROR(E1DirectLaborQ48,0)</f>
        <v>879.66894847582103</v>
      </c>
      <c r="AY22" s="901">
        <f>IFERROR(E1OverheadQ49,0)</f>
        <v>1293.1133542594566</v>
      </c>
      <c r="AZ22" s="908">
        <f t="shared" ca="1" si="21"/>
        <v>1038.2176972647221</v>
      </c>
      <c r="BA22" s="908"/>
      <c r="BB22" s="909" t="str">
        <f>CodeD3</f>
        <v>EV15</v>
      </c>
      <c r="BC22" s="910">
        <f t="shared" si="22"/>
        <v>1</v>
      </c>
      <c r="BD22" s="910">
        <f t="shared" si="10"/>
        <v>1</v>
      </c>
      <c r="BE22" s="910">
        <f t="shared" si="11"/>
        <v>1</v>
      </c>
      <c r="BF22" s="910">
        <f t="shared" si="12"/>
        <v>1</v>
      </c>
      <c r="BG22" s="910">
        <f t="shared" si="13"/>
        <v>1</v>
      </c>
      <c r="BH22" s="910">
        <f t="shared" si="14"/>
        <v>1</v>
      </c>
      <c r="BI22" s="910">
        <f t="shared" si="15"/>
        <v>1</v>
      </c>
      <c r="BJ22" s="910">
        <f t="shared" si="16"/>
        <v>1</v>
      </c>
      <c r="BK22" s="910">
        <f t="shared" si="17"/>
        <v>1</v>
      </c>
      <c r="BL22" s="910">
        <f t="shared" si="32"/>
        <v>1</v>
      </c>
      <c r="BM22" s="910">
        <f t="shared" si="35"/>
        <v>1</v>
      </c>
      <c r="BN22" s="910">
        <f t="shared" si="36"/>
        <v>1</v>
      </c>
      <c r="BO22" s="910">
        <f t="shared" si="24"/>
        <v>1</v>
      </c>
      <c r="BP22" s="910">
        <f t="shared" si="33"/>
        <v>1</v>
      </c>
      <c r="BQ22" s="910">
        <f t="shared" si="25"/>
        <v>1</v>
      </c>
      <c r="BR22" s="910">
        <f t="shared" si="26"/>
        <v>1</v>
      </c>
      <c r="BS22" s="910">
        <f t="shared" si="27"/>
        <v>1</v>
      </c>
      <c r="BT22" s="910">
        <f t="shared" si="34"/>
        <v>1</v>
      </c>
      <c r="BU22" s="910">
        <f t="shared" si="28"/>
        <v>1</v>
      </c>
      <c r="BV22" s="910">
        <f t="shared" si="29"/>
        <v>0</v>
      </c>
      <c r="BW22" s="909" t="str">
        <f>CodeD3</f>
        <v>EV15</v>
      </c>
      <c r="BX22" s="910">
        <f>_xlfn.SINGLE(E1BASED3)</f>
        <v>1</v>
      </c>
      <c r="BY22" s="910">
        <f>_xlfn.SINGLE(E2BASED3)</f>
        <v>1</v>
      </c>
      <c r="BZ22" s="910">
        <f>_xlfn.SINGLE(E3BASED3)</f>
        <v>1</v>
      </c>
      <c r="CA22" s="910">
        <f>_xlfn.SINGLE(E4BASED3)</f>
        <v>1</v>
      </c>
      <c r="CB22" s="910">
        <f>_xlfn.SINGLE(E5BASED3)</f>
        <v>1</v>
      </c>
      <c r="CC22" s="910">
        <f>_xlfn.SINGLE(E6BASED3)</f>
        <v>1</v>
      </c>
      <c r="CD22" s="910">
        <f>_xlfn.SINGLE(E7BASED3)</f>
        <v>1</v>
      </c>
      <c r="CE22" s="910">
        <f>_xlfn.SINGLE(E8BASED3)</f>
        <v>1</v>
      </c>
      <c r="CF22" s="910">
        <f>_xlfn.SINGLE(E9BASED3)</f>
        <v>1</v>
      </c>
      <c r="CG22" s="910">
        <f>_xlfn.SINGLE(E10BASED3)</f>
        <v>1</v>
      </c>
      <c r="CH22" s="910">
        <f>E11BASED3</f>
        <v>1</v>
      </c>
      <c r="CI22" s="910">
        <f>E12BASED3</f>
        <v>1</v>
      </c>
      <c r="CJ22" s="910">
        <f>E13BASED3</f>
        <v>1</v>
      </c>
      <c r="CK22" s="910">
        <f>E14BASED3</f>
        <v>1</v>
      </c>
      <c r="CL22" s="910">
        <f>E15BASED3</f>
        <v>1</v>
      </c>
      <c r="CM22" s="910">
        <f>E16BASED3</f>
        <v>1</v>
      </c>
      <c r="CN22" s="910">
        <f>E17BASED3</f>
        <v>1</v>
      </c>
      <c r="CO22" s="910">
        <f>E18BASED3</f>
        <v>1</v>
      </c>
      <c r="CP22" s="910">
        <f>E19BASED3</f>
        <v>1</v>
      </c>
      <c r="CQ22" s="910">
        <f>E20BASED3</f>
        <v>0</v>
      </c>
      <c r="CR22" s="909" t="str">
        <f>CodeD3</f>
        <v>EV15</v>
      </c>
      <c r="CY22" s="910"/>
      <c r="CZ22" s="910"/>
      <c r="DA22" s="910"/>
      <c r="DB22" s="910"/>
      <c r="DC22" s="910"/>
      <c r="DD22" s="910"/>
      <c r="DE22" s="910"/>
      <c r="DF22" s="910"/>
      <c r="DG22" s="910"/>
      <c r="DH22" s="910"/>
      <c r="DI22" s="910"/>
      <c r="DK22" s="910"/>
      <c r="DL22" s="910"/>
    </row>
    <row r="23" spans="1:116" ht="13.9" customHeight="1" x14ac:dyDescent="0.2">
      <c r="A23" s="1378"/>
      <c r="B23" s="217" t="str">
        <f>CodeD2</f>
        <v>EV14</v>
      </c>
      <c r="C23" s="218"/>
      <c r="D23" s="252" t="str">
        <f>TitleD2</f>
        <v>SR SCI/ENG/ SPECIALIST 2</v>
      </c>
      <c r="E23" s="253"/>
      <c r="F23" s="219">
        <f t="shared" si="0"/>
        <v>1</v>
      </c>
      <c r="G23" s="80">
        <f>IF(F23="","",IFERROR(budgetdetailPhase1dollar15,0))</f>
        <v>162</v>
      </c>
      <c r="H23" s="219">
        <f t="shared" si="1"/>
        <v>1</v>
      </c>
      <c r="I23" s="80">
        <f>IF(H23="","",IFERROR(budgetdetailPhase2dollar15,0))</f>
        <v>162</v>
      </c>
      <c r="J23" s="219">
        <f t="shared" si="2"/>
        <v>1</v>
      </c>
      <c r="K23" s="80">
        <f>IF(J23="","",IFERROR(budgetdetailPhase3dollar15,0))</f>
        <v>162</v>
      </c>
      <c r="L23" s="219">
        <f t="shared" si="3"/>
        <v>1</v>
      </c>
      <c r="M23" s="80">
        <f>IF(L23="","",IFERROR(budgetdetailPhase4dollar15,0))</f>
        <v>162</v>
      </c>
      <c r="N23" s="219">
        <f t="shared" si="4"/>
        <v>1</v>
      </c>
      <c r="O23" s="80">
        <f>IF(N23="","",IFERROR(budgetdetailPhase5dollar15,0))</f>
        <v>162</v>
      </c>
      <c r="P23" s="219">
        <f t="shared" si="5"/>
        <v>1</v>
      </c>
      <c r="Q23" s="80">
        <f>IF(P23="","",IFERROR(budgetdetailPhase6dollar15,0))</f>
        <v>162</v>
      </c>
      <c r="R23" s="219">
        <f t="shared" si="6"/>
        <v>1</v>
      </c>
      <c r="S23" s="80">
        <f>IF(R23="","",IFERROR(budgetdetailPhase7dollar15,0))</f>
        <v>162</v>
      </c>
      <c r="T23" s="219">
        <f t="shared" si="7"/>
        <v>1</v>
      </c>
      <c r="U23" s="80">
        <f>IF(T23="","",IFERROR(budgetdetailPhase8dollar15,0))</f>
        <v>162</v>
      </c>
      <c r="V23" s="219">
        <f t="shared" si="8"/>
        <v>1</v>
      </c>
      <c r="W23" s="80">
        <f>IF(V23="","",IFERROR(budgetdetailPhase9dollar15,0))</f>
        <v>162</v>
      </c>
      <c r="X23" s="219">
        <f t="shared" si="9"/>
        <v>1</v>
      </c>
      <c r="Y23" s="80">
        <f>IF(X23="","",IFERROR(budgetdetailPhase10dollar15,0))</f>
        <v>162</v>
      </c>
      <c r="Z23" s="1225">
        <f>E11RateD2Total</f>
        <v>1</v>
      </c>
      <c r="AA23" s="1207">
        <f>IF(Z23="","",'Phase 11'!R44)</f>
        <v>162</v>
      </c>
      <c r="AB23" s="1225">
        <f>E12RateD2Total</f>
        <v>1</v>
      </c>
      <c r="AC23" s="1207">
        <f>IF(AB23="","",'Phase 12'!R44)</f>
        <v>162</v>
      </c>
      <c r="AD23" s="1225">
        <f>E13RateD2Total</f>
        <v>1</v>
      </c>
      <c r="AE23" s="1207">
        <f>IF(AD23="","",'Phase 13'!R44)</f>
        <v>162</v>
      </c>
      <c r="AF23" s="1225">
        <f>E14RateD2Total</f>
        <v>1</v>
      </c>
      <c r="AG23" s="1207">
        <f>IF(AF23="","",'Phase 14'!R44)</f>
        <v>162</v>
      </c>
      <c r="AH23" s="1225">
        <f>E15RateD2Total</f>
        <v>1</v>
      </c>
      <c r="AI23" s="1207">
        <f>IF(AH23="","",'Phase 15'!R44)</f>
        <v>162</v>
      </c>
      <c r="AJ23" s="1225">
        <f>E16RateD2Total</f>
        <v>1</v>
      </c>
      <c r="AK23" s="1207">
        <f>IF(AJ23="","",'Phase 16'!R45)</f>
        <v>162</v>
      </c>
      <c r="AL23" s="1225">
        <f>E17RateD2Total</f>
        <v>1</v>
      </c>
      <c r="AM23" s="1207">
        <f>IF(AL23="","",'Phase 17'!R44)</f>
        <v>162</v>
      </c>
      <c r="AN23" s="1225">
        <f>E18RateD2Total</f>
        <v>1</v>
      </c>
      <c r="AO23" s="1207">
        <f>IF(AN23="","",'Phase 18'!R44)</f>
        <v>162</v>
      </c>
      <c r="AP23" s="1225">
        <f>E19RateD2Total</f>
        <v>1</v>
      </c>
      <c r="AQ23" s="1207">
        <f>IF(AP23="","",'Phase 19'!R44)</f>
        <v>162</v>
      </c>
      <c r="AR23" s="1555">
        <f>E20RateD2Total</f>
        <v>0</v>
      </c>
      <c r="AS23" s="1207" t="str">
        <f>IF(AR23="","",'Phase 20'!R44)</f>
        <v/>
      </c>
      <c r="AT23" s="1009" cm="1">
        <f t="array" aca="1" ref="AT23" ca="1">SUM(_xlfn._xlws.FILTER(INDEX(DynamicBudgetDetailRange, 1, _xlfn.SEQUENCE(1, COLUMNS(DynamicBudgetDetailRange), 1, 2)), ISNUMBER(INDEX(DynamicBudgetDetailRange, 1, _xlfn.SEQUENCE(1, COLUMNS(DynamicBudgetDetailRange), 1, 2)))))</f>
        <v>19</v>
      </c>
      <c r="AU23" s="80" cm="1">
        <f t="array" aca="1" ref="AU23" ca="1">IFERROR(SUM(_xlfn._xlws.FILTER(INDEX(DynamicTotalAmount, 1, _xlfn.SEQUENCE(1, COLUMNS(DynamicTotalAmount), 1, 2)), ISNUMBER(INDEX(DynamicTotalAmount, 1, _xlfn.SEQUENCE(1, COLUMNS(DynamicTotalAmount), 1, 2))))),0)</f>
        <v>3078</v>
      </c>
      <c r="AV23" s="418">
        <f t="shared" ca="1" si="19"/>
        <v>3.6907830161741422</v>
      </c>
      <c r="AW23" s="420">
        <f t="shared" ca="1" si="20"/>
        <v>0.33076531750154314</v>
      </c>
      <c r="AX23" s="901">
        <f>IFERROR(E1DirectLaborR48,0)</f>
        <v>833.96937357500042</v>
      </c>
      <c r="AY23" s="901">
        <f>IFERROR(E1OverheadR49,0)</f>
        <v>1225.9349791552499</v>
      </c>
      <c r="AZ23" s="908">
        <f t="shared" ca="1" si="21"/>
        <v>1018.0956472697499</v>
      </c>
      <c r="BA23" s="908"/>
      <c r="BB23" s="909" t="str">
        <f>CodeD2</f>
        <v>EV14</v>
      </c>
      <c r="BC23" s="910">
        <f t="shared" si="22"/>
        <v>1</v>
      </c>
      <c r="BD23" s="910">
        <f t="shared" si="10"/>
        <v>1</v>
      </c>
      <c r="BE23" s="910">
        <f t="shared" si="11"/>
        <v>1</v>
      </c>
      <c r="BF23" s="910">
        <f t="shared" si="12"/>
        <v>1</v>
      </c>
      <c r="BG23" s="910">
        <f t="shared" si="13"/>
        <v>1</v>
      </c>
      <c r="BH23" s="910">
        <f t="shared" si="14"/>
        <v>1</v>
      </c>
      <c r="BI23" s="910">
        <f t="shared" si="15"/>
        <v>1</v>
      </c>
      <c r="BJ23" s="910">
        <f t="shared" si="16"/>
        <v>1</v>
      </c>
      <c r="BK23" s="910">
        <f t="shared" si="17"/>
        <v>1</v>
      </c>
      <c r="BL23" s="910">
        <f t="shared" si="32"/>
        <v>1</v>
      </c>
      <c r="BM23" s="910">
        <f t="shared" si="35"/>
        <v>1</v>
      </c>
      <c r="BN23" s="910">
        <f t="shared" si="36"/>
        <v>1</v>
      </c>
      <c r="BO23" s="910">
        <f t="shared" si="24"/>
        <v>1</v>
      </c>
      <c r="BP23" s="910">
        <f t="shared" si="33"/>
        <v>1</v>
      </c>
      <c r="BQ23" s="910">
        <f t="shared" si="25"/>
        <v>1</v>
      </c>
      <c r="BR23" s="910">
        <f t="shared" si="26"/>
        <v>1</v>
      </c>
      <c r="BS23" s="910">
        <f t="shared" si="27"/>
        <v>1</v>
      </c>
      <c r="BT23" s="910">
        <f t="shared" si="34"/>
        <v>1</v>
      </c>
      <c r="BU23" s="910">
        <f>CP23+DK23</f>
        <v>1</v>
      </c>
      <c r="BV23" s="910">
        <f t="shared" si="29"/>
        <v>0</v>
      </c>
      <c r="BW23" s="909" t="str">
        <f>CodeD2</f>
        <v>EV14</v>
      </c>
      <c r="BX23" s="910">
        <f>_xlfn.SINGLE(E1BASED2)</f>
        <v>1</v>
      </c>
      <c r="BY23" s="910">
        <f>_xlfn.SINGLE(E2BASED2)</f>
        <v>1</v>
      </c>
      <c r="BZ23" s="910">
        <f>_xlfn.SINGLE(E3BASED2)</f>
        <v>1</v>
      </c>
      <c r="CA23" s="910">
        <f>_xlfn.SINGLE(E4BASED2)</f>
        <v>1</v>
      </c>
      <c r="CB23" s="910">
        <f>_xlfn.SINGLE(E5BASED2)</f>
        <v>1</v>
      </c>
      <c r="CC23" s="910">
        <f>_xlfn.SINGLE(E6BASED2)</f>
        <v>1</v>
      </c>
      <c r="CD23" s="910">
        <f>_xlfn.SINGLE(E7BASED2)</f>
        <v>1</v>
      </c>
      <c r="CE23" s="910">
        <f>_xlfn.SINGLE(E8BASED2)</f>
        <v>1</v>
      </c>
      <c r="CF23" s="910">
        <f>_xlfn.SINGLE(E9BASED2)</f>
        <v>1</v>
      </c>
      <c r="CG23" s="910">
        <f>_xlfn.SINGLE(E10BASED2)</f>
        <v>1</v>
      </c>
      <c r="CH23" s="910">
        <f>E11BASED2</f>
        <v>1</v>
      </c>
      <c r="CI23" s="910">
        <f>E12BASED2</f>
        <v>1</v>
      </c>
      <c r="CJ23" s="910">
        <f>E13BASED2</f>
        <v>1</v>
      </c>
      <c r="CK23" s="910">
        <f>E14BASED2</f>
        <v>1</v>
      </c>
      <c r="CL23" s="910">
        <f>E15BASED2</f>
        <v>1</v>
      </c>
      <c r="CM23" s="910">
        <f>E16BASED2</f>
        <v>1</v>
      </c>
      <c r="CN23" s="910">
        <f>E17BASED2</f>
        <v>1</v>
      </c>
      <c r="CO23" s="910">
        <f>E18BASED2</f>
        <v>1</v>
      </c>
      <c r="CP23" s="910">
        <f>E19BASED2</f>
        <v>1</v>
      </c>
      <c r="CQ23" s="910">
        <f>E20BASED2</f>
        <v>0</v>
      </c>
      <c r="CR23" s="909" t="str">
        <f>CodeD2</f>
        <v>EV14</v>
      </c>
      <c r="CY23" s="910"/>
      <c r="CZ23" s="910"/>
      <c r="DA23" s="910"/>
      <c r="DB23" s="910"/>
      <c r="DC23" s="910"/>
      <c r="DD23" s="910"/>
      <c r="DE23" s="910"/>
      <c r="DF23" s="910"/>
      <c r="DG23" s="910"/>
      <c r="DH23" s="910"/>
      <c r="DI23" s="910"/>
      <c r="DJ23" s="910"/>
      <c r="DK23" s="910"/>
      <c r="DL23" s="910"/>
    </row>
    <row r="24" spans="1:116" ht="13.9" customHeight="1" x14ac:dyDescent="0.2">
      <c r="A24" s="1378"/>
      <c r="B24" s="217" t="str">
        <f>CodeD1</f>
        <v>EV13</v>
      </c>
      <c r="C24" s="218"/>
      <c r="D24" s="252" t="str">
        <f>TitleD1</f>
        <v>SR SCI/ENG/ SPECIALIST 1</v>
      </c>
      <c r="E24" s="253"/>
      <c r="F24" s="219">
        <f t="shared" si="0"/>
        <v>1</v>
      </c>
      <c r="G24" s="80">
        <f>IF(F24="","",IFERROR(budgetdetailPhase1dollar16,0))</f>
        <v>155</v>
      </c>
      <c r="H24" s="219">
        <f t="shared" si="1"/>
        <v>1</v>
      </c>
      <c r="I24" s="80">
        <f>IF(H24="","",IFERROR(budgetdetailPhase2dollar16,0))</f>
        <v>155</v>
      </c>
      <c r="J24" s="219">
        <f t="shared" si="2"/>
        <v>1</v>
      </c>
      <c r="K24" s="80">
        <f>IF(J24="","",IFERROR(budgetdetailPhase3dollar16,0))</f>
        <v>155</v>
      </c>
      <c r="L24" s="219">
        <f t="shared" si="3"/>
        <v>1</v>
      </c>
      <c r="M24" s="80">
        <f>IF(L24="","",IFERROR(budgetdetailPhase4dollar16,0))</f>
        <v>155</v>
      </c>
      <c r="N24" s="219">
        <f t="shared" si="4"/>
        <v>1</v>
      </c>
      <c r="O24" s="80">
        <f>IF(N24="","",IFERROR(budgetdetailPhase5dollar16,0))</f>
        <v>155</v>
      </c>
      <c r="P24" s="219">
        <f t="shared" si="5"/>
        <v>1</v>
      </c>
      <c r="Q24" s="80">
        <f>IF(P24="","",IFERROR(budgetdetailPhase6dollar16,0))</f>
        <v>155</v>
      </c>
      <c r="R24" s="219">
        <f t="shared" si="6"/>
        <v>1</v>
      </c>
      <c r="S24" s="80">
        <f>IF(R24="","",IFERROR(budgetdetailPhase7dollar16,0))</f>
        <v>155</v>
      </c>
      <c r="T24" s="219">
        <f t="shared" si="7"/>
        <v>1</v>
      </c>
      <c r="U24" s="80">
        <f>IF(T24="","",IFERROR(budgetdetailPhase8dollar16,0))</f>
        <v>155</v>
      </c>
      <c r="V24" s="219">
        <f t="shared" si="8"/>
        <v>1</v>
      </c>
      <c r="W24" s="80">
        <f>IF(V24="","",IFERROR(budgetdetailPhase9dollar16,0))</f>
        <v>155</v>
      </c>
      <c r="X24" s="219">
        <f t="shared" si="9"/>
        <v>1</v>
      </c>
      <c r="Y24" s="80">
        <f>IF(X24="","",IFERROR(budgetdetailPhase10dollar16,0))</f>
        <v>155</v>
      </c>
      <c r="Z24" s="1225">
        <f>E11RateD1Total</f>
        <v>1</v>
      </c>
      <c r="AA24" s="1207">
        <f>IF(Z24="","",'Phase 11'!S44)</f>
        <v>155</v>
      </c>
      <c r="AB24" s="1225">
        <f>E12RateD1Total</f>
        <v>1</v>
      </c>
      <c r="AC24" s="1207">
        <f>IF(AB24="","",'Phase 12'!S44)</f>
        <v>155</v>
      </c>
      <c r="AD24" s="1225">
        <f>E13RateD1Total</f>
        <v>1</v>
      </c>
      <c r="AE24" s="1207">
        <f>IF(AD24="","",'Phase 13'!S44)</f>
        <v>155</v>
      </c>
      <c r="AF24" s="1225">
        <f>E14RateD1Total</f>
        <v>1</v>
      </c>
      <c r="AG24" s="1207">
        <f>IF(AF24="","",'Phase 14'!S44)</f>
        <v>155</v>
      </c>
      <c r="AH24" s="1225">
        <f>E15RateD1Total</f>
        <v>1</v>
      </c>
      <c r="AI24" s="1207">
        <f>IF(AH24="","",'Phase 15'!S44)</f>
        <v>155</v>
      </c>
      <c r="AJ24" s="1225">
        <f>E16RateD1Total</f>
        <v>1</v>
      </c>
      <c r="AK24" s="1207">
        <f>IF(AJ24="","",'Phase 16'!S45)</f>
        <v>155</v>
      </c>
      <c r="AL24" s="1225">
        <f>E17RateD1Total</f>
        <v>1</v>
      </c>
      <c r="AM24" s="1207">
        <f>IF(AL24="","",'Phase 17'!S44)</f>
        <v>155</v>
      </c>
      <c r="AN24" s="1225">
        <f>E18RateD1Total</f>
        <v>1</v>
      </c>
      <c r="AO24" s="1207">
        <f>IF(AN24="","",'Phase 18'!S44)</f>
        <v>155</v>
      </c>
      <c r="AP24" s="1225">
        <f>E19RateD1Total</f>
        <v>1</v>
      </c>
      <c r="AQ24" s="1207">
        <f>IF(AP24="","",'Phase 19'!S44)</f>
        <v>155</v>
      </c>
      <c r="AR24" s="1555">
        <f>E20RateD1Total</f>
        <v>0</v>
      </c>
      <c r="AS24" s="1207" t="str">
        <f>IF(AR24="","",'Phase 20'!S44)</f>
        <v/>
      </c>
      <c r="AT24" s="1009" cm="1">
        <f t="array" aca="1" ref="AT24" ca="1">SUM(_xlfn._xlws.FILTER(INDEX(DynamicBudgetDetailRange, 1, _xlfn.SEQUENCE(1, COLUMNS(DynamicBudgetDetailRange), 1, 2)), ISNUMBER(INDEX(DynamicBudgetDetailRange, 1, _xlfn.SEQUENCE(1, COLUMNS(DynamicBudgetDetailRange), 1, 2)))))</f>
        <v>19</v>
      </c>
      <c r="AU24" s="80" cm="1">
        <f t="array" aca="1" ref="AU24" ca="1">IFERROR(SUM(_xlfn._xlws.FILTER(INDEX(DynamicTotalAmount, 1, _xlfn.SEQUENCE(1, COLUMNS(DynamicTotalAmount), 1, 2)), ISNUMBER(INDEX(DynamicTotalAmount, 1, _xlfn.SEQUENCE(1, COLUMNS(DynamicTotalAmount), 1, 2))))),0)</f>
        <v>2945</v>
      </c>
      <c r="AV24" s="418">
        <f t="shared" ca="1" si="19"/>
        <v>3.7582953163499808</v>
      </c>
      <c r="AW24" s="420">
        <f t="shared" ca="1" si="20"/>
        <v>0.34278714361413187</v>
      </c>
      <c r="AX24" s="901">
        <f>IFERROR(E1DirectLaborS48,0)</f>
        <v>783.599944152381</v>
      </c>
      <c r="AY24" s="901">
        <f>IFERROR(E1OverheadS49,0)</f>
        <v>1151.8919179040006</v>
      </c>
      <c r="AZ24" s="908">
        <f t="shared" ca="1" si="21"/>
        <v>1009.5081379436183</v>
      </c>
      <c r="BA24" s="908"/>
      <c r="BB24" s="909" t="str">
        <f>CodeD1</f>
        <v>EV13</v>
      </c>
      <c r="BC24" s="910">
        <f t="shared" si="22"/>
        <v>1</v>
      </c>
      <c r="BD24" s="910">
        <f t="shared" si="10"/>
        <v>1</v>
      </c>
      <c r="BE24" s="910">
        <f t="shared" si="11"/>
        <v>1</v>
      </c>
      <c r="BF24" s="910">
        <f t="shared" si="12"/>
        <v>1</v>
      </c>
      <c r="BG24" s="910">
        <f t="shared" si="13"/>
        <v>1</v>
      </c>
      <c r="BH24" s="910">
        <f t="shared" si="14"/>
        <v>1</v>
      </c>
      <c r="BI24" s="910">
        <f t="shared" si="15"/>
        <v>1</v>
      </c>
      <c r="BJ24" s="910">
        <f t="shared" si="16"/>
        <v>1</v>
      </c>
      <c r="BK24" s="910">
        <f t="shared" si="17"/>
        <v>1</v>
      </c>
      <c r="BL24" s="910">
        <f t="shared" si="32"/>
        <v>1</v>
      </c>
      <c r="BM24" s="910">
        <f t="shared" si="35"/>
        <v>1</v>
      </c>
      <c r="BN24" s="910">
        <f t="shared" si="36"/>
        <v>1</v>
      </c>
      <c r="BO24" s="910">
        <f t="shared" si="24"/>
        <v>1</v>
      </c>
      <c r="BP24" s="910">
        <f t="shared" si="33"/>
        <v>1</v>
      </c>
      <c r="BQ24" s="910">
        <f t="shared" si="25"/>
        <v>1</v>
      </c>
      <c r="BR24" s="910">
        <f t="shared" si="26"/>
        <v>1</v>
      </c>
      <c r="BS24" s="910">
        <f t="shared" si="27"/>
        <v>1</v>
      </c>
      <c r="BT24" s="910">
        <f t="shared" si="34"/>
        <v>1</v>
      </c>
      <c r="BU24" s="910">
        <f t="shared" si="28"/>
        <v>1</v>
      </c>
      <c r="BV24" s="910">
        <f t="shared" si="29"/>
        <v>0</v>
      </c>
      <c r="BW24" s="909" t="str">
        <f>CodeD1</f>
        <v>EV13</v>
      </c>
      <c r="BX24" s="910">
        <f>E1BASED1</f>
        <v>1</v>
      </c>
      <c r="BY24" s="910">
        <f>_xlfn.SINGLE(E2BASED1)</f>
        <v>1</v>
      </c>
      <c r="BZ24" s="910">
        <f>_xlfn.SINGLE(E3BASED1)</f>
        <v>1</v>
      </c>
      <c r="CA24" s="910">
        <f>_xlfn.SINGLE(E4BASED1)</f>
        <v>1</v>
      </c>
      <c r="CB24" s="910">
        <f>_xlfn.SINGLE(E5BASED1)</f>
        <v>1</v>
      </c>
      <c r="CC24" s="910">
        <f>_xlfn.SINGLE(E6BASED1)</f>
        <v>1</v>
      </c>
      <c r="CD24" s="910">
        <f>_xlfn.SINGLE(E7BASED1)</f>
        <v>1</v>
      </c>
      <c r="CE24" s="910">
        <f>_xlfn.SINGLE(E8BASED1)</f>
        <v>1</v>
      </c>
      <c r="CF24" s="910">
        <f>_xlfn.SINGLE(E9BASED1)</f>
        <v>1</v>
      </c>
      <c r="CG24" s="910">
        <f>(E10BASED1)</f>
        <v>1</v>
      </c>
      <c r="CH24" s="910">
        <f>E11BASED1</f>
        <v>1</v>
      </c>
      <c r="CI24" s="910">
        <f>E12BASED1</f>
        <v>1</v>
      </c>
      <c r="CJ24" s="910">
        <f>E13BASED1</f>
        <v>1</v>
      </c>
      <c r="CK24" s="910">
        <f>E14BASED1</f>
        <v>1</v>
      </c>
      <c r="CL24" s="910">
        <f>E15BASED1</f>
        <v>1</v>
      </c>
      <c r="CM24" s="910">
        <f>E16BASED1</f>
        <v>1</v>
      </c>
      <c r="CN24" s="910">
        <f>E17BASED1</f>
        <v>1</v>
      </c>
      <c r="CO24" s="910">
        <f>E18BASED1</f>
        <v>1</v>
      </c>
      <c r="CP24" s="910">
        <f>E19BASED1</f>
        <v>1</v>
      </c>
      <c r="CQ24" s="910">
        <f>E20BASED1</f>
        <v>0</v>
      </c>
      <c r="CR24" s="909" t="str">
        <f>CodeD1</f>
        <v>EV13</v>
      </c>
      <c r="CY24" s="910"/>
      <c r="CZ24" s="910"/>
      <c r="DA24" s="910"/>
      <c r="DB24" s="910"/>
      <c r="DC24" s="910"/>
      <c r="DD24" s="910"/>
      <c r="DE24" s="910"/>
      <c r="DF24" s="910"/>
      <c r="DG24" s="910"/>
      <c r="DH24" s="910"/>
      <c r="DI24" s="910"/>
      <c r="DJ24" s="910"/>
      <c r="DK24" s="910"/>
      <c r="DL24" s="910"/>
    </row>
    <row r="25" spans="1:116" ht="13.9" customHeight="1" x14ac:dyDescent="0.2">
      <c r="A25" s="1378"/>
      <c r="B25" s="217" t="str">
        <f>CodeE4</f>
        <v>EV12</v>
      </c>
      <c r="C25" s="218"/>
      <c r="D25" s="252" t="str">
        <f>TitleE4</f>
        <v>PROJ SCI/ENG/ SPECIALIST 4</v>
      </c>
      <c r="E25" s="253"/>
      <c r="F25" s="219">
        <f t="shared" si="0"/>
        <v>1</v>
      </c>
      <c r="G25" s="80">
        <f>IF(F25="","",IFERROR(budgetdetailPhase1dollar17,0))</f>
        <v>147</v>
      </c>
      <c r="H25" s="219">
        <f t="shared" si="1"/>
        <v>1</v>
      </c>
      <c r="I25" s="80">
        <f>IF(H25="","",IFERROR(budgetdetailPhase2dollar17,0))</f>
        <v>147</v>
      </c>
      <c r="J25" s="219">
        <f t="shared" si="2"/>
        <v>1</v>
      </c>
      <c r="K25" s="80">
        <f>IF(J25="","",IFERROR(budgetdetailPhase3dollar17,0))</f>
        <v>147</v>
      </c>
      <c r="L25" s="219">
        <f t="shared" si="3"/>
        <v>1</v>
      </c>
      <c r="M25" s="80">
        <f>IF(L25="","",IFERROR(budgetdetailPhase4dollar17,0))</f>
        <v>147</v>
      </c>
      <c r="N25" s="219">
        <f t="shared" si="4"/>
        <v>1</v>
      </c>
      <c r="O25" s="80">
        <f>IF(N25="","",IFERROR(budgetdetailPhase5dollar17,0))</f>
        <v>147</v>
      </c>
      <c r="P25" s="219">
        <f t="shared" si="5"/>
        <v>1</v>
      </c>
      <c r="Q25" s="80">
        <f>IF(P25="","",IFERROR(budgetdetailPhase6dollar17,0))</f>
        <v>147</v>
      </c>
      <c r="R25" s="219">
        <f t="shared" si="6"/>
        <v>1</v>
      </c>
      <c r="S25" s="80">
        <f>IF(R25="","",IFERROR(budgetdetailPhase7dollar17,0))</f>
        <v>147</v>
      </c>
      <c r="T25" s="219">
        <f t="shared" si="7"/>
        <v>1</v>
      </c>
      <c r="U25" s="80">
        <f>IF(T25="","",IFERROR(budgetdetailPhase8dollar17,0))</f>
        <v>147</v>
      </c>
      <c r="V25" s="219">
        <f t="shared" si="8"/>
        <v>1</v>
      </c>
      <c r="W25" s="80">
        <f>IF(V25="","",IFERROR(budgetdetailPhase9dollar17,0))</f>
        <v>147</v>
      </c>
      <c r="X25" s="219">
        <f t="shared" si="9"/>
        <v>1</v>
      </c>
      <c r="Y25" s="80">
        <f>IF(X25="","",IFERROR(budgetdetailPhase10dollar17,0))</f>
        <v>147</v>
      </c>
      <c r="Z25" s="1225">
        <f>E11RateE4Total</f>
        <v>1</v>
      </c>
      <c r="AA25" s="1207">
        <f>IF(Z25="","",'Phase 11'!T44)</f>
        <v>147</v>
      </c>
      <c r="AB25" s="1225">
        <f>E12RateE4Total</f>
        <v>1</v>
      </c>
      <c r="AC25" s="1207">
        <f>IF(AB25="","",'Phase 12'!T44)</f>
        <v>147</v>
      </c>
      <c r="AD25" s="1225">
        <f>E13RateE4Total</f>
        <v>1</v>
      </c>
      <c r="AE25" s="1207">
        <f>IF(AD25="","",'Phase 13'!T44)</f>
        <v>147</v>
      </c>
      <c r="AF25" s="1225">
        <f>E14RateE4Total</f>
        <v>1</v>
      </c>
      <c r="AG25" s="1207">
        <f>IF(AF25="","",'Phase 14'!T44)</f>
        <v>147</v>
      </c>
      <c r="AH25" s="1225">
        <f>E15RateE4Total</f>
        <v>1</v>
      </c>
      <c r="AI25" s="1207">
        <f>IF(AH25="","",'Phase 15'!T44)</f>
        <v>147</v>
      </c>
      <c r="AJ25" s="1225">
        <f>E16RateE4Total</f>
        <v>1</v>
      </c>
      <c r="AK25" s="1207">
        <f>IF(AJ25="","",'Phase 16'!T45)</f>
        <v>147</v>
      </c>
      <c r="AL25" s="1225">
        <f>E17RateE4Total</f>
        <v>1</v>
      </c>
      <c r="AM25" s="1207">
        <f>IF(AL25="","",'Phase 17'!T44)</f>
        <v>147</v>
      </c>
      <c r="AN25" s="1225">
        <f>E18RateE4Total</f>
        <v>1</v>
      </c>
      <c r="AO25" s="1207">
        <f>IF(AN25="","",'Phase 18'!T44)</f>
        <v>147</v>
      </c>
      <c r="AP25" s="1225">
        <f>E19RateE4Total</f>
        <v>1</v>
      </c>
      <c r="AQ25" s="1207">
        <f>IF(AP25="","",'Phase 19'!T44)</f>
        <v>147</v>
      </c>
      <c r="AR25" s="1555">
        <f>E20RateE4Total</f>
        <v>0</v>
      </c>
      <c r="AS25" s="1207" t="str">
        <f>IF(AR25="","",'Phase 20'!T44)</f>
        <v/>
      </c>
      <c r="AT25" s="1009" cm="1">
        <f t="array" aca="1" ref="AT25" ca="1">SUM(_xlfn._xlws.FILTER(INDEX(DynamicBudgetDetailRange, 1, _xlfn.SEQUENCE(1, COLUMNS(DynamicBudgetDetailRange), 1, 2)), ISNUMBER(INDEX(DynamicBudgetDetailRange, 1, _xlfn.SEQUENCE(1, COLUMNS(DynamicBudgetDetailRange), 1, 2)))))</f>
        <v>19</v>
      </c>
      <c r="AU25" s="80" cm="1">
        <f t="array" aca="1" ref="AU25" ca="1">IFERROR(SUM(_xlfn._xlws.FILTER(INDEX(DynamicTotalAmount, 1, _xlfn.SEQUENCE(1, COLUMNS(DynamicTotalAmount), 1, 2)), ISNUMBER(INDEX(DynamicTotalAmount, 1, _xlfn.SEQUENCE(1, COLUMNS(DynamicTotalAmount), 1, 2))))),0)</f>
        <v>2793</v>
      </c>
      <c r="AV25" s="418">
        <f t="shared" ca="1" si="19"/>
        <v>3.6562455669795884</v>
      </c>
      <c r="AW25" s="420">
        <f t="shared" ca="1" si="20"/>
        <v>0.32444362536609977</v>
      </c>
      <c r="AX25" s="901">
        <f>IFERROR(E1DirectLaborT48,0)</f>
        <v>763.89836208602571</v>
      </c>
      <c r="AY25" s="901">
        <f>IFERROR(E1OverheadT49,0)</f>
        <v>1122.9305922664576</v>
      </c>
      <c r="AZ25" s="908">
        <f t="shared" ca="1" si="21"/>
        <v>906.17104564751662</v>
      </c>
      <c r="BA25" s="908"/>
      <c r="BB25" s="909" t="str">
        <f>CodeE4</f>
        <v>EV12</v>
      </c>
      <c r="BC25" s="910">
        <f t="shared" si="22"/>
        <v>1</v>
      </c>
      <c r="BD25" s="910">
        <f t="shared" si="10"/>
        <v>1</v>
      </c>
      <c r="BE25" s="910">
        <f t="shared" si="11"/>
        <v>1</v>
      </c>
      <c r="BF25" s="910">
        <f t="shared" si="12"/>
        <v>1</v>
      </c>
      <c r="BG25" s="910">
        <f t="shared" si="13"/>
        <v>1</v>
      </c>
      <c r="BH25" s="910">
        <f t="shared" si="14"/>
        <v>1</v>
      </c>
      <c r="BI25" s="910">
        <f t="shared" si="15"/>
        <v>1</v>
      </c>
      <c r="BJ25" s="910">
        <f t="shared" si="16"/>
        <v>1</v>
      </c>
      <c r="BK25" s="910">
        <f t="shared" si="17"/>
        <v>1</v>
      </c>
      <c r="BL25" s="910">
        <f t="shared" si="32"/>
        <v>1</v>
      </c>
      <c r="BM25" s="910">
        <f t="shared" si="35"/>
        <v>1</v>
      </c>
      <c r="BN25" s="910">
        <f t="shared" si="36"/>
        <v>1</v>
      </c>
      <c r="BO25" s="910">
        <f t="shared" si="24"/>
        <v>1</v>
      </c>
      <c r="BP25" s="910">
        <f t="shared" si="33"/>
        <v>1</v>
      </c>
      <c r="BQ25" s="910">
        <f t="shared" si="25"/>
        <v>1</v>
      </c>
      <c r="BR25" s="910">
        <f t="shared" si="26"/>
        <v>1</v>
      </c>
      <c r="BS25" s="910">
        <f t="shared" si="27"/>
        <v>1</v>
      </c>
      <c r="BT25" s="910">
        <f>CO25+DJ25</f>
        <v>1</v>
      </c>
      <c r="BU25" s="910">
        <f t="shared" si="28"/>
        <v>1</v>
      </c>
      <c r="BV25" s="910">
        <f t="shared" si="29"/>
        <v>0</v>
      </c>
      <c r="BW25" s="909" t="str">
        <f>CodeE4</f>
        <v>EV12</v>
      </c>
      <c r="BX25" s="910">
        <f>E1BASEE4</f>
        <v>1</v>
      </c>
      <c r="BY25" s="910">
        <f>_xlfn.SINGLE(E2BASEE4)</f>
        <v>1</v>
      </c>
      <c r="BZ25" s="910">
        <f>_xlfn.SINGLE(E3BASEE4)</f>
        <v>1</v>
      </c>
      <c r="CA25" s="910">
        <f>_xlfn.SINGLE(E4BASEE4)</f>
        <v>1</v>
      </c>
      <c r="CB25" s="910">
        <f>_xlfn.SINGLE(E5BASEE4)</f>
        <v>1</v>
      </c>
      <c r="CC25" s="910">
        <f>_xlfn.SINGLE(E6BASEE4)</f>
        <v>1</v>
      </c>
      <c r="CD25" s="910">
        <f>_xlfn.SINGLE(E7BASEE4)</f>
        <v>1</v>
      </c>
      <c r="CE25" s="910">
        <f>_xlfn.SINGLE(E8BASEE4)</f>
        <v>1</v>
      </c>
      <c r="CF25" s="910">
        <f>_xlfn.SINGLE(E9BASEE4)</f>
        <v>1</v>
      </c>
      <c r="CG25" s="910">
        <f>_xlfn.SINGLE(E10BASEE4)</f>
        <v>1</v>
      </c>
      <c r="CH25" s="910">
        <f>E11BASEE4</f>
        <v>1</v>
      </c>
      <c r="CI25" s="910">
        <f>E12BASEE4</f>
        <v>1</v>
      </c>
      <c r="CJ25" s="910">
        <f>E13BASEE4</f>
        <v>1</v>
      </c>
      <c r="CK25" s="910">
        <f>E14BASEE4</f>
        <v>1</v>
      </c>
      <c r="CL25" s="910">
        <f>E15BASEE4</f>
        <v>1</v>
      </c>
      <c r="CM25" s="910">
        <f>E16BASEE4</f>
        <v>1</v>
      </c>
      <c r="CN25" s="910">
        <f>E17BASEE4</f>
        <v>1</v>
      </c>
      <c r="CO25" s="910">
        <f>E18BASEE4</f>
        <v>1</v>
      </c>
      <c r="CP25" s="910">
        <f>E19BASEE4</f>
        <v>1</v>
      </c>
      <c r="CQ25" s="910">
        <f>E20BASEE4</f>
        <v>0</v>
      </c>
      <c r="CR25" s="909" t="str">
        <f>CodeE4</f>
        <v>EV12</v>
      </c>
      <c r="CY25" s="910"/>
      <c r="CZ25" s="910"/>
      <c r="DA25" s="910"/>
      <c r="DB25" s="910"/>
      <c r="DC25" s="910"/>
      <c r="DD25" s="910"/>
      <c r="DE25" s="910"/>
      <c r="DF25" s="910"/>
      <c r="DG25" s="910"/>
      <c r="DH25" s="910"/>
      <c r="DI25" s="910"/>
      <c r="DJ25" s="910"/>
      <c r="DK25" s="910"/>
      <c r="DL25" s="910"/>
    </row>
    <row r="26" spans="1:116" ht="13.9" customHeight="1" x14ac:dyDescent="0.2">
      <c r="A26" s="1378"/>
      <c r="B26" s="217" t="str">
        <f>CodeE3</f>
        <v>EV11</v>
      </c>
      <c r="C26" s="218"/>
      <c r="D26" s="252" t="str">
        <f>TitleE3</f>
        <v>PROJ SCI/ENG/ SPECIALIST 3</v>
      </c>
      <c r="E26" s="253"/>
      <c r="F26" s="219">
        <f t="shared" si="0"/>
        <v>1</v>
      </c>
      <c r="G26" s="80">
        <f>IF(F26="","",IFERROR(budgetdetailPhase1dollar18,0))</f>
        <v>139</v>
      </c>
      <c r="H26" s="219">
        <f t="shared" si="1"/>
        <v>1</v>
      </c>
      <c r="I26" s="80">
        <f>IF(H26="","",IFERROR(budgetdetailPhase2dollar18,0))</f>
        <v>139</v>
      </c>
      <c r="J26" s="219">
        <f t="shared" si="2"/>
        <v>1</v>
      </c>
      <c r="K26" s="80">
        <f>IF(J26="","",IFERROR(budgetdetailPhase3dollar18,0))</f>
        <v>139</v>
      </c>
      <c r="L26" s="219">
        <f t="shared" si="3"/>
        <v>1</v>
      </c>
      <c r="M26" s="80">
        <f>IF(L26="","",IFERROR(budgetdetailPhase4dollar18,0))</f>
        <v>139</v>
      </c>
      <c r="N26" s="219">
        <f t="shared" si="4"/>
        <v>1</v>
      </c>
      <c r="O26" s="80">
        <f>IF(N26="","",IFERROR(budgetdetailPhase5dollar18,0))</f>
        <v>139</v>
      </c>
      <c r="P26" s="219">
        <f t="shared" si="5"/>
        <v>1</v>
      </c>
      <c r="Q26" s="80">
        <f>IF(P26="","",IFERROR(budgetdetailPhase6dollar18,0))</f>
        <v>139</v>
      </c>
      <c r="R26" s="219">
        <f t="shared" si="6"/>
        <v>1</v>
      </c>
      <c r="S26" s="80">
        <f>IF(R26="","",IFERROR(budgetdetailPhase7dollar18,0))</f>
        <v>139</v>
      </c>
      <c r="T26" s="219">
        <f t="shared" si="7"/>
        <v>1</v>
      </c>
      <c r="U26" s="80">
        <f>IF(T26="","",IFERROR(budgetdetailPhase8dollar18,0))</f>
        <v>139</v>
      </c>
      <c r="V26" s="219">
        <f t="shared" si="8"/>
        <v>1</v>
      </c>
      <c r="W26" s="80">
        <f>IF(V26="","",IFERROR(budgetdetailPhase9dollar18,0))</f>
        <v>139</v>
      </c>
      <c r="X26" s="219">
        <f t="shared" si="9"/>
        <v>1</v>
      </c>
      <c r="Y26" s="80">
        <f>IF(X26="","",IFERROR(budgetdetailPhase10dollar18,0))</f>
        <v>139</v>
      </c>
      <c r="Z26" s="1225">
        <f>E11RateE3Total</f>
        <v>1</v>
      </c>
      <c r="AA26" s="1207">
        <f>IF(Z26="","",'Phase 11'!U44)</f>
        <v>139</v>
      </c>
      <c r="AB26" s="1225">
        <f>E12RateE3Total</f>
        <v>1</v>
      </c>
      <c r="AC26" s="1207">
        <f>IF(AB26="","",'Phase 12'!U44)</f>
        <v>139</v>
      </c>
      <c r="AD26" s="1225">
        <f>E13RateE3Total</f>
        <v>1</v>
      </c>
      <c r="AE26" s="1207">
        <f>IF(AD26="","",'Phase 13'!U44)</f>
        <v>139</v>
      </c>
      <c r="AF26" s="1225">
        <f>E14RateE3Total</f>
        <v>1</v>
      </c>
      <c r="AG26" s="1207">
        <f>IF(AF26="","",'Phase 14'!U44)</f>
        <v>139</v>
      </c>
      <c r="AH26" s="1225">
        <f>E15RateE3Total</f>
        <v>1</v>
      </c>
      <c r="AI26" s="1207">
        <f>IF(AH26="","",'Phase 15'!U44)</f>
        <v>139</v>
      </c>
      <c r="AJ26" s="1225">
        <f>E16RateE3Total</f>
        <v>1</v>
      </c>
      <c r="AK26" s="1207">
        <f>IF(AJ26="","",'Phase 16'!U45)</f>
        <v>139</v>
      </c>
      <c r="AL26" s="1225">
        <f>E17RateE3Total</f>
        <v>1</v>
      </c>
      <c r="AM26" s="1207">
        <f>IF(AL26="","",'Phase 17'!U44)</f>
        <v>139</v>
      </c>
      <c r="AN26" s="1225">
        <f>E18RateE3Total</f>
        <v>1</v>
      </c>
      <c r="AO26" s="1207">
        <f>IF(AN26="","",'Phase 18'!U44)</f>
        <v>139</v>
      </c>
      <c r="AP26" s="1225">
        <f>E19RateE3Total</f>
        <v>1</v>
      </c>
      <c r="AQ26" s="1207">
        <f>IF(AP26="","",'Phase 19'!U44)</f>
        <v>139</v>
      </c>
      <c r="AR26" s="1555">
        <f>E20RateE3Total</f>
        <v>0</v>
      </c>
      <c r="AS26" s="1207" t="str">
        <f>IF(AR26="","",'Phase 20'!U44)</f>
        <v/>
      </c>
      <c r="AT26" s="1009" cm="1">
        <f t="array" aca="1" ref="AT26" ca="1">SUM(_xlfn._xlws.FILTER(INDEX(DynamicBudgetDetailRange, 1, _xlfn.SEQUENCE(1, COLUMNS(DynamicBudgetDetailRange), 1, 2)), ISNUMBER(INDEX(DynamicBudgetDetailRange, 1, _xlfn.SEQUENCE(1, COLUMNS(DynamicBudgetDetailRange), 1, 2)))))</f>
        <v>19</v>
      </c>
      <c r="AU26" s="80" cm="1">
        <f t="array" aca="1" ref="AU26" ca="1">IFERROR(SUM(_xlfn._xlws.FILTER(INDEX(DynamicTotalAmount, 1, _xlfn.SEQUENCE(1, COLUMNS(DynamicTotalAmount), 1, 2)), ISNUMBER(INDEX(DynamicTotalAmount, 1, _xlfn.SEQUENCE(1, COLUMNS(DynamicTotalAmount), 1, 2))))),0)</f>
        <v>2641</v>
      </c>
      <c r="AV26" s="418">
        <f t="shared" ca="1" si="19"/>
        <v>3.5127378909298228</v>
      </c>
      <c r="AW26" s="420">
        <f t="shared" ca="1" si="20"/>
        <v>0.29684477558723027</v>
      </c>
      <c r="AX26" s="901">
        <f>IFERROR(E1DirectLaborU48,0)</f>
        <v>751.83520148750029</v>
      </c>
      <c r="AY26" s="901">
        <f>IFERROR(E1OverheadU49,0)</f>
        <v>1105.1977461866247</v>
      </c>
      <c r="AZ26" s="908">
        <f t="shared" ca="1" si="21"/>
        <v>783.9670523258751</v>
      </c>
      <c r="BA26" s="908"/>
      <c r="BB26" s="909" t="str">
        <f>CodeE3</f>
        <v>EV11</v>
      </c>
      <c r="BC26" s="910">
        <f t="shared" si="22"/>
        <v>1</v>
      </c>
      <c r="BD26" s="910">
        <f t="shared" si="10"/>
        <v>1</v>
      </c>
      <c r="BE26" s="910">
        <f t="shared" si="11"/>
        <v>1</v>
      </c>
      <c r="BF26" s="910">
        <f t="shared" si="12"/>
        <v>1</v>
      </c>
      <c r="BG26" s="910">
        <f t="shared" si="13"/>
        <v>1</v>
      </c>
      <c r="BH26" s="910">
        <f t="shared" si="14"/>
        <v>1</v>
      </c>
      <c r="BI26" s="910">
        <f t="shared" si="15"/>
        <v>1</v>
      </c>
      <c r="BJ26" s="910">
        <f t="shared" si="16"/>
        <v>1</v>
      </c>
      <c r="BK26" s="910">
        <f t="shared" si="17"/>
        <v>1</v>
      </c>
      <c r="BL26" s="910">
        <f t="shared" si="32"/>
        <v>1</v>
      </c>
      <c r="BM26" s="910">
        <f t="shared" si="35"/>
        <v>1</v>
      </c>
      <c r="BN26" s="910">
        <f t="shared" si="36"/>
        <v>1</v>
      </c>
      <c r="BO26" s="910">
        <f t="shared" si="24"/>
        <v>1</v>
      </c>
      <c r="BP26" s="910">
        <f t="shared" si="33"/>
        <v>1</v>
      </c>
      <c r="BQ26" s="910">
        <f t="shared" si="25"/>
        <v>1</v>
      </c>
      <c r="BR26" s="910">
        <f t="shared" si="26"/>
        <v>1</v>
      </c>
      <c r="BS26" s="910">
        <f t="shared" si="27"/>
        <v>1</v>
      </c>
      <c r="BT26" s="910">
        <f t="shared" si="34"/>
        <v>1</v>
      </c>
      <c r="BU26" s="910">
        <f t="shared" si="28"/>
        <v>1</v>
      </c>
      <c r="BV26" s="910">
        <f t="shared" si="29"/>
        <v>0</v>
      </c>
      <c r="BW26" s="909" t="str">
        <f>CodeE3</f>
        <v>EV11</v>
      </c>
      <c r="BX26" s="910">
        <f>_xlfn.SINGLE(E1BASEE3)</f>
        <v>1</v>
      </c>
      <c r="BY26" s="910">
        <f>_xlfn.SINGLE(E2BASEE3)</f>
        <v>1</v>
      </c>
      <c r="BZ26" s="910">
        <f>_xlfn.SINGLE(E3BASEE3)</f>
        <v>1</v>
      </c>
      <c r="CA26" s="910">
        <f>_xlfn.SINGLE(E4BASEE3)</f>
        <v>1</v>
      </c>
      <c r="CB26" s="910">
        <f>_xlfn.SINGLE(E5BASEE3)</f>
        <v>1</v>
      </c>
      <c r="CC26" s="910">
        <f>_xlfn.SINGLE(E6BASEE3)</f>
        <v>1</v>
      </c>
      <c r="CD26" s="910">
        <f>_xlfn.SINGLE(E7BASEE3)</f>
        <v>1</v>
      </c>
      <c r="CE26" s="910">
        <f>_xlfn.SINGLE(E8BASEE3)</f>
        <v>1</v>
      </c>
      <c r="CF26" s="910">
        <f>_xlfn.SINGLE(E9BASEE3)</f>
        <v>1</v>
      </c>
      <c r="CG26" s="910">
        <f>_xlfn.SINGLE(E10BASEE3)</f>
        <v>1</v>
      </c>
      <c r="CH26" s="910">
        <f>E11BASEE3</f>
        <v>1</v>
      </c>
      <c r="CI26" s="910">
        <f>E12BASEE3</f>
        <v>1</v>
      </c>
      <c r="CJ26" s="910">
        <f>E13BASEE3</f>
        <v>1</v>
      </c>
      <c r="CK26" s="910">
        <f>E14BASEE3</f>
        <v>1</v>
      </c>
      <c r="CL26" s="910">
        <f>E15BASEE3</f>
        <v>1</v>
      </c>
      <c r="CM26" s="910">
        <f>E16BASEE3</f>
        <v>1</v>
      </c>
      <c r="CN26" s="910">
        <f>E17BASEE3</f>
        <v>1</v>
      </c>
      <c r="CO26" s="910">
        <f>E18BASEE3</f>
        <v>1</v>
      </c>
      <c r="CP26" s="910">
        <f>E19BASEE3</f>
        <v>1</v>
      </c>
      <c r="CQ26" s="910">
        <f>E20BASEE3</f>
        <v>0</v>
      </c>
      <c r="CR26" s="909" t="str">
        <f>CodeE3</f>
        <v>EV11</v>
      </c>
      <c r="CY26" s="910"/>
      <c r="CZ26" s="910"/>
      <c r="DA26" s="910"/>
      <c r="DB26" s="910"/>
      <c r="DC26" s="910"/>
      <c r="DD26" s="910"/>
      <c r="DE26" s="910"/>
      <c r="DF26" s="910"/>
      <c r="DG26" s="910"/>
      <c r="DH26" s="910"/>
      <c r="DI26" s="910"/>
      <c r="DJ26" s="910"/>
      <c r="DK26" s="910"/>
      <c r="DL26" s="910"/>
    </row>
    <row r="27" spans="1:116" ht="13.9" customHeight="1" x14ac:dyDescent="0.2">
      <c r="A27" s="1378"/>
      <c r="B27" s="217" t="str">
        <f>CodeE2</f>
        <v>EV10</v>
      </c>
      <c r="C27" s="218"/>
      <c r="D27" s="252" t="str">
        <f>TitleE2</f>
        <v>PROJ SCI/ENG/ SPECIALIST 2</v>
      </c>
      <c r="E27" s="253"/>
      <c r="F27" s="219">
        <f t="shared" si="0"/>
        <v>1</v>
      </c>
      <c r="G27" s="80">
        <f>IF(F27="","",IFERROR(budgetdetailPhase1dollar19,0))</f>
        <v>133</v>
      </c>
      <c r="H27" s="219">
        <f t="shared" si="1"/>
        <v>1</v>
      </c>
      <c r="I27" s="80">
        <f>IF(H27="","",IFERROR(budgetdetailPhase2dollar19,0))</f>
        <v>133</v>
      </c>
      <c r="J27" s="219">
        <f t="shared" si="2"/>
        <v>1</v>
      </c>
      <c r="K27" s="80">
        <f>IF(J27="","",IFERROR(budgetdetailPhase3dollar19,0))</f>
        <v>133</v>
      </c>
      <c r="L27" s="219">
        <f t="shared" si="3"/>
        <v>1</v>
      </c>
      <c r="M27" s="80">
        <f>IF(L27="","",IFERROR(budgetdetailPhase4dollar19,0))</f>
        <v>133</v>
      </c>
      <c r="N27" s="219">
        <f t="shared" si="4"/>
        <v>1</v>
      </c>
      <c r="O27" s="80">
        <f>IF(N27="","",IFERROR(budgetdetailPhase5dollar19,0))</f>
        <v>133</v>
      </c>
      <c r="P27" s="219">
        <f t="shared" si="5"/>
        <v>1</v>
      </c>
      <c r="Q27" s="80">
        <f>IF(P27="","",IFERROR(budgetdetailPhase6dollar19,0))</f>
        <v>133</v>
      </c>
      <c r="R27" s="219">
        <f t="shared" si="6"/>
        <v>1</v>
      </c>
      <c r="S27" s="80">
        <f>IF(R27="","",IFERROR(budgetdetailPhase7dollar19,0))</f>
        <v>133</v>
      </c>
      <c r="T27" s="219">
        <f t="shared" si="7"/>
        <v>1</v>
      </c>
      <c r="U27" s="80">
        <f>IF(T27="","",IFERROR(budgetdetailPhase8dollar19,0))</f>
        <v>133</v>
      </c>
      <c r="V27" s="219">
        <f t="shared" si="8"/>
        <v>1</v>
      </c>
      <c r="W27" s="80">
        <f>IF(V27="","",IFERROR(budgetdetailPhase9dollar19,0))</f>
        <v>133</v>
      </c>
      <c r="X27" s="219">
        <f t="shared" si="9"/>
        <v>1</v>
      </c>
      <c r="Y27" s="80">
        <f>IF(X27="","",IFERROR(budgetdetailPhase10dollar19,0))</f>
        <v>133</v>
      </c>
      <c r="Z27" s="1225">
        <f>E11RateE2Total</f>
        <v>1</v>
      </c>
      <c r="AA27" s="1207">
        <f>IF(Z27="","",'Phase 11'!V44)</f>
        <v>133</v>
      </c>
      <c r="AB27" s="1225">
        <f>E12RateE2Total</f>
        <v>1</v>
      </c>
      <c r="AC27" s="1207">
        <f>IF(AB27="","",'Phase 12'!V44)</f>
        <v>133</v>
      </c>
      <c r="AD27" s="1225">
        <f>E13RateE2Total</f>
        <v>1</v>
      </c>
      <c r="AE27" s="1207">
        <f>IF(AD27="","",'Phase 13'!V44)</f>
        <v>133</v>
      </c>
      <c r="AF27" s="1225">
        <f>E14RateE2Total</f>
        <v>1</v>
      </c>
      <c r="AG27" s="1207">
        <f>IF(AF27="","",'Phase 14'!V44)</f>
        <v>133</v>
      </c>
      <c r="AH27" s="1225">
        <f>E15RateE2Total</f>
        <v>1</v>
      </c>
      <c r="AI27" s="1207">
        <f>IF(AH27="","",'Phase 15'!V44)</f>
        <v>133</v>
      </c>
      <c r="AJ27" s="1225">
        <f>E16RateE2Total</f>
        <v>2</v>
      </c>
      <c r="AK27" s="1207">
        <f>IF(AJ27="","",'Phase 16'!V45)</f>
        <v>266</v>
      </c>
      <c r="AL27" s="1225">
        <f>E17RateE2Total</f>
        <v>1</v>
      </c>
      <c r="AM27" s="1207">
        <f>IF(AL27="","",'Phase 17'!V44)</f>
        <v>133</v>
      </c>
      <c r="AN27" s="1225">
        <f>E18RateE2Total</f>
        <v>1</v>
      </c>
      <c r="AO27" s="1207">
        <f>IF(AN27="","",'Phase 18'!V44)</f>
        <v>133</v>
      </c>
      <c r="AP27" s="1225">
        <f>E19RateE2Total</f>
        <v>1</v>
      </c>
      <c r="AQ27" s="1207">
        <f>IF(AP27="","",'Phase 19'!V44)</f>
        <v>133</v>
      </c>
      <c r="AR27" s="1555">
        <f>E20RateE2Total</f>
        <v>0</v>
      </c>
      <c r="AS27" s="1207" t="str">
        <f>IF(AR27="","",'Phase 20'!V44)</f>
        <v/>
      </c>
      <c r="AT27" s="1009" cm="1">
        <f t="array" aca="1" ref="AT27" ca="1">SUM(_xlfn._xlws.FILTER(INDEX(DynamicBudgetDetailRange, 1, _xlfn.SEQUENCE(1, COLUMNS(DynamicBudgetDetailRange), 1, 2)), ISNUMBER(INDEX(DynamicBudgetDetailRange, 1, _xlfn.SEQUENCE(1, COLUMNS(DynamicBudgetDetailRange), 1, 2)))))</f>
        <v>20</v>
      </c>
      <c r="AU27" s="80" cm="1">
        <f t="array" aca="1" ref="AU27" ca="1">IFERROR(SUM(_xlfn._xlws.FILTER(INDEX(DynamicTotalAmount, 1, _xlfn.SEQUENCE(1, COLUMNS(DynamicTotalAmount), 1, 2)), ISNUMBER(INDEX(DynamicTotalAmount, 1, _xlfn.SEQUENCE(1, COLUMNS(DynamicTotalAmount), 1, 2))))),0)</f>
        <v>2660</v>
      </c>
      <c r="AV27" s="418">
        <f t="shared" ca="1" si="19"/>
        <v>3.5479239796365309</v>
      </c>
      <c r="AW27" s="420">
        <f t="shared" ca="1" si="20"/>
        <v>0.30381822886378756</v>
      </c>
      <c r="AX27" s="901">
        <f>IFERROR(E1DirectLaborV48,0)</f>
        <v>749.7342150697674</v>
      </c>
      <c r="AY27" s="901">
        <f>IFERROR(E1OverheadV49,0)</f>
        <v>1102.1092961525576</v>
      </c>
      <c r="AZ27" s="908">
        <f t="shared" ca="1" si="21"/>
        <v>808.15648877767489</v>
      </c>
      <c r="BA27" s="908"/>
      <c r="BB27" s="909" t="str">
        <f>CodeE2</f>
        <v>EV10</v>
      </c>
      <c r="BC27" s="910">
        <f t="shared" si="22"/>
        <v>1</v>
      </c>
      <c r="BD27" s="910">
        <f t="shared" si="10"/>
        <v>1</v>
      </c>
      <c r="BE27" s="910">
        <f t="shared" si="11"/>
        <v>1</v>
      </c>
      <c r="BF27" s="910">
        <f t="shared" si="12"/>
        <v>1</v>
      </c>
      <c r="BG27" s="910">
        <f t="shared" si="13"/>
        <v>1</v>
      </c>
      <c r="BH27" s="910">
        <f t="shared" si="14"/>
        <v>1</v>
      </c>
      <c r="BI27" s="910">
        <f t="shared" si="15"/>
        <v>1</v>
      </c>
      <c r="BJ27" s="910">
        <f t="shared" si="16"/>
        <v>1</v>
      </c>
      <c r="BK27" s="910">
        <f t="shared" si="17"/>
        <v>1</v>
      </c>
      <c r="BL27" s="910">
        <f t="shared" si="32"/>
        <v>1</v>
      </c>
      <c r="BM27" s="910">
        <f t="shared" si="35"/>
        <v>1</v>
      </c>
      <c r="BN27" s="910">
        <f t="shared" si="36"/>
        <v>1</v>
      </c>
      <c r="BO27" s="910">
        <f t="shared" si="24"/>
        <v>1</v>
      </c>
      <c r="BP27" s="910">
        <f t="shared" si="33"/>
        <v>1</v>
      </c>
      <c r="BQ27" s="910">
        <f t="shared" si="25"/>
        <v>1</v>
      </c>
      <c r="BR27" s="910">
        <f t="shared" si="26"/>
        <v>2</v>
      </c>
      <c r="BS27" s="910">
        <f t="shared" si="27"/>
        <v>1</v>
      </c>
      <c r="BT27" s="910">
        <f t="shared" si="34"/>
        <v>1</v>
      </c>
      <c r="BU27" s="910">
        <f t="shared" si="28"/>
        <v>1</v>
      </c>
      <c r="BV27" s="910">
        <f t="shared" si="29"/>
        <v>0</v>
      </c>
      <c r="BW27" s="909" t="str">
        <f>CodeE2</f>
        <v>EV10</v>
      </c>
      <c r="BX27" s="910">
        <f>_xlfn.SINGLE(E1BASEE2)</f>
        <v>1</v>
      </c>
      <c r="BY27" s="910">
        <f>_xlfn.SINGLE(E2BASEE2)</f>
        <v>1</v>
      </c>
      <c r="BZ27" s="910">
        <f>_xlfn.SINGLE(E3BASEE2)</f>
        <v>1</v>
      </c>
      <c r="CA27" s="910">
        <f>_xlfn.SINGLE(E4BASEE2)</f>
        <v>1</v>
      </c>
      <c r="CB27" s="910">
        <f>_xlfn.SINGLE(E5BASEE2)</f>
        <v>1</v>
      </c>
      <c r="CC27" s="910">
        <f>_xlfn.SINGLE(E6BASEE2)</f>
        <v>1</v>
      </c>
      <c r="CD27" s="910">
        <f>_xlfn.SINGLE(E7BASEE2)</f>
        <v>1</v>
      </c>
      <c r="CE27" s="910">
        <f>_xlfn.SINGLE(E8BASEE2)</f>
        <v>1</v>
      </c>
      <c r="CF27" s="910">
        <f>_xlfn.SINGLE(E9BASEE2)</f>
        <v>1</v>
      </c>
      <c r="CG27" s="910">
        <f>_xlfn.SINGLE(E10BASEE2)</f>
        <v>1</v>
      </c>
      <c r="CH27" s="910">
        <f>E11BASEE2</f>
        <v>1</v>
      </c>
      <c r="CI27" s="910">
        <f>E12BASEE2</f>
        <v>1</v>
      </c>
      <c r="CJ27" s="910">
        <f>E13BASEE2</f>
        <v>1</v>
      </c>
      <c r="CK27" s="910">
        <f>E14BASEE2</f>
        <v>1</v>
      </c>
      <c r="CL27" s="910">
        <f>E15BASEE2</f>
        <v>1</v>
      </c>
      <c r="CM27" s="910">
        <f>E16BASEE2</f>
        <v>2</v>
      </c>
      <c r="CN27" s="910">
        <f>E17BASEE2</f>
        <v>1</v>
      </c>
      <c r="CO27" s="910">
        <f>E18BASEE2</f>
        <v>1</v>
      </c>
      <c r="CP27" s="910">
        <f>E19BASEE2</f>
        <v>1</v>
      </c>
      <c r="CQ27" s="910">
        <f>E20BASEE2</f>
        <v>0</v>
      </c>
      <c r="CR27" s="909" t="str">
        <f>CodeE2</f>
        <v>EV10</v>
      </c>
      <c r="CY27" s="910"/>
      <c r="CZ27" s="910"/>
      <c r="DA27" s="910"/>
      <c r="DB27" s="910"/>
      <c r="DC27" s="910"/>
      <c r="DD27" s="910"/>
      <c r="DE27" s="910"/>
      <c r="DF27" s="910"/>
      <c r="DG27" s="910"/>
      <c r="DH27" s="910"/>
      <c r="DI27" s="910"/>
      <c r="DJ27" s="910"/>
      <c r="DK27" s="910"/>
      <c r="DL27" s="910"/>
    </row>
    <row r="28" spans="1:116" ht="13.9" customHeight="1" x14ac:dyDescent="0.2">
      <c r="A28" s="1378"/>
      <c r="B28" s="217" t="str">
        <f>CodeE1</f>
        <v>EV09</v>
      </c>
      <c r="C28" s="218"/>
      <c r="D28" s="252" t="str">
        <f>TitleE1</f>
        <v>PROJ SCI/ENG/ SPECIALIST 1</v>
      </c>
      <c r="E28" s="253"/>
      <c r="F28" s="219">
        <f t="shared" si="0"/>
        <v>1</v>
      </c>
      <c r="G28" s="80">
        <f>IF(F28="","",IFERROR(budgetdetailPhase1dollar20,0))</f>
        <v>123</v>
      </c>
      <c r="H28" s="219">
        <f t="shared" si="1"/>
        <v>1</v>
      </c>
      <c r="I28" s="80">
        <f>IF(H28="","",IFERROR(budgetdetailPhase2dollar20,0))</f>
        <v>123</v>
      </c>
      <c r="J28" s="219">
        <f t="shared" si="2"/>
        <v>1</v>
      </c>
      <c r="K28" s="80">
        <f>IF(J28="","",IFERROR(budgetdetailPhase3dollar20,0))</f>
        <v>123</v>
      </c>
      <c r="L28" s="219">
        <f t="shared" si="3"/>
        <v>1</v>
      </c>
      <c r="M28" s="80">
        <f>IF(L28="","",IFERROR(budgetdetailPhase4dollar20,0))</f>
        <v>123</v>
      </c>
      <c r="N28" s="219">
        <f t="shared" si="4"/>
        <v>1</v>
      </c>
      <c r="O28" s="80">
        <f>IF(N28="","",IFERROR(budgetdetailPhase5dollar20,0))</f>
        <v>123</v>
      </c>
      <c r="P28" s="219">
        <f t="shared" si="5"/>
        <v>1</v>
      </c>
      <c r="Q28" s="80">
        <f>IF(P28="","",IFERROR(budgetdetailPhase6dollar20,0))</f>
        <v>123</v>
      </c>
      <c r="R28" s="219">
        <f t="shared" si="6"/>
        <v>1</v>
      </c>
      <c r="S28" s="80">
        <f>IF(R28="","",IFERROR(budgetdetailPhase7dollar20,0))</f>
        <v>123</v>
      </c>
      <c r="T28" s="219">
        <f t="shared" si="7"/>
        <v>1</v>
      </c>
      <c r="U28" s="80">
        <f>IF(T28="","",IFERROR(budgetdetailPhase8dollar20,0))</f>
        <v>123</v>
      </c>
      <c r="V28" s="219">
        <f t="shared" si="8"/>
        <v>1</v>
      </c>
      <c r="W28" s="80">
        <f>IF(V28="","",IFERROR(budgetdetailPhase9dollar20,0))</f>
        <v>123</v>
      </c>
      <c r="X28" s="219">
        <f t="shared" si="9"/>
        <v>1</v>
      </c>
      <c r="Y28" s="80">
        <f>IF(X28="","",IFERROR(budgetdetailPhase10dollar20,0))</f>
        <v>123</v>
      </c>
      <c r="Z28" s="1225">
        <f>E11RateE1Total</f>
        <v>1</v>
      </c>
      <c r="AA28" s="1207">
        <f>IF(Z28="","",'Phase 11'!W44)</f>
        <v>123</v>
      </c>
      <c r="AB28" s="1225">
        <f>E12RateE1Total</f>
        <v>1</v>
      </c>
      <c r="AC28" s="1207">
        <f>IF(AB28="","",'Phase 12'!W44)</f>
        <v>123</v>
      </c>
      <c r="AD28" s="1225">
        <f>E13RateE1Total</f>
        <v>1</v>
      </c>
      <c r="AE28" s="1207">
        <f>IF(AD28="","",'Phase 13'!W44)</f>
        <v>123</v>
      </c>
      <c r="AF28" s="1225">
        <f>E14RateE1Total</f>
        <v>1</v>
      </c>
      <c r="AG28" s="1207">
        <f>IF(AF28="","",'Phase 14'!W44)</f>
        <v>123</v>
      </c>
      <c r="AH28" s="1225">
        <f>E15RateE1Total</f>
        <v>1</v>
      </c>
      <c r="AI28" s="1207">
        <f>IF(AH28="","",'Phase 15'!W44)</f>
        <v>123</v>
      </c>
      <c r="AJ28" s="1225">
        <f>E16RateE1Total</f>
        <v>2</v>
      </c>
      <c r="AK28" s="1207">
        <f>IF(AJ28="","",'Phase 16'!W45)</f>
        <v>246</v>
      </c>
      <c r="AL28" s="1225">
        <f>E17RateE1Total</f>
        <v>1</v>
      </c>
      <c r="AM28" s="1207">
        <f>IF(AL28="","",'Phase 17'!W44)</f>
        <v>123</v>
      </c>
      <c r="AN28" s="1225">
        <f>E18RateE1Total</f>
        <v>1</v>
      </c>
      <c r="AO28" s="1207">
        <f>IF(AN28="","",'Phase 18'!W44)</f>
        <v>123</v>
      </c>
      <c r="AP28" s="1225">
        <f>E19RateE1Total</f>
        <v>1</v>
      </c>
      <c r="AQ28" s="1207">
        <f>IF(AP28="","",'Phase 19'!W44)</f>
        <v>123</v>
      </c>
      <c r="AR28" s="1555">
        <f>E20RateE1Total</f>
        <v>0</v>
      </c>
      <c r="AS28" s="1207" t="str">
        <f>IF(AR28="","",'Phase 20'!W44)</f>
        <v/>
      </c>
      <c r="AT28" s="1009" cm="1">
        <f t="array" aca="1" ref="AT28" ca="1">SUM(_xlfn._xlws.FILTER(INDEX(DynamicBudgetDetailRange, 1, _xlfn.SEQUENCE(1, COLUMNS(DynamicBudgetDetailRange), 1, 2)), ISNUMBER(INDEX(DynamicBudgetDetailRange, 1, _xlfn.SEQUENCE(1, COLUMNS(DynamicBudgetDetailRange), 1, 2)))))</f>
        <v>20</v>
      </c>
      <c r="AU28" s="80" cm="1">
        <f t="array" aca="1" ref="AU28" ca="1">IFERROR(SUM(_xlfn._xlws.FILTER(INDEX(DynamicTotalAmount, 1, _xlfn.SEQUENCE(1, COLUMNS(DynamicTotalAmount), 1, 2)), ISNUMBER(INDEX(DynamicTotalAmount, 1, _xlfn.SEQUENCE(1, COLUMNS(DynamicTotalAmount), 1, 2))))),0)</f>
        <v>2460</v>
      </c>
      <c r="AV28" s="418">
        <f t="shared" ca="1" si="19"/>
        <v>3.7421193451196766</v>
      </c>
      <c r="AW28" s="420">
        <f t="shared" ca="1" si="20"/>
        <v>0.33994622506594385</v>
      </c>
      <c r="AX28" s="901">
        <f>IFERROR(E1DirectLaborW48,0)</f>
        <v>657.38149244444446</v>
      </c>
      <c r="AY28" s="901">
        <f>IFERROR(E1OverheadW49,0)</f>
        <v>966.3507938933335</v>
      </c>
      <c r="AZ28" s="908">
        <f t="shared" ca="1" si="21"/>
        <v>836.26771366222192</v>
      </c>
      <c r="BA28" s="908"/>
      <c r="BB28" s="909" t="str">
        <f>CodeE1</f>
        <v>EV09</v>
      </c>
      <c r="BC28" s="910">
        <f t="shared" si="22"/>
        <v>1</v>
      </c>
      <c r="BD28" s="910">
        <f t="shared" si="10"/>
        <v>1</v>
      </c>
      <c r="BE28" s="910">
        <f t="shared" si="11"/>
        <v>1</v>
      </c>
      <c r="BF28" s="910">
        <f t="shared" si="12"/>
        <v>1</v>
      </c>
      <c r="BG28" s="910">
        <f t="shared" si="13"/>
        <v>1</v>
      </c>
      <c r="BH28" s="910">
        <f t="shared" si="14"/>
        <v>1</v>
      </c>
      <c r="BI28" s="910">
        <f t="shared" si="15"/>
        <v>1</v>
      </c>
      <c r="BJ28" s="910">
        <f t="shared" si="16"/>
        <v>1</v>
      </c>
      <c r="BK28" s="910">
        <f t="shared" si="17"/>
        <v>1</v>
      </c>
      <c r="BL28" s="910">
        <f t="shared" si="32"/>
        <v>1</v>
      </c>
      <c r="BM28" s="910">
        <f t="shared" si="35"/>
        <v>1</v>
      </c>
      <c r="BN28" s="910">
        <f t="shared" si="36"/>
        <v>1</v>
      </c>
      <c r="BO28" s="910">
        <f t="shared" si="24"/>
        <v>1</v>
      </c>
      <c r="BP28" s="910">
        <f t="shared" si="33"/>
        <v>1</v>
      </c>
      <c r="BQ28" s="910">
        <f t="shared" si="25"/>
        <v>1</v>
      </c>
      <c r="BR28" s="910">
        <f t="shared" si="26"/>
        <v>2</v>
      </c>
      <c r="BS28" s="910">
        <f>CN28+DI28</f>
        <v>1</v>
      </c>
      <c r="BT28" s="910">
        <f t="shared" si="34"/>
        <v>1</v>
      </c>
      <c r="BU28" s="910">
        <f t="shared" si="28"/>
        <v>1</v>
      </c>
      <c r="BV28" s="910">
        <f t="shared" si="29"/>
        <v>0</v>
      </c>
      <c r="BW28" s="909" t="str">
        <f>CodeE1</f>
        <v>EV09</v>
      </c>
      <c r="BX28" s="910">
        <f>_xlfn.SINGLE(E1BASEE1)</f>
        <v>1</v>
      </c>
      <c r="BY28" s="910">
        <f>_xlfn.SINGLE(E2BASEE1)</f>
        <v>1</v>
      </c>
      <c r="BZ28" s="910">
        <f>_xlfn.SINGLE(E3BASEE1)</f>
        <v>1</v>
      </c>
      <c r="CA28" s="910">
        <f>_xlfn.SINGLE(E4BASEE1)</f>
        <v>1</v>
      </c>
      <c r="CB28" s="910">
        <f>_xlfn.SINGLE(E5BASEE1)</f>
        <v>1</v>
      </c>
      <c r="CC28" s="910">
        <f>_xlfn.SINGLE(E6BASEE1)</f>
        <v>1</v>
      </c>
      <c r="CD28" s="910">
        <f>_xlfn.SINGLE(E7BASEE1)</f>
        <v>1</v>
      </c>
      <c r="CE28" s="910">
        <f>_xlfn.SINGLE(E8BASEE1)</f>
        <v>1</v>
      </c>
      <c r="CF28" s="910">
        <f>_xlfn.SINGLE(E9BASEE1)</f>
        <v>1</v>
      </c>
      <c r="CG28" s="910">
        <f>_xlfn.SINGLE(E10BASEE1)</f>
        <v>1</v>
      </c>
      <c r="CH28" s="910">
        <f>E11BASEE1</f>
        <v>1</v>
      </c>
      <c r="CI28" s="910">
        <f>E12BASEE1</f>
        <v>1</v>
      </c>
      <c r="CJ28" s="910">
        <f>E13BASEE1</f>
        <v>1</v>
      </c>
      <c r="CK28" s="910">
        <f>E14BASEE1</f>
        <v>1</v>
      </c>
      <c r="CL28" s="910">
        <f>E15BASEE1</f>
        <v>1</v>
      </c>
      <c r="CM28" s="910">
        <f>E16BASEE1</f>
        <v>2</v>
      </c>
      <c r="CN28" s="910">
        <f>E17BASEE1</f>
        <v>1</v>
      </c>
      <c r="CO28" s="910">
        <f>E18BASEE1</f>
        <v>1</v>
      </c>
      <c r="CP28" s="910">
        <f>E19BASEE1</f>
        <v>1</v>
      </c>
      <c r="CQ28" s="910">
        <f>E20BASEE1</f>
        <v>0</v>
      </c>
      <c r="CR28" s="909" t="str">
        <f>CodeE1</f>
        <v>EV09</v>
      </c>
      <c r="CS28" s="910"/>
      <c r="CT28" s="910"/>
      <c r="CU28" s="910"/>
      <c r="CV28" s="910"/>
      <c r="CW28" s="910"/>
      <c r="CX28" s="910"/>
      <c r="CY28" s="910"/>
      <c r="CZ28" s="910"/>
      <c r="DA28" s="910"/>
      <c r="DB28" s="910"/>
      <c r="DC28" s="910"/>
      <c r="DD28" s="910"/>
      <c r="DE28" s="910"/>
      <c r="DF28" s="910"/>
      <c r="DG28" s="910"/>
      <c r="DH28" s="910"/>
      <c r="DI28" s="910"/>
      <c r="DJ28" s="910"/>
      <c r="DK28" s="910"/>
      <c r="DL28" s="910"/>
    </row>
    <row r="29" spans="1:116" ht="13.9" customHeight="1" x14ac:dyDescent="0.2">
      <c r="A29" s="1378"/>
      <c r="B29" s="217" t="str">
        <f>CodeF4</f>
        <v>EV08</v>
      </c>
      <c r="C29" s="218"/>
      <c r="D29" s="252" t="str">
        <f>TitleF4</f>
        <v>SCI/ENG/SPEC/ TECH/SPRT 8</v>
      </c>
      <c r="E29" s="253"/>
      <c r="F29" s="219">
        <f t="shared" si="0"/>
        <v>1</v>
      </c>
      <c r="G29" s="80">
        <f>IF(F29="","",IFERROR(budgetdetailPhase1dollar21,0))</f>
        <v>117</v>
      </c>
      <c r="H29" s="219">
        <f t="shared" si="1"/>
        <v>1</v>
      </c>
      <c r="I29" s="80">
        <f>IF(H29="","",IFERROR(budgetdetailPhase2dollar21,0))</f>
        <v>117</v>
      </c>
      <c r="J29" s="219">
        <f t="shared" si="2"/>
        <v>1</v>
      </c>
      <c r="K29" s="80">
        <f>IF(J29="","",IFERROR(budgetdetailPhase3dollar21,0))</f>
        <v>117</v>
      </c>
      <c r="L29" s="219">
        <f t="shared" si="3"/>
        <v>1</v>
      </c>
      <c r="M29" s="80">
        <f>IF(L29="","",IFERROR(budgetdetailPhase4dollar21,0))</f>
        <v>117</v>
      </c>
      <c r="N29" s="219">
        <f t="shared" si="4"/>
        <v>1</v>
      </c>
      <c r="O29" s="80">
        <f>IF(N29="","",IFERROR(budgetdetailPhase5dollar21,0))</f>
        <v>117</v>
      </c>
      <c r="P29" s="219">
        <f t="shared" si="5"/>
        <v>1</v>
      </c>
      <c r="Q29" s="80">
        <f>IF(P29="","",IFERROR(budgetdetailPhase6dollar21,0))</f>
        <v>117</v>
      </c>
      <c r="R29" s="219">
        <f t="shared" si="6"/>
        <v>1</v>
      </c>
      <c r="S29" s="80">
        <f>IF(R29="","",IFERROR(budgetdetailPhase7dollar21,0))</f>
        <v>117</v>
      </c>
      <c r="T29" s="219">
        <f t="shared" si="7"/>
        <v>1</v>
      </c>
      <c r="U29" s="80">
        <f>IF(T29="","",IFERROR(budgetdetailPhase8dollar21,0))</f>
        <v>117</v>
      </c>
      <c r="V29" s="219">
        <f t="shared" si="8"/>
        <v>1</v>
      </c>
      <c r="W29" s="80">
        <f>IF(V29="","",IFERROR(budgetdetailPhase9dollar21,0))</f>
        <v>117</v>
      </c>
      <c r="X29" s="219">
        <f t="shared" si="9"/>
        <v>1</v>
      </c>
      <c r="Y29" s="80">
        <f>IF(X29="","",IFERROR(budgetdetailPhase10dollar21,0))</f>
        <v>117</v>
      </c>
      <c r="Z29" s="1225">
        <f>E11RateF4Total</f>
        <v>1</v>
      </c>
      <c r="AA29" s="1207">
        <f>IF(Z29="","",'Phase 11'!X44)</f>
        <v>117</v>
      </c>
      <c r="AB29" s="1225">
        <f>E12RateF4Total</f>
        <v>1</v>
      </c>
      <c r="AC29" s="1207">
        <f>IF(AB29="","",'Phase 12'!X44)</f>
        <v>117</v>
      </c>
      <c r="AD29" s="1225">
        <f>E13RateF4Total</f>
        <v>1</v>
      </c>
      <c r="AE29" s="1207">
        <f>IF(AD29="","",'Phase 13'!X44)</f>
        <v>117</v>
      </c>
      <c r="AF29" s="1225">
        <f>E14RateF4Total</f>
        <v>1</v>
      </c>
      <c r="AG29" s="1207">
        <f>IF(AF29="","",'Phase 14'!X44)</f>
        <v>117</v>
      </c>
      <c r="AH29" s="1225">
        <f>E15RateF4Total</f>
        <v>1</v>
      </c>
      <c r="AI29" s="1207">
        <f>IF(AH29="","",'Phase 15'!X44)</f>
        <v>117</v>
      </c>
      <c r="AJ29" s="1225">
        <f>E16RateF4Total</f>
        <v>2</v>
      </c>
      <c r="AK29" s="1207">
        <f>IF(AJ29="","",'Phase 16'!X45)</f>
        <v>234</v>
      </c>
      <c r="AL29" s="1225">
        <f>E17RateF4Total</f>
        <v>1</v>
      </c>
      <c r="AM29" s="1207">
        <f>IF(AL29="","",'Phase 17'!X44)</f>
        <v>117</v>
      </c>
      <c r="AN29" s="1225">
        <f>E18RateF4Total</f>
        <v>1</v>
      </c>
      <c r="AO29" s="1207">
        <f>IF(AN29="","",'Phase 18'!X44)</f>
        <v>117</v>
      </c>
      <c r="AP29" s="1225">
        <f>E19RateF4Total</f>
        <v>1</v>
      </c>
      <c r="AQ29" s="1207">
        <f>IF(AP29="","",'Phase 19'!X44)</f>
        <v>117</v>
      </c>
      <c r="AR29" s="1555">
        <f>E20RateF4Total</f>
        <v>0</v>
      </c>
      <c r="AS29" s="1207" t="str">
        <f>IF(AR29="","",'Phase 20'!X44)</f>
        <v/>
      </c>
      <c r="AT29" s="1009" cm="1">
        <f t="array" aca="1" ref="AT29" ca="1">SUM(_xlfn._xlws.FILTER(INDEX(DynamicBudgetDetailRange, 1, _xlfn.SEQUENCE(1, COLUMNS(DynamicBudgetDetailRange), 1, 2)), ISNUMBER(INDEX(DynamicBudgetDetailRange, 1, _xlfn.SEQUENCE(1, COLUMNS(DynamicBudgetDetailRange), 1, 2)))))</f>
        <v>20</v>
      </c>
      <c r="AU29" s="80" cm="1">
        <f t="array" aca="1" ref="AU29" ca="1">IFERROR(SUM(_xlfn._xlws.FILTER(INDEX(DynamicTotalAmount, 1, _xlfn.SEQUENCE(1, COLUMNS(DynamicTotalAmount), 1, 2)), ISNUMBER(INDEX(DynamicTotalAmount, 1, _xlfn.SEQUENCE(1, COLUMNS(DynamicTotalAmount), 1, 2))))),0)</f>
        <v>2340</v>
      </c>
      <c r="AV29" s="418">
        <f t="shared" ca="1" si="19"/>
        <v>3.6657136318088055</v>
      </c>
      <c r="AW29" s="420">
        <f t="shared" ca="1" si="20"/>
        <v>0.32618850022356877</v>
      </c>
      <c r="AX29" s="901">
        <f>IFERROR(E1DirectLaborX48,0)</f>
        <v>638.3477366303033</v>
      </c>
      <c r="AY29" s="901">
        <f>IFERROR(E1OverheadX49,0)</f>
        <v>938.37117284654585</v>
      </c>
      <c r="AZ29" s="908">
        <f t="shared" ca="1" si="21"/>
        <v>763.28109052315085</v>
      </c>
      <c r="BA29" s="908"/>
      <c r="BB29" s="909" t="str">
        <f>CodeF4</f>
        <v>EV08</v>
      </c>
      <c r="BC29" s="910">
        <f t="shared" si="22"/>
        <v>1</v>
      </c>
      <c r="BD29" s="910">
        <f t="shared" si="10"/>
        <v>1</v>
      </c>
      <c r="BE29" s="910">
        <f t="shared" si="11"/>
        <v>1</v>
      </c>
      <c r="BF29" s="910">
        <f t="shared" si="12"/>
        <v>1</v>
      </c>
      <c r="BG29" s="910">
        <f t="shared" si="13"/>
        <v>1</v>
      </c>
      <c r="BH29" s="910">
        <f t="shared" si="14"/>
        <v>1</v>
      </c>
      <c r="BI29" s="910">
        <f t="shared" si="15"/>
        <v>1</v>
      </c>
      <c r="BJ29" s="910">
        <f t="shared" si="16"/>
        <v>1</v>
      </c>
      <c r="BK29" s="910">
        <f t="shared" si="17"/>
        <v>1</v>
      </c>
      <c r="BL29" s="910">
        <f t="shared" si="32"/>
        <v>1</v>
      </c>
      <c r="BM29" s="910">
        <f t="shared" si="35"/>
        <v>1</v>
      </c>
      <c r="BN29" s="910">
        <f t="shared" si="36"/>
        <v>1</v>
      </c>
      <c r="BO29" s="910">
        <f t="shared" si="24"/>
        <v>1</v>
      </c>
      <c r="BP29" s="910">
        <f t="shared" si="33"/>
        <v>1</v>
      </c>
      <c r="BQ29" s="910">
        <f t="shared" si="25"/>
        <v>1</v>
      </c>
      <c r="BR29" s="910">
        <f t="shared" si="26"/>
        <v>2</v>
      </c>
      <c r="BS29" s="910">
        <f t="shared" si="27"/>
        <v>1</v>
      </c>
      <c r="BT29" s="910">
        <f t="shared" si="34"/>
        <v>1</v>
      </c>
      <c r="BU29" s="910">
        <f t="shared" si="28"/>
        <v>1</v>
      </c>
      <c r="BV29" s="910">
        <f t="shared" si="29"/>
        <v>0</v>
      </c>
      <c r="BW29" s="909" t="str">
        <f>CodeF4</f>
        <v>EV08</v>
      </c>
      <c r="BX29" s="910">
        <f>_xlfn.SINGLE(E1BASEF4)</f>
        <v>1</v>
      </c>
      <c r="BY29" s="910">
        <f>_xlfn.SINGLE(E2BASEF4)</f>
        <v>1</v>
      </c>
      <c r="BZ29" s="910">
        <f>_xlfn.SINGLE(E3BASEF4)</f>
        <v>1</v>
      </c>
      <c r="CA29" s="910">
        <f>_xlfn.SINGLE(E4BASEF4)</f>
        <v>1</v>
      </c>
      <c r="CB29" s="910">
        <f>_xlfn.SINGLE(E5BASEF4)</f>
        <v>1</v>
      </c>
      <c r="CC29" s="910">
        <f>_xlfn.SINGLE(E6BASEF4)</f>
        <v>1</v>
      </c>
      <c r="CD29" s="910">
        <f>_xlfn.SINGLE(E7BASEF4)</f>
        <v>1</v>
      </c>
      <c r="CE29" s="910">
        <f>_xlfn.SINGLE(E8BASEF4)</f>
        <v>1</v>
      </c>
      <c r="CF29" s="910">
        <f>_xlfn.SINGLE(E9BASEF4)</f>
        <v>1</v>
      </c>
      <c r="CG29" s="910">
        <f>_xlfn.SINGLE(E10BASEF4)</f>
        <v>1</v>
      </c>
      <c r="CH29" s="910">
        <f>E11BASEF4</f>
        <v>1</v>
      </c>
      <c r="CI29" s="910">
        <f>E12BASEF4</f>
        <v>1</v>
      </c>
      <c r="CJ29" s="910">
        <f>E13BASEF4</f>
        <v>1</v>
      </c>
      <c r="CK29" s="910">
        <f>E14BASEF4</f>
        <v>1</v>
      </c>
      <c r="CL29" s="910">
        <f>E15BASEF4</f>
        <v>1</v>
      </c>
      <c r="CM29" s="910">
        <f>E16BASEF4</f>
        <v>2</v>
      </c>
      <c r="CN29" s="910">
        <f>E17BASEF4</f>
        <v>1</v>
      </c>
      <c r="CO29" s="910">
        <f>E18BASEF4</f>
        <v>1</v>
      </c>
      <c r="CP29" s="910">
        <f>E19BASEF4</f>
        <v>1</v>
      </c>
      <c r="CQ29" s="910">
        <f>E20BASEF4</f>
        <v>0</v>
      </c>
      <c r="CR29" s="909" t="str">
        <f>CodeF4</f>
        <v>EV08</v>
      </c>
      <c r="CS29" s="910"/>
      <c r="CT29" s="910"/>
      <c r="CU29" s="910"/>
      <c r="CV29" s="910"/>
      <c r="CW29" s="910"/>
      <c r="CX29" s="910"/>
      <c r="CY29" s="910"/>
      <c r="CZ29" s="910"/>
      <c r="DA29" s="910"/>
      <c r="DB29" s="910"/>
      <c r="DC29" s="910"/>
      <c r="DD29" s="910"/>
      <c r="DE29" s="910"/>
      <c r="DF29" s="910"/>
      <c r="DG29" s="910"/>
      <c r="DH29" s="910"/>
      <c r="DI29" s="910"/>
      <c r="DJ29" s="910"/>
      <c r="DK29" s="910"/>
      <c r="DL29" s="910"/>
    </row>
    <row r="30" spans="1:116" ht="13.9" customHeight="1" x14ac:dyDescent="0.2">
      <c r="A30" s="1378"/>
      <c r="B30" s="217" t="str">
        <f>CodeF3</f>
        <v>EV07</v>
      </c>
      <c r="C30" s="218"/>
      <c r="D30" s="252" t="str">
        <f>TitleF3</f>
        <v>SCI/ENG/SPEC/ TECH/SPRT 7</v>
      </c>
      <c r="E30" s="253"/>
      <c r="F30" s="219">
        <f t="shared" si="0"/>
        <v>1</v>
      </c>
      <c r="G30" s="80">
        <f>IF(F30="","",IFERROR(budgetdetailPhase1dollar22,0))</f>
        <v>110</v>
      </c>
      <c r="H30" s="219">
        <f t="shared" si="1"/>
        <v>1</v>
      </c>
      <c r="I30" s="80">
        <f>IF(H30="","",IFERROR(budgetdetailPhase2dollar22,0))</f>
        <v>110</v>
      </c>
      <c r="J30" s="219">
        <f t="shared" si="2"/>
        <v>1</v>
      </c>
      <c r="K30" s="80">
        <f>IF(J30="","",IFERROR(budgetdetailPhase3dollar22,0))</f>
        <v>110</v>
      </c>
      <c r="L30" s="219">
        <f t="shared" si="3"/>
        <v>1</v>
      </c>
      <c r="M30" s="80">
        <f>IF(L30="","",IFERROR(budgetdetailPhase4dollar22,0))</f>
        <v>110</v>
      </c>
      <c r="N30" s="219">
        <f t="shared" si="4"/>
        <v>1</v>
      </c>
      <c r="O30" s="80">
        <f>IF(N30="","",IFERROR(budgetdetailPhase5dollar22,0))</f>
        <v>110</v>
      </c>
      <c r="P30" s="219">
        <f t="shared" si="5"/>
        <v>1</v>
      </c>
      <c r="Q30" s="80">
        <f>IF(P30="","",IFERROR(budgetdetailPhase6dollar22,0))</f>
        <v>110</v>
      </c>
      <c r="R30" s="219">
        <f t="shared" si="6"/>
        <v>1</v>
      </c>
      <c r="S30" s="80">
        <f>IF(R30="","",IFERROR(budgetdetailPhase7dollar22,0))</f>
        <v>110</v>
      </c>
      <c r="T30" s="219">
        <f t="shared" si="7"/>
        <v>1</v>
      </c>
      <c r="U30" s="80">
        <f>IF(T30="","",IFERROR(budgetdetailPhase8dollar22,0))</f>
        <v>110</v>
      </c>
      <c r="V30" s="219">
        <f t="shared" si="8"/>
        <v>1</v>
      </c>
      <c r="W30" s="80">
        <f>IF(V30="","",IFERROR(budgetdetailPhase9dollar22,0))</f>
        <v>110</v>
      </c>
      <c r="X30" s="219">
        <f t="shared" si="9"/>
        <v>1</v>
      </c>
      <c r="Y30" s="80">
        <f>IF(X30="","",IFERROR(budgetdetailPhase10dollar22,0))</f>
        <v>110</v>
      </c>
      <c r="Z30" s="1225">
        <f>E11RateF3Total</f>
        <v>1</v>
      </c>
      <c r="AA30" s="1207">
        <f>IF(Z30="","",'Phase 11'!Y44)</f>
        <v>110</v>
      </c>
      <c r="AB30" s="1225">
        <f>E12RateF3Total</f>
        <v>1</v>
      </c>
      <c r="AC30" s="1207">
        <f>IF(AB30="","",'Phase 12'!Y44)</f>
        <v>110</v>
      </c>
      <c r="AD30" s="1225">
        <f>E13RateF3Total</f>
        <v>1</v>
      </c>
      <c r="AE30" s="1207">
        <f>IF(AD30="","",'Phase 13'!Y44)</f>
        <v>110</v>
      </c>
      <c r="AF30" s="1225">
        <f>E14RateF3Total</f>
        <v>1</v>
      </c>
      <c r="AG30" s="1207">
        <f>IF(AF30="","",'Phase 14'!Y44)</f>
        <v>110</v>
      </c>
      <c r="AH30" s="1225">
        <f>E15RateF3Total</f>
        <v>1</v>
      </c>
      <c r="AI30" s="1207">
        <f>IF(AH30="","",'Phase 15'!Y44)</f>
        <v>110</v>
      </c>
      <c r="AJ30" s="1225">
        <f>E16RateF3Total</f>
        <v>2</v>
      </c>
      <c r="AK30" s="1207">
        <f>IF(AJ30="","",'Phase 16'!Y45)</f>
        <v>220</v>
      </c>
      <c r="AL30" s="1225">
        <f>E17RateF3Total</f>
        <v>1</v>
      </c>
      <c r="AM30" s="1207">
        <f>IF(AL30="","",'Phase 17'!Y44)</f>
        <v>110</v>
      </c>
      <c r="AN30" s="1225">
        <f>E18RateF3Total</f>
        <v>1</v>
      </c>
      <c r="AO30" s="1207">
        <f>IF(AN30="","",'Phase 18'!Y44)</f>
        <v>110</v>
      </c>
      <c r="AP30" s="1225">
        <f>E19RateF3Total</f>
        <v>1</v>
      </c>
      <c r="AQ30" s="1207">
        <f>IF(AP30="","",'Phase 19'!Y44)</f>
        <v>110</v>
      </c>
      <c r="AR30" s="1555">
        <f>E20RateF3Total</f>
        <v>0</v>
      </c>
      <c r="AS30" s="1207" t="str">
        <f>IF(AR30="","",'Phase 20'!Y44)</f>
        <v/>
      </c>
      <c r="AT30" s="1009" cm="1">
        <f t="array" aca="1" ref="AT30" ca="1">SUM(_xlfn._xlws.FILTER(INDEX(DynamicBudgetDetailRange, 1, _xlfn.SEQUENCE(1, COLUMNS(DynamicBudgetDetailRange), 1, 2)), ISNUMBER(INDEX(DynamicBudgetDetailRange, 1, _xlfn.SEQUENCE(1, COLUMNS(DynamicBudgetDetailRange), 1, 2)))))</f>
        <v>20</v>
      </c>
      <c r="AU30" s="80" cm="1">
        <f t="array" aca="1" ref="AU30" ca="1">IFERROR(SUM(_xlfn._xlws.FILTER(INDEX(DynamicTotalAmount, 1, _xlfn.SEQUENCE(1, COLUMNS(DynamicTotalAmount), 1, 2)), ISNUMBER(INDEX(DynamicTotalAmount, 1, _xlfn.SEQUENCE(1, COLUMNS(DynamicTotalAmount), 1, 2))))),0)</f>
        <v>2200</v>
      </c>
      <c r="AV30" s="418">
        <f t="shared" ca="1" si="19"/>
        <v>3.5345466157591479</v>
      </c>
      <c r="AW30" s="420">
        <f t="shared" ca="1" si="20"/>
        <v>0.30118335715612138</v>
      </c>
      <c r="AX30" s="901">
        <f>IFERROR(E1DirectLaborY48,0)</f>
        <v>622.42777905122784</v>
      </c>
      <c r="AY30" s="901">
        <f>IFERROR(E1OverheadY49,0)</f>
        <v>914.96883520530514</v>
      </c>
      <c r="AZ30" s="908">
        <f t="shared" ca="1" si="21"/>
        <v>662.60338574346702</v>
      </c>
      <c r="BA30" s="908"/>
      <c r="BB30" s="909" t="str">
        <f>CodeF3</f>
        <v>EV07</v>
      </c>
      <c r="BC30" s="910">
        <f t="shared" si="22"/>
        <v>1</v>
      </c>
      <c r="BD30" s="910">
        <f t="shared" si="10"/>
        <v>1</v>
      </c>
      <c r="BE30" s="910">
        <f t="shared" si="11"/>
        <v>1</v>
      </c>
      <c r="BF30" s="910">
        <f t="shared" si="12"/>
        <v>1</v>
      </c>
      <c r="BG30" s="910">
        <f t="shared" si="13"/>
        <v>1</v>
      </c>
      <c r="BH30" s="910">
        <f t="shared" si="14"/>
        <v>1</v>
      </c>
      <c r="BI30" s="910">
        <f t="shared" si="15"/>
        <v>1</v>
      </c>
      <c r="BJ30" s="910">
        <f t="shared" si="16"/>
        <v>1</v>
      </c>
      <c r="BK30" s="910">
        <f t="shared" si="17"/>
        <v>1</v>
      </c>
      <c r="BL30" s="910">
        <f t="shared" si="32"/>
        <v>1</v>
      </c>
      <c r="BM30" s="910">
        <f t="shared" si="35"/>
        <v>1</v>
      </c>
      <c r="BN30" s="910">
        <f t="shared" si="36"/>
        <v>1</v>
      </c>
      <c r="BO30" s="910">
        <f t="shared" si="24"/>
        <v>1</v>
      </c>
      <c r="BP30" s="910">
        <f t="shared" si="33"/>
        <v>1</v>
      </c>
      <c r="BQ30" s="910">
        <f t="shared" si="25"/>
        <v>1</v>
      </c>
      <c r="BR30" s="910">
        <f t="shared" si="26"/>
        <v>2</v>
      </c>
      <c r="BS30" s="910">
        <f t="shared" si="27"/>
        <v>1</v>
      </c>
      <c r="BT30" s="910">
        <f t="shared" si="34"/>
        <v>1</v>
      </c>
      <c r="BU30" s="910">
        <f t="shared" si="28"/>
        <v>1</v>
      </c>
      <c r="BV30" s="910">
        <f t="shared" si="29"/>
        <v>0</v>
      </c>
      <c r="BW30" s="909" t="str">
        <f>CodeF3</f>
        <v>EV07</v>
      </c>
      <c r="BX30" s="910">
        <f>_xlfn.SINGLE(E1BASEF3)</f>
        <v>1</v>
      </c>
      <c r="BY30" s="910">
        <f>_xlfn.SINGLE(E2BASEF3)</f>
        <v>1</v>
      </c>
      <c r="BZ30" s="910">
        <f>_xlfn.SINGLE(E3BASEF3)</f>
        <v>1</v>
      </c>
      <c r="CA30" s="910">
        <f>_xlfn.SINGLE(E4BASEF3)</f>
        <v>1</v>
      </c>
      <c r="CB30" s="910">
        <f>_xlfn.SINGLE(E5BASEF3)</f>
        <v>1</v>
      </c>
      <c r="CC30" s="910">
        <f>_xlfn.SINGLE(E6BASEF3)</f>
        <v>1</v>
      </c>
      <c r="CD30" s="910">
        <f>_xlfn.SINGLE(E7BASEF3)</f>
        <v>1</v>
      </c>
      <c r="CE30" s="910">
        <f>_xlfn.SINGLE(E8BASEF3)</f>
        <v>1</v>
      </c>
      <c r="CF30" s="910">
        <f>_xlfn.SINGLE(E9BASEF3)</f>
        <v>1</v>
      </c>
      <c r="CG30" s="910">
        <f>_xlfn.SINGLE(E10BASEF3)</f>
        <v>1</v>
      </c>
      <c r="CH30" s="910">
        <f>E11BASEF3</f>
        <v>1</v>
      </c>
      <c r="CI30" s="910">
        <f>E12BASEF3</f>
        <v>1</v>
      </c>
      <c r="CJ30" s="910">
        <f>E13BASEF3</f>
        <v>1</v>
      </c>
      <c r="CK30" s="910">
        <f>E14BASEF3</f>
        <v>1</v>
      </c>
      <c r="CL30" s="910">
        <f>E15BASEF3</f>
        <v>1</v>
      </c>
      <c r="CM30" s="910">
        <f>E16BASEF3</f>
        <v>2</v>
      </c>
      <c r="CN30" s="910">
        <f>E17BASEF3</f>
        <v>1</v>
      </c>
      <c r="CO30" s="910">
        <f>E18BASEF3</f>
        <v>1</v>
      </c>
      <c r="CP30" s="910">
        <f>E19BASEF3</f>
        <v>1</v>
      </c>
      <c r="CQ30" s="910">
        <f>E20BASEF3</f>
        <v>0</v>
      </c>
      <c r="CR30" s="909" t="str">
        <f>CodeF3</f>
        <v>EV07</v>
      </c>
      <c r="CS30" s="910"/>
      <c r="CT30" s="910"/>
      <c r="CU30" s="910"/>
      <c r="CV30" s="910"/>
      <c r="CW30" s="910"/>
      <c r="CX30" s="910"/>
      <c r="CY30" s="910"/>
      <c r="CZ30" s="910"/>
      <c r="DA30" s="910"/>
      <c r="DB30" s="910"/>
      <c r="DC30" s="910"/>
      <c r="DD30" s="910"/>
      <c r="DE30" s="910"/>
      <c r="DF30" s="910"/>
      <c r="DG30" s="910"/>
      <c r="DH30" s="910"/>
      <c r="DI30" s="910"/>
      <c r="DJ30" s="910"/>
      <c r="DK30" s="910"/>
      <c r="DL30" s="910"/>
    </row>
    <row r="31" spans="1:116" ht="13.9" customHeight="1" x14ac:dyDescent="0.2">
      <c r="A31" s="1378"/>
      <c r="B31" s="217" t="str">
        <f>CodeF2</f>
        <v>EV06</v>
      </c>
      <c r="C31" s="218"/>
      <c r="D31" s="252" t="str">
        <f>TitleF2</f>
        <v>SCI/ENG/SPEC/ TECH/SPRT 6</v>
      </c>
      <c r="E31" s="253"/>
      <c r="F31" s="219">
        <f t="shared" si="0"/>
        <v>1</v>
      </c>
      <c r="G31" s="80">
        <f>IF(F31="","",IFERROR(budgetdetailPhase1dollar23,0))</f>
        <v>101</v>
      </c>
      <c r="H31" s="219">
        <f t="shared" si="1"/>
        <v>1</v>
      </c>
      <c r="I31" s="80">
        <f>IF(H31="","",IFERROR(budgetdetailPhase2dollar23,0))</f>
        <v>101</v>
      </c>
      <c r="J31" s="219">
        <f t="shared" si="2"/>
        <v>1</v>
      </c>
      <c r="K31" s="80">
        <f>IF(J31="","",IFERROR(budgetdetailPhase3dollar23,0))</f>
        <v>101</v>
      </c>
      <c r="L31" s="219">
        <f t="shared" si="3"/>
        <v>1</v>
      </c>
      <c r="M31" s="80">
        <f>IF(L31="","",IFERROR(budgetdetailPhase4dollar23,0))</f>
        <v>101</v>
      </c>
      <c r="N31" s="219">
        <f t="shared" si="4"/>
        <v>1</v>
      </c>
      <c r="O31" s="80">
        <f>IF(N31="","",IFERROR(budgetdetailPhase5dollar23,0))</f>
        <v>101</v>
      </c>
      <c r="P31" s="219">
        <f t="shared" si="5"/>
        <v>1</v>
      </c>
      <c r="Q31" s="80">
        <f>IF(P31="","",IFERROR(budgetdetailPhase6dollar23,0))</f>
        <v>101</v>
      </c>
      <c r="R31" s="219">
        <f t="shared" si="6"/>
        <v>1</v>
      </c>
      <c r="S31" s="80">
        <f>IF(R31="","",IFERROR(budgetdetailPhase7dollar23,0))</f>
        <v>101</v>
      </c>
      <c r="T31" s="219">
        <f t="shared" si="7"/>
        <v>1</v>
      </c>
      <c r="U31" s="80">
        <f>IF(T31="","",IFERROR(budgetdetailPhase8dollar23,0))</f>
        <v>101</v>
      </c>
      <c r="V31" s="219">
        <f t="shared" si="8"/>
        <v>1</v>
      </c>
      <c r="W31" s="80">
        <f>IF(V31="","",IFERROR(budgetdetailPhase9dollar23,0))</f>
        <v>101</v>
      </c>
      <c r="X31" s="219">
        <f t="shared" si="9"/>
        <v>1</v>
      </c>
      <c r="Y31" s="80">
        <f>IF(X31="","",IFERROR(budgetdetailPhase10dollar23,0))</f>
        <v>101</v>
      </c>
      <c r="Z31" s="1225">
        <f>E11RateF2Total</f>
        <v>1</v>
      </c>
      <c r="AA31" s="1207">
        <f>IF(Z31="","",'Phase 11'!Z44)</f>
        <v>101</v>
      </c>
      <c r="AB31" s="1225">
        <f>E12RateF2Total</f>
        <v>1</v>
      </c>
      <c r="AC31" s="1207">
        <f>IF(AB31="","",'Phase 12'!Z44)</f>
        <v>101</v>
      </c>
      <c r="AD31" s="1225">
        <f>E13RateF2Total</f>
        <v>1</v>
      </c>
      <c r="AE31" s="1207">
        <f>IF(AD31="","",'Phase 13'!Z44)</f>
        <v>101</v>
      </c>
      <c r="AF31" s="1225">
        <f>E14RateF2Total</f>
        <v>1</v>
      </c>
      <c r="AG31" s="1207">
        <f>IF(AF31="","",'Phase 14'!Z44)</f>
        <v>101</v>
      </c>
      <c r="AH31" s="1225">
        <f>E15RateF2Total</f>
        <v>1</v>
      </c>
      <c r="AI31" s="1207">
        <f>IF(AH31="","",'Phase 15'!Z44)</f>
        <v>101</v>
      </c>
      <c r="AJ31" s="1225">
        <f>E16RateF2Total</f>
        <v>2</v>
      </c>
      <c r="AK31" s="1207">
        <f>IF(AJ31="","",'Phase 16'!Z45)</f>
        <v>202</v>
      </c>
      <c r="AL31" s="1225">
        <f>E17RateF2Total</f>
        <v>1</v>
      </c>
      <c r="AM31" s="1207">
        <f>IF(AL31="","",'Phase 17'!Z44)</f>
        <v>101</v>
      </c>
      <c r="AN31" s="1225">
        <f>E18RateF2Total</f>
        <v>1</v>
      </c>
      <c r="AO31" s="1207">
        <f>IF(AN31="","",'Phase 18'!Z44)</f>
        <v>101</v>
      </c>
      <c r="AP31" s="1225">
        <f>E19RateF2Total</f>
        <v>1</v>
      </c>
      <c r="AQ31" s="1207">
        <f>IF(AP31="","",'Phase 19'!Z44)</f>
        <v>101</v>
      </c>
      <c r="AR31" s="1555">
        <f>E20RateF2Total</f>
        <v>0</v>
      </c>
      <c r="AS31" s="1207" t="str">
        <f>IF(AR31="","",'Phase 20'!Z44)</f>
        <v/>
      </c>
      <c r="AT31" s="1009" cm="1">
        <f t="array" aca="1" ref="AT31" ca="1">SUM(_xlfn._xlws.FILTER(INDEX(DynamicBudgetDetailRange, 1, _xlfn.SEQUENCE(1, COLUMNS(DynamicBudgetDetailRange), 1, 2)), ISNUMBER(INDEX(DynamicBudgetDetailRange, 1, _xlfn.SEQUENCE(1, COLUMNS(DynamicBudgetDetailRange), 1, 2)))))</f>
        <v>20</v>
      </c>
      <c r="AU31" s="80" cm="1">
        <f t="array" aca="1" ref="AU31" ca="1">IFERROR(SUM(_xlfn._xlws.FILTER(INDEX(DynamicTotalAmount, 1, _xlfn.SEQUENCE(1, COLUMNS(DynamicTotalAmount), 1, 2)), ISNUMBER(INDEX(DynamicTotalAmount, 1, _xlfn.SEQUENCE(1, COLUMNS(DynamicTotalAmount), 1, 2))))),0)</f>
        <v>2020</v>
      </c>
      <c r="AV31" s="418">
        <f t="shared" ca="1" si="19"/>
        <v>3.3734992170408935</v>
      </c>
      <c r="AW31" s="420">
        <f t="shared" ca="1" si="20"/>
        <v>0.26782256609901023</v>
      </c>
      <c r="AX31" s="901">
        <f>IFERROR(E1DirectLaborZ48,0)</f>
        <v>598.78478399999983</v>
      </c>
      <c r="AY31" s="901">
        <f>IFERROR(E1OverheadZ49,0)</f>
        <v>880.21363247999966</v>
      </c>
      <c r="AZ31" s="908">
        <f t="shared" ca="1" si="21"/>
        <v>541.00158352000062</v>
      </c>
      <c r="BA31" s="908"/>
      <c r="BB31" s="909" t="str">
        <f>CodeF2</f>
        <v>EV06</v>
      </c>
      <c r="BC31" s="910">
        <f t="shared" si="22"/>
        <v>1</v>
      </c>
      <c r="BD31" s="910">
        <f t="shared" si="10"/>
        <v>1</v>
      </c>
      <c r="BE31" s="910">
        <f t="shared" si="11"/>
        <v>1</v>
      </c>
      <c r="BF31" s="910">
        <f t="shared" si="12"/>
        <v>1</v>
      </c>
      <c r="BG31" s="910">
        <f t="shared" si="13"/>
        <v>1</v>
      </c>
      <c r="BH31" s="910">
        <f t="shared" si="14"/>
        <v>1</v>
      </c>
      <c r="BI31" s="910">
        <f t="shared" si="15"/>
        <v>1</v>
      </c>
      <c r="BJ31" s="910">
        <f t="shared" si="16"/>
        <v>1</v>
      </c>
      <c r="BK31" s="910">
        <f t="shared" si="17"/>
        <v>1</v>
      </c>
      <c r="BL31" s="910">
        <f t="shared" si="32"/>
        <v>1</v>
      </c>
      <c r="BM31" s="910">
        <f t="shared" si="35"/>
        <v>1</v>
      </c>
      <c r="BN31" s="910">
        <f t="shared" si="36"/>
        <v>1</v>
      </c>
      <c r="BO31" s="910">
        <f t="shared" si="24"/>
        <v>1</v>
      </c>
      <c r="BP31" s="910">
        <f t="shared" si="33"/>
        <v>1</v>
      </c>
      <c r="BQ31" s="910">
        <f t="shared" si="25"/>
        <v>1</v>
      </c>
      <c r="BR31" s="910">
        <f t="shared" si="26"/>
        <v>2</v>
      </c>
      <c r="BS31" s="910">
        <f t="shared" si="27"/>
        <v>1</v>
      </c>
      <c r="BT31" s="910">
        <f t="shared" si="34"/>
        <v>1</v>
      </c>
      <c r="BU31" s="910">
        <f t="shared" si="28"/>
        <v>1</v>
      </c>
      <c r="BV31" s="910">
        <f t="shared" si="29"/>
        <v>0</v>
      </c>
      <c r="BW31" s="909" t="str">
        <f>CodeF2</f>
        <v>EV06</v>
      </c>
      <c r="BX31" s="910">
        <f>_xlfn.SINGLE(E1BASEF2)</f>
        <v>1</v>
      </c>
      <c r="BY31" s="910">
        <f>_xlfn.SINGLE(E2BASEF2)</f>
        <v>1</v>
      </c>
      <c r="BZ31" s="910">
        <f>_xlfn.SINGLE(E3BASEF2)</f>
        <v>1</v>
      </c>
      <c r="CA31" s="910">
        <f>_xlfn.SINGLE(E4BASEF2)</f>
        <v>1</v>
      </c>
      <c r="CB31" s="910">
        <f>_xlfn.SINGLE(E5BASEF2)</f>
        <v>1</v>
      </c>
      <c r="CC31" s="910">
        <f>_xlfn.SINGLE(E6BASEF2)</f>
        <v>1</v>
      </c>
      <c r="CD31" s="910">
        <f>_xlfn.SINGLE(E7BASEF2)</f>
        <v>1</v>
      </c>
      <c r="CE31" s="910">
        <f>_xlfn.SINGLE(E8BASEF2)</f>
        <v>1</v>
      </c>
      <c r="CF31" s="910">
        <f>_xlfn.SINGLE(E9BASEF2)</f>
        <v>1</v>
      </c>
      <c r="CG31" s="910">
        <f>_xlfn.SINGLE(E10BASEF2)</f>
        <v>1</v>
      </c>
      <c r="CH31" s="910">
        <f>E11BASEF2</f>
        <v>1</v>
      </c>
      <c r="CI31" s="910">
        <f>E12BASEF2</f>
        <v>1</v>
      </c>
      <c r="CJ31" s="910">
        <f>E13BASEF2</f>
        <v>1</v>
      </c>
      <c r="CK31" s="910">
        <f>E14BASEF2</f>
        <v>1</v>
      </c>
      <c r="CL31" s="910">
        <f>E15BASEF2</f>
        <v>1</v>
      </c>
      <c r="CM31" s="910">
        <f>E16BASEF2</f>
        <v>2</v>
      </c>
      <c r="CN31" s="910">
        <f>E17BASEF2</f>
        <v>1</v>
      </c>
      <c r="CO31" s="910">
        <f>E18BASEF2</f>
        <v>1</v>
      </c>
      <c r="CP31" s="910">
        <f>E19BASEF2</f>
        <v>1</v>
      </c>
      <c r="CQ31" s="910">
        <f>E20BASEF2</f>
        <v>0</v>
      </c>
      <c r="CR31" s="909" t="str">
        <f>CodeF2</f>
        <v>EV06</v>
      </c>
      <c r="CS31" s="910"/>
      <c r="CT31" s="910"/>
      <c r="CU31" s="910"/>
      <c r="CV31" s="910"/>
      <c r="CW31" s="910"/>
      <c r="CX31" s="910"/>
      <c r="CY31" s="910"/>
      <c r="CZ31" s="910"/>
      <c r="DA31" s="910"/>
      <c r="DB31" s="910"/>
      <c r="DC31" s="910"/>
      <c r="DD31" s="910"/>
      <c r="DE31" s="910"/>
      <c r="DF31" s="910"/>
      <c r="DG31" s="910"/>
      <c r="DH31" s="910"/>
      <c r="DI31" s="910"/>
      <c r="DJ31" s="910"/>
      <c r="DK31" s="910"/>
      <c r="DL31" s="910"/>
    </row>
    <row r="32" spans="1:116" ht="13.9" customHeight="1" x14ac:dyDescent="0.2">
      <c r="A32" s="1378"/>
      <c r="B32" s="217" t="str">
        <f>CodeF1</f>
        <v>EV05</v>
      </c>
      <c r="C32" s="218"/>
      <c r="D32" s="252" t="str">
        <f>TitleF1</f>
        <v>SCI/ENG/SPEC/ TECH/SPRT 5</v>
      </c>
      <c r="E32" s="253"/>
      <c r="F32" s="219">
        <f t="shared" si="0"/>
        <v>1</v>
      </c>
      <c r="G32" s="80">
        <f>IF(F32="","",IFERROR(budgetdetailPhase1dollar24,0))</f>
        <v>94</v>
      </c>
      <c r="H32" s="219">
        <f t="shared" si="1"/>
        <v>1</v>
      </c>
      <c r="I32" s="80">
        <f>IF(H32="","",IFERROR(budgetdetailPhase2dollar24,0))</f>
        <v>94</v>
      </c>
      <c r="J32" s="219">
        <f t="shared" si="2"/>
        <v>1</v>
      </c>
      <c r="K32" s="80">
        <f>IF(J32="","",IFERROR(budgetdetailPhase3dollar24,0))</f>
        <v>94</v>
      </c>
      <c r="L32" s="219">
        <f t="shared" si="3"/>
        <v>1</v>
      </c>
      <c r="M32" s="80">
        <f>IF(L32="","",IFERROR(budgetdetailPhase4dollar24,0))</f>
        <v>94</v>
      </c>
      <c r="N32" s="219">
        <f t="shared" si="4"/>
        <v>1</v>
      </c>
      <c r="O32" s="80">
        <f>IF(N32="","",IFERROR(budgetdetailPhase5dollar24,0))</f>
        <v>94</v>
      </c>
      <c r="P32" s="219">
        <f t="shared" si="5"/>
        <v>1</v>
      </c>
      <c r="Q32" s="80">
        <f>IF(P32="","",IFERROR(budgetdetailPhase6dollar24,0))</f>
        <v>94</v>
      </c>
      <c r="R32" s="219">
        <f t="shared" si="6"/>
        <v>1</v>
      </c>
      <c r="S32" s="80">
        <f>IF(R32="","",IFERROR(budgetdetailPhase7dollar24,0))</f>
        <v>94</v>
      </c>
      <c r="T32" s="219">
        <f t="shared" si="7"/>
        <v>1</v>
      </c>
      <c r="U32" s="80">
        <f>IF(T32="","",IFERROR(budgetdetailPhase8dollar24,0))</f>
        <v>94</v>
      </c>
      <c r="V32" s="219">
        <f t="shared" si="8"/>
        <v>1</v>
      </c>
      <c r="W32" s="80">
        <f>IF(V32="","",IFERROR(budgetdetailPhase9dollar24,0))</f>
        <v>94</v>
      </c>
      <c r="X32" s="219">
        <f t="shared" si="9"/>
        <v>1</v>
      </c>
      <c r="Y32" s="80">
        <f>IF(X32="","",IFERROR(budgetdetailPhase10dollar24,0))</f>
        <v>94</v>
      </c>
      <c r="Z32" s="1225">
        <f>E11RateF1Total</f>
        <v>1</v>
      </c>
      <c r="AA32" s="1207">
        <f>IF(Z32="","",'Phase 11'!AA44)</f>
        <v>94</v>
      </c>
      <c r="AB32" s="1225">
        <f>E12RateF1Total</f>
        <v>1</v>
      </c>
      <c r="AC32" s="1207">
        <f>IF(AB32="","",'Phase 12'!AA44)</f>
        <v>94</v>
      </c>
      <c r="AD32" s="1225">
        <f>E13RateF1Total</f>
        <v>1</v>
      </c>
      <c r="AE32" s="1207">
        <f>IF(AD32="","",'Phase 13'!AA44)</f>
        <v>94</v>
      </c>
      <c r="AF32" s="1225">
        <f>E14RateF1Total</f>
        <v>1</v>
      </c>
      <c r="AG32" s="1207">
        <f>IF(AF32="","",'Phase 14'!AA44)</f>
        <v>94</v>
      </c>
      <c r="AH32" s="1225">
        <f>E15RateF1Total</f>
        <v>1</v>
      </c>
      <c r="AI32" s="1207">
        <f>IF(AH32="","",'Phase 15'!AA44)</f>
        <v>94</v>
      </c>
      <c r="AJ32" s="1225">
        <f>E16RateF1Total</f>
        <v>2</v>
      </c>
      <c r="AK32" s="1207">
        <f>IF(AJ32="","",'Phase 16'!AA45)</f>
        <v>188</v>
      </c>
      <c r="AL32" s="1225">
        <f>E17RateF1Total</f>
        <v>1</v>
      </c>
      <c r="AM32" s="1207">
        <f>IF(AL32="","",'Phase 17'!AA44)</f>
        <v>94</v>
      </c>
      <c r="AN32" s="1225">
        <f>E18RateF1Total</f>
        <v>1</v>
      </c>
      <c r="AO32" s="1207">
        <f>IF(AN32="","",'Phase 18'!AA44)</f>
        <v>94</v>
      </c>
      <c r="AP32" s="1225">
        <f>E19RateF1Total</f>
        <v>1</v>
      </c>
      <c r="AQ32" s="1207">
        <f>IF(AP32="","",'Phase 19'!AA44)</f>
        <v>94</v>
      </c>
      <c r="AR32" s="1555">
        <f>E20RateF1Total</f>
        <v>0</v>
      </c>
      <c r="AS32" s="1207" t="str">
        <f>IF(AR32="","",'Phase 20'!AA44)</f>
        <v/>
      </c>
      <c r="AT32" s="1009" cm="1">
        <f t="array" aca="1" ref="AT32" ca="1">SUM(_xlfn._xlws.FILTER(INDEX(DynamicBudgetDetailRange, 1, _xlfn.SEQUENCE(1, COLUMNS(DynamicBudgetDetailRange), 1, 2)), ISNUMBER(INDEX(DynamicBudgetDetailRange, 1, _xlfn.SEQUENCE(1, COLUMNS(DynamicBudgetDetailRange), 1, 2)))))</f>
        <v>20</v>
      </c>
      <c r="AU32" s="80" cm="1">
        <f t="array" aca="1" ref="AU32" ca="1">IFERROR(SUM(_xlfn._xlws.FILTER(INDEX(DynamicTotalAmount, 1, _xlfn.SEQUENCE(1, COLUMNS(DynamicTotalAmount), 1, 2)), ISNUMBER(INDEX(DynamicTotalAmount, 1, _xlfn.SEQUENCE(1, COLUMNS(DynamicTotalAmount), 1, 2))))),0)</f>
        <v>1880</v>
      </c>
      <c r="AV32" s="418">
        <f t="shared" ca="1" si="19"/>
        <v>3.5632992513389747</v>
      </c>
      <c r="AW32" s="420">
        <f t="shared" ca="1" si="20"/>
        <v>0.30682218197872324</v>
      </c>
      <c r="AX32" s="901">
        <f>IFERROR(E1DirectLaborAA48,0)</f>
        <v>527.6009303157897</v>
      </c>
      <c r="AY32" s="901">
        <f>IFERROR(E1OverheadAA49,0)</f>
        <v>775.57336756421068</v>
      </c>
      <c r="AZ32" s="908">
        <f t="shared" ca="1" si="21"/>
        <v>576.82570211999973</v>
      </c>
      <c r="BA32" s="908"/>
      <c r="BB32" s="909" t="str">
        <f>CodeF1</f>
        <v>EV05</v>
      </c>
      <c r="BC32" s="910">
        <f t="shared" si="22"/>
        <v>1</v>
      </c>
      <c r="BD32" s="910">
        <f t="shared" si="10"/>
        <v>1</v>
      </c>
      <c r="BE32" s="910">
        <f t="shared" si="11"/>
        <v>1</v>
      </c>
      <c r="BF32" s="910">
        <f t="shared" si="12"/>
        <v>1</v>
      </c>
      <c r="BG32" s="910">
        <f t="shared" si="13"/>
        <v>1</v>
      </c>
      <c r="BH32" s="910">
        <f t="shared" si="14"/>
        <v>1</v>
      </c>
      <c r="BI32" s="910">
        <f t="shared" si="15"/>
        <v>1</v>
      </c>
      <c r="BJ32" s="910">
        <f t="shared" si="16"/>
        <v>1</v>
      </c>
      <c r="BK32" s="910">
        <f t="shared" si="17"/>
        <v>1</v>
      </c>
      <c r="BL32" s="910">
        <f t="shared" si="32"/>
        <v>1</v>
      </c>
      <c r="BM32" s="910">
        <f t="shared" si="35"/>
        <v>1</v>
      </c>
      <c r="BN32" s="910">
        <f t="shared" si="36"/>
        <v>1</v>
      </c>
      <c r="BO32" s="910">
        <f t="shared" si="24"/>
        <v>1</v>
      </c>
      <c r="BP32" s="910">
        <f t="shared" si="33"/>
        <v>1</v>
      </c>
      <c r="BQ32" s="910">
        <f t="shared" si="25"/>
        <v>1</v>
      </c>
      <c r="BR32" s="910">
        <f t="shared" si="26"/>
        <v>2</v>
      </c>
      <c r="BS32" s="910">
        <f t="shared" si="27"/>
        <v>1</v>
      </c>
      <c r="BT32" s="910">
        <f t="shared" si="34"/>
        <v>1</v>
      </c>
      <c r="BU32" s="910">
        <f t="shared" si="28"/>
        <v>1</v>
      </c>
      <c r="BV32" s="910">
        <f t="shared" si="29"/>
        <v>0</v>
      </c>
      <c r="BW32" s="909" t="str">
        <f>CodeF1</f>
        <v>EV05</v>
      </c>
      <c r="BX32" s="910">
        <f>_xlfn.SINGLE(E1BASEF1)</f>
        <v>1</v>
      </c>
      <c r="BY32" s="910">
        <f>_xlfn.SINGLE(E2BASEF1)</f>
        <v>1</v>
      </c>
      <c r="BZ32" s="910">
        <f>_xlfn.SINGLE(E3BASEF1)</f>
        <v>1</v>
      </c>
      <c r="CA32" s="910">
        <f>_xlfn.SINGLE(E4BASEF1)</f>
        <v>1</v>
      </c>
      <c r="CB32" s="910">
        <f>_xlfn.SINGLE(E5BASEF1)</f>
        <v>1</v>
      </c>
      <c r="CC32" s="910">
        <f>_xlfn.SINGLE(E6BASEF1)</f>
        <v>1</v>
      </c>
      <c r="CD32" s="910">
        <f>_xlfn.SINGLE(E7BASEF1)</f>
        <v>1</v>
      </c>
      <c r="CE32" s="910">
        <f>_xlfn.SINGLE(E8BASEF1)</f>
        <v>1</v>
      </c>
      <c r="CF32" s="910">
        <f>_xlfn.SINGLE(E9BASEF1)</f>
        <v>1</v>
      </c>
      <c r="CG32" s="910">
        <f>_xlfn.SINGLE(E10BASEF1)</f>
        <v>1</v>
      </c>
      <c r="CH32" s="910">
        <f>E11BASEF1</f>
        <v>1</v>
      </c>
      <c r="CI32" s="910">
        <f>E12BASEF1</f>
        <v>1</v>
      </c>
      <c r="CJ32" s="910">
        <f>E13BASEF1</f>
        <v>1</v>
      </c>
      <c r="CK32" s="910">
        <f>E14BASEF1</f>
        <v>1</v>
      </c>
      <c r="CL32" s="910">
        <f>E15BASEF1</f>
        <v>1</v>
      </c>
      <c r="CM32" s="910">
        <f>E16BASEF1</f>
        <v>2</v>
      </c>
      <c r="CN32" s="910">
        <f>E17BASEF1</f>
        <v>1</v>
      </c>
      <c r="CO32" s="910">
        <f>E18BASEF1</f>
        <v>1</v>
      </c>
      <c r="CP32" s="910">
        <f>E19BASEF1</f>
        <v>1</v>
      </c>
      <c r="CQ32" s="910">
        <f>E20BASEF1</f>
        <v>0</v>
      </c>
      <c r="CR32" s="909" t="str">
        <f>CodeF1</f>
        <v>EV05</v>
      </c>
      <c r="CS32" s="910"/>
      <c r="CT32" s="910"/>
      <c r="CU32" s="910"/>
      <c r="CV32" s="910"/>
      <c r="CW32" s="910"/>
      <c r="CX32" s="910"/>
      <c r="CY32" s="910"/>
      <c r="CZ32" s="910"/>
      <c r="DA32" s="910"/>
      <c r="DB32" s="910"/>
      <c r="DC32" s="910"/>
      <c r="DD32" s="910"/>
      <c r="DE32" s="910"/>
      <c r="DF32" s="910"/>
      <c r="DG32" s="910"/>
      <c r="DH32" s="910"/>
      <c r="DI32" s="910"/>
      <c r="DJ32" s="910"/>
      <c r="DK32" s="910"/>
      <c r="DL32" s="910"/>
    </row>
    <row r="33" spans="1:116" ht="13.9" customHeight="1" x14ac:dyDescent="0.2">
      <c r="A33" s="1378"/>
      <c r="B33" s="217" t="str">
        <f>CodeG4</f>
        <v>EV04</v>
      </c>
      <c r="C33" s="218"/>
      <c r="D33" s="252" t="str">
        <f>TitleG4</f>
        <v>SCI/ENG/SPEC/ TECH/SPRT 4</v>
      </c>
      <c r="E33" s="253"/>
      <c r="F33" s="219">
        <f t="shared" si="0"/>
        <v>1</v>
      </c>
      <c r="G33" s="80">
        <f>IF(F33="","",IFERROR(budgetdetailPhase1dollar25,0))</f>
        <v>85</v>
      </c>
      <c r="H33" s="219">
        <f t="shared" si="1"/>
        <v>1</v>
      </c>
      <c r="I33" s="80">
        <f>IF(H33="","",IFERROR(budgetdetailPhase2dollar25,0))</f>
        <v>85</v>
      </c>
      <c r="J33" s="219">
        <f t="shared" si="2"/>
        <v>1</v>
      </c>
      <c r="K33" s="80">
        <f>IF(J33="","",IFERROR(budgetdetailPhase3dollar25,0))</f>
        <v>85</v>
      </c>
      <c r="L33" s="219">
        <f t="shared" si="3"/>
        <v>1</v>
      </c>
      <c r="M33" s="80">
        <f>IF(L33="","",IFERROR(budgetdetailPhase4dollar25,0))</f>
        <v>85</v>
      </c>
      <c r="N33" s="219">
        <f t="shared" si="4"/>
        <v>1</v>
      </c>
      <c r="O33" s="80">
        <f>IF(N33="","",IFERROR(budgetdetailPhase5dollar25,0))</f>
        <v>85</v>
      </c>
      <c r="P33" s="219">
        <f t="shared" si="5"/>
        <v>1</v>
      </c>
      <c r="Q33" s="80">
        <f>IF(P33="","",IFERROR(budgetdetailPhase6dollar25,0))</f>
        <v>85</v>
      </c>
      <c r="R33" s="219">
        <f t="shared" si="6"/>
        <v>1</v>
      </c>
      <c r="S33" s="80">
        <f>IF(R33="","",IFERROR(budgetdetailPhase7dollar25,0))</f>
        <v>85</v>
      </c>
      <c r="T33" s="219">
        <f t="shared" si="7"/>
        <v>1</v>
      </c>
      <c r="U33" s="80">
        <f>IF(T33="","",IFERROR(budgetdetailPhase8dollar25,0))</f>
        <v>85</v>
      </c>
      <c r="V33" s="219">
        <f t="shared" si="8"/>
        <v>1</v>
      </c>
      <c r="W33" s="80">
        <f>IF(V33="","",IFERROR(budgetdetailPhase9dollar25,0))</f>
        <v>85</v>
      </c>
      <c r="X33" s="219">
        <f t="shared" si="9"/>
        <v>1</v>
      </c>
      <c r="Y33" s="80">
        <f>IF(X33="","",IFERROR(budgetdetailPhase10dollar25,0))</f>
        <v>85</v>
      </c>
      <c r="Z33" s="1225">
        <f>E11RateG4Total</f>
        <v>1</v>
      </c>
      <c r="AA33" s="1207">
        <f>IF(Z33="","",'Phase 11'!AB44)</f>
        <v>85</v>
      </c>
      <c r="AB33" s="1225">
        <f>E12RateG4Total</f>
        <v>1</v>
      </c>
      <c r="AC33" s="1207">
        <f>IF(AB33="","",'Phase 12'!AB44)</f>
        <v>85</v>
      </c>
      <c r="AD33" s="1225">
        <f>E13RateG4Total</f>
        <v>1</v>
      </c>
      <c r="AE33" s="1207">
        <f>IF(AD33="","",'Phase 13'!AB44)</f>
        <v>85</v>
      </c>
      <c r="AF33" s="1225">
        <f>E14RateG4Total</f>
        <v>1</v>
      </c>
      <c r="AG33" s="1207">
        <f>IF(AF33="","",'Phase 14'!AB44)</f>
        <v>85</v>
      </c>
      <c r="AH33" s="1225">
        <f>E15RateG4Total</f>
        <v>1</v>
      </c>
      <c r="AI33" s="1207">
        <f>IF(AH33="","",'Phase 15'!AB44)</f>
        <v>85</v>
      </c>
      <c r="AJ33" s="1225">
        <f>E16RateG4Total</f>
        <v>2</v>
      </c>
      <c r="AK33" s="1207">
        <f>IF(AJ33="","",'Phase 16'!AB45)</f>
        <v>170</v>
      </c>
      <c r="AL33" s="1225">
        <f>E17RateG4Total</f>
        <v>1</v>
      </c>
      <c r="AM33" s="1207">
        <f>IF(AL33="","",'Phase 17'!AB44)</f>
        <v>85</v>
      </c>
      <c r="AN33" s="1225">
        <f>E18RateG4Total</f>
        <v>1</v>
      </c>
      <c r="AO33" s="1207">
        <f>IF(AN33="","",'Phase 18'!AB44)</f>
        <v>85</v>
      </c>
      <c r="AP33" s="1225">
        <f>E19RateG4Total</f>
        <v>1</v>
      </c>
      <c r="AQ33" s="1207">
        <f>IF(AP33="","",'Phase 19'!AB44)</f>
        <v>85</v>
      </c>
      <c r="AR33" s="1555">
        <f>E20RateG4Total</f>
        <v>0</v>
      </c>
      <c r="AS33" s="1207" t="str">
        <f>IF(AR33="","",'Phase 20'!AB44)</f>
        <v/>
      </c>
      <c r="AT33" s="1009" cm="1">
        <f t="array" aca="1" ref="AT33" ca="1">SUM(_xlfn._xlws.FILTER(INDEX(DynamicBudgetDetailRange, 1, _xlfn.SEQUENCE(1, COLUMNS(DynamicBudgetDetailRange), 1, 2)), ISNUMBER(INDEX(DynamicBudgetDetailRange, 1, _xlfn.SEQUENCE(1, COLUMNS(DynamicBudgetDetailRange), 1, 2)))))</f>
        <v>20</v>
      </c>
      <c r="AU33" s="80" cm="1">
        <f t="array" aca="1" ref="AU33" ca="1">IFERROR(SUM(_xlfn._xlws.FILTER(INDEX(DynamicTotalAmount, 1, _xlfn.SEQUENCE(1, COLUMNS(DynamicTotalAmount), 1, 2)), ISNUMBER(INDEX(DynamicTotalAmount, 1, _xlfn.SEQUENCE(1, COLUMNS(DynamicTotalAmount), 1, 2))))),0)</f>
        <v>1700</v>
      </c>
      <c r="AV33" s="418">
        <f t="shared" ca="1" si="19"/>
        <v>3.3696185035941766</v>
      </c>
      <c r="AW33" s="420">
        <f t="shared" ca="1" si="20"/>
        <v>0.26697933390222262</v>
      </c>
      <c r="AX33" s="901">
        <f>IFERROR(E1DirectLaborAB48,0)</f>
        <v>504.50815075555545</v>
      </c>
      <c r="AY33" s="901">
        <f>IFERROR(E1OverheadAB49,0)</f>
        <v>741.62698161066623</v>
      </c>
      <c r="AZ33" s="908">
        <f t="shared" ca="1" si="21"/>
        <v>453.86486763377843</v>
      </c>
      <c r="BA33" s="908"/>
      <c r="BB33" s="909" t="str">
        <f>CodeG4</f>
        <v>EV04</v>
      </c>
      <c r="BC33" s="910">
        <f t="shared" si="22"/>
        <v>1</v>
      </c>
      <c r="BD33" s="910">
        <f t="shared" si="10"/>
        <v>1</v>
      </c>
      <c r="BE33" s="910">
        <f t="shared" si="11"/>
        <v>1</v>
      </c>
      <c r="BF33" s="910">
        <f t="shared" si="12"/>
        <v>1</v>
      </c>
      <c r="BG33" s="910">
        <f t="shared" si="13"/>
        <v>1</v>
      </c>
      <c r="BH33" s="910">
        <f t="shared" si="14"/>
        <v>1</v>
      </c>
      <c r="BI33" s="910">
        <f t="shared" si="15"/>
        <v>1</v>
      </c>
      <c r="BJ33" s="910">
        <f t="shared" si="16"/>
        <v>1</v>
      </c>
      <c r="BK33" s="910">
        <f t="shared" si="17"/>
        <v>1</v>
      </c>
      <c r="BL33" s="910">
        <f t="shared" si="32"/>
        <v>1</v>
      </c>
      <c r="BM33" s="910">
        <f t="shared" si="35"/>
        <v>1</v>
      </c>
      <c r="BN33" s="910">
        <f t="shared" si="36"/>
        <v>1</v>
      </c>
      <c r="BO33" s="910">
        <f t="shared" si="24"/>
        <v>1</v>
      </c>
      <c r="BP33" s="910">
        <f t="shared" si="33"/>
        <v>1</v>
      </c>
      <c r="BQ33" s="910">
        <f t="shared" si="25"/>
        <v>1</v>
      </c>
      <c r="BR33" s="910">
        <f t="shared" si="26"/>
        <v>2</v>
      </c>
      <c r="BS33" s="910">
        <f t="shared" si="27"/>
        <v>1</v>
      </c>
      <c r="BT33" s="910">
        <f>CO33+DJ33</f>
        <v>1</v>
      </c>
      <c r="BU33" s="910">
        <f t="shared" si="28"/>
        <v>1</v>
      </c>
      <c r="BV33" s="910">
        <f t="shared" si="29"/>
        <v>0</v>
      </c>
      <c r="BW33" s="909" t="str">
        <f>CodeG4</f>
        <v>EV04</v>
      </c>
      <c r="BX33" s="910">
        <f>_xlfn.SINGLE(E1BASEG4)</f>
        <v>1</v>
      </c>
      <c r="BY33" s="910">
        <f>_xlfn.SINGLE(E2BASEG4)</f>
        <v>1</v>
      </c>
      <c r="BZ33" s="910">
        <f>_xlfn.SINGLE(E3BASEG4)</f>
        <v>1</v>
      </c>
      <c r="CA33" s="910">
        <f>_xlfn.SINGLE(E4BASEG4)</f>
        <v>1</v>
      </c>
      <c r="CB33" s="910">
        <f>_xlfn.SINGLE(E5BASEG4)</f>
        <v>1</v>
      </c>
      <c r="CC33" s="910">
        <f>_xlfn.SINGLE(E6BASEG4)</f>
        <v>1</v>
      </c>
      <c r="CD33" s="910">
        <f>_xlfn.SINGLE(E7BASEG4)</f>
        <v>1</v>
      </c>
      <c r="CE33" s="910">
        <f>_xlfn.SINGLE(E8BASEG4)</f>
        <v>1</v>
      </c>
      <c r="CF33" s="910">
        <f>_xlfn.SINGLE(E9BASEG4)</f>
        <v>1</v>
      </c>
      <c r="CG33" s="910">
        <f>_xlfn.SINGLE(E10BASEG4)</f>
        <v>1</v>
      </c>
      <c r="CH33" s="910">
        <f>E11BASEG4</f>
        <v>1</v>
      </c>
      <c r="CI33" s="910">
        <f>E12BASEG4</f>
        <v>1</v>
      </c>
      <c r="CJ33" s="910">
        <f>E13BASEG4</f>
        <v>1</v>
      </c>
      <c r="CK33" s="910">
        <f>E14BASEG4</f>
        <v>1</v>
      </c>
      <c r="CL33" s="910">
        <f>E15BASEG4</f>
        <v>1</v>
      </c>
      <c r="CM33" s="910">
        <f>E16BASEG4</f>
        <v>2</v>
      </c>
      <c r="CN33" s="910">
        <f>E17BASEG4</f>
        <v>1</v>
      </c>
      <c r="CO33" s="910">
        <f>E18BASEG4</f>
        <v>1</v>
      </c>
      <c r="CP33" s="910">
        <f>E19BASEG4</f>
        <v>1</v>
      </c>
      <c r="CQ33" s="910">
        <f>E20BASEG4</f>
        <v>0</v>
      </c>
      <c r="CR33" s="909" t="str">
        <f>CodeG4</f>
        <v>EV04</v>
      </c>
      <c r="CS33" s="910"/>
      <c r="CT33" s="910"/>
      <c r="CU33" s="910"/>
      <c r="CV33" s="910"/>
      <c r="CW33" s="910"/>
      <c r="CX33" s="910"/>
      <c r="CY33" s="910"/>
      <c r="CZ33" s="910"/>
      <c r="DA33" s="910"/>
      <c r="DB33" s="910"/>
      <c r="DC33" s="910"/>
      <c r="DD33" s="910"/>
      <c r="DE33" s="910"/>
      <c r="DF33" s="910"/>
      <c r="DG33" s="910"/>
      <c r="DH33" s="910"/>
      <c r="DI33" s="910"/>
      <c r="DJ33" s="910"/>
      <c r="DK33" s="910"/>
      <c r="DL33" s="910"/>
    </row>
    <row r="34" spans="1:116" ht="13.9" customHeight="1" x14ac:dyDescent="0.2">
      <c r="A34" s="1378"/>
      <c r="B34" s="217" t="str">
        <f>CodeG3</f>
        <v>EV03</v>
      </c>
      <c r="C34" s="218"/>
      <c r="D34" s="252" t="str">
        <f>TitleG3</f>
        <v>SCI/ENG/SPEC/ TECH/SPRT 3</v>
      </c>
      <c r="E34" s="253"/>
      <c r="F34" s="219">
        <f t="shared" si="0"/>
        <v>1</v>
      </c>
      <c r="G34" s="80">
        <f>IF(F34="","",IFERROR(budgetdetailPhase1dollar26,0))</f>
        <v>78</v>
      </c>
      <c r="H34" s="219">
        <f t="shared" si="1"/>
        <v>1</v>
      </c>
      <c r="I34" s="80">
        <f>IF(H34="","",IFERROR(budgetdetailPhase2dollar26,0))</f>
        <v>78</v>
      </c>
      <c r="J34" s="219">
        <f t="shared" si="2"/>
        <v>1</v>
      </c>
      <c r="K34" s="80">
        <f>IF(J34="","",IFERROR(budgetdetailPhase3dollar26,0))</f>
        <v>78</v>
      </c>
      <c r="L34" s="219">
        <f t="shared" si="3"/>
        <v>1</v>
      </c>
      <c r="M34" s="80">
        <f>IF(L34="","",IFERROR(budgetdetailPhase4dollar26,0))</f>
        <v>78</v>
      </c>
      <c r="N34" s="219">
        <f t="shared" si="4"/>
        <v>1</v>
      </c>
      <c r="O34" s="80">
        <f>IF(N34="","",IFERROR(budgetdetailPhase5dollar26,0))</f>
        <v>78</v>
      </c>
      <c r="P34" s="219">
        <f t="shared" si="5"/>
        <v>1</v>
      </c>
      <c r="Q34" s="80">
        <f>IF(P34="","",IFERROR(budgetdetailPhase6dollar26,0))</f>
        <v>78</v>
      </c>
      <c r="R34" s="219">
        <f t="shared" si="6"/>
        <v>1</v>
      </c>
      <c r="S34" s="80">
        <f>IF(R34="","",IFERROR(budgetdetailPhase7dollar26,0))</f>
        <v>78</v>
      </c>
      <c r="T34" s="219">
        <f t="shared" si="7"/>
        <v>1</v>
      </c>
      <c r="U34" s="80">
        <f>IF(T34="","",IFERROR(budgetdetailPhase8dollar26,0))</f>
        <v>78</v>
      </c>
      <c r="V34" s="219">
        <f t="shared" si="8"/>
        <v>1</v>
      </c>
      <c r="W34" s="80">
        <f>IF(V34="","",IFERROR(budgetdetailPhase9dollar26,0))</f>
        <v>78</v>
      </c>
      <c r="X34" s="219">
        <f t="shared" si="9"/>
        <v>1</v>
      </c>
      <c r="Y34" s="80">
        <f>IF(X34="","",IFERROR(budgetdetailPhase10dollar26,0))</f>
        <v>78</v>
      </c>
      <c r="Z34" s="1225">
        <f>E11RateG3Total</f>
        <v>1</v>
      </c>
      <c r="AA34" s="1207">
        <f>IF(Z34="","",'Phase 11'!AC44)</f>
        <v>78</v>
      </c>
      <c r="AB34" s="1225">
        <f>E12RateG3Total</f>
        <v>1</v>
      </c>
      <c r="AC34" s="1207">
        <f>IF(AB34="","",'Phase 12'!AC44)</f>
        <v>78</v>
      </c>
      <c r="AD34" s="1225">
        <f>E13RateG3Total</f>
        <v>1</v>
      </c>
      <c r="AE34" s="1207">
        <f>IF(AD34="","",'Phase 13'!AC44)</f>
        <v>78</v>
      </c>
      <c r="AF34" s="1225">
        <f>E14RateG3Total</f>
        <v>1</v>
      </c>
      <c r="AG34" s="1207">
        <f>IF(AF34="","",'Phase 14'!AC44)</f>
        <v>78</v>
      </c>
      <c r="AH34" s="1225">
        <f>E15RateG3Total</f>
        <v>1</v>
      </c>
      <c r="AI34" s="1207">
        <f>IF(AH34="","",'Phase 15'!AC44)</f>
        <v>78</v>
      </c>
      <c r="AJ34" s="1225">
        <f>E16RateG3Total</f>
        <v>2</v>
      </c>
      <c r="AK34" s="1207">
        <f>IF(AJ34="","",'Phase 16'!AC45)</f>
        <v>156</v>
      </c>
      <c r="AL34" s="1225">
        <f>E17RateG3Total</f>
        <v>1</v>
      </c>
      <c r="AM34" s="1207">
        <f>IF(AL34="","",'Phase 17'!AC44)</f>
        <v>78</v>
      </c>
      <c r="AN34" s="1225">
        <f>E18RateG3Total</f>
        <v>1</v>
      </c>
      <c r="AO34" s="1207">
        <f>IF(AN34="","",'Phase 18'!AC44)</f>
        <v>78</v>
      </c>
      <c r="AP34" s="1225">
        <f>E19RateG3Total</f>
        <v>1</v>
      </c>
      <c r="AQ34" s="1207">
        <f>IF(AP34="","",'Phase 19'!AC44)</f>
        <v>78</v>
      </c>
      <c r="AR34" s="1555">
        <f>E20RateG3Total</f>
        <v>0</v>
      </c>
      <c r="AS34" s="1207" t="str">
        <f>IF(AR34="","",'Phase 20'!AC44)</f>
        <v/>
      </c>
      <c r="AT34" s="1009" cm="1">
        <f t="array" aca="1" ref="AT34" ca="1">SUM(_xlfn._xlws.FILTER(INDEX(DynamicBudgetDetailRange, 1, _xlfn.SEQUENCE(1, COLUMNS(DynamicBudgetDetailRange), 1, 2)), ISNUMBER(INDEX(DynamicBudgetDetailRange, 1, _xlfn.SEQUENCE(1, COLUMNS(DynamicBudgetDetailRange), 1, 2)))))</f>
        <v>20</v>
      </c>
      <c r="AU34" s="80" cm="1">
        <f t="array" aca="1" ref="AU34" ca="1">IFERROR(SUM(_xlfn._xlws.FILTER(INDEX(DynamicTotalAmount, 1, _xlfn.SEQUENCE(1, COLUMNS(DynamicTotalAmount), 1, 2)), ISNUMBER(INDEX(DynamicTotalAmount, 1, _xlfn.SEQUENCE(1, COLUMNS(DynamicTotalAmount), 1, 2))))),0)</f>
        <v>1560</v>
      </c>
      <c r="AV34" s="418">
        <f t="shared" ca="1" si="19"/>
        <v>3.6281521385779962</v>
      </c>
      <c r="AW34" s="420">
        <f t="shared" ca="1" si="20"/>
        <v>0.31921267200000009</v>
      </c>
      <c r="AX34" s="901">
        <f>IFERROR(E1DirectLaborAC48,0)</f>
        <v>429.97094400000003</v>
      </c>
      <c r="AY34" s="901">
        <f>IFERROR(E1OverheadAC49,0)</f>
        <v>632.05728767999983</v>
      </c>
      <c r="AZ34" s="908">
        <f t="shared" ca="1" si="21"/>
        <v>497.97176832000014</v>
      </c>
      <c r="BA34" s="908"/>
      <c r="BB34" s="909" t="str">
        <f>CodeG3</f>
        <v>EV03</v>
      </c>
      <c r="BC34" s="910">
        <f t="shared" si="22"/>
        <v>1</v>
      </c>
      <c r="BD34" s="910">
        <f t="shared" si="10"/>
        <v>1</v>
      </c>
      <c r="BE34" s="910">
        <f t="shared" si="11"/>
        <v>1</v>
      </c>
      <c r="BF34" s="910">
        <f t="shared" si="12"/>
        <v>1</v>
      </c>
      <c r="BG34" s="910">
        <f t="shared" si="13"/>
        <v>1</v>
      </c>
      <c r="BH34" s="910">
        <f t="shared" si="14"/>
        <v>1</v>
      </c>
      <c r="BI34" s="910">
        <f t="shared" si="15"/>
        <v>1</v>
      </c>
      <c r="BJ34" s="910">
        <f t="shared" si="16"/>
        <v>1</v>
      </c>
      <c r="BK34" s="910">
        <f t="shared" si="17"/>
        <v>1</v>
      </c>
      <c r="BL34" s="910">
        <f t="shared" si="32"/>
        <v>1</v>
      </c>
      <c r="BM34" s="1052">
        <f>CH34+DC34</f>
        <v>1</v>
      </c>
      <c r="BN34" s="910">
        <f t="shared" si="36"/>
        <v>1</v>
      </c>
      <c r="BO34" s="910">
        <f t="shared" si="24"/>
        <v>1</v>
      </c>
      <c r="BP34" s="910">
        <f t="shared" si="33"/>
        <v>1</v>
      </c>
      <c r="BQ34" s="910">
        <f t="shared" si="25"/>
        <v>1</v>
      </c>
      <c r="BR34" s="910">
        <f t="shared" si="26"/>
        <v>2</v>
      </c>
      <c r="BS34" s="910">
        <f t="shared" si="27"/>
        <v>1</v>
      </c>
      <c r="BT34" s="910">
        <f t="shared" si="34"/>
        <v>1</v>
      </c>
      <c r="BU34" s="910">
        <f t="shared" si="28"/>
        <v>1</v>
      </c>
      <c r="BV34" s="910">
        <f t="shared" si="29"/>
        <v>0</v>
      </c>
      <c r="BW34" s="909" t="str">
        <f>CodeG3</f>
        <v>EV03</v>
      </c>
      <c r="BX34" s="910">
        <f>_xlfn.SINGLE(E1BASEG3)</f>
        <v>1</v>
      </c>
      <c r="BY34" s="910">
        <f>_xlfn.SINGLE(E2BASEG3)</f>
        <v>1</v>
      </c>
      <c r="BZ34" s="910">
        <f>_xlfn.SINGLE(E3BASEG3)</f>
        <v>1</v>
      </c>
      <c r="CA34" s="910">
        <f>_xlfn.SINGLE(E4BASEG3)</f>
        <v>1</v>
      </c>
      <c r="CB34" s="910">
        <f>_xlfn.SINGLE(E5BASEG3)</f>
        <v>1</v>
      </c>
      <c r="CC34" s="910">
        <f>_xlfn.SINGLE(E6BASEG3)</f>
        <v>1</v>
      </c>
      <c r="CD34" s="910">
        <f>_xlfn.SINGLE(E7BASEG3)</f>
        <v>1</v>
      </c>
      <c r="CE34" s="910">
        <f>_xlfn.SINGLE(E8BASEG3)</f>
        <v>1</v>
      </c>
      <c r="CF34" s="910">
        <f>_xlfn.SINGLE(E9BASEG3)</f>
        <v>1</v>
      </c>
      <c r="CG34" s="910">
        <f>_xlfn.SINGLE(E10BASEG3)</f>
        <v>1</v>
      </c>
      <c r="CH34" s="910">
        <f>E11BASEG3</f>
        <v>1</v>
      </c>
      <c r="CI34" s="910">
        <f>E12BASEG3</f>
        <v>1</v>
      </c>
      <c r="CJ34" s="910">
        <f>E13BASEG3</f>
        <v>1</v>
      </c>
      <c r="CK34" s="910">
        <f>E14BASEG3</f>
        <v>1</v>
      </c>
      <c r="CL34" s="910">
        <f>E15BASEG3</f>
        <v>1</v>
      </c>
      <c r="CM34" s="910">
        <f>E16BASEG3</f>
        <v>2</v>
      </c>
      <c r="CN34" s="910">
        <f>E17BASEG3</f>
        <v>1</v>
      </c>
      <c r="CO34" s="910">
        <f>E18BASEG3</f>
        <v>1</v>
      </c>
      <c r="CP34" s="910">
        <f>E19BASEG3</f>
        <v>1</v>
      </c>
      <c r="CQ34" s="910">
        <f>E20BASEG3</f>
        <v>0</v>
      </c>
      <c r="CR34" s="909" t="str">
        <f>CodeG3</f>
        <v>EV03</v>
      </c>
      <c r="CS34" s="910"/>
      <c r="CT34" s="910"/>
      <c r="CU34" s="910"/>
      <c r="CV34" s="910"/>
      <c r="CW34" s="910"/>
      <c r="CX34" s="910"/>
      <c r="CY34" s="910"/>
      <c r="CZ34" s="910"/>
      <c r="DA34" s="910"/>
      <c r="DB34" s="910"/>
      <c r="DC34" s="910"/>
      <c r="DD34" s="910"/>
      <c r="DE34" s="910"/>
      <c r="DF34" s="910"/>
      <c r="DG34" s="910"/>
      <c r="DH34" s="910"/>
      <c r="DI34" s="910"/>
      <c r="DJ34" s="910"/>
      <c r="DK34" s="910"/>
      <c r="DL34" s="910"/>
    </row>
    <row r="35" spans="1:116" ht="13.9" customHeight="1" x14ac:dyDescent="0.2">
      <c r="A35" s="1378"/>
      <c r="B35" s="217" t="str">
        <f>CodeG2</f>
        <v>EV02</v>
      </c>
      <c r="C35" s="218"/>
      <c r="D35" s="252" t="str">
        <f>TitleG2</f>
        <v>SCI/ENG/SPEC/ TECH/SPRT 2</v>
      </c>
      <c r="E35" s="253"/>
      <c r="F35" s="219">
        <f t="shared" si="0"/>
        <v>1</v>
      </c>
      <c r="G35" s="80">
        <f>IF(F35="","",IFERROR(budgetdetailPhase1dollar27,0))</f>
        <v>71</v>
      </c>
      <c r="H35" s="219">
        <f t="shared" si="1"/>
        <v>1</v>
      </c>
      <c r="I35" s="80">
        <f>IF(H35="","",IFERROR(budgetdetailPhase2dollar27,0))</f>
        <v>71</v>
      </c>
      <c r="J35" s="219">
        <f t="shared" si="2"/>
        <v>1</v>
      </c>
      <c r="K35" s="80">
        <f>IF(J35="","",IFERROR(budgetdetailPhase3dollar27,0))</f>
        <v>71</v>
      </c>
      <c r="L35" s="219">
        <f t="shared" si="3"/>
        <v>1</v>
      </c>
      <c r="M35" s="80">
        <f>IF(L35="","",IFERROR(budgetdetailPhase4dollar27,0))</f>
        <v>71</v>
      </c>
      <c r="N35" s="219">
        <f t="shared" si="4"/>
        <v>1</v>
      </c>
      <c r="O35" s="80">
        <f>IF(N35="","",IFERROR(budgetdetailPhase5dollar27,0))</f>
        <v>71</v>
      </c>
      <c r="P35" s="219">
        <f t="shared" si="5"/>
        <v>1</v>
      </c>
      <c r="Q35" s="80">
        <f>IF(P35="","",IFERROR(budgetdetailPhase6dollar27,0))</f>
        <v>71</v>
      </c>
      <c r="R35" s="219">
        <f t="shared" si="6"/>
        <v>1</v>
      </c>
      <c r="S35" s="80">
        <f>IF(R35="","",IFERROR(budgetdetailPhase7dollar27,0))</f>
        <v>71</v>
      </c>
      <c r="T35" s="219">
        <f t="shared" si="7"/>
        <v>1</v>
      </c>
      <c r="U35" s="80">
        <f>IF(T35="","",IFERROR(budgetdetailPhase8dollar27,0))</f>
        <v>71</v>
      </c>
      <c r="V35" s="219">
        <f t="shared" si="8"/>
        <v>1</v>
      </c>
      <c r="W35" s="80">
        <f>IF(V35="","",IFERROR(budgetdetailPhase9dollar27,0))</f>
        <v>71</v>
      </c>
      <c r="X35" s="219">
        <f t="shared" si="9"/>
        <v>1</v>
      </c>
      <c r="Y35" s="80">
        <f>IF(X35="","",IFERROR(budgetdetailPhase10dollar27,0))</f>
        <v>71</v>
      </c>
      <c r="Z35" s="1225">
        <f>E11RateG2Total</f>
        <v>1</v>
      </c>
      <c r="AA35" s="1207">
        <f>IF(Z35="","",'Phase 11'!AD44)</f>
        <v>71</v>
      </c>
      <c r="AB35" s="1225">
        <f>E12RateG2Total</f>
        <v>1</v>
      </c>
      <c r="AC35" s="1207">
        <f>IF(AB35="","",'Phase 12'!AD44)</f>
        <v>71</v>
      </c>
      <c r="AD35" s="1225">
        <f>E13RateG2Total</f>
        <v>1</v>
      </c>
      <c r="AE35" s="1207">
        <f>IF(AD35="","",'Phase 13'!AD44)</f>
        <v>71</v>
      </c>
      <c r="AF35" s="1225">
        <f>E14RateG2Total</f>
        <v>1</v>
      </c>
      <c r="AG35" s="1207">
        <f>IF(AF35="","",'Phase 14'!AD44)</f>
        <v>71</v>
      </c>
      <c r="AH35" s="1225">
        <f>E15RateG2Total</f>
        <v>1</v>
      </c>
      <c r="AI35" s="1207">
        <f>IF(AH35="","",'Phase 15'!AD44)</f>
        <v>71</v>
      </c>
      <c r="AJ35" s="1225">
        <f>E16RateG2Total</f>
        <v>2</v>
      </c>
      <c r="AK35" s="1207">
        <f>IF(AJ35="","",'Phase 16'!AD45)</f>
        <v>142</v>
      </c>
      <c r="AL35" s="1225">
        <f>E17RateG2Total</f>
        <v>1</v>
      </c>
      <c r="AM35" s="1207">
        <f>IF(AL35="","",'Phase 17'!AD44)</f>
        <v>71</v>
      </c>
      <c r="AN35" s="1225">
        <f>E18RateG2Total</f>
        <v>1</v>
      </c>
      <c r="AO35" s="1207">
        <f>IF(AN35="","",'Phase 18'!AD44)</f>
        <v>71</v>
      </c>
      <c r="AP35" s="1225">
        <f>E19RateG2Total</f>
        <v>1</v>
      </c>
      <c r="AQ35" s="1207">
        <f>IF(AP35="","",'Phase 19'!AD44)</f>
        <v>71</v>
      </c>
      <c r="AR35" s="1555">
        <f>E20RateG2Total</f>
        <v>0</v>
      </c>
      <c r="AS35" s="1207" t="str">
        <f>IF(AR35="","",'Phase 20'!AD44)</f>
        <v/>
      </c>
      <c r="AT35" s="1009" cm="1">
        <f t="array" aca="1" ref="AT35" ca="1">SUM(_xlfn._xlws.FILTER(INDEX(DynamicBudgetDetailRange, 1, _xlfn.SEQUENCE(1, COLUMNS(DynamicBudgetDetailRange), 1, 2)), ISNUMBER(INDEX(DynamicBudgetDetailRange, 1, _xlfn.SEQUENCE(1, COLUMNS(DynamicBudgetDetailRange), 1, 2)))))</f>
        <v>20</v>
      </c>
      <c r="AU35" s="80" cm="1">
        <f t="array" aca="1" ref="AU35" ca="1">IFERROR(SUM(_xlfn._xlws.FILTER(INDEX(DynamicTotalAmount, 1, _xlfn.SEQUENCE(1, COLUMNS(DynamicTotalAmount), 1, 2)), ISNUMBER(INDEX(DynamicTotalAmount, 1, _xlfn.SEQUENCE(1, COLUMNS(DynamicTotalAmount), 1, 2))))),0)</f>
        <v>1420</v>
      </c>
      <c r="AV35" s="418">
        <f t="shared" ca="1" si="19"/>
        <v>3.6376247945866762</v>
      </c>
      <c r="AW35" s="420">
        <f t="shared" ca="1" si="20"/>
        <v>0.32098549479986899</v>
      </c>
      <c r="AX35" s="901">
        <f>IFERROR(E1DirectLaborAD48,0)</f>
        <v>390.36461432558139</v>
      </c>
      <c r="AY35" s="901">
        <f>IFERROR(E1OverheadAD49,0)</f>
        <v>573.83598305860471</v>
      </c>
      <c r="AZ35" s="908">
        <f t="shared" ca="1" si="21"/>
        <v>455.79940261581396</v>
      </c>
      <c r="BA35" s="908"/>
      <c r="BB35" s="909" t="str">
        <f>CodeG2</f>
        <v>EV02</v>
      </c>
      <c r="BC35" s="910">
        <f t="shared" si="22"/>
        <v>1</v>
      </c>
      <c r="BD35" s="910">
        <f t="shared" si="10"/>
        <v>1</v>
      </c>
      <c r="BE35" s="910">
        <f t="shared" si="11"/>
        <v>1</v>
      </c>
      <c r="BF35" s="910">
        <f t="shared" si="12"/>
        <v>1</v>
      </c>
      <c r="BG35" s="910">
        <f t="shared" si="13"/>
        <v>1</v>
      </c>
      <c r="BH35" s="910">
        <f t="shared" si="14"/>
        <v>1</v>
      </c>
      <c r="BI35" s="910">
        <f t="shared" si="15"/>
        <v>1</v>
      </c>
      <c r="BJ35" s="910">
        <f t="shared" si="16"/>
        <v>1</v>
      </c>
      <c r="BK35" s="910">
        <f t="shared" si="17"/>
        <v>1</v>
      </c>
      <c r="BL35" s="910">
        <f t="shared" si="32"/>
        <v>1</v>
      </c>
      <c r="BM35" s="910">
        <f>CH35+DC35</f>
        <v>1</v>
      </c>
      <c r="BN35" s="910">
        <f t="shared" si="36"/>
        <v>1</v>
      </c>
      <c r="BO35" s="910">
        <f t="shared" si="24"/>
        <v>1</v>
      </c>
      <c r="BP35" s="910">
        <f t="shared" si="33"/>
        <v>1</v>
      </c>
      <c r="BQ35" s="910">
        <f t="shared" si="25"/>
        <v>1</v>
      </c>
      <c r="BR35" s="910">
        <f t="shared" si="26"/>
        <v>2</v>
      </c>
      <c r="BS35" s="910">
        <f t="shared" si="27"/>
        <v>1</v>
      </c>
      <c r="BT35" s="910">
        <f t="shared" si="34"/>
        <v>1</v>
      </c>
      <c r="BU35" s="910">
        <f t="shared" si="28"/>
        <v>1</v>
      </c>
      <c r="BV35" s="910">
        <f t="shared" si="29"/>
        <v>0</v>
      </c>
      <c r="BW35" s="909" t="str">
        <f>CodeG2</f>
        <v>EV02</v>
      </c>
      <c r="BX35" s="910">
        <f>_xlfn.SINGLE(E1BASEG2)</f>
        <v>1</v>
      </c>
      <c r="BY35" s="910">
        <f>_xlfn.SINGLE(E2BASEG2)</f>
        <v>1</v>
      </c>
      <c r="BZ35" s="910">
        <f>_xlfn.SINGLE(E3BASEG2)</f>
        <v>1</v>
      </c>
      <c r="CA35" s="910">
        <f>_xlfn.SINGLE(E4BASEG2)</f>
        <v>1</v>
      </c>
      <c r="CB35" s="910">
        <f>_xlfn.SINGLE(E5BASEG2)</f>
        <v>1</v>
      </c>
      <c r="CC35" s="910">
        <f>_xlfn.SINGLE(E6BASEG2)</f>
        <v>1</v>
      </c>
      <c r="CD35" s="910">
        <f>_xlfn.SINGLE(E7BASEG2)</f>
        <v>1</v>
      </c>
      <c r="CE35" s="910">
        <f>_xlfn.SINGLE(E8BASEG2)</f>
        <v>1</v>
      </c>
      <c r="CF35" s="910">
        <f>_xlfn.SINGLE(E9BASEG2)</f>
        <v>1</v>
      </c>
      <c r="CG35" s="910">
        <f>_xlfn.SINGLE(E10BASEG2)</f>
        <v>1</v>
      </c>
      <c r="CH35" s="910">
        <f>E11BASEG2</f>
        <v>1</v>
      </c>
      <c r="CI35" s="910">
        <f>E12BASEG2</f>
        <v>1</v>
      </c>
      <c r="CJ35" s="910">
        <f>E13BASEG2</f>
        <v>1</v>
      </c>
      <c r="CK35" s="910">
        <f>E14BASEG2</f>
        <v>1</v>
      </c>
      <c r="CL35" s="910">
        <f>E15BASEG2</f>
        <v>1</v>
      </c>
      <c r="CM35" s="910">
        <f>E16BASEG2</f>
        <v>2</v>
      </c>
      <c r="CN35" s="910">
        <f>E17BASEG2</f>
        <v>1</v>
      </c>
      <c r="CO35" s="910">
        <f>E18BASEG2</f>
        <v>1</v>
      </c>
      <c r="CP35" s="910">
        <f>E19BASEG2</f>
        <v>1</v>
      </c>
      <c r="CQ35" s="910">
        <f>E20BASEG2</f>
        <v>0</v>
      </c>
      <c r="CR35" s="909" t="str">
        <f>CodeG2</f>
        <v>EV02</v>
      </c>
      <c r="CS35" s="910"/>
      <c r="CT35" s="910"/>
      <c r="CU35" s="910"/>
      <c r="CV35" s="910"/>
      <c r="CW35" s="910"/>
      <c r="CX35" s="910"/>
      <c r="CY35" s="910"/>
      <c r="CZ35" s="910"/>
      <c r="DA35" s="910"/>
      <c r="DB35" s="910"/>
      <c r="DC35" s="910"/>
      <c r="DD35" s="910"/>
      <c r="DE35" s="910"/>
      <c r="DF35" s="910"/>
      <c r="DG35" s="910"/>
      <c r="DH35" s="910"/>
      <c r="DI35" s="910"/>
      <c r="DJ35" s="910"/>
      <c r="DK35" s="910"/>
      <c r="DL35" s="910"/>
    </row>
    <row r="36" spans="1:116" ht="13.9" customHeight="1" x14ac:dyDescent="0.2">
      <c r="A36" s="1378"/>
      <c r="B36" s="217" t="str">
        <f>CodeG1</f>
        <v>EV01</v>
      </c>
      <c r="C36" s="218"/>
      <c r="D36" s="252" t="str">
        <f>TitleG1</f>
        <v>SCI/ENG/SPEC/ TECH/SPRT 1</v>
      </c>
      <c r="E36" s="253"/>
      <c r="F36" s="219">
        <f t="shared" si="0"/>
        <v>1</v>
      </c>
      <c r="G36" s="80">
        <f>IF(F36="","",IFERROR(budgetdetailPhase1dollar28,0))</f>
        <v>57</v>
      </c>
      <c r="H36" s="219">
        <f t="shared" si="1"/>
        <v>1</v>
      </c>
      <c r="I36" s="80">
        <f>IF(H36="","",IFERROR(budgetdetailPhase2dollar28,0))</f>
        <v>57</v>
      </c>
      <c r="J36" s="219">
        <f t="shared" si="2"/>
        <v>1</v>
      </c>
      <c r="K36" s="80">
        <f>IF(J36="","",IFERROR(budgetdetailPhase3dollar28,0))</f>
        <v>57</v>
      </c>
      <c r="L36" s="219">
        <f t="shared" si="3"/>
        <v>1</v>
      </c>
      <c r="M36" s="80">
        <f>IF(L36="","",IFERROR(budgetdetailPhase4dollar28,0))</f>
        <v>57</v>
      </c>
      <c r="N36" s="219">
        <f t="shared" si="4"/>
        <v>1</v>
      </c>
      <c r="O36" s="80">
        <f>IF(N36="","",IFERROR(budgetdetailPhase5dollar28,0))</f>
        <v>57</v>
      </c>
      <c r="P36" s="219">
        <f t="shared" si="5"/>
        <v>1</v>
      </c>
      <c r="Q36" s="80">
        <f>IF(P36="","",IFERROR(budgetdetailPhase6dollar28,0))</f>
        <v>57</v>
      </c>
      <c r="R36" s="219">
        <f t="shared" si="6"/>
        <v>1</v>
      </c>
      <c r="S36" s="80">
        <f>IF(R36="","",IFERROR(budgetdetailPhase7dollar28,0))</f>
        <v>57</v>
      </c>
      <c r="T36" s="219">
        <f t="shared" si="7"/>
        <v>1</v>
      </c>
      <c r="U36" s="80">
        <f>IF(T36="","",IFERROR(budgetdetailPhase8dollar28,0))</f>
        <v>57</v>
      </c>
      <c r="V36" s="219">
        <f t="shared" si="8"/>
        <v>1</v>
      </c>
      <c r="W36" s="80">
        <f>IF(V36="","",IFERROR(budgetdetailPhase9dollar28,0))</f>
        <v>57</v>
      </c>
      <c r="X36" s="219">
        <f t="shared" si="9"/>
        <v>1</v>
      </c>
      <c r="Y36" s="80">
        <f>IF(X36="","",IFERROR(budgetdetailPhase10dollar28,0))</f>
        <v>57</v>
      </c>
      <c r="Z36" s="1225">
        <f>E11RateG1Total</f>
        <v>1</v>
      </c>
      <c r="AA36" s="1207">
        <f>IF(Z36="","",'Phase 11'!AE44)</f>
        <v>57</v>
      </c>
      <c r="AB36" s="1225">
        <f>E12RateG1Total</f>
        <v>1</v>
      </c>
      <c r="AC36" s="1207">
        <f>IF(AB36="","",'Phase 12'!AE44)</f>
        <v>57</v>
      </c>
      <c r="AD36" s="1225">
        <f>E13RateG1Total</f>
        <v>1</v>
      </c>
      <c r="AE36" s="1207">
        <f>IF(AD36="","",'Phase 13'!AE44)</f>
        <v>57</v>
      </c>
      <c r="AF36" s="1225">
        <f>E14RateG1Total</f>
        <v>1</v>
      </c>
      <c r="AG36" s="1207">
        <f>IF(AF36="","",'Phase 14'!AE44)</f>
        <v>57</v>
      </c>
      <c r="AH36" s="1225">
        <f>E15RateG1Total</f>
        <v>1</v>
      </c>
      <c r="AI36" s="1207">
        <f>IF(AH36="","",'Phase 15'!AE44)</f>
        <v>57</v>
      </c>
      <c r="AJ36" s="1225">
        <f>E16RateG1Total</f>
        <v>2</v>
      </c>
      <c r="AK36" s="1207">
        <f>IF(AJ36="","",'Phase 16'!AE45)</f>
        <v>114</v>
      </c>
      <c r="AL36" s="1225">
        <f>E17RateG1Total</f>
        <v>1</v>
      </c>
      <c r="AM36" s="1207">
        <f>IF(AL36="","",'Phase 17'!AE44)</f>
        <v>57</v>
      </c>
      <c r="AN36" s="1225">
        <f>E18RateG1Total</f>
        <v>1</v>
      </c>
      <c r="AO36" s="1207">
        <f>IF(AN36="","",'Phase 18'!AE44)</f>
        <v>57</v>
      </c>
      <c r="AP36" s="1225">
        <f>E19RateG1Total</f>
        <v>1</v>
      </c>
      <c r="AQ36" s="1207">
        <f>IF(AP36="","",'Phase 19'!AE44)</f>
        <v>57</v>
      </c>
      <c r="AR36" s="1555">
        <f>E20RateG1Total</f>
        <v>0</v>
      </c>
      <c r="AS36" s="1207" t="str">
        <f>IF(AR36="","",'Phase 20'!AE44)</f>
        <v/>
      </c>
      <c r="AT36" s="1009" cm="1">
        <f t="array" aca="1" ref="AT36" ca="1">SUM(_xlfn._xlws.FILTER(INDEX(DynamicBudgetDetailRange, 1, _xlfn.SEQUENCE(1, COLUMNS(DynamicBudgetDetailRange), 1, 2)), ISNUMBER(INDEX(DynamicBudgetDetailRange, 1, _xlfn.SEQUENCE(1, COLUMNS(DynamicBudgetDetailRange), 1, 2)))))</f>
        <v>20</v>
      </c>
      <c r="AU36" s="80" cm="1">
        <f t="array" aca="1" ref="AU36" ca="1">IFERROR(SUM(_xlfn._xlws.FILTER(INDEX(DynamicTotalAmount, 1, _xlfn.SEQUENCE(1, COLUMNS(DynamicTotalAmount), 1, 2)), ISNUMBER(INDEX(DynamicTotalAmount, 1, _xlfn.SEQUENCE(1, COLUMNS(DynamicTotalAmount), 1, 2))))),0)</f>
        <v>1140</v>
      </c>
      <c r="AV36" s="418">
        <f t="shared" ca="1" si="19"/>
        <v>3.1033189183802738</v>
      </c>
      <c r="AW36" s="420">
        <f t="shared" ca="1" si="20"/>
        <v>0.2040779356028368</v>
      </c>
      <c r="AX36" s="901">
        <f>IFERROR(E1DirectLaborAE48,0)</f>
        <v>367.34864510638312</v>
      </c>
      <c r="AY36" s="901">
        <f>IFERROR(E1OverheadAE49,0)</f>
        <v>540.00250830638299</v>
      </c>
      <c r="AZ36" s="908">
        <f t="shared" ca="1" si="21"/>
        <v>232.64884658723395</v>
      </c>
      <c r="BA36" s="908"/>
      <c r="BB36" s="909" t="str">
        <f>CodeG1</f>
        <v>EV01</v>
      </c>
      <c r="BC36" s="910">
        <f t="shared" si="22"/>
        <v>1</v>
      </c>
      <c r="BD36" s="910">
        <f t="shared" si="10"/>
        <v>1</v>
      </c>
      <c r="BE36" s="910">
        <f t="shared" si="11"/>
        <v>1</v>
      </c>
      <c r="BF36" s="910">
        <f t="shared" si="12"/>
        <v>1</v>
      </c>
      <c r="BG36" s="910">
        <f t="shared" si="13"/>
        <v>1</v>
      </c>
      <c r="BH36" s="910">
        <f t="shared" si="14"/>
        <v>1</v>
      </c>
      <c r="BI36" s="910">
        <f t="shared" si="15"/>
        <v>1</v>
      </c>
      <c r="BJ36" s="910">
        <f t="shared" si="16"/>
        <v>1</v>
      </c>
      <c r="BK36" s="910">
        <f t="shared" si="17"/>
        <v>1</v>
      </c>
      <c r="BL36" s="910">
        <f t="shared" si="32"/>
        <v>1</v>
      </c>
      <c r="BM36" s="910">
        <f>CH36+DC36</f>
        <v>1</v>
      </c>
      <c r="BN36" s="910">
        <f t="shared" si="36"/>
        <v>1</v>
      </c>
      <c r="BO36" s="910">
        <f t="shared" si="24"/>
        <v>1</v>
      </c>
      <c r="BP36" s="910">
        <f t="shared" si="33"/>
        <v>1</v>
      </c>
      <c r="BQ36" s="910">
        <f t="shared" si="25"/>
        <v>1</v>
      </c>
      <c r="BR36" s="910">
        <f t="shared" si="26"/>
        <v>2</v>
      </c>
      <c r="BS36" s="910">
        <f t="shared" si="27"/>
        <v>1</v>
      </c>
      <c r="BT36" s="910">
        <f t="shared" si="34"/>
        <v>1</v>
      </c>
      <c r="BU36" s="910">
        <f>CP36+DK36</f>
        <v>1</v>
      </c>
      <c r="BV36" s="910">
        <f t="shared" si="29"/>
        <v>0</v>
      </c>
      <c r="BW36" s="909" t="str">
        <f>CodeG1</f>
        <v>EV01</v>
      </c>
      <c r="BX36" s="910">
        <f>_xlfn.SINGLE(E1BASEG1)</f>
        <v>1</v>
      </c>
      <c r="BY36" s="910">
        <f>_xlfn.SINGLE(E2BASEG1)</f>
        <v>1</v>
      </c>
      <c r="BZ36" s="910">
        <f>_xlfn.SINGLE(E3BASEG1)</f>
        <v>1</v>
      </c>
      <c r="CA36" s="910">
        <f>_xlfn.SINGLE(E4BASEG1)</f>
        <v>1</v>
      </c>
      <c r="CB36" s="910">
        <f>_xlfn.SINGLE(E5BASEG1)</f>
        <v>1</v>
      </c>
      <c r="CC36" s="910">
        <f>_xlfn.SINGLE(E6BASEG1)</f>
        <v>1</v>
      </c>
      <c r="CD36" s="910">
        <f>_xlfn.SINGLE(E7BASEG1)</f>
        <v>1</v>
      </c>
      <c r="CE36" s="910">
        <f>_xlfn.SINGLE(E8BASEG1)</f>
        <v>1</v>
      </c>
      <c r="CF36" s="910">
        <f>_xlfn.SINGLE(E9BASEG1)</f>
        <v>1</v>
      </c>
      <c r="CG36" s="910">
        <f>_xlfn.SINGLE(E10BASEG1)</f>
        <v>1</v>
      </c>
      <c r="CH36" s="910">
        <f>E11BASEG1</f>
        <v>1</v>
      </c>
      <c r="CI36" s="910">
        <f>E12BASEG1</f>
        <v>1</v>
      </c>
      <c r="CJ36" s="910">
        <f>E13BASEG1</f>
        <v>1</v>
      </c>
      <c r="CK36" s="910">
        <f>E14BASEG1</f>
        <v>1</v>
      </c>
      <c r="CL36" s="910">
        <f>E15BASEG1</f>
        <v>1</v>
      </c>
      <c r="CM36" s="910">
        <f>E16BASEG1</f>
        <v>2</v>
      </c>
      <c r="CN36" s="910">
        <f>E17BASEG1</f>
        <v>1</v>
      </c>
      <c r="CO36" s="910">
        <f>E18BASEG1</f>
        <v>1</v>
      </c>
      <c r="CP36" s="910">
        <f>E19BASEG1</f>
        <v>1</v>
      </c>
      <c r="CQ36" s="910">
        <f>E20BASEG1</f>
        <v>0</v>
      </c>
      <c r="CR36" s="909" t="str">
        <f>CodeG1</f>
        <v>EV01</v>
      </c>
      <c r="CS36" s="910"/>
      <c r="CT36" s="910"/>
      <c r="CU36" s="910"/>
      <c r="CV36" s="910"/>
      <c r="CW36" s="910"/>
      <c r="CX36" s="910"/>
      <c r="CY36" s="910"/>
      <c r="CZ36" s="910"/>
      <c r="DA36" s="910"/>
      <c r="DB36" s="910"/>
      <c r="DC36" s="910"/>
      <c r="DD36" s="910"/>
      <c r="DE36" s="910"/>
      <c r="DF36" s="910"/>
      <c r="DG36" s="910"/>
      <c r="DH36" s="910"/>
      <c r="DI36" s="910"/>
      <c r="DJ36" s="910"/>
      <c r="DK36" s="910"/>
      <c r="DL36" s="910"/>
    </row>
    <row r="37" spans="1:116" ht="13.9" customHeight="1" x14ac:dyDescent="0.2">
      <c r="A37" s="1378"/>
      <c r="B37" s="21"/>
      <c r="C37" s="17"/>
      <c r="D37" s="1370"/>
      <c r="E37" s="1371"/>
      <c r="F37" s="20" t="s">
        <v>28</v>
      </c>
      <c r="G37" s="84" t="s">
        <v>28</v>
      </c>
      <c r="H37" s="20" t="s">
        <v>28</v>
      </c>
      <c r="I37" s="84" t="s">
        <v>28</v>
      </c>
      <c r="J37" s="20" t="s">
        <v>28</v>
      </c>
      <c r="K37" s="84" t="s">
        <v>28</v>
      </c>
      <c r="L37" s="20" t="s">
        <v>28</v>
      </c>
      <c r="M37" s="84" t="s">
        <v>28</v>
      </c>
      <c r="N37" s="20" t="s">
        <v>28</v>
      </c>
      <c r="O37" s="84" t="s">
        <v>28</v>
      </c>
      <c r="P37" s="20" t="s">
        <v>28</v>
      </c>
      <c r="Q37" s="84" t="s">
        <v>28</v>
      </c>
      <c r="R37" s="20" t="s">
        <v>28</v>
      </c>
      <c r="S37" s="84" t="s">
        <v>28</v>
      </c>
      <c r="T37" s="20" t="s">
        <v>28</v>
      </c>
      <c r="U37" s="84" t="s">
        <v>28</v>
      </c>
      <c r="V37" s="20" t="s">
        <v>28</v>
      </c>
      <c r="W37" s="84" t="s">
        <v>28</v>
      </c>
      <c r="X37" s="20" t="s">
        <v>28</v>
      </c>
      <c r="Y37" s="84" t="s">
        <v>28</v>
      </c>
      <c r="Z37" s="136" t="s">
        <v>28</v>
      </c>
      <c r="AA37" s="1208" t="s">
        <v>28</v>
      </c>
      <c r="AB37" s="136" t="s">
        <v>28</v>
      </c>
      <c r="AC37" s="1208" t="s">
        <v>28</v>
      </c>
      <c r="AD37" s="136" t="s">
        <v>28</v>
      </c>
      <c r="AE37" s="1208" t="s">
        <v>28</v>
      </c>
      <c r="AF37" s="136" t="s">
        <v>28</v>
      </c>
      <c r="AG37" s="1208" t="s">
        <v>28</v>
      </c>
      <c r="AH37" s="136" t="s">
        <v>28</v>
      </c>
      <c r="AI37" s="1208" t="s">
        <v>28</v>
      </c>
      <c r="AJ37" s="136" t="s">
        <v>28</v>
      </c>
      <c r="AK37" s="1208" t="s">
        <v>28</v>
      </c>
      <c r="AL37" s="136" t="s">
        <v>28</v>
      </c>
      <c r="AM37" s="1208" t="s">
        <v>28</v>
      </c>
      <c r="AN37" s="136" t="s">
        <v>28</v>
      </c>
      <c r="AO37" s="1208" t="s">
        <v>28</v>
      </c>
      <c r="AP37" s="136" t="s">
        <v>28</v>
      </c>
      <c r="AQ37" s="1208" t="s">
        <v>28</v>
      </c>
      <c r="AR37" s="1551" t="s">
        <v>28</v>
      </c>
      <c r="AS37" s="1208" t="s">
        <v>28</v>
      </c>
      <c r="AT37" s="1010" t="s">
        <v>28</v>
      </c>
      <c r="AU37" s="84" t="s">
        <v>28</v>
      </c>
      <c r="BB37" s="911"/>
      <c r="BC37" s="910"/>
      <c r="BD37" s="910"/>
      <c r="BE37" s="910"/>
      <c r="BF37" s="910"/>
      <c r="BG37" s="910"/>
      <c r="BH37" s="910"/>
      <c r="BI37" s="910"/>
      <c r="BJ37" s="910"/>
      <c r="BK37" s="910"/>
      <c r="BL37" s="910"/>
      <c r="BM37" s="910"/>
      <c r="BN37" s="910"/>
      <c r="BO37" s="910"/>
      <c r="BP37" s="910"/>
      <c r="BQ37" s="910"/>
      <c r="BR37" s="910"/>
      <c r="BS37" s="910"/>
      <c r="BT37" s="910"/>
      <c r="BU37" s="910"/>
      <c r="BV37" s="910"/>
      <c r="BW37" s="912"/>
      <c r="BX37" s="910"/>
      <c r="BY37" s="910"/>
      <c r="BZ37" s="910"/>
      <c r="CA37" s="910"/>
      <c r="CB37" s="910"/>
      <c r="CC37" s="910"/>
      <c r="CD37" s="910"/>
      <c r="CE37" s="910"/>
      <c r="CF37" s="910"/>
      <c r="CG37" s="910"/>
      <c r="CH37" s="910"/>
      <c r="CI37" s="910"/>
      <c r="CJ37" s="910"/>
      <c r="CK37" s="910"/>
      <c r="CL37" s="910"/>
      <c r="CM37" s="910"/>
      <c r="CN37" s="910"/>
      <c r="CO37" s="910"/>
      <c r="CP37" s="910"/>
      <c r="CQ37" s="910"/>
      <c r="CR37" s="912"/>
      <c r="CS37" s="910"/>
      <c r="CT37" s="910"/>
      <c r="CU37" s="910"/>
      <c r="CV37" s="910"/>
      <c r="CW37" s="910"/>
      <c r="CX37" s="910"/>
    </row>
    <row r="38" spans="1:116" ht="13.9" customHeight="1" x14ac:dyDescent="0.2">
      <c r="A38" s="1378"/>
      <c r="B38" s="17"/>
      <c r="C38" s="17"/>
      <c r="D38" s="1383" t="s">
        <v>740</v>
      </c>
      <c r="E38" s="1384"/>
      <c r="F38" s="22">
        <f>IF(SUM(F9:F36)=0,"",SUM(F9:F36))</f>
        <v>30</v>
      </c>
      <c r="G38" s="80">
        <f>SUM(G9:G36)</f>
        <v>5598</v>
      </c>
      <c r="H38" s="22">
        <f>IF(SUM(H9:H36)=0,"",SUM(H9:H36))</f>
        <v>28</v>
      </c>
      <c r="I38" s="80">
        <f>SUM(I9:I36)</f>
        <v>4872</v>
      </c>
      <c r="J38" s="22">
        <f>IF(SUM(J9:J36)=0,"",SUM(J9:J36))</f>
        <v>28</v>
      </c>
      <c r="K38" s="80">
        <f>SUM(K9:K36)</f>
        <v>4872</v>
      </c>
      <c r="L38" s="22">
        <f>IF(SUM(L9:L36)=0,"",SUM(L9:L36))</f>
        <v>28</v>
      </c>
      <c r="M38" s="80">
        <f>SUM(M9:M36)</f>
        <v>4872</v>
      </c>
      <c r="N38" s="22">
        <f>IF(SUM(N9:N36)=0,"",SUM(N9:N36))</f>
        <v>28</v>
      </c>
      <c r="O38" s="80">
        <f>SUM(O9:O36)</f>
        <v>4872</v>
      </c>
      <c r="P38" s="22">
        <f>IF(SUM(P9:P36)=0,"",SUM(P9:P36))</f>
        <v>28</v>
      </c>
      <c r="Q38" s="80">
        <f>SUM(Q9:Q36)</f>
        <v>4872</v>
      </c>
      <c r="R38" s="22">
        <f>IF(SUM(R9:R36)=0,"",SUM(R9:R36))</f>
        <v>28</v>
      </c>
      <c r="S38" s="80">
        <f>SUM(S9:S36)</f>
        <v>4872</v>
      </c>
      <c r="T38" s="22">
        <f>IF(SUM(T9:T36)=0,"",SUM(T9:T36))</f>
        <v>28</v>
      </c>
      <c r="U38" s="80">
        <f>SUM(U9:U36)</f>
        <v>4872</v>
      </c>
      <c r="V38" s="22">
        <f>IF(SUM(V9:V36)=0,"",SUM(V9:V36))</f>
        <v>28</v>
      </c>
      <c r="W38" s="80">
        <f>SUM(W9:W36)</f>
        <v>4872</v>
      </c>
      <c r="X38" s="22">
        <f>IF(SUM(X9:X36)=0,"",SUM(X9:X36))</f>
        <v>28</v>
      </c>
      <c r="Y38" s="80">
        <f>SUM(Y9:Y36)</f>
        <v>4872</v>
      </c>
      <c r="Z38" s="1224">
        <f>IF(SUM(Z9:Z36)=0,"",SUM(Z9:Z36))</f>
        <v>28</v>
      </c>
      <c r="AA38" s="1207">
        <f>SUM(AA9:AA36)</f>
        <v>4872</v>
      </c>
      <c r="AB38" s="1224">
        <f>IF(SUM(AB9:AB36)=0,"",SUM(AB9:AB36))</f>
        <v>28</v>
      </c>
      <c r="AC38" s="1207">
        <f>SUM(AC9:AC36)</f>
        <v>4872</v>
      </c>
      <c r="AD38" s="1224">
        <f>IF(SUM(AD9:AD36)=0,"",SUM(AD9:AD36))</f>
        <v>28</v>
      </c>
      <c r="AE38" s="1207">
        <f>SUM(AE9:AE36)</f>
        <v>4872</v>
      </c>
      <c r="AF38" s="1224">
        <f>IF(SUM(AF9:AF36)=0,"",SUM(AF9:AF36))</f>
        <v>28</v>
      </c>
      <c r="AG38" s="1207">
        <f>SUM(AG9:AG36)</f>
        <v>4872</v>
      </c>
      <c r="AH38" s="1224">
        <f>IF(SUM(AH9:AH36)=0,"",SUM(AH9:AH36))</f>
        <v>28</v>
      </c>
      <c r="AI38" s="1207">
        <f>SUM(AI9:AI36)</f>
        <v>4872</v>
      </c>
      <c r="AJ38" s="1224">
        <f>IF(SUM(AJ9:AJ36)=0,"",SUM(AJ9:AJ36))</f>
        <v>46</v>
      </c>
      <c r="AK38" s="1207">
        <f>SUM(AK9:AK36)</f>
        <v>7978</v>
      </c>
      <c r="AL38" s="1224">
        <f>IF(SUM(AL9:AL36)=0,"",SUM(AL9:AL36))</f>
        <v>28</v>
      </c>
      <c r="AM38" s="1207">
        <f>SUM(AM9:AM36)</f>
        <v>4872</v>
      </c>
      <c r="AN38" s="1224">
        <f>IF(SUM(AN9:AN36)=0,"",SUM(AN9:AN36))</f>
        <v>28</v>
      </c>
      <c r="AO38" s="1207">
        <f>SUM(AO9:AO36)</f>
        <v>4872</v>
      </c>
      <c r="AP38" s="1224">
        <f>IF(SUM(AP9:AP36)=0,"",SUM(AP9:AP36))</f>
        <v>28</v>
      </c>
      <c r="AQ38" s="1207">
        <f>SUM(AQ9:AQ36)</f>
        <v>4872</v>
      </c>
      <c r="AR38" s="1554">
        <f>IF(SUM(AR9:AR36)=0,"",SUM(AR9:AR36))</f>
        <v>8</v>
      </c>
      <c r="AS38" s="1207">
        <f>SUM(AS9:AS36)</f>
        <v>2161</v>
      </c>
      <c r="AT38" s="1009">
        <f ca="1">SUM(AT9:AT36)</f>
        <v>560</v>
      </c>
      <c r="AU38" s="80">
        <f ca="1">SUM(AU9:AU36)</f>
        <v>98561</v>
      </c>
      <c r="AV38" s="418">
        <f t="shared" ca="1" si="19"/>
        <v>3.402272237141426</v>
      </c>
      <c r="AW38" s="420">
        <f ca="1">IF(AU38=0,"",AZ38/AU38)</f>
        <v>0.2740145914733495</v>
      </c>
      <c r="AX38" s="901">
        <f>SUM(AX9:AX37)</f>
        <v>28969.169169957579</v>
      </c>
      <c r="AY38" s="901">
        <f>SUM(AY9:AY37)</f>
        <v>42584.678679837627</v>
      </c>
      <c r="AZ38" s="901">
        <f ca="1">SUM(AZ9:AZ37)</f>
        <v>27007.152150204802</v>
      </c>
    </row>
    <row r="39" spans="1:116" ht="13.9" customHeight="1" x14ac:dyDescent="0.2">
      <c r="A39" s="620"/>
      <c r="B39" s="17"/>
      <c r="C39" s="17"/>
      <c r="D39" s="540" t="s">
        <v>741</v>
      </c>
      <c r="E39" s="626">
        <f>IF(ISBLANK(UserSurchargeRate),Surcharge,UserSurchargeRate)</f>
        <v>0.06</v>
      </c>
      <c r="F39" s="22"/>
      <c r="G39" s="80">
        <f>G38*$E$39</f>
        <v>335.88</v>
      </c>
      <c r="H39" s="22"/>
      <c r="I39" s="80">
        <f>I38*$E$39</f>
        <v>292.32</v>
      </c>
      <c r="J39" s="22"/>
      <c r="K39" s="80">
        <f>K38*$E$39</f>
        <v>292.32</v>
      </c>
      <c r="L39" s="22"/>
      <c r="M39" s="80">
        <f>M38*$E$39</f>
        <v>292.32</v>
      </c>
      <c r="N39" s="22"/>
      <c r="O39" s="80">
        <f>O38*$E$39</f>
        <v>292.32</v>
      </c>
      <c r="P39" s="22"/>
      <c r="Q39" s="80">
        <f>Q38*$E$39</f>
        <v>292.32</v>
      </c>
      <c r="R39" s="22"/>
      <c r="S39" s="80">
        <f>S38*$E$39</f>
        <v>292.32</v>
      </c>
      <c r="T39" s="22"/>
      <c r="U39" s="80">
        <f>U38*$E$39</f>
        <v>292.32</v>
      </c>
      <c r="V39" s="22"/>
      <c r="W39" s="80">
        <f>W38*$E$39</f>
        <v>292.32</v>
      </c>
      <c r="X39" s="22"/>
      <c r="Y39" s="80">
        <f>Y38*$E$39</f>
        <v>292.32</v>
      </c>
      <c r="Z39" s="1027"/>
      <c r="AA39" s="1207">
        <f>AA38*$E$39</f>
        <v>292.32</v>
      </c>
      <c r="AB39" s="1027"/>
      <c r="AC39" s="1207">
        <f>AC38*$E$39</f>
        <v>292.32</v>
      </c>
      <c r="AD39" s="1027"/>
      <c r="AE39" s="1207">
        <f>AE38*$E$39</f>
        <v>292.32</v>
      </c>
      <c r="AF39" s="1027"/>
      <c r="AG39" s="1207">
        <f>AG38*$E$39</f>
        <v>292.32</v>
      </c>
      <c r="AH39" s="1027"/>
      <c r="AI39" s="1207">
        <f>AI38*$E$39</f>
        <v>292.32</v>
      </c>
      <c r="AJ39" s="1027"/>
      <c r="AK39" s="1207">
        <f>AK38*$E$39</f>
        <v>478.68</v>
      </c>
      <c r="AL39" s="1027"/>
      <c r="AM39" s="1207">
        <f>AM38*$E$39</f>
        <v>292.32</v>
      </c>
      <c r="AN39" s="1027"/>
      <c r="AO39" s="1207">
        <f>AO38*$E$39</f>
        <v>292.32</v>
      </c>
      <c r="AP39" s="1027"/>
      <c r="AQ39" s="1207">
        <f>AQ38*$E$39</f>
        <v>292.32</v>
      </c>
      <c r="AR39" s="1550"/>
      <c r="AS39" s="1207">
        <f>AS38*$E$39</f>
        <v>129.66</v>
      </c>
      <c r="AT39" s="134"/>
      <c r="AU39" s="80">
        <f ca="1">AU38*$E$39</f>
        <v>5913.66</v>
      </c>
      <c r="AV39" s="418"/>
      <c r="AW39" s="420"/>
      <c r="AX39" s="901">
        <v>0</v>
      </c>
      <c r="AY39" s="901">
        <v>0</v>
      </c>
      <c r="AZ39" s="908">
        <f ca="1">AU39-(AX39+AY39)</f>
        <v>5913.66</v>
      </c>
    </row>
    <row r="40" spans="1:116" ht="13.9" customHeight="1" x14ac:dyDescent="0.2">
      <c r="A40" s="620"/>
      <c r="B40" s="17"/>
      <c r="C40" s="17"/>
      <c r="D40" s="624"/>
      <c r="E40" s="627" t="s">
        <v>742</v>
      </c>
      <c r="F40" s="22"/>
      <c r="G40" s="80">
        <f>G38+G39</f>
        <v>5933.88</v>
      </c>
      <c r="H40" s="22"/>
      <c r="I40" s="80">
        <f>I38+I39</f>
        <v>5164.32</v>
      </c>
      <c r="J40" s="22"/>
      <c r="K40" s="80">
        <f>K38+K39</f>
        <v>5164.32</v>
      </c>
      <c r="L40" s="22"/>
      <c r="M40" s="80">
        <f>M38+M39</f>
        <v>5164.32</v>
      </c>
      <c r="N40" s="22"/>
      <c r="O40" s="80">
        <f>O38+O39</f>
        <v>5164.32</v>
      </c>
      <c r="P40" s="22"/>
      <c r="Q40" s="80">
        <f>Q38+Q39</f>
        <v>5164.32</v>
      </c>
      <c r="R40" s="22"/>
      <c r="S40" s="80">
        <f>S38+S39</f>
        <v>5164.32</v>
      </c>
      <c r="T40" s="22"/>
      <c r="U40" s="80">
        <f>U38+U39</f>
        <v>5164.32</v>
      </c>
      <c r="V40" s="22"/>
      <c r="W40" s="80">
        <f>W38+W39</f>
        <v>5164.32</v>
      </c>
      <c r="X40" s="22"/>
      <c r="Y40" s="80">
        <f>Y38+Y39</f>
        <v>5164.32</v>
      </c>
      <c r="Z40" s="1027"/>
      <c r="AA40" s="1207">
        <f>AA38+AA39</f>
        <v>5164.32</v>
      </c>
      <c r="AB40" s="1027"/>
      <c r="AC40" s="1207">
        <f>AC38+AC39</f>
        <v>5164.32</v>
      </c>
      <c r="AD40" s="1027"/>
      <c r="AE40" s="1207">
        <f>AE38+AE39</f>
        <v>5164.32</v>
      </c>
      <c r="AF40" s="1027"/>
      <c r="AG40" s="1207">
        <f>AG38+AG39</f>
        <v>5164.32</v>
      </c>
      <c r="AH40" s="1027"/>
      <c r="AI40" s="1207">
        <f>AI38+AI39</f>
        <v>5164.32</v>
      </c>
      <c r="AJ40" s="1027"/>
      <c r="AK40" s="1207">
        <f>AK38+AK39</f>
        <v>8456.68</v>
      </c>
      <c r="AL40" s="1027"/>
      <c r="AM40" s="1207">
        <f>AM38+AM39</f>
        <v>5164.32</v>
      </c>
      <c r="AN40" s="1027"/>
      <c r="AO40" s="1207">
        <f>AO38+AO39</f>
        <v>5164.32</v>
      </c>
      <c r="AP40" s="1027"/>
      <c r="AQ40" s="1207">
        <f>AQ38+AQ39</f>
        <v>5164.32</v>
      </c>
      <c r="AR40" s="1550"/>
      <c r="AS40" s="1207">
        <f>AS38+AS39</f>
        <v>2290.66</v>
      </c>
      <c r="AT40" s="1049"/>
      <c r="AU40" s="80">
        <f ca="1">AU38+AU39</f>
        <v>104474.66</v>
      </c>
      <c r="AV40" s="418">
        <f t="shared" ca="1" si="19"/>
        <v>3.6064085713699119</v>
      </c>
      <c r="AW40" s="420">
        <f ca="1">IF(AU40=0,"",AZ40/AU40)</f>
        <v>0.31510810516353727</v>
      </c>
      <c r="AX40" s="901">
        <f>AX38</f>
        <v>28969.169169957579</v>
      </c>
      <c r="AZ40" s="901">
        <f ca="1">AZ38+AZ39</f>
        <v>32920.812150204802</v>
      </c>
    </row>
    <row r="41" spans="1:116" ht="13.9" customHeight="1" x14ac:dyDescent="0.2">
      <c r="A41" s="1039"/>
      <c r="B41" s="16"/>
      <c r="C41" s="16"/>
      <c r="D41" s="146" t="s">
        <v>2337</v>
      </c>
      <c r="E41" s="1040">
        <f>IF(ISBLANK(UserTravelMarkupRate),TravelMarkupRate,UserTravelMarkupRate)</f>
        <v>0.15</v>
      </c>
      <c r="F41" s="519"/>
      <c r="G41" s="82"/>
      <c r="H41" s="519"/>
      <c r="I41" s="82"/>
      <c r="J41" s="519"/>
      <c r="K41" s="82"/>
      <c r="L41" s="519"/>
      <c r="M41" s="82"/>
      <c r="N41" s="519"/>
      <c r="O41" s="82"/>
      <c r="P41" s="519"/>
      <c r="Q41" s="82"/>
      <c r="R41" s="519"/>
      <c r="S41" s="82"/>
      <c r="T41" s="519"/>
      <c r="U41" s="82"/>
      <c r="V41" s="519"/>
      <c r="W41" s="82"/>
      <c r="X41" s="519"/>
      <c r="Y41" s="82"/>
      <c r="Z41" s="1197"/>
      <c r="AA41" s="1206"/>
      <c r="AB41" s="82"/>
      <c r="AC41" s="1206"/>
      <c r="AD41" s="82"/>
      <c r="AE41" s="1206"/>
      <c r="AF41" s="82"/>
      <c r="AG41" s="1206"/>
      <c r="AH41" s="82"/>
      <c r="AI41" s="1206"/>
      <c r="AJ41" s="82"/>
      <c r="AK41" s="1206"/>
      <c r="AL41" s="82"/>
      <c r="AM41" s="1206"/>
      <c r="AN41" s="82"/>
      <c r="AO41" s="1206"/>
      <c r="AP41" s="82"/>
      <c r="AQ41" s="1206"/>
      <c r="AR41" s="82"/>
      <c r="AS41" s="1206"/>
      <c r="AT41" s="520"/>
      <c r="AU41" s="82"/>
      <c r="AV41" s="1041"/>
      <c r="AW41" s="420"/>
    </row>
    <row r="42" spans="1:116" ht="13.9" customHeight="1" x14ac:dyDescent="0.2">
      <c r="A42" s="620"/>
      <c r="B42" s="17"/>
      <c r="C42" s="17"/>
      <c r="D42" s="624" t="str">
        <f>INPUT!A46</f>
        <v xml:space="preserve">    Cons/Sub Markup (%)</v>
      </c>
      <c r="E42" s="1038">
        <f>IF(ISBLANK(UserMarkupRate),Markup,UserMarkupRate)</f>
        <v>0.15</v>
      </c>
      <c r="F42" s="22"/>
      <c r="G42" s="80"/>
      <c r="H42" s="22"/>
      <c r="I42" s="80"/>
      <c r="J42" s="22"/>
      <c r="K42" s="80"/>
      <c r="L42" s="22"/>
      <c r="M42" s="80"/>
      <c r="N42" s="22"/>
      <c r="O42" s="80"/>
      <c r="P42" s="22"/>
      <c r="Q42" s="80"/>
      <c r="R42" s="22"/>
      <c r="S42" s="80"/>
      <c r="T42" s="22"/>
      <c r="U42" s="80"/>
      <c r="V42" s="22"/>
      <c r="W42" s="80"/>
      <c r="X42" s="22"/>
      <c r="Y42" s="1027"/>
      <c r="Z42" s="1198"/>
      <c r="AA42" s="1207"/>
      <c r="AB42" s="1027"/>
      <c r="AC42" s="1207"/>
      <c r="AD42" s="1027"/>
      <c r="AE42" s="1207"/>
      <c r="AF42" s="1027"/>
      <c r="AG42" s="1207"/>
      <c r="AH42" s="1027"/>
      <c r="AI42" s="1207"/>
      <c r="AJ42" s="1027"/>
      <c r="AK42" s="1207"/>
      <c r="AL42" s="1027"/>
      <c r="AM42" s="1207"/>
      <c r="AN42" s="1027"/>
      <c r="AO42" s="1207"/>
      <c r="AP42" s="1027"/>
      <c r="AQ42" s="1207"/>
      <c r="AR42" s="1550"/>
      <c r="AS42" s="1207"/>
      <c r="AT42" s="134"/>
      <c r="AU42" s="80"/>
      <c r="AV42" s="418"/>
      <c r="AW42" s="420"/>
    </row>
    <row r="43" spans="1:116" ht="13.9" customHeight="1" x14ac:dyDescent="0.2">
      <c r="A43" s="521"/>
      <c r="B43" s="145"/>
      <c r="C43" s="145"/>
      <c r="D43" s="619" t="str">
        <f>INPUT!A47</f>
        <v xml:space="preserve">    Expense Markup (%)</v>
      </c>
      <c r="E43" s="524">
        <f>IF(ISBLANK(UserExpMarkupRate),ExpMarkupRate,UserExpMarkupRate)</f>
        <v>0.15</v>
      </c>
      <c r="F43" s="804" t="s">
        <v>1271</v>
      </c>
      <c r="G43" s="522" t="s">
        <v>189</v>
      </c>
      <c r="H43" s="804" t="s">
        <v>1271</v>
      </c>
      <c r="I43" s="84" t="s">
        <v>189</v>
      </c>
      <c r="J43" s="804" t="s">
        <v>1271</v>
      </c>
      <c r="K43" s="84" t="s">
        <v>189</v>
      </c>
      <c r="L43" s="804" t="s">
        <v>1271</v>
      </c>
      <c r="M43" s="84" t="s">
        <v>189</v>
      </c>
      <c r="N43" s="804" t="s">
        <v>1271</v>
      </c>
      <c r="O43" s="84" t="s">
        <v>189</v>
      </c>
      <c r="P43" s="804" t="s">
        <v>1271</v>
      </c>
      <c r="Q43" s="84" t="s">
        <v>189</v>
      </c>
      <c r="R43" s="804" t="s">
        <v>1271</v>
      </c>
      <c r="S43" s="84" t="s">
        <v>189</v>
      </c>
      <c r="T43" s="804" t="s">
        <v>1271</v>
      </c>
      <c r="U43" s="522" t="s">
        <v>189</v>
      </c>
      <c r="V43" s="804" t="s">
        <v>1271</v>
      </c>
      <c r="W43" s="522" t="s">
        <v>189</v>
      </c>
      <c r="X43" s="804" t="s">
        <v>1271</v>
      </c>
      <c r="Y43" s="1054" t="s">
        <v>189</v>
      </c>
      <c r="Z43" s="1199" t="s">
        <v>1271</v>
      </c>
      <c r="AA43" s="1208" t="s">
        <v>189</v>
      </c>
      <c r="AB43" s="136" t="s">
        <v>1271</v>
      </c>
      <c r="AC43" s="1208" t="s">
        <v>189</v>
      </c>
      <c r="AD43" s="136" t="s">
        <v>1271</v>
      </c>
      <c r="AE43" s="1208" t="s">
        <v>189</v>
      </c>
      <c r="AF43" s="136" t="s">
        <v>1271</v>
      </c>
      <c r="AG43" s="1208" t="s">
        <v>189</v>
      </c>
      <c r="AH43" s="136" t="s">
        <v>1271</v>
      </c>
      <c r="AI43" s="1208" t="s">
        <v>189</v>
      </c>
      <c r="AJ43" s="136" t="s">
        <v>1271</v>
      </c>
      <c r="AK43" s="1208" t="s">
        <v>189</v>
      </c>
      <c r="AL43" s="136" t="s">
        <v>1271</v>
      </c>
      <c r="AM43" s="1208" t="s">
        <v>189</v>
      </c>
      <c r="AN43" s="136" t="s">
        <v>1271</v>
      </c>
      <c r="AO43" s="1208" t="s">
        <v>189</v>
      </c>
      <c r="AP43" s="136" t="s">
        <v>1271</v>
      </c>
      <c r="AQ43" s="1208" t="s">
        <v>189</v>
      </c>
      <c r="AR43" s="1551" t="s">
        <v>1271</v>
      </c>
      <c r="AS43" s="1208" t="s">
        <v>189</v>
      </c>
      <c r="AT43" s="523"/>
      <c r="AU43" s="80"/>
    </row>
    <row r="44" spans="1:116" ht="13.9" customHeight="1" x14ac:dyDescent="0.2">
      <c r="A44" s="1377" t="s">
        <v>114</v>
      </c>
      <c r="B44" s="129"/>
      <c r="C44" s="16"/>
      <c r="D44" s="1380" t="s">
        <v>369</v>
      </c>
      <c r="E44" s="1369"/>
      <c r="F44" s="220">
        <f ca="1">IF(ISREF(INDIRECT("'Phase 1'!A1")),E1OVTransfer,"")</f>
        <v>75.405000000000001</v>
      </c>
      <c r="G44" s="156" cm="1">
        <f t="array" aca="1" ref="G44" ca="1">IF(ISREF(INDIRECT("'Phase 1'!A1")), IF($E$41=0, GetCostColumn, IF(ISTEXT($C44), GetCostColumn * $E$41 + GetCostColumn, GetCostColumn)))</f>
        <v>75.405000000000001</v>
      </c>
      <c r="H44" s="220">
        <f ca="1">IF(ISREF(INDIRECT("'Phase 2'!A1")),E2OVTransfer,"")</f>
        <v>75.405000000000001</v>
      </c>
      <c r="I44" s="156" cm="1">
        <f t="array" aca="1" ref="I44" ca="1">IF(ISREF(INDIRECT("'Phase 2'!A1")),IF($E$41=0,GetCostColumn,IF(($C44),GetCostColumn *$E$41+GetCostColumn,GetCostColumn )))</f>
        <v>75.405000000000001</v>
      </c>
      <c r="J44" s="220">
        <f ca="1">IF(ISREF(INDIRECT("'Phase 3'!A1")),E3OVTransfer,"")</f>
        <v>75.405000000000001</v>
      </c>
      <c r="K44" s="156" cm="1">
        <f t="array" aca="1" ref="K44" ca="1">IF(ISREF(INDIRECT("'Phase 3'!A1")),IF($E$41=0,GetCostColumn,IF(ISTEXT($C44),GetCostColumn *$E$41+GetCostColumn,GetCostColumn )))</f>
        <v>75.405000000000001</v>
      </c>
      <c r="L44" s="220">
        <f ca="1">IF(ISREF(INDIRECT("'Phase 4'!A1")),E4OVTransfer,"")</f>
        <v>75.405000000000001</v>
      </c>
      <c r="M44" s="156" cm="1">
        <f t="array" aca="1" ref="M44" ca="1">IF(ISREF(INDIRECT("'Phase 4'!A1")),IF($E$41=0,GetCostColumn,IF(ISTEXT($C44),GetCostColumn *$E$41+GetCostColumn,GetCostColumn )))</f>
        <v>75.405000000000001</v>
      </c>
      <c r="N44" s="220">
        <f ca="1">IF(ISREF(INDIRECT("'Phase 5'!A1")),E5OVTransfer,"")</f>
        <v>75.405000000000001</v>
      </c>
      <c r="O44" s="156" cm="1">
        <f t="array" aca="1" ref="O44" ca="1">IF(ISREF(INDIRECT("'Phase 5'!A1")),IF($E$41=0,GetCostColumn,IF(ISTEXT($C44),GetCostColumn *$E$41+GetCostColumn,GetCostColumn )))</f>
        <v>75.405000000000001</v>
      </c>
      <c r="P44" s="220">
        <f ca="1">IF(ISREF(INDIRECT("'Phase 6'!A1")),E6OVTransfer,"")</f>
        <v>75.405000000000001</v>
      </c>
      <c r="Q44" s="156" cm="1">
        <f t="array" aca="1" ref="Q44" ca="1">IF(ISREF(INDIRECT("'Phase 6'!A1")),IF($E$41=0,GetCostColumn,IF(ISTEXT($C44),GetCostColumn *$E$41+GetCostColumn,GetCostColumn )))</f>
        <v>75.405000000000001</v>
      </c>
      <c r="R44" s="220">
        <f ca="1">IF(ISREF(INDIRECT("'Phase 7'!A1")),E7OVTransfer,"")</f>
        <v>75.405000000000001</v>
      </c>
      <c r="S44" s="156" cm="1">
        <f t="array" aca="1" ref="S44" ca="1">IF(ISREF(INDIRECT("'Phase 7'!A1")),IF($E$41=0,GetCostColumn,IF(ISTEXT($C44),GetCostColumn *$E$41+GetCostColumn,GetCostColumn )))</f>
        <v>75.405000000000001</v>
      </c>
      <c r="T44" s="220">
        <f ca="1">IF(ISREF(INDIRECT("'Phase 8'!A1")),E8OVTransfer,"")</f>
        <v>118.905</v>
      </c>
      <c r="U44" s="156" cm="1">
        <f t="array" aca="1" ref="U44" ca="1">IF(ISREF(INDIRECT("'Phase 8'!A1")),IF($E$41=0,GetCostColumn,IF(ISTEXT($C44),GetCostColumn *$E$41+GetCostColumn,GetCostColumn )))</f>
        <v>118.905</v>
      </c>
      <c r="V44" s="220">
        <f ca="1">IF(ISREF(INDIRECT("'Phase 9'!A1")),E9OVTransfer,"")</f>
        <v>75.405000000000001</v>
      </c>
      <c r="W44" s="156" cm="1">
        <f t="array" aca="1" ref="W44" ca="1">IF(ISREF(INDIRECT("'Phase 9'!A1")),IF($E$41=0,GetCostColumn,IF(ISTEXT($C44),GetCostColumn *$E$41+GetCostColumn,GetCostColumn )))</f>
        <v>75.405000000000001</v>
      </c>
      <c r="X44" s="220">
        <f ca="1">IF(ISREF(INDIRECT("'Phase 10'!A1")),E10OVTransfer,"")</f>
        <v>75.405000000000001</v>
      </c>
      <c r="Y44" s="1000" cm="1">
        <f t="array" aca="1" ref="Y44" ca="1">IF(ISREF(INDIRECT("'Phase 10'!A1")),IF($E$41=0,GetCostColumn,IF(ISTEXT($C44),GetCostColumn *$E$41+GetCostColumn,GetCostColumn )))</f>
        <v>75.405000000000001</v>
      </c>
      <c r="Z44" s="1200">
        <f>E11OVTransfer</f>
        <v>75.405000000000001</v>
      </c>
      <c r="AA44" s="1209">
        <f ca="1">IF($E$41=0,GetCostColumn,IF(ISTEXT($C44),GetCostColumn *$E$41+GetCostColumn,GetCostColumn ))</f>
        <v>75.405000000000001</v>
      </c>
      <c r="AB44" s="1196">
        <f>E12OVTransfer</f>
        <v>75.405000000000001</v>
      </c>
      <c r="AC44" s="1209">
        <f ca="1">IF($E$41=0,GetCostColumn,IF(ISTEXT($C44),GetCostColumn *$E$41+GetCostColumn,GetCostColumn ))</f>
        <v>75.405000000000001</v>
      </c>
      <c r="AD44" s="1196">
        <f>E13OVTransfer</f>
        <v>75.405000000000001</v>
      </c>
      <c r="AE44" s="1209">
        <f ca="1">IF($E$41=0,GetCostColumn,IF(ISTEXT($C44),GetCostColumn *$E$41+GetCostColumn,GetCostColumn ))</f>
        <v>75.405000000000001</v>
      </c>
      <c r="AF44" s="1196">
        <f>E14OVTransfer</f>
        <v>75.405000000000001</v>
      </c>
      <c r="AG44" s="1209">
        <f ca="1">IF($E$41=0,GetCostColumn,IF(ISTEXT($C44),GetCostColumn *$E$41+GetCostColumn,GetCostColumn ))</f>
        <v>75.405000000000001</v>
      </c>
      <c r="AH44" s="1196">
        <f>E15OVTransfer</f>
        <v>75.405000000000001</v>
      </c>
      <c r="AI44" s="1209">
        <f ca="1">IF($E$41=0,GetCostColumn,IF(ISTEXT($C44),GetCostColumn *$E$41+GetCostColumn,GetCostColumn ))</f>
        <v>75.405000000000001</v>
      </c>
      <c r="AJ44" s="1196">
        <f>E16OVTransfer</f>
        <v>71.155000000000001</v>
      </c>
      <c r="AK44" s="1209">
        <f ca="1">IF($E$41=0,GetCostColumn,IF(ISTEXT($C44),GetCostColumn *$E$41+GetCostColumn,GetCostColumn ))</f>
        <v>71.155000000000001</v>
      </c>
      <c r="AL44" s="1196">
        <f>E17OVTransfer</f>
        <v>75.405000000000001</v>
      </c>
      <c r="AM44" s="1209">
        <f ca="1">IF($E$41=0,GetCostColumn,IF(ISTEXT($C44),GetCostColumn *$E$41+GetCostColumn,GetCostColumn ))</f>
        <v>75.405000000000001</v>
      </c>
      <c r="AN44" s="1196">
        <f>E18OVTransfer</f>
        <v>75.405000000000001</v>
      </c>
      <c r="AO44" s="1209">
        <f ca="1">IF($E$41=0,GetCostColumn,IF(ISTEXT($C44),GetCostColumn *$E$41+GetCostColumn,GetCostColumn ))</f>
        <v>75.405000000000001</v>
      </c>
      <c r="AP44" s="1196">
        <f>E19OVTransfer</f>
        <v>75.405000000000001</v>
      </c>
      <c r="AQ44" s="1209">
        <f ca="1">IF($E$41=0,GetCostColumn,IF(ISTEXT($C44),GetCostColumn *$E$41+GetCostColumn,GetCostColumn ))</f>
        <v>75.405000000000001</v>
      </c>
      <c r="AR44" s="1196">
        <f>E20OVTransfer</f>
        <v>75.405000000000001</v>
      </c>
      <c r="AS44" s="1209">
        <f ca="1">IF($E$41=0,GetCostColumn,IF(ISTEXT($C44),GetCostColumn *$E$41+GetCostColumn,GetCostColumn ))</f>
        <v>75.405000000000001</v>
      </c>
      <c r="AT44" s="127"/>
      <c r="AU44" s="79" cm="1">
        <f t="array" aca="1" ref="AU44" ca="1">IFERROR(SUM(_xlfn._xlws.FILTER(INDEX(DynamicTotalAmount, 1, _xlfn.SEQUENCE(1, COLUMNS(DynamicTotalAmount), 1, 2)), ISNUMBER(INDEX(DynamicTotalAmount, 1, _xlfn.SEQUENCE(1, COLUMNS(DynamicTotalAmount), 1, 2))))),0)</f>
        <v>1547.3499999999997</v>
      </c>
    </row>
    <row r="45" spans="1:116" ht="13.9" customHeight="1" x14ac:dyDescent="0.2">
      <c r="A45" s="1378"/>
      <c r="B45" s="128"/>
      <c r="C45" s="17" t="str">
        <f>IF(TravelMarkup="N",NULL,"*")</f>
        <v>*</v>
      </c>
      <c r="D45" s="1374" t="s">
        <v>116</v>
      </c>
      <c r="E45" s="1371"/>
      <c r="F45" s="221">
        <f ca="1">IF(ISREF(INDIRECT("'Phase 1'!A1")),E1RVTransfer,"")</f>
        <v>70</v>
      </c>
      <c r="G45" s="1035" cm="1">
        <f t="array" aca="1" ref="G45" ca="1">IF(ISREF(INDIRECT("'Phase 1'!A1")),IF($E$41=0,GetCostColumn,IF(ISTEXT($C45),GetCostColumn *$E$41+GetCostColumn,GetCostColumn )))</f>
        <v>80.5</v>
      </c>
      <c r="H45" s="221">
        <f ca="1">IF(ISREF(INDIRECT("'Phase 2'!A1")),E2RVTransfer,"")</f>
        <v>70</v>
      </c>
      <c r="I45" s="1035" cm="1">
        <f t="array" aca="1" ref="I45" ca="1">IF(ISREF(INDIRECT("'Phase 2'!A1")),IF($E$41=0,GetCostColumn,IF(ISTEXT($C45),GetCostColumn *$E$41+GetCostColumn,GetCostColumn )))</f>
        <v>80.5</v>
      </c>
      <c r="J45" s="221">
        <f ca="1">IF(ISREF(INDIRECT("'Phase 3'!A1")),E3RVTransfer,"")</f>
        <v>70</v>
      </c>
      <c r="K45" s="1035" cm="1">
        <f t="array" aca="1" ref="K45" ca="1">IF(ISREF(INDIRECT("'Phase 3'!A1")),IF($E$41=0,GetCostColumn,IF(ISTEXT($C45),GetCostColumn *$E$41+GetCostColumn,GetCostColumn )))</f>
        <v>80.5</v>
      </c>
      <c r="L45" s="221">
        <f ca="1">IF(ISREF(INDIRECT("'Phase 4'!A1")),E4RVTransfer,"")</f>
        <v>70</v>
      </c>
      <c r="M45" s="1035" cm="1">
        <f t="array" aca="1" ref="M45" ca="1">IF(ISREF(INDIRECT("'Phase 4'!A1")),IF($E$41=0,GetCostColumn,IF(ISTEXT($C45),GetCostColumn *$E$41+GetCostColumn,GetCostColumn )))</f>
        <v>80.5</v>
      </c>
      <c r="N45" s="221">
        <f ca="1">IF(ISREF(INDIRECT("'Phase 5'!A1")),E5RVTransfer,"")</f>
        <v>70</v>
      </c>
      <c r="O45" s="1035" cm="1">
        <f t="array" aca="1" ref="O45" ca="1">IF(ISREF(INDIRECT("'Phase 5'!A1")),IF($E$41=0,GetCostColumn,IF(ISTEXT($C45),GetCostColumn *$E$41+GetCostColumn,GetCostColumn )))</f>
        <v>80.5</v>
      </c>
      <c r="P45" s="221">
        <f ca="1">IF(ISREF(INDIRECT("'Phase 6'!A1")),E6RVTransfer,"")</f>
        <v>70</v>
      </c>
      <c r="Q45" s="1035" cm="1">
        <f t="array" aca="1" ref="Q45" ca="1">IF(ISREF(INDIRECT("'Phase 6'!A1")),IF($E$41=0,GetCostColumn,IF(ISTEXT($C45),GetCostColumn *$E$41+GetCostColumn,GetCostColumn )))</f>
        <v>80.5</v>
      </c>
      <c r="R45" s="221">
        <f ca="1">IF(ISREF(INDIRECT("'Phase 7'!A1")),E7RVTransfer,"")</f>
        <v>70</v>
      </c>
      <c r="S45" s="1035" cm="1">
        <f t="array" aca="1" ref="S45" ca="1">IF(ISREF(INDIRECT("'Phase 7'!A1")),IF($E$41=0,GetCostColumn,IF(ISTEXT($C45),GetCostColumn *$E$41+GetCostColumn,GetCostColumn )))</f>
        <v>80.5</v>
      </c>
      <c r="T45" s="221">
        <f ca="1">IF(ISREF(INDIRECT("'Phase 8'!A1")),E8RVTransfer,"")</f>
        <v>70</v>
      </c>
      <c r="U45" s="1035" cm="1">
        <f t="array" aca="1" ref="U45" ca="1">IF(ISREF(INDIRECT("'Phase 8'!A1")),IF($E$41=0,GetCostColumn,IF(ISTEXT($C45),GetCostColumn *$E$41+GetCostColumn,GetCostColumn )))</f>
        <v>80.5</v>
      </c>
      <c r="V45" s="221">
        <f ca="1">IF(ISREF(INDIRECT("'Phase 9'!A1")),E9RVTransfer,"")</f>
        <v>70</v>
      </c>
      <c r="W45" s="1035" cm="1">
        <f t="array" aca="1" ref="W45" ca="1">IF(ISREF(INDIRECT("'Phase 9'!A1")),IF($E$41=0,GetCostColumn,IF(ISTEXT($C45),GetCostColumn *$E$41+GetCostColumn,GetCostColumn )))</f>
        <v>80.5</v>
      </c>
      <c r="X45" s="221">
        <f ca="1">IF(ISREF(INDIRECT("'Phase 10'!A1")),E10RVTransfer,"")</f>
        <v>70</v>
      </c>
      <c r="Y45" s="1035" cm="1">
        <f t="array" aca="1" ref="Y45" ca="1">IF(ISREF(INDIRECT("'Phase 10'!A1")),IF($E$41=0,GetCostColumn,IF(ISTEXT($C45),GetCostColumn *$E$41+GetCostColumn,GetCostColumn )))</f>
        <v>80.5</v>
      </c>
      <c r="Z45" s="1201">
        <f>E11RVTransfer</f>
        <v>275</v>
      </c>
      <c r="AA45" s="1210">
        <f ca="1">IF($E$41=0,GetCostColumn,IF(ISTEXT($C45),GetCostColumn *$E$41+GetCostColumn,GetCostColumn ))</f>
        <v>316.25</v>
      </c>
      <c r="AB45" s="1226">
        <f>E12RVTransfer</f>
        <v>70</v>
      </c>
      <c r="AC45" s="1210">
        <f ca="1">IF($E$41=0,GetCostColumn,IF(ISTEXT($C45),GetCostColumn *$E$41+GetCostColumn,GetCostColumn ))</f>
        <v>80.5</v>
      </c>
      <c r="AD45" s="1226">
        <f>E13RVTransfer</f>
        <v>70</v>
      </c>
      <c r="AE45" s="1210">
        <f ca="1">IF($E$41=0,GetCostColumn,IF(ISTEXT($C45),GetCostColumn *$E$41+GetCostColumn,GetCostColumn ))</f>
        <v>80.5</v>
      </c>
      <c r="AF45" s="1226">
        <f>E14RVTransfer</f>
        <v>70</v>
      </c>
      <c r="AG45" s="1210">
        <f ca="1">IF($E$41=0,GetCostColumn,IF(ISTEXT($C45),GetCostColumn *$E$41+GetCostColumn,GetCostColumn ))</f>
        <v>80.5</v>
      </c>
      <c r="AH45" s="1226">
        <f>E15RVTransfer</f>
        <v>70</v>
      </c>
      <c r="AI45" s="1210">
        <f ca="1">IF($E$41=0,GetCostColumn,IF(ISTEXT($C45),GetCostColumn *$E$41+GetCostColumn,GetCostColumn ))</f>
        <v>80.5</v>
      </c>
      <c r="AJ45" s="1226">
        <f>E16RVTransfer</f>
        <v>70</v>
      </c>
      <c r="AK45" s="1210">
        <f ca="1">IF($E$41=0,GetCostColumn,IF(ISTEXT($C45),GetCostColumn *$E$41+GetCostColumn,GetCostColumn ))</f>
        <v>80.5</v>
      </c>
      <c r="AL45" s="1226">
        <f>E17RVTransfer</f>
        <v>70</v>
      </c>
      <c r="AM45" s="1210">
        <f ca="1">IF($E$41=0,GetCostColumn,IF(ISTEXT($C45),GetCostColumn *$E$41+GetCostColumn,GetCostColumn ))</f>
        <v>80.5</v>
      </c>
      <c r="AN45" s="1226">
        <f>E18RVTransfer</f>
        <v>70</v>
      </c>
      <c r="AO45" s="1210">
        <f ca="1">IF($E$41=0,GetCostColumn,IF(ISTEXT($C45),GetCostColumn *$E$41+GetCostColumn,GetCostColumn ))</f>
        <v>80.5</v>
      </c>
      <c r="AP45" s="1226">
        <f>E19RVTransfer</f>
        <v>70</v>
      </c>
      <c r="AQ45" s="1210">
        <f ca="1">IF($E$41=0,GetCostColumn,IF(ISTEXT($C45),GetCostColumn *$E$41+GetCostColumn,GetCostColumn ))</f>
        <v>80.5</v>
      </c>
      <c r="AR45" s="1556">
        <f>E20RVTransfer</f>
        <v>70</v>
      </c>
      <c r="AS45" s="1210">
        <f ca="1">IF($E$41=0,GetCostColumn,IF(ISTEXT($C45),GetCostColumn *$E$41+GetCostColumn,GetCostColumn ))</f>
        <v>80.5</v>
      </c>
      <c r="AT45" s="1157"/>
      <c r="AU45" s="80" cm="1">
        <f t="array" aca="1" ref="AU45" ca="1">IFERROR(SUM(_xlfn._xlws.FILTER(INDEX(DynamicTotalAmount, 1, _xlfn.SEQUENCE(1, COLUMNS(DynamicTotalAmount), 1, 2)), ISNUMBER(INDEX(DynamicTotalAmount, 1, _xlfn.SEQUENCE(1, COLUMNS(DynamicTotalAmount), 1, 2))))),0)</f>
        <v>1845.75</v>
      </c>
    </row>
    <row r="46" spans="1:116" ht="13.9" customHeight="1" x14ac:dyDescent="0.2">
      <c r="A46" s="1378"/>
      <c r="B46" s="128"/>
      <c r="C46" s="17" t="str">
        <f>IF(TravelMarkup="N",NULL,"*")</f>
        <v>*</v>
      </c>
      <c r="D46" s="1374" t="s">
        <v>119</v>
      </c>
      <c r="E46" s="1371"/>
      <c r="F46" s="221">
        <f ca="1">IF(ISREF(INDIRECT("'Phase 1'!A1")),E1ATransfer,"")</f>
        <v>300</v>
      </c>
      <c r="G46" s="1035" cm="1">
        <f t="array" aca="1" ref="G46" ca="1">IF(ISREF(INDIRECT("'Phase 1'!A1")),IF($E$41=0,GetCostColumn,IF(ISTEXT($C46),GetCostColumn *$E$41+GetCostColumn,GetCostColumn )))</f>
        <v>345</v>
      </c>
      <c r="H46" s="221">
        <f ca="1">IF(ISREF(INDIRECT("'Phase 2'!A1")),E2ATransfer,"")</f>
        <v>300</v>
      </c>
      <c r="I46" s="1035" cm="1">
        <f t="array" aca="1" ref="I46" ca="1">IF(ISREF(INDIRECT("'Phase 2'!A1")),IF($E$41=0,GetCostColumn,IF(ISTEXT($C46),GetCostColumn *$E$41+GetCostColumn,GetCostColumn )))</f>
        <v>345</v>
      </c>
      <c r="J46" s="221">
        <f ca="1">IF(ISREF(INDIRECT("'Phase 3'!A1")),E3ATransfer,"")</f>
        <v>300</v>
      </c>
      <c r="K46" s="1035" cm="1">
        <f t="array" aca="1" ref="K46" ca="1">IF(ISREF(INDIRECT("'Phase 3'!A1")),IF($E$41=0,GetCostColumn,IF(ISTEXT($C46),GetCostColumn *$E$41+GetCostColumn,GetCostColumn )))</f>
        <v>345</v>
      </c>
      <c r="L46" s="221">
        <f ca="1">IF(ISREF(INDIRECT("'Phase 4'!A1")),E4ATransfer,"")</f>
        <v>300</v>
      </c>
      <c r="M46" s="1035" cm="1">
        <f t="array" aca="1" ref="M46" ca="1">IF(ISREF(INDIRECT("'Phase 4'!A1")),IF($E$41=0,GetCostColumn,IF(ISTEXT($C46),GetCostColumn *$E$41+GetCostColumn,GetCostColumn )))</f>
        <v>345</v>
      </c>
      <c r="N46" s="221">
        <f ca="1">IF(ISREF(INDIRECT("'Phase 5'!A1")),E5ATransfer,"")</f>
        <v>300</v>
      </c>
      <c r="O46" s="1035" cm="1">
        <f t="array" aca="1" ref="O46" ca="1">IF(ISREF(INDIRECT("'Phase 5'!A1")),IF($E$41=0,GetCostColumn,IF(ISTEXT($C46),GetCostColumn *$E$41+GetCostColumn,GetCostColumn )))</f>
        <v>345</v>
      </c>
      <c r="P46" s="221">
        <f ca="1">IF(ISREF(INDIRECT("'Phase 6'!A1")),E6ATransfer,"")</f>
        <v>300</v>
      </c>
      <c r="Q46" s="1035" cm="1">
        <f t="array" aca="1" ref="Q46" ca="1">IF(ISREF(INDIRECT("'Phase 6'!A1")),IF($E$41=0,GetCostColumn,IF(ISTEXT($C46),GetCostColumn *$E$41+GetCostColumn,GetCostColumn )))</f>
        <v>345</v>
      </c>
      <c r="R46" s="221">
        <f ca="1">IF(ISREF(INDIRECT("'Phase 7'!A1")),E7ATransfer,"")</f>
        <v>300</v>
      </c>
      <c r="S46" s="1035" cm="1">
        <f t="array" aca="1" ref="S46" ca="1">IF(ISREF(INDIRECT("'Phase 7'!A1")),IF($E$41=0,GetCostColumn,IF(ISTEXT($C46),GetCostColumn *$E$41+GetCostColumn,GetCostColumn )))</f>
        <v>345</v>
      </c>
      <c r="T46" s="221">
        <f ca="1">IF(ISREF(INDIRECT("'Phase 8'!A1")),E8ATransfer,"")</f>
        <v>300</v>
      </c>
      <c r="U46" s="1035" cm="1">
        <f t="array" aca="1" ref="U46" ca="1">IF(ISREF(INDIRECT("'Phase 8'!A1")),IF($E$41=0,GetCostColumn,IF(ISTEXT($C46),GetCostColumn *$E$41+GetCostColumn,GetCostColumn )))</f>
        <v>345</v>
      </c>
      <c r="V46" s="221">
        <f ca="1">IF(ISREF(INDIRECT("'Phase 9'!A1")),E9ATransfer,"")</f>
        <v>300</v>
      </c>
      <c r="W46" s="1035" cm="1">
        <f t="array" aca="1" ref="W46" ca="1">IF(ISREF(INDIRECT("'Phase 9'!A1")),IF($E$41=0,GetCostColumn,IF(ISTEXT($C46),GetCostColumn *$E$41+GetCostColumn,GetCostColumn )))</f>
        <v>345</v>
      </c>
      <c r="X46" s="221">
        <f ca="1">IF(ISREF(INDIRECT("'Phase 10'!A1")),E10ATransfer,"")</f>
        <v>300</v>
      </c>
      <c r="Y46" s="1035" cm="1">
        <f t="array" aca="1" ref="Y46" ca="1">IF(ISREF(INDIRECT("'Phase 10'!A1")),IF($E$41=0,GetCostColumn,IF(ISTEXT($C46),GetCostColumn *$E$41+GetCostColumn,GetCostColumn )))</f>
        <v>345</v>
      </c>
      <c r="Z46" s="1201">
        <f>E11ATransfer</f>
        <v>300</v>
      </c>
      <c r="AA46" s="1210">
        <f ca="1">IF($E$41=0,GetCostColumn,IF(ISTEXT($C46),GetCostColumn *$E$41+GetCostColumn,GetCostColumn ))</f>
        <v>345</v>
      </c>
      <c r="AB46" s="1226">
        <f>E12ATransfer</f>
        <v>300</v>
      </c>
      <c r="AC46" s="1210">
        <f ca="1">IF($E$41=0,GetCostColumn,IF(ISTEXT($C46),GetCostColumn *$E$41+GetCostColumn,GetCostColumn ))</f>
        <v>345</v>
      </c>
      <c r="AD46" s="1226">
        <f>E13ATransfer</f>
        <v>300</v>
      </c>
      <c r="AE46" s="1210">
        <f ca="1">IF($E$41=0,GetCostColumn,IF(ISTEXT($C46),GetCostColumn *$E$41+GetCostColumn,GetCostColumn ))</f>
        <v>345</v>
      </c>
      <c r="AF46" s="1226">
        <f>E14ATransfer</f>
        <v>300</v>
      </c>
      <c r="AG46" s="1210">
        <f ca="1">IF($E$41=0,GetCostColumn,IF(ISTEXT($C46),GetCostColumn *$E$41+GetCostColumn,GetCostColumn ))</f>
        <v>345</v>
      </c>
      <c r="AH46" s="1226">
        <f>E15ATransfer</f>
        <v>300</v>
      </c>
      <c r="AI46" s="1210">
        <f ca="1">IF($E$41=0,GetCostColumn,IF(ISTEXT($C46),GetCostColumn *$E$41+GetCostColumn,GetCostColumn ))</f>
        <v>345</v>
      </c>
      <c r="AJ46" s="1226">
        <f>E16ATransfer</f>
        <v>300</v>
      </c>
      <c r="AK46" s="1210">
        <f ca="1">IF($E$41=0,GetCostColumn,IF(ISTEXT($C46),GetCostColumn *$E$41+GetCostColumn,GetCostColumn ))</f>
        <v>345</v>
      </c>
      <c r="AL46" s="1226">
        <f>E17ATransfer</f>
        <v>300</v>
      </c>
      <c r="AM46" s="1210">
        <f ca="1">IF($E$41=0,GetCostColumn,IF(ISTEXT($C46),GetCostColumn *$E$41+GetCostColumn,GetCostColumn ))</f>
        <v>345</v>
      </c>
      <c r="AN46" s="1226">
        <f>E18ATransfer</f>
        <v>300</v>
      </c>
      <c r="AO46" s="1210">
        <f ca="1">IF($E$41=0,GetCostColumn,IF(ISTEXT($C46),GetCostColumn *$E$41+GetCostColumn,GetCostColumn ))</f>
        <v>345</v>
      </c>
      <c r="AP46" s="1226">
        <f>E19ATransfer</f>
        <v>300</v>
      </c>
      <c r="AQ46" s="1210">
        <f ca="1">IF($E$41=0,GetCostColumn,IF(ISTEXT($C46),GetCostColumn *$E$41+GetCostColumn,GetCostColumn ))</f>
        <v>345</v>
      </c>
      <c r="AR46" s="1556">
        <f>E20ATransfer</f>
        <v>300</v>
      </c>
      <c r="AS46" s="1210">
        <f ca="1">IF($E$41=0,GetCostColumn,IF(ISTEXT($C46),GetCostColumn *$E$41+GetCostColumn,GetCostColumn ))</f>
        <v>345</v>
      </c>
      <c r="AT46" s="1157"/>
      <c r="AU46" s="80" cm="1">
        <f t="array" aca="1" ref="AU46" ca="1">IFERROR(SUM(_xlfn._xlws.FILTER(INDEX(DynamicTotalAmount, 1, _xlfn.SEQUENCE(1, COLUMNS(DynamicTotalAmount), 1, 2)), ISNUMBER(INDEX(DynamicTotalAmount, 1, _xlfn.SEQUENCE(1, COLUMNS(DynamicTotalAmount), 1, 2))))),0)</f>
        <v>6900</v>
      </c>
    </row>
    <row r="47" spans="1:116" ht="13.9" customHeight="1" x14ac:dyDescent="0.2">
      <c r="A47" s="1378"/>
      <c r="B47" s="128"/>
      <c r="C47" s="17" t="str">
        <f>IF(TravelMarkup="N",NULL,"*")</f>
        <v>*</v>
      </c>
      <c r="D47" s="1374" t="s">
        <v>117</v>
      </c>
      <c r="E47" s="1371"/>
      <c r="F47" s="221">
        <f ca="1">IF(ISREF(INDIRECT("'Phase 1'!A1")),E1LTransfer,"")</f>
        <v>150</v>
      </c>
      <c r="G47" s="1035" cm="1">
        <f t="array" aca="1" ref="G47" ca="1">IF(ISREF(INDIRECT("'Phase 1'!A1")),IF($E$41=0,GetCostColumn,IF(ISTEXT($C47),GetCostColumn *$E$41+GetCostColumn,GetCostColumn )))</f>
        <v>172.5</v>
      </c>
      <c r="H47" s="221">
        <f ca="1">IF(ISREF(INDIRECT("'Phase 2'!A1")),E2LTransfer,"")</f>
        <v>150</v>
      </c>
      <c r="I47" s="1035" cm="1">
        <f t="array" aca="1" ref="I47" ca="1">IF(ISREF(INDIRECT("'Phase 2'!A1")),IF($E$41=0,GetCostColumn,IF(ISTEXT($C47),GetCostColumn *$E$41+GetCostColumn,GetCostColumn )))</f>
        <v>172.5</v>
      </c>
      <c r="J47" s="221">
        <f ca="1">IF(ISREF(INDIRECT("'Phase 3'!A1")),E3LTransfer,"")</f>
        <v>150</v>
      </c>
      <c r="K47" s="1035" cm="1">
        <f t="array" aca="1" ref="K47" ca="1">IF(ISREF(INDIRECT("'Phase 3'!A1")),IF($E$41=0,GetCostColumn,IF(ISTEXT($C47),GetCostColumn *$E$41+GetCostColumn,GetCostColumn )))</f>
        <v>172.5</v>
      </c>
      <c r="L47" s="221">
        <f ca="1">IF(ISREF(INDIRECT("'Phase 4'!A1")),E4LTransfer,"")</f>
        <v>150</v>
      </c>
      <c r="M47" s="1035" cm="1">
        <f t="array" aca="1" ref="M47" ca="1">IF(ISREF(INDIRECT("'Phase 4'!A1")),IF($E$41=0,GetCostColumn,IF(ISTEXT($C47),GetCostColumn *$E$41+GetCostColumn,GetCostColumn )))</f>
        <v>172.5</v>
      </c>
      <c r="N47" s="221">
        <f ca="1">IF(ISREF(INDIRECT("'Phase 5'!A1")),E5LTransfer,"")</f>
        <v>150</v>
      </c>
      <c r="O47" s="1035" cm="1">
        <f t="array" aca="1" ref="O47" ca="1">IF(ISREF(INDIRECT("'Phase 5'!A1")),IF($E$41=0,GetCostColumn,IF(ISTEXT($C47),GetCostColumn *$E$41+GetCostColumn,GetCostColumn )))</f>
        <v>172.5</v>
      </c>
      <c r="P47" s="221">
        <f ca="1">IF(ISREF(INDIRECT("'Phase 6'!A1")),E6LTransfer,"")</f>
        <v>150</v>
      </c>
      <c r="Q47" s="1035" cm="1">
        <f t="array" aca="1" ref="Q47" ca="1">IF(ISREF(INDIRECT("'Phase 6'!A1")),IF($E$41=0,GetCostColumn,IF(ISTEXT($C47),GetCostColumn *$E$41+GetCostColumn,GetCostColumn )))</f>
        <v>172.5</v>
      </c>
      <c r="R47" s="221">
        <f ca="1">IF(ISREF(INDIRECT("'Phase 7'!A1")),E7LTransfer,"")</f>
        <v>150</v>
      </c>
      <c r="S47" s="1035" cm="1">
        <f t="array" aca="1" ref="S47" ca="1">IF(ISREF(INDIRECT("'Phase 7'!A1")),IF($E$41=0,GetCostColumn,IF(ISTEXT($C47),GetCostColumn *$E$41+GetCostColumn,GetCostColumn )))</f>
        <v>172.5</v>
      </c>
      <c r="T47" s="221">
        <f ca="1">IF(ISREF(INDIRECT("'Phase 8'!A1")),E8LTransfer,"")</f>
        <v>150</v>
      </c>
      <c r="U47" s="1035" cm="1">
        <f t="array" aca="1" ref="U47" ca="1">IF(ISREF(INDIRECT("'Phase 8'!A1")),IF($E$41=0,GetCostColumn,IF(ISTEXT($C47),GetCostColumn *$E$41+GetCostColumn,GetCostColumn )))</f>
        <v>172.5</v>
      </c>
      <c r="V47" s="221">
        <f ca="1">IF(ISREF(INDIRECT("'Phase 9'!A1")),E9LTransfer,"")</f>
        <v>150</v>
      </c>
      <c r="W47" s="1035" cm="1">
        <f t="array" aca="1" ref="W47" ca="1">IF(ISREF(INDIRECT("'Phase 9'!A1")),IF($E$41=0,GetCostColumn,IF(ISTEXT($C47),GetCostColumn *$E$41+GetCostColumn,GetCostColumn )))</f>
        <v>172.5</v>
      </c>
      <c r="X47" s="221">
        <f ca="1">IF(ISREF(INDIRECT("'Phase 10'!A1")),E10LTransfer,"")</f>
        <v>150</v>
      </c>
      <c r="Y47" s="1035" cm="1">
        <f t="array" aca="1" ref="Y47" ca="1">IF(ISREF(INDIRECT("'Phase 10'!A1")),IF($E$41=0,GetCostColumn,IF(ISTEXT($C47),GetCostColumn *$E$41+GetCostColumn,GetCostColumn )))</f>
        <v>172.5</v>
      </c>
      <c r="Z47" s="1201">
        <f>E11LTransfer</f>
        <v>150</v>
      </c>
      <c r="AA47" s="1210">
        <f ca="1">IF($E$41=0,GetCostColumn,IF(ISTEXT($C47),GetCostColumn *$E$41+GetCostColumn,GetCostColumn ))</f>
        <v>172.5</v>
      </c>
      <c r="AB47" s="1226">
        <f>E12LTransfer</f>
        <v>150</v>
      </c>
      <c r="AC47" s="1210">
        <f ca="1">IF($E$41=0,GetCostColumn,IF(ISTEXT($C47),GetCostColumn *$E$41+GetCostColumn,GetCostColumn ))</f>
        <v>172.5</v>
      </c>
      <c r="AD47" s="1226">
        <f>E13LTransfer</f>
        <v>150</v>
      </c>
      <c r="AE47" s="1210">
        <f ca="1">IF($E$41=0,GetCostColumn,IF(ISTEXT($C47),GetCostColumn *$E$41+GetCostColumn,GetCostColumn ))</f>
        <v>172.5</v>
      </c>
      <c r="AF47" s="1226">
        <f>E14LTransfer</f>
        <v>150</v>
      </c>
      <c r="AG47" s="1210">
        <f ca="1">IF($E$41=0,GetCostColumn,IF(ISTEXT($C47),GetCostColumn *$E$41+GetCostColumn,GetCostColumn ))</f>
        <v>172.5</v>
      </c>
      <c r="AH47" s="1226">
        <f>E15LTransfer</f>
        <v>150</v>
      </c>
      <c r="AI47" s="1210">
        <f ca="1">IF($E$41=0,GetCostColumn,IF(ISTEXT($C47),GetCostColumn *$E$41+GetCostColumn,GetCostColumn ))</f>
        <v>172.5</v>
      </c>
      <c r="AJ47" s="1226">
        <f>E16LTransfer</f>
        <v>150</v>
      </c>
      <c r="AK47" s="1210">
        <f ca="1">IF($E$41=0,GetCostColumn,IF(ISTEXT($C47),GetCostColumn *$E$41+GetCostColumn,GetCostColumn ))</f>
        <v>172.5</v>
      </c>
      <c r="AL47" s="1226">
        <f>E17LTransfer</f>
        <v>150</v>
      </c>
      <c r="AM47" s="1210">
        <f ca="1">IF($E$41=0,GetCostColumn,IF(ISTEXT($C47),GetCostColumn *$E$41+GetCostColumn,GetCostColumn ))</f>
        <v>172.5</v>
      </c>
      <c r="AN47" s="1226">
        <f>E18LTransfer</f>
        <v>150</v>
      </c>
      <c r="AO47" s="1210">
        <f ca="1">IF($E$41=0,GetCostColumn,IF(ISTEXT($C47),GetCostColumn *$E$41+GetCostColumn,GetCostColumn ))</f>
        <v>172.5</v>
      </c>
      <c r="AP47" s="1226">
        <f>E19LTransfer</f>
        <v>150</v>
      </c>
      <c r="AQ47" s="1210">
        <f ca="1">IF($E$41=0,GetCostColumn,IF(ISTEXT($C47),GetCostColumn *$E$41+GetCostColumn,GetCostColumn ))</f>
        <v>172.5</v>
      </c>
      <c r="AR47" s="1556">
        <f>E20LTransfer</f>
        <v>150</v>
      </c>
      <c r="AS47" s="1210">
        <f ca="1">IF($E$41=0,GetCostColumn,IF(ISTEXT($C47),GetCostColumn *$E$41+GetCostColumn,GetCostColumn ))</f>
        <v>172.5</v>
      </c>
      <c r="AT47" s="1157"/>
      <c r="AU47" s="80" cm="1">
        <f t="array" aca="1" ref="AU47" ca="1">IFERROR(SUM(_xlfn._xlws.FILTER(INDEX(DynamicTotalAmount, 1, _xlfn.SEQUENCE(1, COLUMNS(DynamicTotalAmount), 1, 2)), ISNUMBER(INDEX(DynamicTotalAmount, 1, _xlfn.SEQUENCE(1, COLUMNS(DynamicTotalAmount), 1, 2))))),0)</f>
        <v>3450</v>
      </c>
    </row>
    <row r="48" spans="1:116" ht="13.9" customHeight="1" x14ac:dyDescent="0.2">
      <c r="A48" s="1378"/>
      <c r="B48" s="128"/>
      <c r="C48" s="17" t="str">
        <f>IF(TravelMarkup="N",NULL,"*")</f>
        <v>*</v>
      </c>
      <c r="D48" s="1374" t="s">
        <v>118</v>
      </c>
      <c r="E48" s="1371"/>
      <c r="F48" s="221">
        <f ca="1">IF(ISREF(INDIRECT("'Phase 1'!A1")),E1MTransfer,"")</f>
        <v>45</v>
      </c>
      <c r="G48" s="1035" cm="1">
        <f t="array" aca="1" ref="G48" ca="1">IF(ISREF(INDIRECT("'Phase 1'!A1")),IF($E$41=0,GetCostColumn,IF(ISTEXT($C48),GetCostColumn *$E$41+GetCostColumn,GetCostColumn )))</f>
        <v>51.75</v>
      </c>
      <c r="H48" s="221">
        <f ca="1">IF(ISREF(INDIRECT("'Phase 2'!A1")),E2MTransfer,"")</f>
        <v>45</v>
      </c>
      <c r="I48" s="157" cm="1">
        <f t="array" aca="1" ref="I48" ca="1">IF(ISREF(INDIRECT("'Phase 2'!A1")),IF($E$41=0,GetCostColumn,IF(ISTEXT($C48),GetCostColumn *$E$41+GetCostColumn,GetCostColumn )))</f>
        <v>51.75</v>
      </c>
      <c r="J48" s="221">
        <f ca="1">IF(ISREF(INDIRECT("'Phase 3'!A1")),E3MTransfer,"")</f>
        <v>45</v>
      </c>
      <c r="K48" s="1035" cm="1">
        <f t="array" aca="1" ref="K48" ca="1">IF(ISREF(INDIRECT("'Phase 3'!A1")),IF($E$41=0,GetCostColumn,IF(ISTEXT($C48),GetCostColumn *$E$41+GetCostColumn,GetCostColumn )))</f>
        <v>51.75</v>
      </c>
      <c r="L48" s="221">
        <f ca="1">IF(ISREF(INDIRECT("'Phase 4'!A1")),E4MTransfer,"")</f>
        <v>45</v>
      </c>
      <c r="M48" s="157" cm="1">
        <f t="array" aca="1" ref="M48" ca="1">IF(ISREF(INDIRECT("'Phase 4'!A1")),IF($E$41=0,GetCostColumn,IF(ISTEXT($C48),GetCostColumn *$E$41+GetCostColumn,GetCostColumn )))</f>
        <v>51.75</v>
      </c>
      <c r="N48" s="221">
        <f ca="1">IF(ISREF(INDIRECT("'Phase 5'!A1")),E5MTransfer,"")</f>
        <v>45</v>
      </c>
      <c r="O48" s="1035" cm="1">
        <f t="array" aca="1" ref="O48" ca="1">IF(ISREF(INDIRECT("'Phase 5'!A1")),IF($E$41=0,GetCostColumn,IF(ISTEXT($C48),GetCostColumn *$E$41+GetCostColumn,GetCostColumn )))</f>
        <v>51.75</v>
      </c>
      <c r="P48" s="221">
        <f ca="1">IF(ISREF(INDIRECT("'Phase 6'!A1")),E6MTransfer,"")</f>
        <v>45</v>
      </c>
      <c r="Q48" s="1035" cm="1">
        <f t="array" aca="1" ref="Q48" ca="1">IF(ISREF(INDIRECT("'Phase 6'!A1")),IF($E$41=0,GetCostColumn,IF(ISTEXT($C48),GetCostColumn *$E$41+GetCostColumn,GetCostColumn )))</f>
        <v>51.75</v>
      </c>
      <c r="R48" s="221">
        <f ca="1">IF(ISREF(INDIRECT("'Phase 7'!A1")),E7MTransfer,"")</f>
        <v>45</v>
      </c>
      <c r="S48" s="157" cm="1">
        <f t="array" aca="1" ref="S48" ca="1">IF(ISREF(INDIRECT("'Phase 7'!A1")),IF($E$41=0,GetCostColumn,IF(ISTEXT($C48),GetCostColumn *$E$41+GetCostColumn,GetCostColumn )))</f>
        <v>51.75</v>
      </c>
      <c r="T48" s="221">
        <f ca="1">IF(ISREF(INDIRECT("'Phase 8'!A1")),E8MTransfer,"")</f>
        <v>45</v>
      </c>
      <c r="U48" s="157" cm="1">
        <f t="array" aca="1" ref="U48" ca="1">IF(ISREF(INDIRECT("'Phase 8'!A1")),IF($E$41=0,GetCostColumn,IF(ISTEXT($C48),GetCostColumn *$E$41+GetCostColumn,GetCostColumn )))</f>
        <v>51.75</v>
      </c>
      <c r="V48" s="221">
        <f ca="1">IF(ISREF(INDIRECT("'Phase 9'!A1")),E9MTransfer,"")</f>
        <v>45</v>
      </c>
      <c r="W48" s="1035" cm="1">
        <f t="array" aca="1" ref="W48" ca="1">IF(ISREF(INDIRECT("'Phase 9'!A1")),IF($E$41=0,GetCostColumn,IF(ISTEXT($C48),GetCostColumn *$E$41+GetCostColumn,GetCostColumn )))</f>
        <v>51.75</v>
      </c>
      <c r="X48" s="221">
        <f ca="1">IF(ISREF(INDIRECT("'Phase 10'!A1")),E10MTransfer,"")</f>
        <v>45</v>
      </c>
      <c r="Y48" s="1035" cm="1">
        <f t="array" aca="1" ref="Y48" ca="1">IF(ISREF(INDIRECT("'Phase 10'!A1")),IF($E$41=0,GetCostColumn,IF(ISTEXT($C48),GetCostColumn *$E$41+GetCostColumn,GetCostColumn )))</f>
        <v>51.75</v>
      </c>
      <c r="Z48" s="1201">
        <f>E11MTransfer</f>
        <v>45</v>
      </c>
      <c r="AA48" s="1210">
        <f ca="1">IF($E$41=0,GetCostColumn,IF(ISTEXT($C48),GetCostColumn *$E$41+GetCostColumn,GetCostColumn ))</f>
        <v>51.75</v>
      </c>
      <c r="AB48" s="1226">
        <f>E12MTransfer</f>
        <v>45</v>
      </c>
      <c r="AC48" s="1210">
        <f ca="1">IF($E$41=0,GetCostColumn,IF(ISTEXT($C48),GetCostColumn *$E$41+GetCostColumn,GetCostColumn ))</f>
        <v>51.75</v>
      </c>
      <c r="AD48" s="1226">
        <f>E13MTransfer</f>
        <v>45</v>
      </c>
      <c r="AE48" s="1210">
        <f ca="1">IF($E$41=0,GetCostColumn,IF(ISTEXT($C48),GetCostColumn *$E$41+GetCostColumn,GetCostColumn ))</f>
        <v>51.75</v>
      </c>
      <c r="AF48" s="1226">
        <f>E14MTransfer</f>
        <v>45</v>
      </c>
      <c r="AG48" s="1210">
        <f ca="1">IF($E$41=0,GetCostColumn,IF(ISTEXT($C48),GetCostColumn *$E$41+GetCostColumn,GetCostColumn ))</f>
        <v>51.75</v>
      </c>
      <c r="AH48" s="1226">
        <f>E15MTransfer</f>
        <v>45</v>
      </c>
      <c r="AI48" s="1210">
        <f ca="1">IF($E$41=0,GetCostColumn,IF(ISTEXT($C48),GetCostColumn *$E$41+GetCostColumn,GetCostColumn ))</f>
        <v>51.75</v>
      </c>
      <c r="AJ48" s="1226">
        <f>E16MTransfer</f>
        <v>45</v>
      </c>
      <c r="AK48" s="1210">
        <f ca="1">IF($E$41=0,GetCostColumn,IF(ISTEXT($C48),GetCostColumn *$E$41+GetCostColumn,GetCostColumn ))</f>
        <v>51.75</v>
      </c>
      <c r="AL48" s="1226">
        <f>E17MTransfer</f>
        <v>45</v>
      </c>
      <c r="AM48" s="1210">
        <f ca="1">IF($E$41=0,GetCostColumn,IF(ISTEXT($C48),GetCostColumn *$E$41+GetCostColumn,GetCostColumn ))</f>
        <v>51.75</v>
      </c>
      <c r="AN48" s="1035">
        <f>E18MTransfer</f>
        <v>45</v>
      </c>
      <c r="AO48" s="1210">
        <f ca="1">IF($E$41=0,GetCostColumn,IF(ISTEXT($C48),GetCostColumn *$E$41+GetCostColumn,GetCostColumn ))</f>
        <v>51.75</v>
      </c>
      <c r="AP48" s="1035">
        <f>E19MTransfer</f>
        <v>45</v>
      </c>
      <c r="AQ48" s="1210">
        <f ca="1">IF($E$41=0,GetCostColumn,IF(ISTEXT($C48),GetCostColumn *$E$41+GetCostColumn,GetCostColumn ))</f>
        <v>51.75</v>
      </c>
      <c r="AR48" s="1552">
        <f>E20MTransfer</f>
        <v>45</v>
      </c>
      <c r="AS48" s="1210">
        <f ca="1">IF($E$41=0,GetCostColumn,IF(ISTEXT($C48),GetCostColumn *$E$41+GetCostColumn,GetCostColumn ))</f>
        <v>51.75</v>
      </c>
      <c r="AT48" s="1157"/>
      <c r="AU48" s="80" cm="1">
        <f t="array" aca="1" ref="AU48" ca="1">IFERROR(SUM(_xlfn._xlws.FILTER(INDEX(DynamicTotalAmount, 1, _xlfn.SEQUENCE(1, COLUMNS(DynamicTotalAmount), 1, 2)), ISNUMBER(INDEX(DynamicTotalAmount, 1, _xlfn.SEQUENCE(1, COLUMNS(DynamicTotalAmount), 1, 2))))),0)</f>
        <v>1035</v>
      </c>
    </row>
    <row r="49" spans="1:47" ht="13.9" customHeight="1" x14ac:dyDescent="0.2">
      <c r="A49" s="1378"/>
      <c r="B49" s="143"/>
      <c r="C49" s="17"/>
      <c r="D49" s="1374"/>
      <c r="E49" s="1371"/>
      <c r="F49" s="20" t="s">
        <v>28</v>
      </c>
      <c r="G49" s="84" t="s">
        <v>28</v>
      </c>
      <c r="H49" s="20" t="s">
        <v>28</v>
      </c>
      <c r="I49" s="84" t="s">
        <v>28</v>
      </c>
      <c r="J49" s="20" t="s">
        <v>28</v>
      </c>
      <c r="K49" s="84" t="s">
        <v>28</v>
      </c>
      <c r="L49" s="20" t="s">
        <v>28</v>
      </c>
      <c r="M49" s="84" t="s">
        <v>28</v>
      </c>
      <c r="N49" s="20" t="s">
        <v>28</v>
      </c>
      <c r="O49" s="84" t="s">
        <v>28</v>
      </c>
      <c r="P49" s="20" t="s">
        <v>28</v>
      </c>
      <c r="Q49" s="84" t="s">
        <v>28</v>
      </c>
      <c r="R49" s="20" t="s">
        <v>28</v>
      </c>
      <c r="S49" s="84" t="s">
        <v>28</v>
      </c>
      <c r="T49" s="20" t="s">
        <v>28</v>
      </c>
      <c r="U49" s="84" t="s">
        <v>28</v>
      </c>
      <c r="V49" s="20" t="s">
        <v>28</v>
      </c>
      <c r="W49" s="84" t="s">
        <v>28</v>
      </c>
      <c r="X49" s="20" t="s">
        <v>28</v>
      </c>
      <c r="Y49" s="136" t="s">
        <v>28</v>
      </c>
      <c r="Z49" s="1199" t="s">
        <v>28</v>
      </c>
      <c r="AA49" s="1208" t="s">
        <v>28</v>
      </c>
      <c r="AB49" s="136" t="s">
        <v>28</v>
      </c>
      <c r="AC49" s="1208" t="s">
        <v>28</v>
      </c>
      <c r="AD49" s="136" t="s">
        <v>28</v>
      </c>
      <c r="AE49" s="1208" t="s">
        <v>28</v>
      </c>
      <c r="AF49" s="136" t="s">
        <v>28</v>
      </c>
      <c r="AG49" s="1208" t="s">
        <v>28</v>
      </c>
      <c r="AH49" s="136" t="s">
        <v>28</v>
      </c>
      <c r="AI49" s="1208" t="s">
        <v>28</v>
      </c>
      <c r="AJ49" s="136" t="s">
        <v>28</v>
      </c>
      <c r="AK49" s="1208" t="s">
        <v>28</v>
      </c>
      <c r="AL49" s="136" t="s">
        <v>28</v>
      </c>
      <c r="AM49" s="1208" t="s">
        <v>28</v>
      </c>
      <c r="AN49" s="136" t="s">
        <v>28</v>
      </c>
      <c r="AO49" s="1208" t="s">
        <v>28</v>
      </c>
      <c r="AP49" s="136" t="s">
        <v>28</v>
      </c>
      <c r="AQ49" s="1208" t="s">
        <v>28</v>
      </c>
      <c r="AR49" s="1551" t="s">
        <v>28</v>
      </c>
      <c r="AS49" s="1208" t="s">
        <v>28</v>
      </c>
      <c r="AT49" s="136" t="s">
        <v>28</v>
      </c>
      <c r="AU49" s="84" t="s">
        <v>28</v>
      </c>
    </row>
    <row r="50" spans="1:47" ht="13.9" customHeight="1" x14ac:dyDescent="0.2">
      <c r="A50" s="1379"/>
      <c r="B50" s="144"/>
      <c r="C50" s="145"/>
      <c r="D50" s="1372" t="s">
        <v>115</v>
      </c>
      <c r="E50" s="1373"/>
      <c r="F50" s="1031">
        <f ca="1">SUM(F44:F49)</f>
        <v>640.40499999999997</v>
      </c>
      <c r="G50" s="85">
        <f t="shared" ref="G50:V50" ca="1" si="37">SUM(G44:G49)</f>
        <v>725.15499999999997</v>
      </c>
      <c r="H50" s="1032">
        <f t="shared" ca="1" si="37"/>
        <v>640.40499999999997</v>
      </c>
      <c r="I50" s="85">
        <f t="shared" ca="1" si="37"/>
        <v>725.15499999999997</v>
      </c>
      <c r="J50" s="1033">
        <f t="shared" ca="1" si="37"/>
        <v>640.40499999999997</v>
      </c>
      <c r="K50" s="85">
        <f t="shared" ca="1" si="37"/>
        <v>725.15499999999997</v>
      </c>
      <c r="L50" s="1033">
        <f t="shared" ref="L50:S50" ca="1" si="38">SUM(L44:L49)</f>
        <v>640.40499999999997</v>
      </c>
      <c r="M50" s="85">
        <f t="shared" ca="1" si="38"/>
        <v>725.15499999999997</v>
      </c>
      <c r="N50" s="1033">
        <f t="shared" ca="1" si="38"/>
        <v>640.40499999999997</v>
      </c>
      <c r="O50" s="85">
        <f t="shared" ca="1" si="38"/>
        <v>725.15499999999997</v>
      </c>
      <c r="P50" s="1033">
        <f t="shared" ca="1" si="38"/>
        <v>640.40499999999997</v>
      </c>
      <c r="Q50" s="85">
        <f t="shared" ca="1" si="38"/>
        <v>725.15499999999997</v>
      </c>
      <c r="R50" s="1033">
        <f t="shared" ca="1" si="38"/>
        <v>640.40499999999997</v>
      </c>
      <c r="S50" s="85">
        <f t="shared" ca="1" si="38"/>
        <v>725.15499999999997</v>
      </c>
      <c r="T50" s="1031">
        <f t="shared" ca="1" si="37"/>
        <v>683.90499999999997</v>
      </c>
      <c r="U50" s="85">
        <f t="shared" ca="1" si="37"/>
        <v>768.65499999999997</v>
      </c>
      <c r="V50" s="1033">
        <f t="shared" ca="1" si="37"/>
        <v>640.40499999999997</v>
      </c>
      <c r="W50" s="85">
        <f t="shared" ref="W50:Y50" ca="1" si="39">SUM(W44:W49)</f>
        <v>725.15499999999997</v>
      </c>
      <c r="X50" s="1033">
        <f t="shared" ca="1" si="39"/>
        <v>640.40499999999997</v>
      </c>
      <c r="Y50" s="1055">
        <f t="shared" ca="1" si="39"/>
        <v>725.15499999999997</v>
      </c>
      <c r="Z50" s="1202">
        <f t="shared" ref="Z50:AE50" si="40">SUM(Z44:Z49)</f>
        <v>845.40499999999997</v>
      </c>
      <c r="AA50" s="1207">
        <f t="shared" ca="1" si="40"/>
        <v>960.90499999999997</v>
      </c>
      <c r="AB50" s="1027">
        <f t="shared" si="40"/>
        <v>640.40499999999997</v>
      </c>
      <c r="AC50" s="1207">
        <f t="shared" ca="1" si="40"/>
        <v>725.15499999999997</v>
      </c>
      <c r="AD50" s="1027">
        <f t="shared" si="40"/>
        <v>640.40499999999997</v>
      </c>
      <c r="AE50" s="1207">
        <f t="shared" ca="1" si="40"/>
        <v>725.15499999999997</v>
      </c>
      <c r="AF50" s="1027">
        <f t="shared" ref="AF50:AQ50" si="41">SUM(AF44:AF48)</f>
        <v>640.40499999999997</v>
      </c>
      <c r="AG50" s="1207">
        <f t="shared" ca="1" si="41"/>
        <v>725.15499999999997</v>
      </c>
      <c r="AH50" s="1027">
        <f t="shared" si="41"/>
        <v>640.40499999999997</v>
      </c>
      <c r="AI50" s="1207">
        <f t="shared" ca="1" si="41"/>
        <v>725.15499999999997</v>
      </c>
      <c r="AJ50" s="1027">
        <f t="shared" si="41"/>
        <v>636.15499999999997</v>
      </c>
      <c r="AK50" s="1207">
        <f t="shared" ca="1" si="41"/>
        <v>720.90499999999997</v>
      </c>
      <c r="AL50" s="1027">
        <f t="shared" si="41"/>
        <v>640.40499999999997</v>
      </c>
      <c r="AM50" s="1207">
        <f t="shared" ca="1" si="41"/>
        <v>725.15499999999997</v>
      </c>
      <c r="AN50" s="1027">
        <f t="shared" si="41"/>
        <v>640.40499999999997</v>
      </c>
      <c r="AO50" s="1207">
        <f t="shared" ca="1" si="41"/>
        <v>725.15499999999997</v>
      </c>
      <c r="AP50" s="1027">
        <f t="shared" si="41"/>
        <v>640.40499999999997</v>
      </c>
      <c r="AQ50" s="1207">
        <f t="shared" ca="1" si="41"/>
        <v>725.15499999999997</v>
      </c>
      <c r="AR50" s="1550">
        <f>SUM(AR44:AR48)</f>
        <v>640.40499999999997</v>
      </c>
      <c r="AS50" s="1207">
        <f ca="1">SUM(AS44:AS48)</f>
        <v>725.15499999999997</v>
      </c>
      <c r="AT50" s="1048">
        <f ca="1">X50+V50+T50+R50+P50+N50+L50+J50+H50+F50+Z50+AB50+AD50+AF50+AH50+AJ50+AL50+AN50+AP50+AR50</f>
        <v>13052.350000000002</v>
      </c>
      <c r="AU50" s="85">
        <f ca="1">(G50+I50+K50+M50+O50+Q50+S50+U50+W50+Y50+AA50+AC50+AE50+AG50+AI50+AK50+AM50+AO50+AQ50+AS50)</f>
        <v>14778.100000000004</v>
      </c>
    </row>
    <row r="51" spans="1:47" ht="13.9" customHeight="1" x14ac:dyDescent="0.2">
      <c r="A51" s="1388" t="s">
        <v>2338</v>
      </c>
      <c r="B51" s="128"/>
      <c r="C51" s="17" t="s">
        <v>72</v>
      </c>
      <c r="D51" s="1376" t="s">
        <v>1248</v>
      </c>
      <c r="E51" s="1371"/>
      <c r="F51" s="221">
        <f ca="1">IF(ISREF(INDIRECT("'Phase 1'!A1")),SOIL1,"")</f>
        <v>21.2</v>
      </c>
      <c r="G51" s="157" cm="1">
        <f t="array" aca="1" ref="G51" ca="1">IF(ISREF(INDIRECT("'Phase 1'!A1")),IF($E$43=0,GetCostColumn,IF(ISTEXT($C51),GetCostColumn *$E$43+GetCostColumn,GetCostColumn )))</f>
        <v>24.38</v>
      </c>
      <c r="H51" s="221">
        <f ca="1">IF(ISREF(INDIRECT("'Phase 2'!A1")),SOIL2,"")</f>
        <v>21.2</v>
      </c>
      <c r="I51" s="157" cm="1">
        <f t="array" aca="1" ref="I51" ca="1">IF(ISREF(INDIRECT("'Phase 2'!A1")),IF($E$43=0,GetCostColumn,IF(ISTEXT($C51),GetCostColumn *$E$43+GetCostColumn,GetCostColumn )))</f>
        <v>24.38</v>
      </c>
      <c r="J51" s="221">
        <f ca="1">IF(ISREF(INDIRECT("'Phase 3'!A1")),SOIL3,"")</f>
        <v>21.2</v>
      </c>
      <c r="K51" s="157" cm="1">
        <f t="array" aca="1" ref="K51" ca="1">IF(ISREF(INDIRECT("'Phase 3'!A1")),IF($E$43=0,GetCostColumn,IF(ISTEXT($C51),GetCostColumn *$E$43+GetCostColumn,GetCostColumn )))</f>
        <v>24.38</v>
      </c>
      <c r="L51" s="221">
        <f ca="1">IF(ISREF(INDIRECT("'Phase 4'!A1")),SOIL4,"")</f>
        <v>21.2</v>
      </c>
      <c r="M51" s="157" cm="1">
        <f t="array" aca="1" ref="M51" ca="1">IF(ISREF(INDIRECT("'Phase 4'!A1")),IF($E$43=0,GetCostColumn,IF(ISTEXT($C51),GetCostColumn *$E$43+GetCostColumn,GetCostColumn )))</f>
        <v>24.38</v>
      </c>
      <c r="N51" s="221">
        <f ca="1">IF(ISREF(INDIRECT("'Phase 5'!A1")),SOIL5,"")</f>
        <v>21.2</v>
      </c>
      <c r="O51" s="157" cm="1">
        <f t="array" aca="1" ref="O51" ca="1">IF(ISREF(INDIRECT("'Phase 5'!A1")),IF($E$43=0,GetCostColumn,IF(ISTEXT($C51),GetCostColumn *$E$43+GetCostColumn,GetCostColumn )))</f>
        <v>24.38</v>
      </c>
      <c r="P51" s="221">
        <f ca="1">IF(ISREF(INDIRECT("'Phase 6'!A1")),SOIL6,"")</f>
        <v>21.2</v>
      </c>
      <c r="Q51" s="157" cm="1">
        <f t="array" aca="1" ref="Q51" ca="1">IF(ISREF(INDIRECT("'Phase 6'!A1")),IF($E$43=0,GetCostColumn,IF(ISTEXT($C51),GetCostColumn *$E$43+GetCostColumn,GetCostColumn )))</f>
        <v>24.38</v>
      </c>
      <c r="R51" s="221">
        <f ca="1">IF(ISREF(INDIRECT("'Phase 7'!A1")),SOIL7,"")</f>
        <v>21.2</v>
      </c>
      <c r="S51" s="157" cm="1">
        <f t="array" aca="1" ref="S51" ca="1">IF(ISREF(INDIRECT("'Phase 7'!A1")),IF($E$43=0,GetCostColumn,IF(ISTEXT($C51),GetCostColumn *$E$43+GetCostColumn,GetCostColumn )))</f>
        <v>24.38</v>
      </c>
      <c r="T51" s="221">
        <f ca="1">IF(ISREF(INDIRECT("'Phase 8'!A1")),SOIL8,"")</f>
        <v>21.2</v>
      </c>
      <c r="U51" s="157" cm="1">
        <f t="array" aca="1" ref="U51" ca="1">IF(ISREF(INDIRECT("'Phase 8'!A1")),IF($E$43=0,GetCostColumn,IF(ISTEXT($C51),GetCostColumn *$E$43+GetCostColumn,GetCostColumn )))</f>
        <v>24.38</v>
      </c>
      <c r="V51" s="221">
        <f ca="1">IF(ISREF(INDIRECT("'Phase 9'!A1")),SOIL9,"")</f>
        <v>21.2</v>
      </c>
      <c r="W51" s="157" cm="1">
        <f t="array" aca="1" ref="W51" ca="1">IF(ISREF(INDIRECT("'Phase 9'!A1")),IF($E$43=0,GetCostColumn,IF(ISTEXT($C51),GetCostColumn *$E$43+GetCostColumn,GetCostColumn )))</f>
        <v>24.38</v>
      </c>
      <c r="X51" s="221">
        <f ca="1">IF(ISREF(INDIRECT("'Phase 10'!A1")),SOIL10,"")</f>
        <v>21.2</v>
      </c>
      <c r="Y51" s="157" cm="1">
        <f t="array" aca="1" ref="Y51" ca="1">IF(ISREF(INDIRECT("'Phase 10'!A1")),IF($E$43=0,GetCostColumn,IF(ISTEXT($C51),GetCostColumn *$E$43+GetCostColumn,GetCostColumn )))</f>
        <v>24.38</v>
      </c>
      <c r="Z51" s="1226">
        <f>SOIL11</f>
        <v>21.2</v>
      </c>
      <c r="AA51" s="1000">
        <f ca="1">IF($E$43=0,GetCostColumn,IF(ISTEXT($C51),GetCostColumn *$E$43+GetCostColumn,GetCostColumn ))</f>
        <v>24.38</v>
      </c>
      <c r="AB51" s="1217">
        <f>SOIL12</f>
        <v>21.2</v>
      </c>
      <c r="AC51" s="1219">
        <f ca="1">IF($E$43=0,GetCostColumn,IF(ISTEXT($C51),GetCostColumn *$E$43+GetCostColumn,GetCostColumn ))</f>
        <v>24.38</v>
      </c>
      <c r="AD51" s="1217">
        <f>SOIL13</f>
        <v>21.2</v>
      </c>
      <c r="AE51" s="1219">
        <f ca="1">IF($E$43=0,GetCostColumn,IF(ISTEXT($C51),GetCostColumn *$E$43+GetCostColumn,GetCostColumn ))</f>
        <v>24.38</v>
      </c>
      <c r="AF51" s="1217">
        <f>SOIL14</f>
        <v>21.2</v>
      </c>
      <c r="AG51" s="1219">
        <f ca="1">IF($E$43=0,GetCostColumn,IF(ISTEXT($C51),GetCostColumn *$E$43+GetCostColumn,GetCostColumn ))</f>
        <v>24.38</v>
      </c>
      <c r="AH51" s="1217">
        <f>SOIL15</f>
        <v>21.2</v>
      </c>
      <c r="AI51" s="1219">
        <f ca="1">IF($E$43=0,GetCostColumn,IF(ISTEXT($C51),GetCostColumn *$E$43+GetCostColumn,GetCostColumn ))</f>
        <v>24.38</v>
      </c>
      <c r="AJ51" s="1217">
        <f>SOIL16</f>
        <v>21.2</v>
      </c>
      <c r="AK51" s="1219">
        <f ca="1">IF($E$43=0,GetCostColumn,IF(ISTEXT($C51),GetCostColumn *$E$43+GetCostColumn,GetCostColumn ))</f>
        <v>24.38</v>
      </c>
      <c r="AL51" s="1217">
        <f>SOIL17</f>
        <v>21.2</v>
      </c>
      <c r="AM51" s="1219">
        <f ca="1">IF($E$43=0,GetCostColumn,IF(ISTEXT($C51),GetCostColumn *$E$43+GetCostColumn,GetCostColumn ))</f>
        <v>24.38</v>
      </c>
      <c r="AN51" s="1217">
        <f>SOIL18</f>
        <v>21.2</v>
      </c>
      <c r="AO51" s="1219">
        <f ca="1">IF($E$43=0,GetCostColumn,IF(ISTEXT($C51),GetCostColumn *$E$43+GetCostColumn,GetCostColumn ))</f>
        <v>24.38</v>
      </c>
      <c r="AP51" s="1220">
        <f>SOIL19</f>
        <v>21.2</v>
      </c>
      <c r="AQ51" s="1219">
        <f ca="1">IF($E$43=0,GetCostColumn,IF(ISTEXT($C51),GetCostColumn *$E$43+GetCostColumn,GetCostColumn ))</f>
        <v>24.38</v>
      </c>
      <c r="AR51" s="1220">
        <f>SOIL20</f>
        <v>21.2</v>
      </c>
      <c r="AS51" s="1221">
        <f ca="1">IF($E$43=0,GetCostColumn,IF(ISTEXT($C51),GetCostColumn *$E$43+GetCostColumn,GetCostColumn ))</f>
        <v>24.38</v>
      </c>
      <c r="AT51" s="83"/>
      <c r="AU51" s="80" cm="1">
        <f t="array" aca="1" ref="AU51" ca="1">IFERROR(SUM(_xlfn._xlws.FILTER(INDEX(DynamicTotalAmount, 1, _xlfn.SEQUENCE(1, COLUMNS(DynamicTotalAmount), 1, 2)), ISNUMBER(INDEX(DynamicTotalAmount, 1, _xlfn.SEQUENCE(1, COLUMNS(DynamicTotalAmount), 1, 2))))),0)</f>
        <v>487.59999999999997</v>
      </c>
    </row>
    <row r="52" spans="1:47" ht="13.9" customHeight="1" x14ac:dyDescent="0.2">
      <c r="A52" s="1378"/>
      <c r="B52" s="128"/>
      <c r="C52" s="17" t="s">
        <v>72</v>
      </c>
      <c r="D52" s="1376" t="s">
        <v>120</v>
      </c>
      <c r="E52" s="1371"/>
      <c r="F52" s="221">
        <f ca="1">IF(ISREF(INDIRECT("'Phase 1'!A1")),_AIR1,"")</f>
        <v>10.6</v>
      </c>
      <c r="G52" s="157" cm="1">
        <f t="array" aca="1" ref="G52" ca="1">IF(ISREF(INDIRECT("'Phase 1'!A1")),IF($E$43=0,GetCostColumn,IF(ISTEXT($C52),GetCostColumn *$E$43+GetCostColumn,GetCostColumn )))</f>
        <v>12.19</v>
      </c>
      <c r="H52" s="221">
        <f ca="1">IF(ISREF(INDIRECT("'Phase 2'!A1")),_AIR2,"")</f>
        <v>10.6</v>
      </c>
      <c r="I52" s="157" cm="1">
        <f t="array" aca="1" ref="I52" ca="1">IF(ISREF(INDIRECT("'Phase 2'!A1")),IF($E$43=0,GetCostColumn,IF(ISTEXT($C52),GetCostColumn *$E$43+GetCostColumn,GetCostColumn )))</f>
        <v>12.19</v>
      </c>
      <c r="J52" s="221">
        <f ca="1">IF(ISREF(INDIRECT("'Phase 3'!A1")),_AIR3,"")</f>
        <v>10.6</v>
      </c>
      <c r="K52" s="157" cm="1">
        <f t="array" aca="1" ref="K52" ca="1">IF(ISREF(INDIRECT("'Phase 3'!A1")),IF($E$43=0,GetCostColumn,IF(ISTEXT($C52),GetCostColumn *$E$43+GetCostColumn,GetCostColumn )))</f>
        <v>12.19</v>
      </c>
      <c r="L52" s="221">
        <f ca="1">IF(ISREF(INDIRECT("'Phase 4'!A1")),_AIR4,"")</f>
        <v>10.6</v>
      </c>
      <c r="M52" s="157" cm="1">
        <f t="array" aca="1" ref="M52" ca="1">IF(ISREF(INDIRECT("'Phase 4'!A1")),IF($E$43=0,GetCostColumn,IF(ISTEXT($C52),GetCostColumn *$E$43+GetCostColumn,GetCostColumn )))</f>
        <v>12.19</v>
      </c>
      <c r="N52" s="221">
        <f ca="1">IF(ISREF(INDIRECT("'Phase 5'!A1")),_AIR5,"")</f>
        <v>10.6</v>
      </c>
      <c r="O52" s="157" cm="1">
        <f t="array" aca="1" ref="O52" ca="1">IF(ISREF(INDIRECT("'Phase 5'!A1")),IF($E$43=0,GetCostColumn,IF(ISTEXT($C52),GetCostColumn *$E$43+GetCostColumn,GetCostColumn )))</f>
        <v>12.19</v>
      </c>
      <c r="P52" s="221">
        <f ca="1">IF(ISREF(INDIRECT("'Phase 6'!A1")),_AIR6,"")</f>
        <v>10.6</v>
      </c>
      <c r="Q52" s="157" cm="1">
        <f t="array" aca="1" ref="Q52" ca="1">IF(ISREF(INDIRECT("'Phase 6'!A1")),IF($E$43=0,GetCostColumn,IF(ISTEXT($C52),GetCostColumn *$E$43+GetCostColumn,GetCostColumn )))</f>
        <v>12.19</v>
      </c>
      <c r="R52" s="221">
        <f ca="1">IF(ISREF(INDIRECT("'Phase 7'!A1")),_AIR7,"")</f>
        <v>10.6</v>
      </c>
      <c r="S52" s="157" cm="1">
        <f t="array" aca="1" ref="S52" ca="1">IF(ISREF(INDIRECT("'Phase 7'!A1")),IF($E$43=0,GetCostColumn,IF(ISTEXT($C52),GetCostColumn *$E$43+GetCostColumn,GetCostColumn )))</f>
        <v>12.19</v>
      </c>
      <c r="T52" s="221">
        <f ca="1">IF(ISREF(INDIRECT("'Phase 8'!A1")),_AIR8,"")</f>
        <v>10.6</v>
      </c>
      <c r="U52" s="157" cm="1">
        <f t="array" aca="1" ref="U52" ca="1">IF(ISREF(INDIRECT("'Phase 8'!A1")),IF($E$43=0,GetCostColumn,IF(ISTEXT($C52),GetCostColumn *$E$43+GetCostColumn,GetCostColumn )))</f>
        <v>12.19</v>
      </c>
      <c r="V52" s="221">
        <f ca="1">IF(ISREF(INDIRECT("'Phase 9'!A1")),_AIR9,"")</f>
        <v>10.6</v>
      </c>
      <c r="W52" s="157" cm="1">
        <f t="array" aca="1" ref="W52" ca="1">IF(ISREF(INDIRECT("'Phase 9'!A1")),IF($E$43=0,GetCostColumn,IF(ISTEXT($C52),GetCostColumn *$E$43+GetCostColumn,GetCostColumn )))</f>
        <v>12.19</v>
      </c>
      <c r="X52" s="221">
        <f ca="1">IF(ISREF(INDIRECT("'Phase 10'!A1")),_AIR10,"")</f>
        <v>10.6</v>
      </c>
      <c r="Y52" s="157" cm="1">
        <f t="array" aca="1" ref="Y52" ca="1">IF(ISREF(INDIRECT("'Phase 10'!A1")),IF($E$43=0,GetCostColumn,IF(ISTEXT($C52),GetCostColumn *$E$43+GetCostColumn,GetCostColumn )))</f>
        <v>12.19</v>
      </c>
      <c r="Z52" s="1226">
        <f>_AIR11</f>
        <v>10.6</v>
      </c>
      <c r="AA52" s="1210">
        <f ca="1">IF($E$43=0,GetCostColumn,IF(ISTEXT($C52),GetCostColumn *$E$43+GetCostColumn,GetCostColumn ))</f>
        <v>12.19</v>
      </c>
      <c r="AB52" s="1226">
        <f>_AIR12</f>
        <v>10.6</v>
      </c>
      <c r="AC52" s="1210">
        <f ca="1">IF($E$43=0,GetCostColumn,IF(ISTEXT($C52),GetCostColumn *$E$43+GetCostColumn,GetCostColumn ))</f>
        <v>12.19</v>
      </c>
      <c r="AD52" s="1226">
        <f>_AIR13</f>
        <v>10.6</v>
      </c>
      <c r="AE52" s="1210">
        <f ca="1">IF($E$43=0,GetCostColumn,IF(ISTEXT($C52),GetCostColumn *$E$43+GetCostColumn,GetCostColumn ))</f>
        <v>12.19</v>
      </c>
      <c r="AF52" s="1226">
        <f>_AIR14</f>
        <v>10.6</v>
      </c>
      <c r="AG52" s="1210">
        <f ca="1">IF($E$43=0,GetCostColumn,IF(ISTEXT($C52),GetCostColumn *$E$43+GetCostColumn,GetCostColumn ))</f>
        <v>12.19</v>
      </c>
      <c r="AH52" s="1226">
        <f>_AIR15</f>
        <v>10.6</v>
      </c>
      <c r="AI52" s="1210">
        <f ca="1">IF($E$43=0,GetCostColumn,IF(ISTEXT($C51),GetCostColumn *$E$43+GetCostColumn,GetCostColumn ))</f>
        <v>12.19</v>
      </c>
      <c r="AJ52" s="1226">
        <f>_AIR16</f>
        <v>10.6</v>
      </c>
      <c r="AK52" s="1210">
        <f ca="1">IF($E$43=0,GetCostColumn,IF(ISTEXT($C52),GetCostColumn *$E$43+GetCostColumn,GetCostColumn ))</f>
        <v>12.19</v>
      </c>
      <c r="AL52" s="1226">
        <f>_AIR17</f>
        <v>10.6</v>
      </c>
      <c r="AM52" s="1210">
        <f ca="1">IF($E$43=0,GetCostColumn,IF(ISTEXT($C52),GetCostColumn *$E$43+GetCostColumn,GetCostColumn ))</f>
        <v>12.19</v>
      </c>
      <c r="AN52" s="1226">
        <f>_AIR18</f>
        <v>10.6</v>
      </c>
      <c r="AO52" s="1210">
        <f ca="1">IF($E$43=0,GetCostColumn,IF(ISTEXT($C52),GetCostColumn *$E$43+GetCostColumn,GetCostColumn ))</f>
        <v>12.19</v>
      </c>
      <c r="AP52" s="1226">
        <f>_AIR19</f>
        <v>10.6</v>
      </c>
      <c r="AQ52" s="1210">
        <f ca="1">IF($E$43=0,GetCostColumn,IF(ISTEXT($C52),GetCostColumn *$E$43+GetCostColumn,GetCostColumn ))</f>
        <v>12.19</v>
      </c>
      <c r="AR52" s="1556">
        <f>_AIR20</f>
        <v>10.6</v>
      </c>
      <c r="AS52" s="1210">
        <f ca="1">IF($E$43=0,GetCostColumn,IF(ISTEXT($C52),GetCostColumn *$E$43+GetCostColumn,GetCostColumn ))</f>
        <v>12.19</v>
      </c>
      <c r="AT52" s="1027"/>
      <c r="AU52" s="80" cm="1">
        <f t="array" aca="1" ref="AU52" ca="1">IFERROR(SUM(_xlfn._xlws.FILTER(INDEX(DynamicTotalAmount, 1, _xlfn.SEQUENCE(1, COLUMNS(DynamicTotalAmount), 1, 2)), ISNUMBER(INDEX(DynamicTotalAmount, 1, _xlfn.SEQUENCE(1, COLUMNS(DynamicTotalAmount), 1, 2))))),0)</f>
        <v>243.79999999999998</v>
      </c>
    </row>
    <row r="53" spans="1:47" ht="13.9" customHeight="1" x14ac:dyDescent="0.2">
      <c r="A53" s="1378"/>
      <c r="B53" s="128"/>
      <c r="C53" s="17" t="s">
        <v>72</v>
      </c>
      <c r="D53" s="1376" t="s">
        <v>1249</v>
      </c>
      <c r="E53" s="1371"/>
      <c r="F53" s="221">
        <f ca="1">IF(ISREF(INDIRECT("'Phase 1'!A1")),_SED1,"")</f>
        <v>10.6</v>
      </c>
      <c r="G53" s="157" cm="1">
        <f t="array" aca="1" ref="G53" ca="1">IF(ISREF(INDIRECT("'Phase 1'!A1")),IF($E$43=0,GetCostColumn,IF(ISTEXT($C53),GetCostColumn *$E$43+GetCostColumn,GetCostColumn )))</f>
        <v>12.19</v>
      </c>
      <c r="H53" s="221">
        <f ca="1">IF(ISREF(INDIRECT("'Phase 2'!A1")),_SED2,"")</f>
        <v>10.6</v>
      </c>
      <c r="I53" s="157" cm="1">
        <f t="array" aca="1" ref="I53" ca="1">IF(ISREF(INDIRECT("'Phase 2'!A1")),IF($E$43=0,GetCostColumn,IF(ISTEXT($C53),GetCostColumn *$E$43+GetCostColumn,GetCostColumn )))</f>
        <v>12.19</v>
      </c>
      <c r="J53" s="221">
        <f ca="1">IF(ISREF(INDIRECT("'Phase 3'!A1")),_SED3,"")</f>
        <v>10.6</v>
      </c>
      <c r="K53" s="157" cm="1">
        <f t="array" aca="1" ref="K53" ca="1">IF(ISREF(INDIRECT("'Phase 3'!A1")),IF($E$43=0,GetCostColumn,IF(ISTEXT($C53),GetCostColumn *$E$43+GetCostColumn,GetCostColumn )))</f>
        <v>12.19</v>
      </c>
      <c r="L53" s="221">
        <f ca="1">IF(ISREF(INDIRECT("'Phase 4'!A1")),_SED4,"")</f>
        <v>10.6</v>
      </c>
      <c r="M53" s="157" cm="1">
        <f t="array" aca="1" ref="M53" ca="1">IF(ISREF(INDIRECT("'Phase 4'!A1")),IF($E$43=0,GetCostColumn,IF(ISTEXT($C53),GetCostColumn *$E$43+GetCostColumn,GetCostColumn )))</f>
        <v>12.19</v>
      </c>
      <c r="N53" s="221">
        <f ca="1">IF(ISREF(INDIRECT("'Phase 5'!A1")),_SED5,"")</f>
        <v>10.6</v>
      </c>
      <c r="O53" s="157" cm="1">
        <f t="array" aca="1" ref="O53" ca="1">IF(ISREF(INDIRECT("'Phase 5'!A1")),IF($E$43=0,GetCostColumn,IF(ISTEXT($C53),GetCostColumn *$E$43+GetCostColumn,GetCostColumn )))</f>
        <v>12.19</v>
      </c>
      <c r="P53" s="221">
        <f ca="1">IF(ISREF(INDIRECT("'Phase 6'!A1")),_SED6,"")</f>
        <v>10.6</v>
      </c>
      <c r="Q53" s="157" cm="1">
        <f t="array" aca="1" ref="Q53" ca="1">IF(ISREF(INDIRECT("'Phase 6'!A1")),IF($E$43=0,GetCostColumn,IF(ISTEXT($C53),GetCostColumn *$E$43+GetCostColumn,GetCostColumn )))</f>
        <v>12.19</v>
      </c>
      <c r="R53" s="221">
        <f ca="1">IF(ISREF(INDIRECT("'Phase 7'!A1")),_SED7,"")</f>
        <v>10.6</v>
      </c>
      <c r="S53" s="157" cm="1">
        <f t="array" aca="1" ref="S53" ca="1">IF(ISREF(INDIRECT("'Phase 7'!A1")),IF($E$43=0,GetCostColumn,IF(ISTEXT($C53),GetCostColumn *$E$43+GetCostColumn,GetCostColumn )))</f>
        <v>12.19</v>
      </c>
      <c r="T53" s="221">
        <f ca="1">IF(ISREF(INDIRECT("'Phase 8'!A1")),_SED8,"")</f>
        <v>10.6</v>
      </c>
      <c r="U53" s="157" cm="1">
        <f t="array" aca="1" ref="U53" ca="1">IF(ISREF(INDIRECT("'Phase 8'!A1")),IF($E$43=0,GetCostColumn,IF(ISTEXT($C53),GetCostColumn *$E$43+GetCostColumn,GetCostColumn )))</f>
        <v>12.19</v>
      </c>
      <c r="V53" s="221">
        <f ca="1">IF(ISREF(INDIRECT("'Phase 9'!A1")),_SED9,"")</f>
        <v>10.6</v>
      </c>
      <c r="W53" s="157" cm="1">
        <f t="array" aca="1" ref="W53" ca="1">IF(ISREF(INDIRECT("'Phase 9'!A1")),IF($E$43=0,GetCostColumn,IF(ISTEXT($C53),GetCostColumn *$E$43+GetCostColumn,GetCostColumn )))</f>
        <v>12.19</v>
      </c>
      <c r="X53" s="221">
        <f ca="1">IF(ISREF(INDIRECT("'Phase 10'!A1")),_SED10,"")</f>
        <v>10.6</v>
      </c>
      <c r="Y53" s="157" cm="1">
        <f t="array" aca="1" ref="Y53" ca="1">IF(ISREF(INDIRECT("'Phase 10'!A1")),IF($E$43=0,GetCostColumn,IF(ISTEXT($C53),GetCostColumn *$E$43+GetCostColumn,GetCostColumn )))</f>
        <v>12.19</v>
      </c>
      <c r="Z53" s="1226">
        <f>_SED11</f>
        <v>10.6</v>
      </c>
      <c r="AA53" s="1210">
        <f ca="1">IF($E$43=0,GetCostColumn,IF(ISTEXT($C53),GetCostColumn *$E$43+GetCostColumn,GetCostColumn ))</f>
        <v>12.19</v>
      </c>
      <c r="AB53" s="1226">
        <f>_SED12</f>
        <v>10.6</v>
      </c>
      <c r="AC53" s="1210">
        <f ca="1">IF($E$43=0,GetCostColumn,IF(ISTEXT($C53),GetCostColumn *$E$43+GetCostColumn,GetCostColumn ))</f>
        <v>12.19</v>
      </c>
      <c r="AD53" s="1226">
        <f>_SED13</f>
        <v>10.6</v>
      </c>
      <c r="AE53" s="1210">
        <f ca="1">IF($E$43=0,GetCostColumn,IF(ISTEXT($C53),GetCostColumn *$E$43+GetCostColumn,GetCostColumn ))</f>
        <v>12.19</v>
      </c>
      <c r="AF53" s="1226">
        <f>_SED14</f>
        <v>10.6</v>
      </c>
      <c r="AG53" s="1210">
        <f ca="1">IF($E$43=0,GetCostColumn,IF(ISTEXT($C53),GetCostColumn *$E$43+GetCostColumn,GetCostColumn ))</f>
        <v>12.19</v>
      </c>
      <c r="AH53" s="1226">
        <f>_SED15</f>
        <v>10.6</v>
      </c>
      <c r="AI53" s="1210">
        <f ca="1">IF($E$43=0,GetCostColumn,IF(ISTEXT($C53),GetCostColumn *$E$43+GetCostColumn,GetCostColumn ))</f>
        <v>12.19</v>
      </c>
      <c r="AJ53" s="1226">
        <f>_SED16</f>
        <v>10.6</v>
      </c>
      <c r="AK53" s="1210">
        <f ca="1">IF($E$43=0,GetCostColumn,IF(ISTEXT($C53),GetCostColumn *$E$43+GetCostColumn,GetCostColumn ))</f>
        <v>12.19</v>
      </c>
      <c r="AL53" s="1226">
        <f>_SED17</f>
        <v>10.6</v>
      </c>
      <c r="AM53" s="1210">
        <f ca="1">IF($E$43=0,GetCostColumn,IF(ISTEXT($C53),GetCostColumn *$E$43+GetCostColumn,GetCostColumn ))</f>
        <v>12.19</v>
      </c>
      <c r="AN53" s="1226">
        <f>_SED18</f>
        <v>10.6</v>
      </c>
      <c r="AO53" s="1210">
        <f ca="1">IF($E$43=0,GetCostColumn,IF(ISTEXT($C53),GetCostColumn *$E$43+GetCostColumn,GetCostColumn ))</f>
        <v>12.19</v>
      </c>
      <c r="AP53" s="1226">
        <f>_SED19</f>
        <v>10.6</v>
      </c>
      <c r="AQ53" s="1210">
        <f ca="1">IF($E$43=0,GetCostColumn,IF(ISTEXT($C53),GetCostColumn *$E$43+GetCostColumn,GetCostColumn ))</f>
        <v>12.19</v>
      </c>
      <c r="AR53" s="1556">
        <f>_SED20</f>
        <v>10.6</v>
      </c>
      <c r="AS53" s="1210">
        <f ca="1">IF($E$43=0,GetCostColumn,IF(ISTEXT($C53),GetCostColumn *$E$43+GetCostColumn,GetCostColumn ))</f>
        <v>12.19</v>
      </c>
      <c r="AT53" s="1027"/>
      <c r="AU53" s="80" cm="1">
        <f t="array" aca="1" ref="AU53" ca="1">IFERROR(SUM(_xlfn._xlws.FILTER(INDEX(DynamicTotalAmount, 1, _xlfn.SEQUENCE(1, COLUMNS(DynamicTotalAmount), 1, 2)), ISNUMBER(INDEX(DynamicTotalAmount, 1, _xlfn.SEQUENCE(1, COLUMNS(DynamicTotalAmount), 1, 2))))),0)</f>
        <v>243.79999999999998</v>
      </c>
    </row>
    <row r="54" spans="1:47" ht="13.9" customHeight="1" x14ac:dyDescent="0.2">
      <c r="A54" s="1378"/>
      <c r="B54" s="128"/>
      <c r="C54" s="17"/>
      <c r="D54" s="9"/>
      <c r="E54" s="628" t="s">
        <v>293</v>
      </c>
      <c r="F54" s="629"/>
      <c r="G54" s="157" cm="1">
        <f t="array" aca="1" ref="G54" ca="1">IF($E$43=0,GetCostColumn,IF(ISTEXT($C54),GetCostColumn *$E$43+GetCostColumn,GetCostColumn ))</f>
        <v>0</v>
      </c>
      <c r="H54" s="629"/>
      <c r="I54" s="157" cm="1">
        <f t="array" aca="1" ref="I54" ca="1">IF($E$43=0,GetCostColumn,IF(ISTEXT($C54),GetCostColumn *$E$43+GetCostColumn,GetCostColumn ))</f>
        <v>0</v>
      </c>
      <c r="J54" s="629"/>
      <c r="K54" s="157" cm="1">
        <f t="array" aca="1" ref="K54" ca="1">IF($E$43=0,GetCostColumn,IF(ISTEXT($C54),GetCostColumn *$E$43+GetCostColumn,GetCostColumn ))</f>
        <v>0</v>
      </c>
      <c r="L54" s="629"/>
      <c r="M54" s="157" cm="1">
        <f t="array" aca="1" ref="M54" ca="1">IF($E$43=0,GetCostColumn,IF(ISTEXT($C54),GetCostColumn *$E$43+GetCostColumn,GetCostColumn ))</f>
        <v>0</v>
      </c>
      <c r="N54" s="629"/>
      <c r="O54" s="157" cm="1">
        <f t="array" aca="1" ref="O54" ca="1">IF($E$43=0,GetCostColumn,IF(ISTEXT($C54),GetCostColumn *$E$43+GetCostColumn,GetCostColumn ))</f>
        <v>0</v>
      </c>
      <c r="P54" s="629"/>
      <c r="Q54" s="157" cm="1">
        <f t="array" aca="1" ref="Q54" ca="1">IF($E$43=0,GetCostColumn,IF(ISTEXT($C54),GetCostColumn *$E$43+GetCostColumn,GetCostColumn ))</f>
        <v>0</v>
      </c>
      <c r="R54" s="629"/>
      <c r="S54" s="157" cm="1">
        <f t="array" aca="1" ref="S54" ca="1">IF($E$43=0,GetCostColumn,IF(ISTEXT($C54),GetCostColumn *$E$43+GetCostColumn,GetCostColumn ))</f>
        <v>0</v>
      </c>
      <c r="T54" s="629"/>
      <c r="U54" s="157" cm="1">
        <f t="array" aca="1" ref="U54" ca="1">IF($E$43=0,GetCostColumn,IF(ISTEXT($C54),GetCostColumn *$E$43+GetCostColumn,GetCostColumn ))</f>
        <v>0</v>
      </c>
      <c r="V54" s="629"/>
      <c r="W54" s="157" cm="1">
        <f t="array" aca="1" ref="W54" ca="1">IF($E$43=0,GetCostColumn,IF(ISTEXT($C54),GetCostColumn *$E$43+GetCostColumn,GetCostColumn ))</f>
        <v>0</v>
      </c>
      <c r="X54" s="629"/>
      <c r="Y54" s="157" cm="1">
        <f t="array" aca="1" ref="Y54" ca="1">IF($E$43=0,GetCostColumn,IF(ISTEXT($C54),GetCostColumn *$E$43+GetCostColumn,GetCostColumn ))</f>
        <v>0</v>
      </c>
      <c r="Z54" s="1226"/>
      <c r="AA54" s="1210"/>
      <c r="AB54" s="1226"/>
      <c r="AC54" s="1210"/>
      <c r="AD54" s="1226"/>
      <c r="AE54" s="1210"/>
      <c r="AF54" s="1226"/>
      <c r="AG54" s="1210"/>
      <c r="AH54" s="1226"/>
      <c r="AI54" s="1210"/>
      <c r="AJ54" s="1226"/>
      <c r="AK54" s="1210"/>
      <c r="AL54" s="1226"/>
      <c r="AM54" s="1210"/>
      <c r="AN54" s="1226"/>
      <c r="AO54" s="1210"/>
      <c r="AP54" s="1226"/>
      <c r="AQ54" s="1210"/>
      <c r="AR54" s="1556"/>
      <c r="AS54" s="1210"/>
      <c r="AT54" s="1027"/>
      <c r="AU54" s="80" cm="1">
        <f t="array" aca="1" ref="AU54" ca="1">SUM(_xlfn._xlws.FILTER(INDEX(DynamicTotalAmount, 1, _xlfn.SEQUENCE(1, COLUMNS(DynamicTotalAmount), 1, 2)), ISNUMBER(INDEX(DynamicTotalAmount, 1, _xlfn.SEQUENCE(1, COLUMNS(DynamicTotalAmount), 1, 2)))))</f>
        <v>0</v>
      </c>
    </row>
    <row r="55" spans="1:47" ht="13.9" customHeight="1" x14ac:dyDescent="0.2">
      <c r="A55" s="1378"/>
      <c r="B55" s="128"/>
      <c r="C55" s="17"/>
      <c r="D55" s="1376" t="s">
        <v>367</v>
      </c>
      <c r="E55" s="1371"/>
      <c r="F55" s="221">
        <f ca="1">IF(ISREF(INDIRECT("'Phase 1'!A1")),IS_1,"")</f>
        <v>10</v>
      </c>
      <c r="G55" s="157" cm="1">
        <f t="array" aca="1" ref="G55" ca="1">IF(ISREF(INDIRECT("'Phase 1'!A1")),IF($E$43=0,GetCostColumn,IF(ISTEXT($C55),GetCostColumn *$E$43+GetCostColumn,GetCostColumn )))</f>
        <v>10</v>
      </c>
      <c r="H55" s="221">
        <f ca="1">IF(ISREF(INDIRECT("'Phase 2'!A1")),IS_2,"")</f>
        <v>10</v>
      </c>
      <c r="I55" s="157" cm="1">
        <f t="array" aca="1" ref="I55" ca="1">IF(ISREF(INDIRECT("'Phase 2'!A1")),IF($E$43=0,GetCostColumn,IF(ISTEXT($C55),GetCostColumn *$E$43+GetCostColumn,GetCostColumn )))</f>
        <v>10</v>
      </c>
      <c r="J55" s="221">
        <f ca="1">IF(ISREF(INDIRECT("'Phase 3'!A1")),IS_3,"")</f>
        <v>10</v>
      </c>
      <c r="K55" s="157" cm="1">
        <f t="array" aca="1" ref="K55" ca="1">IF(ISREF(INDIRECT("'Phase 3'!A1")),IF($E$43=0,GetCostColumn,IF(ISTEXT($C55),GetCostColumn *$E$43+GetCostColumn,GetCostColumn )))</f>
        <v>10</v>
      </c>
      <c r="L55" s="221">
        <f ca="1">IF(ISREF(INDIRECT("'Phase 4'!A1")),IS_4,"")</f>
        <v>10</v>
      </c>
      <c r="M55" s="157" cm="1">
        <f t="array" aca="1" ref="M55" ca="1">IF(ISREF(INDIRECT("'Phase 4'!A1")),IF($E$43=0,GetCostColumn,IF(ISTEXT($C55),GetCostColumn *$E$43+GetCostColumn,GetCostColumn )))</f>
        <v>10</v>
      </c>
      <c r="N55" s="221">
        <f ca="1">IF(ISREF(INDIRECT("'Phase 5'!A1")),IS_5,"")</f>
        <v>10</v>
      </c>
      <c r="O55" s="157" cm="1">
        <f t="array" aca="1" ref="O55" ca="1">IF(ISREF(INDIRECT("'Phase 5'!A1")),IF($E$43=0,GetCostColumn,IF(ISTEXT($C55),GetCostColumn *$E$43+GetCostColumn,GetCostColumn )))</f>
        <v>10</v>
      </c>
      <c r="P55" s="221">
        <f ca="1">IF(ISREF(INDIRECT("'Phase 6'!A1")),IS_6,"")</f>
        <v>10</v>
      </c>
      <c r="Q55" s="157" cm="1">
        <f t="array" aca="1" ref="Q55" ca="1">IF(ISREF(INDIRECT("'Phase 6'!A1")),IF($E$43=0,GetCostColumn,IF(ISTEXT($C55),GetCostColumn *$E$43+GetCostColumn,GetCostColumn )))</f>
        <v>10</v>
      </c>
      <c r="R55" s="221">
        <f ca="1">IF(ISREF(INDIRECT("'Phase 7'!A1")),IS_7,"")</f>
        <v>10</v>
      </c>
      <c r="S55" s="157" cm="1">
        <f t="array" aca="1" ref="S55" ca="1">IF(ISREF(INDIRECT("'Phase 7'!A1")),IF($E$43=0,GetCostColumn,IF(ISTEXT($C55),GetCostColumn *$E$43+GetCostColumn,GetCostColumn )))</f>
        <v>10</v>
      </c>
      <c r="T55" s="221">
        <f ca="1">IF(ISREF(INDIRECT("'Phase 8'!A1")),IS_8,"")</f>
        <v>10</v>
      </c>
      <c r="U55" s="157" cm="1">
        <f t="array" aca="1" ref="U55" ca="1">IF(ISREF(INDIRECT("'Phase 8'!A1")),IF($E$43=0,GetCostColumn,IF(ISTEXT($C55),GetCostColumn *$E$43+GetCostColumn,GetCostColumn )))</f>
        <v>10</v>
      </c>
      <c r="V55" s="221">
        <f ca="1">IF(ISREF(INDIRECT("'Phase 9'!A1")),IS_9,"")</f>
        <v>10</v>
      </c>
      <c r="W55" s="157" cm="1">
        <f t="array" aca="1" ref="W55" ca="1">IF(ISREF(INDIRECT("'Phase 9'!A1")),IF($E$43=0,GetCostColumn,IF(ISTEXT($C55),GetCostColumn *$E$43+GetCostColumn,GetCostColumn )))</f>
        <v>10</v>
      </c>
      <c r="X55" s="221">
        <f ca="1">IF(ISREF(INDIRECT("'Phase 10'!A1")),IS_10,"")</f>
        <v>10</v>
      </c>
      <c r="Y55" s="157" cm="1">
        <f t="array" aca="1" ref="Y55" ca="1">IF(ISREF(INDIRECT("'Phase 10'!A1")),IF($E$43=0,GetCostColumn,IF(ISTEXT($C55),GetCostColumn *$E$43+GetCostColumn,GetCostColumn )))</f>
        <v>10</v>
      </c>
      <c r="Z55" s="1226">
        <f>IS_11</f>
        <v>10</v>
      </c>
      <c r="AA55" s="1210">
        <f ca="1">IF($E$43=0,GetCostColumn,IF(ISTEXT($C55),GetCostColumn *$E$43+GetCostColumn,GetCostColumn ))</f>
        <v>10</v>
      </c>
      <c r="AB55" s="1226">
        <f>IS_12</f>
        <v>10</v>
      </c>
      <c r="AC55" s="1210">
        <f ca="1">IF($E$43=0,GetCostColumn,IF(ISTEXT($C55),GetCostColumn *$E$43+GetCostColumn,GetCostColumn ))</f>
        <v>10</v>
      </c>
      <c r="AD55" s="1226">
        <f>IS_13</f>
        <v>10</v>
      </c>
      <c r="AE55" s="1210">
        <f ca="1">IF($E$43=0,GetCostColumn,IF(ISTEXT($C55),GetCostColumn *$E$43+GetCostColumn,GetCostColumn ))</f>
        <v>10</v>
      </c>
      <c r="AF55" s="1226">
        <f>IS_14</f>
        <v>10</v>
      </c>
      <c r="AG55" s="1210">
        <f ca="1">IF($E$43=0,GetCostColumn,IF(ISTEXT($C55),GetCostColumn *$E$43+GetCostColumn,GetCostColumn ))</f>
        <v>10</v>
      </c>
      <c r="AH55" s="1226">
        <f>IS_15</f>
        <v>10</v>
      </c>
      <c r="AI55" s="1210">
        <f ca="1">IF($E$43=0,GetCostColumn,IF(ISTEXT($C55),GetCostColumn *$E$43+GetCostColumn,GetCostColumn ))</f>
        <v>10</v>
      </c>
      <c r="AJ55" s="1226">
        <f>IS_16</f>
        <v>10</v>
      </c>
      <c r="AK55" s="1210">
        <f ca="1">IF($E$43=0,GetCostColumn,IF(ISTEXT($C55),GetCostColumn *$E$43+GetCostColumn,GetCostColumn ))</f>
        <v>10</v>
      </c>
      <c r="AL55" s="1226">
        <f>IS_17</f>
        <v>10</v>
      </c>
      <c r="AM55" s="1210">
        <f ca="1">IF($E$43=0,GetCostColumn,IF(ISTEXT($C55),GetCostColumn *$E$43+GetCostColumn,GetCostColumn ))</f>
        <v>10</v>
      </c>
      <c r="AN55" s="1226">
        <f>IS_18</f>
        <v>10</v>
      </c>
      <c r="AO55" s="1210">
        <f ca="1">IF($E$43=0,GetCostColumn,IF(ISTEXT($C55),GetCostColumn *$E$43+GetCostColumn,GetCostColumn ))</f>
        <v>10</v>
      </c>
      <c r="AP55" s="1226">
        <f>IS_19</f>
        <v>10</v>
      </c>
      <c r="AQ55" s="1210">
        <f ca="1">IF($E$43=0,GetCostColumn,IF(ISTEXT($C55),GetCostColumn *$E$43+GetCostColumn,GetCostColumn ))</f>
        <v>10</v>
      </c>
      <c r="AR55" s="1556">
        <f>IS_20</f>
        <v>10</v>
      </c>
      <c r="AS55" s="1210">
        <f ca="1">IF($E$43=0,GetCostColumn,IF(ISTEXT($C55),GetCostColumn *$E$43+GetCostColumn,GetCostColumn ))</f>
        <v>10</v>
      </c>
      <c r="AT55" s="1027"/>
      <c r="AU55" s="80" cm="1">
        <f t="array" aca="1" ref="AU55" ca="1">IFERROR(SUM(_xlfn._xlws.FILTER(INDEX(DynamicTotalAmount, 1, _xlfn.SEQUENCE(1, COLUMNS(DynamicTotalAmount), 1, 2)), ISNUMBER(INDEX(DynamicTotalAmount, 1, _xlfn.SEQUENCE(1, COLUMNS(DynamicTotalAmount), 1, 2))))),0)</f>
        <v>200</v>
      </c>
    </row>
    <row r="56" spans="1:47" ht="13.9" customHeight="1" x14ac:dyDescent="0.2">
      <c r="A56" s="1378"/>
      <c r="B56" s="128"/>
      <c r="C56" s="17"/>
      <c r="D56" s="1376" t="s">
        <v>368</v>
      </c>
      <c r="E56" s="1375"/>
      <c r="F56" s="221">
        <f ca="1">IF(ISREF(INDIRECT("'Phase 1'!A1")),IC_1,"")</f>
        <v>10</v>
      </c>
      <c r="G56" s="157" cm="1">
        <f t="array" aca="1" ref="G56" ca="1">IF(ISREF(INDIRECT("'Phase 1'!A1")),IF($E$43=0,GetCostColumn,IF(ISTEXT($C56),GetCostColumn *$E$43+GetCostColumn,GetCostColumn )))</f>
        <v>10</v>
      </c>
      <c r="H56" s="221">
        <f ca="1">IF(ISREF(INDIRECT("'Phase 2'!A1")),IC_2,"")</f>
        <v>10</v>
      </c>
      <c r="I56" s="157" cm="1">
        <f t="array" aca="1" ref="I56" ca="1">IF(ISREF(INDIRECT("'Phase 2'!A1")),IF($E$43=0,GetCostColumn,IF(ISTEXT($C56),GetCostColumn *$E$43+GetCostColumn,GetCostColumn )))</f>
        <v>10</v>
      </c>
      <c r="J56" s="221">
        <f ca="1">IF(ISREF(INDIRECT("'Phase 3'!A1")),IC_3,"")</f>
        <v>10</v>
      </c>
      <c r="K56" s="157" cm="1">
        <f t="array" aca="1" ref="K56" ca="1">IF(ISREF(INDIRECT("'Phase 3'!A1")),IF($E$43=0,GetCostColumn,IF(ISTEXT($C56),GetCostColumn *$E$43+GetCostColumn,GetCostColumn )))</f>
        <v>10</v>
      </c>
      <c r="L56" s="221">
        <f ca="1">IF(ISREF(INDIRECT("'Phase 4'!A1")),IC_4,"")</f>
        <v>10</v>
      </c>
      <c r="M56" s="157" cm="1">
        <f t="array" aca="1" ref="M56" ca="1">IF(ISREF(INDIRECT("'Phase 4'!A1")),IF($E$43=0,GetCostColumn,IF(ISTEXT($C56),GetCostColumn *$E$43+GetCostColumn,GetCostColumn )))</f>
        <v>10</v>
      </c>
      <c r="N56" s="221">
        <f ca="1">IF(ISREF(INDIRECT("'Phase 5'!A1")),IC_5,"")</f>
        <v>10</v>
      </c>
      <c r="O56" s="157" cm="1">
        <f t="array" aca="1" ref="O56" ca="1">IF(ISREF(INDIRECT("'Phase 5'!A1")),IF($E$43=0,GetCostColumn,IF(ISTEXT($C56),GetCostColumn *$E$43+GetCostColumn,GetCostColumn )))</f>
        <v>10</v>
      </c>
      <c r="P56" s="221">
        <f ca="1">IF(ISREF(INDIRECT("'Phase 6'!A1")),IC_6,"")</f>
        <v>10</v>
      </c>
      <c r="Q56" s="157" cm="1">
        <f t="array" aca="1" ref="Q56" ca="1">IF(ISREF(INDIRECT("'Phase 6'!A1")),IF($E$43=0,GetCostColumn,IF(ISTEXT($C56),GetCostColumn *$E$43+GetCostColumn,GetCostColumn )))</f>
        <v>10</v>
      </c>
      <c r="R56" s="221">
        <f ca="1">IF(ISREF(INDIRECT("'Phase 7'!A1")),IC_7,"")</f>
        <v>10</v>
      </c>
      <c r="S56" s="157" cm="1">
        <f t="array" aca="1" ref="S56" ca="1">IF(ISREF(INDIRECT("'Phase 7'!A1")),IF($E$43=0,GetCostColumn,IF(ISTEXT($C56),GetCostColumn *$E$43+GetCostColumn,GetCostColumn )))</f>
        <v>10</v>
      </c>
      <c r="T56" s="221">
        <f ca="1">IF(ISREF(INDIRECT("'Phase 8'!A1")),IC_8,"")</f>
        <v>10</v>
      </c>
      <c r="U56" s="157" cm="1">
        <f t="array" aca="1" ref="U56" ca="1">IF(ISREF(INDIRECT("'Phase 8'!A1")),IF($E$43=0,GetCostColumn,IF(ISTEXT($C56),GetCostColumn *$E$43+GetCostColumn,GetCostColumn )))</f>
        <v>10</v>
      </c>
      <c r="V56" s="221">
        <f ca="1">IF(ISREF(INDIRECT("'Phase 9'!A1")),IC_9,"")</f>
        <v>10</v>
      </c>
      <c r="W56" s="157" cm="1">
        <f t="array" aca="1" ref="W56" ca="1">IF(ISREF(INDIRECT("'Phase 9'!A1")),IF($E$43=0,GetCostColumn,IF(ISTEXT($C56),GetCostColumn *$E$43+GetCostColumn,GetCostColumn )))</f>
        <v>10</v>
      </c>
      <c r="X56" s="221">
        <f ca="1">IF(ISREF(INDIRECT("'Phase 10'!A1")),IC_10,"")</f>
        <v>10</v>
      </c>
      <c r="Y56" s="157" cm="1">
        <f t="array" aca="1" ref="Y56" ca="1">IF(ISREF(INDIRECT("'Phase 10'!A1")),IF($E$43=0,GetCostColumn,IF(ISTEXT($C56),GetCostColumn *$E$43+GetCostColumn,GetCostColumn )))</f>
        <v>10</v>
      </c>
      <c r="Z56" s="1226">
        <f>IC_11</f>
        <v>10</v>
      </c>
      <c r="AA56" s="1210">
        <f ca="1">IF($E$43=0,GetCostColumn,IF(ISTEXT($C56),GetCostColumn *$E$43+GetCostColumn,GetCostColumn ))</f>
        <v>10</v>
      </c>
      <c r="AB56" s="1226">
        <f>IC_12</f>
        <v>10</v>
      </c>
      <c r="AC56" s="1210">
        <f ca="1">IF($E$43=0,GetCostColumn,IF(ISTEXT($C56),GetCostColumn *$E$43+GetCostColumn,GetCostColumn ))</f>
        <v>10</v>
      </c>
      <c r="AD56" s="1226">
        <f>IC_13</f>
        <v>10</v>
      </c>
      <c r="AE56" s="1210">
        <f ca="1">IF($E$43=0,GetCostColumn,IF(ISTEXT($C56),GetCostColumn *$E$43+GetCostColumn,GetCostColumn ))</f>
        <v>10</v>
      </c>
      <c r="AF56" s="1226">
        <f>IC_14</f>
        <v>10</v>
      </c>
      <c r="AG56" s="1210">
        <f ca="1">IF($E$43=0,GetCostColumn,IF(ISTEXT($C56),GetCostColumn *$E$43+GetCostColumn,GetCostColumn ))</f>
        <v>10</v>
      </c>
      <c r="AH56" s="1226">
        <f>IC_15</f>
        <v>10</v>
      </c>
      <c r="AI56" s="1210">
        <f ca="1">IF($E$43=0,GetCostColumn,IF(ISTEXT($C56),GetCostColumn *$E$43+GetCostColumn,GetCostColumn ))</f>
        <v>10</v>
      </c>
      <c r="AJ56" s="1226">
        <f>IC_16</f>
        <v>10</v>
      </c>
      <c r="AK56" s="1210">
        <f ca="1">IF($E$43=0,GetCostColumn,IF(ISTEXT($C56),GetCostColumn *$E$43+GetCostColumn,GetCostColumn ))</f>
        <v>10</v>
      </c>
      <c r="AL56" s="1226">
        <f>IC_17</f>
        <v>10</v>
      </c>
      <c r="AM56" s="1210">
        <f ca="1">IF($E$43=0,GetCostColumn,IF(ISTEXT($C56),GetCostColumn *$E$43+GetCostColumn,GetCostColumn ))</f>
        <v>10</v>
      </c>
      <c r="AN56" s="1226">
        <f>IC_18</f>
        <v>10</v>
      </c>
      <c r="AO56" s="1210">
        <f ca="1">IF($E$43=0,GetCostColumn,IF(ISTEXT($C56),GetCostColumn *$E$43+GetCostColumn,GetCostColumn ))</f>
        <v>10</v>
      </c>
      <c r="AP56" s="1226">
        <f>IC_19</f>
        <v>10</v>
      </c>
      <c r="AQ56" s="1210">
        <f ca="1">IF($E$43=0,GetCostColumn,IF(ISTEXT($C56),GetCostColumn *$E$43+GetCostColumn,GetCostColumn ))</f>
        <v>10</v>
      </c>
      <c r="AR56" s="1556">
        <f>IC_19</f>
        <v>10</v>
      </c>
      <c r="AS56" s="1210">
        <f ca="1">IF($E$43=0,GetCostColumn,IF(ISTEXT($C56),GetCostColumn *$E$43+GetCostColumn,GetCostColumn ))</f>
        <v>10</v>
      </c>
      <c r="AT56" s="1027"/>
      <c r="AU56" s="80" cm="1">
        <f t="array" aca="1" ref="AU56" ca="1">IFERROR(SUM(_xlfn._xlws.FILTER(INDEX(DynamicTotalAmount, 1, _xlfn.SEQUENCE(1, COLUMNS(DynamicTotalAmount), 1, 2)), ISNUMBER(INDEX(DynamicTotalAmount, 1, _xlfn.SEQUENCE(1, COLUMNS(DynamicTotalAmount), 1, 2))))),0)</f>
        <v>200</v>
      </c>
    </row>
    <row r="57" spans="1:47" ht="13.9" customHeight="1" x14ac:dyDescent="0.2">
      <c r="A57" s="1378"/>
      <c r="B57" s="128"/>
      <c r="C57" s="17"/>
      <c r="D57" s="9"/>
      <c r="E57" s="628" t="s">
        <v>294</v>
      </c>
      <c r="F57" s="630"/>
      <c r="G57" s="157" cm="1">
        <f t="array" aca="1" ref="G57" ca="1">IF($E$43=0,GetCostColumn,IF(ISTEXT($C57),GetCostColumn *$E$43+GetCostColumn,GetCostColumn ))</f>
        <v>0</v>
      </c>
      <c r="H57" s="630"/>
      <c r="I57" s="157" cm="1">
        <f t="array" aca="1" ref="I57" ca="1">IF($E$43=0,GetCostColumn,IF(ISTEXT($C57),GetCostColumn *$E$43+GetCostColumn,GetCostColumn ))</f>
        <v>0</v>
      </c>
      <c r="J57" s="630"/>
      <c r="K57" s="157" cm="1">
        <f t="array" aca="1" ref="K57" ca="1">IF($E$43=0,GetCostColumn,IF(ISTEXT($C57),GetCostColumn *$E$43+GetCostColumn,GetCostColumn ))</f>
        <v>0</v>
      </c>
      <c r="L57" s="630"/>
      <c r="M57" s="157" cm="1">
        <f t="array" aca="1" ref="M57" ca="1">IF($E$43=0,GetCostColumn,IF(ISTEXT($C57),GetCostColumn *$E$43+GetCostColumn,GetCostColumn ))</f>
        <v>0</v>
      </c>
      <c r="N57" s="630"/>
      <c r="O57" s="157" cm="1">
        <f t="array" aca="1" ref="O57" ca="1">IF($E$43=0,GetCostColumn,IF(ISTEXT($C57),GetCostColumn *$E$43+GetCostColumn,GetCostColumn ))</f>
        <v>0</v>
      </c>
      <c r="P57" s="630"/>
      <c r="Q57" s="157" cm="1">
        <f t="array" aca="1" ref="Q57" ca="1">IF($E$43=0,GetCostColumn,IF(ISTEXT($C57),GetCostColumn *$E$43+GetCostColumn,GetCostColumn ))</f>
        <v>0</v>
      </c>
      <c r="R57" s="630"/>
      <c r="S57" s="157" cm="1">
        <f t="array" aca="1" ref="S57" ca="1">IF($E$43=0,GetCostColumn,IF(ISTEXT($C57),GetCostColumn *$E$43+GetCostColumn,GetCostColumn ))</f>
        <v>0</v>
      </c>
      <c r="T57" s="630"/>
      <c r="U57" s="157" cm="1">
        <f t="array" aca="1" ref="U57" ca="1">IF($E$43=0,GetCostColumn,IF(ISTEXT($C57),GetCostColumn *$E$43+GetCostColumn,GetCostColumn ))</f>
        <v>0</v>
      </c>
      <c r="V57" s="630"/>
      <c r="W57" s="157" cm="1">
        <f t="array" aca="1" ref="W57" ca="1">IF($E$43=0,GetCostColumn,IF(ISTEXT($C57),GetCostColumn *$E$43+GetCostColumn,GetCostColumn ))</f>
        <v>0</v>
      </c>
      <c r="X57" s="630"/>
      <c r="Y57" s="157" cm="1">
        <f t="array" aca="1" ref="Y57" ca="1">IF($E$43=0,GetCostColumn,IF(ISTEXT($C57),GetCostColumn *$E$43+GetCostColumn,GetCostColumn ))</f>
        <v>0</v>
      </c>
      <c r="Z57" s="1226"/>
      <c r="AA57" s="1210"/>
      <c r="AB57" s="1226"/>
      <c r="AC57" s="1210"/>
      <c r="AD57" s="1226"/>
      <c r="AE57" s="1210"/>
      <c r="AF57" s="1226"/>
      <c r="AG57" s="1210"/>
      <c r="AH57" s="1226"/>
      <c r="AI57" s="1210"/>
      <c r="AJ57" s="1226"/>
      <c r="AK57" s="1210"/>
      <c r="AL57" s="1226"/>
      <c r="AM57" s="1210"/>
      <c r="AN57" s="1226"/>
      <c r="AO57" s="1210"/>
      <c r="AP57" s="1226"/>
      <c r="AQ57" s="1210"/>
      <c r="AR57" s="1556"/>
      <c r="AS57" s="1210"/>
      <c r="AT57" s="1027"/>
      <c r="AU57" s="80" cm="1">
        <f t="array" aca="1" ref="AU57" ca="1">SUM(_xlfn._xlws.FILTER(INDEX(DynamicTotalAmount, 1, _xlfn.SEQUENCE(1, COLUMNS(DynamicTotalAmount), 1, 2)), ISNUMBER(INDEX(DynamicTotalAmount, 1, _xlfn.SEQUENCE(1, COLUMNS(DynamicTotalAmount), 1, 2)))))</f>
        <v>0</v>
      </c>
    </row>
    <row r="58" spans="1:47" ht="13.9" customHeight="1" x14ac:dyDescent="0.2">
      <c r="A58" s="1378"/>
      <c r="B58" s="128"/>
      <c r="C58" s="17" t="s">
        <v>72</v>
      </c>
      <c r="D58" s="1374" t="s">
        <v>121</v>
      </c>
      <c r="E58" s="1375"/>
      <c r="F58" s="221">
        <f ca="1">IF(ISREF(INDIRECT("'Phase 1'!A1")),_SH1,"")</f>
        <v>10.6</v>
      </c>
      <c r="G58" s="157" cm="1">
        <f t="array" aca="1" ref="G58" ca="1">IF(ISREF(INDIRECT("'Phase 1'!A1")),IF($E$43=0,GetCostColumn,IF(ISTEXT($C58),GetCostColumn *$E$43+GetCostColumn,GetCostColumn )))</f>
        <v>12.19</v>
      </c>
      <c r="H58" s="221">
        <f ca="1">IF(ISREF(INDIRECT("'Phase 2'!A1")),_SH2,"")</f>
        <v>10.6</v>
      </c>
      <c r="I58" s="157" cm="1">
        <f t="array" aca="1" ref="I58" ca="1">IF(ISREF(INDIRECT("'Phase 2'!A1")),IF($E$43=0,GetCostColumn,IF(ISTEXT($C58),GetCostColumn *$E$43+GetCostColumn,GetCostColumn )))</f>
        <v>12.19</v>
      </c>
      <c r="J58" s="221">
        <f ca="1">IF(ISREF(INDIRECT("'Phase 3'!A1")),_SH3,"")</f>
        <v>10.6</v>
      </c>
      <c r="K58" s="157" cm="1">
        <f t="array" aca="1" ref="K58" ca="1">IF(ISREF(INDIRECT("'Phase 3'!A1")),IF($E$43=0,GetCostColumn,IF(ISTEXT($C58),GetCostColumn *$E$43+GetCostColumn,GetCostColumn )))</f>
        <v>12.19</v>
      </c>
      <c r="L58" s="221">
        <f ca="1">IF(ISREF(INDIRECT("'Phase 4'!A1")),_SH4,"")</f>
        <v>10.6</v>
      </c>
      <c r="M58" s="157" cm="1">
        <f t="array" aca="1" ref="M58" ca="1">IF(ISREF(INDIRECT("'Phase 4'!A1")),IF($E$43=0,GetCostColumn,IF(ISTEXT($C58),GetCostColumn *$E$43+GetCostColumn,GetCostColumn )))</f>
        <v>12.19</v>
      </c>
      <c r="N58" s="221">
        <f ca="1">IF(ISREF(INDIRECT("'Phase 5'!A1")),_SH5,"")</f>
        <v>10.6</v>
      </c>
      <c r="O58" s="157" cm="1">
        <f t="array" aca="1" ref="O58" ca="1">IF(ISREF(INDIRECT("'Phase 5'!A1")),IF($E$43=0,GetCostColumn,IF(ISTEXT($C58),GetCostColumn *$E$43+GetCostColumn,GetCostColumn )))</f>
        <v>12.19</v>
      </c>
      <c r="P58" s="221">
        <f ca="1">IF(ISREF(INDIRECT("'Phase 6'!A1")),_SH6,"")</f>
        <v>10.6</v>
      </c>
      <c r="Q58" s="157" cm="1">
        <f t="array" aca="1" ref="Q58" ca="1">IF(ISREF(INDIRECT("'Phase 6'!A1")),IF($E$43=0,GetCostColumn,IF(ISTEXT($C58),GetCostColumn *$E$43+GetCostColumn,GetCostColumn )))</f>
        <v>12.19</v>
      </c>
      <c r="R58" s="221">
        <f ca="1">IF(ISREF(INDIRECT("'Phase 7'!A1")),_SH7,"")</f>
        <v>10.6</v>
      </c>
      <c r="S58" s="157" cm="1">
        <f t="array" aca="1" ref="S58" ca="1">IF(ISREF(INDIRECT("'Phase 7'!A1")),IF($E$43=0,GetCostColumn,IF(ISTEXT($C58),GetCostColumn *$E$43+GetCostColumn,GetCostColumn )))</f>
        <v>12.19</v>
      </c>
      <c r="T58" s="221">
        <f ca="1">IF(ISREF(INDIRECT("'Phase 8'!A1")),_SH8,"")</f>
        <v>10.6</v>
      </c>
      <c r="U58" s="157" cm="1">
        <f t="array" aca="1" ref="U58" ca="1">IF(ISREF(INDIRECT("'Phase 8'!A1")),IF($E$43=0,GetCostColumn,IF(ISTEXT($C58),GetCostColumn *$E$43+GetCostColumn,GetCostColumn )))</f>
        <v>12.19</v>
      </c>
      <c r="V58" s="221">
        <f ca="1">IF(ISREF(INDIRECT("'Phase 9'!A1")),_SH9,"")</f>
        <v>10.6</v>
      </c>
      <c r="W58" s="157" cm="1">
        <f t="array" aca="1" ref="W58" ca="1">IF(ISREF(INDIRECT("'Phase 9'!A1")),IF($E$43=0,GetCostColumn,IF(ISTEXT($C58),GetCostColumn *$E$43+GetCostColumn,GetCostColumn )))</f>
        <v>12.19</v>
      </c>
      <c r="X58" s="221">
        <f ca="1">IF(ISREF(INDIRECT("'Phase 10'!A1")),_SH10,"")</f>
        <v>10.6</v>
      </c>
      <c r="Y58" s="157" cm="1">
        <f t="array" aca="1" ref="Y58" ca="1">IF(ISREF(INDIRECT("'Phase 10'!A1")),IF($E$43=0,GetCostColumn,IF(ISTEXT($C58),GetCostColumn *$E$43+GetCostColumn,GetCostColumn )))</f>
        <v>12.19</v>
      </c>
      <c r="Z58" s="1226">
        <f>_SH11</f>
        <v>10.6</v>
      </c>
      <c r="AA58" s="1210">
        <f ca="1">IF($E$43=0,GetCostColumn,IF(ISTEXT($C58),GetCostColumn *$E$43+GetCostColumn,GetCostColumn ))</f>
        <v>12.19</v>
      </c>
      <c r="AB58" s="1226">
        <f>_SH12</f>
        <v>10.6</v>
      </c>
      <c r="AC58" s="1210">
        <f ca="1">IF($E$43=0,GetCostColumn,IF(ISTEXT($C58),GetCostColumn *$E$43+GetCostColumn,GetCostColumn ))</f>
        <v>12.19</v>
      </c>
      <c r="AD58" s="1226">
        <f>_SH13</f>
        <v>10.6</v>
      </c>
      <c r="AE58" s="1210">
        <f ca="1">IF($E$43=0,GetCostColumn,IF(ISTEXT($C58),GetCostColumn *$E$43+GetCostColumn,GetCostColumn ))</f>
        <v>12.19</v>
      </c>
      <c r="AF58" s="1226">
        <f>_SH14</f>
        <v>10.6</v>
      </c>
      <c r="AG58" s="1210">
        <f ca="1">IF($E$43=0,GetCostColumn,IF(ISTEXT($C58),GetCostColumn *$E$43+GetCostColumn,GetCostColumn ))</f>
        <v>12.19</v>
      </c>
      <c r="AH58" s="1226">
        <f>_SH15</f>
        <v>10.6</v>
      </c>
      <c r="AI58" s="1210">
        <f ca="1">IF($E$43=0,GetCostColumn,IF(ISTEXT($C58),GetCostColumn *$E$43+GetCostColumn,GetCostColumn ))</f>
        <v>12.19</v>
      </c>
      <c r="AJ58" s="1226">
        <f>_SH16</f>
        <v>10.6</v>
      </c>
      <c r="AK58" s="1210">
        <f ca="1">IF($E$43=0,GetCostColumn,IF(ISTEXT($C58),GetCostColumn *$E$43+GetCostColumn,GetCostColumn ))</f>
        <v>12.19</v>
      </c>
      <c r="AL58" s="1226">
        <f>_SH17</f>
        <v>10.6</v>
      </c>
      <c r="AM58" s="1210">
        <f ca="1">IF($E$43=0,GetCostColumn,IF(ISTEXT($C58),GetCostColumn *$E$43+GetCostColumn,GetCostColumn ))</f>
        <v>12.19</v>
      </c>
      <c r="AN58" s="1226">
        <f>_SH18</f>
        <v>10.6</v>
      </c>
      <c r="AO58" s="1210">
        <f ca="1">IF($E$43=0,GetCostColumn,IF(ISTEXT($C58),GetCostColumn *$E$43+GetCostColumn,GetCostColumn ))</f>
        <v>12.19</v>
      </c>
      <c r="AP58" s="1226">
        <f>_SH19</f>
        <v>10.6</v>
      </c>
      <c r="AQ58" s="1210">
        <f ca="1">IF($E$43=0,GetCostColumn,IF(ISTEXT($C58),GetCostColumn *$E$43+GetCostColumn,GetCostColumn ))</f>
        <v>12.19</v>
      </c>
      <c r="AR58" s="1556">
        <f>_SH20</f>
        <v>10.6</v>
      </c>
      <c r="AS58" s="1210">
        <f ca="1">IF($E$43=0,GetCostColumn,IF(ISTEXT($C58),GetCostColumn *$E$43+GetCostColumn,GetCostColumn ))</f>
        <v>12.19</v>
      </c>
      <c r="AT58" s="1027"/>
      <c r="AU58" s="80" cm="1">
        <f t="array" aca="1" ref="AU58" ca="1">IFERROR(SUM(_xlfn._xlws.FILTER(INDEX(DynamicTotalAmount, 1, _xlfn.SEQUENCE(1, COLUMNS(DynamicTotalAmount), 1, 2)), ISNUMBER(INDEX(DynamicTotalAmount, 1, _xlfn.SEQUENCE(1, COLUMNS(DynamicTotalAmount), 1, 2))))),0)</f>
        <v>243.79999999999998</v>
      </c>
    </row>
    <row r="59" spans="1:47" ht="13.9" customHeight="1" x14ac:dyDescent="0.2">
      <c r="A59" s="1378"/>
      <c r="B59" s="130"/>
      <c r="C59" s="17"/>
      <c r="D59" s="1370"/>
      <c r="E59" s="1371"/>
      <c r="F59" s="20" t="s">
        <v>28</v>
      </c>
      <c r="G59" s="84" t="s">
        <v>28</v>
      </c>
      <c r="H59" s="20" t="s">
        <v>28</v>
      </c>
      <c r="I59" s="84" t="s">
        <v>28</v>
      </c>
      <c r="J59" s="20" t="s">
        <v>28</v>
      </c>
      <c r="K59" s="84" t="s">
        <v>28</v>
      </c>
      <c r="L59" s="20" t="s">
        <v>28</v>
      </c>
      <c r="M59" s="84" t="s">
        <v>28</v>
      </c>
      <c r="N59" s="20" t="s">
        <v>28</v>
      </c>
      <c r="O59" s="84" t="s">
        <v>28</v>
      </c>
      <c r="P59" s="20" t="s">
        <v>28</v>
      </c>
      <c r="Q59" s="84" t="s">
        <v>28</v>
      </c>
      <c r="R59" s="20" t="s">
        <v>28</v>
      </c>
      <c r="S59" s="84" t="s">
        <v>28</v>
      </c>
      <c r="T59" s="20" t="s">
        <v>28</v>
      </c>
      <c r="U59" s="84" t="s">
        <v>28</v>
      </c>
      <c r="V59" s="20" t="s">
        <v>28</v>
      </c>
      <c r="W59" s="84" t="s">
        <v>28</v>
      </c>
      <c r="X59" s="20" t="s">
        <v>28</v>
      </c>
      <c r="Y59" s="84" t="s">
        <v>28</v>
      </c>
      <c r="Z59" s="136" t="s">
        <v>28</v>
      </c>
      <c r="AA59" s="1208" t="s">
        <v>28</v>
      </c>
      <c r="AB59" s="136" t="s">
        <v>28</v>
      </c>
      <c r="AC59" s="1208" t="s">
        <v>28</v>
      </c>
      <c r="AD59" s="136" t="s">
        <v>28</v>
      </c>
      <c r="AE59" s="1208" t="s">
        <v>28</v>
      </c>
      <c r="AF59" s="136" t="s">
        <v>28</v>
      </c>
      <c r="AG59" s="1208" t="s">
        <v>28</v>
      </c>
      <c r="AH59" s="136" t="s">
        <v>28</v>
      </c>
      <c r="AI59" s="1208" t="s">
        <v>28</v>
      </c>
      <c r="AJ59" s="136" t="s">
        <v>28</v>
      </c>
      <c r="AK59" s="1208" t="s">
        <v>28</v>
      </c>
      <c r="AL59" s="136" t="s">
        <v>28</v>
      </c>
      <c r="AM59" s="1208" t="s">
        <v>28</v>
      </c>
      <c r="AN59" s="136" t="s">
        <v>28</v>
      </c>
      <c r="AO59" s="1208" t="s">
        <v>28</v>
      </c>
      <c r="AP59" s="136" t="s">
        <v>28</v>
      </c>
      <c r="AQ59" s="1208" t="s">
        <v>28</v>
      </c>
      <c r="AR59" s="1551" t="s">
        <v>28</v>
      </c>
      <c r="AS59" s="1208" t="s">
        <v>28</v>
      </c>
      <c r="AT59" s="136" t="s">
        <v>28</v>
      </c>
      <c r="AU59" s="84" t="s">
        <v>28</v>
      </c>
    </row>
    <row r="60" spans="1:47" ht="13.9" customHeight="1" x14ac:dyDescent="0.2">
      <c r="A60" s="1379"/>
      <c r="B60" s="130"/>
      <c r="C60" s="17"/>
      <c r="D60" s="1372" t="s">
        <v>29</v>
      </c>
      <c r="E60" s="1373"/>
      <c r="F60" s="1030">
        <f t="shared" ref="F60:S60" ca="1" si="42">SUM(F51:F59)</f>
        <v>73</v>
      </c>
      <c r="G60" s="80">
        <f t="shared" ca="1" si="42"/>
        <v>80.949999999999989</v>
      </c>
      <c r="H60" s="1030">
        <f t="shared" ca="1" si="42"/>
        <v>73</v>
      </c>
      <c r="I60" s="80">
        <f t="shared" ca="1" si="42"/>
        <v>80.949999999999989</v>
      </c>
      <c r="J60" s="1030">
        <f t="shared" ca="1" si="42"/>
        <v>73</v>
      </c>
      <c r="K60" s="80">
        <f t="shared" ca="1" si="42"/>
        <v>80.949999999999989</v>
      </c>
      <c r="L60" s="1030">
        <f t="shared" ca="1" si="42"/>
        <v>73</v>
      </c>
      <c r="M60" s="80">
        <f t="shared" ca="1" si="42"/>
        <v>80.949999999999989</v>
      </c>
      <c r="N60" s="1030">
        <f t="shared" ca="1" si="42"/>
        <v>73</v>
      </c>
      <c r="O60" s="80">
        <f t="shared" ca="1" si="42"/>
        <v>80.949999999999989</v>
      </c>
      <c r="P60" s="1030">
        <f t="shared" ca="1" si="42"/>
        <v>73</v>
      </c>
      <c r="Q60" s="80">
        <f t="shared" ca="1" si="42"/>
        <v>80.949999999999989</v>
      </c>
      <c r="R60" s="1030">
        <f t="shared" ca="1" si="42"/>
        <v>73</v>
      </c>
      <c r="S60" s="80">
        <f t="shared" ca="1" si="42"/>
        <v>80.949999999999989</v>
      </c>
      <c r="T60" s="1030">
        <f t="shared" ref="T60:W60" ca="1" si="43">SUM(T51:T59)</f>
        <v>73</v>
      </c>
      <c r="U60" s="80">
        <f t="shared" ca="1" si="43"/>
        <v>80.949999999999989</v>
      </c>
      <c r="V60" s="1030">
        <f t="shared" ca="1" si="43"/>
        <v>73</v>
      </c>
      <c r="W60" s="80">
        <f t="shared" ca="1" si="43"/>
        <v>80.949999999999989</v>
      </c>
      <c r="X60" s="1030">
        <f ca="1">SUM(X51:X59)</f>
        <v>73</v>
      </c>
      <c r="Y60" s="80">
        <f ca="1">SUM(Y51:Y59)</f>
        <v>80.949999999999989</v>
      </c>
      <c r="Z60" s="1027">
        <f>SUM(Z51:Z59)</f>
        <v>73</v>
      </c>
      <c r="AA60" s="1207">
        <f ca="1">SUM(AA51:AA59)</f>
        <v>80.949999999999989</v>
      </c>
      <c r="AB60" s="1027">
        <f>SUM(AB51:AB58)</f>
        <v>73</v>
      </c>
      <c r="AC60" s="1207">
        <f ca="1">SUM(AC51:AC58)</f>
        <v>80.949999999999989</v>
      </c>
      <c r="AD60" s="1027">
        <f>SUM(AD51:AD58)</f>
        <v>73</v>
      </c>
      <c r="AE60" s="1207">
        <f ca="1">SUM(AE51:AE58)</f>
        <v>80.949999999999989</v>
      </c>
      <c r="AF60" s="1027">
        <f>SUM(AF51:AF59)</f>
        <v>73</v>
      </c>
      <c r="AG60" s="1207">
        <f ca="1">SUM(AG51:AG59)</f>
        <v>80.949999999999989</v>
      </c>
      <c r="AH60" s="1027">
        <f>SUM(AH51:AH59)</f>
        <v>73</v>
      </c>
      <c r="AI60" s="1207">
        <f ca="1">SUM(AI51:AI59)</f>
        <v>80.949999999999989</v>
      </c>
      <c r="AJ60" s="1027">
        <f>SUM(AJ51:AJ58)</f>
        <v>73</v>
      </c>
      <c r="AK60" s="1207">
        <f ca="1">SUM(AK51:AK58)</f>
        <v>80.949999999999989</v>
      </c>
      <c r="AL60" s="1027">
        <f>SUM(AL51:AL59)</f>
        <v>73</v>
      </c>
      <c r="AM60" s="1207">
        <f ca="1">SUM(AM51:AM59)</f>
        <v>80.949999999999989</v>
      </c>
      <c r="AN60" s="1027">
        <f t="shared" ref="AN60:AQ60" si="44">SUM(AN51:AN58)</f>
        <v>73</v>
      </c>
      <c r="AO60" s="1207">
        <f t="shared" ca="1" si="44"/>
        <v>80.949999999999989</v>
      </c>
      <c r="AP60" s="1027">
        <f t="shared" si="44"/>
        <v>73</v>
      </c>
      <c r="AQ60" s="1207">
        <f t="shared" ca="1" si="44"/>
        <v>80.949999999999989</v>
      </c>
      <c r="AR60" s="1550">
        <f>SUM(AR51:AR58)</f>
        <v>73</v>
      </c>
      <c r="AS60" s="1207">
        <f ca="1">SUM(AS51:AS58)</f>
        <v>80.949999999999989</v>
      </c>
      <c r="AT60" s="1048">
        <f ca="1">(X60+V60+T60+R60+P60+N60+L60+J60+H60+F60+Z60+AB60+AD60+AF60+AH60+AJ60+AL60+AN60+AP60+AR60)</f>
        <v>1460</v>
      </c>
      <c r="AU60" s="80">
        <f ca="1">(G60+I60+K60+M60+O60+Q60+S60+U60+W60+Y60+AA60+AC60+AE60+AG60+AI60+AK60+AM60+AO60+AQ60+AS60)</f>
        <v>1619.0000000000005</v>
      </c>
    </row>
    <row r="61" spans="1:47" ht="13.9" customHeight="1" x14ac:dyDescent="0.2">
      <c r="A61" s="1393" t="s">
        <v>80</v>
      </c>
      <c r="B61" s="131"/>
      <c r="C61" s="16" t="s">
        <v>72</v>
      </c>
      <c r="D61" s="160" t="s">
        <v>124</v>
      </c>
      <c r="E61" s="631"/>
      <c r="F61" s="220">
        <f ca="1">IF(ISREF(INDIRECT("'Phase 1'!A1")),E1SI,"")</f>
        <v>7.42</v>
      </c>
      <c r="G61" s="1000" cm="1">
        <f t="array" aca="1" ref="G61" ca="1">IF(ISREF(INDIRECT("'Phase 1'!A1")),IF($E$42=0,GetCostColumn,IF(ISTEXT($C61),GetCostColumn *$E$42+GetCostColumn,GetCostColumn )))</f>
        <v>8.5329999999999995</v>
      </c>
      <c r="H61" s="220">
        <f ca="1">IF(ISREF(INDIRECT("'Phase 2'!A1")),E2SI,"")</f>
        <v>7.42</v>
      </c>
      <c r="I61" s="1000" cm="1">
        <f t="array" aca="1" ref="I61" ca="1">IF(ISREF(INDIRECT("'Phase 2'!A1")),IF($E$42=0,GetCostColumn,IF(ISTEXT($C61),GetCostColumn *$E$42+GetCostColumn,GetCostColumn )))</f>
        <v>8.5329999999999995</v>
      </c>
      <c r="J61" s="220">
        <f ca="1">IF(ISREF(INDIRECT("'Phase 3'!A1")),E3SI,"")</f>
        <v>7.42</v>
      </c>
      <c r="K61" s="1000" cm="1">
        <f t="array" aca="1" ref="K61" ca="1">IF(ISREF(INDIRECT("'Phase 3'!A1")),IF($E$42=0,GetCostColumn,IF(ISTEXT($C61),GetCostColumn *$E$42+GetCostColumn,GetCostColumn )))</f>
        <v>8.5329999999999995</v>
      </c>
      <c r="L61" s="220">
        <f ca="1">IF(ISREF(INDIRECT("'Phase 4'!A1")),E4SI,"")</f>
        <v>7.42</v>
      </c>
      <c r="M61" s="1000" cm="1">
        <f t="array" aca="1" ref="M61" ca="1">IF(ISREF(INDIRECT("'Phase 4'!A1")),IF($E$42=0,GetCostColumn,IF(ISTEXT($C61),GetCostColumn *$E$42+GetCostColumn,GetCostColumn )))</f>
        <v>8.5329999999999995</v>
      </c>
      <c r="N61" s="220">
        <f ca="1">IF(ISREF(INDIRECT("'Phase 5'!A1")),E5SI,"")</f>
        <v>7.42</v>
      </c>
      <c r="O61" s="156" cm="1">
        <f t="array" aca="1" ref="O61" ca="1">IF(ISREF(INDIRECT("'Phase 5'!A1")),IF($E$42=0,GetCostColumn,IF(ISTEXT($C61),GetCostColumn *$E$42+GetCostColumn,GetCostColumn )))</f>
        <v>8.5329999999999995</v>
      </c>
      <c r="P61" s="220">
        <f ca="1">IF(ISREF(INDIRECT("'Phase 6'!A1")),E6SI,"")</f>
        <v>7.42</v>
      </c>
      <c r="Q61" s="1000" cm="1">
        <f t="array" aca="1" ref="Q61" ca="1">IF(ISREF(INDIRECT("'Phase 6'!A1")),IF($E$42=0,GetCostColumn,IF(ISTEXT($C61),GetCostColumn *$E$42+GetCostColumn,GetCostColumn )))</f>
        <v>8.5329999999999995</v>
      </c>
      <c r="R61" s="220">
        <f ca="1">IF(ISREF(INDIRECT("'Phase 7'!A1")),E7SI,"")</f>
        <v>7.42</v>
      </c>
      <c r="S61" s="156" cm="1">
        <f t="array" aca="1" ref="S61" ca="1">IF(ISREF(INDIRECT("'Phase 7'!A1")),IF($E$42=0,GetCostColumn,IF(ISTEXT($C61),GetCostColumn *$E$42+GetCostColumn,GetCostColumn )))</f>
        <v>8.5329999999999995</v>
      </c>
      <c r="T61" s="220">
        <f ca="1">IF(ISREF(INDIRECT("'Phase 8'!A1")),E8SI,"")</f>
        <v>7.42</v>
      </c>
      <c r="U61" s="156" cm="1">
        <f t="array" aca="1" ref="U61" ca="1">IF(ISREF(INDIRECT("'Phase 8'!A1")),IF($E$42=0,GetCostColumn,IF(ISTEXT($C61),GetCostColumn *$E$42+GetCostColumn,GetCostColumn )))</f>
        <v>8.5329999999999995</v>
      </c>
      <c r="V61" s="220">
        <f ca="1">IF(ISREF(INDIRECT("'Phase 9'!A1")),E9SI,"")</f>
        <v>7.42</v>
      </c>
      <c r="W61" s="1000" cm="1">
        <f t="array" aca="1" ref="W61" ca="1">IF(ISREF(INDIRECT("'Phase 9'!A1")),IF($E$42=0,GetCostColumn,IF(ISTEXT($C61),GetCostColumn *$E$42+GetCostColumn,GetCostColumn )))</f>
        <v>8.5329999999999995</v>
      </c>
      <c r="X61" s="220">
        <f ca="1">IF(ISREF(INDIRECT("'Phase 10'!A1")),E10SI,"")</f>
        <v>7.42</v>
      </c>
      <c r="Y61" s="156" cm="1">
        <f t="array" aca="1" ref="Y61" ca="1">IF(ISREF(INDIRECT("'Phase 10'!A1")),IF($E$42=0,GetCostColumn,IF(ISTEXT($C61),GetCostColumn *$E$42+GetCostColumn,GetCostColumn )))</f>
        <v>8.5329999999999995</v>
      </c>
      <c r="Z61" s="1196">
        <f>E11SI</f>
        <v>7.42</v>
      </c>
      <c r="AA61" s="1209">
        <f ca="1">IF($E$42=0,GetCostColumn,IF(ISTEXT($C61),GetCostColumn *$E$42+GetCostColumn,GetCostColumn ))</f>
        <v>8.5329999999999995</v>
      </c>
      <c r="AB61" s="1196">
        <f>E12SI</f>
        <v>7.42</v>
      </c>
      <c r="AC61" s="1209">
        <f t="shared" ref="AC61:AC68" ca="1" si="45">IF($E$42=0,GetCostColumn,IF(ISTEXT($C61),GetCostColumn *$E$42+GetCostColumn,GetCostColumn ))</f>
        <v>8.5329999999999995</v>
      </c>
      <c r="AD61" s="1196">
        <f>E13SI</f>
        <v>7.42</v>
      </c>
      <c r="AE61" s="1209">
        <f t="shared" ref="AE61:AE68" ca="1" si="46">IF($E$42=0,GetCostColumn,IF(ISTEXT($C61),GetCostColumn *$E$42+GetCostColumn,GetCostColumn ))</f>
        <v>8.5329999999999995</v>
      </c>
      <c r="AF61" s="1196">
        <f>E14SI</f>
        <v>7.42</v>
      </c>
      <c r="AG61" s="1209">
        <f t="shared" ref="AG61:AG68" ca="1" si="47">IF($E$42=0,GetCostColumn,IF(ISTEXT($C61),GetCostColumn *$E$42+GetCostColumn,GetCostColumn ))</f>
        <v>8.5329999999999995</v>
      </c>
      <c r="AH61" s="1196">
        <f>E15SI</f>
        <v>7.42</v>
      </c>
      <c r="AI61" s="1209">
        <f t="shared" ref="AI61:AI68" ca="1" si="48">IF($E$42=0,GetCostColumn,IF(ISTEXT($C61),GetCostColumn *$E$42+GetCostColumn,GetCostColumn ))</f>
        <v>8.5329999999999995</v>
      </c>
      <c r="AJ61" s="1196">
        <f>E16SI</f>
        <v>7.42</v>
      </c>
      <c r="AK61" s="1209">
        <f t="shared" ref="AK61:AK68" ca="1" si="49">IF($E$42=0,GetCostColumn,IF(ISTEXT($C61),GetCostColumn *$E$42+GetCostColumn,GetCostColumn ))</f>
        <v>8.5329999999999995</v>
      </c>
      <c r="AL61" s="1196">
        <f>E17SI</f>
        <v>7.42</v>
      </c>
      <c r="AM61" s="1209">
        <f t="shared" ref="AM61:AM68" ca="1" si="50">IF($E$42=0,GetCostColumn,IF(ISTEXT($C61),GetCostColumn *$E$42+GetCostColumn,GetCostColumn ))</f>
        <v>8.5329999999999995</v>
      </c>
      <c r="AN61" s="1196">
        <f>E18SI</f>
        <v>7.42</v>
      </c>
      <c r="AO61" s="1209">
        <f t="shared" ref="AO61:AO68" ca="1" si="51">IF($E$42=0,GetCostColumn,IF(ISTEXT($C61),GetCostColumn *$E$42+GetCostColumn,GetCostColumn ))</f>
        <v>8.5329999999999995</v>
      </c>
      <c r="AP61" s="1196">
        <f>E19SI</f>
        <v>7.42</v>
      </c>
      <c r="AQ61" s="1209">
        <f t="shared" ref="AQ61:AQ68" ca="1" si="52">IF($E$42=0,GetCostColumn,IF(ISTEXT($C61),GetCostColumn *$E$42+GetCostColumn,GetCostColumn ))</f>
        <v>8.5329999999999995</v>
      </c>
      <c r="AR61" s="1196">
        <f>E20SI</f>
        <v>7.42</v>
      </c>
      <c r="AS61" s="1209">
        <f ca="1">IF($E$42=0,GetCostColumn,IF(ISTEXT($C61),GetCostColumn *$E$42+GetCostColumn,GetCostColumn ))</f>
        <v>8.5329999999999995</v>
      </c>
      <c r="AT61" s="81"/>
      <c r="AU61" s="79" cm="1">
        <f t="array" aca="1" ref="AU61" ca="1">IFERROR(SUM(_xlfn._xlws.FILTER(INDEX(DynamicTotalAmount, 1, _xlfn.SEQUENCE(1, COLUMNS(DynamicTotalAmount), 1, 2)), ISNUMBER(INDEX(DynamicTotalAmount, 1, _xlfn.SEQUENCE(1, COLUMNS(DynamicTotalAmount), 1, 2))))),0)</f>
        <v>170.65999999999994</v>
      </c>
    </row>
    <row r="62" spans="1:47" ht="13.9" customHeight="1" x14ac:dyDescent="0.2">
      <c r="A62" s="1378"/>
      <c r="B62" s="132"/>
      <c r="C62" s="17" t="s">
        <v>72</v>
      </c>
      <c r="D62" s="18" t="s">
        <v>122</v>
      </c>
      <c r="E62" s="632"/>
      <c r="F62" s="221">
        <f ca="1">IF(ISREF(INDIRECT("'Phase 1'!A1")),E1B,"")</f>
        <v>7.42</v>
      </c>
      <c r="G62" s="1035" cm="1">
        <f t="array" aca="1" ref="G62" ca="1">IF(ISREF(INDIRECT("'Phase 1'!A1")),IF($E$42=0,GetCostColumn,IF(ISTEXT($C62),GetCostColumn *$E$42+GetCostColumn,GetCostColumn )))</f>
        <v>8.5329999999999995</v>
      </c>
      <c r="H62" s="221">
        <f ca="1">IF(ISREF(INDIRECT("'Phase 2'!A1")),E2B,"")</f>
        <v>7.42</v>
      </c>
      <c r="I62" s="1035" cm="1">
        <f t="array" aca="1" ref="I62" ca="1">IF(ISREF(INDIRECT("'Phase 2'!A1")),IF($E$42=0,GetCostColumn,IF(ISTEXT($C62),GetCostColumn *$E$42+GetCostColumn,GetCostColumn )))</f>
        <v>8.5329999999999995</v>
      </c>
      <c r="J62" s="221">
        <f ca="1">IF(ISREF(INDIRECT("'Phase 3'!A1")),E3B,"")</f>
        <v>7.42</v>
      </c>
      <c r="K62" s="1035" cm="1">
        <f t="array" aca="1" ref="K62" ca="1">IF(ISREF(INDIRECT("'Phase 3'!A1")),IF($E$42=0,GetCostColumn,IF(ISTEXT($C62),GetCostColumn *$E$42+GetCostColumn,GetCostColumn )))</f>
        <v>8.5329999999999995</v>
      </c>
      <c r="L62" s="221">
        <f ca="1">IF(ISREF(INDIRECT("'Phase 4'!A1")),E4B,"")</f>
        <v>7.42</v>
      </c>
      <c r="M62" s="1035" cm="1">
        <f t="array" aca="1" ref="M62" ca="1">IF(ISREF(INDIRECT("'Phase 4'!A1")),IF($E$42=0,GetCostColumn,IF(ISTEXT($C62),GetCostColumn *$E$42+GetCostColumn,GetCostColumn )))</f>
        <v>8.5329999999999995</v>
      </c>
      <c r="N62" s="221">
        <f ca="1">IF(ISREF(INDIRECT("'Phase 5'!A1")),E5B,"")</f>
        <v>7.42</v>
      </c>
      <c r="O62" s="1035" cm="1">
        <f t="array" aca="1" ref="O62" ca="1">IF(ISREF(INDIRECT("'Phase 5'!A1")),IF($E$42=0,GetCostColumn,IF(ISTEXT($C62),GetCostColumn *$E$42+GetCostColumn,GetCostColumn )))</f>
        <v>8.5329999999999995</v>
      </c>
      <c r="P62" s="221">
        <f ca="1">IF(ISREF(INDIRECT("'Phase 6'!A1")),E6B,"")</f>
        <v>7.42</v>
      </c>
      <c r="Q62" s="1035" cm="1">
        <f t="array" aca="1" ref="Q62" ca="1">IF(ISREF(INDIRECT("'Phase 6'!A1")),IF($E$42=0,GetCostColumn,IF(ISTEXT($C62),GetCostColumn *$E$42+GetCostColumn,GetCostColumn )))</f>
        <v>8.5329999999999995</v>
      </c>
      <c r="R62" s="221">
        <f ca="1">IF(ISREF(INDIRECT("'Phase 7'!A1")),E7B,"")</f>
        <v>7.42</v>
      </c>
      <c r="S62" s="1035" cm="1">
        <f t="array" aca="1" ref="S62" ca="1">IF(ISREF(INDIRECT("'Phase 7'!A1")),IF($E$42=0,GetCostColumn,IF(ISTEXT($C62),GetCostColumn *$E$42+GetCostColumn,GetCostColumn )))</f>
        <v>8.5329999999999995</v>
      </c>
      <c r="T62" s="221">
        <f ca="1">IF(ISREF(INDIRECT("'Phase 8'!A1")),E8B,"")</f>
        <v>7.42</v>
      </c>
      <c r="U62" s="157" cm="1">
        <f t="array" aca="1" ref="U62" ca="1">IF(ISREF(INDIRECT("'Phase 8'!A1")),IF($E$42=0,GetCostColumn,IF(ISTEXT($C62),GetCostColumn *$E$42+GetCostColumn,GetCostColumn )))</f>
        <v>8.5329999999999995</v>
      </c>
      <c r="V62" s="221">
        <f ca="1">IF(ISREF(INDIRECT("'Phase 9'!A1")),E9B,"")</f>
        <v>7.42</v>
      </c>
      <c r="W62" s="1035" cm="1">
        <f t="array" aca="1" ref="W62" ca="1">IF(ISREF(INDIRECT("'Phase 9'!A1")),IF($E$42=0,GetCostColumn,IF(ISTEXT($C62),GetCostColumn *$E$42+GetCostColumn,GetCostColumn )))</f>
        <v>8.5329999999999995</v>
      </c>
      <c r="X62" s="221">
        <f ca="1">IF(ISREF(INDIRECT("'Phase 10'!A1")),E10B,"")</f>
        <v>7.42</v>
      </c>
      <c r="Y62" s="157" cm="1">
        <f t="array" aca="1" ref="Y62" ca="1">IF(ISREF(INDIRECT("'Phase 10'!A1")),IF($E$42=0,GetCostColumn,IF(ISTEXT($C62),GetCostColumn *$E$42+GetCostColumn,GetCostColumn )))</f>
        <v>8.5329999999999995</v>
      </c>
      <c r="Z62" s="1226">
        <f>E11B</f>
        <v>7.42</v>
      </c>
      <c r="AA62" s="1210">
        <f ca="1">IF($E$42=0,GetCostColumn,IF(ISTEXT($C61),GetCostColumn *$E$42+GetCostColumn,GetCostColumn ))</f>
        <v>8.5329999999999995</v>
      </c>
      <c r="AB62" s="1226">
        <f>E12B</f>
        <v>7.42</v>
      </c>
      <c r="AC62" s="1210">
        <f t="shared" ca="1" si="45"/>
        <v>8.5329999999999995</v>
      </c>
      <c r="AD62" s="1226">
        <f>E13B</f>
        <v>7.42</v>
      </c>
      <c r="AE62" s="1210">
        <f t="shared" ca="1" si="46"/>
        <v>8.5329999999999995</v>
      </c>
      <c r="AF62" s="1226">
        <f>E14B</f>
        <v>7.42</v>
      </c>
      <c r="AG62" s="1210">
        <f t="shared" ca="1" si="47"/>
        <v>8.5329999999999995</v>
      </c>
      <c r="AH62" s="1226">
        <f>E15B</f>
        <v>7.42</v>
      </c>
      <c r="AI62" s="1210">
        <f t="shared" ca="1" si="48"/>
        <v>8.5329999999999995</v>
      </c>
      <c r="AJ62" s="1226">
        <f>E16B</f>
        <v>7.42</v>
      </c>
      <c r="AK62" s="1210">
        <f t="shared" ca="1" si="49"/>
        <v>8.5329999999999995</v>
      </c>
      <c r="AL62" s="1226">
        <f>E17B</f>
        <v>7.42</v>
      </c>
      <c r="AM62" s="1210">
        <f t="shared" ca="1" si="50"/>
        <v>8.5329999999999995</v>
      </c>
      <c r="AN62" s="1226">
        <f>E18B</f>
        <v>7.42</v>
      </c>
      <c r="AO62" s="1210">
        <f t="shared" ca="1" si="51"/>
        <v>8.5329999999999995</v>
      </c>
      <c r="AP62" s="1226">
        <f>E19B</f>
        <v>7.42</v>
      </c>
      <c r="AQ62" s="1210">
        <f t="shared" ca="1" si="52"/>
        <v>8.5329999999999995</v>
      </c>
      <c r="AR62" s="1556">
        <f>E20B</f>
        <v>7.42</v>
      </c>
      <c r="AS62" s="1210">
        <f ca="1">IF($E$42=0,GetCostColumn,IF(ISTEXT($C62),GetCostColumn *$E$42+GetCostColumn,GetCostColumn ))</f>
        <v>8.5329999999999995</v>
      </c>
      <c r="AU62" s="80" cm="1">
        <f t="array" aca="1" ref="AU62" ca="1">IFERROR(SUM(_xlfn._xlws.FILTER(INDEX(DynamicTotalAmount, 1, _xlfn.SEQUENCE(1, COLUMNS(DynamicTotalAmount), 1, 2)), ISNUMBER(INDEX(DynamicTotalAmount, 1, _xlfn.SEQUENCE(1, COLUMNS(DynamicTotalAmount), 1, 2))))),0)</f>
        <v>170.65999999999994</v>
      </c>
    </row>
    <row r="63" spans="1:47" ht="13.9" customHeight="1" x14ac:dyDescent="0.2">
      <c r="A63" s="1378"/>
      <c r="B63" s="132"/>
      <c r="C63" s="17" t="s">
        <v>72</v>
      </c>
      <c r="D63" s="18" t="s">
        <v>31</v>
      </c>
      <c r="E63" s="161"/>
      <c r="F63" s="221">
        <f ca="1">IF(ISREF(INDIRECT("'Phase 1'!A1")),E1REM,"")</f>
        <v>7.42</v>
      </c>
      <c r="G63" s="1035" cm="1">
        <f t="array" aca="1" ref="G63" ca="1">IF(ISREF(INDIRECT("'Phase 1'!A1")),IF($E$42=0,GetCostColumn,IF(ISTEXT($C63),GetCostColumn *$E$42+GetCostColumn,GetCostColumn )))</f>
        <v>8.5329999999999995</v>
      </c>
      <c r="H63" s="221">
        <f ca="1">IF(ISREF(INDIRECT("'Phase 2'!A1")),E2REM,"")</f>
        <v>7.42</v>
      </c>
      <c r="I63" s="1035" cm="1">
        <f t="array" aca="1" ref="I63" ca="1">IF(ISREF(INDIRECT("'Phase 2'!A1")),IF($E$42=0,GetCostColumn,IF(ISTEXT($C63),GetCostColumn *$E$42+GetCostColumn,GetCostColumn )))</f>
        <v>8.5329999999999995</v>
      </c>
      <c r="J63" s="221">
        <f ca="1">IF(ISREF(INDIRECT("'Phase 3'!A1")),E3REM,"")</f>
        <v>7.42</v>
      </c>
      <c r="K63" s="1035" cm="1">
        <f t="array" aca="1" ref="K63" ca="1">IF(ISREF(INDIRECT("'Phase 3'!A1")),IF($E$42=0,GetCostColumn,IF(ISTEXT($C63),GetCostColumn *$E$42+GetCostColumn,GetCostColumn )))</f>
        <v>8.5329999999999995</v>
      </c>
      <c r="L63" s="221">
        <f ca="1">IF(ISREF(INDIRECT("'Phase 4'!A1")),E4REM,"")</f>
        <v>7.42</v>
      </c>
      <c r="M63" s="1035" cm="1">
        <f t="array" aca="1" ref="M63" ca="1">IF(ISREF(INDIRECT("'Phase 4'!A1")),IF($E$42=0,GetCostColumn,IF(ISTEXT($C63),GetCostColumn *$E$42+GetCostColumn,GetCostColumn )))</f>
        <v>8.5329999999999995</v>
      </c>
      <c r="N63" s="221">
        <f ca="1">IF(ISREF(INDIRECT("'Phase 5'!A1")),E5REM,"")</f>
        <v>7.42</v>
      </c>
      <c r="O63" s="1035" cm="1">
        <f t="array" aca="1" ref="O63" ca="1">IF(ISREF(INDIRECT("'Phase 5'!A1")),IF($E$42=0,GetCostColumn,IF(ISTEXT($C63),GetCostColumn *$E$42+GetCostColumn,GetCostColumn )))</f>
        <v>8.5329999999999995</v>
      </c>
      <c r="P63" s="221">
        <f ca="1">IF(ISREF(INDIRECT("'Phase 6'!A1")),E6REM,"")</f>
        <v>7.42</v>
      </c>
      <c r="Q63" s="1035" cm="1">
        <f t="array" aca="1" ref="Q63" ca="1">IF(ISREF(INDIRECT("'Phase 6'!A1")),IF($E$42=0,GetCostColumn,IF(ISTEXT($C63),GetCostColumn *$E$42+GetCostColumn,GetCostColumn )))</f>
        <v>8.5329999999999995</v>
      </c>
      <c r="R63" s="221">
        <f ca="1">IF(ISREF(INDIRECT("'Phase 7'!A1")),E7REM,"")</f>
        <v>7.42</v>
      </c>
      <c r="S63" s="1035" cm="1">
        <f t="array" aca="1" ref="S63" ca="1">IF(ISREF(INDIRECT("'Phase 7'!A1")),IF($E$42=0,GetCostColumn,IF(ISTEXT($C63),GetCostColumn *$E$42+GetCostColumn,GetCostColumn )))</f>
        <v>8.5329999999999995</v>
      </c>
      <c r="T63" s="221">
        <f ca="1">IF(ISREF(INDIRECT("'Phase 8'!A1")),E8REM,"")</f>
        <v>7.42</v>
      </c>
      <c r="U63" s="157" cm="1">
        <f t="array" aca="1" ref="U63" ca="1">IF(ISREF(INDIRECT("'Phase 8'!A1")),IF($E$42=0,GetCostColumn,IF(ISTEXT($C63),GetCostColumn *$E$42+GetCostColumn,GetCostColumn )))</f>
        <v>8.5329999999999995</v>
      </c>
      <c r="V63" s="221">
        <f ca="1">IF(ISREF(INDIRECT("'Phase 9'!A1")),E9REM,"")</f>
        <v>7.42</v>
      </c>
      <c r="W63" s="1035" cm="1">
        <f t="array" aca="1" ref="W63" ca="1">IF(ISREF(INDIRECT("'Phase 9'!A1")),IF($E$42=0,GetCostColumn,IF(ISTEXT($C63),GetCostColumn *$E$42+GetCostColumn,GetCostColumn )))</f>
        <v>8.5329999999999995</v>
      </c>
      <c r="X63" s="221">
        <f ca="1">IF(ISREF(INDIRECT("'Phase 10'!A1")),E10REM,"")</f>
        <v>7.42</v>
      </c>
      <c r="Y63" s="157" cm="1">
        <f t="array" aca="1" ref="Y63" ca="1">IF(ISREF(INDIRECT("'Phase 10'!A1")),IF($E$42=0,GetCostColumn,IF(ISTEXT($C63),GetCostColumn *$E$42+GetCostColumn,GetCostColumn )))</f>
        <v>8.5329999999999995</v>
      </c>
      <c r="Z63" s="1226">
        <f>E11REM</f>
        <v>7.42</v>
      </c>
      <c r="AA63" s="1210">
        <f t="shared" ref="AA63:AA68" ca="1" si="53">IF($E$42=0,GetCostColumn,IF(ISTEXT($C63),GetCostColumn *$E$42+GetCostColumn,GetCostColumn ))</f>
        <v>8.5329999999999995</v>
      </c>
      <c r="AB63" s="1226">
        <f>E12REM</f>
        <v>7.42</v>
      </c>
      <c r="AC63" s="1210">
        <f t="shared" ca="1" si="45"/>
        <v>8.5329999999999995</v>
      </c>
      <c r="AD63" s="1226">
        <f>E13REM</f>
        <v>7.42</v>
      </c>
      <c r="AE63" s="1210">
        <f t="shared" ca="1" si="46"/>
        <v>8.5329999999999995</v>
      </c>
      <c r="AF63" s="1226">
        <f>E14REM</f>
        <v>7.42</v>
      </c>
      <c r="AG63" s="1210">
        <f t="shared" ca="1" si="47"/>
        <v>8.5329999999999995</v>
      </c>
      <c r="AH63" s="1226">
        <f>E15REM</f>
        <v>7.42</v>
      </c>
      <c r="AI63" s="1210">
        <f t="shared" ca="1" si="48"/>
        <v>8.5329999999999995</v>
      </c>
      <c r="AJ63" s="1226">
        <f>E16REM</f>
        <v>7.42</v>
      </c>
      <c r="AK63" s="1210">
        <f t="shared" ca="1" si="49"/>
        <v>8.5329999999999995</v>
      </c>
      <c r="AL63" s="1226">
        <f>E17REM</f>
        <v>7.42</v>
      </c>
      <c r="AM63" s="1210">
        <f t="shared" ca="1" si="50"/>
        <v>8.5329999999999995</v>
      </c>
      <c r="AN63" s="1226">
        <f>E18REM</f>
        <v>7.42</v>
      </c>
      <c r="AO63" s="1210">
        <f t="shared" ca="1" si="51"/>
        <v>8.5329999999999995</v>
      </c>
      <c r="AP63" s="1226">
        <f>E19REM</f>
        <v>7.42</v>
      </c>
      <c r="AQ63" s="1210">
        <f t="shared" ca="1" si="52"/>
        <v>8.5329999999999995</v>
      </c>
      <c r="AR63" s="1556">
        <f>E20REM</f>
        <v>7.42</v>
      </c>
      <c r="AS63" s="1210">
        <f ca="1">IF($E$42=0,GetCostColumn,IF(ISTEXT($C63),GetCostColumn *$E$42+GetCostColumn,GetCostColumn ))</f>
        <v>8.5329999999999995</v>
      </c>
      <c r="AT63" s="83"/>
      <c r="AU63" s="80" cm="1">
        <f t="array" aca="1" ref="AU63" ca="1">IFERROR(SUM(_xlfn._xlws.FILTER(INDEX(DynamicTotalAmount, 1, _xlfn.SEQUENCE(1, COLUMNS(DynamicTotalAmount), 1, 2)), ISNUMBER(INDEX(DynamicTotalAmount, 1, _xlfn.SEQUENCE(1, COLUMNS(DynamicTotalAmount), 1, 2))))),0)</f>
        <v>170.65999999999994</v>
      </c>
    </row>
    <row r="64" spans="1:47" ht="13.9" customHeight="1" x14ac:dyDescent="0.2">
      <c r="A64" s="1378"/>
      <c r="B64" s="132"/>
      <c r="C64" s="17" t="s">
        <v>72</v>
      </c>
      <c r="D64" s="17" t="s">
        <v>33</v>
      </c>
      <c r="E64" s="162"/>
      <c r="F64" s="221">
        <f ca="1">IF(ISREF(INDIRECT("'Phase 1'!A1")),E1GEN,"")</f>
        <v>7.42</v>
      </c>
      <c r="G64" s="1035" cm="1">
        <f t="array" aca="1" ref="G64" ca="1">IF(ISREF(INDIRECT("'Phase 1'!A1")),IF($E$42=0,GetCostColumn,IF(ISTEXT($C64),GetCostColumn *$E$42+GetCostColumn,GetCostColumn )))</f>
        <v>8.5329999999999995</v>
      </c>
      <c r="H64" s="221">
        <f ca="1">IF(ISREF(INDIRECT("'Phase 2'!A1")),E2GEN,"")</f>
        <v>7.42</v>
      </c>
      <c r="I64" s="1035" cm="1">
        <f t="array" aca="1" ref="I64" ca="1">IF(ISREF(INDIRECT("'Phase 2'!A1")),IF($E$42=0,GetCostColumn,IF(ISTEXT($C64),GetCostColumn *$E$42+GetCostColumn,GetCostColumn )))</f>
        <v>8.5329999999999995</v>
      </c>
      <c r="J64" s="221">
        <f ca="1">IF(ISREF(INDIRECT("'Phase 3'!A1")),E3GEN,"")</f>
        <v>7.42</v>
      </c>
      <c r="K64" s="1035" cm="1">
        <f t="array" aca="1" ref="K64" ca="1">IF(ISREF(INDIRECT("'Phase 3'!A1")),IF($E$42=0,GetCostColumn,IF(ISTEXT($C64),GetCostColumn *$E$42+GetCostColumn,GetCostColumn )))</f>
        <v>8.5329999999999995</v>
      </c>
      <c r="L64" s="221">
        <f ca="1">IF(ISREF(INDIRECT("'Phase 4'!A1")),E4GEN,"")</f>
        <v>7.42</v>
      </c>
      <c r="M64" s="1035" cm="1">
        <f t="array" aca="1" ref="M64" ca="1">IF(ISREF(INDIRECT("'Phase 4'!A1")),IF($E$42=0,GetCostColumn,IF(ISTEXT($C64),GetCostColumn *$E$42+GetCostColumn,GetCostColumn )))</f>
        <v>8.5329999999999995</v>
      </c>
      <c r="N64" s="221">
        <f ca="1">IF(ISREF(INDIRECT("'Phase 5'!A1")),E5GEN,"")</f>
        <v>7.42</v>
      </c>
      <c r="O64" s="1035" cm="1">
        <f t="array" aca="1" ref="O64" ca="1">IF(ISREF(INDIRECT("'Phase 5'!A1")),IF($E$42=0,GetCostColumn,IF(ISTEXT($C64),GetCostColumn *$E$42+GetCostColumn,GetCostColumn )))</f>
        <v>8.5329999999999995</v>
      </c>
      <c r="P64" s="221">
        <f ca="1">IF(ISREF(INDIRECT("'Phase 6'!A1")),E6GEN,"")</f>
        <v>7.42</v>
      </c>
      <c r="Q64" s="1035" cm="1">
        <f t="array" aca="1" ref="Q64" ca="1">IF(ISREF(INDIRECT("'Phase 6'!A1")),IF($E$42=0,GetCostColumn,IF(ISTEXT($C64),GetCostColumn *$E$42+GetCostColumn,GetCostColumn )))</f>
        <v>8.5329999999999995</v>
      </c>
      <c r="R64" s="221">
        <f ca="1">IF(ISREF(INDIRECT("'Phase 7'!A1")),E7GEN,"")</f>
        <v>7.42</v>
      </c>
      <c r="S64" s="1035" cm="1">
        <f t="array" aca="1" ref="S64" ca="1">IF(ISREF(INDIRECT("'Phase 7'!A1")),IF($E$42=0,GetCostColumn,IF(ISTEXT($C64),GetCostColumn *$E$42+GetCostColumn,GetCostColumn )))</f>
        <v>8.5329999999999995</v>
      </c>
      <c r="T64" s="221">
        <f ca="1">IF(ISREF(INDIRECT("'Phase 8'!A1")),E8GEN,"")</f>
        <v>7.42</v>
      </c>
      <c r="U64" s="157" cm="1">
        <f t="array" aca="1" ref="U64" ca="1">IF(ISREF(INDIRECT("'Phase 8'!A1")),IF($E$42=0,GetCostColumn,IF(ISTEXT($C64),GetCostColumn *$E$42+GetCostColumn,GetCostColumn )))</f>
        <v>8.5329999999999995</v>
      </c>
      <c r="V64" s="221">
        <f ca="1">IF(ISREF(INDIRECT("'Phase 9'!A1")),E9GEN,"")</f>
        <v>7.42</v>
      </c>
      <c r="W64" s="1035" cm="1">
        <f t="array" aca="1" ref="W64" ca="1">IF(ISREF(INDIRECT("'Phase 9'!A1")),IF($E$42=0,GetCostColumn,IF(ISTEXT($C64),GetCostColumn *$E$42+GetCostColumn,GetCostColumn )))</f>
        <v>8.5329999999999995</v>
      </c>
      <c r="X64" s="221">
        <f ca="1">IF(ISREF(INDIRECT("'Phase 10'!A1")),E10GEN,"")</f>
        <v>7.42</v>
      </c>
      <c r="Y64" s="157" cm="1">
        <f t="array" aca="1" ref="Y64" ca="1">IF(ISREF(INDIRECT("'Phase 10'!A1")),IF($E$42=0,GetCostColumn,IF(ISTEXT($C64),GetCostColumn *$E$42+GetCostColumn,GetCostColumn )))</f>
        <v>8.5329999999999995</v>
      </c>
      <c r="Z64" s="1226">
        <f>E11GEN</f>
        <v>7.42</v>
      </c>
      <c r="AA64" s="1210">
        <f t="shared" ca="1" si="53"/>
        <v>8.5329999999999995</v>
      </c>
      <c r="AB64" s="1226">
        <f>E12GEN</f>
        <v>7.42</v>
      </c>
      <c r="AC64" s="1210">
        <f t="shared" ca="1" si="45"/>
        <v>8.5329999999999995</v>
      </c>
      <c r="AD64" s="1226">
        <f>E13GEN</f>
        <v>7.42</v>
      </c>
      <c r="AE64" s="1210">
        <f t="shared" ca="1" si="46"/>
        <v>8.5329999999999995</v>
      </c>
      <c r="AF64" s="1226">
        <f>E14GEN</f>
        <v>7.42</v>
      </c>
      <c r="AG64" s="1210">
        <f t="shared" ca="1" si="47"/>
        <v>8.5329999999999995</v>
      </c>
      <c r="AH64" s="1226">
        <f>E15GEN</f>
        <v>7.42</v>
      </c>
      <c r="AI64" s="1210">
        <f t="shared" ca="1" si="48"/>
        <v>8.5329999999999995</v>
      </c>
      <c r="AJ64" s="1226">
        <f>E16GEN</f>
        <v>7.42</v>
      </c>
      <c r="AK64" s="1210">
        <f t="shared" ca="1" si="49"/>
        <v>8.5329999999999995</v>
      </c>
      <c r="AL64" s="1226">
        <f>E17GEN</f>
        <v>7.42</v>
      </c>
      <c r="AM64" s="1210">
        <f t="shared" ca="1" si="50"/>
        <v>8.5329999999999995</v>
      </c>
      <c r="AN64" s="1226">
        <f>E18GEN</f>
        <v>7.42</v>
      </c>
      <c r="AO64" s="1210">
        <f t="shared" ca="1" si="51"/>
        <v>8.5329999999999995</v>
      </c>
      <c r="AP64" s="1226">
        <f>E19GEN</f>
        <v>7.42</v>
      </c>
      <c r="AQ64" s="1210">
        <f t="shared" ca="1" si="52"/>
        <v>8.5329999999999995</v>
      </c>
      <c r="AR64" s="1556">
        <f>E20GEN</f>
        <v>7.42</v>
      </c>
      <c r="AS64" s="1210">
        <f ca="1">IF($E$42=0,GetCostColumn,IF(ISTEXT($C64),GetCostColumn *$E$42+GetCostColumn,GetCostColumn ))</f>
        <v>8.5329999999999995</v>
      </c>
      <c r="AT64" s="83"/>
      <c r="AU64" s="80" cm="1">
        <f t="array" aca="1" ref="AU64" ca="1">IFERROR(SUM(_xlfn._xlws.FILTER(INDEX(DynamicTotalAmount, 1, _xlfn.SEQUENCE(1, COLUMNS(DynamicTotalAmount), 1, 2)), ISNUMBER(INDEX(DynamicTotalAmount, 1, _xlfn.SEQUENCE(1, COLUMNS(DynamicTotalAmount), 1, 2))))),0)</f>
        <v>170.65999999999994</v>
      </c>
    </row>
    <row r="65" spans="1:955" ht="13.9" customHeight="1" x14ac:dyDescent="0.2">
      <c r="A65" s="1378"/>
      <c r="B65" s="132"/>
      <c r="C65" s="17" t="s">
        <v>72</v>
      </c>
      <c r="D65" s="18" t="s">
        <v>123</v>
      </c>
      <c r="E65" s="161"/>
      <c r="F65" s="221">
        <f ca="1">IF(ISREF(INDIRECT("'Phase 1'!A1")),E1WH,"")</f>
        <v>7.42</v>
      </c>
      <c r="G65" s="1035" cm="1">
        <f t="array" aca="1" ref="G65" ca="1">IF(ISREF(INDIRECT("'Phase 1'!A1")),IF($E$42=0,GetCostColumn,IF(ISTEXT($C65),GetCostColumn *$E$42+GetCostColumn,GetCostColumn )))</f>
        <v>8.5329999999999995</v>
      </c>
      <c r="H65" s="221">
        <f ca="1">IF(ISREF(INDIRECT("'Phase 2'!A1")),E2WH,"")</f>
        <v>7.42</v>
      </c>
      <c r="I65" s="1035" cm="1">
        <f t="array" aca="1" ref="I65" ca="1">IF(ISREF(INDIRECT("'Phase 2'!A1")),IF($E$42=0,GetCostColumn,IF(ISTEXT($C65),GetCostColumn *$E$42+GetCostColumn,GetCostColumn )))</f>
        <v>8.5329999999999995</v>
      </c>
      <c r="J65" s="221">
        <f ca="1">IF(ISREF(INDIRECT("'Phase 3'!A1")),E3WH,"")</f>
        <v>7.42</v>
      </c>
      <c r="K65" s="1035" cm="1">
        <f t="array" aca="1" ref="K65" ca="1">IF(ISREF(INDIRECT("'Phase 3'!A1")),IF($E$42=0,GetCostColumn,IF(ISTEXT($C65),GetCostColumn *$E$42+GetCostColumn,GetCostColumn )))</f>
        <v>8.5329999999999995</v>
      </c>
      <c r="L65" s="221">
        <f ca="1">IF(ISREF(INDIRECT("'Phase 4'!A1")),E4WH,"")</f>
        <v>7.42</v>
      </c>
      <c r="M65" s="1035" cm="1">
        <f t="array" aca="1" ref="M65" ca="1">IF(ISREF(INDIRECT("'Phase 4'!A1")),IF($E$42=0,GetCostColumn,IF(ISTEXT($C65),GetCostColumn *$E$42+GetCostColumn,GetCostColumn )))</f>
        <v>8.5329999999999995</v>
      </c>
      <c r="N65" s="221">
        <f ca="1">IF(ISREF(INDIRECT("'Phase 5'!A1")),E5WH,"")</f>
        <v>7.42</v>
      </c>
      <c r="O65" s="1035" cm="1">
        <f t="array" aca="1" ref="O65" ca="1">IF(ISREF(INDIRECT("'Phase 5'!A1")),IF($E$42=0,GetCostColumn,IF(ISTEXT($C65),GetCostColumn *$E$42+GetCostColumn,GetCostColumn )))</f>
        <v>8.5329999999999995</v>
      </c>
      <c r="P65" s="221">
        <f ca="1">IF(ISREF(INDIRECT("'Phase 6'!A1")),E6WH,"")</f>
        <v>7.42</v>
      </c>
      <c r="Q65" s="1035" cm="1">
        <f t="array" aca="1" ref="Q65" ca="1">IF(ISREF(INDIRECT("'Phase 6'!A1")),IF($E$42=0,GetCostColumn,IF(ISTEXT($C65),GetCostColumn *$E$42+GetCostColumn,GetCostColumn )))</f>
        <v>8.5329999999999995</v>
      </c>
      <c r="R65" s="221">
        <f ca="1">IF(ISREF(INDIRECT("'Phase 7'!A1")),E7WH,"")</f>
        <v>7.42</v>
      </c>
      <c r="S65" s="1035" cm="1">
        <f t="array" aca="1" ref="S65" ca="1">IF(ISREF(INDIRECT("'Phase 7'!A1")),IF($E$42=0,GetCostColumn,IF(ISTEXT($C65),GetCostColumn *$E$42+GetCostColumn,GetCostColumn )))</f>
        <v>8.5329999999999995</v>
      </c>
      <c r="T65" s="221">
        <f ca="1">IF(ISREF(INDIRECT("'Phase 8'!A1")),E8WH,"")</f>
        <v>7.42</v>
      </c>
      <c r="U65" s="157" cm="1">
        <f t="array" aca="1" ref="U65" ca="1">IF(ISREF(INDIRECT("'Phase 8'!A1")),IF($E$42=0,GetCostColumn,IF(ISTEXT($C65),GetCostColumn *$E$42+GetCostColumn,GetCostColumn )))</f>
        <v>8.5329999999999995</v>
      </c>
      <c r="V65" s="221">
        <f ca="1">IF(ISREF(INDIRECT("'Phase 9'!A1")),E9WH,"")</f>
        <v>7.42</v>
      </c>
      <c r="W65" s="1035" cm="1">
        <f t="array" aca="1" ref="W65" ca="1">IF(ISREF(INDIRECT("'Phase 9'!A1")),IF($E$42=0,GetCostColumn,IF(ISTEXT($C65),GetCostColumn *$E$42+GetCostColumn,GetCostColumn )))</f>
        <v>8.5329999999999995</v>
      </c>
      <c r="X65" s="221">
        <f ca="1">IF(ISREF(INDIRECT("'Phase 10'!A1")),E10WH,"")</f>
        <v>7.42</v>
      </c>
      <c r="Y65" s="157" cm="1">
        <f t="array" aca="1" ref="Y65" ca="1">IF(ISREF(INDIRECT("'Phase 10'!A1")),IF($E$42=0,GetCostColumn,IF(ISTEXT($C65),GetCostColumn *$E$42+GetCostColumn,GetCostColumn )))</f>
        <v>8.5329999999999995</v>
      </c>
      <c r="Z65" s="1226">
        <f>E11WH</f>
        <v>7.42</v>
      </c>
      <c r="AA65" s="1210">
        <f t="shared" ca="1" si="53"/>
        <v>8.5329999999999995</v>
      </c>
      <c r="AB65" s="1226">
        <f>E12WH</f>
        <v>7.42</v>
      </c>
      <c r="AC65" s="1210">
        <f t="shared" ca="1" si="45"/>
        <v>8.5329999999999995</v>
      </c>
      <c r="AD65" s="1226">
        <f>E13WH</f>
        <v>7.42</v>
      </c>
      <c r="AE65" s="1210">
        <f t="shared" ca="1" si="46"/>
        <v>8.5329999999999995</v>
      </c>
      <c r="AF65" s="1226">
        <f>E14WH</f>
        <v>7.42</v>
      </c>
      <c r="AG65" s="1210">
        <f t="shared" ca="1" si="47"/>
        <v>8.5329999999999995</v>
      </c>
      <c r="AH65" s="1226">
        <f>E15WH</f>
        <v>7.42</v>
      </c>
      <c r="AI65" s="1210">
        <f t="shared" ca="1" si="48"/>
        <v>8.5329999999999995</v>
      </c>
      <c r="AJ65" s="1226">
        <f>E16WH</f>
        <v>7.42</v>
      </c>
      <c r="AK65" s="1210">
        <f t="shared" ca="1" si="49"/>
        <v>8.5329999999999995</v>
      </c>
      <c r="AL65" s="1226">
        <f>E17WH</f>
        <v>7.42</v>
      </c>
      <c r="AM65" s="1210">
        <f t="shared" ca="1" si="50"/>
        <v>8.5329999999999995</v>
      </c>
      <c r="AN65" s="1226">
        <f>E18WH</f>
        <v>7.42</v>
      </c>
      <c r="AO65" s="1210">
        <f t="shared" ca="1" si="51"/>
        <v>8.5329999999999995</v>
      </c>
      <c r="AP65" s="1226">
        <f>E19WH</f>
        <v>7.42</v>
      </c>
      <c r="AQ65" s="1210">
        <f t="shared" ca="1" si="52"/>
        <v>8.5329999999999995</v>
      </c>
      <c r="AR65" s="1556">
        <f>E20WH</f>
        <v>7.42</v>
      </c>
      <c r="AS65" s="1210">
        <f ca="1">IF($E$42=0,GetCostColumn,IF(ISTEXT($C65),GetCostColumn *$E$42+GetCostColumn,GetCostColumn ))</f>
        <v>8.5329999999999995</v>
      </c>
      <c r="AT65" s="83"/>
      <c r="AU65" s="80" cm="1">
        <f t="array" aca="1" ref="AU65" ca="1">IFERROR(SUM(_xlfn._xlws.FILTER(INDEX(DynamicTotalAmount, 1, _xlfn.SEQUENCE(1, COLUMNS(DynamicTotalAmount), 1, 2)), ISNUMBER(INDEX(DynamicTotalAmount, 1, _xlfn.SEQUENCE(1, COLUMNS(DynamicTotalAmount), 1, 2))))),0)</f>
        <v>170.65999999999994</v>
      </c>
    </row>
    <row r="66" spans="1:955" ht="13.9" customHeight="1" x14ac:dyDescent="0.2">
      <c r="A66" s="1378"/>
      <c r="B66" s="132"/>
      <c r="C66" s="17" t="s">
        <v>72</v>
      </c>
      <c r="D66" s="18" t="s">
        <v>125</v>
      </c>
      <c r="E66" s="632"/>
      <c r="F66" s="221">
        <f ca="1">IF(ISREF(INDIRECT("'Phase 1'!A1")),E1OTHER,"")</f>
        <v>7.42</v>
      </c>
      <c r="G66" s="1035" cm="1">
        <f t="array" aca="1" ref="G66" ca="1">IF(ISREF(INDIRECT("'Phase 1'!A1")),IF($E$42=0,GetCostColumn,IF(ISTEXT($C66),GetCostColumn *$E$42+GetCostColumn,GetCostColumn )))</f>
        <v>8.5329999999999995</v>
      </c>
      <c r="H66" s="221">
        <f ca="1">IF(ISREF(INDIRECT("'Phase 2'!A1")),E2OTHER,"")</f>
        <v>7.42</v>
      </c>
      <c r="I66" s="1035" cm="1">
        <f t="array" aca="1" ref="I66" ca="1">IF(ISREF(INDIRECT("'Phase 2'!A1")),IF($E$42=0,GetCostColumn,IF(ISTEXT($C66),GetCostColumn *$E$42+GetCostColumn,GetCostColumn )))</f>
        <v>8.5329999999999995</v>
      </c>
      <c r="J66" s="221">
        <f ca="1">IF(ISREF(INDIRECT("'Phase 3'!A1")),E3OTHER,"")</f>
        <v>7.42</v>
      </c>
      <c r="K66" s="1035" cm="1">
        <f t="array" aca="1" ref="K66" ca="1">IF(ISREF(INDIRECT("'Phase 3'!A1")),IF($E$42=0,GetCostColumn,IF(ISTEXT($C66),GetCostColumn *$E$42+GetCostColumn,GetCostColumn )))</f>
        <v>8.5329999999999995</v>
      </c>
      <c r="L66" s="221">
        <f ca="1">IF(ISREF(INDIRECT("'Phase 4'!A1")),E4OTHER,"")</f>
        <v>7.42</v>
      </c>
      <c r="M66" s="1035" cm="1">
        <f t="array" aca="1" ref="M66" ca="1">IF(ISREF(INDIRECT("'Phase 4'!A1")),IF($E$42=0,GetCostColumn,IF(ISTEXT($C66),GetCostColumn *$E$42+GetCostColumn,GetCostColumn )))</f>
        <v>8.5329999999999995</v>
      </c>
      <c r="N66" s="221">
        <f ca="1">IF(ISREF(INDIRECT("'Phase 5'!A1")),E5OTHER,"")</f>
        <v>7.42</v>
      </c>
      <c r="O66" s="1035" cm="1">
        <f t="array" aca="1" ref="O66" ca="1">IF(ISREF(INDIRECT("'Phase 5'!A1")),IF($E$42=0,GetCostColumn,IF(ISTEXT($C66),GetCostColumn *$E$42+GetCostColumn,GetCostColumn )))</f>
        <v>8.5329999999999995</v>
      </c>
      <c r="P66" s="221">
        <f ca="1">IF(ISREF(INDIRECT("'Phase 6'!A1")),E6OTHER,"")</f>
        <v>7.42</v>
      </c>
      <c r="Q66" s="1035" cm="1">
        <f t="array" aca="1" ref="Q66" ca="1">IF(ISREF(INDIRECT("'Phase 6'!A1")),IF($E$42=0,GetCostColumn,IF(ISTEXT($C66),GetCostColumn *$E$42+GetCostColumn,GetCostColumn )))</f>
        <v>8.5329999999999995</v>
      </c>
      <c r="R66" s="221">
        <f ca="1">IF(ISREF(INDIRECT("'Phase 7'!A1")),E7OTHER,"")</f>
        <v>7.42</v>
      </c>
      <c r="S66" s="1035" cm="1">
        <f t="array" aca="1" ref="S66" ca="1">IF(ISREF(INDIRECT("'Phase 7'!A1")),IF($E$42=0,GetCostColumn,IF(ISTEXT($C66),GetCostColumn *$E$42+GetCostColumn,GetCostColumn )))</f>
        <v>8.5329999999999995</v>
      </c>
      <c r="T66" s="221">
        <f ca="1">IF(ISREF(INDIRECT("'Phase 8'!A1")),E8OTHER,"")</f>
        <v>7.42</v>
      </c>
      <c r="U66" s="157" cm="1">
        <f t="array" aca="1" ref="U66" ca="1">IF(ISREF(INDIRECT("'Phase 8'!A1")),IF($E$42=0,GetCostColumn,IF(ISTEXT($C66),GetCostColumn *$E$42+GetCostColumn,GetCostColumn )))</f>
        <v>8.5329999999999995</v>
      </c>
      <c r="V66" s="221">
        <f ca="1">IF(ISREF(INDIRECT("'Phase 9'!A1")),E9OTHER,"")</f>
        <v>7.42</v>
      </c>
      <c r="W66" s="1035" cm="1">
        <f t="array" aca="1" ref="W66" ca="1">IF(ISREF(INDIRECT("'Phase 9'!A1")),IF($E$42=0,GetCostColumn,IF(ISTEXT($C66),GetCostColumn *$E$42+GetCostColumn,GetCostColumn )))</f>
        <v>8.5329999999999995</v>
      </c>
      <c r="X66" s="221">
        <f ca="1">IF(ISREF(INDIRECT("'Phase 10'!A1")),E10OTHER,"")</f>
        <v>7.42</v>
      </c>
      <c r="Y66" s="157" cm="1">
        <f t="array" aca="1" ref="Y66" ca="1">IF(ISREF(INDIRECT("'Phase 10'!A1")),IF($E$42=0,GetCostColumn,IF(ISTEXT($C66),GetCostColumn *$E$42+GetCostColumn,GetCostColumn )))</f>
        <v>8.5329999999999995</v>
      </c>
      <c r="Z66" s="1226">
        <f>E11OTHER</f>
        <v>7.42</v>
      </c>
      <c r="AA66" s="1210">
        <f t="shared" ca="1" si="53"/>
        <v>8.5329999999999995</v>
      </c>
      <c r="AB66" s="1226">
        <f>E12OTHER</f>
        <v>7.42</v>
      </c>
      <c r="AC66" s="1210">
        <f t="shared" ca="1" si="45"/>
        <v>8.5329999999999995</v>
      </c>
      <c r="AD66" s="1226">
        <f>E13OTHER</f>
        <v>7.42</v>
      </c>
      <c r="AE66" s="1210">
        <f t="shared" ca="1" si="46"/>
        <v>8.5329999999999995</v>
      </c>
      <c r="AF66" s="1226">
        <f>E14OTHER</f>
        <v>7.42</v>
      </c>
      <c r="AG66" s="1210">
        <f t="shared" ca="1" si="47"/>
        <v>8.5329999999999995</v>
      </c>
      <c r="AH66" s="1226">
        <f>E15OTHER</f>
        <v>7.42</v>
      </c>
      <c r="AI66" s="1210">
        <f t="shared" ca="1" si="48"/>
        <v>8.5329999999999995</v>
      </c>
      <c r="AJ66" s="1226">
        <f>E16OTHER</f>
        <v>7.42</v>
      </c>
      <c r="AK66" s="1210">
        <f t="shared" ca="1" si="49"/>
        <v>8.5329999999999995</v>
      </c>
      <c r="AL66" s="1226">
        <f>E17OTHER</f>
        <v>7.42</v>
      </c>
      <c r="AM66" s="1210">
        <f t="shared" ca="1" si="50"/>
        <v>8.5329999999999995</v>
      </c>
      <c r="AN66" s="1226">
        <f>E18OTHER</f>
        <v>7.42</v>
      </c>
      <c r="AO66" s="1210">
        <f t="shared" ca="1" si="51"/>
        <v>8.5329999999999995</v>
      </c>
      <c r="AP66" s="1226">
        <f>E19OTHER</f>
        <v>7.42</v>
      </c>
      <c r="AQ66" s="1210">
        <f t="shared" ca="1" si="52"/>
        <v>8.5329999999999995</v>
      </c>
      <c r="AR66" s="1556">
        <f>E20OTHER</f>
        <v>7.42</v>
      </c>
      <c r="AS66" s="1210">
        <f ca="1">IF($E$42=0,GetCostColumn,IF(ISTEXT($C66),GetCostColumn *$E$42+GetCostColumn,GetCostColumn ))</f>
        <v>8.5329999999999995</v>
      </c>
      <c r="AT66" s="83"/>
      <c r="AU66" s="80" cm="1">
        <f t="array" aca="1" ref="AU66" ca="1">IFERROR(SUM(_xlfn._xlws.FILTER(INDEX(DynamicTotalAmount, 1, _xlfn.SEQUENCE(1, COLUMNS(DynamicTotalAmount), 1, 2)), ISNUMBER(INDEX(DynamicTotalAmount, 1, _xlfn.SEQUENCE(1, COLUMNS(DynamicTotalAmount), 1, 2))))),0)</f>
        <v>170.65999999999994</v>
      </c>
    </row>
    <row r="67" spans="1:955" ht="13.9" customHeight="1" x14ac:dyDescent="0.2">
      <c r="A67" s="1378"/>
      <c r="B67" s="132"/>
      <c r="C67" s="17" t="s">
        <v>72</v>
      </c>
      <c r="D67" s="18" t="s">
        <v>126</v>
      </c>
      <c r="E67" s="632"/>
      <c r="F67" s="221">
        <f ca="1">IF(ISREF(INDIRECT("'Phase 1'!A1")),E1M,"")</f>
        <v>7.42</v>
      </c>
      <c r="G67" s="1035" cm="1">
        <f t="array" aca="1" ref="G67" ca="1">IF(ISREF(INDIRECT("'Phase 1'!A1")),IF($E$42=0,GetCostColumn,IF(ISTEXT($C67),GetCostColumn *$E$42+GetCostColumn,GetCostColumn )))</f>
        <v>8.5329999999999995</v>
      </c>
      <c r="H67" s="221">
        <f ca="1">IF(ISREF(INDIRECT("'Phase 2'!A1")),E2M,"")</f>
        <v>7.42</v>
      </c>
      <c r="I67" s="1035" cm="1">
        <f t="array" aca="1" ref="I67" ca="1">IF(ISREF(INDIRECT("'Phase 2'!A1")),IF($E$42=0,GetCostColumn,IF(ISTEXT($C67),GetCostColumn *$E$42+GetCostColumn,GetCostColumn )))</f>
        <v>8.5329999999999995</v>
      </c>
      <c r="J67" s="221">
        <f ca="1">IF(ISREF(INDIRECT("'Phase 3'!A1")),E3M,"")</f>
        <v>7.42</v>
      </c>
      <c r="K67" s="1035" cm="1">
        <f t="array" aca="1" ref="K67" ca="1">IF(ISREF(INDIRECT("'Phase 3'!A1")),IF($E$42=0,GetCostColumn,IF(ISTEXT($C67),GetCostColumn *$E$42+GetCostColumn,GetCostColumn )))</f>
        <v>8.5329999999999995</v>
      </c>
      <c r="L67" s="221">
        <f ca="1">IF(ISREF(INDIRECT("'Phase 4'!A1")),E4M,"")</f>
        <v>7.42</v>
      </c>
      <c r="M67" s="1035" cm="1">
        <f t="array" aca="1" ref="M67" ca="1">IF(ISREF(INDIRECT("'Phase 4'!A1")),IF($E$42=0,GetCostColumn,IF(ISTEXT($C67),GetCostColumn *$E$42+GetCostColumn,GetCostColumn )))</f>
        <v>8.5329999999999995</v>
      </c>
      <c r="N67" s="221">
        <f ca="1">IF(ISREF(INDIRECT("'Phase 5'!A1")),E5M,"")</f>
        <v>7.42</v>
      </c>
      <c r="O67" s="1035" cm="1">
        <f t="array" aca="1" ref="O67" ca="1">IF(ISREF(INDIRECT("'Phase 5'!A1")),IF($E$42=0,GetCostColumn,IF(ISTEXT($C67),GetCostColumn *$E$42+GetCostColumn,GetCostColumn )))</f>
        <v>8.5329999999999995</v>
      </c>
      <c r="P67" s="221">
        <f ca="1">IF(ISREF(INDIRECT("'Phase 6'!A1")),E6M,"")</f>
        <v>7.42</v>
      </c>
      <c r="Q67" s="1035" cm="1">
        <f t="array" aca="1" ref="Q67" ca="1">IF(ISREF(INDIRECT("'Phase 6'!A1")),IF($E$42=0,GetCostColumn,IF(ISTEXT($C67),GetCostColumn *$E$42+GetCostColumn,GetCostColumn )))</f>
        <v>8.5329999999999995</v>
      </c>
      <c r="R67" s="221">
        <f ca="1">IF(ISREF(INDIRECT("'Phase 7'!A1")),E7M,"")</f>
        <v>7.42</v>
      </c>
      <c r="S67" s="1035" cm="1">
        <f t="array" aca="1" ref="S67" ca="1">IF(ISREF(INDIRECT("'Phase 7'!A1")),IF($E$42=0,GetCostColumn,IF(ISTEXT($C67),GetCostColumn *$E$42+GetCostColumn,GetCostColumn )))</f>
        <v>8.5329999999999995</v>
      </c>
      <c r="T67" s="221">
        <f ca="1">IF(ISREF(INDIRECT("'Phase 8'!A1")),E8M,"")</f>
        <v>7.42</v>
      </c>
      <c r="U67" s="157" cm="1">
        <f t="array" aca="1" ref="U67" ca="1">IF(ISREF(INDIRECT("'Phase 8'!A1")),IF($E$42=0,GetCostColumn,IF(ISTEXT($C67),GetCostColumn *$E$42+GetCostColumn,GetCostColumn )))</f>
        <v>8.5329999999999995</v>
      </c>
      <c r="V67" s="221">
        <f ca="1">IF(ISREF(INDIRECT("'Phase 9'!A1")),E9M,"")</f>
        <v>7.42</v>
      </c>
      <c r="W67" s="1035" cm="1">
        <f t="array" aca="1" ref="W67" ca="1">IF(ISREF(INDIRECT("'Phase 9'!A1")),IF($E$42=0,GetCostColumn,IF(ISTEXT($C67),GetCostColumn *$E$42+GetCostColumn,GetCostColumn )))</f>
        <v>8.5329999999999995</v>
      </c>
      <c r="X67" s="221">
        <f ca="1">IF(ISREF(INDIRECT("'Phase 10'!A1")),E10M,"")</f>
        <v>7.42</v>
      </c>
      <c r="Y67" s="157" cm="1">
        <f t="array" aca="1" ref="Y67" ca="1">IF(ISREF(INDIRECT("'Phase 10'!A1")),IF($E$42=0,GetCostColumn,IF(ISTEXT($C67),GetCostColumn *$E$42+GetCostColumn,GetCostColumn )))</f>
        <v>8.5329999999999995</v>
      </c>
      <c r="Z67" s="1226">
        <f>E11M</f>
        <v>7.42</v>
      </c>
      <c r="AA67" s="1210">
        <f t="shared" ca="1" si="53"/>
        <v>8.5329999999999995</v>
      </c>
      <c r="AB67" s="1226">
        <f>E12M</f>
        <v>7.42</v>
      </c>
      <c r="AC67" s="1210">
        <f t="shared" ca="1" si="45"/>
        <v>8.5329999999999995</v>
      </c>
      <c r="AD67" s="1226">
        <f>E13M</f>
        <v>7.42</v>
      </c>
      <c r="AE67" s="1210">
        <f t="shared" ca="1" si="46"/>
        <v>8.5329999999999995</v>
      </c>
      <c r="AF67" s="1226">
        <f>E14M</f>
        <v>7.42</v>
      </c>
      <c r="AG67" s="1210">
        <f t="shared" ca="1" si="47"/>
        <v>8.5329999999999995</v>
      </c>
      <c r="AH67" s="1226">
        <f>E15M</f>
        <v>7.42</v>
      </c>
      <c r="AI67" s="1210">
        <f t="shared" ca="1" si="48"/>
        <v>8.5329999999999995</v>
      </c>
      <c r="AJ67" s="1226">
        <f>E16M</f>
        <v>7.42</v>
      </c>
      <c r="AK67" s="1210">
        <f t="shared" ca="1" si="49"/>
        <v>8.5329999999999995</v>
      </c>
      <c r="AL67" s="1226">
        <f>E17M</f>
        <v>7.42</v>
      </c>
      <c r="AM67" s="1210">
        <f t="shared" ca="1" si="50"/>
        <v>8.5329999999999995</v>
      </c>
      <c r="AN67" s="1226">
        <f>E18M</f>
        <v>7.42</v>
      </c>
      <c r="AO67" s="1210">
        <f t="shared" ca="1" si="51"/>
        <v>8.5329999999999995</v>
      </c>
      <c r="AP67" s="1226">
        <f>E19M</f>
        <v>7.42</v>
      </c>
      <c r="AQ67" s="1210">
        <f t="shared" ca="1" si="52"/>
        <v>8.5329999999999995</v>
      </c>
      <c r="AR67" s="1556">
        <f>E20M</f>
        <v>7.42</v>
      </c>
      <c r="AS67" s="1210">
        <f ca="1">IF($E$42=0,GetCostColumn,IF(ISTEXT($C67),GetCostColumn *$E$42+GetCostColumn,GetCostColumn ))</f>
        <v>8.5329999999999995</v>
      </c>
      <c r="AT67" s="83"/>
      <c r="AU67" s="80" cm="1">
        <f t="array" aca="1" ref="AU67" ca="1">IFERROR(SUM(_xlfn._xlws.FILTER(INDEX(DynamicTotalAmount, 1, _xlfn.SEQUENCE(1, COLUMNS(DynamicTotalAmount), 1, 2)), ISNUMBER(INDEX(DynamicTotalAmount, 1, _xlfn.SEQUENCE(1, COLUMNS(DynamicTotalAmount), 1, 2))))),0)</f>
        <v>170.65999999999994</v>
      </c>
    </row>
    <row r="68" spans="1:955" ht="13.9" customHeight="1" x14ac:dyDescent="0.2">
      <c r="A68" s="1378"/>
      <c r="B68" s="132"/>
      <c r="C68" s="17" t="s">
        <v>72</v>
      </c>
      <c r="D68" s="18" t="s">
        <v>127</v>
      </c>
      <c r="E68" s="632"/>
      <c r="F68" s="221">
        <f ca="1">IF(ISREF(INDIRECT("'Phase 1'!A1")),E1C,"")</f>
        <v>7.42</v>
      </c>
      <c r="G68" s="1035" cm="1">
        <f t="array" aca="1" ref="G68" ca="1">IF(ISREF(INDIRECT("'Phase 1'!A1")),IF($E$42=0,GetCostColumn,IF(ISTEXT($C68),GetCostColumn *$E$42+GetCostColumn,GetCostColumn )))</f>
        <v>8.5329999999999995</v>
      </c>
      <c r="H68" s="221">
        <f ca="1">IF(ISREF(INDIRECT("'Phase 2'!A1")),E2C,"")</f>
        <v>7.42</v>
      </c>
      <c r="I68" s="1035" cm="1">
        <f t="array" aca="1" ref="I68" ca="1">IF(ISREF(INDIRECT("'Phase 2'!A1")),IF($E$42=0,GetCostColumn,IF(ISTEXT($C68),GetCostColumn *$E$42+GetCostColumn,GetCostColumn )))</f>
        <v>8.5329999999999995</v>
      </c>
      <c r="J68" s="221">
        <f ca="1">IF(ISREF(INDIRECT("'Phase 3'!A1")),E3C,"")</f>
        <v>7.42</v>
      </c>
      <c r="K68" s="1035" cm="1">
        <f t="array" aca="1" ref="K68" ca="1">IF(ISREF(INDIRECT("'Phase 3'!A1")),IF($E$42=0,GetCostColumn,IF(ISTEXT($C68),GetCostColumn *$E$42+GetCostColumn,GetCostColumn )))</f>
        <v>8.5329999999999995</v>
      </c>
      <c r="L68" s="221">
        <f ca="1">IF(ISREF(INDIRECT("'Phase 4'!A1")),E4C,"")</f>
        <v>7.42</v>
      </c>
      <c r="M68" s="1035" cm="1">
        <f t="array" aca="1" ref="M68" ca="1">IF(ISREF(INDIRECT("'Phase 4'!A1")),IF($E$42=0,GetCostColumn,IF(ISTEXT($C68),GetCostColumn *$E$42+GetCostColumn,GetCostColumn )))</f>
        <v>8.5329999999999995</v>
      </c>
      <c r="N68" s="221">
        <f ca="1">IF(ISREF(INDIRECT("'Phase 5'!A1")),E5C,"")</f>
        <v>7.42</v>
      </c>
      <c r="O68" s="1035" cm="1">
        <f t="array" aca="1" ref="O68" ca="1">IF(ISREF(INDIRECT("'Phase 5'!A1")),IF($E$42=0,GetCostColumn,IF(ISTEXT($C68),GetCostColumn *$E$42+GetCostColumn,GetCostColumn )))</f>
        <v>8.5329999999999995</v>
      </c>
      <c r="P68" s="221">
        <f ca="1">IF(ISREF(INDIRECT("'Phase 6'!A1")),E6C,"")</f>
        <v>7.42</v>
      </c>
      <c r="Q68" s="1035" cm="1">
        <f t="array" aca="1" ref="Q68" ca="1">IF(ISREF(INDIRECT("'Phase 6'!A1")),IF($E$42=0,GetCostColumn,IF(ISTEXT($C68),GetCostColumn *$E$42+GetCostColumn,GetCostColumn )))</f>
        <v>8.5329999999999995</v>
      </c>
      <c r="R68" s="221">
        <f ca="1">IF(ISREF(INDIRECT("'Phase 7'!A1")),E7C,"")</f>
        <v>7.42</v>
      </c>
      <c r="S68" s="1035" cm="1">
        <f t="array" aca="1" ref="S68" ca="1">IF(ISREF(INDIRECT("'Phase 7'!A1")),IF($E$42=0,GetCostColumn,IF(ISTEXT($C68),GetCostColumn *$E$42+GetCostColumn,GetCostColumn )))</f>
        <v>8.5329999999999995</v>
      </c>
      <c r="T68" s="221">
        <f ca="1">IF(ISREF(INDIRECT("'Phase 8'!A1")),E8C,"")</f>
        <v>7.42</v>
      </c>
      <c r="U68" s="157" cm="1">
        <f t="array" aca="1" ref="U68" ca="1">IF(ISREF(INDIRECT("'Phase 8'!A1")),IF($E$42=0,GetCostColumn,IF(ISTEXT($C68),GetCostColumn *$E$42+GetCostColumn,GetCostColumn )))</f>
        <v>8.5329999999999995</v>
      </c>
      <c r="V68" s="221">
        <f ca="1">IF(ISREF(INDIRECT("'Phase 9'!A1")),E9C,"")</f>
        <v>7.42</v>
      </c>
      <c r="W68" s="1035" cm="1">
        <f t="array" aca="1" ref="W68" ca="1">IF(ISREF(INDIRECT("'Phase 9'!A1")),IF($E$42=0,GetCostColumn,IF(ISTEXT($C68),GetCostColumn *$E$42+GetCostColumn,GetCostColumn )))</f>
        <v>8.5329999999999995</v>
      </c>
      <c r="X68" s="221">
        <f ca="1">IF(ISREF(INDIRECT("'Phase 10'!A1")),E10C,"")</f>
        <v>7.42</v>
      </c>
      <c r="Y68" s="157" cm="1">
        <f t="array" aca="1" ref="Y68" ca="1">IF(ISREF(INDIRECT("'Phase 10'!A1")),IF($E$42=0,GetCostColumn,IF(ISTEXT($C68),GetCostColumn *$E$42+GetCostColumn,GetCostColumn )))</f>
        <v>8.5329999999999995</v>
      </c>
      <c r="Z68" s="1226">
        <f>E11C</f>
        <v>7.42</v>
      </c>
      <c r="AA68" s="1210">
        <f t="shared" ca="1" si="53"/>
        <v>8.5329999999999995</v>
      </c>
      <c r="AB68" s="1226">
        <f>E12C</f>
        <v>7.42</v>
      </c>
      <c r="AC68" s="1210">
        <f t="shared" ca="1" si="45"/>
        <v>8.5329999999999995</v>
      </c>
      <c r="AD68" s="1226">
        <f>E13C</f>
        <v>7.42</v>
      </c>
      <c r="AE68" s="1210">
        <f t="shared" ca="1" si="46"/>
        <v>8.5329999999999995</v>
      </c>
      <c r="AF68" s="1226">
        <f>E14C</f>
        <v>7.42</v>
      </c>
      <c r="AG68" s="1210">
        <f t="shared" ca="1" si="47"/>
        <v>8.5329999999999995</v>
      </c>
      <c r="AH68" s="1226">
        <f>E15C</f>
        <v>7.42</v>
      </c>
      <c r="AI68" s="1210">
        <f t="shared" ca="1" si="48"/>
        <v>8.5329999999999995</v>
      </c>
      <c r="AJ68" s="1226">
        <f>E16C</f>
        <v>7.42</v>
      </c>
      <c r="AK68" s="1210">
        <f t="shared" ca="1" si="49"/>
        <v>8.5329999999999995</v>
      </c>
      <c r="AL68" s="1226">
        <f>E17C</f>
        <v>7.42</v>
      </c>
      <c r="AM68" s="1210">
        <f t="shared" ca="1" si="50"/>
        <v>8.5329999999999995</v>
      </c>
      <c r="AN68" s="1226">
        <f>E18C</f>
        <v>7.42</v>
      </c>
      <c r="AO68" s="1210">
        <f t="shared" ca="1" si="51"/>
        <v>8.5329999999999995</v>
      </c>
      <c r="AP68" s="1226">
        <f>E19C</f>
        <v>7.42</v>
      </c>
      <c r="AQ68" s="1210">
        <f t="shared" ca="1" si="52"/>
        <v>8.5329999999999995</v>
      </c>
      <c r="AR68" s="1556">
        <f>E20C</f>
        <v>7.42</v>
      </c>
      <c r="AS68" s="1210">
        <f ca="1">IF($E$42=0,GetCostColumn,IF(ISTEXT($C68),GetCostColumn *$E$42+GetCostColumn,GetCostColumn ))</f>
        <v>8.5329999999999995</v>
      </c>
      <c r="AT68" s="83"/>
      <c r="AU68" s="80" cm="1">
        <f t="array" aca="1" ref="AU68" ca="1">IFERROR(SUM(_xlfn._xlws.FILTER(INDEX(DynamicTotalAmount, 1, _xlfn.SEQUENCE(1, COLUMNS(DynamicTotalAmount), 1, 2)), ISNUMBER(INDEX(DynamicTotalAmount, 1, _xlfn.SEQUENCE(1, COLUMNS(DynamicTotalAmount), 1, 2))))),0)</f>
        <v>170.65999999999994</v>
      </c>
    </row>
    <row r="69" spans="1:955" ht="13.9" customHeight="1" x14ac:dyDescent="0.2">
      <c r="A69" s="1378"/>
      <c r="B69" s="132"/>
      <c r="C69" s="17"/>
      <c r="D69" s="1370"/>
      <c r="E69" s="1371"/>
      <c r="F69" s="20" t="s">
        <v>28</v>
      </c>
      <c r="G69" s="84" t="s">
        <v>28</v>
      </c>
      <c r="H69" s="20" t="s">
        <v>28</v>
      </c>
      <c r="I69" s="84" t="s">
        <v>28</v>
      </c>
      <c r="J69" s="20" t="s">
        <v>28</v>
      </c>
      <c r="K69" s="84" t="s">
        <v>28</v>
      </c>
      <c r="L69" s="20" t="s">
        <v>28</v>
      </c>
      <c r="M69" s="84" t="s">
        <v>28</v>
      </c>
      <c r="N69" s="20" t="s">
        <v>28</v>
      </c>
      <c r="O69" s="84" t="s">
        <v>28</v>
      </c>
      <c r="P69" s="20" t="s">
        <v>28</v>
      </c>
      <c r="Q69" s="84" t="s">
        <v>28</v>
      </c>
      <c r="R69" s="20" t="s">
        <v>28</v>
      </c>
      <c r="S69" s="84" t="s">
        <v>28</v>
      </c>
      <c r="T69" s="20" t="s">
        <v>28</v>
      </c>
      <c r="U69" s="84" t="s">
        <v>28</v>
      </c>
      <c r="V69" s="20" t="s">
        <v>28</v>
      </c>
      <c r="W69" s="84" t="s">
        <v>28</v>
      </c>
      <c r="X69" s="20" t="s">
        <v>28</v>
      </c>
      <c r="Y69" s="84" t="s">
        <v>28</v>
      </c>
      <c r="Z69" s="136" t="s">
        <v>28</v>
      </c>
      <c r="AA69" s="1208" t="s">
        <v>28</v>
      </c>
      <c r="AB69" s="136" t="s">
        <v>28</v>
      </c>
      <c r="AC69" s="1208" t="s">
        <v>28</v>
      </c>
      <c r="AD69" s="136" t="s">
        <v>28</v>
      </c>
      <c r="AE69" s="1208" t="s">
        <v>28</v>
      </c>
      <c r="AF69" s="136" t="s">
        <v>28</v>
      </c>
      <c r="AG69" s="1208" t="s">
        <v>28</v>
      </c>
      <c r="AH69" s="136" t="s">
        <v>28</v>
      </c>
      <c r="AI69" s="1208" t="s">
        <v>28</v>
      </c>
      <c r="AJ69" s="136" t="s">
        <v>28</v>
      </c>
      <c r="AK69" s="1208" t="s">
        <v>28</v>
      </c>
      <c r="AL69" s="136" t="s">
        <v>28</v>
      </c>
      <c r="AM69" s="1208" t="s">
        <v>28</v>
      </c>
      <c r="AN69" s="136" t="s">
        <v>28</v>
      </c>
      <c r="AO69" s="1208" t="s">
        <v>28</v>
      </c>
      <c r="AP69" s="136" t="s">
        <v>28</v>
      </c>
      <c r="AQ69" s="1208" t="s">
        <v>28</v>
      </c>
      <c r="AR69" s="1551" t="s">
        <v>28</v>
      </c>
      <c r="AS69" s="1208" t="s">
        <v>28</v>
      </c>
      <c r="AT69" s="136" t="s">
        <v>28</v>
      </c>
      <c r="AU69" s="84" t="s">
        <v>28</v>
      </c>
    </row>
    <row r="70" spans="1:955" ht="13.9" customHeight="1" x14ac:dyDescent="0.2">
      <c r="A70" s="1378"/>
      <c r="B70" s="17"/>
      <c r="C70" s="17"/>
      <c r="D70" s="1372" t="s">
        <v>34</v>
      </c>
      <c r="E70" s="1373"/>
      <c r="F70" s="1030">
        <f ca="1">SUM(F61:F69)</f>
        <v>59.360000000000007</v>
      </c>
      <c r="G70" s="80">
        <f ca="1">SUM(G61:G68)</f>
        <v>68.263999999999996</v>
      </c>
      <c r="H70" s="1030">
        <f ca="1">SUM(H61:H69)</f>
        <v>59.360000000000007</v>
      </c>
      <c r="I70" s="80">
        <f ca="1">SUM(I61:I68)</f>
        <v>68.263999999999996</v>
      </c>
      <c r="J70" s="1030">
        <f ca="1">SUM(J61:J69)</f>
        <v>59.360000000000007</v>
      </c>
      <c r="K70" s="80">
        <f ca="1">SUM(K61:K68)</f>
        <v>68.263999999999996</v>
      </c>
      <c r="L70" s="1030">
        <f ca="1">SUM(L61:L69)</f>
        <v>59.360000000000007</v>
      </c>
      <c r="M70" s="80">
        <f ca="1">SUM(M61:M68)</f>
        <v>68.263999999999996</v>
      </c>
      <c r="N70" s="1042">
        <f ca="1">SUM(N61:N69)</f>
        <v>59.360000000000007</v>
      </c>
      <c r="O70" s="80">
        <f ca="1">SUM(O61:O68)</f>
        <v>68.263999999999996</v>
      </c>
      <c r="P70" s="1042">
        <f ca="1">SUM(P61:P69)</f>
        <v>59.360000000000007</v>
      </c>
      <c r="Q70" s="80">
        <f ca="1">SUM(Q61:Q68)</f>
        <v>68.263999999999996</v>
      </c>
      <c r="R70" s="1042">
        <f ca="1">SUM(R61:R69)</f>
        <v>59.360000000000007</v>
      </c>
      <c r="S70" s="80">
        <f ca="1">SUM(S61:S68)</f>
        <v>68.263999999999996</v>
      </c>
      <c r="T70" s="1042">
        <f ca="1">SUM(T61:T69)</f>
        <v>59.360000000000007</v>
      </c>
      <c r="U70" s="80">
        <f ca="1">SUM(U61:U68)</f>
        <v>68.263999999999996</v>
      </c>
      <c r="V70" s="1042">
        <f ca="1">SUM(V61:V69)</f>
        <v>59.360000000000007</v>
      </c>
      <c r="W70" s="80">
        <f ca="1">SUM(W61:W68)</f>
        <v>68.263999999999996</v>
      </c>
      <c r="X70" s="1042">
        <f ca="1">SUM(X61:X69)</f>
        <v>59.360000000000007</v>
      </c>
      <c r="Y70" s="80">
        <f t="shared" ref="Y70" ca="1" si="54">SUM(Y61:Y68)</f>
        <v>68.263999999999996</v>
      </c>
      <c r="Z70" s="1027">
        <f t="shared" ref="Z70:AQ70" si="55">SUM(Z61:Z68)</f>
        <v>59.360000000000007</v>
      </c>
      <c r="AA70" s="1207">
        <f t="shared" ca="1" si="55"/>
        <v>68.263999999999996</v>
      </c>
      <c r="AB70" s="1027">
        <f t="shared" si="55"/>
        <v>59.360000000000007</v>
      </c>
      <c r="AC70" s="1207">
        <f t="shared" ca="1" si="55"/>
        <v>68.263999999999996</v>
      </c>
      <c r="AD70" s="1027">
        <f t="shared" si="55"/>
        <v>59.360000000000007</v>
      </c>
      <c r="AE70" s="1207">
        <f t="shared" ca="1" si="55"/>
        <v>68.263999999999996</v>
      </c>
      <c r="AF70" s="1027">
        <f t="shared" si="55"/>
        <v>59.360000000000007</v>
      </c>
      <c r="AG70" s="1207">
        <f t="shared" ca="1" si="55"/>
        <v>68.263999999999996</v>
      </c>
      <c r="AH70" s="1027">
        <f t="shared" si="55"/>
        <v>59.360000000000007</v>
      </c>
      <c r="AI70" s="1207">
        <f t="shared" ca="1" si="55"/>
        <v>68.263999999999996</v>
      </c>
      <c r="AJ70" s="1027">
        <f t="shared" si="55"/>
        <v>59.360000000000007</v>
      </c>
      <c r="AK70" s="1207">
        <f t="shared" ca="1" si="55"/>
        <v>68.263999999999996</v>
      </c>
      <c r="AL70" s="1027">
        <f t="shared" si="55"/>
        <v>59.360000000000007</v>
      </c>
      <c r="AM70" s="1207">
        <f t="shared" ca="1" si="55"/>
        <v>68.263999999999996</v>
      </c>
      <c r="AN70" s="1027">
        <f t="shared" si="55"/>
        <v>59.360000000000007</v>
      </c>
      <c r="AO70" s="1207">
        <f t="shared" ca="1" si="55"/>
        <v>68.263999999999996</v>
      </c>
      <c r="AP70" s="1027">
        <f t="shared" si="55"/>
        <v>59.360000000000007</v>
      </c>
      <c r="AQ70" s="1207">
        <f t="shared" ca="1" si="55"/>
        <v>68.263999999999996</v>
      </c>
      <c r="AR70" s="1550">
        <f>SUM(AR61:AR68)</f>
        <v>59.360000000000007</v>
      </c>
      <c r="AS70" s="1207">
        <f ca="1">SUM(AS61:AS68)</f>
        <v>68.263999999999996</v>
      </c>
      <c r="AT70" s="1048">
        <f ca="1">(F70+H70+J70+L70+N70+P70+R70+T70+V70+X70+Z70+AB70+AD70+AF70+AH70+AJ70+AL70+AN70+AP70+AR70)</f>
        <v>1187.1999999999998</v>
      </c>
      <c r="AU70" s="80">
        <f ca="1">(G70+I70+K70+M70+O70+Q70+S70+U70+W70+Y70+AA70+AC70+AE70+AG70+AI70+AK70+AM70+AO70+AQ70+AS70)</f>
        <v>1365.2799999999995</v>
      </c>
    </row>
    <row r="71" spans="1:955" ht="13.9" customHeight="1" x14ac:dyDescent="0.2">
      <c r="A71" s="621"/>
      <c r="B71" s="149"/>
      <c r="C71" s="76" t="s">
        <v>72</v>
      </c>
      <c r="D71" s="1396" t="s">
        <v>71</v>
      </c>
      <c r="E71" s="1369"/>
      <c r="F71" s="220">
        <f ca="1">IF(ISREF(INDIRECT("'Phase 1'!A1")),ProcureE1,"")</f>
        <v>19.079999999999998</v>
      </c>
      <c r="G71" s="156" cm="1">
        <f t="array" aca="1" ref="G71" ca="1">IF(ISREF(INDIRECT("'Phase 1'!A1")),IF($E$43=0,GetCostColumn,IF(ISTEXT($C71),GetCostColumn *$E$43+GetCostColumn,GetCostColumn )))</f>
        <v>21.941999999999997</v>
      </c>
      <c r="H71" s="220">
        <f ca="1">IF(ISREF(INDIRECT("'Phase 2'!A1")),ProcureE2,"")</f>
        <v>19.079999999999998</v>
      </c>
      <c r="I71" s="156" cm="1">
        <f t="array" aca="1" ref="I71" ca="1">IF(ISREF(INDIRECT("'Phase 2'!A1")),IF($E$43=0,GetCostColumn,IF(ISTEXT($C71),GetCostColumn *$E$43+GetCostColumn,GetCostColumn )))</f>
        <v>21.941999999999997</v>
      </c>
      <c r="J71" s="220">
        <f ca="1">IF(ISREF(INDIRECT("'Phase 3'!A1")),ProcureE3,"")</f>
        <v>19.079999999999998</v>
      </c>
      <c r="K71" s="156" cm="1">
        <f t="array" aca="1" ref="K71" ca="1">IF(ISREF(INDIRECT("'Phase 3'!A1")),IF($E$43=0,GetCostColumn,IF(ISTEXT($C71),GetCostColumn *$E$43+GetCostColumn,GetCostColumn )))</f>
        <v>21.941999999999997</v>
      </c>
      <c r="L71" s="220">
        <f ca="1">IF(ISREF(INDIRECT("'Phase 4'!A1")),ProcureE4,"")</f>
        <v>19.079999999999998</v>
      </c>
      <c r="M71" s="156" cm="1">
        <f t="array" aca="1" ref="M71" ca="1">IF(ISREF(INDIRECT("'Phase 4'!A1")),IF($E$43=0,GetCostColumn,IF(ISTEXT($C71),GetCostColumn *$E$43+GetCostColumn,GetCostColumn )))</f>
        <v>21.941999999999997</v>
      </c>
      <c r="N71" s="220">
        <f ca="1">IF(ISREF(INDIRECT("'Phase 5'!A1")),ProcureE5,"")</f>
        <v>19.079999999999998</v>
      </c>
      <c r="O71" s="156" cm="1">
        <f t="array" aca="1" ref="O71" ca="1">IF(ISREF(INDIRECT("'Phase 5'!A1")),IF($E$43=0,GetCostColumn,IF(ISTEXT($C71),GetCostColumn *$E$43+GetCostColumn,GetCostColumn )))</f>
        <v>21.941999999999997</v>
      </c>
      <c r="P71" s="220">
        <f ca="1">IF(ISREF(INDIRECT("'Phase 6'!A1")),ProcureE6,"")</f>
        <v>19.079999999999998</v>
      </c>
      <c r="Q71" s="156" cm="1">
        <f t="array" aca="1" ref="Q71" ca="1">IF(ISREF(INDIRECT("'Phase 6'!A1")),IF($E$43=0,GetCostColumn,IF(ISTEXT($C71),GetCostColumn *$E$43+GetCostColumn,GetCostColumn )))</f>
        <v>21.941999999999997</v>
      </c>
      <c r="R71" s="220">
        <f ca="1">IF(ISREF(INDIRECT("'Phase 7'!A1")),ProcureE7,"")</f>
        <v>19.079999999999998</v>
      </c>
      <c r="S71" s="156" cm="1">
        <f t="array" aca="1" ref="S71" ca="1">IF(ISREF(INDIRECT("'Phase 7'!A1")),IF($E$43=0,GetCostColumn,IF(ISTEXT($C71),GetCostColumn *$E$43+GetCostColumn,GetCostColumn )))</f>
        <v>21.941999999999997</v>
      </c>
      <c r="T71" s="220">
        <f ca="1">IF(ISREF(INDIRECT("'Phase 8'!A1")),ProcureE8,"")</f>
        <v>19.079999999999998</v>
      </c>
      <c r="U71" s="156" cm="1">
        <f t="array" aca="1" ref="U71" ca="1">IF(ISREF(INDIRECT("'Phase 8'!A1")),IF($E$43=0,GetCostColumn,IF(ISTEXT($C71),GetCostColumn *$E$43+GetCostColumn,GetCostColumn )))</f>
        <v>21.941999999999997</v>
      </c>
      <c r="V71" s="220">
        <f ca="1">IF(ISREF(INDIRECT("'Phase 9'!A1")),ProcureE9,"")</f>
        <v>19.079999999999998</v>
      </c>
      <c r="W71" s="156" cm="1">
        <f t="array" aca="1" ref="W71" ca="1">IF(ISREF(INDIRECT("'Phase 9'!A1")),IF($E$43=0,GetCostColumn,IF(ISTEXT($C71),GetCostColumn *$E$43+GetCostColumn,GetCostColumn )))</f>
        <v>21.941999999999997</v>
      </c>
      <c r="X71" s="220">
        <f ca="1">IF(ISREF(INDIRECT("'Phase 10'!A1")),ProcureE10,"")</f>
        <v>19.079999999999998</v>
      </c>
      <c r="Y71" s="156" cm="1">
        <f t="array" aca="1" ref="Y71" ca="1">IF(ISREF(INDIRECT("'Phase 10'!A1")),IF($E$43=0,GetCostColumn,IF(ISTEXT($C71),GetCostColumn *$E$43+GetCostColumn,GetCostColumn )))</f>
        <v>21.941999999999997</v>
      </c>
      <c r="Z71" s="1196">
        <f>ProcureE11</f>
        <v>19.079999999999998</v>
      </c>
      <c r="AA71" s="1209">
        <f ca="1">IF($E$43=0,GetCostColumn,IF(ISTEXT($C71),GetCostColumn *$E$43+GetCostColumn,GetCostColumn ))</f>
        <v>21.941999999999997</v>
      </c>
      <c r="AB71" s="1196">
        <f>ProcureE12</f>
        <v>19.079999999999998</v>
      </c>
      <c r="AC71" s="1209">
        <f ca="1">IF($E$43=0,GetCostColumn,IF(ISTEXT($C71),GetCostColumn *$E$43+GetCostColumn,GetCostColumn ))</f>
        <v>21.941999999999997</v>
      </c>
      <c r="AD71" s="1196">
        <f>ProcureE13</f>
        <v>19.079999999999998</v>
      </c>
      <c r="AE71" s="1209">
        <f ca="1">IF($E$43=0,GetCostColumn,IF(ISTEXT($C71),GetCostColumn *$E$43+GetCostColumn,GetCostColumn ))</f>
        <v>21.941999999999997</v>
      </c>
      <c r="AF71" s="1196">
        <f>ProcureE14</f>
        <v>19.079999999999998</v>
      </c>
      <c r="AG71" s="1209">
        <f ca="1">IF($E$43=0,GetCostColumn,IF(ISTEXT($C71),GetCostColumn *$E$43+GetCostColumn,GetCostColumn ))</f>
        <v>21.941999999999997</v>
      </c>
      <c r="AH71" s="1196">
        <f>ProcureE15</f>
        <v>19.079999999999998</v>
      </c>
      <c r="AI71" s="1209">
        <f ca="1">IF($E$43=0,GetCostColumn,IF(ISTEXT($C71),GetCostColumn *$E$43+GetCostColumn,GetCostColumn ))</f>
        <v>21.941999999999997</v>
      </c>
      <c r="AJ71" s="1196">
        <f>ProcureE16</f>
        <v>19.079999999999998</v>
      </c>
      <c r="AK71" s="1209">
        <f ca="1">IF($E$43=0,GetCostColumn,IF(ISTEXT($C71),GetCostColumn *$E$43+GetCostColumn,GetCostColumn ))</f>
        <v>21.941999999999997</v>
      </c>
      <c r="AL71" s="1196">
        <f>ProcureE17</f>
        <v>19.079999999999998</v>
      </c>
      <c r="AM71" s="1209">
        <f ca="1">IF($E$43=0,GetCostColumn,IF(ISTEXT($C71),GetCostColumn *$E$43+GetCostColumn,GetCostColumn ))</f>
        <v>21.941999999999997</v>
      </c>
      <c r="AN71" s="1196">
        <f>ProcureE18</f>
        <v>19.079999999999998</v>
      </c>
      <c r="AO71" s="1209">
        <f ca="1">IF($E$43=0,GetCostColumn,IF(ISTEXT($C71),GetCostColumn *$E$43+GetCostColumn,GetCostColumn ))</f>
        <v>21.941999999999997</v>
      </c>
      <c r="AP71" s="1196">
        <f>ProcureE19</f>
        <v>19.079999999999998</v>
      </c>
      <c r="AQ71" s="1209">
        <f ca="1">IF($E$43=0,GetCostColumn,IF(ISTEXT($C71),GetCostColumn *$E$43+GetCostColumn,GetCostColumn ))</f>
        <v>21.941999999999997</v>
      </c>
      <c r="AR71" s="1196">
        <f>ProcureE20</f>
        <v>19.079999999999998</v>
      </c>
      <c r="AS71" s="1209">
        <f ca="1">IF($E$43=0,GetCostColumn,IF(ISTEXT($C71),GetCostColumn *$E$43+GetCostColumn,GetCostColumn ))</f>
        <v>21.941999999999997</v>
      </c>
      <c r="AT71" s="81">
        <f ca="1">X71+V71+T71+R71+P71+N71+L71+J71+H71+F71+Z71+AB71+AD71+AF71+AH71+AJ71+AL71+AN71+AP71+AR71</f>
        <v>381.5999999999998</v>
      </c>
      <c r="AU71" s="79">
        <f ca="1">(G71+I71+K71+M71+O71+Q71+S71+U71+W71+Y71+AA71+AC71+AE71+AG71+AI71+AK71+AM71+AO71+AQ71+AS71)</f>
        <v>438.84000000000009</v>
      </c>
    </row>
    <row r="72" spans="1:955" ht="13.9" customHeight="1" x14ac:dyDescent="0.2">
      <c r="A72" s="620"/>
      <c r="B72" s="45"/>
      <c r="C72" s="4"/>
      <c r="D72" s="45"/>
      <c r="E72" s="5"/>
      <c r="F72" s="20" t="s">
        <v>28</v>
      </c>
      <c r="G72" s="84" t="s">
        <v>28</v>
      </c>
      <c r="H72" s="20" t="s">
        <v>28</v>
      </c>
      <c r="I72" s="84" t="s">
        <v>28</v>
      </c>
      <c r="J72" s="20" t="s">
        <v>28</v>
      </c>
      <c r="K72" s="84" t="s">
        <v>28</v>
      </c>
      <c r="L72" s="20" t="s">
        <v>28</v>
      </c>
      <c r="M72" s="84" t="s">
        <v>28</v>
      </c>
      <c r="N72" s="20" t="s">
        <v>28</v>
      </c>
      <c r="O72" s="84" t="s">
        <v>28</v>
      </c>
      <c r="P72" s="20" t="s">
        <v>28</v>
      </c>
      <c r="Q72" s="84" t="s">
        <v>28</v>
      </c>
      <c r="R72" s="20" t="s">
        <v>28</v>
      </c>
      <c r="S72" s="84" t="s">
        <v>28</v>
      </c>
      <c r="T72" s="20" t="s">
        <v>28</v>
      </c>
      <c r="U72" s="84" t="s">
        <v>28</v>
      </c>
      <c r="V72" s="20" t="s">
        <v>28</v>
      </c>
      <c r="W72" s="84" t="s">
        <v>28</v>
      </c>
      <c r="X72" s="20" t="s">
        <v>28</v>
      </c>
      <c r="Y72" s="84" t="s">
        <v>28</v>
      </c>
      <c r="Z72" s="136" t="s">
        <v>28</v>
      </c>
      <c r="AA72" s="1208" t="s">
        <v>28</v>
      </c>
      <c r="AB72" s="136" t="s">
        <v>28</v>
      </c>
      <c r="AC72" s="1208" t="s">
        <v>28</v>
      </c>
      <c r="AD72" s="136" t="s">
        <v>28</v>
      </c>
      <c r="AE72" s="1208" t="s">
        <v>28</v>
      </c>
      <c r="AF72" s="136" t="s">
        <v>28</v>
      </c>
      <c r="AG72" s="1208" t="s">
        <v>28</v>
      </c>
      <c r="AH72" s="136" t="s">
        <v>28</v>
      </c>
      <c r="AI72" s="1208" t="s">
        <v>28</v>
      </c>
      <c r="AJ72" s="136" t="s">
        <v>28</v>
      </c>
      <c r="AK72" s="1208" t="s">
        <v>28</v>
      </c>
      <c r="AL72" s="136" t="s">
        <v>28</v>
      </c>
      <c r="AM72" s="1208" t="s">
        <v>28</v>
      </c>
      <c r="AN72" s="136" t="s">
        <v>28</v>
      </c>
      <c r="AO72" s="1208" t="s">
        <v>28</v>
      </c>
      <c r="AP72" s="136" t="s">
        <v>28</v>
      </c>
      <c r="AQ72" s="1208" t="s">
        <v>28</v>
      </c>
      <c r="AR72" s="1551" t="s">
        <v>28</v>
      </c>
      <c r="AS72" s="1208" t="s">
        <v>28</v>
      </c>
      <c r="AT72" s="136" t="s">
        <v>28</v>
      </c>
      <c r="AU72" s="84" t="s">
        <v>28</v>
      </c>
    </row>
    <row r="73" spans="1:955" ht="13.9" customHeight="1" x14ac:dyDescent="0.2">
      <c r="A73" s="625"/>
      <c r="B73" s="145"/>
      <c r="C73" s="145"/>
      <c r="D73" s="1392" t="s">
        <v>89</v>
      </c>
      <c r="E73" s="1373"/>
      <c r="F73" s="1033">
        <f t="shared" ref="F73:Y73" ca="1" si="56">F71</f>
        <v>19.079999999999998</v>
      </c>
      <c r="G73" s="85">
        <f t="shared" ca="1" si="56"/>
        <v>21.941999999999997</v>
      </c>
      <c r="H73" s="1032">
        <f t="shared" ca="1" si="56"/>
        <v>19.079999999999998</v>
      </c>
      <c r="I73" s="85">
        <f t="shared" ca="1" si="56"/>
        <v>21.941999999999997</v>
      </c>
      <c r="J73" s="1033">
        <f t="shared" ca="1" si="56"/>
        <v>19.079999999999998</v>
      </c>
      <c r="K73" s="85">
        <f t="shared" ca="1" si="56"/>
        <v>21.941999999999997</v>
      </c>
      <c r="L73" s="1033">
        <f t="shared" ca="1" si="56"/>
        <v>19.079999999999998</v>
      </c>
      <c r="M73" s="85">
        <f t="shared" ca="1" si="56"/>
        <v>21.941999999999997</v>
      </c>
      <c r="N73" s="1033">
        <f t="shared" ca="1" si="56"/>
        <v>19.079999999999998</v>
      </c>
      <c r="O73" s="85">
        <f t="shared" ca="1" si="56"/>
        <v>21.941999999999997</v>
      </c>
      <c r="P73" s="1033">
        <f t="shared" ca="1" si="56"/>
        <v>19.079999999999998</v>
      </c>
      <c r="Q73" s="85">
        <f t="shared" ca="1" si="56"/>
        <v>21.941999999999997</v>
      </c>
      <c r="R73" s="1033">
        <f t="shared" ca="1" si="56"/>
        <v>19.079999999999998</v>
      </c>
      <c r="S73" s="85">
        <f t="shared" ca="1" si="56"/>
        <v>21.941999999999997</v>
      </c>
      <c r="T73" s="1033">
        <f t="shared" ca="1" si="56"/>
        <v>19.079999999999998</v>
      </c>
      <c r="U73" s="85">
        <f t="shared" ca="1" si="56"/>
        <v>21.941999999999997</v>
      </c>
      <c r="V73" s="1033">
        <f t="shared" ca="1" si="56"/>
        <v>19.079999999999998</v>
      </c>
      <c r="W73" s="85">
        <f t="shared" ca="1" si="56"/>
        <v>21.941999999999997</v>
      </c>
      <c r="X73" s="1033">
        <f t="shared" ca="1" si="56"/>
        <v>19.079999999999998</v>
      </c>
      <c r="Y73" s="85">
        <f t="shared" ca="1" si="56"/>
        <v>21.941999999999997</v>
      </c>
      <c r="Z73" s="1055">
        <f t="shared" ref="Z73:AQ73" si="57">Z71</f>
        <v>19.079999999999998</v>
      </c>
      <c r="AA73" s="1207">
        <f t="shared" ca="1" si="57"/>
        <v>21.941999999999997</v>
      </c>
      <c r="AB73" s="1027">
        <f t="shared" si="57"/>
        <v>19.079999999999998</v>
      </c>
      <c r="AC73" s="1207">
        <f t="shared" ca="1" si="57"/>
        <v>21.941999999999997</v>
      </c>
      <c r="AD73" s="1027">
        <f t="shared" si="57"/>
        <v>19.079999999999998</v>
      </c>
      <c r="AE73" s="1207">
        <f t="shared" ca="1" si="57"/>
        <v>21.941999999999997</v>
      </c>
      <c r="AF73" s="1027">
        <f t="shared" si="57"/>
        <v>19.079999999999998</v>
      </c>
      <c r="AG73" s="1207">
        <f t="shared" ca="1" si="57"/>
        <v>21.941999999999997</v>
      </c>
      <c r="AH73" s="1027">
        <f t="shared" si="57"/>
        <v>19.079999999999998</v>
      </c>
      <c r="AI73" s="1207">
        <f t="shared" ca="1" si="57"/>
        <v>21.941999999999997</v>
      </c>
      <c r="AJ73" s="1027">
        <f t="shared" si="57"/>
        <v>19.079999999999998</v>
      </c>
      <c r="AK73" s="1207">
        <f t="shared" ca="1" si="57"/>
        <v>21.941999999999997</v>
      </c>
      <c r="AL73" s="1027">
        <f t="shared" si="57"/>
        <v>19.079999999999998</v>
      </c>
      <c r="AM73" s="1207">
        <f t="shared" ca="1" si="57"/>
        <v>21.941999999999997</v>
      </c>
      <c r="AN73" s="1027">
        <f t="shared" si="57"/>
        <v>19.079999999999998</v>
      </c>
      <c r="AO73" s="1207">
        <f t="shared" ca="1" si="57"/>
        <v>21.941999999999997</v>
      </c>
      <c r="AP73" s="1027">
        <f t="shared" si="57"/>
        <v>19.079999999999998</v>
      </c>
      <c r="AQ73" s="1207">
        <f t="shared" ca="1" si="57"/>
        <v>21.941999999999997</v>
      </c>
      <c r="AR73" s="1550">
        <f>AR71</f>
        <v>19.079999999999998</v>
      </c>
      <c r="AS73" s="1207">
        <f ca="1">AS71</f>
        <v>21.941999999999997</v>
      </c>
      <c r="AT73" s="1048">
        <f ca="1">AT71</f>
        <v>381.5999999999998</v>
      </c>
      <c r="AU73" s="85">
        <f ca="1">AU71</f>
        <v>438.84000000000009</v>
      </c>
    </row>
    <row r="74" spans="1:955" ht="13.9" customHeight="1" x14ac:dyDescent="0.2">
      <c r="A74" s="1391" t="s">
        <v>303</v>
      </c>
      <c r="B74" s="133"/>
      <c r="C74" s="251" t="s">
        <v>72</v>
      </c>
      <c r="D74" s="249" t="s">
        <v>768</v>
      </c>
      <c r="E74" s="632"/>
      <c r="F74" s="633">
        <f ca="1">IF(ISREF(INDIRECT("'Phase 1'!A1")),E1ETransfer,"")</f>
        <v>12049</v>
      </c>
      <c r="G74" s="157" cm="1">
        <f t="array" aca="1" ref="G74" ca="1">IF(ISREF(INDIRECT("'Phase 1'!A1")),IF($E$43=0,GetCostColumn,IF(ISTEXT($C74),GetCostColumn *$E$43+GetCostColumn,GetCostColumn )))</f>
        <v>13856.35</v>
      </c>
      <c r="H74" s="633">
        <f ca="1">IF(ISREF(INDIRECT("'Phase 2'!A1")),E2ETransfer,"")</f>
        <v>12986</v>
      </c>
      <c r="I74" s="157" cm="1">
        <f t="array" aca="1" ref="I74" ca="1">IF(ISREF(INDIRECT("'Phase 2'!A1")),IF($E$43=0,GetCostColumn,IF(ISTEXT($C74),GetCostColumn *$E$43+GetCostColumn,GetCostColumn )))</f>
        <v>14933.9</v>
      </c>
      <c r="J74" s="633">
        <f ca="1">IF(ISREF(INDIRECT("'Phase 3'!A1")),E3ETransfer,"")</f>
        <v>14166</v>
      </c>
      <c r="K74" s="157" cm="1">
        <f t="array" aca="1" ref="K74" ca="1">IF(ISREF(INDIRECT("'Phase 3'!A1")),IF($E$43=0,GetCostColumn,IF(ISTEXT($C74),GetCostColumn *$E$43+GetCostColumn,GetCostColumn )))</f>
        <v>16290.9</v>
      </c>
      <c r="L74" s="633">
        <f ca="1">IF(ISREF(INDIRECT("'Phase 4'!A1")),E4ETransfer,"")</f>
        <v>12901</v>
      </c>
      <c r="M74" s="157" cm="1">
        <f t="array" aca="1" ref="M74" ca="1">IF(ISREF(INDIRECT("'Phase 4'!A1")),IF($E$43=0,GetCostColumn,IF(ISTEXT($C74),GetCostColumn *$E$43+GetCostColumn,GetCostColumn )))</f>
        <v>14836.15</v>
      </c>
      <c r="N74" s="633">
        <f ca="1">IF(ISREF(INDIRECT("'Phase 5'!A1")),E5ETransfer,"")</f>
        <v>12986</v>
      </c>
      <c r="O74" s="157" cm="1">
        <f t="array" aca="1" ref="O74" ca="1">IF(ISREF(INDIRECT("'Phase 5'!A1")),IF($E$43=0,GetCostColumn,IF(ISTEXT($C74),GetCostColumn *$E$43+GetCostColumn,GetCostColumn )))</f>
        <v>14933.9</v>
      </c>
      <c r="P74" s="633">
        <f ca="1">IF(ISREF(INDIRECT("'Phase 6'!A1")),E6ETransfer,"")</f>
        <v>12756</v>
      </c>
      <c r="Q74" s="157" cm="1">
        <f t="array" aca="1" ref="Q74" ca="1">IF(ISREF(INDIRECT("'Phase 6'!A1")),IF($E$43=0,GetCostColumn,IF(ISTEXT($C74),GetCostColumn *$E$43+GetCostColumn,GetCostColumn )))</f>
        <v>14669.4</v>
      </c>
      <c r="R74" s="633">
        <f ca="1">IF(ISREF(INDIRECT("'Phase 7'!A1")),E7ETransfer,"")</f>
        <v>12986</v>
      </c>
      <c r="S74" s="157" cm="1">
        <f t="array" aca="1" ref="S74" ca="1">IF(ISREF(INDIRECT("'Phase 7'!A1")),IF($E$43=0,GetCostColumn,IF(ISTEXT($C74),GetCostColumn *$E$43+GetCostColumn,GetCostColumn )))</f>
        <v>14933.9</v>
      </c>
      <c r="T74" s="633">
        <f ca="1">IF(ISREF(INDIRECT("'Phase 8'!A1")),E8ETransfer,"")</f>
        <v>12701</v>
      </c>
      <c r="U74" s="157" cm="1">
        <f t="array" aca="1" ref="U74" ca="1">IF(ISREF(INDIRECT("'Phase 8'!A1")),IF($E$43=0,GetCostColumn,IF(ISTEXT($C74),GetCostColumn *$E$43+GetCostColumn,GetCostColumn )))</f>
        <v>14606.15</v>
      </c>
      <c r="V74" s="633">
        <f ca="1">IF(ISREF(INDIRECT("'Phase 9'!A1")),E9ETransfer,"")</f>
        <v>12986</v>
      </c>
      <c r="W74" s="157" cm="1">
        <f t="array" aca="1" ref="W74" ca="1">IF(ISREF(INDIRECT("'Phase 9'!A1")),IF($E$43=0,GetCostColumn,IF(ISTEXT($C74),GetCostColumn *$E$43+GetCostColumn,GetCostColumn )))</f>
        <v>14933.9</v>
      </c>
      <c r="X74" s="633">
        <f ca="1">IF(ISREF(INDIRECT("'Phase 10'!A1")),E10ETransfer,"")</f>
        <v>12891</v>
      </c>
      <c r="Y74" s="157" cm="1">
        <f t="array" aca="1" ref="Y74" ca="1">IF(ISREF(INDIRECT("'Phase 10'!A1")),IF($E$43=0,GetCostColumn,IF(ISTEXT($C74),GetCostColumn *$E$43+GetCostColumn,GetCostColumn )))</f>
        <v>14824.65</v>
      </c>
      <c r="Z74" s="1226">
        <f>E11ETransfer</f>
        <v>12961</v>
      </c>
      <c r="AA74" s="1209">
        <f ca="1">IF($E$43=0,GetCostColumn,IF(ISTEXT($C74),GetCostColumn *$E$43+GetCostColumn,GetCostColumn ))</f>
        <v>14905.15</v>
      </c>
      <c r="AB74" s="1196">
        <f>E12ETransfer</f>
        <v>12986</v>
      </c>
      <c r="AC74" s="1209">
        <f ca="1">IF($E$43=0,GetCostColumn,IF(ISTEXT($C74),GetCostColumn *$E$43+GetCostColumn,GetCostColumn ))</f>
        <v>14933.9</v>
      </c>
      <c r="AD74" s="1196">
        <f>E13ETransfer</f>
        <v>12936</v>
      </c>
      <c r="AE74" s="1209">
        <f ca="1">IF($E$43=0,GetCostColumn,IF(ISTEXT($C74),GetCostColumn *$E$43+GetCostColumn,GetCostColumn ))</f>
        <v>14876.4</v>
      </c>
      <c r="AF74" s="1196">
        <f>E14ETransfer</f>
        <v>12986</v>
      </c>
      <c r="AG74" s="1209">
        <f ca="1">IF($E$43=0,GetCostColumn,IF(ISTEXT($C74),GetCostColumn *$E$43+GetCostColumn,GetCostColumn ))</f>
        <v>14933.9</v>
      </c>
      <c r="AH74" s="1196">
        <f>E15ETransfer</f>
        <v>12936</v>
      </c>
      <c r="AI74" s="1209">
        <f ca="1">IF($E$43=0,GetCostColumn,IF(ISTEXT($C74),GetCostColumn *$E$43+GetCostColumn,GetCostColumn ))</f>
        <v>14876.4</v>
      </c>
      <c r="AJ74" s="1196">
        <f>E16ETransfer</f>
        <v>12791</v>
      </c>
      <c r="AK74" s="1209">
        <f ca="1">IF($E$43=0,GetCostColumn,IF(ISTEXT($C74),GetCostColumn *$E$43+GetCostColumn,GetCostColumn ))</f>
        <v>14709.65</v>
      </c>
      <c r="AL74" s="1196">
        <f>E17ETransfer</f>
        <v>12986</v>
      </c>
      <c r="AM74" s="1209">
        <f ca="1">IF($E$43=0,GetCostColumn,IF(ISTEXT($C74),GetCostColumn *$E$43+GetCostColumn,GetCostColumn ))</f>
        <v>14933.9</v>
      </c>
      <c r="AN74" s="1196">
        <f>E18ETransfer</f>
        <v>12986</v>
      </c>
      <c r="AO74" s="1209">
        <f ca="1">IF($E$43=0,GetCostColumn,IF(ISTEXT($C74),GetCostColumn *$E$43+GetCostColumn,GetCostColumn ))</f>
        <v>14933.9</v>
      </c>
      <c r="AP74" s="1196">
        <f>E19ETransfer</f>
        <v>12986</v>
      </c>
      <c r="AQ74" s="1209">
        <f ca="1">IF($E$43=0,GetCostColumn,IF(ISTEXT($C74),GetCostColumn *$E$43+GetCostColumn,GetCostColumn ))</f>
        <v>14933.9</v>
      </c>
      <c r="AR74" s="1196">
        <f>E20ETransfer</f>
        <v>12751</v>
      </c>
      <c r="AS74" s="1209">
        <f ca="1">IF($E$43=0,GetCostColumn,IF(ISTEXT($C74),GetCostColumn *$E$43+GetCostColumn,GetCostColumn ))</f>
        <v>14663.65</v>
      </c>
      <c r="AT74" s="1050">
        <f ca="1">X74+V74+T74+R74+P74+N74+L74+J74+H74+F74+Z74+AB74+AD74+AF74+AH74+AJ74+AL74+AN74+AP74+AR74</f>
        <v>258713</v>
      </c>
      <c r="AU74" s="80" cm="1">
        <f t="array" aca="1" ref="AU74" ca="1">IFERROR(SUM(_xlfn._xlws.FILTER(INDEX(DynamicTotalAmount, 1, _xlfn.SEQUENCE(1, COLUMNS(DynamicTotalAmount), 1, 2)), ISNUMBER(INDEX(DynamicTotalAmount, 1, _xlfn.SEQUENCE(1, COLUMNS(DynamicTotalAmount), 1, 2))))),0)</f>
        <v>297519.95</v>
      </c>
    </row>
    <row r="75" spans="1:955" ht="13.9" customHeight="1" x14ac:dyDescent="0.2">
      <c r="A75" s="1391"/>
      <c r="B75" s="133"/>
      <c r="C75" s="251"/>
      <c r="D75" s="249" t="s">
        <v>767</v>
      </c>
      <c r="E75" s="632"/>
      <c r="F75" s="633">
        <f ca="1">IF(ISREF(INDIRECT("'Phase 1'!A1")),E1STransfer,"")</f>
        <v>1386.73</v>
      </c>
      <c r="G75" s="157" cm="1">
        <f t="array" aca="1" ref="G75" ca="1">IF(ISREF(INDIRECT("'Phase 1'!A1")),IF($E$43=0,GetCostColumn,IF(ISTEXT($C75),GetCostColumn *$E$43+GetCostColumn,GetCostColumn )))</f>
        <v>1386.73</v>
      </c>
      <c r="H75" s="633">
        <f ca="1">IF(ISREF(INDIRECT("'Phase 2'!A1")),E2STransfer,"")</f>
        <v>1586.58</v>
      </c>
      <c r="I75" s="157" cm="1">
        <f t="array" aca="1" ref="I75" ca="1">IF(ISREF(INDIRECT("'Phase 2'!A1")),IF($E$43=0,GetCostColumn,IF(ISTEXT($C75),GetCostColumn *$E$43+GetCostColumn,GetCostColumn )))</f>
        <v>1586.58</v>
      </c>
      <c r="J75" s="633">
        <f ca="1">IF(ISREF(INDIRECT("'Phase 3'!A1")),E3STransfer,"")</f>
        <v>1586.73</v>
      </c>
      <c r="K75" s="157" cm="1">
        <f t="array" aca="1" ref="K75" ca="1">IF(ISREF(INDIRECT("'Phase 3'!A1")),IF($E$43=0,GetCostColumn,IF(ISTEXT($C75),GetCostColumn *$E$43+GetCostColumn,GetCostColumn )))</f>
        <v>1586.73</v>
      </c>
      <c r="L75" s="633">
        <f ca="1">IF(ISREF(INDIRECT("'Phase 4'!A1")),E4STransfer,"")</f>
        <v>1586.73</v>
      </c>
      <c r="M75" s="157" cm="1">
        <f t="array" aca="1" ref="M75" ca="1">IF(ISREF(INDIRECT("'Phase 4'!A1")),IF($E$43=0,GetCostColumn,IF(ISTEXT($C75),GetCostColumn *$E$43+GetCostColumn,GetCostColumn )))</f>
        <v>1586.73</v>
      </c>
      <c r="N75" s="633">
        <f ca="1">IF(ISREF(INDIRECT("'Phase 5'!A1")),E5STransfer,"")</f>
        <v>1586.73</v>
      </c>
      <c r="O75" s="157" cm="1">
        <f t="array" aca="1" ref="O75" ca="1">IF(ISREF(INDIRECT("'Phase 5'!A1")),IF($E$43=0,GetCostColumn,IF(ISTEXT($C75),GetCostColumn *$E$43+GetCostColumn,GetCostColumn )))</f>
        <v>1586.73</v>
      </c>
      <c r="P75" s="633">
        <f ca="1">IF(ISREF(INDIRECT("'Phase 6'!A1")),E6STransfer,"")</f>
        <v>1586.73</v>
      </c>
      <c r="Q75" s="157" cm="1">
        <f t="array" aca="1" ref="Q75" ca="1">IF(ISREF(INDIRECT("'Phase 6'!A1")),IF($E$43=0,GetCostColumn,IF(ISTEXT($C75),GetCostColumn *$E$43+GetCostColumn,GetCostColumn )))</f>
        <v>1586.73</v>
      </c>
      <c r="R75" s="633">
        <f ca="1">IF(ISREF(INDIRECT("'Phase 7'!A1")),E7STransfer,"")</f>
        <v>1586.73</v>
      </c>
      <c r="S75" s="157" cm="1">
        <f t="array" aca="1" ref="S75" ca="1">IF(ISREF(INDIRECT("'Phase 7'!A1")),IF($E$43=0,GetCostColumn,IF(ISTEXT($C75),GetCostColumn *$E$43+GetCostColumn,GetCostColumn )))</f>
        <v>1586.73</v>
      </c>
      <c r="T75" s="633">
        <f ca="1">IF(ISREF(INDIRECT("'Phase 8'!A1")),E8STransfer,"")</f>
        <v>1586.73</v>
      </c>
      <c r="U75" s="157" cm="1">
        <f t="array" aca="1" ref="U75" ca="1">IF(ISREF(INDIRECT("'Phase 8'!A1")),IF($E$43=0,GetCostColumn,IF(ISTEXT($C75),GetCostColumn *$E$43+GetCostColumn,GetCostColumn )))</f>
        <v>1586.73</v>
      </c>
      <c r="V75" s="633">
        <f ca="1">IF(ISREF(INDIRECT("'Phase 9'!A1")),E9STransfer,"")</f>
        <v>1586.73</v>
      </c>
      <c r="W75" s="157" cm="1">
        <f t="array" aca="1" ref="W75" ca="1">IF(ISREF(INDIRECT("'Phase 9'!A1")),IF($E$43=0,GetCostColumn,IF(ISTEXT($C75),GetCostColumn *$E$43+GetCostColumn,GetCostColumn )))</f>
        <v>1586.73</v>
      </c>
      <c r="X75" s="633">
        <f ca="1">IF(ISREF(INDIRECT("'Phase 10'!A1")),E10STransfer,"")</f>
        <v>1586.73</v>
      </c>
      <c r="Y75" s="157" cm="1">
        <f t="array" aca="1" ref="Y75" ca="1">IF(ISREF(INDIRECT("'Phase 10'!A1")),IF($E$43=0,GetCostColumn,IF(ISTEXT($C75),GetCostColumn *$E$43+GetCostColumn,GetCostColumn )))</f>
        <v>1586.73</v>
      </c>
      <c r="Z75" s="1226">
        <f>E11STransfer</f>
        <v>1586.73</v>
      </c>
      <c r="AA75" s="1210">
        <f ca="1">IF($E$43=0,GetCostColumn,IF(ISTEXT($C75),GetCostColumn *$E$43+GetCostColumn,GetCostColumn ))</f>
        <v>1586.73</v>
      </c>
      <c r="AB75" s="1226">
        <f>E12STransfer</f>
        <v>1586.73</v>
      </c>
      <c r="AC75" s="1210">
        <f ca="1">IF($E$43=0,GetCostColumn,IF(ISTEXT($C75),GetCostColumn *$E$43+GetCostColumn,GetCostColumn ))</f>
        <v>1586.73</v>
      </c>
      <c r="AD75" s="1226">
        <f>E13STransfer</f>
        <v>1586.73</v>
      </c>
      <c r="AE75" s="1210">
        <f ca="1">IF($E$43=0,GetCostColumn,IF(ISTEXT($C75),GetCostColumn *$E$43+GetCostColumn,GetCostColumn ))</f>
        <v>1586.73</v>
      </c>
      <c r="AF75" s="1226">
        <f>E14STransfer</f>
        <v>1314.73</v>
      </c>
      <c r="AG75" s="1210">
        <f ca="1">IF($E$43=0,GetCostColumn,IF(ISTEXT($C75),GetCostColumn *$E$43+GetCostColumn,GetCostColumn ))</f>
        <v>1314.73</v>
      </c>
      <c r="AH75" s="1226">
        <f>E15STransfer</f>
        <v>1586.73</v>
      </c>
      <c r="AI75" s="1210">
        <f ca="1">IF($E$43=0,GetCostColumn,IF(ISTEXT($C75),GetCostColumn *$E$43+GetCostColumn,GetCostColumn ))</f>
        <v>1586.73</v>
      </c>
      <c r="AJ75" s="1226">
        <f>E16STransfer</f>
        <v>1586.73</v>
      </c>
      <c r="AK75" s="1210">
        <f ca="1">IF($E$43=0,GetCostColumn,IF(ISTEXT($C75),GetCostColumn *$E$43+GetCostColumn,GetCostColumn ))</f>
        <v>1586.73</v>
      </c>
      <c r="AL75" s="1226">
        <f>E17STransfer</f>
        <v>1586.73</v>
      </c>
      <c r="AM75" s="1210">
        <f ca="1">IF($E$43=0,GetCostColumn,IF(ISTEXT($C75),GetCostColumn *$E$43+GetCostColumn,GetCostColumn ))</f>
        <v>1586.73</v>
      </c>
      <c r="AN75" s="1226">
        <f>E18STransfer</f>
        <v>1586.73</v>
      </c>
      <c r="AO75" s="1210">
        <f ca="1">IF($E$43=0,GetCostColumn,IF(ISTEXT($C75),GetCostColumn *$E$43+GetCostColumn,GetCostColumn ))</f>
        <v>1586.73</v>
      </c>
      <c r="AP75" s="1226">
        <f>E19STransfer</f>
        <v>1586.73</v>
      </c>
      <c r="AQ75" s="1210">
        <f ca="1">IF($E$43=0,GetCostColumn,IF(ISTEXT($C75),GetCostColumn *$E$43+GetCostColumn,GetCostColumn ))</f>
        <v>1586.73</v>
      </c>
      <c r="AR75" s="1556">
        <f>E20STransfer</f>
        <v>1544.73</v>
      </c>
      <c r="AS75" s="1210">
        <f ca="1">IF($E$43=0,GetCostColumn,IF(ISTEXT($C75),GetCostColumn *$E$43+GetCostColumn,GetCostColumn ))</f>
        <v>1544.73</v>
      </c>
      <c r="AT75" s="1051">
        <f ca="1">X75+V75+T75+R75+P75+N75+L75+J75+H75+F75+Z75+AB75+AD75+AF75+AH75+AJ75+AL75+AN75+AP75+AR75</f>
        <v>31220.449999999993</v>
      </c>
      <c r="AU75" s="80" cm="1">
        <f t="array" aca="1" ref="AU75" ca="1">IFERROR(SUM(_xlfn._xlws.FILTER(INDEX(DynamicTotalAmount, 1, _xlfn.SEQUENCE(1, COLUMNS(DynamicTotalAmount), 1, 2)), ISNUMBER(INDEX(DynamicTotalAmount, 1, _xlfn.SEQUENCE(1, COLUMNS(DynamicTotalAmount), 1, 2))))),0)</f>
        <v>31220.449999999993</v>
      </c>
    </row>
    <row r="76" spans="1:955" ht="13.9" customHeight="1" x14ac:dyDescent="0.2">
      <c r="A76" s="1378"/>
      <c r="B76" s="133"/>
      <c r="C76" s="4" t="s">
        <v>72</v>
      </c>
      <c r="D76" s="1394" t="s">
        <v>366</v>
      </c>
      <c r="E76" s="1371"/>
      <c r="F76" s="633">
        <f ca="1">IF(ISREF(INDIRECT("'Phase 1'!A1")),E1R,"")</f>
        <v>8.48</v>
      </c>
      <c r="G76" s="157" cm="1">
        <f t="array" aca="1" ref="G76" ca="1">IF(ISREF(INDIRECT("'Phase 1'!A1")),IF($E$43=0,GetCostColumn,IF(ISTEXT($C76),GetCostColumn *$E$43+GetCostColumn,GetCostColumn )))</f>
        <v>9.7520000000000007</v>
      </c>
      <c r="H76" s="221">
        <f ca="1">IF(ISREF(INDIRECT("'Phase 2'!A1")),E2R,"")</f>
        <v>8.48</v>
      </c>
      <c r="I76" s="157" cm="1">
        <f t="array" aca="1" ref="I76" ca="1">IF(ISREF(INDIRECT("'Phase 2'!A1")),IF($E$43=0,GetCostColumn,IF(ISTEXT($C76),GetCostColumn *$E$43+GetCostColumn,GetCostColumn )))</f>
        <v>9.7520000000000007</v>
      </c>
      <c r="J76" s="221">
        <f ca="1">IF(ISREF(INDIRECT("'Phase 3'!A1")),E3R,"")</f>
        <v>8.48</v>
      </c>
      <c r="K76" s="157" cm="1">
        <f t="array" aca="1" ref="K76" ca="1">IF(ISREF(INDIRECT("'Phase 3'!A1")),IF($E$43=0,GetCostColumn,IF(ISTEXT($C76),GetCostColumn *$E$43+GetCostColumn,GetCostColumn )))</f>
        <v>9.7520000000000007</v>
      </c>
      <c r="L76" s="221">
        <f ca="1">IF(ISREF(INDIRECT("'Phase 4'!A1")),E4R,"")</f>
        <v>8.48</v>
      </c>
      <c r="M76" s="157" cm="1">
        <f t="array" aca="1" ref="M76" ca="1">IF(ISREF(INDIRECT("'Phase 4'!A1")),IF($E$43=0,GetCostColumn,IF(ISTEXT($C76),GetCostColumn *$E$43+GetCostColumn,GetCostColumn )))</f>
        <v>9.7520000000000007</v>
      </c>
      <c r="N76" s="221">
        <f ca="1">IF(ISREF(INDIRECT("'Phase 5'!A1")),E5R,"")</f>
        <v>8.48</v>
      </c>
      <c r="O76" s="157" cm="1">
        <f t="array" aca="1" ref="O76" ca="1">IF(ISREF(INDIRECT("'Phase 5'!A1")),IF($E$43=0,GetCostColumn,IF(ISTEXT($C76),GetCostColumn *$E$43+GetCostColumn,GetCostColumn )))</f>
        <v>9.7520000000000007</v>
      </c>
      <c r="P76" s="221">
        <f ca="1">IF(ISREF(INDIRECT("'Phase 6'!A1")),E6R,"")</f>
        <v>8.48</v>
      </c>
      <c r="Q76" s="157" cm="1">
        <f t="array" aca="1" ref="Q76" ca="1">IF(ISREF(INDIRECT("'Phase 6'!A1")),IF($E$43=0,GetCostColumn,IF(ISTEXT($C76),GetCostColumn *$E$43+GetCostColumn,GetCostColumn )))</f>
        <v>9.7520000000000007</v>
      </c>
      <c r="R76" s="221">
        <f ca="1">IF(ISREF(INDIRECT("'Phase 7'!A1")),E7R,"")</f>
        <v>8.48</v>
      </c>
      <c r="S76" s="157" cm="1">
        <f t="array" aca="1" ref="S76" ca="1">IF(ISREF(INDIRECT("'Phase 7'!A1")),IF($E$43=0,GetCostColumn,IF(ISTEXT($C76),GetCostColumn *$E$43+GetCostColumn,GetCostColumn )))</f>
        <v>9.7520000000000007</v>
      </c>
      <c r="T76" s="221">
        <f ca="1">IF(ISREF(INDIRECT("'Phase 8'!A1")),E8R,"")</f>
        <v>8.48</v>
      </c>
      <c r="U76" s="157" cm="1">
        <f t="array" aca="1" ref="U76" ca="1">IF(ISREF(INDIRECT("'Phase 8'!A1")),IF($E$43=0,GetCostColumn,IF(ISTEXT($C76),GetCostColumn *$E$43+GetCostColumn,GetCostColumn )))</f>
        <v>9.7520000000000007</v>
      </c>
      <c r="V76" s="221">
        <f ca="1">IF(ISREF(INDIRECT("'Phase 9'!A1")),E9R,"")</f>
        <v>8.48</v>
      </c>
      <c r="W76" s="157" cm="1">
        <f t="array" aca="1" ref="W76" ca="1">IF(ISREF(INDIRECT("'Phase 9'!A1")),IF($E$43=0,GetCostColumn,IF(ISTEXT($C76),GetCostColumn *$E$43+GetCostColumn,GetCostColumn )))</f>
        <v>9.7520000000000007</v>
      </c>
      <c r="X76" s="221">
        <f ca="1">IF(ISREF(INDIRECT("'Phase 10'!A1")),E10R,"")</f>
        <v>8.48</v>
      </c>
      <c r="Y76" s="157" cm="1">
        <f t="array" aca="1" ref="Y76" ca="1">IF(ISREF(INDIRECT("'Phase 10'!A1")),IF($E$43=0,GetCostColumn,IF(ISTEXT($C76),GetCostColumn *$E$43+GetCostColumn,GetCostColumn )))</f>
        <v>9.7520000000000007</v>
      </c>
      <c r="Z76" s="1226">
        <f>E11R</f>
        <v>8.48</v>
      </c>
      <c r="AA76" s="1210">
        <f ca="1">IF($E$43=0,GetCostColumn,IF(ISTEXT($C76),GetCostColumn *$E$43+GetCostColumn,GetCostColumn ))</f>
        <v>9.7520000000000007</v>
      </c>
      <c r="AB76" s="1226">
        <f>E12R</f>
        <v>8.48</v>
      </c>
      <c r="AC76" s="1210">
        <f ca="1">IF($E$43=0,GetCostColumn,IF(ISTEXT($C76),GetCostColumn *$E$43+GetCostColumn,GetCostColumn ))</f>
        <v>9.7520000000000007</v>
      </c>
      <c r="AD76" s="1226">
        <f>E13R</f>
        <v>8.48</v>
      </c>
      <c r="AE76" s="1210">
        <f ca="1">IF($E$43=0,GetCostColumn,IF(ISTEXT($C76),GetCostColumn *$E$43+GetCostColumn,GetCostColumn ))</f>
        <v>9.7520000000000007</v>
      </c>
      <c r="AF76" s="1226">
        <f>E14R</f>
        <v>8.48</v>
      </c>
      <c r="AG76" s="1210">
        <f ca="1">IF($E$43=0,GetCostColumn,IF(ISTEXT($C76),GetCostColumn *$E$43+GetCostColumn,GetCostColumn ))</f>
        <v>9.7520000000000007</v>
      </c>
      <c r="AH76" s="1226">
        <f>E15R</f>
        <v>8.48</v>
      </c>
      <c r="AI76" s="1210">
        <f ca="1">IF($E$43=0,GetCostColumn,IF(ISTEXT($C76),GetCostColumn *$E$43+GetCostColumn,GetCostColumn ))</f>
        <v>9.7520000000000007</v>
      </c>
      <c r="AJ76" s="1226">
        <f>E16R</f>
        <v>8.48</v>
      </c>
      <c r="AK76" s="1210">
        <f ca="1">IF($E$43=0,GetCostColumn,IF(ISTEXT($C76),GetCostColumn *$E$43+GetCostColumn,GetCostColumn ))</f>
        <v>9.7520000000000007</v>
      </c>
      <c r="AL76" s="1226">
        <f>E17R</f>
        <v>8.48</v>
      </c>
      <c r="AM76" s="1210">
        <f ca="1">IF($E$43=0,GetCostColumn,IF(ISTEXT($C76),GetCostColumn *$E$43+GetCostColumn,GetCostColumn ))</f>
        <v>9.7520000000000007</v>
      </c>
      <c r="AN76" s="1226">
        <f>E18R</f>
        <v>8.48</v>
      </c>
      <c r="AO76" s="1210">
        <f ca="1">IF($E$43=0,GetCostColumn,IF(ISTEXT($C76),GetCostColumn *$E$43+GetCostColumn,GetCostColumn ))</f>
        <v>9.7520000000000007</v>
      </c>
      <c r="AP76" s="1226">
        <f>E19R</f>
        <v>8.48</v>
      </c>
      <c r="AQ76" s="1210">
        <f ca="1">IF($E$43=0,GetCostColumn,IF(ISTEXT($C76),GetCostColumn *$E$43+GetCostColumn,GetCostColumn ))</f>
        <v>9.7520000000000007</v>
      </c>
      <c r="AR76" s="1556">
        <f>E20R</f>
        <v>8.48</v>
      </c>
      <c r="AS76" s="1210">
        <f ca="1">IF($E$43=0,GetCostColumn,IF(ISTEXT($C76),GetCostColumn *$E$43+GetCostColumn,GetCostColumn ))</f>
        <v>9.7520000000000007</v>
      </c>
      <c r="AT76" s="1051">
        <f ca="1">X76+V76+T76+R76+P76+N76+L76+J76+H76+F76+Z76+AB76+AD76+AF76+AH76+AJ76+AL76+AN76+AP76+AR76</f>
        <v>169.6</v>
      </c>
      <c r="AU76" s="80" cm="1">
        <f t="array" aca="1" ref="AU76" ca="1">IFERROR(SUM(_xlfn._xlws.FILTER(INDEX(DynamicTotalAmount, 1, _xlfn.SEQUENCE(1, COLUMNS(DynamicTotalAmount), 1, 2)), ISNUMBER(INDEX(DynamicTotalAmount, 1, _xlfn.SEQUENCE(1, COLUMNS(DynamicTotalAmount), 1, 2))))),0)</f>
        <v>195.04000000000005</v>
      </c>
    </row>
    <row r="77" spans="1:955" ht="13.9" customHeight="1" x14ac:dyDescent="0.2">
      <c r="A77" s="1378"/>
      <c r="B77" s="133"/>
      <c r="C77" s="4" t="s">
        <v>72</v>
      </c>
      <c r="D77" s="1395" t="s">
        <v>129</v>
      </c>
      <c r="E77" s="1371"/>
      <c r="F77" s="633">
        <f ca="1">IF(ISREF(INDIRECT("'Phase 1'!A1")),E1S,"")</f>
        <v>8.48</v>
      </c>
      <c r="G77" s="157" cm="1">
        <f t="array" aca="1" ref="G77" ca="1">IF(ISREF(INDIRECT("'Phase 1'!A1")),IF($E$43=0,GetCostColumn,IF(ISTEXT($C77),GetCostColumn *$E$43+GetCostColumn,GetCostColumn )))</f>
        <v>9.7520000000000007</v>
      </c>
      <c r="H77" s="221">
        <f ca="1">IF(ISREF(INDIRECT("'Phase 2'!A1")),E2S,"")</f>
        <v>8.48</v>
      </c>
      <c r="I77" s="157" cm="1">
        <f t="array" aca="1" ref="I77" ca="1">IF(ISREF(INDIRECT("'Phase 2'!A1")),IF($E$43=0,GetCostColumn,IF(ISTEXT($C77),GetCostColumn *$E$43+GetCostColumn,GetCostColumn )))</f>
        <v>9.7520000000000007</v>
      </c>
      <c r="J77" s="221">
        <f ca="1">IF(ISREF(INDIRECT("'Phase 3'!A1")),E3S,"")</f>
        <v>8.48</v>
      </c>
      <c r="K77" s="157" cm="1">
        <f t="array" aca="1" ref="K77" ca="1">IF(ISREF(INDIRECT("'Phase 3'!A1")),IF($E$43=0,GetCostColumn,IF(ISTEXT($C77),GetCostColumn *$E$43+GetCostColumn,GetCostColumn )))</f>
        <v>9.7520000000000007</v>
      </c>
      <c r="L77" s="221">
        <f ca="1">IF(ISREF(INDIRECT("'Phase 4'!A1")),E4S,"")</f>
        <v>8.48</v>
      </c>
      <c r="M77" s="157" cm="1">
        <f t="array" aca="1" ref="M77" ca="1">IF(ISREF(INDIRECT("'Phase 4'!A1")),IF($E$43=0,GetCostColumn,IF(ISTEXT($C77),GetCostColumn *$E$43+GetCostColumn,GetCostColumn )))</f>
        <v>9.7520000000000007</v>
      </c>
      <c r="N77" s="221">
        <f ca="1">IF(ISREF(INDIRECT("'Phase 5'!A1")),E5S,"")</f>
        <v>8.48</v>
      </c>
      <c r="O77" s="157" cm="1">
        <f t="array" aca="1" ref="O77" ca="1">IF(ISREF(INDIRECT("'Phase 5'!A1")),IF($E$43=0,GetCostColumn,IF(ISTEXT($C77),GetCostColumn *$E$43+GetCostColumn,GetCostColumn )))</f>
        <v>9.7520000000000007</v>
      </c>
      <c r="P77" s="221">
        <f ca="1">IF(ISREF(INDIRECT("'Phase 6'!A1")),E6S,"")</f>
        <v>8.48</v>
      </c>
      <c r="Q77" s="157" cm="1">
        <f t="array" aca="1" ref="Q77" ca="1">IF(ISREF(INDIRECT("'Phase 6'!A1")),IF($E$43=0,GetCostColumn,IF(ISTEXT($C77),GetCostColumn *$E$43+GetCostColumn,GetCostColumn )))</f>
        <v>9.7520000000000007</v>
      </c>
      <c r="R77" s="221">
        <f ca="1">IF(ISREF(INDIRECT("'Phase 7'!A1")),E7S,"")</f>
        <v>8.48</v>
      </c>
      <c r="S77" s="157" cm="1">
        <f t="array" aca="1" ref="S77" ca="1">IF(ISREF(INDIRECT("'Phase 7'!A1")),IF($E$43=0,GetCostColumn,IF(ISTEXT($C77),GetCostColumn *$E$43+GetCostColumn,GetCostColumn )))</f>
        <v>9.7520000000000007</v>
      </c>
      <c r="T77" s="221">
        <f ca="1">IF(ISREF(INDIRECT("'Phase 8'!A1")),E8S,"")</f>
        <v>8.48</v>
      </c>
      <c r="U77" s="157" cm="1">
        <f t="array" aca="1" ref="U77" ca="1">IF(ISREF(INDIRECT("'Phase 8'!A1")),IF($E$43=0,GetCostColumn,IF(ISTEXT($C77),GetCostColumn *$E$43+GetCostColumn,GetCostColumn )))</f>
        <v>9.7520000000000007</v>
      </c>
      <c r="V77" s="221">
        <f ca="1">IF(ISREF(INDIRECT("'Phase 9'!A1")),E9S,"")</f>
        <v>8.48</v>
      </c>
      <c r="W77" s="157" cm="1">
        <f t="array" aca="1" ref="W77" ca="1">IF(ISREF(INDIRECT("'Phase 9'!A1")),IF($E$43=0,GetCostColumn,IF(ISTEXT($C77),GetCostColumn *$E$43+GetCostColumn,GetCostColumn )))</f>
        <v>9.7520000000000007</v>
      </c>
      <c r="X77" s="221">
        <f ca="1">IF(ISREF(INDIRECT("'Phase 10'!A1")),E10S,"")</f>
        <v>8.48</v>
      </c>
      <c r="Y77" s="157" cm="1">
        <f t="array" aca="1" ref="Y77" ca="1">IF(ISREF(INDIRECT("'Phase 10'!A1")),IF($E$43=0,GetCostColumn,IF(ISTEXT($C77),GetCostColumn *$E$43+GetCostColumn,GetCostColumn )))</f>
        <v>9.7520000000000007</v>
      </c>
      <c r="Z77" s="1226">
        <f>E11S</f>
        <v>8.48</v>
      </c>
      <c r="AA77" s="1210">
        <f ca="1">IF($E$43=0,GetCostColumn,IF(ISTEXT($C77),GetCostColumn *$E$43+GetCostColumn,GetCostColumn ))</f>
        <v>9.7520000000000007</v>
      </c>
      <c r="AB77" s="1226">
        <f>E12S</f>
        <v>8.48</v>
      </c>
      <c r="AC77" s="1210">
        <f ca="1">IF($E$43=0,GetCostColumn,IF(ISTEXT($C77),GetCostColumn *$E$43+GetCostColumn,GetCostColumn ))</f>
        <v>9.7520000000000007</v>
      </c>
      <c r="AD77" s="1226">
        <f>E13S</f>
        <v>8.48</v>
      </c>
      <c r="AE77" s="1210">
        <f ca="1">IF($E$43=0,GetCostColumn,IF(ISTEXT($C77),GetCostColumn *$E$43+GetCostColumn,GetCostColumn ))</f>
        <v>9.7520000000000007</v>
      </c>
      <c r="AF77" s="1226">
        <f>E14S</f>
        <v>8.48</v>
      </c>
      <c r="AG77" s="1210">
        <f ca="1">IF($E$43=0,GetCostColumn,IF(ISTEXT($C77),GetCostColumn *$E$43+GetCostColumn,GetCostColumn ))</f>
        <v>9.7520000000000007</v>
      </c>
      <c r="AH77" s="1226">
        <f>E15S</f>
        <v>8.48</v>
      </c>
      <c r="AI77" s="1210">
        <f ca="1">IF($E$43=0,GetCostColumn,IF(ISTEXT($C77),GetCostColumn *$E$43+GetCostColumn,GetCostColumn ))</f>
        <v>9.7520000000000007</v>
      </c>
      <c r="AJ77" s="1226">
        <f>E16S</f>
        <v>8.48</v>
      </c>
      <c r="AK77" s="1210">
        <f ca="1">IF($E$43=0,GetCostColumn,IF(ISTEXT($C77),GetCostColumn *$E$43+GetCostColumn,GetCostColumn ))</f>
        <v>9.7520000000000007</v>
      </c>
      <c r="AL77" s="1226">
        <f>E17S</f>
        <v>8.48</v>
      </c>
      <c r="AM77" s="1210">
        <f ca="1">IF($E$43=0,GetCostColumn,IF(ISTEXT($C77),GetCostColumn *$E$43+GetCostColumn,GetCostColumn ))</f>
        <v>9.7520000000000007</v>
      </c>
      <c r="AN77" s="1226">
        <f>E18S</f>
        <v>8.48</v>
      </c>
      <c r="AO77" s="1210">
        <f ca="1">IF($E$43=0,GetCostColumn,IF(ISTEXT($C77),GetCostColumn *$E$43+GetCostColumn,GetCostColumn ))</f>
        <v>9.7520000000000007</v>
      </c>
      <c r="AP77" s="1226">
        <f>E19S</f>
        <v>8.48</v>
      </c>
      <c r="AQ77" s="1210">
        <f ca="1">IF($E$43=0,GetCostColumn,IF(ISTEXT($C77),GetCostColumn *$E$43+GetCostColumn,GetCostColumn ))</f>
        <v>9.7520000000000007</v>
      </c>
      <c r="AR77" s="1556">
        <f>E20S</f>
        <v>8.48</v>
      </c>
      <c r="AS77" s="1210">
        <f ca="1">IF($E$43=0,GetCostColumn,IF(ISTEXT($C77),GetCostColumn *$E$43+GetCostColumn,GetCostColumn ))</f>
        <v>9.7520000000000007</v>
      </c>
      <c r="AT77" s="1051">
        <f ca="1">X77+V77+T77+R77+P77+N77+L77+J77+H77+F77+Z77+AB77+AD77+AF77+AH77+AJ77+AL77+AN77+AP77+AR76</f>
        <v>169.6</v>
      </c>
      <c r="AU77" s="80" cm="1">
        <f t="array" aca="1" ref="AU77" ca="1">IFERROR(SUM(_xlfn._xlws.FILTER(INDEX(DynamicTotalAmount, 1, _xlfn.SEQUENCE(1, COLUMNS(DynamicTotalAmount), 1, 2)), ISNUMBER(INDEX(DynamicTotalAmount, 1, _xlfn.SEQUENCE(1, COLUMNS(DynamicTotalAmount), 1, 2))))),0)</f>
        <v>195.04000000000005</v>
      </c>
    </row>
    <row r="78" spans="1:955" ht="13.9" customHeight="1" x14ac:dyDescent="0.2">
      <c r="A78" s="1378"/>
      <c r="B78" s="133"/>
      <c r="C78" s="4" t="s">
        <v>72</v>
      </c>
      <c r="D78" s="1395" t="s">
        <v>70</v>
      </c>
      <c r="E78" s="1371"/>
      <c r="F78" s="633">
        <f ca="1">IF(ISREF(INDIRECT("'Phase 1'!A1")),E1O,"")</f>
        <v>8.48</v>
      </c>
      <c r="G78" s="157" cm="1">
        <f t="array" aca="1" ref="G78" ca="1">IF(ISREF(INDIRECT("'Phase 1'!A1")),IF($E$43=0,GetCostColumn,IF(ISTEXT($C78),GetCostColumn *$E$43+GetCostColumn,GetCostColumn )))</f>
        <v>9.7520000000000007</v>
      </c>
      <c r="H78" s="221">
        <f ca="1">IF(ISREF(INDIRECT("'Phase 2'!A1")),E2O,"")</f>
        <v>8.48</v>
      </c>
      <c r="I78" s="157" cm="1">
        <f t="array" aca="1" ref="I78" ca="1">IF(ISREF(INDIRECT("'Phase 2'!A1")),IF($E$43=0,GetCostColumn,IF(ISTEXT($C78),GetCostColumn *$E$43+GetCostColumn,GetCostColumn )))</f>
        <v>9.7520000000000007</v>
      </c>
      <c r="J78" s="221">
        <f ca="1">IF(ISREF(INDIRECT("'Phase 3'!A1")),E3O,"")</f>
        <v>8.48</v>
      </c>
      <c r="K78" s="157" cm="1">
        <f t="array" aca="1" ref="K78" ca="1">IF(ISREF(INDIRECT("'Phase 3'!A1")),IF($E$43=0,GetCostColumn,IF(ISTEXT($C78),GetCostColumn *$E$43+GetCostColumn,GetCostColumn )))</f>
        <v>9.7520000000000007</v>
      </c>
      <c r="L78" s="221">
        <f ca="1">IF(ISREF(INDIRECT("'Phase 4'!A1")),E4O,"")</f>
        <v>8.48</v>
      </c>
      <c r="M78" s="157" cm="1">
        <f t="array" aca="1" ref="M78" ca="1">IF(ISREF(INDIRECT("'Phase 4'!A1")),IF($E$43=0,GetCostColumn,IF(ISTEXT($C78),GetCostColumn *$E$43+GetCostColumn,GetCostColumn )))</f>
        <v>9.7520000000000007</v>
      </c>
      <c r="N78" s="221">
        <f ca="1">IF(ISREF(INDIRECT("'Phase 5'!A1")),E5O,"")</f>
        <v>8.48</v>
      </c>
      <c r="O78" s="157" cm="1">
        <f t="array" aca="1" ref="O78" ca="1">IF(ISREF(INDIRECT("'Phase 5'!A1")),IF($E$43=0,GetCostColumn,IF(ISTEXT($C78),GetCostColumn *$E$43+GetCostColumn,GetCostColumn )))</f>
        <v>9.7520000000000007</v>
      </c>
      <c r="P78" s="221">
        <f ca="1">IF(ISREF(INDIRECT("'Phase 6'!A1")),E6O,"")</f>
        <v>8.48</v>
      </c>
      <c r="Q78" s="157" cm="1">
        <f t="array" aca="1" ref="Q78" ca="1">IF(ISREF(INDIRECT("'Phase 6'!A1")),IF($E$43=0,GetCostColumn,IF(ISTEXT($C78),GetCostColumn *$E$43+GetCostColumn,GetCostColumn )))</f>
        <v>9.7520000000000007</v>
      </c>
      <c r="R78" s="221">
        <f ca="1">IF(ISREF(INDIRECT("'Phase 7'!A1")),E7O,"")</f>
        <v>8.48</v>
      </c>
      <c r="S78" s="157" cm="1">
        <f t="array" aca="1" ref="S78" ca="1">IF(ISREF(INDIRECT("'Phase 7'!A1")),IF($E$43=0,GetCostColumn,IF(ISTEXT($C78),GetCostColumn *$E$43+GetCostColumn,GetCostColumn )))</f>
        <v>9.7520000000000007</v>
      </c>
      <c r="T78" s="221">
        <f ca="1">IF(ISREF(INDIRECT("'Phase 8'!A1")),E8O,"")</f>
        <v>8.48</v>
      </c>
      <c r="U78" s="157" cm="1">
        <f t="array" aca="1" ref="U78" ca="1">IF(ISREF(INDIRECT("'Phase 8'!A1")),IF($E$43=0,GetCostColumn,IF(ISTEXT($C78),GetCostColumn *$E$43+GetCostColumn,GetCostColumn )))</f>
        <v>9.7520000000000007</v>
      </c>
      <c r="V78" s="221">
        <f ca="1">IF(ISREF(INDIRECT("'Phase 9'!A1")),E9O,"")</f>
        <v>8.48</v>
      </c>
      <c r="W78" s="157" cm="1">
        <f t="array" aca="1" ref="W78" ca="1">IF(ISREF(INDIRECT("'Phase 9'!A1")),IF($E$43=0,GetCostColumn,IF(ISTEXT($C78),GetCostColumn *$E$43+GetCostColumn,GetCostColumn )))</f>
        <v>9.7520000000000007</v>
      </c>
      <c r="X78" s="221">
        <f ca="1">IF(ISREF(INDIRECT("'Phase 10'!A1")),E10O,"")</f>
        <v>8.48</v>
      </c>
      <c r="Y78" s="157" cm="1">
        <f t="array" aca="1" ref="Y78" ca="1">IF(ISREF(INDIRECT("'Phase 10'!A1")),IF($E$43=0,GetCostColumn,IF(ISTEXT($C78),GetCostColumn *$E$43+GetCostColumn,GetCostColumn )))</f>
        <v>9.7520000000000007</v>
      </c>
      <c r="Z78" s="1226">
        <f>E11O</f>
        <v>8.48</v>
      </c>
      <c r="AA78" s="1210">
        <f ca="1">IF($E$43=0,GetCostColumn,IF(ISTEXT($C78),GetCostColumn *$E$43+GetCostColumn,GetCostColumn ))</f>
        <v>9.7520000000000007</v>
      </c>
      <c r="AB78" s="1226">
        <f>E12O</f>
        <v>8.48</v>
      </c>
      <c r="AC78" s="1210">
        <f ca="1">IF($E$43=0,GetCostColumn,IF(ISTEXT($C78),GetCostColumn *$E$43+GetCostColumn,GetCostColumn ))</f>
        <v>9.7520000000000007</v>
      </c>
      <c r="AD78" s="1226">
        <f>E13O</f>
        <v>8.48</v>
      </c>
      <c r="AE78" s="1210">
        <f ca="1">IF($E$43=0,GetCostColumn,IF(ISTEXT($C78),GetCostColumn *$E$43+GetCostColumn,GetCostColumn ))</f>
        <v>9.7520000000000007</v>
      </c>
      <c r="AF78" s="1226">
        <f>E14O</f>
        <v>8.48</v>
      </c>
      <c r="AG78" s="1210">
        <f ca="1">IF($E$43=0,GetCostColumn,IF(ISTEXT($C78),GetCostColumn *$E$43+GetCostColumn,GetCostColumn ))</f>
        <v>9.7520000000000007</v>
      </c>
      <c r="AH78" s="1226">
        <f>E15O</f>
        <v>8.48</v>
      </c>
      <c r="AI78" s="1210">
        <f ca="1">IF($E$43=0,GetCostColumn,IF(ISTEXT($C78),GetCostColumn *$E$43+GetCostColumn,GetCostColumn ))</f>
        <v>9.7520000000000007</v>
      </c>
      <c r="AJ78" s="1226">
        <f>E16O</f>
        <v>8.48</v>
      </c>
      <c r="AK78" s="1210">
        <f ca="1">IF($E$43=0,GetCostColumn,IF(ISTEXT($C78),GetCostColumn *$E$43+GetCostColumn,GetCostColumn ))</f>
        <v>9.7520000000000007</v>
      </c>
      <c r="AL78" s="1226">
        <f>E17O</f>
        <v>8.48</v>
      </c>
      <c r="AM78" s="1210">
        <f ca="1">IF($E$43=0,GetCostColumn,IF(ISTEXT($C78),GetCostColumn *$E$43+GetCostColumn,GetCostColumn ))</f>
        <v>9.7520000000000007</v>
      </c>
      <c r="AN78" s="1226">
        <f>E18O</f>
        <v>8.48</v>
      </c>
      <c r="AO78" s="1210">
        <f ca="1">IF($E$43=0,GetCostColumn,IF(ISTEXT($C78),GetCostColumn *$E$43+GetCostColumn,GetCostColumn ))</f>
        <v>9.7520000000000007</v>
      </c>
      <c r="AP78" s="1226">
        <f>E19O</f>
        <v>8.48</v>
      </c>
      <c r="AQ78" s="1210">
        <f ca="1">IF($E$43=0,GetCostColumn,IF(ISTEXT($C78),GetCostColumn *$E$43+GetCostColumn,GetCostColumn ))</f>
        <v>9.7520000000000007</v>
      </c>
      <c r="AR78" s="1556">
        <f>E20O</f>
        <v>8.48</v>
      </c>
      <c r="AS78" s="1210">
        <f ca="1">IF($E$43=0,GetCostColumn,IF(ISTEXT($C78),GetCostColumn *$E$43+GetCostColumn,GetCostColumn ))</f>
        <v>9.7520000000000007</v>
      </c>
      <c r="AT78" s="1051">
        <f ca="1">X78+V78+T78+R78+P78+N78+L78+J78+H78+F78+Z78+AB78+AD78+AF78+AH78+AJ78+AL78+AN78+AP78+AR78</f>
        <v>169.6</v>
      </c>
      <c r="AU78" s="80">
        <f ca="1">(G78+I78+K78+M78+O78+Q78+S78+U78+W78+Y78+AA78+AC78+AE78+AG78+AI78+AK78+AM78+AO78+AQ78+AS78)</f>
        <v>195.04000000000005</v>
      </c>
    </row>
    <row r="79" spans="1:955" ht="13.9" customHeight="1" x14ac:dyDescent="0.2">
      <c r="A79" s="1378"/>
      <c r="F79" s="20" t="s">
        <v>28</v>
      </c>
      <c r="G79" s="84" t="s">
        <v>28</v>
      </c>
      <c r="H79" s="20" t="s">
        <v>28</v>
      </c>
      <c r="I79" s="84" t="s">
        <v>28</v>
      </c>
      <c r="J79" s="20" t="s">
        <v>28</v>
      </c>
      <c r="K79" s="84" t="s">
        <v>28</v>
      </c>
      <c r="L79" s="20" t="s">
        <v>28</v>
      </c>
      <c r="M79" s="84" t="s">
        <v>28</v>
      </c>
      <c r="N79" s="20" t="s">
        <v>28</v>
      </c>
      <c r="O79" s="84" t="s">
        <v>28</v>
      </c>
      <c r="P79" s="20" t="s">
        <v>28</v>
      </c>
      <c r="Q79" s="84" t="s">
        <v>28</v>
      </c>
      <c r="R79" s="20" t="s">
        <v>28</v>
      </c>
      <c r="S79" s="84" t="s">
        <v>28</v>
      </c>
      <c r="T79" s="20" t="s">
        <v>28</v>
      </c>
      <c r="U79" s="84" t="s">
        <v>28</v>
      </c>
      <c r="V79" s="20" t="s">
        <v>28</v>
      </c>
      <c r="W79" s="84" t="s">
        <v>28</v>
      </c>
      <c r="X79" s="20" t="s">
        <v>28</v>
      </c>
      <c r="Y79" s="84" t="s">
        <v>28</v>
      </c>
      <c r="Z79" s="136" t="s">
        <v>28</v>
      </c>
      <c r="AA79" s="1208" t="s">
        <v>28</v>
      </c>
      <c r="AB79" s="136" t="s">
        <v>28</v>
      </c>
      <c r="AC79" s="1208" t="s">
        <v>28</v>
      </c>
      <c r="AD79" s="136" t="s">
        <v>28</v>
      </c>
      <c r="AE79" s="1208" t="s">
        <v>28</v>
      </c>
      <c r="AF79" s="136" t="s">
        <v>28</v>
      </c>
      <c r="AG79" s="1208" t="s">
        <v>28</v>
      </c>
      <c r="AH79" s="136" t="s">
        <v>28</v>
      </c>
      <c r="AI79" s="1208" t="s">
        <v>28</v>
      </c>
      <c r="AJ79" s="136" t="s">
        <v>28</v>
      </c>
      <c r="AK79" s="1208" t="s">
        <v>28</v>
      </c>
      <c r="AL79" s="136" t="s">
        <v>28</v>
      </c>
      <c r="AM79" s="1208" t="s">
        <v>28</v>
      </c>
      <c r="AN79" s="136" t="s">
        <v>28</v>
      </c>
      <c r="AO79" s="1208" t="s">
        <v>28</v>
      </c>
      <c r="AP79" s="136" t="s">
        <v>28</v>
      </c>
      <c r="AQ79" s="1208" t="s">
        <v>28</v>
      </c>
      <c r="AR79" s="1551" t="s">
        <v>28</v>
      </c>
      <c r="AS79" s="1208" t="s">
        <v>28</v>
      </c>
      <c r="AT79" s="136" t="s">
        <v>28</v>
      </c>
      <c r="AU79" s="84" t="s">
        <v>28</v>
      </c>
    </row>
    <row r="80" spans="1:955" ht="13.9" customHeight="1" x14ac:dyDescent="0.2">
      <c r="A80" s="1379"/>
      <c r="D80" s="1392" t="s">
        <v>128</v>
      </c>
      <c r="E80" s="1373"/>
      <c r="F80" s="1030">
        <f ca="1">SUM(F74:F79)</f>
        <v>13461.169999999998</v>
      </c>
      <c r="G80" s="80">
        <f ca="1">SUM(G74:G78)</f>
        <v>15272.336000000001</v>
      </c>
      <c r="H80" s="1030">
        <f ca="1">SUM(H74:H79)</f>
        <v>14598.019999999999</v>
      </c>
      <c r="I80" s="80">
        <f ca="1">SUM(I74:I78)</f>
        <v>16549.736000000001</v>
      </c>
      <c r="J80" s="1030">
        <f ca="1">SUM(J74:J79)</f>
        <v>15778.169999999998</v>
      </c>
      <c r="K80" s="80">
        <f ca="1">SUM(K74:K78)</f>
        <v>17906.886000000002</v>
      </c>
      <c r="L80" s="1030">
        <f ca="1">SUM(L74:L79)</f>
        <v>14513.169999999998</v>
      </c>
      <c r="M80" s="80">
        <f ca="1">SUM(M74:M78)</f>
        <v>16452.136000000002</v>
      </c>
      <c r="N80" s="1030">
        <f ca="1">SUM(N74:N79)</f>
        <v>14598.169999999998</v>
      </c>
      <c r="O80" s="80">
        <f ca="1">SUM(O74:O78)</f>
        <v>16549.886000000002</v>
      </c>
      <c r="P80" s="1030">
        <f ca="1">SUM(P74:P79)</f>
        <v>14368.169999999998</v>
      </c>
      <c r="Q80" s="80">
        <f ca="1">SUM(Q74:Q78)</f>
        <v>16285.386</v>
      </c>
      <c r="R80" s="1030">
        <f ca="1">SUM(R74:R79)</f>
        <v>14598.169999999998</v>
      </c>
      <c r="S80" s="80">
        <f ca="1">SUM(S74:S78)</f>
        <v>16549.886000000002</v>
      </c>
      <c r="T80" s="1030">
        <f ca="1">SUM(T74:T79)</f>
        <v>14313.169999999998</v>
      </c>
      <c r="U80" s="80">
        <f ca="1">SUM(U74:U78)</f>
        <v>16222.136</v>
      </c>
      <c r="V80" s="1030">
        <f ca="1">SUM(V74:V79)</f>
        <v>14598.169999999998</v>
      </c>
      <c r="W80" s="80">
        <f ca="1">SUM(W74:W78)</f>
        <v>16549.886000000002</v>
      </c>
      <c r="X80" s="1030">
        <f ca="1">SUM(X74:X79)</f>
        <v>14503.169999999998</v>
      </c>
      <c r="Y80" s="80">
        <f t="shared" ref="Y80" ca="1" si="58">SUM(Y74:Y78)</f>
        <v>16440.636000000002</v>
      </c>
      <c r="Z80" s="1027">
        <f t="shared" ref="Z80:AE80" si="59">SUM(Z74:Z78)</f>
        <v>14573.169999999998</v>
      </c>
      <c r="AA80" s="1207">
        <f t="shared" ca="1" si="59"/>
        <v>16521.136000000002</v>
      </c>
      <c r="AB80" s="1027">
        <f t="shared" si="59"/>
        <v>14598.169999999998</v>
      </c>
      <c r="AC80" s="1207">
        <f t="shared" ca="1" si="59"/>
        <v>16549.886000000002</v>
      </c>
      <c r="AD80" s="1027">
        <f t="shared" si="59"/>
        <v>14548.169999999998</v>
      </c>
      <c r="AE80" s="1207">
        <f t="shared" ca="1" si="59"/>
        <v>16492.386000000002</v>
      </c>
      <c r="AF80" s="1027">
        <f>SUM(AF74:AF79)</f>
        <v>14326.169999999998</v>
      </c>
      <c r="AG80" s="1207">
        <f t="shared" ref="AG80:AM80" ca="1" si="60">SUM(AG74:AG78)</f>
        <v>16277.886</v>
      </c>
      <c r="AH80" s="1027">
        <f t="shared" si="60"/>
        <v>14548.169999999998</v>
      </c>
      <c r="AI80" s="1207">
        <f t="shared" ca="1" si="60"/>
        <v>16492.386000000002</v>
      </c>
      <c r="AJ80" s="1027">
        <f t="shared" si="60"/>
        <v>14403.169999999998</v>
      </c>
      <c r="AK80" s="1207">
        <f t="shared" ca="1" si="60"/>
        <v>16325.636</v>
      </c>
      <c r="AL80" s="1027">
        <f t="shared" si="60"/>
        <v>14598.169999999998</v>
      </c>
      <c r="AM80" s="1207">
        <f t="shared" ca="1" si="60"/>
        <v>16549.886000000002</v>
      </c>
      <c r="AN80" s="1027">
        <f>SUM(AN74:AN79)</f>
        <v>14598.169999999998</v>
      </c>
      <c r="AO80" s="1207">
        <f ca="1">SUM(AO74:AO78)</f>
        <v>16549.886000000002</v>
      </c>
      <c r="AP80" s="1027">
        <f>SUM(AP74:AP79)</f>
        <v>14598.169999999998</v>
      </c>
      <c r="AQ80" s="1207">
        <f ca="1">SUM(AQ74:AQ78)</f>
        <v>16549.886000000002</v>
      </c>
      <c r="AR80" s="1550">
        <f>SUM(AR74:AR79)</f>
        <v>14321.169999999998</v>
      </c>
      <c r="AS80" s="1207">
        <f ca="1">SUM(AS74:AS78)</f>
        <v>16237.636</v>
      </c>
      <c r="AT80" s="1048">
        <f ca="1">X80+V80+T80+R80+P80+N80+L80+J80+H80+F80+Z80+AB80+AD80+AF80+AH80+AJ80+AL80+AN80+AP80+AR80</f>
        <v>290442.24999999983</v>
      </c>
      <c r="AU80" s="80">
        <f ca="1">(G80+I80+K80+M80+O80+Q80+S80+U80+W80+Y80+AA80+AC80+AE80+AG80+AI80+AK80+AM80+AO80+AQ80+AS80)</f>
        <v>329325.52</v>
      </c>
      <c r="AJS80" s="11" t="e">
        <f ca="1">X80+V80+T80+R80+P80+N80+L80+J80+H80+F80+#REF!+#REF!+#REF!+#REF!+#REF!</f>
        <v>#REF!</v>
      </c>
    </row>
    <row r="81" spans="1:47" ht="13.9" customHeight="1" x14ac:dyDescent="0.2">
      <c r="A81" s="618"/>
      <c r="B81" s="25"/>
      <c r="C81" s="15"/>
      <c r="D81" s="1368" t="s">
        <v>36</v>
      </c>
      <c r="E81" s="1369"/>
      <c r="F81" s="26"/>
      <c r="G81" s="185">
        <f ca="1">+G60+G70+G80+G73+G50</f>
        <v>16168.647000000001</v>
      </c>
      <c r="H81" s="26"/>
      <c r="I81" s="185">
        <f ca="1">+I60+I70+I80+I73+I50</f>
        <v>17446.046999999999</v>
      </c>
      <c r="J81" s="26"/>
      <c r="K81" s="185">
        <f ca="1">+K60+K70+K80+K73+K50</f>
        <v>18803.197</v>
      </c>
      <c r="L81" s="405"/>
      <c r="M81" s="185">
        <f ca="1">+M60+M70+M80+M73+M50</f>
        <v>17348.447</v>
      </c>
      <c r="N81" s="26"/>
      <c r="O81" s="185">
        <f ca="1">+O60+O70+O80+O73+O50</f>
        <v>17446.197</v>
      </c>
      <c r="P81" s="26"/>
      <c r="Q81" s="185">
        <f ca="1">+Q60+Q70+Q80+Q73+Q50</f>
        <v>17181.697</v>
      </c>
      <c r="R81" s="26"/>
      <c r="S81" s="185">
        <f ca="1">+S60+S70+S80+S73+S50</f>
        <v>17446.197</v>
      </c>
      <c r="T81" s="26"/>
      <c r="U81" s="185">
        <f ca="1">+U60+U70+U80+U73+U50</f>
        <v>17161.947</v>
      </c>
      <c r="V81" s="26"/>
      <c r="W81" s="185">
        <f ca="1">+W60+W70+W80+W73+W50</f>
        <v>17446.197</v>
      </c>
      <c r="X81" s="26"/>
      <c r="Y81" s="185">
        <f ca="1">+Y60+Y70+Y80+Y73+Y50</f>
        <v>17336.947</v>
      </c>
      <c r="Z81" s="1194"/>
      <c r="AA81" s="1211">
        <f ca="1">+AA60+AA70+AA80+AA73+AA50</f>
        <v>17653.197</v>
      </c>
      <c r="AB81" s="1194"/>
      <c r="AC81" s="1211">
        <f ca="1">+AC60+AC70+AC80+AC73+AC50</f>
        <v>17446.197</v>
      </c>
      <c r="AD81" s="1194"/>
      <c r="AE81" s="1211">
        <f ca="1">+AE60+AE70+AE80+AE73+AE50</f>
        <v>17388.697</v>
      </c>
      <c r="AF81" s="1194"/>
      <c r="AG81" s="1211">
        <f ca="1">+AG60+AG70+AG80+AG73+AG50</f>
        <v>17174.197</v>
      </c>
      <c r="AH81" s="1194"/>
      <c r="AI81" s="1211">
        <f ca="1">+AI60+AI70+AI80+AI73+AI50</f>
        <v>17388.697</v>
      </c>
      <c r="AJ81" s="1194"/>
      <c r="AK81" s="1211">
        <f ca="1">+AK60+AK70+AK80+AK73+AK50</f>
        <v>17217.697</v>
      </c>
      <c r="AL81" s="1194"/>
      <c r="AM81" s="1211">
        <f ca="1">+AM60+AM70+AM80+AM73+AM50</f>
        <v>17446.197</v>
      </c>
      <c r="AN81" s="1194"/>
      <c r="AO81" s="1211">
        <f ca="1">+AO60+AO70+AO80+AO73+AO50</f>
        <v>17446.197</v>
      </c>
      <c r="AP81" s="1194"/>
      <c r="AQ81" s="1211">
        <f ca="1">+AQ60+AQ70+AQ80+AQ73+AQ50</f>
        <v>17446.197</v>
      </c>
      <c r="AR81" s="1194"/>
      <c r="AS81" s="1211">
        <f ca="1">+AS60+AS70+AS80+AS73+AS50</f>
        <v>17133.947</v>
      </c>
      <c r="AT81" s="15"/>
      <c r="AU81" s="185">
        <f ca="1">SUM(G81:AS81)</f>
        <v>347526.73999999982</v>
      </c>
    </row>
    <row r="82" spans="1:47" ht="13.9" customHeight="1" x14ac:dyDescent="0.2">
      <c r="A82" s="667"/>
      <c r="B82" s="27"/>
      <c r="D82" s="23"/>
      <c r="E82" s="671" t="s">
        <v>813</v>
      </c>
      <c r="F82" s="668"/>
      <c r="G82" s="1034">
        <f ca="1">F85*InsuranceMarkupMirror</f>
        <v>442.05054000000007</v>
      </c>
      <c r="H82" s="668"/>
      <c r="I82" s="1034">
        <f ca="1">H85*InsuranceMarkupMirror</f>
        <v>452.20733999999999</v>
      </c>
      <c r="J82" s="668"/>
      <c r="K82" s="669">
        <f ca="1">J85*InsuranceMarkupMirror</f>
        <v>479.35034000000002</v>
      </c>
      <c r="L82" s="670"/>
      <c r="M82" s="669">
        <f ca="1">L85*InsuranceMarkupMirror</f>
        <v>450.25533999999999</v>
      </c>
      <c r="N82" s="668"/>
      <c r="O82" s="669">
        <f ca="1">N85*InsuranceMarkupMirror</f>
        <v>452.21034000000003</v>
      </c>
      <c r="P82" s="668"/>
      <c r="Q82" s="669">
        <f ca="1">P85*InsuranceMarkupMirror</f>
        <v>446.92034000000001</v>
      </c>
      <c r="R82" s="668"/>
      <c r="S82" s="669">
        <f ca="1">R85*InsuranceMarkupMirror</f>
        <v>452.21034000000003</v>
      </c>
      <c r="T82" s="668"/>
      <c r="U82" s="669">
        <f ca="1">T85*InsuranceMarkupMirror</f>
        <v>446.52534000000003</v>
      </c>
      <c r="V82" s="668"/>
      <c r="W82" s="669">
        <f ca="1">V85*InsuranceMarkupMirror</f>
        <v>452.21034000000003</v>
      </c>
      <c r="X82" s="668"/>
      <c r="Y82" s="669">
        <f ca="1">X85*InsuranceMarkupMirror</f>
        <v>450.02534000000003</v>
      </c>
      <c r="Z82" s="207"/>
      <c r="AA82" s="1212">
        <f ca="1">Z85*InsuranceMarkupMirror</f>
        <v>456.35034000000002</v>
      </c>
      <c r="AB82" s="207"/>
      <c r="AC82" s="1212">
        <f ca="1">AB85*InsuranceMarkupMirror</f>
        <v>452.21034000000003</v>
      </c>
      <c r="AD82" s="207"/>
      <c r="AE82" s="1212">
        <f ca="1">AD85*InsuranceMarkupMirror</f>
        <v>451.06034</v>
      </c>
      <c r="AF82" s="207"/>
      <c r="AG82" s="1212">
        <f ca="1">AF85*InsuranceMarkupMirror</f>
        <v>446.77034000000003</v>
      </c>
      <c r="AH82" s="207"/>
      <c r="AI82" s="1212">
        <f ca="1">AH85*InsuranceMarkupMirror</f>
        <v>451.06034</v>
      </c>
      <c r="AJ82" s="207"/>
      <c r="AK82" s="1212">
        <f ca="1">AJ85*InsuranceMarkupMirror</f>
        <v>513.48753999999997</v>
      </c>
      <c r="AL82" s="207"/>
      <c r="AM82" s="1212">
        <f ca="1">AL85*InsuranceMarkupMirror</f>
        <v>452.21034000000003</v>
      </c>
      <c r="AN82" s="207"/>
      <c r="AO82" s="1212">
        <f ca="1">AN85*InsuranceMarkupMirror</f>
        <v>452.21034000000003</v>
      </c>
      <c r="AP82" s="207"/>
      <c r="AQ82" s="1212">
        <f ca="1">AP85*InsuranceMarkupMirror</f>
        <v>452.21034000000003</v>
      </c>
      <c r="AR82" s="1553"/>
      <c r="AS82" s="1212">
        <f ca="1">AR85*InsuranceMarkupMirror</f>
        <v>388.49214000000001</v>
      </c>
      <c r="AU82" s="669">
        <f ca="1">SUM(G82:AS82)</f>
        <v>9040.0280000000002</v>
      </c>
    </row>
    <row r="83" spans="1:47" ht="13.9" customHeight="1" x14ac:dyDescent="0.2">
      <c r="A83" s="74"/>
      <c r="B83" s="75"/>
      <c r="C83" s="24"/>
      <c r="D83" s="1389" t="s">
        <v>37</v>
      </c>
      <c r="E83" s="1390"/>
      <c r="F83" s="1043"/>
      <c r="G83" s="186">
        <f ca="1">IF(+G38+G81=0,"",+G38+G81+G39+G82)</f>
        <v>22544.577540000002</v>
      </c>
      <c r="H83" s="147"/>
      <c r="I83" s="186">
        <f ca="1">IF(+I38+I81=0,"",+I38+I81+I39+I82)</f>
        <v>23062.574339999999</v>
      </c>
      <c r="J83" s="147"/>
      <c r="K83" s="186">
        <f ca="1">IF(+K38+K81=0,"",+K38+K81+K39+K82)</f>
        <v>24446.867340000001</v>
      </c>
      <c r="L83" s="147"/>
      <c r="M83" s="186">
        <f ca="1">IF(+M38+M81=0,"",+M38+M81+M39+M82)</f>
        <v>22963.02234</v>
      </c>
      <c r="N83" s="147"/>
      <c r="O83" s="186">
        <f ca="1">IF(+O38+O81=0,"",+O38+O81+O39+O82)</f>
        <v>23062.727340000001</v>
      </c>
      <c r="P83" s="147"/>
      <c r="Q83" s="186">
        <f ca="1">IF(+Q38+Q81=0,"",+Q38+Q81+Q39+Q82)</f>
        <v>22792.93734</v>
      </c>
      <c r="R83" s="147"/>
      <c r="S83" s="186">
        <f ca="1">IF(+S38+S81=0,"",+S38+S81+S39+S82)</f>
        <v>23062.727340000001</v>
      </c>
      <c r="T83" s="147"/>
      <c r="U83" s="186">
        <f ca="1">IF(+U38+U81=0,"",+U38+U81+U39+U82)</f>
        <v>22772.79234</v>
      </c>
      <c r="V83" s="147"/>
      <c r="W83" s="186">
        <f ca="1">IF(+W38+W81=0,"",+W38+W81+W39+W82)</f>
        <v>23062.727340000001</v>
      </c>
      <c r="X83" s="147"/>
      <c r="Y83" s="186">
        <f ca="1">IF(+Y38+Y81=0,"",+Y38+Y81+Y39+Y82)</f>
        <v>22951.29234</v>
      </c>
      <c r="Z83" s="1195"/>
      <c r="AA83" s="1213">
        <f ca="1">IF(+AA38+AA81=0,"",+AA38+AA81+AA39+AA82)</f>
        <v>23273.867340000001</v>
      </c>
      <c r="AB83" s="1195"/>
      <c r="AC83" s="1213">
        <f ca="1">IF(+AC38+AC81=0,"",+AC38+AC81+AC39+AC82)</f>
        <v>23062.727340000001</v>
      </c>
      <c r="AD83" s="1195"/>
      <c r="AE83" s="1213">
        <f ca="1">IF(+AE38+AE81=0,"",+AE38+AE81+AE39+AE82)</f>
        <v>23004.07734</v>
      </c>
      <c r="AF83" s="1195"/>
      <c r="AG83" s="1213">
        <f ca="1">IF(+AG38+AG81=0,"",+AG38+AG81+AG39+AG82)</f>
        <v>22785.287339999999</v>
      </c>
      <c r="AH83" s="1195"/>
      <c r="AI83" s="1213">
        <f ca="1">IF(+AI38+AI81=0,"",+AI38+AI81+AI39+AI82)</f>
        <v>23004.07734</v>
      </c>
      <c r="AJ83" s="1195"/>
      <c r="AK83" s="1213">
        <f ca="1">IF(+AK38+AK81=0,"",+AK38+AK81+AK39+AK82)</f>
        <v>26187.864539999999</v>
      </c>
      <c r="AL83" s="1195"/>
      <c r="AM83" s="1213">
        <f ca="1">IF(+AM38+AM81=0,"",+AM38+AM81+AM39+AM82)</f>
        <v>23062.727340000001</v>
      </c>
      <c r="AN83" s="1195"/>
      <c r="AO83" s="1213">
        <f ca="1">IF(+AO38+AO81=0,"",+AO38+AO81+AO39+AO82)</f>
        <v>23062.727340000001</v>
      </c>
      <c r="AP83" s="1195"/>
      <c r="AQ83" s="1213">
        <f ca="1">IF(+AQ38+AQ81=0,"",+AQ38+AQ81+AQ39+AQ82)</f>
        <v>23062.727340000001</v>
      </c>
      <c r="AR83" s="1195"/>
      <c r="AS83" s="1213">
        <f ca="1">IF(+AS38+AS81=0,"",+AS38+AS81+AS39+AS82)</f>
        <v>19813.099139999998</v>
      </c>
      <c r="AT83" s="148"/>
      <c r="AU83" s="186">
        <f ca="1">IF(+AU38+AU81=0,"",+AU38+AU81+AU39+AU82)</f>
        <v>461041.42799999978</v>
      </c>
    </row>
    <row r="84" spans="1:47" x14ac:dyDescent="0.2">
      <c r="A84" s="66"/>
      <c r="B84" s="15"/>
      <c r="C84" s="15"/>
      <c r="D84" s="15"/>
      <c r="E84" s="15"/>
      <c r="AU84" s="207"/>
    </row>
    <row r="85" spans="1:47" ht="13.5" customHeight="1" x14ac:dyDescent="0.2">
      <c r="D85" s="417" t="s">
        <v>816</v>
      </c>
      <c r="F85" s="666">
        <f ca="1">G81+G40</f>
        <v>22102.527000000002</v>
      </c>
      <c r="H85" s="666">
        <f ca="1">I81+I40</f>
        <v>22610.366999999998</v>
      </c>
      <c r="J85" s="666">
        <f ca="1">K81+K40</f>
        <v>23967.517</v>
      </c>
      <c r="L85" s="666">
        <f ca="1">M81+M40</f>
        <v>22512.767</v>
      </c>
      <c r="N85" s="666">
        <f ca="1">O81+O40</f>
        <v>22610.517</v>
      </c>
      <c r="P85" s="666">
        <f ca="1">Q81+Q40</f>
        <v>22346.017</v>
      </c>
      <c r="R85" s="666">
        <f ca="1">S81+S40</f>
        <v>22610.517</v>
      </c>
      <c r="T85" s="666">
        <f ca="1">U81+U40</f>
        <v>22326.267</v>
      </c>
      <c r="V85" s="666">
        <f ca="1">W81+W40</f>
        <v>22610.517</v>
      </c>
      <c r="X85" s="666">
        <f ca="1">Y81+Y40</f>
        <v>22501.267</v>
      </c>
      <c r="Z85" s="666">
        <f ca="1">AA81+AA40</f>
        <v>22817.517</v>
      </c>
      <c r="AB85" s="666">
        <f ca="1">AC81+AC40</f>
        <v>22610.517</v>
      </c>
      <c r="AD85" s="666">
        <f ca="1">AE81+AE40</f>
        <v>22553.017</v>
      </c>
      <c r="AF85" s="666">
        <f ca="1">AG81+AG40</f>
        <v>22338.517</v>
      </c>
      <c r="AH85" s="666">
        <f ca="1">AI81+AI40</f>
        <v>22553.017</v>
      </c>
      <c r="AJ85" s="666">
        <f ca="1">AK81+AK40</f>
        <v>25674.377</v>
      </c>
      <c r="AL85" s="666">
        <f ca="1">AM81+AM40</f>
        <v>22610.517</v>
      </c>
      <c r="AN85" s="666">
        <f ca="1">AO81+AO40</f>
        <v>22610.517</v>
      </c>
      <c r="AP85" s="666">
        <f ca="1">AQ81+AQ40</f>
        <v>22610.517</v>
      </c>
      <c r="AR85" s="1557">
        <f ca="1">AS81+AS40</f>
        <v>19424.607</v>
      </c>
      <c r="AT85" s="5"/>
    </row>
    <row r="86" spans="1:47" x14ac:dyDescent="0.2">
      <c r="A86" s="63"/>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row>
    <row r="87" spans="1:47" x14ac:dyDescent="0.2">
      <c r="A87" s="63"/>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999" t="str">
        <f ca="1">IF(+$G$83+$I$83+$M$83+$O$83+$K$83+$Q$83+S83+U83+W83+Y83=0,""," Total All")</f>
        <v xml:space="preserve"> Total All</v>
      </c>
    </row>
    <row r="88" spans="1:47" x14ac:dyDescent="0.2">
      <c r="A88" s="63"/>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999" t="str">
        <f ca="1">IF(+$G$83+$I$83+$M$83+$O$83+$K$83+$Q$83+S83+U83+W83+Y83=0,""," Phases")</f>
        <v xml:space="preserve"> Phases</v>
      </c>
    </row>
    <row r="89" spans="1:47" x14ac:dyDescent="0.2">
      <c r="A89" s="63"/>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999">
        <f ca="1">IF(SUM(AU38,AU60,AU70,AU80,AU73,AU50,AU39)=0,"",SUM(AU38,AU60,AU70,AU80,AU73,AU50,AU39,AU82))</f>
        <v>461041.42800000001</v>
      </c>
      <c r="AU89" s="11" t="s">
        <v>11</v>
      </c>
    </row>
    <row r="90" spans="1:47" x14ac:dyDescent="0.2">
      <c r="A90" s="63"/>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999" t="str">
        <f ca="1">IF(+$G$83+$I$83+$M$83+$O$83+$K$83+$Q$83=0,"","==========")</f>
        <v>==========</v>
      </c>
    </row>
    <row r="91" spans="1:47" x14ac:dyDescent="0.2">
      <c r="A91" s="63"/>
      <c r="B91" s="28"/>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row>
    <row r="92" spans="1:47" x14ac:dyDescent="0.2">
      <c r="A92" s="63"/>
      <c r="B92" s="28"/>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row>
    <row r="93" spans="1:47" x14ac:dyDescent="0.2">
      <c r="A93" s="63"/>
      <c r="B93" s="28"/>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row>
    <row r="94" spans="1:47" x14ac:dyDescent="0.2">
      <c r="A94" s="63"/>
      <c r="B94" s="28"/>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row>
    <row r="95" spans="1:47" x14ac:dyDescent="0.2">
      <c r="A95" s="63"/>
      <c r="B95" s="28"/>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row>
    <row r="96" spans="1:47" x14ac:dyDescent="0.2">
      <c r="A96" s="63"/>
      <c r="B96" s="28"/>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row>
    <row r="97" spans="1:46" x14ac:dyDescent="0.2">
      <c r="A97" s="63"/>
      <c r="B97" s="28"/>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row>
    <row r="98" spans="1:46" x14ac:dyDescent="0.2">
      <c r="A98" s="63"/>
      <c r="B98" s="28"/>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row>
    <row r="99" spans="1:46" x14ac:dyDescent="0.2">
      <c r="A99" s="63"/>
      <c r="B99" s="28"/>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row>
    <row r="100" spans="1:46" x14ac:dyDescent="0.2">
      <c r="A100" s="63"/>
      <c r="B100" s="28"/>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row>
    <row r="101" spans="1:46" x14ac:dyDescent="0.2">
      <c r="A101" s="63"/>
      <c r="B101" s="28"/>
      <c r="C101" s="5"/>
      <c r="D101" s="5"/>
      <c r="E101" s="5"/>
      <c r="F101" s="5"/>
      <c r="G101" s="5"/>
      <c r="H101" s="5"/>
      <c r="I101" s="5"/>
      <c r="J101" s="68"/>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row>
    <row r="102" spans="1:46" x14ac:dyDescent="0.2">
      <c r="A102" s="63"/>
      <c r="B102" s="28"/>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row>
    <row r="103" spans="1:46" x14ac:dyDescent="0.2">
      <c r="B103" s="27"/>
    </row>
    <row r="104" spans="1:46" x14ac:dyDescent="0.2">
      <c r="A104" s="67"/>
      <c r="B104" s="28"/>
      <c r="D104" s="5"/>
      <c r="F104" s="19"/>
      <c r="G104" s="5"/>
      <c r="H104" s="19"/>
      <c r="I104" s="5"/>
      <c r="J104" s="19"/>
      <c r="K104" s="5"/>
      <c r="L104" s="19"/>
      <c r="M104" s="5"/>
      <c r="N104" s="19"/>
      <c r="O104" s="5"/>
      <c r="P104" s="19"/>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row>
    <row r="105" spans="1:46" x14ac:dyDescent="0.2">
      <c r="A105" s="67"/>
      <c r="B105" s="28"/>
      <c r="D105" s="5"/>
      <c r="F105" s="19"/>
      <c r="G105" s="5"/>
      <c r="H105" s="19"/>
      <c r="I105" s="5"/>
      <c r="J105" s="19"/>
      <c r="K105" s="5"/>
      <c r="L105" s="19"/>
      <c r="M105" s="5"/>
      <c r="N105" s="19"/>
      <c r="O105" s="5"/>
      <c r="P105" s="19"/>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row>
    <row r="106" spans="1:46" x14ac:dyDescent="0.2">
      <c r="A106" s="67"/>
      <c r="B106" s="28"/>
      <c r="D106" s="5"/>
      <c r="F106" s="19"/>
      <c r="G106" s="5"/>
      <c r="H106" s="19"/>
      <c r="I106" s="5"/>
      <c r="J106" s="19"/>
      <c r="K106" s="5"/>
      <c r="L106" s="19"/>
      <c r="M106" s="5"/>
      <c r="N106" s="19"/>
      <c r="O106" s="5"/>
      <c r="P106" s="19"/>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row>
    <row r="107" spans="1:46" x14ac:dyDescent="0.2">
      <c r="A107" s="67"/>
      <c r="B107" s="28"/>
      <c r="D107" s="5"/>
      <c r="F107" s="19"/>
      <c r="G107" s="5"/>
      <c r="H107" s="19"/>
      <c r="I107" s="5"/>
      <c r="J107" s="19"/>
      <c r="K107" s="5"/>
      <c r="L107" s="19"/>
      <c r="M107" s="5"/>
      <c r="N107" s="19"/>
      <c r="O107" s="5"/>
      <c r="P107" s="19"/>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row>
    <row r="108" spans="1:46" x14ac:dyDescent="0.2">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row>
    <row r="109" spans="1:46" x14ac:dyDescent="0.2">
      <c r="F109" s="19"/>
      <c r="H109" s="19"/>
      <c r="J109" s="19"/>
      <c r="L109" s="19"/>
      <c r="N109" s="19"/>
      <c r="P109" s="19"/>
    </row>
    <row r="123" spans="2:4" x14ac:dyDescent="0.2">
      <c r="B123" s="28"/>
      <c r="C123" s="5"/>
      <c r="D123" s="5"/>
    </row>
    <row r="124" spans="2:4" x14ac:dyDescent="0.2">
      <c r="B124" s="28"/>
      <c r="C124" s="5"/>
      <c r="D124" s="5"/>
    </row>
    <row r="125" spans="2:4" x14ac:dyDescent="0.2">
      <c r="B125" s="28"/>
      <c r="C125" s="5"/>
      <c r="D125" s="5"/>
    </row>
    <row r="126" spans="2:4" x14ac:dyDescent="0.2">
      <c r="B126" s="28"/>
      <c r="C126" s="5"/>
      <c r="D126" s="5"/>
    </row>
    <row r="127" spans="2:4" x14ac:dyDescent="0.2">
      <c r="B127" s="5"/>
      <c r="C127" s="5"/>
      <c r="D127" s="5"/>
    </row>
    <row r="128" spans="2:4" x14ac:dyDescent="0.2">
      <c r="B128" s="28"/>
      <c r="C128" s="5"/>
      <c r="D128" s="5"/>
    </row>
    <row r="129" spans="2:4" x14ac:dyDescent="0.2">
      <c r="B129" s="5"/>
      <c r="C129" s="5"/>
      <c r="D129" s="5"/>
    </row>
    <row r="130" spans="2:4" x14ac:dyDescent="0.2">
      <c r="B130" s="5"/>
      <c r="C130" s="5"/>
      <c r="D130" s="5"/>
    </row>
    <row r="131" spans="2:4" x14ac:dyDescent="0.2">
      <c r="D131" s="5"/>
    </row>
    <row r="132" spans="2:4" x14ac:dyDescent="0.2">
      <c r="D132" s="5"/>
    </row>
    <row r="133" spans="2:4" x14ac:dyDescent="0.2">
      <c r="D133" s="5"/>
    </row>
    <row r="134" spans="2:4" x14ac:dyDescent="0.2">
      <c r="D134" s="5"/>
    </row>
    <row r="135" spans="2:4" x14ac:dyDescent="0.2">
      <c r="D135" s="5"/>
    </row>
    <row r="136" spans="2:4" x14ac:dyDescent="0.2">
      <c r="D136" s="5"/>
    </row>
    <row r="137" spans="2:4" x14ac:dyDescent="0.2">
      <c r="D137" s="5"/>
    </row>
    <row r="138" spans="2:4" x14ac:dyDescent="0.2">
      <c r="D138" s="5"/>
    </row>
    <row r="139" spans="2:4" x14ac:dyDescent="0.2">
      <c r="D139" s="5"/>
    </row>
    <row r="140" spans="2:4" x14ac:dyDescent="0.2">
      <c r="D140" s="5"/>
    </row>
    <row r="141" spans="2:4" x14ac:dyDescent="0.2">
      <c r="D141" s="5"/>
    </row>
    <row r="142" spans="2:4" x14ac:dyDescent="0.2">
      <c r="D142" s="5"/>
    </row>
    <row r="143" spans="2:4" x14ac:dyDescent="0.2">
      <c r="D143" s="5"/>
    </row>
    <row r="144" spans="2:4" x14ac:dyDescent="0.2">
      <c r="D144" s="5"/>
    </row>
    <row r="145" spans="2:4" x14ac:dyDescent="0.2">
      <c r="D145" s="5"/>
    </row>
    <row r="146" spans="2:4" x14ac:dyDescent="0.2">
      <c r="D146" s="5"/>
    </row>
    <row r="147" spans="2:4" x14ac:dyDescent="0.2">
      <c r="D147" s="5"/>
    </row>
    <row r="148" spans="2:4" x14ac:dyDescent="0.2">
      <c r="D148" s="5"/>
    </row>
    <row r="149" spans="2:4" x14ac:dyDescent="0.2">
      <c r="D149" s="5"/>
    </row>
    <row r="150" spans="2:4" x14ac:dyDescent="0.2">
      <c r="D150" s="5"/>
    </row>
    <row r="151" spans="2:4" x14ac:dyDescent="0.2">
      <c r="D151" s="5"/>
    </row>
    <row r="152" spans="2:4" x14ac:dyDescent="0.2">
      <c r="D152" s="5"/>
    </row>
    <row r="153" spans="2:4" x14ac:dyDescent="0.2">
      <c r="D153" s="5"/>
    </row>
    <row r="154" spans="2:4" x14ac:dyDescent="0.2">
      <c r="D154" s="5"/>
    </row>
    <row r="155" spans="2:4" x14ac:dyDescent="0.2">
      <c r="D155" s="5"/>
    </row>
    <row r="156" spans="2:4" x14ac:dyDescent="0.2">
      <c r="D156" s="5"/>
    </row>
    <row r="157" spans="2:4" x14ac:dyDescent="0.2">
      <c r="B157" s="5"/>
      <c r="C157" s="5"/>
      <c r="D157" s="5"/>
    </row>
    <row r="158" spans="2:4" x14ac:dyDescent="0.2">
      <c r="B158" s="5"/>
      <c r="C158" s="5"/>
      <c r="D158" s="5"/>
    </row>
    <row r="159" spans="2:4" x14ac:dyDescent="0.2">
      <c r="B159" s="5"/>
      <c r="C159" s="5"/>
      <c r="D159" s="5"/>
    </row>
    <row r="160" spans="2:4" x14ac:dyDescent="0.2">
      <c r="B160" s="5"/>
      <c r="C160" s="5"/>
      <c r="D160" s="5"/>
    </row>
    <row r="161" spans="2:4" x14ac:dyDescent="0.2">
      <c r="B161" s="5"/>
      <c r="C161" s="5"/>
      <c r="D161" s="5"/>
    </row>
    <row r="162" spans="2:4" x14ac:dyDescent="0.2">
      <c r="B162" s="5"/>
      <c r="C162" s="5"/>
      <c r="D162" s="5"/>
    </row>
    <row r="163" spans="2:4" x14ac:dyDescent="0.2">
      <c r="B163" s="5"/>
      <c r="C163" s="5"/>
      <c r="D163" s="5"/>
    </row>
    <row r="164" spans="2:4" x14ac:dyDescent="0.2">
      <c r="B164" s="5"/>
      <c r="C164" s="5"/>
      <c r="D164" s="5"/>
    </row>
    <row r="165" spans="2:4" x14ac:dyDescent="0.2">
      <c r="B165" s="5"/>
      <c r="C165" s="5"/>
      <c r="D165" s="5"/>
    </row>
    <row r="166" spans="2:4" x14ac:dyDescent="0.2">
      <c r="B166" s="5"/>
      <c r="C166" s="5"/>
      <c r="D166" s="5"/>
    </row>
  </sheetData>
  <sheetProtection algorithmName="SHA-512" hashValue="fGC6sncBwdI+xI0/3htkcYeb4B/WIOqr2yaUSKzI3ZKH5ZEkKozmMRZx9yWQmZoSfD/L0XsszBUmjv8YOpoagw==" saltValue="ZVa6ATzez/9jP2E9yvOOMA==" spinCount="100000" sheet="1" objects="1" scenarios="1"/>
  <mergeCells count="63">
    <mergeCell ref="A51:A60"/>
    <mergeCell ref="D51:E51"/>
    <mergeCell ref="D56:E56"/>
    <mergeCell ref="D53:E53"/>
    <mergeCell ref="D83:E83"/>
    <mergeCell ref="D52:E52"/>
    <mergeCell ref="A74:A80"/>
    <mergeCell ref="D80:E80"/>
    <mergeCell ref="A61:A70"/>
    <mergeCell ref="D76:E76"/>
    <mergeCell ref="D77:E77"/>
    <mergeCell ref="D78:E78"/>
    <mergeCell ref="D69:E69"/>
    <mergeCell ref="D70:E70"/>
    <mergeCell ref="D73:E73"/>
    <mergeCell ref="D71:E71"/>
    <mergeCell ref="D1:H1"/>
    <mergeCell ref="D4:E4"/>
    <mergeCell ref="A10:A38"/>
    <mergeCell ref="F5:G5"/>
    <mergeCell ref="H5:I5"/>
    <mergeCell ref="D38:E38"/>
    <mergeCell ref="A2:C2"/>
    <mergeCell ref="D37:E37"/>
    <mergeCell ref="A1:C1"/>
    <mergeCell ref="A4:C4"/>
    <mergeCell ref="A3:C3"/>
    <mergeCell ref="D3:I3"/>
    <mergeCell ref="X7:Y7"/>
    <mergeCell ref="D45:E45"/>
    <mergeCell ref="D46:E46"/>
    <mergeCell ref="D47:E47"/>
    <mergeCell ref="A44:A50"/>
    <mergeCell ref="D44:E44"/>
    <mergeCell ref="D49:E49"/>
    <mergeCell ref="D50:E50"/>
    <mergeCell ref="J5:K5"/>
    <mergeCell ref="L5:M5"/>
    <mergeCell ref="N5:O5"/>
    <mergeCell ref="D48:E48"/>
    <mergeCell ref="V7:W7"/>
    <mergeCell ref="P5:Q5"/>
    <mergeCell ref="D81:E81"/>
    <mergeCell ref="D59:E59"/>
    <mergeCell ref="D60:E60"/>
    <mergeCell ref="D58:E58"/>
    <mergeCell ref="D55:E55"/>
    <mergeCell ref="BX5:BY5"/>
    <mergeCell ref="AT6:AU6"/>
    <mergeCell ref="F7:G7"/>
    <mergeCell ref="H7:I7"/>
    <mergeCell ref="J7:K7"/>
    <mergeCell ref="L7:M7"/>
    <mergeCell ref="N7:O7"/>
    <mergeCell ref="P7:Q7"/>
    <mergeCell ref="BC5:BD5"/>
    <mergeCell ref="R5:S5"/>
    <mergeCell ref="T5:U5"/>
    <mergeCell ref="V5:W5"/>
    <mergeCell ref="X5:Y5"/>
    <mergeCell ref="R7:S7"/>
    <mergeCell ref="T7:U7"/>
    <mergeCell ref="AT7:AU7"/>
  </mergeCells>
  <phoneticPr fontId="0" type="noConversion"/>
  <conditionalFormatting sqref="AW9:AW36 AW40:AW42">
    <cfRule type="cellIs" dxfId="663" priority="276" operator="between">
      <formula>0.25</formula>
      <formula>1</formula>
    </cfRule>
    <cfRule type="cellIs" dxfId="662" priority="277" operator="between">
      <formula>0.15</formula>
      <formula>0.25</formula>
    </cfRule>
    <cfRule type="cellIs" dxfId="661" priority="278" operator="between">
      <formula>-0.5</formula>
      <formula>0.15</formula>
    </cfRule>
  </conditionalFormatting>
  <conditionalFormatting sqref="AW38">
    <cfRule type="cellIs" dxfId="660" priority="273" operator="between">
      <formula>0.25</formula>
      <formula>1</formula>
    </cfRule>
    <cfRule type="cellIs" dxfId="659" priority="274" operator="between">
      <formula>0.15</formula>
      <formula>0.25</formula>
    </cfRule>
    <cfRule type="cellIs" dxfId="658" priority="275" operator="between">
      <formula>-0.5</formula>
      <formula>0.15</formula>
    </cfRule>
  </conditionalFormatting>
  <printOptions horizontalCentered="1"/>
  <pageMargins left="0.3" right="0.3" top="0.5" bottom="0.5" header="0.25" footer="0.4"/>
  <pageSetup paperSize="3" scale="35" orientation="landscape" verticalDpi="300" r:id="rId1"/>
  <headerFooter alignWithMargins="0">
    <oddFooter xml:space="preserve">&amp;R&amp;6&amp;Z&amp;F   &amp;D
&amp;7© 2016 TRC   All rights reserved. </oddFooter>
  </headerFooter>
  <rowBreaks count="1" manualBreakCount="1">
    <brk id="83"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FFC000"/>
    <pageSetUpPr fitToPage="1"/>
  </sheetPr>
  <dimension ref="A1:DF40"/>
  <sheetViews>
    <sheetView topLeftCell="A7" zoomScaleNormal="100" workbookViewId="0">
      <selection activeCell="M19" sqref="M19"/>
    </sheetView>
  </sheetViews>
  <sheetFormatPr defaultRowHeight="12.75" x14ac:dyDescent="0.2"/>
  <cols>
    <col min="1" max="1" width="1.7109375" customWidth="1"/>
    <col min="2" max="2" width="2.28515625" customWidth="1"/>
    <col min="3" max="3" width="1.7109375" customWidth="1"/>
    <col min="4" max="4" width="22.42578125" customWidth="1"/>
    <col min="5" max="5" width="18.7109375" customWidth="1"/>
    <col min="6" max="6" width="17" customWidth="1"/>
    <col min="7" max="7" width="3" customWidth="1"/>
    <col min="8" max="8" width="12.42578125" customWidth="1"/>
    <col min="9" max="9" width="11.28515625" customWidth="1"/>
    <col min="10" max="10" width="11.7109375" customWidth="1"/>
    <col min="11" max="11" width="11" customWidth="1"/>
    <col min="12" max="12" width="13.7109375" customWidth="1"/>
    <col min="13" max="13" width="10.28515625" customWidth="1"/>
    <col min="14" max="14" width="16.7109375" customWidth="1"/>
    <col min="15" max="15" width="10.42578125" customWidth="1"/>
    <col min="16" max="16" width="9.140625" customWidth="1"/>
    <col min="17" max="17" width="14.140625" customWidth="1"/>
    <col min="18" max="18" width="12.42578125" customWidth="1"/>
    <col min="19" max="19" width="12.7109375" customWidth="1"/>
    <col min="20" max="20" width="13.42578125" customWidth="1"/>
    <col min="21" max="21" width="13.7109375" customWidth="1"/>
    <col min="22" max="22" width="12.7109375" customWidth="1"/>
    <col min="23" max="23" width="2.85546875" customWidth="1"/>
    <col min="24" max="24" width="2.5703125" customWidth="1"/>
    <col min="25" max="25" width="4.7109375" customWidth="1"/>
    <col min="26" max="29" width="9.140625" style="879" customWidth="1"/>
  </cols>
  <sheetData>
    <row r="1" spans="1:110" ht="13.5" thickBot="1" x14ac:dyDescent="0.25">
      <c r="A1" s="286"/>
      <c r="B1" s="286"/>
      <c r="C1" s="286"/>
      <c r="D1" s="286"/>
      <c r="E1" s="286"/>
      <c r="F1" s="286"/>
      <c r="G1" s="286"/>
      <c r="H1" s="286"/>
      <c r="I1" s="286"/>
      <c r="J1" s="286"/>
      <c r="K1" s="286"/>
      <c r="L1" s="286"/>
      <c r="M1" s="286"/>
      <c r="N1" s="286"/>
      <c r="O1" s="286"/>
      <c r="P1" s="286"/>
      <c r="Q1" s="286"/>
      <c r="R1" s="286"/>
      <c r="S1" s="286"/>
      <c r="T1" s="286"/>
      <c r="U1" s="286"/>
      <c r="V1" s="286"/>
      <c r="W1" s="286"/>
      <c r="X1" s="286"/>
    </row>
    <row r="2" spans="1:110" s="286" customFormat="1" ht="7.5" customHeight="1" thickBot="1" x14ac:dyDescent="0.25">
      <c r="B2" s="287"/>
      <c r="C2" s="288"/>
      <c r="D2" s="288"/>
      <c r="E2" s="288"/>
      <c r="F2" s="288"/>
      <c r="G2" s="288"/>
      <c r="H2" s="289"/>
      <c r="I2" s="289"/>
      <c r="J2" s="289"/>
      <c r="K2" s="289"/>
      <c r="L2" s="289"/>
      <c r="M2" s="289"/>
      <c r="N2" s="289"/>
      <c r="O2" s="289"/>
      <c r="P2" s="289"/>
      <c r="Q2" s="289"/>
      <c r="R2" s="289"/>
      <c r="S2" s="289"/>
      <c r="T2" s="288"/>
      <c r="U2" s="288"/>
      <c r="V2" s="288"/>
      <c r="W2" s="290"/>
      <c r="Z2" s="913"/>
      <c r="AA2" s="913"/>
      <c r="AB2" s="913"/>
      <c r="AC2" s="913"/>
    </row>
    <row r="3" spans="1:110" s="286" customFormat="1" ht="15" customHeight="1" thickBot="1" x14ac:dyDescent="0.25">
      <c r="B3" s="291"/>
      <c r="C3" s="292"/>
      <c r="D3" s="453" t="s">
        <v>386</v>
      </c>
      <c r="E3" s="292"/>
      <c r="F3" s="1399" t="s">
        <v>693</v>
      </c>
      <c r="G3" s="1400"/>
      <c r="H3" s="1400"/>
      <c r="I3" s="1401"/>
      <c r="J3" s="293"/>
      <c r="K3" s="1402" t="s">
        <v>387</v>
      </c>
      <c r="L3" s="1403"/>
      <c r="M3" s="293"/>
      <c r="N3" s="293"/>
      <c r="O3" s="293"/>
      <c r="P3" s="293"/>
      <c r="Q3" s="293"/>
      <c r="R3" s="293"/>
      <c r="S3" s="293"/>
      <c r="T3" s="293"/>
      <c r="U3" s="293"/>
      <c r="V3" s="293"/>
      <c r="W3" s="294"/>
      <c r="Z3" s="913"/>
      <c r="AA3" s="913"/>
      <c r="AB3" s="913"/>
      <c r="AC3" s="913"/>
    </row>
    <row r="4" spans="1:110" s="286" customFormat="1" ht="6.75" customHeight="1" x14ac:dyDescent="0.2">
      <c r="B4" s="291"/>
      <c r="C4" s="292"/>
      <c r="D4" s="292"/>
      <c r="E4" s="292"/>
      <c r="F4" s="292"/>
      <c r="G4" s="292"/>
      <c r="H4" s="293"/>
      <c r="I4" s="293"/>
      <c r="J4" s="293"/>
      <c r="K4" s="293"/>
      <c r="L4" s="293"/>
      <c r="M4" s="293"/>
      <c r="N4" s="293"/>
      <c r="O4" s="293"/>
      <c r="P4" s="293"/>
      <c r="Q4" s="293"/>
      <c r="R4" s="293"/>
      <c r="S4" s="293"/>
      <c r="T4" s="293"/>
      <c r="U4" s="293"/>
      <c r="V4" s="293"/>
      <c r="W4" s="294"/>
      <c r="Z4" s="913"/>
      <c r="AA4" s="913"/>
      <c r="AB4" s="913"/>
      <c r="AC4" s="913"/>
    </row>
    <row r="5" spans="1:110" s="286" customFormat="1" ht="40.9" customHeight="1" thickBot="1" x14ac:dyDescent="0.25">
      <c r="B5" s="291"/>
      <c r="C5" s="295" t="s">
        <v>389</v>
      </c>
      <c r="D5" s="296"/>
      <c r="E5" s="297"/>
      <c r="F5" s="298" t="s">
        <v>390</v>
      </c>
      <c r="G5" s="295"/>
      <c r="H5" s="295"/>
      <c r="I5" s="299"/>
      <c r="J5" s="298" t="s">
        <v>499</v>
      </c>
      <c r="K5" s="295"/>
      <c r="L5" s="295"/>
      <c r="M5" s="298" t="s">
        <v>500</v>
      </c>
      <c r="N5" s="295"/>
      <c r="O5" s="295"/>
      <c r="P5" s="293"/>
      <c r="Q5" s="299" t="s">
        <v>501</v>
      </c>
      <c r="R5" s="299"/>
      <c r="S5" s="299"/>
      <c r="T5" s="299"/>
      <c r="U5" s="299"/>
      <c r="V5" s="299"/>
      <c r="W5" s="294"/>
      <c r="Z5" s="913"/>
      <c r="AA5" s="913"/>
      <c r="AB5" s="913"/>
      <c r="AC5" s="913"/>
    </row>
    <row r="6" spans="1:110" s="286" customFormat="1" ht="18.75" customHeight="1" thickBot="1" x14ac:dyDescent="0.25">
      <c r="B6" s="291"/>
      <c r="C6" s="292"/>
      <c r="D6" s="300" t="s">
        <v>397</v>
      </c>
      <c r="E6" s="437">
        <f>+PreparedBy</f>
        <v>0</v>
      </c>
      <c r="F6" s="301"/>
      <c r="G6" s="302"/>
      <c r="H6" s="300" t="s">
        <v>502</v>
      </c>
      <c r="I6" s="437" t="s">
        <v>706</v>
      </c>
      <c r="J6" s="301"/>
      <c r="K6" s="300" t="s">
        <v>503</v>
      </c>
      <c r="L6" s="437" t="s">
        <v>406</v>
      </c>
      <c r="M6" s="301"/>
      <c r="N6" s="300" t="s">
        <v>399</v>
      </c>
      <c r="O6" s="437" t="s">
        <v>400</v>
      </c>
      <c r="P6" s="293"/>
      <c r="Q6" s="1404"/>
      <c r="R6" s="1405"/>
      <c r="S6" s="1405"/>
      <c r="T6" s="1405"/>
      <c r="U6" s="1405"/>
      <c r="V6" s="1406"/>
      <c r="W6" s="294"/>
      <c r="Z6" s="913" t="s">
        <v>706</v>
      </c>
      <c r="AA6" s="913" t="s">
        <v>403</v>
      </c>
      <c r="AB6" s="913" t="s">
        <v>709</v>
      </c>
      <c r="AC6" s="913" t="s">
        <v>400</v>
      </c>
    </row>
    <row r="7" spans="1:110" s="286" customFormat="1" ht="18.75" customHeight="1" thickBot="1" x14ac:dyDescent="0.25">
      <c r="B7" s="291"/>
      <c r="C7" s="292"/>
      <c r="D7" s="300" t="s">
        <v>404</v>
      </c>
      <c r="E7" s="438">
        <f ca="1">+DateField</f>
        <v>45516</v>
      </c>
      <c r="F7" s="301"/>
      <c r="G7" s="302"/>
      <c r="H7" s="300" t="s">
        <v>405</v>
      </c>
      <c r="I7" s="437" t="s">
        <v>403</v>
      </c>
      <c r="J7" s="301"/>
      <c r="K7" s="300" t="s">
        <v>504</v>
      </c>
      <c r="L7" s="437" t="s">
        <v>406</v>
      </c>
      <c r="M7" s="301"/>
      <c r="N7" s="300" t="s">
        <v>407</v>
      </c>
      <c r="O7" s="437" t="s">
        <v>408</v>
      </c>
      <c r="P7" s="293"/>
      <c r="Q7" s="1407"/>
      <c r="R7" s="1408"/>
      <c r="S7" s="1408"/>
      <c r="T7" s="1408"/>
      <c r="U7" s="1408"/>
      <c r="V7" s="1409"/>
      <c r="W7" s="294"/>
      <c r="Z7" s="913" t="s">
        <v>398</v>
      </c>
      <c r="AA7" s="913" t="s">
        <v>406</v>
      </c>
      <c r="AB7" s="913" t="s">
        <v>400</v>
      </c>
      <c r="AC7" s="913" t="s">
        <v>710</v>
      </c>
    </row>
    <row r="8" spans="1:110" s="286" customFormat="1" ht="18.75" customHeight="1" thickBot="1" x14ac:dyDescent="0.25">
      <c r="B8" s="291"/>
      <c r="C8" s="292"/>
      <c r="D8" s="300" t="s">
        <v>410</v>
      </c>
      <c r="E8" s="437"/>
      <c r="F8" s="301"/>
      <c r="G8" s="302"/>
      <c r="H8" s="300" t="s">
        <v>411</v>
      </c>
      <c r="I8" s="437" t="s">
        <v>406</v>
      </c>
      <c r="J8" s="301"/>
      <c r="K8" s="300" t="s">
        <v>505</v>
      </c>
      <c r="L8" s="437" t="s">
        <v>406</v>
      </c>
      <c r="M8" s="301"/>
      <c r="N8" s="300" t="s">
        <v>412</v>
      </c>
      <c r="O8" s="437" t="s">
        <v>406</v>
      </c>
      <c r="P8" s="293"/>
      <c r="Q8" s="1407"/>
      <c r="R8" s="1408"/>
      <c r="S8" s="1408"/>
      <c r="T8" s="1408"/>
      <c r="U8" s="1408"/>
      <c r="V8" s="1409"/>
      <c r="W8" s="294"/>
      <c r="Z8" s="913" t="s">
        <v>707</v>
      </c>
      <c r="AA8" s="913" t="s">
        <v>69</v>
      </c>
      <c r="AB8" s="913" t="s">
        <v>9</v>
      </c>
      <c r="AC8" s="913" t="s">
        <v>711</v>
      </c>
    </row>
    <row r="9" spans="1:110" s="286" customFormat="1" ht="18.75" customHeight="1" thickBot="1" x14ac:dyDescent="0.25">
      <c r="B9" s="291"/>
      <c r="C9" s="292"/>
      <c r="D9" s="300" t="s">
        <v>414</v>
      </c>
      <c r="E9" s="437">
        <f>+ProjectName</f>
        <v>0</v>
      </c>
      <c r="F9" s="301"/>
      <c r="G9" s="302"/>
      <c r="H9" s="300" t="s">
        <v>415</v>
      </c>
      <c r="I9" s="437" t="s">
        <v>403</v>
      </c>
      <c r="J9" s="301"/>
      <c r="K9" s="300" t="s">
        <v>506</v>
      </c>
      <c r="L9" s="1186" t="s">
        <v>507</v>
      </c>
      <c r="M9" s="301"/>
      <c r="N9" s="300" t="s">
        <v>416</v>
      </c>
      <c r="O9" s="437" t="s">
        <v>406</v>
      </c>
      <c r="P9" s="293"/>
      <c r="Q9" s="1407"/>
      <c r="R9" s="1408"/>
      <c r="S9" s="1408"/>
      <c r="T9" s="1408"/>
      <c r="U9" s="1408"/>
      <c r="V9" s="1409"/>
      <c r="W9" s="294"/>
      <c r="Z9" s="913" t="s">
        <v>55</v>
      </c>
      <c r="AA9" s="913"/>
      <c r="AB9" s="913"/>
      <c r="AC9" s="913" t="s">
        <v>712</v>
      </c>
      <c r="DF9"/>
    </row>
    <row r="10" spans="1:110" s="286" customFormat="1" ht="18.75" customHeight="1" thickBot="1" x14ac:dyDescent="0.25">
      <c r="B10" s="291"/>
      <c r="C10" s="292"/>
      <c r="D10" s="300" t="s">
        <v>418</v>
      </c>
      <c r="E10" s="437">
        <f>+ProjectNumber</f>
        <v>0</v>
      </c>
      <c r="F10" s="301"/>
      <c r="G10" s="302"/>
      <c r="H10" s="300" t="s">
        <v>419</v>
      </c>
      <c r="I10" s="437" t="s">
        <v>406</v>
      </c>
      <c r="J10" s="300"/>
      <c r="K10" s="300" t="s">
        <v>508</v>
      </c>
      <c r="L10" s="437" t="s">
        <v>509</v>
      </c>
      <c r="M10" s="300"/>
      <c r="N10" s="300" t="s">
        <v>420</v>
      </c>
      <c r="O10" s="437" t="s">
        <v>403</v>
      </c>
      <c r="P10" s="293"/>
      <c r="Q10" s="1407"/>
      <c r="R10" s="1408"/>
      <c r="S10" s="1408"/>
      <c r="T10" s="1408"/>
      <c r="U10" s="1408"/>
      <c r="V10" s="1409"/>
      <c r="W10" s="294"/>
      <c r="Z10" s="913" t="s">
        <v>708</v>
      </c>
      <c r="AA10" s="913"/>
      <c r="AB10" s="913"/>
      <c r="AC10" s="913" t="s">
        <v>713</v>
      </c>
      <c r="DF10"/>
    </row>
    <row r="11" spans="1:110" s="286" customFormat="1" ht="18.75" customHeight="1" thickBot="1" x14ac:dyDescent="0.25">
      <c r="B11" s="291"/>
      <c r="C11" s="292"/>
      <c r="D11" s="300" t="s">
        <v>422</v>
      </c>
      <c r="E11" s="437" t="s">
        <v>423</v>
      </c>
      <c r="F11" s="301"/>
      <c r="G11" s="302"/>
      <c r="H11" s="300" t="s">
        <v>424</v>
      </c>
      <c r="I11" s="437" t="s">
        <v>406</v>
      </c>
      <c r="J11" s="301"/>
      <c r="K11" s="300" t="s">
        <v>510</v>
      </c>
      <c r="L11" s="1187" t="s">
        <v>406</v>
      </c>
      <c r="M11" s="301"/>
      <c r="N11" s="300" t="s">
        <v>425</v>
      </c>
      <c r="O11" s="437" t="s">
        <v>69</v>
      </c>
      <c r="P11" s="293"/>
      <c r="Q11" s="1407"/>
      <c r="R11" s="1408"/>
      <c r="S11" s="1408"/>
      <c r="T11" s="1408"/>
      <c r="U11" s="1408"/>
      <c r="V11" s="1409"/>
      <c r="W11" s="294"/>
      <c r="Z11" s="913"/>
      <c r="AA11" s="913"/>
      <c r="AB11" s="913"/>
      <c r="AC11" s="913" t="s">
        <v>714</v>
      </c>
      <c r="DF11"/>
    </row>
    <row r="12" spans="1:110" s="286" customFormat="1" ht="18.75" customHeight="1" thickBot="1" x14ac:dyDescent="0.25">
      <c r="B12" s="291"/>
      <c r="C12" s="292"/>
      <c r="D12" s="300" t="s">
        <v>427</v>
      </c>
      <c r="E12" s="437" t="s">
        <v>528</v>
      </c>
      <c r="F12" s="301"/>
      <c r="G12" s="302"/>
      <c r="H12" s="300" t="s">
        <v>428</v>
      </c>
      <c r="I12" s="437" t="s">
        <v>406</v>
      </c>
      <c r="J12" s="301"/>
      <c r="K12" s="300"/>
      <c r="L12" s="437"/>
      <c r="M12" s="301"/>
      <c r="N12" s="300" t="s">
        <v>429</v>
      </c>
      <c r="O12" s="437" t="s">
        <v>406</v>
      </c>
      <c r="P12" s="293"/>
      <c r="Q12" s="1410"/>
      <c r="R12" s="1411"/>
      <c r="S12" s="1411"/>
      <c r="T12" s="1411"/>
      <c r="U12" s="1411"/>
      <c r="V12" s="1412"/>
      <c r="W12" s="294"/>
      <c r="Z12" s="913"/>
      <c r="AA12" s="913"/>
      <c r="AB12" s="913"/>
      <c r="AC12" s="913" t="s">
        <v>9</v>
      </c>
      <c r="DF12"/>
    </row>
    <row r="13" spans="1:110" x14ac:dyDescent="0.2">
      <c r="A13" s="286"/>
      <c r="B13" s="291"/>
      <c r="C13" s="292"/>
      <c r="D13" s="292"/>
      <c r="E13" s="292"/>
      <c r="F13" s="292"/>
      <c r="G13" s="292"/>
      <c r="H13" s="293"/>
      <c r="I13" s="293"/>
      <c r="J13" s="293"/>
      <c r="K13" s="293"/>
      <c r="L13" s="293"/>
      <c r="M13" s="293"/>
      <c r="N13" s="293"/>
      <c r="O13" s="293"/>
      <c r="P13" s="293"/>
      <c r="Q13" s="293"/>
      <c r="R13" s="293"/>
      <c r="S13" s="293"/>
      <c r="T13" s="292"/>
      <c r="U13" s="292"/>
      <c r="V13" s="292"/>
      <c r="W13" s="294"/>
      <c r="X13" s="286"/>
    </row>
    <row r="14" spans="1:110" ht="48.75" customHeight="1" thickBot="1" x14ac:dyDescent="0.25">
      <c r="A14" s="303"/>
      <c r="B14" s="304"/>
      <c r="C14" s="305"/>
      <c r="D14" s="306"/>
      <c r="E14" s="307" t="s">
        <v>432</v>
      </c>
      <c r="F14" s="308" t="s">
        <v>433</v>
      </c>
      <c r="G14" s="309"/>
      <c r="H14" s="343"/>
      <c r="I14" s="343"/>
      <c r="J14" s="343"/>
      <c r="K14" s="343"/>
      <c r="L14" s="343"/>
      <c r="M14" s="343"/>
      <c r="N14" s="343"/>
      <c r="O14" s="343"/>
      <c r="P14" s="343"/>
      <c r="Q14" s="350" t="s">
        <v>447</v>
      </c>
      <c r="R14" s="350" t="s">
        <v>448</v>
      </c>
      <c r="S14" s="350" t="s">
        <v>464</v>
      </c>
      <c r="T14" s="350" t="s">
        <v>449</v>
      </c>
      <c r="U14" s="350" t="s">
        <v>450</v>
      </c>
      <c r="V14" s="350" t="s">
        <v>451</v>
      </c>
      <c r="W14" s="294"/>
      <c r="X14" s="286"/>
    </row>
    <row r="15" spans="1:110" ht="36.75" customHeight="1" thickBot="1" x14ac:dyDescent="0.25">
      <c r="A15" s="303"/>
      <c r="B15" s="304"/>
      <c r="C15" s="310"/>
      <c r="D15" s="311"/>
      <c r="E15" s="1397" t="s">
        <v>434</v>
      </c>
      <c r="F15" s="312"/>
      <c r="G15" s="309"/>
      <c r="H15" s="349" t="s">
        <v>452</v>
      </c>
      <c r="I15" s="349" t="s">
        <v>317</v>
      </c>
      <c r="J15" s="349" t="s">
        <v>453</v>
      </c>
      <c r="K15" s="349" t="s">
        <v>463</v>
      </c>
      <c r="L15" s="349" t="s">
        <v>454</v>
      </c>
      <c r="M15" s="349" t="s">
        <v>455</v>
      </c>
      <c r="N15" s="349" t="s">
        <v>456</v>
      </c>
      <c r="O15" s="349" t="s">
        <v>457</v>
      </c>
      <c r="P15" s="349" t="s">
        <v>818</v>
      </c>
      <c r="Q15" s="312" t="s">
        <v>458</v>
      </c>
      <c r="R15" s="312" t="s">
        <v>458</v>
      </c>
      <c r="S15" s="312" t="s">
        <v>459</v>
      </c>
      <c r="T15" s="312" t="s">
        <v>460</v>
      </c>
      <c r="U15" s="312" t="s">
        <v>461</v>
      </c>
      <c r="V15" s="312" t="s">
        <v>462</v>
      </c>
      <c r="W15" s="294"/>
      <c r="X15" s="286"/>
    </row>
    <row r="16" spans="1:110" ht="15.75" x14ac:dyDescent="0.2">
      <c r="A16" s="303"/>
      <c r="B16" s="304"/>
      <c r="C16" s="310"/>
      <c r="D16" s="311"/>
      <c r="E16" s="1397"/>
      <c r="F16" s="312"/>
      <c r="G16" s="309"/>
      <c r="H16" s="342"/>
      <c r="I16" s="344"/>
      <c r="J16" s="344"/>
      <c r="K16" s="344"/>
      <c r="L16" s="344"/>
      <c r="M16" s="344"/>
      <c r="N16" s="344"/>
      <c r="O16" s="344"/>
      <c r="P16" s="344"/>
      <c r="Q16" s="616">
        <f>+IF(ISBLANK(UserSurchargeRate),Surcharge,UserSurchargeRate)</f>
        <v>0.06</v>
      </c>
      <c r="R16" s="616">
        <f>+'Budget Summary'!ContingencyLabor</f>
        <v>0.2</v>
      </c>
      <c r="S16" s="616">
        <f>+'Budget Summary'!ContingencyExpense</f>
        <v>0.04</v>
      </c>
      <c r="T16" s="616">
        <f>+'Budget Summary'!ContingencyProcurement</f>
        <v>0.04</v>
      </c>
      <c r="U16" s="616">
        <f>+'Budget Summary'!ContingencyLab</f>
        <v>0.04</v>
      </c>
      <c r="V16" s="616">
        <f>+'Budget Summary'!ContingencySubs</f>
        <v>0.04</v>
      </c>
      <c r="W16" s="294"/>
      <c r="X16" s="286"/>
    </row>
    <row r="17" spans="1:24" ht="13.5" thickBot="1" x14ac:dyDescent="0.25">
      <c r="A17" s="303"/>
      <c r="B17" s="291"/>
      <c r="C17" s="292"/>
      <c r="D17" s="292"/>
      <c r="E17" s="292"/>
      <c r="F17" s="292"/>
      <c r="G17" s="292"/>
      <c r="H17" s="293"/>
      <c r="I17" s="293"/>
      <c r="J17" s="293"/>
      <c r="K17" s="293"/>
      <c r="L17" s="293"/>
      <c r="M17" s="293"/>
      <c r="N17" s="293"/>
      <c r="O17" s="293"/>
      <c r="P17" s="293"/>
      <c r="Q17" s="499" t="s">
        <v>737</v>
      </c>
      <c r="R17" s="1398" t="s">
        <v>736</v>
      </c>
      <c r="S17" s="1398"/>
      <c r="T17" s="1398"/>
      <c r="U17" s="1398"/>
      <c r="V17" s="1398"/>
      <c r="W17" s="294"/>
      <c r="X17" s="286"/>
    </row>
    <row r="18" spans="1:24" ht="16.5" thickTop="1" thickBot="1" x14ac:dyDescent="0.3">
      <c r="A18" s="286"/>
      <c r="B18" s="291"/>
      <c r="C18" s="292"/>
      <c r="D18" s="313" t="s">
        <v>435</v>
      </c>
      <c r="E18" s="440"/>
      <c r="F18" s="439">
        <f ca="1">+SUM(H18:V18)</f>
        <v>496199.03071999998</v>
      </c>
      <c r="G18" s="292"/>
      <c r="H18" s="345">
        <f ca="1">+IFERROR(AllLaborTotal,0)</f>
        <v>98561</v>
      </c>
      <c r="I18" s="345">
        <f ca="1">+IFERROR(AllTravelTotal,0)</f>
        <v>14778.100000000004</v>
      </c>
      <c r="J18" s="345">
        <f ca="1">+IFERROR('Budget Detail'!AU77,0)+IFERROR('Budget Detail'!AU75,0)</f>
        <v>31415.489999999994</v>
      </c>
      <c r="K18" s="345">
        <f ca="1">+IFERROR('Budget Detail'!AU74,0)+IFERROR('Budget Detail'!AU76,0)</f>
        <v>297714.99</v>
      </c>
      <c r="L18" s="345">
        <f ca="1">+IFERROR(AllEquipmentTotal,0)</f>
        <v>438.84000000000009</v>
      </c>
      <c r="M18" s="345">
        <f ca="1">+IFERROR(AllLabTotal,0)</f>
        <v>1619.0000000000005</v>
      </c>
      <c r="N18" s="345">
        <f ca="1">+IFERROR(AllSubsTotal,0)</f>
        <v>1365.2799999999995</v>
      </c>
      <c r="O18" s="345">
        <v>0</v>
      </c>
      <c r="P18" s="345">
        <f ca="1">+IFERROR('Budget Detail'!AU78,0)+IFERROR('Budget Detail'!AU82,0)</f>
        <v>9235.0680000000011</v>
      </c>
      <c r="Q18" s="345">
        <f ca="1">+Q16*H18</f>
        <v>5913.66</v>
      </c>
      <c r="R18" s="345">
        <f ca="1">+R16*(H18+Q18)</f>
        <v>20894.932000000001</v>
      </c>
      <c r="S18" s="345">
        <f ca="1">+S16*(K18+I18+J18+P18)</f>
        <v>14125.745919999999</v>
      </c>
      <c r="T18" s="345">
        <f ca="1">+T16*L18</f>
        <v>17.553600000000003</v>
      </c>
      <c r="U18" s="345">
        <f ca="1">+U16*M18</f>
        <v>64.760000000000019</v>
      </c>
      <c r="V18" s="345">
        <f ca="1">+V16*N18</f>
        <v>54.611199999999982</v>
      </c>
      <c r="W18" s="294"/>
      <c r="X18" s="286"/>
    </row>
    <row r="19" spans="1:24" ht="18" thickTop="1" x14ac:dyDescent="0.4">
      <c r="A19" s="286"/>
      <c r="B19" s="291"/>
      <c r="C19" s="292"/>
      <c r="D19" s="313" t="s">
        <v>436</v>
      </c>
      <c r="E19" s="314">
        <f>IF(E$18=0,0,F19)</f>
        <v>0</v>
      </c>
      <c r="F19" s="314">
        <f ca="1">+SUM(H19:V19)</f>
        <v>320786.07071999996</v>
      </c>
      <c r="G19" s="292"/>
      <c r="H19" s="346">
        <v>0</v>
      </c>
      <c r="I19" s="346">
        <f ca="1">+'Budget Detail'!AT50</f>
        <v>13052.350000000002</v>
      </c>
      <c r="J19" s="346">
        <f ca="1">+IFERROR('Budget Detail'!AT77,0)+IFERROR('Budget Detail'!AT75,0)</f>
        <v>31390.049999999992</v>
      </c>
      <c r="K19" s="346">
        <f ca="1">+'Budget Detail'!AT74+'Budget Detail'!AT76</f>
        <v>258882.6</v>
      </c>
      <c r="L19" s="346">
        <f ca="1">+'Budget Detail'!AT73</f>
        <v>381.5999999999998</v>
      </c>
      <c r="M19" s="346">
        <f ca="1">+'Budget Detail'!AT60</f>
        <v>1460</v>
      </c>
      <c r="N19" s="346">
        <f ca="1">+'Budget Detail'!AT70</f>
        <v>1187.1999999999998</v>
      </c>
      <c r="O19" s="346">
        <v>0</v>
      </c>
      <c r="P19" s="346">
        <f ca="1">+'Budget Detail'!AT78</f>
        <v>169.6</v>
      </c>
      <c r="Q19" s="346">
        <v>0</v>
      </c>
      <c r="R19" s="346">
        <v>0</v>
      </c>
      <c r="S19" s="346">
        <f ca="1">S18</f>
        <v>14125.745919999999</v>
      </c>
      <c r="T19" s="346">
        <f ca="1">T18</f>
        <v>17.553600000000003</v>
      </c>
      <c r="U19" s="346">
        <f ca="1">U18</f>
        <v>64.760000000000019</v>
      </c>
      <c r="V19" s="346">
        <f ca="1">V18</f>
        <v>54.611199999999982</v>
      </c>
      <c r="W19" s="294"/>
      <c r="X19" s="286"/>
    </row>
    <row r="20" spans="1:24" ht="15" x14ac:dyDescent="0.25">
      <c r="A20" s="286"/>
      <c r="B20" s="291"/>
      <c r="C20" s="292"/>
      <c r="D20" s="315" t="s">
        <v>437</v>
      </c>
      <c r="E20" s="316">
        <f>IF(E18=0,0,(E18-E19))</f>
        <v>0</v>
      </c>
      <c r="F20" s="316">
        <f ca="1">IF(F18=0,"",F18-F19)</f>
        <v>175412.96000000002</v>
      </c>
      <c r="G20" s="317"/>
      <c r="H20" s="347">
        <f t="shared" ref="H20:P20" ca="1" si="0">+H18-H19</f>
        <v>98561</v>
      </c>
      <c r="I20" s="347">
        <f t="shared" ca="1" si="0"/>
        <v>1725.7500000000018</v>
      </c>
      <c r="J20" s="347">
        <f t="shared" ca="1" si="0"/>
        <v>25.440000000002328</v>
      </c>
      <c r="K20" s="347">
        <f t="shared" ca="1" si="0"/>
        <v>38832.389999999985</v>
      </c>
      <c r="L20" s="347">
        <f t="shared" ca="1" si="0"/>
        <v>57.240000000000293</v>
      </c>
      <c r="M20" s="347">
        <f t="shared" ca="1" si="0"/>
        <v>159.00000000000045</v>
      </c>
      <c r="N20" s="347">
        <f t="shared" ca="1" si="0"/>
        <v>178.0799999999997</v>
      </c>
      <c r="O20" s="347">
        <f t="shared" si="0"/>
        <v>0</v>
      </c>
      <c r="P20" s="347">
        <f t="shared" ca="1" si="0"/>
        <v>9065.4680000000008</v>
      </c>
      <c r="Q20" s="347">
        <f t="shared" ref="Q20:V20" ca="1" si="1">+Q18-Q19</f>
        <v>5913.66</v>
      </c>
      <c r="R20" s="347">
        <f t="shared" ca="1" si="1"/>
        <v>20894.932000000001</v>
      </c>
      <c r="S20" s="347">
        <f t="shared" ca="1" si="1"/>
        <v>0</v>
      </c>
      <c r="T20" s="347">
        <f t="shared" ca="1" si="1"/>
        <v>0</v>
      </c>
      <c r="U20" s="347">
        <f t="shared" ca="1" si="1"/>
        <v>0</v>
      </c>
      <c r="V20" s="347">
        <f t="shared" ca="1" si="1"/>
        <v>0</v>
      </c>
      <c r="W20" s="294"/>
      <c r="X20" s="318"/>
    </row>
    <row r="21" spans="1:24" ht="17.25" x14ac:dyDescent="0.4">
      <c r="A21" s="286"/>
      <c r="B21" s="291"/>
      <c r="C21" s="292"/>
      <c r="D21" s="313" t="s">
        <v>438</v>
      </c>
      <c r="E21" s="314">
        <f>IF(E$18=0,0,F21)</f>
        <v>0</v>
      </c>
      <c r="F21" s="314">
        <f>+SUM(H21:V21)</f>
        <v>34763.003003949088</v>
      </c>
      <c r="G21" s="292"/>
      <c r="H21" s="346">
        <f>+IFERROR(E1AllDLProbitabilityTotal,0)</f>
        <v>28969.169169957575</v>
      </c>
      <c r="I21" s="346">
        <v>0</v>
      </c>
      <c r="J21" s="346">
        <v>0</v>
      </c>
      <c r="K21" s="346">
        <v>0</v>
      </c>
      <c r="L21" s="346">
        <v>0</v>
      </c>
      <c r="M21" s="346">
        <v>0</v>
      </c>
      <c r="N21" s="346">
        <v>0</v>
      </c>
      <c r="O21" s="346">
        <v>0</v>
      </c>
      <c r="P21" s="346">
        <v>0</v>
      </c>
      <c r="Q21" s="346">
        <f>+Q16*G21</f>
        <v>0</v>
      </c>
      <c r="R21" s="346">
        <f>+R16*H21</f>
        <v>5793.8338339915153</v>
      </c>
      <c r="S21" s="346">
        <v>0</v>
      </c>
      <c r="T21" s="346">
        <v>0</v>
      </c>
      <c r="U21" s="346">
        <v>0</v>
      </c>
      <c r="V21" s="346">
        <v>0</v>
      </c>
      <c r="W21" s="294"/>
      <c r="X21" s="286"/>
    </row>
    <row r="22" spans="1:24" ht="15" x14ac:dyDescent="0.25">
      <c r="A22" s="286"/>
      <c r="B22" s="291"/>
      <c r="C22" s="292"/>
      <c r="D22" s="315" t="s">
        <v>439</v>
      </c>
      <c r="E22" s="316">
        <f>E20-E21</f>
        <v>0</v>
      </c>
      <c r="F22" s="316">
        <f ca="1">IF(F18=0,"",F20-F21)</f>
        <v>140649.95699605093</v>
      </c>
      <c r="G22" s="317"/>
      <c r="H22" s="347">
        <f t="shared" ref="H22:O22" ca="1" si="2">+H20-H21</f>
        <v>69591.830830042425</v>
      </c>
      <c r="I22" s="347">
        <f t="shared" ca="1" si="2"/>
        <v>1725.7500000000018</v>
      </c>
      <c r="J22" s="347">
        <f t="shared" ca="1" si="2"/>
        <v>25.440000000002328</v>
      </c>
      <c r="K22" s="347">
        <f t="shared" ca="1" si="2"/>
        <v>38832.389999999985</v>
      </c>
      <c r="L22" s="347">
        <f t="shared" ca="1" si="2"/>
        <v>57.240000000000293</v>
      </c>
      <c r="M22" s="347">
        <f t="shared" ca="1" si="2"/>
        <v>159.00000000000045</v>
      </c>
      <c r="N22" s="347">
        <f t="shared" ca="1" si="2"/>
        <v>178.0799999999997</v>
      </c>
      <c r="O22" s="347">
        <f t="shared" si="2"/>
        <v>0</v>
      </c>
      <c r="P22" s="347">
        <f ca="1">+P20-P21</f>
        <v>9065.4680000000008</v>
      </c>
      <c r="Q22" s="347">
        <f t="shared" ref="Q22:V22" ca="1" si="3">+Q20-Q21</f>
        <v>5913.66</v>
      </c>
      <c r="R22" s="347">
        <f t="shared" ca="1" si="3"/>
        <v>15101.098166008485</v>
      </c>
      <c r="S22" s="347">
        <f t="shared" ca="1" si="3"/>
        <v>0</v>
      </c>
      <c r="T22" s="347">
        <f t="shared" ca="1" si="3"/>
        <v>0</v>
      </c>
      <c r="U22" s="347">
        <f t="shared" ca="1" si="3"/>
        <v>0</v>
      </c>
      <c r="V22" s="347">
        <f t="shared" ca="1" si="3"/>
        <v>0</v>
      </c>
      <c r="W22" s="294"/>
      <c r="X22" s="286"/>
    </row>
    <row r="23" spans="1:24" ht="17.25" x14ac:dyDescent="0.4">
      <c r="A23" s="286"/>
      <c r="B23" s="291"/>
      <c r="C23" s="292"/>
      <c r="D23" s="313" t="s">
        <v>385</v>
      </c>
      <c r="E23" s="314">
        <f>IF(E18=0,0,F23)</f>
        <v>0</v>
      </c>
      <c r="F23" s="314">
        <f>+H23</f>
        <v>42584.678679837605</v>
      </c>
      <c r="G23" s="292"/>
      <c r="H23" s="346">
        <f>+IFERROR(E1AllOvProbitabilityTotal,0)</f>
        <v>42584.678679837605</v>
      </c>
      <c r="I23" s="346">
        <v>0</v>
      </c>
      <c r="J23" s="346">
        <v>0</v>
      </c>
      <c r="K23" s="346">
        <v>0</v>
      </c>
      <c r="L23" s="346">
        <v>0</v>
      </c>
      <c r="M23" s="346">
        <v>0</v>
      </c>
      <c r="N23" s="346">
        <v>0</v>
      </c>
      <c r="O23" s="346">
        <v>0</v>
      </c>
      <c r="P23" s="346">
        <v>0</v>
      </c>
      <c r="Q23" s="346">
        <v>0</v>
      </c>
      <c r="R23" s="346">
        <v>0</v>
      </c>
      <c r="S23" s="346">
        <v>0</v>
      </c>
      <c r="T23" s="346">
        <v>0</v>
      </c>
      <c r="U23" s="346">
        <v>0</v>
      </c>
      <c r="V23" s="346">
        <v>0</v>
      </c>
      <c r="W23" s="294"/>
      <c r="X23" s="286"/>
    </row>
    <row r="24" spans="1:24" ht="17.25" x14ac:dyDescent="0.4">
      <c r="A24" s="286"/>
      <c r="B24" s="291"/>
      <c r="C24" s="292"/>
      <c r="D24" s="315" t="s">
        <v>440</v>
      </c>
      <c r="E24" s="319">
        <f>E22-E23</f>
        <v>0</v>
      </c>
      <c r="F24" s="319">
        <f ca="1">IF(F18=0,"",F22-F23)</f>
        <v>98065.278316213313</v>
      </c>
      <c r="G24" s="317"/>
      <c r="H24" s="348">
        <f t="shared" ref="H24:P24" ca="1" si="4">+H22-H23</f>
        <v>27007.15215020482</v>
      </c>
      <c r="I24" s="348">
        <f t="shared" ca="1" si="4"/>
        <v>1725.7500000000018</v>
      </c>
      <c r="J24" s="348">
        <f t="shared" ca="1" si="4"/>
        <v>25.440000000002328</v>
      </c>
      <c r="K24" s="348">
        <f t="shared" ca="1" si="4"/>
        <v>38832.389999999985</v>
      </c>
      <c r="L24" s="348">
        <f t="shared" ca="1" si="4"/>
        <v>57.240000000000293</v>
      </c>
      <c r="M24" s="348">
        <f t="shared" ca="1" si="4"/>
        <v>159.00000000000045</v>
      </c>
      <c r="N24" s="348">
        <f t="shared" ca="1" si="4"/>
        <v>178.0799999999997</v>
      </c>
      <c r="O24" s="348">
        <f t="shared" si="4"/>
        <v>0</v>
      </c>
      <c r="P24" s="348">
        <f t="shared" ca="1" si="4"/>
        <v>9065.4680000000008</v>
      </c>
      <c r="Q24" s="348">
        <f t="shared" ref="Q24:V24" ca="1" si="5">+Q22-Q23</f>
        <v>5913.66</v>
      </c>
      <c r="R24" s="348">
        <f t="shared" ca="1" si="5"/>
        <v>15101.098166008485</v>
      </c>
      <c r="S24" s="348">
        <f t="shared" ca="1" si="5"/>
        <v>0</v>
      </c>
      <c r="T24" s="348">
        <f t="shared" ca="1" si="5"/>
        <v>0</v>
      </c>
      <c r="U24" s="348">
        <f t="shared" ca="1" si="5"/>
        <v>0</v>
      </c>
      <c r="V24" s="348">
        <f t="shared" ca="1" si="5"/>
        <v>0</v>
      </c>
      <c r="W24" s="294"/>
      <c r="X24" s="286"/>
    </row>
    <row r="25" spans="1:24" ht="15.75" x14ac:dyDescent="0.25">
      <c r="A25" s="286"/>
      <c r="B25" s="291"/>
      <c r="C25" s="292"/>
      <c r="D25" s="315"/>
      <c r="E25" s="320"/>
      <c r="F25" s="320"/>
      <c r="G25" s="320"/>
      <c r="H25" s="320"/>
      <c r="I25" s="320"/>
      <c r="J25" s="320"/>
      <c r="K25" s="320"/>
      <c r="L25" s="320"/>
      <c r="M25" s="320"/>
      <c r="N25" s="320"/>
      <c r="O25" s="320"/>
      <c r="P25" s="320"/>
      <c r="Q25" s="320"/>
      <c r="R25" s="320"/>
      <c r="S25" s="320"/>
      <c r="T25" s="320"/>
      <c r="U25" s="320"/>
      <c r="V25" s="320"/>
      <c r="W25" s="294"/>
      <c r="X25" s="286"/>
    </row>
    <row r="26" spans="1:24" ht="15.75" x14ac:dyDescent="0.25">
      <c r="A26" s="286"/>
      <c r="B26" s="291"/>
      <c r="C26" s="292"/>
      <c r="D26" s="315" t="s">
        <v>441</v>
      </c>
      <c r="E26" s="321">
        <f>IFERROR((E20/E21),0)</f>
        <v>0</v>
      </c>
      <c r="F26" s="338">
        <f ca="1">IFERROR((F20/F21),0)</f>
        <v>5.0459668280117533</v>
      </c>
      <c r="G26" s="292"/>
      <c r="H26" s="338">
        <f t="shared" ref="H26:P26" ca="1" si="6">IFERROR((H20/H21),0)</f>
        <v>3.4022722371414265</v>
      </c>
      <c r="I26" s="338">
        <f t="shared" ca="1" si="6"/>
        <v>0</v>
      </c>
      <c r="J26" s="338">
        <f t="shared" ca="1" si="6"/>
        <v>0</v>
      </c>
      <c r="K26" s="338">
        <f t="shared" ca="1" si="6"/>
        <v>0</v>
      </c>
      <c r="L26" s="338">
        <f t="shared" ca="1" si="6"/>
        <v>0</v>
      </c>
      <c r="M26" s="338">
        <f t="shared" ca="1" si="6"/>
        <v>0</v>
      </c>
      <c r="N26" s="338">
        <f t="shared" ca="1" si="6"/>
        <v>0</v>
      </c>
      <c r="O26" s="338">
        <f t="shared" si="6"/>
        <v>0</v>
      </c>
      <c r="P26" s="338">
        <f t="shared" ca="1" si="6"/>
        <v>0</v>
      </c>
      <c r="Q26" s="338">
        <f t="shared" ref="Q26:V26" ca="1" si="7">IFERROR((Q20/Q21),0)</f>
        <v>0</v>
      </c>
      <c r="R26" s="338">
        <f t="shared" ca="1" si="7"/>
        <v>3.6064085713699119</v>
      </c>
      <c r="S26" s="338">
        <f t="shared" ca="1" si="7"/>
        <v>0</v>
      </c>
      <c r="T26" s="338">
        <f t="shared" ca="1" si="7"/>
        <v>0</v>
      </c>
      <c r="U26" s="338">
        <f t="shared" ca="1" si="7"/>
        <v>0</v>
      </c>
      <c r="V26" s="338">
        <f t="shared" ca="1" si="7"/>
        <v>0</v>
      </c>
      <c r="W26" s="294"/>
      <c r="X26" s="286"/>
    </row>
    <row r="27" spans="1:24" ht="15.75" x14ac:dyDescent="0.25">
      <c r="A27" s="286"/>
      <c r="B27" s="291"/>
      <c r="C27" s="292"/>
      <c r="D27" s="315"/>
      <c r="E27" s="320"/>
      <c r="F27" s="339"/>
      <c r="G27" s="320"/>
      <c r="H27" s="339"/>
      <c r="I27" s="339"/>
      <c r="J27" s="339"/>
      <c r="K27" s="339"/>
      <c r="L27" s="339"/>
      <c r="M27" s="339"/>
      <c r="N27" s="339"/>
      <c r="O27" s="339"/>
      <c r="P27" s="339"/>
      <c r="Q27" s="339"/>
      <c r="R27" s="339"/>
      <c r="S27" s="339"/>
      <c r="T27" s="339"/>
      <c r="U27" s="339"/>
      <c r="V27" s="339"/>
      <c r="W27" s="294"/>
      <c r="X27" s="286"/>
    </row>
    <row r="28" spans="1:24" ht="15.75" x14ac:dyDescent="0.25">
      <c r="A28" s="286"/>
      <c r="B28" s="291"/>
      <c r="C28" s="292"/>
      <c r="D28" s="315" t="s">
        <v>442</v>
      </c>
      <c r="E28" s="322">
        <f>IFERROR((E22/E18),0%)</f>
        <v>0</v>
      </c>
      <c r="F28" s="340">
        <f ca="1">IFERROR((F22/F18),0%)</f>
        <v>0.28345471935316668</v>
      </c>
      <c r="G28" s="292"/>
      <c r="H28" s="340">
        <f t="shared" ref="H28:P28" ca="1" si="8">IFERROR((H22/H18),0%)</f>
        <v>0.70607878197301599</v>
      </c>
      <c r="I28" s="340">
        <f t="shared" ca="1" si="8"/>
        <v>0.11677752891102383</v>
      </c>
      <c r="J28" s="340">
        <f t="shared" ca="1" si="8"/>
        <v>8.0979160280493262E-4</v>
      </c>
      <c r="K28" s="340">
        <f t="shared" ca="1" si="8"/>
        <v>0.13043478260869559</v>
      </c>
      <c r="L28" s="340">
        <f t="shared" ca="1" si="8"/>
        <v>0.13043478260869629</v>
      </c>
      <c r="M28" s="340">
        <f t="shared" ca="1" si="8"/>
        <v>9.820877084620161E-2</v>
      </c>
      <c r="N28" s="340">
        <f t="shared" ca="1" si="8"/>
        <v>0.13043478260869548</v>
      </c>
      <c r="O28" s="340">
        <f t="shared" si="8"/>
        <v>0</v>
      </c>
      <c r="P28" s="340">
        <f t="shared" ca="1" si="8"/>
        <v>0.98163521914511076</v>
      </c>
      <c r="Q28" s="340">
        <f t="shared" ref="Q28:V28" ca="1" si="9">IFERROR((Q22/Q18),0%)</f>
        <v>1</v>
      </c>
      <c r="R28" s="340">
        <f t="shared" ca="1" si="9"/>
        <v>0.72271583205001499</v>
      </c>
      <c r="S28" s="340">
        <f t="shared" ca="1" si="9"/>
        <v>0</v>
      </c>
      <c r="T28" s="340">
        <f t="shared" ca="1" si="9"/>
        <v>0</v>
      </c>
      <c r="U28" s="340">
        <f t="shared" ca="1" si="9"/>
        <v>0</v>
      </c>
      <c r="V28" s="340">
        <f t="shared" ca="1" si="9"/>
        <v>0</v>
      </c>
      <c r="W28" s="294"/>
      <c r="X28" s="286"/>
    </row>
    <row r="29" spans="1:24" ht="15.75" x14ac:dyDescent="0.25">
      <c r="A29" s="286"/>
      <c r="B29" s="291"/>
      <c r="C29" s="292"/>
      <c r="D29" s="315" t="s">
        <v>443</v>
      </c>
      <c r="E29" s="322">
        <f>IFERROR((E22/E20),0%)</f>
        <v>0</v>
      </c>
      <c r="F29" s="340">
        <f ca="1">IFERROR((F22/F20),0%)</f>
        <v>0.80182192351152903</v>
      </c>
      <c r="G29" s="292"/>
      <c r="H29" s="340">
        <f t="shared" ref="H29:P29" ca="1" si="10">IFERROR((H22/H20),0%)</f>
        <v>0.70607878197301599</v>
      </c>
      <c r="I29" s="340">
        <f t="shared" ca="1" si="10"/>
        <v>1</v>
      </c>
      <c r="J29" s="340">
        <f t="shared" ca="1" si="10"/>
        <v>1</v>
      </c>
      <c r="K29" s="340">
        <f t="shared" ca="1" si="10"/>
        <v>1</v>
      </c>
      <c r="L29" s="340">
        <f t="shared" ca="1" si="10"/>
        <v>1</v>
      </c>
      <c r="M29" s="340">
        <f t="shared" ca="1" si="10"/>
        <v>1</v>
      </c>
      <c r="N29" s="340">
        <f t="shared" ca="1" si="10"/>
        <v>1</v>
      </c>
      <c r="O29" s="340">
        <f t="shared" si="10"/>
        <v>0</v>
      </c>
      <c r="P29" s="340">
        <f t="shared" ca="1" si="10"/>
        <v>1</v>
      </c>
      <c r="Q29" s="340">
        <f t="shared" ref="Q29:V29" ca="1" si="11">IFERROR((Q22/Q20),0%)</f>
        <v>1</v>
      </c>
      <c r="R29" s="340">
        <f t="shared" ca="1" si="11"/>
        <v>0.72271583205001499</v>
      </c>
      <c r="S29" s="340">
        <f t="shared" ca="1" si="11"/>
        <v>0</v>
      </c>
      <c r="T29" s="340">
        <f t="shared" ca="1" si="11"/>
        <v>0</v>
      </c>
      <c r="U29" s="340">
        <f t="shared" ca="1" si="11"/>
        <v>0</v>
      </c>
      <c r="V29" s="340">
        <f t="shared" ca="1" si="11"/>
        <v>0</v>
      </c>
      <c r="W29" s="294"/>
      <c r="X29" s="286"/>
    </row>
    <row r="30" spans="1:24" ht="15.75" x14ac:dyDescent="0.25">
      <c r="A30" s="286"/>
      <c r="B30" s="291"/>
      <c r="C30" s="292"/>
      <c r="D30" s="315"/>
      <c r="E30" s="320"/>
      <c r="F30" s="339"/>
      <c r="G30" s="320"/>
      <c r="H30" s="339"/>
      <c r="I30" s="339"/>
      <c r="J30" s="339"/>
      <c r="K30" s="339"/>
      <c r="L30" s="339"/>
      <c r="M30" s="339"/>
      <c r="N30" s="339"/>
      <c r="O30" s="339"/>
      <c r="P30" s="339"/>
      <c r="Q30" s="339"/>
      <c r="R30" s="339"/>
      <c r="S30" s="339"/>
      <c r="T30" s="339"/>
      <c r="U30" s="339"/>
      <c r="V30" s="339"/>
      <c r="W30" s="294"/>
      <c r="X30" s="286"/>
    </row>
    <row r="31" spans="1:24" ht="15.75" x14ac:dyDescent="0.25">
      <c r="A31" s="286"/>
      <c r="B31" s="323" t="s">
        <v>444</v>
      </c>
      <c r="C31" s="292"/>
      <c r="D31" s="315" t="s">
        <v>445</v>
      </c>
      <c r="E31" s="322">
        <f>IFERROR((E24/E18),0)</f>
        <v>0</v>
      </c>
      <c r="F31" s="340">
        <f ca="1">IFERROR((F24/F18),0)</f>
        <v>0.19763295017710453</v>
      </c>
      <c r="G31" s="292"/>
      <c r="H31" s="340">
        <f t="shared" ref="H31:P31" ca="1" si="12">IFERROR((H24/H18),0)</f>
        <v>0.27401459147334972</v>
      </c>
      <c r="I31" s="340">
        <f t="shared" ca="1" si="12"/>
        <v>0.11677752891102383</v>
      </c>
      <c r="J31" s="340">
        <f t="shared" ca="1" si="12"/>
        <v>8.0979160280493262E-4</v>
      </c>
      <c r="K31" s="340">
        <f t="shared" ca="1" si="12"/>
        <v>0.13043478260869559</v>
      </c>
      <c r="L31" s="340">
        <f t="shared" ca="1" si="12"/>
        <v>0.13043478260869629</v>
      </c>
      <c r="M31" s="340">
        <f t="shared" ca="1" si="12"/>
        <v>9.820877084620161E-2</v>
      </c>
      <c r="N31" s="340">
        <f t="shared" ca="1" si="12"/>
        <v>0.13043478260869548</v>
      </c>
      <c r="O31" s="340">
        <f t="shared" si="12"/>
        <v>0</v>
      </c>
      <c r="P31" s="340">
        <f t="shared" ca="1" si="12"/>
        <v>0.98163521914511076</v>
      </c>
      <c r="Q31" s="340">
        <f t="shared" ref="Q31:V31" ca="1" si="13">IFERROR((Q24/Q18),0)</f>
        <v>1</v>
      </c>
      <c r="R31" s="340">
        <f t="shared" ca="1" si="13"/>
        <v>0.72271583205001499</v>
      </c>
      <c r="S31" s="340">
        <f t="shared" ca="1" si="13"/>
        <v>0</v>
      </c>
      <c r="T31" s="340">
        <f t="shared" ca="1" si="13"/>
        <v>0</v>
      </c>
      <c r="U31" s="340">
        <f t="shared" ca="1" si="13"/>
        <v>0</v>
      </c>
      <c r="V31" s="340">
        <f t="shared" ca="1" si="13"/>
        <v>0</v>
      </c>
      <c r="W31" s="294"/>
      <c r="X31" s="286"/>
    </row>
    <row r="32" spans="1:24" ht="15.75" x14ac:dyDescent="0.25">
      <c r="A32" s="286"/>
      <c r="B32" s="323"/>
      <c r="C32" s="292"/>
      <c r="D32" s="315" t="s">
        <v>446</v>
      </c>
      <c r="E32" s="324">
        <f>IFERROR((E24/E20),0)</f>
        <v>0</v>
      </c>
      <c r="F32" s="341">
        <f ca="1">IFERROR((F24/F20),0)</f>
        <v>0.55905377981315241</v>
      </c>
      <c r="G32" s="325"/>
      <c r="H32" s="341">
        <f t="shared" ref="H32:P32" ca="1" si="14">IFERROR((H24/H20),0)</f>
        <v>0.27401459147334972</v>
      </c>
      <c r="I32" s="341">
        <f t="shared" ca="1" si="14"/>
        <v>1</v>
      </c>
      <c r="J32" s="341">
        <f t="shared" ca="1" si="14"/>
        <v>1</v>
      </c>
      <c r="K32" s="341">
        <f t="shared" ca="1" si="14"/>
        <v>1</v>
      </c>
      <c r="L32" s="341">
        <f t="shared" ca="1" si="14"/>
        <v>1</v>
      </c>
      <c r="M32" s="341">
        <f t="shared" ca="1" si="14"/>
        <v>1</v>
      </c>
      <c r="N32" s="341">
        <f t="shared" ca="1" si="14"/>
        <v>1</v>
      </c>
      <c r="O32" s="341">
        <f t="shared" si="14"/>
        <v>0</v>
      </c>
      <c r="P32" s="341">
        <f t="shared" ca="1" si="14"/>
        <v>1</v>
      </c>
      <c r="Q32" s="341">
        <f t="shared" ref="Q32:V32" ca="1" si="15">IFERROR((Q24/Q20),0)</f>
        <v>1</v>
      </c>
      <c r="R32" s="341">
        <f t="shared" ca="1" si="15"/>
        <v>0.72271583205001499</v>
      </c>
      <c r="S32" s="341">
        <f t="shared" ca="1" si="15"/>
        <v>0</v>
      </c>
      <c r="T32" s="341">
        <f t="shared" ca="1" si="15"/>
        <v>0</v>
      </c>
      <c r="U32" s="341">
        <f t="shared" ca="1" si="15"/>
        <v>0</v>
      </c>
      <c r="V32" s="341">
        <f t="shared" ca="1" si="15"/>
        <v>0</v>
      </c>
      <c r="W32" s="294"/>
      <c r="X32" s="286"/>
    </row>
    <row r="33" spans="1:24" ht="13.5" thickBot="1" x14ac:dyDescent="0.25">
      <c r="A33" s="326"/>
      <c r="B33" s="327"/>
      <c r="C33" s="328"/>
      <c r="D33" s="329"/>
      <c r="E33" s="329"/>
      <c r="F33" s="330"/>
      <c r="G33" s="329"/>
      <c r="H33" s="329"/>
      <c r="I33" s="329"/>
      <c r="J33" s="329"/>
      <c r="K33" s="329"/>
      <c r="L33" s="329"/>
      <c r="M33" s="329"/>
      <c r="N33" s="329"/>
      <c r="O33" s="329"/>
      <c r="P33" s="329"/>
      <c r="Q33" s="329"/>
      <c r="R33" s="329"/>
      <c r="S33" s="329"/>
      <c r="T33" s="329"/>
      <c r="U33" s="329"/>
      <c r="V33" s="329"/>
      <c r="W33" s="294"/>
      <c r="X33" s="286"/>
    </row>
    <row r="34" spans="1:24" ht="15.75" x14ac:dyDescent="0.25">
      <c r="A34" s="286"/>
      <c r="B34" s="291"/>
      <c r="C34" s="292"/>
      <c r="D34" s="428" t="s">
        <v>520</v>
      </c>
      <c r="E34" s="429">
        <f>IFERROR(VLOOKUP($E$12,'Labor &amp; Practice Lookups'!Q18:R25,2,FALSE),FALSE)</f>
        <v>1.45</v>
      </c>
      <c r="F34" s="429">
        <f>IFERROR(VLOOKUP($E$12,'Labor &amp; Practice Lookups'!Q18:R25,2,FALSE), FALSE)</f>
        <v>1.45</v>
      </c>
      <c r="G34" s="331"/>
      <c r="H34" s="331"/>
      <c r="I34" s="331"/>
      <c r="J34" s="332"/>
      <c r="K34" s="331"/>
      <c r="L34" s="331"/>
      <c r="M34" s="331"/>
      <c r="N34" s="331"/>
      <c r="O34" s="331"/>
      <c r="P34" s="331"/>
      <c r="Q34" s="331"/>
      <c r="R34" s="331"/>
      <c r="S34" s="331"/>
      <c r="T34" s="331"/>
      <c r="U34" s="331"/>
      <c r="V34" s="331"/>
      <c r="W34" s="294"/>
      <c r="X34" s="286"/>
    </row>
    <row r="35" spans="1:24" ht="15.75" x14ac:dyDescent="0.25">
      <c r="A35" s="333"/>
      <c r="B35" s="291"/>
      <c r="C35" s="292"/>
      <c r="D35" s="430" t="s">
        <v>440</v>
      </c>
      <c r="E35" s="431">
        <f>E20-((E21*E34)+E21)</f>
        <v>0</v>
      </c>
      <c r="F35" s="431">
        <f ca="1">IFERROR(F20-((F21*F34)+F21),0)</f>
        <v>90243.602640324752</v>
      </c>
      <c r="G35" s="331"/>
      <c r="H35" s="331"/>
      <c r="I35" s="292"/>
      <c r="J35" s="292"/>
      <c r="K35" s="292"/>
      <c r="L35" s="292"/>
      <c r="M35" s="292"/>
      <c r="N35" s="292"/>
      <c r="O35" s="292"/>
      <c r="P35" s="292"/>
      <c r="Q35" s="292"/>
      <c r="R35" s="292"/>
      <c r="S35" s="292"/>
      <c r="T35" s="292"/>
      <c r="U35" s="292"/>
      <c r="V35" s="292"/>
      <c r="W35" s="294"/>
      <c r="X35" s="286"/>
    </row>
    <row r="36" spans="1:24" ht="16.5" thickBot="1" x14ac:dyDescent="0.3">
      <c r="A36" s="333"/>
      <c r="B36" s="291"/>
      <c r="C36" s="292"/>
      <c r="D36" s="432" t="s">
        <v>521</v>
      </c>
      <c r="E36" s="433" t="str">
        <f>IFERROR(E35/E20,"")</f>
        <v/>
      </c>
      <c r="F36" s="433">
        <f ca="1">IFERROR(F35/F20,"")</f>
        <v>0.5144637126032463</v>
      </c>
      <c r="G36" s="331"/>
      <c r="H36" s="331"/>
      <c r="I36" s="292"/>
      <c r="J36" s="292"/>
      <c r="K36" s="292"/>
      <c r="L36" s="292"/>
      <c r="M36" s="292"/>
      <c r="N36" s="292"/>
      <c r="O36" s="292"/>
      <c r="P36" s="292"/>
      <c r="Q36" s="292"/>
      <c r="R36" s="292"/>
      <c r="S36" s="292"/>
      <c r="T36" s="292"/>
      <c r="U36" s="292"/>
      <c r="V36" s="292"/>
      <c r="W36" s="294"/>
      <c r="X36" s="286"/>
    </row>
    <row r="37" spans="1:24" ht="16.5" thickBot="1" x14ac:dyDescent="0.3">
      <c r="B37" s="334"/>
      <c r="C37" s="336"/>
      <c r="D37" s="336"/>
      <c r="E37" s="336"/>
      <c r="F37" s="336"/>
      <c r="G37" s="336"/>
      <c r="H37" s="336"/>
      <c r="I37" s="335"/>
      <c r="J37" s="335"/>
      <c r="K37" s="335"/>
      <c r="L37" s="335"/>
      <c r="M37" s="335"/>
      <c r="N37" s="335"/>
      <c r="O37" s="335"/>
      <c r="P37" s="335"/>
      <c r="Q37" s="335"/>
      <c r="R37" s="335"/>
      <c r="S37" s="335"/>
      <c r="T37" s="335"/>
      <c r="U37" s="335"/>
      <c r="V37" s="335"/>
      <c r="W37" s="337"/>
    </row>
    <row r="39" spans="1:24" x14ac:dyDescent="0.2">
      <c r="D39" s="875" t="str">
        <f>+IF(E18="","","IMPORTANT NOTE:  When estimating a FIXED FEE project use 2024 STANDARD EV RATES (with or without Labor Rate Discount).")</f>
        <v/>
      </c>
      <c r="E39" s="876"/>
      <c r="F39" s="876"/>
      <c r="G39" s="876"/>
      <c r="H39" s="876"/>
      <c r="I39" s="876"/>
      <c r="J39" s="876"/>
      <c r="K39" s="876"/>
      <c r="L39" s="877"/>
    </row>
    <row r="40" spans="1:24" ht="15" x14ac:dyDescent="0.2">
      <c r="D40" s="872"/>
      <c r="E40" s="866"/>
      <c r="F40" s="866"/>
      <c r="G40" s="873"/>
      <c r="H40" s="866"/>
      <c r="I40" s="866"/>
      <c r="J40" s="866"/>
      <c r="K40" s="866"/>
      <c r="L40" s="866"/>
      <c r="M40" s="866"/>
      <c r="N40" s="874"/>
    </row>
  </sheetData>
  <sheetProtection algorithmName="SHA-512" hashValue="lIlx5tXgQFOJuycVnBNiSCnIe+NdAU4TTu/BD1uvHvLpk+kpMe+lt33Au9gn5vbJ1rbcWda+SgtEJ8PGcadhRA==" saltValue="x37JLtyTdiZi8BfxbpY6Ew==" spinCount="100000" sheet="1" scenarios="1"/>
  <protectedRanges>
    <protectedRange sqref="E18" name="Contract Value"/>
    <protectedRange sqref="E6:E12" name="Proposal Summary"/>
    <protectedRange sqref="I6:I12 L6:L12" name="Contract Terms"/>
    <protectedRange sqref="O6:O12" name="Cash Flow"/>
    <protectedRange sqref="Q6" name="Comments"/>
    <protectedRange sqref="E18" name="Fixed Price CV"/>
  </protectedRanges>
  <dataConsolidate/>
  <mergeCells count="5">
    <mergeCell ref="E15:E16"/>
    <mergeCell ref="R17:V17"/>
    <mergeCell ref="F3:I3"/>
    <mergeCell ref="K3:L3"/>
    <mergeCell ref="Q6:V12"/>
  </mergeCells>
  <conditionalFormatting sqref="E20:E24 E26 E28:E29 E31:E32">
    <cfRule type="expression" dxfId="657" priority="6">
      <formula>$E$18=0</formula>
    </cfRule>
  </conditionalFormatting>
  <conditionalFormatting sqref="E18">
    <cfRule type="cellIs" dxfId="656" priority="5" operator="equal">
      <formula>0</formula>
    </cfRule>
  </conditionalFormatting>
  <conditionalFormatting sqref="E19">
    <cfRule type="expression" dxfId="655" priority="4">
      <formula>$E$18=0</formula>
    </cfRule>
  </conditionalFormatting>
  <conditionalFormatting sqref="G40">
    <cfRule type="expression" dxfId="654" priority="1" stopIfTrue="1">
      <formula>Contingency=TRUE</formula>
    </cfRule>
  </conditionalFormatting>
  <dataValidations count="6">
    <dataValidation type="whole" errorStyle="warning" operator="greaterThanOrEqual" allowBlank="1" showInputMessage="1" showErrorMessage="1" errorTitle="Invalid Payment Interval" error="Payment Interval must be a positive integer (1,2,3,4,etc.) or blank." sqref="G34" xr:uid="{00000000-0002-0000-0400-000000000000}">
      <formula1>0</formula1>
    </dataValidation>
    <dataValidation type="list" allowBlank="1" showInputMessage="1" showErrorMessage="1" sqref="I6" xr:uid="{00000000-0002-0000-0400-000001000000}">
      <formula1>$Z$6:$Z$10</formula1>
    </dataValidation>
    <dataValidation type="list" allowBlank="1" showInputMessage="1" showErrorMessage="1" sqref="I7:I12 L6:L8 L11 O8:O10 O12" xr:uid="{00000000-0002-0000-0400-000002000000}">
      <formula1>$AA$6:$AA$7</formula1>
    </dataValidation>
    <dataValidation type="list" allowBlank="1" showInputMessage="1" showErrorMessage="1" sqref="O11" xr:uid="{00000000-0002-0000-0400-000003000000}">
      <formula1>$AA$6:$AA$8</formula1>
    </dataValidation>
    <dataValidation type="list" allowBlank="1" showInputMessage="1" showErrorMessage="1" sqref="O7" xr:uid="{00000000-0002-0000-0400-000004000000}">
      <formula1>$AB$6:$AB$8</formula1>
    </dataValidation>
    <dataValidation type="list" allowBlank="1" showInputMessage="1" showErrorMessage="1" sqref="O6" xr:uid="{00000000-0002-0000-0400-000005000000}">
      <formula1>$AC$6:$AC$12</formula1>
    </dataValidation>
  </dataValidations>
  <pageMargins left="0.25" right="0.25" top="0.75" bottom="0.75" header="0.3" footer="0.3"/>
  <pageSetup scale="51" orientation="landscape" r:id="rId1"/>
  <headerFooter>
    <oddFooter xml:space="preserve">&amp;R&amp;6&amp;Z&amp;F   &amp;D
&amp;7© 2016 TRC   All rights reserved. </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6000000}">
          <x14:formula1>
            <xm:f>'Labor &amp; Practice Lookups'!$Q$5:$Q$11</xm:f>
          </x14:formula1>
          <xm:sqref>E12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FF00"/>
  </sheetPr>
  <dimension ref="B1:J22"/>
  <sheetViews>
    <sheetView showGridLines="0" zoomScaleNormal="100" zoomScaleSheetLayoutView="100" workbookViewId="0">
      <selection activeCell="I14" sqref="I14:J14"/>
    </sheetView>
  </sheetViews>
  <sheetFormatPr defaultColWidth="9.140625" defaultRowHeight="12.75" x14ac:dyDescent="0.2"/>
  <cols>
    <col min="1" max="1" width="3.42578125" style="373" customWidth="1"/>
    <col min="2" max="2" width="18" style="373" bestFit="1" customWidth="1"/>
    <col min="3" max="3" width="10.42578125" style="373" bestFit="1" customWidth="1"/>
    <col min="4" max="4" width="4.28515625" style="373" bestFit="1" customWidth="1"/>
    <col min="5" max="5" width="11.42578125" style="373" bestFit="1" customWidth="1"/>
    <col min="6" max="6" width="11" style="373" customWidth="1"/>
    <col min="7" max="7" width="10.42578125" style="373" customWidth="1"/>
    <col min="8" max="8" width="10" style="373" customWidth="1"/>
    <col min="9" max="9" width="9.140625" style="373" customWidth="1"/>
    <col min="10" max="10" width="56.140625" style="373" customWidth="1"/>
    <col min="11" max="16384" width="9.140625" style="373"/>
  </cols>
  <sheetData>
    <row r="1" spans="2:10" ht="13.9" customHeight="1" x14ac:dyDescent="0.2">
      <c r="G1" s="637"/>
      <c r="H1" s="637"/>
      <c r="I1" s="636" t="s">
        <v>397</v>
      </c>
      <c r="J1" s="638">
        <f>+PreparedBy</f>
        <v>0</v>
      </c>
    </row>
    <row r="2" spans="2:10" ht="13.9" customHeight="1" x14ac:dyDescent="0.2">
      <c r="G2" s="637"/>
      <c r="H2" s="637"/>
      <c r="I2" s="636" t="s">
        <v>404</v>
      </c>
      <c r="J2" s="639">
        <f ca="1">+DateField</f>
        <v>45516</v>
      </c>
    </row>
    <row r="3" spans="2:10" ht="13.9" customHeight="1" x14ac:dyDescent="0.2">
      <c r="G3" s="637"/>
      <c r="H3" s="637"/>
      <c r="I3" s="636" t="s">
        <v>410</v>
      </c>
      <c r="J3" s="638">
        <f>+INPUT!B11</f>
        <v>0</v>
      </c>
    </row>
    <row r="4" spans="2:10" ht="13.9" customHeight="1" x14ac:dyDescent="0.2">
      <c r="G4" s="637"/>
      <c r="H4" s="637"/>
      <c r="I4" s="636" t="s">
        <v>414</v>
      </c>
      <c r="J4" s="638">
        <f>+ProjectName</f>
        <v>0</v>
      </c>
    </row>
    <row r="5" spans="2:10" ht="13.9" customHeight="1" x14ac:dyDescent="0.2">
      <c r="G5" s="637"/>
      <c r="H5" s="637"/>
      <c r="I5" s="636" t="s">
        <v>418</v>
      </c>
      <c r="J5" s="638">
        <f>+ProjectNumber</f>
        <v>0</v>
      </c>
    </row>
    <row r="6" spans="2:10" ht="13.9" customHeight="1" x14ac:dyDescent="0.2">
      <c r="G6" s="637"/>
      <c r="H6" s="637"/>
      <c r="I6" s="636" t="s">
        <v>778</v>
      </c>
      <c r="J6" s="640">
        <f ca="1">+'Budget Summary'!D23</f>
        <v>495841.71960000001</v>
      </c>
    </row>
    <row r="7" spans="2:10" ht="13.9" customHeight="1" x14ac:dyDescent="0.2"/>
    <row r="8" spans="2:10" ht="13.9" customHeight="1" x14ac:dyDescent="0.2">
      <c r="B8" s="635" t="s">
        <v>779</v>
      </c>
      <c r="C8" s="635"/>
      <c r="D8" s="635"/>
      <c r="E8" s="635"/>
      <c r="F8" s="635"/>
      <c r="G8" s="635"/>
      <c r="H8" s="635"/>
    </row>
    <row r="9" spans="2:10" ht="13.9" customHeight="1" x14ac:dyDescent="0.2">
      <c r="B9" s="635"/>
      <c r="C9" s="635"/>
      <c r="D9" s="635"/>
      <c r="E9" s="635"/>
      <c r="F9" s="635"/>
      <c r="G9" s="635"/>
      <c r="H9" s="635"/>
    </row>
    <row r="10" spans="2:10" ht="13.9" customHeight="1" thickBot="1" x14ac:dyDescent="0.25">
      <c r="B10" s="635" t="s">
        <v>780</v>
      </c>
    </row>
    <row r="11" spans="2:10" ht="13.9" customHeight="1" thickBot="1" x14ac:dyDescent="0.25">
      <c r="B11" s="1413" t="s">
        <v>388</v>
      </c>
      <c r="C11" s="1414"/>
      <c r="D11" s="1414"/>
      <c r="E11" s="1414"/>
      <c r="F11" s="1414"/>
      <c r="G11" s="1414"/>
      <c r="H11" s="1414"/>
      <c r="I11" s="1414"/>
      <c r="J11" s="1415"/>
    </row>
    <row r="12" spans="2:10" ht="4.9000000000000004" customHeight="1" thickBot="1" x14ac:dyDescent="0.25">
      <c r="B12" s="374"/>
      <c r="C12" s="374"/>
      <c r="D12" s="374"/>
      <c r="E12" s="374"/>
      <c r="F12" s="374"/>
      <c r="G12" s="375"/>
      <c r="H12" s="375"/>
      <c r="I12" s="375"/>
      <c r="J12" s="376"/>
    </row>
    <row r="13" spans="2:10" ht="51.75" thickBot="1" x14ac:dyDescent="0.25">
      <c r="B13" s="641" t="s">
        <v>391</v>
      </c>
      <c r="C13" s="642" t="s">
        <v>392</v>
      </c>
      <c r="D13" s="642"/>
      <c r="E13" s="642" t="s">
        <v>392</v>
      </c>
      <c r="F13" s="643" t="s">
        <v>393</v>
      </c>
      <c r="G13" s="643" t="s">
        <v>394</v>
      </c>
      <c r="H13" s="643" t="s">
        <v>395</v>
      </c>
      <c r="I13" s="1413" t="s">
        <v>396</v>
      </c>
      <c r="J13" s="1415"/>
    </row>
    <row r="14" spans="2:10" ht="40.15" customHeight="1" thickBot="1" x14ac:dyDescent="0.25">
      <c r="B14" s="644" t="s">
        <v>401</v>
      </c>
      <c r="C14" s="645">
        <v>0</v>
      </c>
      <c r="D14" s="645" t="s">
        <v>402</v>
      </c>
      <c r="E14" s="645">
        <v>25000</v>
      </c>
      <c r="F14" s="645" t="str">
        <f>IF(RateSchedule&lt;5,"Yes","No")</f>
        <v>Yes</v>
      </c>
      <c r="G14" s="645" t="str">
        <f>IF(Markup&gt;=15%,"Yes","No")</f>
        <v>Yes</v>
      </c>
      <c r="H14" s="645" t="s">
        <v>403</v>
      </c>
      <c r="I14" s="1416"/>
      <c r="J14" s="1417"/>
    </row>
    <row r="15" spans="2:10" ht="40.15" customHeight="1" thickBot="1" x14ac:dyDescent="0.25">
      <c r="B15" s="646" t="s">
        <v>409</v>
      </c>
      <c r="C15" s="645">
        <v>25001</v>
      </c>
      <c r="D15" s="645" t="s">
        <v>402</v>
      </c>
      <c r="E15" s="645">
        <v>250000</v>
      </c>
      <c r="F15" s="645" t="str">
        <f t="shared" ref="F15:F20" si="0">$F$14</f>
        <v>Yes</v>
      </c>
      <c r="G15" s="645" t="str">
        <f t="shared" ref="G15:G20" si="1">$G$14</f>
        <v>Yes</v>
      </c>
      <c r="H15" s="645" t="str">
        <f ca="1">IF(MAX('Profitability Summary'!$E$18,'Profitability Summary'!$F$18)&lt;C15,"No","Yes")</f>
        <v>Yes</v>
      </c>
      <c r="I15" s="1416"/>
      <c r="J15" s="1417"/>
    </row>
    <row r="16" spans="2:10" ht="40.15" customHeight="1" thickBot="1" x14ac:dyDescent="0.25">
      <c r="B16" s="646" t="s">
        <v>413</v>
      </c>
      <c r="C16" s="645">
        <v>250001</v>
      </c>
      <c r="D16" s="645" t="s">
        <v>402</v>
      </c>
      <c r="E16" s="645">
        <v>500000</v>
      </c>
      <c r="F16" s="645" t="str">
        <f t="shared" si="0"/>
        <v>Yes</v>
      </c>
      <c r="G16" s="645" t="str">
        <f t="shared" si="1"/>
        <v>Yes</v>
      </c>
      <c r="H16" s="645" t="str">
        <f ca="1">IF(MAX('Profitability Summary'!$E$18,'Profitability Summary'!$F$18)&lt;C16,"No","Yes")</f>
        <v>Yes</v>
      </c>
      <c r="I16" s="1416"/>
      <c r="J16" s="1417"/>
    </row>
    <row r="17" spans="2:10" ht="40.15" customHeight="1" thickBot="1" x14ac:dyDescent="0.25">
      <c r="B17" s="646" t="s">
        <v>417</v>
      </c>
      <c r="C17" s="645">
        <v>500001</v>
      </c>
      <c r="D17" s="645" t="s">
        <v>402</v>
      </c>
      <c r="E17" s="645">
        <v>1000000</v>
      </c>
      <c r="F17" s="645" t="str">
        <f t="shared" si="0"/>
        <v>Yes</v>
      </c>
      <c r="G17" s="645" t="str">
        <f t="shared" si="1"/>
        <v>Yes</v>
      </c>
      <c r="H17" s="645" t="str">
        <f ca="1">IF(MAX('Profitability Summary'!$E$18,'Profitability Summary'!$F$18)&lt;C17,"No","Yes")</f>
        <v>No</v>
      </c>
      <c r="I17" s="1416"/>
      <c r="J17" s="1417"/>
    </row>
    <row r="18" spans="2:10" ht="40.15" customHeight="1" thickBot="1" x14ac:dyDescent="0.25">
      <c r="B18" s="646" t="s">
        <v>421</v>
      </c>
      <c r="C18" s="645">
        <v>1000001</v>
      </c>
      <c r="D18" s="645" t="s">
        <v>402</v>
      </c>
      <c r="E18" s="645">
        <v>5000000</v>
      </c>
      <c r="F18" s="645" t="str">
        <f t="shared" si="0"/>
        <v>Yes</v>
      </c>
      <c r="G18" s="645" t="str">
        <f t="shared" si="1"/>
        <v>Yes</v>
      </c>
      <c r="H18" s="645" t="str">
        <f ca="1">IF(MAX('Profitability Summary'!$E$18,'Profitability Summary'!$F$18)&lt;C18,"No","Yes")</f>
        <v>No</v>
      </c>
      <c r="I18" s="1416"/>
      <c r="J18" s="1417"/>
    </row>
    <row r="19" spans="2:10" ht="40.15" customHeight="1" thickBot="1" x14ac:dyDescent="0.25">
      <c r="B19" s="646" t="s">
        <v>426</v>
      </c>
      <c r="C19" s="645">
        <v>5000001</v>
      </c>
      <c r="D19" s="645" t="s">
        <v>402</v>
      </c>
      <c r="E19" s="645">
        <v>10000000</v>
      </c>
      <c r="F19" s="645" t="str">
        <f t="shared" si="0"/>
        <v>Yes</v>
      </c>
      <c r="G19" s="645" t="str">
        <f t="shared" si="1"/>
        <v>Yes</v>
      </c>
      <c r="H19" s="645" t="str">
        <f ca="1">IF(MAX('Profitability Summary'!$E$18,'Profitability Summary'!$F$18)&lt;C19,"No","Yes")</f>
        <v>No</v>
      </c>
      <c r="I19" s="1416"/>
      <c r="J19" s="1417"/>
    </row>
    <row r="20" spans="2:10" ht="40.15" customHeight="1" thickBot="1" x14ac:dyDescent="0.25">
      <c r="B20" s="646" t="s">
        <v>430</v>
      </c>
      <c r="C20" s="645"/>
      <c r="D20" s="645" t="s">
        <v>431</v>
      </c>
      <c r="E20" s="645">
        <v>10000000</v>
      </c>
      <c r="F20" s="645" t="str">
        <f t="shared" si="0"/>
        <v>Yes</v>
      </c>
      <c r="G20" s="645" t="str">
        <f t="shared" si="1"/>
        <v>Yes</v>
      </c>
      <c r="H20" s="645" t="str">
        <f ca="1">IF(MAX('Profitability Summary'!$E$18,'Profitability Summary'!$F$18)&lt;E20,"No","Yes")</f>
        <v>No</v>
      </c>
      <c r="I20" s="1416"/>
      <c r="J20" s="1417"/>
    </row>
    <row r="21" spans="2:10" ht="6.75" customHeight="1" x14ac:dyDescent="0.2"/>
    <row r="22" spans="2:10" hidden="1" x14ac:dyDescent="0.2">
      <c r="B22" s="1418" t="s">
        <v>683</v>
      </c>
      <c r="C22" s="1418"/>
      <c r="D22" s="1418"/>
      <c r="E22" s="1418"/>
      <c r="F22" s="1418"/>
      <c r="G22" s="1418"/>
      <c r="H22" s="1418"/>
    </row>
  </sheetData>
  <sheetProtection selectLockedCells="1"/>
  <protectedRanges>
    <protectedRange sqref="A1:F7" name="PDF BOX"/>
  </protectedRanges>
  <mergeCells count="10">
    <mergeCell ref="B22:H22"/>
    <mergeCell ref="I18:J18"/>
    <mergeCell ref="I19:J19"/>
    <mergeCell ref="I20:J20"/>
    <mergeCell ref="I17:J17"/>
    <mergeCell ref="B11:J11"/>
    <mergeCell ref="I13:J13"/>
    <mergeCell ref="I14:J14"/>
    <mergeCell ref="I15:J15"/>
    <mergeCell ref="I16:J16"/>
  </mergeCells>
  <conditionalFormatting sqref="H14:H20">
    <cfRule type="cellIs" dxfId="653" priority="1" operator="equal">
      <formula>"yes"</formula>
    </cfRule>
  </conditionalFormatting>
  <pageMargins left="0" right="0" top="0.75" bottom="0.75" header="0.3" footer="0.3"/>
  <pageSetup scale="95" orientation="landscape" r:id="rId1"/>
  <headerFooter>
    <oddFooter xml:space="preserve">&amp;R&amp;8&amp;Z&amp;F   &amp;D
&amp;7© 2016 TRC   All rights reserved. </oddFooter>
  </headerFooter>
  <drawing r:id="rId2"/>
  <legacyDrawing r:id="rId3"/>
  <oleObjects>
    <mc:AlternateContent xmlns:mc="http://schemas.openxmlformats.org/markup-compatibility/2006">
      <mc:Choice Requires="x14">
        <oleObject progId="AcroExch.pdfxml.1" dvAspect="DVASPECT_ICON" shapeId="30722" r:id="rId4">
          <objectPr defaultSize="0" autoPict="0" r:id="rId5">
            <anchor moveWithCells="1">
              <from>
                <xdr:col>1</xdr:col>
                <xdr:colOff>95250</xdr:colOff>
                <xdr:row>0</xdr:row>
                <xdr:rowOff>114300</xdr:rowOff>
              </from>
              <to>
                <xdr:col>4</xdr:col>
                <xdr:colOff>304800</xdr:colOff>
                <xdr:row>6</xdr:row>
                <xdr:rowOff>57150</xdr:rowOff>
              </to>
            </anchor>
          </objectPr>
        </oleObject>
      </mc:Choice>
      <mc:Fallback>
        <oleObject progId="AcroExch.pdfxml.1" dvAspect="DVASPECT_ICON" shapeId="30722" r:id="rId4"/>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pageSetUpPr fitToPage="1"/>
  </sheetPr>
  <dimension ref="A1:EQ276"/>
  <sheetViews>
    <sheetView topLeftCell="F1" zoomScale="85" zoomScaleNormal="85" workbookViewId="0">
      <pane ySplit="7" topLeftCell="A106" activePane="bottomLeft" state="frozen"/>
      <selection activeCell="DH36" sqref="DH36"/>
      <selection pane="bottomLeft" activeCell="O130" sqref="O130"/>
    </sheetView>
  </sheetViews>
  <sheetFormatPr defaultColWidth="9.140625" defaultRowHeight="12.75" x14ac:dyDescent="0.2"/>
  <cols>
    <col min="1" max="1" width="9.42578125" style="50" customWidth="1"/>
    <col min="2" max="2" width="5.28515625" style="50" customWidth="1"/>
    <col min="3" max="3" width="77.42578125" style="29" customWidth="1"/>
    <col min="4" max="4" width="5" style="29" customWidth="1"/>
    <col min="5" max="5" width="12.7109375" style="29" customWidth="1"/>
    <col min="6" max="6" width="12.28515625" style="51" customWidth="1"/>
    <col min="7" max="7" width="11.7109375" style="51" customWidth="1"/>
    <col min="8" max="8" width="12.42578125" style="51" customWidth="1"/>
    <col min="9" max="9" width="11.7109375" style="51" customWidth="1"/>
    <col min="10" max="10" width="16.42578125" style="29" customWidth="1"/>
    <col min="11" max="11" width="9.7109375" style="53" customWidth="1"/>
    <col min="12" max="12" width="16.140625" style="879" customWidth="1"/>
    <col min="13" max="13" width="14.7109375" style="951" customWidth="1"/>
    <col min="14" max="14" width="8.7109375" style="879" customWidth="1"/>
    <col min="15" max="15" width="4.140625" style="879" customWidth="1"/>
    <col min="16" max="18" width="9.140625" style="879" customWidth="1"/>
    <col min="19" max="19" width="3.42578125" style="879" customWidth="1"/>
    <col min="20" max="20" width="3.140625" style="879" customWidth="1"/>
    <col min="21" max="21" width="3.5703125" style="879" customWidth="1"/>
    <col min="22" max="137" width="9.140625" style="879" customWidth="1"/>
    <col min="138" max="138" width="8" style="879" customWidth="1"/>
    <col min="139" max="139" width="8.5703125" style="879" customWidth="1"/>
    <col min="140" max="140" width="7.85546875" style="879" customWidth="1"/>
    <col min="141" max="141" width="8.140625" style="879" customWidth="1"/>
    <col min="142" max="142" width="7.85546875" style="879" customWidth="1"/>
  </cols>
  <sheetData>
    <row r="1" spans="1:147" s="29" customFormat="1" ht="18.75" customHeight="1" x14ac:dyDescent="0.3">
      <c r="A1" s="1434" t="s">
        <v>150</v>
      </c>
      <c r="B1" s="1244"/>
      <c r="C1" s="1244"/>
      <c r="D1"/>
      <c r="E1"/>
      <c r="F1" s="49"/>
      <c r="G1" s="49"/>
      <c r="H1" s="49"/>
      <c r="I1" s="49"/>
      <c r="J1" s="78"/>
      <c r="K1" s="51"/>
      <c r="L1" s="941"/>
      <c r="M1" s="1218"/>
      <c r="N1" s="915"/>
      <c r="O1" s="915"/>
      <c r="P1" s="915"/>
      <c r="Q1" s="915"/>
      <c r="R1" s="915"/>
      <c r="S1" s="915"/>
      <c r="T1" s="915"/>
      <c r="U1" s="915"/>
      <c r="V1" s="915"/>
      <c r="W1" s="915"/>
      <c r="X1" s="915"/>
      <c r="Y1" s="915"/>
      <c r="Z1" s="915"/>
      <c r="AA1" s="915"/>
      <c r="AB1" s="915"/>
      <c r="AC1" s="915"/>
      <c r="AD1" s="915"/>
      <c r="AE1" s="915"/>
      <c r="AF1" s="915"/>
      <c r="AG1" s="915"/>
      <c r="AH1" s="915"/>
      <c r="AI1" s="915"/>
      <c r="AJ1" s="915"/>
      <c r="AK1" s="915"/>
      <c r="AL1" s="915"/>
      <c r="AM1" s="915"/>
      <c r="AN1" s="915"/>
      <c r="AO1" s="915"/>
      <c r="AP1" s="915" t="s">
        <v>318</v>
      </c>
      <c r="AQ1" s="915"/>
      <c r="AR1" s="915"/>
      <c r="AS1" s="915"/>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915"/>
      <c r="CB1" s="915"/>
      <c r="CC1" s="915"/>
      <c r="CD1" s="915"/>
      <c r="CE1" s="915"/>
      <c r="CF1" s="915"/>
      <c r="CG1" s="915"/>
      <c r="CH1" s="915"/>
      <c r="CI1" s="915"/>
      <c r="CJ1" s="915"/>
      <c r="CK1" s="915"/>
      <c r="CL1" s="915"/>
      <c r="CM1" s="915"/>
      <c r="CN1" s="915"/>
      <c r="CO1" s="915"/>
      <c r="CP1" s="915"/>
      <c r="CQ1" s="915"/>
      <c r="CR1" s="915"/>
      <c r="CS1" s="915"/>
      <c r="CT1" s="915"/>
      <c r="CU1" s="915"/>
      <c r="CV1" s="915"/>
      <c r="CW1" s="915"/>
      <c r="CX1" s="915"/>
      <c r="CY1" s="915"/>
      <c r="CZ1" s="915"/>
      <c r="DA1" s="915"/>
      <c r="DB1" s="915"/>
      <c r="DC1" s="915"/>
      <c r="DD1" s="915"/>
      <c r="DE1" s="915"/>
      <c r="DF1" s="915"/>
      <c r="DG1" s="915"/>
      <c r="DH1" s="915"/>
      <c r="DI1" s="915"/>
      <c r="DJ1" s="915"/>
      <c r="DK1" s="915"/>
      <c r="DL1" s="915"/>
      <c r="DM1" s="915"/>
      <c r="DN1" s="915"/>
      <c r="DO1" s="915"/>
      <c r="DP1" s="915"/>
      <c r="DQ1" s="915"/>
      <c r="DR1" s="915"/>
      <c r="DS1" s="915"/>
      <c r="DT1" s="915"/>
      <c r="DU1" s="915"/>
      <c r="DV1" s="915"/>
      <c r="DW1" s="915"/>
      <c r="DX1" s="915"/>
      <c r="DY1" s="915"/>
      <c r="DZ1" s="915"/>
      <c r="EA1" s="915"/>
      <c r="EB1" s="915"/>
      <c r="EC1" s="915"/>
      <c r="ED1" s="915"/>
      <c r="EE1" s="915"/>
      <c r="EF1" s="915"/>
      <c r="EG1" s="915"/>
      <c r="EH1" s="915"/>
      <c r="EI1" s="915"/>
      <c r="EJ1" s="915"/>
      <c r="EK1" s="915"/>
      <c r="EL1" s="915"/>
    </row>
    <row r="2" spans="1:147" s="29" customFormat="1" ht="12.75" customHeight="1" x14ac:dyDescent="0.2">
      <c r="A2" s="1245" t="s">
        <v>0</v>
      </c>
      <c r="B2" s="1244"/>
      <c r="C2" s="48">
        <f>ProjectName</f>
        <v>0</v>
      </c>
      <c r="D2" s="1447" t="s">
        <v>1326</v>
      </c>
      <c r="E2" s="1447"/>
      <c r="F2" s="1447"/>
      <c r="G2" s="1447"/>
      <c r="H2" s="1447"/>
      <c r="I2" s="1447"/>
      <c r="J2" s="1447"/>
      <c r="K2" s="51"/>
      <c r="L2" s="941"/>
      <c r="M2" s="1218" t="s">
        <v>323</v>
      </c>
      <c r="N2" s="915"/>
      <c r="O2" s="915"/>
      <c r="P2" s="915"/>
      <c r="Q2" s="915"/>
      <c r="R2" s="915"/>
      <c r="S2" s="915"/>
      <c r="T2" s="915"/>
      <c r="U2" s="915"/>
      <c r="V2" s="915"/>
      <c r="W2" s="915"/>
      <c r="X2" s="915"/>
      <c r="Y2" s="915"/>
      <c r="Z2" s="915"/>
      <c r="AA2" s="915"/>
      <c r="AB2" s="915"/>
      <c r="AC2" s="915"/>
      <c r="AD2" s="915"/>
      <c r="AE2" s="915"/>
      <c r="AF2" s="915"/>
      <c r="AG2" s="915"/>
      <c r="AH2" s="915"/>
      <c r="AI2" s="915"/>
      <c r="AJ2" s="915"/>
      <c r="AK2" s="915"/>
      <c r="AL2" s="915"/>
      <c r="AM2" s="915"/>
      <c r="AN2" s="915"/>
      <c r="AO2" s="915"/>
      <c r="AP2" s="915"/>
      <c r="AQ2" s="915"/>
      <c r="AR2" s="915"/>
      <c r="AS2" s="915"/>
      <c r="AT2" s="915"/>
      <c r="AU2" s="915"/>
      <c r="AV2" s="915"/>
      <c r="AW2" s="915"/>
      <c r="AX2" s="915"/>
      <c r="AY2" s="915"/>
      <c r="AZ2" s="915"/>
      <c r="BA2" s="915"/>
      <c r="BB2" s="915"/>
      <c r="BC2" s="915"/>
      <c r="BD2" s="915"/>
      <c r="BE2" s="915"/>
      <c r="BF2" s="915"/>
      <c r="BG2" s="915"/>
      <c r="BH2" s="915"/>
      <c r="BI2" s="915"/>
      <c r="BJ2" s="915"/>
      <c r="BK2" s="915"/>
      <c r="BL2" s="915"/>
      <c r="BM2" s="915"/>
      <c r="BN2" s="915"/>
      <c r="BO2" s="915"/>
      <c r="BP2" s="915"/>
      <c r="BQ2" s="915"/>
      <c r="BR2" s="915"/>
      <c r="BS2" s="915"/>
      <c r="BT2" s="915"/>
      <c r="BU2" s="915"/>
      <c r="BV2" s="915"/>
      <c r="BW2" s="915"/>
      <c r="BX2" s="915"/>
      <c r="BY2" s="915"/>
      <c r="BZ2" s="915"/>
      <c r="CA2" s="915"/>
      <c r="CB2" s="915"/>
      <c r="CC2" s="915"/>
      <c r="CD2" s="915"/>
      <c r="CE2" s="915"/>
      <c r="CF2" s="915"/>
      <c r="CG2" s="915"/>
      <c r="CH2" s="915"/>
      <c r="CI2" s="915"/>
      <c r="CJ2" s="915"/>
      <c r="CK2" s="915"/>
      <c r="CL2" s="915"/>
      <c r="CM2" s="915"/>
      <c r="CN2" s="915"/>
      <c r="CO2" s="915"/>
      <c r="CP2" s="915"/>
      <c r="CQ2" s="915"/>
      <c r="CR2" s="915"/>
      <c r="CS2" s="915"/>
      <c r="CT2" s="915"/>
      <c r="CU2" s="915"/>
      <c r="CV2" s="915"/>
      <c r="CW2" s="915"/>
      <c r="CX2" s="915"/>
      <c r="CY2" s="915"/>
      <c r="CZ2" s="915"/>
      <c r="DA2" s="915"/>
      <c r="DB2" s="915"/>
      <c r="DC2" s="915"/>
      <c r="DD2" s="915"/>
      <c r="DE2" s="915"/>
      <c r="DF2" s="915"/>
      <c r="DG2" s="915"/>
      <c r="DH2" s="915"/>
      <c r="DI2" s="915"/>
      <c r="DJ2" s="915"/>
      <c r="DK2" s="915"/>
      <c r="DL2" s="915"/>
      <c r="DM2" s="915"/>
      <c r="DN2" s="915"/>
      <c r="DO2" s="915"/>
      <c r="DP2" s="915"/>
      <c r="DQ2" s="915"/>
      <c r="DR2" s="915"/>
      <c r="DS2" s="915"/>
      <c r="DT2" s="915"/>
      <c r="DU2" s="915"/>
      <c r="DV2" s="915"/>
      <c r="DW2" s="915"/>
      <c r="DX2" s="915"/>
      <c r="DY2" s="915"/>
      <c r="DZ2" s="915"/>
      <c r="EA2" s="915"/>
      <c r="EB2" s="915"/>
      <c r="EC2" s="915"/>
      <c r="ED2" s="915"/>
      <c r="EE2" s="915"/>
      <c r="EF2" s="915"/>
      <c r="EG2" s="915"/>
      <c r="EH2" s="915"/>
      <c r="EI2" s="915"/>
      <c r="EJ2" s="915"/>
      <c r="EK2" s="915"/>
      <c r="EL2" s="915"/>
    </row>
    <row r="3" spans="1:147" s="29" customFormat="1" ht="12.75" customHeight="1" x14ac:dyDescent="0.2">
      <c r="A3" s="1246" t="s">
        <v>371</v>
      </c>
      <c r="B3" s="1244"/>
      <c r="C3" s="48">
        <f>ProjectNumber</f>
        <v>0</v>
      </c>
      <c r="D3" s="1447"/>
      <c r="E3" s="1447"/>
      <c r="F3" s="1447"/>
      <c r="G3" s="1447"/>
      <c r="H3" s="1447"/>
      <c r="I3" s="1447"/>
      <c r="J3" s="1447"/>
      <c r="K3" s="51"/>
      <c r="L3" s="941"/>
      <c r="M3" s="942"/>
      <c r="N3" s="915"/>
      <c r="O3" s="915"/>
      <c r="P3" s="915"/>
      <c r="Q3" s="915"/>
      <c r="R3" s="915"/>
      <c r="S3" s="915"/>
      <c r="T3" s="915"/>
      <c r="U3" s="915"/>
      <c r="V3" s="915"/>
      <c r="W3" s="915"/>
      <c r="X3" s="915"/>
      <c r="Y3" s="915"/>
      <c r="Z3" s="915"/>
      <c r="AA3" s="915"/>
      <c r="AB3" s="915"/>
      <c r="AC3" s="915"/>
      <c r="AD3" s="915"/>
      <c r="AE3" s="915"/>
      <c r="AF3" s="915"/>
      <c r="AG3" s="915"/>
      <c r="AH3" s="915"/>
      <c r="AI3" s="915"/>
      <c r="AJ3" s="915"/>
      <c r="AK3" s="915"/>
      <c r="AL3" s="915"/>
      <c r="AM3" s="915"/>
      <c r="AN3" s="915"/>
      <c r="AO3" s="915"/>
      <c r="AP3" s="915"/>
      <c r="AQ3" s="915"/>
      <c r="AR3" s="915"/>
      <c r="AS3" s="915"/>
      <c r="AT3" s="915"/>
      <c r="AU3" s="915"/>
      <c r="AV3" s="915"/>
      <c r="AW3" s="915"/>
      <c r="AX3" s="915"/>
      <c r="AY3" s="915"/>
      <c r="AZ3" s="915"/>
      <c r="BA3" s="915"/>
      <c r="BB3" s="915"/>
      <c r="BC3" s="915"/>
      <c r="BD3" s="915"/>
      <c r="BE3" s="915"/>
      <c r="BF3" s="915"/>
      <c r="BG3" s="915"/>
      <c r="BH3" s="915"/>
      <c r="BI3" s="915"/>
      <c r="BJ3" s="915"/>
      <c r="BK3" s="915"/>
      <c r="BL3" s="915"/>
      <c r="BM3" s="915"/>
      <c r="BN3" s="915"/>
      <c r="BO3" s="915"/>
      <c r="BP3" s="915"/>
      <c r="BQ3" s="915"/>
      <c r="BR3" s="915"/>
      <c r="BS3" s="915"/>
      <c r="BT3" s="915"/>
      <c r="BU3" s="915"/>
      <c r="BV3" s="915"/>
      <c r="BW3" s="915"/>
      <c r="BX3" s="915"/>
      <c r="BY3" s="915"/>
      <c r="BZ3" s="915"/>
      <c r="CA3" s="915"/>
      <c r="CB3" s="915"/>
      <c r="CC3" s="915"/>
      <c r="CD3" s="915"/>
      <c r="CE3" s="915"/>
      <c r="CF3" s="915"/>
      <c r="CG3" s="915"/>
      <c r="CH3" s="915"/>
      <c r="CI3" s="915"/>
      <c r="CJ3" s="915"/>
      <c r="CK3" s="915"/>
      <c r="CL3" s="915"/>
      <c r="CM3" s="915"/>
      <c r="CN3" s="915"/>
      <c r="CO3" s="915"/>
      <c r="CP3" s="915"/>
      <c r="CQ3" s="915"/>
      <c r="CR3" s="915"/>
      <c r="CS3" s="915"/>
      <c r="CT3" s="915"/>
      <c r="CU3" s="915"/>
      <c r="CV3" s="915"/>
      <c r="CW3" s="915"/>
      <c r="CX3" s="915"/>
      <c r="CY3" s="915"/>
      <c r="CZ3" s="915"/>
      <c r="DA3" s="915"/>
      <c r="DB3" s="915"/>
      <c r="DC3" s="915"/>
      <c r="DD3" s="915"/>
      <c r="DE3" s="915"/>
      <c r="DF3" s="915"/>
      <c r="DG3" s="915"/>
      <c r="DH3" s="915"/>
      <c r="DI3" s="915"/>
      <c r="DJ3" s="915"/>
      <c r="DK3" s="915"/>
      <c r="DL3" s="915"/>
      <c r="DM3" s="915"/>
      <c r="DN3" s="915"/>
      <c r="DO3" s="915"/>
      <c r="DP3" s="915"/>
      <c r="DQ3" s="915"/>
      <c r="DR3" s="915"/>
      <c r="DS3" s="915"/>
      <c r="DT3" s="915"/>
      <c r="DU3" s="915"/>
      <c r="DV3" s="915"/>
      <c r="DW3" s="915"/>
      <c r="DX3" s="915"/>
      <c r="DY3" s="915"/>
      <c r="DZ3" s="915"/>
      <c r="EA3" s="915"/>
      <c r="EB3" s="915"/>
      <c r="EC3" s="915"/>
      <c r="ED3" s="915"/>
      <c r="EE3" s="915"/>
      <c r="EF3" s="915"/>
      <c r="EG3" s="915"/>
      <c r="EH3" s="915"/>
      <c r="EI3" s="915"/>
      <c r="EJ3" s="915"/>
      <c r="EK3" s="915"/>
      <c r="EL3" s="915"/>
    </row>
    <row r="4" spans="1:147" s="29" customFormat="1" ht="12.75" customHeight="1" x14ac:dyDescent="0.2">
      <c r="A4" s="1245" t="s">
        <v>2</v>
      </c>
      <c r="B4" s="1244"/>
      <c r="C4" s="48">
        <f>PreparedBy</f>
        <v>0</v>
      </c>
      <c r="D4" s="1447"/>
      <c r="E4" s="1447"/>
      <c r="F4" s="1447"/>
      <c r="G4" s="1447"/>
      <c r="H4" s="1447"/>
      <c r="I4" s="1447"/>
      <c r="J4" s="1447"/>
      <c r="K4" s="51"/>
      <c r="L4" s="941"/>
      <c r="M4" s="942"/>
      <c r="N4" s="915"/>
      <c r="O4" s="915"/>
      <c r="P4" s="915"/>
      <c r="Q4" s="915"/>
      <c r="R4" s="915"/>
      <c r="S4" s="915"/>
      <c r="T4" s="915"/>
      <c r="U4" s="915"/>
      <c r="V4" s="915"/>
      <c r="W4" s="915"/>
      <c r="X4" s="915"/>
      <c r="Y4" s="915"/>
      <c r="Z4" s="915"/>
      <c r="AA4" s="915"/>
      <c r="AB4" s="915"/>
      <c r="AC4" s="915"/>
      <c r="AD4" s="915"/>
      <c r="AE4" s="915"/>
      <c r="AF4" s="915"/>
      <c r="AG4" s="915"/>
      <c r="AH4" s="915"/>
      <c r="AI4" s="915"/>
      <c r="AJ4" s="915"/>
      <c r="AK4" s="915"/>
      <c r="AL4" s="915"/>
      <c r="AM4" s="915"/>
      <c r="AN4" s="915"/>
      <c r="AO4" s="915"/>
      <c r="AP4" s="915"/>
      <c r="AQ4" s="915"/>
      <c r="AR4" s="915"/>
      <c r="AS4" s="915"/>
      <c r="AT4" s="915"/>
      <c r="AU4" s="915"/>
      <c r="AV4" s="915"/>
      <c r="AW4" s="915"/>
      <c r="AX4" s="915"/>
      <c r="AY4" s="915"/>
      <c r="AZ4" s="915"/>
      <c r="BA4" s="915"/>
      <c r="BB4" s="915"/>
      <c r="BC4" s="915"/>
      <c r="BD4" s="915"/>
      <c r="BE4" s="915"/>
      <c r="BF4" s="915"/>
      <c r="BG4" s="915"/>
      <c r="BH4" s="915"/>
      <c r="BI4" s="915"/>
      <c r="BJ4" s="915"/>
      <c r="BK4" s="915"/>
      <c r="BL4" s="915"/>
      <c r="BM4" s="915"/>
      <c r="BN4" s="915"/>
      <c r="BO4" s="915"/>
      <c r="BP4" s="915"/>
      <c r="BQ4" s="915"/>
      <c r="BR4" s="915"/>
      <c r="BS4" s="915"/>
      <c r="BT4" s="915"/>
      <c r="BU4" s="915"/>
      <c r="BV4" s="915"/>
      <c r="BW4" s="915"/>
      <c r="BX4" s="915"/>
      <c r="BY4" s="915"/>
      <c r="BZ4" s="915"/>
      <c r="CA4" s="915"/>
      <c r="CB4" s="915"/>
      <c r="CC4" s="915"/>
      <c r="CD4" s="915"/>
      <c r="CE4" s="915"/>
      <c r="CF4" s="915"/>
      <c r="CG4" s="915"/>
      <c r="CH4" s="915"/>
      <c r="CI4" s="915"/>
      <c r="CJ4" s="915"/>
      <c r="CK4" s="915"/>
      <c r="CL4" s="915"/>
      <c r="CM4" s="915"/>
      <c r="CN4" s="915"/>
      <c r="CO4" s="915"/>
      <c r="CP4" s="915"/>
      <c r="CQ4" s="915"/>
      <c r="CR4" s="915"/>
      <c r="CS4" s="915"/>
      <c r="CT4" s="915"/>
      <c r="CU4" s="915"/>
      <c r="CV4" s="915"/>
      <c r="CW4" s="915"/>
      <c r="CX4" s="915"/>
      <c r="CY4" s="915"/>
      <c r="CZ4" s="915"/>
      <c r="DA4" s="915"/>
      <c r="DB4" s="915"/>
      <c r="DC4" s="915"/>
      <c r="DD4" s="915"/>
      <c r="DE4" s="915"/>
      <c r="DF4" s="915"/>
      <c r="DG4" s="915"/>
      <c r="DH4" s="915"/>
      <c r="DI4" s="915"/>
      <c r="DJ4" s="915"/>
      <c r="DK4" s="915"/>
      <c r="DL4" s="915"/>
      <c r="DM4" s="915"/>
      <c r="DN4" s="915"/>
      <c r="DO4" s="915"/>
      <c r="DP4" s="915"/>
      <c r="DQ4" s="915"/>
      <c r="DR4" s="915"/>
      <c r="DS4" s="915"/>
      <c r="DT4" s="915"/>
      <c r="DU4" s="915"/>
      <c r="DV4" s="915"/>
      <c r="DW4" s="915"/>
      <c r="DX4" s="915"/>
      <c r="DY4" s="915"/>
      <c r="DZ4" s="915"/>
      <c r="EA4" s="915"/>
      <c r="EB4" s="915"/>
      <c r="EC4" s="915"/>
      <c r="ED4" s="915"/>
      <c r="EE4" s="915"/>
      <c r="EF4" s="915"/>
      <c r="EG4" s="915"/>
      <c r="EH4" s="915"/>
      <c r="EI4" s="915"/>
      <c r="EJ4" s="915"/>
      <c r="EK4" s="915"/>
      <c r="EL4" s="915"/>
    </row>
    <row r="5" spans="1:147" s="29" customFormat="1" ht="12.75" customHeight="1" x14ac:dyDescent="0.2">
      <c r="A5" s="1455" t="s">
        <v>3</v>
      </c>
      <c r="B5" s="1456"/>
      <c r="C5" s="88">
        <f ca="1">DateField</f>
        <v>45516</v>
      </c>
      <c r="D5" s="1448"/>
      <c r="E5" s="1448"/>
      <c r="F5" s="1448"/>
      <c r="G5" s="1448"/>
      <c r="H5" s="1448"/>
      <c r="I5" s="1448"/>
      <c r="J5" s="1448"/>
      <c r="K5" s="1440" t="s">
        <v>322</v>
      </c>
      <c r="L5" s="941"/>
      <c r="M5" s="942"/>
      <c r="N5" s="915"/>
      <c r="O5" s="915"/>
      <c r="P5" s="915"/>
      <c r="Q5" s="915"/>
      <c r="R5" s="915"/>
      <c r="S5" s="915"/>
      <c r="T5" s="915"/>
      <c r="U5" s="915"/>
      <c r="V5" s="915"/>
      <c r="W5" s="915"/>
      <c r="X5" s="915"/>
      <c r="Y5" s="915"/>
      <c r="Z5" s="915"/>
      <c r="AA5" s="915"/>
      <c r="AB5" s="915"/>
      <c r="AC5" s="915"/>
      <c r="AD5" s="915"/>
      <c r="AE5" s="915"/>
      <c r="AF5" s="915"/>
      <c r="AG5" s="915"/>
      <c r="AH5" s="915"/>
      <c r="AI5" s="915"/>
      <c r="AJ5" s="915"/>
      <c r="AK5" s="915"/>
      <c r="AL5" s="915"/>
      <c r="AM5" s="915"/>
      <c r="AN5" s="915"/>
      <c r="AO5" s="915"/>
      <c r="AP5" s="915"/>
      <c r="AQ5" s="915"/>
      <c r="AR5" s="915"/>
      <c r="AS5" s="915"/>
      <c r="AT5" s="915"/>
      <c r="AU5" s="915"/>
      <c r="AV5" s="915"/>
      <c r="AW5" s="915"/>
      <c r="AX5" s="915"/>
      <c r="AY5" s="915"/>
      <c r="AZ5" s="915"/>
      <c r="BA5" s="915"/>
      <c r="BB5" s="915"/>
      <c r="BC5" s="915"/>
      <c r="BD5" s="915"/>
      <c r="BE5" s="915"/>
      <c r="BF5" s="915"/>
      <c r="BG5" s="915"/>
      <c r="BH5" s="915"/>
      <c r="BI5" s="915"/>
      <c r="BJ5" s="915"/>
      <c r="BK5" s="915"/>
      <c r="BL5" s="915"/>
      <c r="BM5" s="915"/>
      <c r="BN5" s="915"/>
      <c r="BO5" s="915"/>
      <c r="BP5" s="915"/>
      <c r="BQ5" s="915"/>
      <c r="BR5" s="915"/>
      <c r="BS5" s="915"/>
      <c r="BT5" s="915"/>
      <c r="BU5" s="915"/>
      <c r="BV5" s="915"/>
      <c r="BW5" s="915"/>
      <c r="BX5" s="915"/>
      <c r="BY5" s="915"/>
      <c r="BZ5" s="915"/>
      <c r="CA5" s="915"/>
      <c r="CB5" s="915"/>
      <c r="CC5" s="915"/>
      <c r="CD5" s="915"/>
      <c r="CE5" s="915"/>
      <c r="CF5" s="915"/>
      <c r="CG5" s="915"/>
      <c r="CH5" s="915"/>
      <c r="CI5" s="915"/>
      <c r="CJ5" s="915"/>
      <c r="CK5" s="915"/>
      <c r="CL5" s="915"/>
      <c r="CM5" s="915"/>
      <c r="CN5" s="915"/>
      <c r="CO5" s="915"/>
      <c r="CP5" s="915"/>
      <c r="CQ5" s="915"/>
      <c r="CR5" s="915"/>
      <c r="CS5" s="915"/>
      <c r="CT5" s="915"/>
      <c r="CU5" s="915"/>
      <c r="CV5" s="915"/>
      <c r="CW5" s="915"/>
      <c r="CX5" s="915"/>
      <c r="CY5" s="915"/>
      <c r="CZ5" s="915"/>
      <c r="DA5" s="915"/>
      <c r="DB5" s="915"/>
      <c r="DC5" s="915"/>
      <c r="DD5" s="915"/>
      <c r="DE5" s="915"/>
      <c r="DF5" s="915"/>
      <c r="DG5" s="915"/>
      <c r="DH5" s="915"/>
      <c r="DI5" s="915"/>
      <c r="DJ5" s="915"/>
      <c r="DK5" s="915"/>
      <c r="DL5" s="915"/>
      <c r="DM5" s="915"/>
      <c r="DN5" s="915"/>
      <c r="DO5" s="915"/>
      <c r="DP5" s="915"/>
      <c r="DQ5" s="915"/>
      <c r="DR5" s="915"/>
      <c r="DS5" s="915"/>
      <c r="DT5" s="915"/>
      <c r="DU5" s="915"/>
      <c r="DV5" s="915"/>
      <c r="DW5" s="915"/>
      <c r="DX5" s="915"/>
      <c r="DY5" s="915"/>
      <c r="DZ5" s="915"/>
      <c r="EA5" s="915"/>
      <c r="EB5" s="915"/>
      <c r="EC5" s="915"/>
      <c r="ED5" s="915"/>
      <c r="EE5" s="915"/>
      <c r="EF5" s="915"/>
      <c r="EG5" s="915"/>
      <c r="EH5" s="915"/>
      <c r="EI5" s="915"/>
      <c r="EJ5" s="915"/>
      <c r="EK5" s="915"/>
      <c r="EL5" s="915"/>
      <c r="EN5" s="494"/>
    </row>
    <row r="6" spans="1:147" s="394" customFormat="1" ht="27.75" customHeight="1" x14ac:dyDescent="0.2">
      <c r="A6" s="1451" t="s">
        <v>81</v>
      </c>
      <c r="B6" s="1425" t="s">
        <v>168</v>
      </c>
      <c r="C6" s="1426"/>
      <c r="D6" s="1449" t="s">
        <v>659</v>
      </c>
      <c r="E6" s="1442" t="s">
        <v>149</v>
      </c>
      <c r="F6" s="1444" t="s">
        <v>84</v>
      </c>
      <c r="G6" s="1446" t="s">
        <v>85</v>
      </c>
      <c r="H6" s="1444" t="s">
        <v>86</v>
      </c>
      <c r="I6" s="805" t="s">
        <v>87</v>
      </c>
      <c r="J6" s="395" t="s">
        <v>190</v>
      </c>
      <c r="K6" s="1441"/>
      <c r="L6" s="943"/>
      <c r="M6" s="944"/>
      <c r="N6" s="944"/>
      <c r="O6" s="944"/>
      <c r="P6" s="944"/>
      <c r="Q6" s="944"/>
      <c r="R6" s="944"/>
      <c r="S6" s="944"/>
      <c r="T6" s="944"/>
      <c r="U6" s="944"/>
      <c r="V6" s="944">
        <f>SUM(V8:V127)</f>
        <v>0</v>
      </c>
      <c r="W6" s="944">
        <f t="shared" ref="W6:CH6" si="0">SUM(W8:W127)</f>
        <v>0</v>
      </c>
      <c r="X6" s="944">
        <f t="shared" si="0"/>
        <v>0</v>
      </c>
      <c r="Y6" s="944">
        <f t="shared" si="0"/>
        <v>0</v>
      </c>
      <c r="Z6" s="944">
        <f t="shared" si="0"/>
        <v>0</v>
      </c>
      <c r="AA6" s="944">
        <f t="shared" si="0"/>
        <v>0</v>
      </c>
      <c r="AB6" s="944">
        <f t="shared" si="0"/>
        <v>0</v>
      </c>
      <c r="AC6" s="944">
        <f t="shared" si="0"/>
        <v>0</v>
      </c>
      <c r="AD6" s="944">
        <f t="shared" si="0"/>
        <v>0</v>
      </c>
      <c r="AE6" s="944">
        <f t="shared" si="0"/>
        <v>0</v>
      </c>
      <c r="AF6" s="944">
        <f t="shared" si="0"/>
        <v>0</v>
      </c>
      <c r="AG6" s="944">
        <f t="shared" si="0"/>
        <v>0</v>
      </c>
      <c r="AH6" s="944">
        <f t="shared" si="0"/>
        <v>0</v>
      </c>
      <c r="AI6" s="944">
        <f t="shared" si="0"/>
        <v>0</v>
      </c>
      <c r="AJ6" s="944">
        <f t="shared" si="0"/>
        <v>0</v>
      </c>
      <c r="AK6" s="944">
        <f t="shared" si="0"/>
        <v>0</v>
      </c>
      <c r="AL6" s="944">
        <f t="shared" si="0"/>
        <v>0</v>
      </c>
      <c r="AM6" s="944">
        <f t="shared" si="0"/>
        <v>0</v>
      </c>
      <c r="AN6" s="944">
        <f t="shared" si="0"/>
        <v>0</v>
      </c>
      <c r="AO6" s="944">
        <f t="shared" si="0"/>
        <v>0</v>
      </c>
      <c r="AP6" s="944">
        <f t="shared" si="0"/>
        <v>21.2</v>
      </c>
      <c r="AQ6" s="944">
        <f t="shared" si="0"/>
        <v>21.2</v>
      </c>
      <c r="AR6" s="944">
        <f t="shared" si="0"/>
        <v>21.2</v>
      </c>
      <c r="AS6" s="944">
        <f t="shared" si="0"/>
        <v>21.2</v>
      </c>
      <c r="AT6" s="944">
        <f t="shared" si="0"/>
        <v>21.2</v>
      </c>
      <c r="AU6" s="944">
        <f t="shared" si="0"/>
        <v>21.2</v>
      </c>
      <c r="AV6" s="944">
        <f t="shared" si="0"/>
        <v>21.2</v>
      </c>
      <c r="AW6" s="944">
        <f t="shared" si="0"/>
        <v>21.2</v>
      </c>
      <c r="AX6" s="944">
        <f t="shared" si="0"/>
        <v>21.2</v>
      </c>
      <c r="AY6" s="944">
        <f t="shared" si="0"/>
        <v>21.2</v>
      </c>
      <c r="AZ6" s="944">
        <f t="shared" si="0"/>
        <v>21.2</v>
      </c>
      <c r="BA6" s="944">
        <f t="shared" si="0"/>
        <v>21.2</v>
      </c>
      <c r="BB6" s="944">
        <f t="shared" si="0"/>
        <v>21.2</v>
      </c>
      <c r="BC6" s="944">
        <f t="shared" si="0"/>
        <v>21.2</v>
      </c>
      <c r="BD6" s="944">
        <f t="shared" si="0"/>
        <v>21.2</v>
      </c>
      <c r="BE6" s="944">
        <f t="shared" si="0"/>
        <v>21.2</v>
      </c>
      <c r="BF6" s="944">
        <f t="shared" si="0"/>
        <v>21.2</v>
      </c>
      <c r="BG6" s="944">
        <f t="shared" si="0"/>
        <v>21.2</v>
      </c>
      <c r="BH6" s="944">
        <f t="shared" si="0"/>
        <v>21.2</v>
      </c>
      <c r="BI6" s="944">
        <f t="shared" si="0"/>
        <v>21.2</v>
      </c>
      <c r="BJ6" s="944">
        <f t="shared" si="0"/>
        <v>10.6</v>
      </c>
      <c r="BK6" s="944">
        <f t="shared" si="0"/>
        <v>10.6</v>
      </c>
      <c r="BL6" s="944">
        <f t="shared" si="0"/>
        <v>10.6</v>
      </c>
      <c r="BM6" s="944">
        <f t="shared" si="0"/>
        <v>10.6</v>
      </c>
      <c r="BN6" s="944">
        <f t="shared" si="0"/>
        <v>10.6</v>
      </c>
      <c r="BO6" s="944">
        <f t="shared" si="0"/>
        <v>10.6</v>
      </c>
      <c r="BP6" s="944">
        <f t="shared" si="0"/>
        <v>10.6</v>
      </c>
      <c r="BQ6" s="944">
        <f t="shared" si="0"/>
        <v>10.6</v>
      </c>
      <c r="BR6" s="944">
        <f t="shared" si="0"/>
        <v>10.6</v>
      </c>
      <c r="BS6" s="944">
        <f t="shared" si="0"/>
        <v>10.6</v>
      </c>
      <c r="BT6" s="944">
        <f t="shared" si="0"/>
        <v>10.6</v>
      </c>
      <c r="BU6" s="944">
        <f t="shared" si="0"/>
        <v>10.6</v>
      </c>
      <c r="BV6" s="944">
        <f t="shared" si="0"/>
        <v>10.6</v>
      </c>
      <c r="BW6" s="944">
        <f t="shared" si="0"/>
        <v>10.6</v>
      </c>
      <c r="BX6" s="944">
        <f t="shared" si="0"/>
        <v>10.6</v>
      </c>
      <c r="BY6" s="944">
        <f t="shared" si="0"/>
        <v>10.6</v>
      </c>
      <c r="BZ6" s="944">
        <f t="shared" si="0"/>
        <v>10.6</v>
      </c>
      <c r="CA6" s="944">
        <f t="shared" si="0"/>
        <v>10.6</v>
      </c>
      <c r="CB6" s="944">
        <f t="shared" si="0"/>
        <v>10.6</v>
      </c>
      <c r="CC6" s="944">
        <f t="shared" si="0"/>
        <v>10.6</v>
      </c>
      <c r="CD6" s="944">
        <f t="shared" si="0"/>
        <v>10.6</v>
      </c>
      <c r="CE6" s="944">
        <f t="shared" si="0"/>
        <v>10.6</v>
      </c>
      <c r="CF6" s="944">
        <f t="shared" si="0"/>
        <v>10.6</v>
      </c>
      <c r="CG6" s="944">
        <f t="shared" si="0"/>
        <v>10.6</v>
      </c>
      <c r="CH6" s="944">
        <f t="shared" si="0"/>
        <v>10.6</v>
      </c>
      <c r="CI6" s="944">
        <f t="shared" ref="CI6:EK6" si="1">SUM(CI8:CI127)</f>
        <v>10.6</v>
      </c>
      <c r="CJ6" s="944">
        <f t="shared" si="1"/>
        <v>10.6</v>
      </c>
      <c r="CK6" s="944">
        <f t="shared" si="1"/>
        <v>10.6</v>
      </c>
      <c r="CL6" s="944">
        <f t="shared" si="1"/>
        <v>10.6</v>
      </c>
      <c r="CM6" s="944">
        <f t="shared" si="1"/>
        <v>10.6</v>
      </c>
      <c r="CN6" s="944">
        <f t="shared" si="1"/>
        <v>10.6</v>
      </c>
      <c r="CO6" s="944">
        <f t="shared" si="1"/>
        <v>10.6</v>
      </c>
      <c r="CP6" s="944">
        <f t="shared" si="1"/>
        <v>10.6</v>
      </c>
      <c r="CQ6" s="944">
        <f t="shared" si="1"/>
        <v>10.6</v>
      </c>
      <c r="CR6" s="944">
        <f t="shared" si="1"/>
        <v>10.6</v>
      </c>
      <c r="CS6" s="944">
        <f t="shared" si="1"/>
        <v>10.6</v>
      </c>
      <c r="CT6" s="944">
        <f t="shared" si="1"/>
        <v>10.6</v>
      </c>
      <c r="CU6" s="944">
        <f t="shared" si="1"/>
        <v>10.6</v>
      </c>
      <c r="CV6" s="944">
        <f t="shared" si="1"/>
        <v>10.6</v>
      </c>
      <c r="CW6" s="944">
        <f t="shared" si="1"/>
        <v>10.6</v>
      </c>
      <c r="CX6" s="944">
        <f t="shared" si="1"/>
        <v>10</v>
      </c>
      <c r="CY6" s="944">
        <f t="shared" si="1"/>
        <v>10</v>
      </c>
      <c r="CZ6" s="944">
        <f t="shared" si="1"/>
        <v>10</v>
      </c>
      <c r="DA6" s="944">
        <f t="shared" si="1"/>
        <v>10</v>
      </c>
      <c r="DB6" s="944">
        <f t="shared" si="1"/>
        <v>10</v>
      </c>
      <c r="DC6" s="944">
        <f t="shared" si="1"/>
        <v>10</v>
      </c>
      <c r="DD6" s="944">
        <f t="shared" si="1"/>
        <v>10</v>
      </c>
      <c r="DE6" s="944">
        <f t="shared" si="1"/>
        <v>10</v>
      </c>
      <c r="DF6" s="944">
        <f t="shared" si="1"/>
        <v>10</v>
      </c>
      <c r="DG6" s="944">
        <f t="shared" si="1"/>
        <v>10</v>
      </c>
      <c r="DH6" s="944">
        <f t="shared" si="1"/>
        <v>10</v>
      </c>
      <c r="DI6" s="944">
        <f t="shared" si="1"/>
        <v>10</v>
      </c>
      <c r="DJ6" s="944">
        <f t="shared" si="1"/>
        <v>10</v>
      </c>
      <c r="DK6" s="944">
        <f t="shared" si="1"/>
        <v>10</v>
      </c>
      <c r="DL6" s="944">
        <f t="shared" si="1"/>
        <v>10</v>
      </c>
      <c r="DM6" s="944">
        <f t="shared" si="1"/>
        <v>10</v>
      </c>
      <c r="DN6" s="944">
        <f t="shared" si="1"/>
        <v>10</v>
      </c>
      <c r="DO6" s="944">
        <f t="shared" si="1"/>
        <v>10</v>
      </c>
      <c r="DP6" s="944">
        <f t="shared" si="1"/>
        <v>10</v>
      </c>
      <c r="DQ6" s="944">
        <f t="shared" si="1"/>
        <v>10</v>
      </c>
      <c r="DR6" s="944">
        <f t="shared" si="1"/>
        <v>10</v>
      </c>
      <c r="DS6" s="944">
        <f t="shared" si="1"/>
        <v>10</v>
      </c>
      <c r="DT6" s="944">
        <f t="shared" si="1"/>
        <v>10</v>
      </c>
      <c r="DU6" s="944">
        <f t="shared" si="1"/>
        <v>10</v>
      </c>
      <c r="DV6" s="944">
        <f t="shared" si="1"/>
        <v>10</v>
      </c>
      <c r="DW6" s="944">
        <f t="shared" si="1"/>
        <v>10</v>
      </c>
      <c r="DX6" s="944">
        <f t="shared" si="1"/>
        <v>10</v>
      </c>
      <c r="DY6" s="944">
        <f t="shared" si="1"/>
        <v>10</v>
      </c>
      <c r="DZ6" s="944">
        <f t="shared" si="1"/>
        <v>10</v>
      </c>
      <c r="EA6" s="944">
        <f t="shared" si="1"/>
        <v>10</v>
      </c>
      <c r="EB6" s="944">
        <f t="shared" si="1"/>
        <v>10</v>
      </c>
      <c r="EC6" s="944">
        <f t="shared" si="1"/>
        <v>10</v>
      </c>
      <c r="ED6" s="944">
        <f t="shared" si="1"/>
        <v>10</v>
      </c>
      <c r="EE6" s="944">
        <f t="shared" si="1"/>
        <v>10</v>
      </c>
      <c r="EF6" s="944">
        <f t="shared" si="1"/>
        <v>10</v>
      </c>
      <c r="EG6" s="944">
        <f t="shared" si="1"/>
        <v>10</v>
      </c>
      <c r="EH6" s="944">
        <f t="shared" si="1"/>
        <v>10</v>
      </c>
      <c r="EI6" s="944">
        <f t="shared" si="1"/>
        <v>10</v>
      </c>
      <c r="EJ6" s="944">
        <f t="shared" si="1"/>
        <v>10</v>
      </c>
      <c r="EK6" s="944">
        <f t="shared" si="1"/>
        <v>10</v>
      </c>
      <c r="EL6" s="944"/>
    </row>
    <row r="7" spans="1:147" s="29" customFormat="1" ht="33" customHeight="1" thickBot="1" x14ac:dyDescent="0.25">
      <c r="A7" s="1452"/>
      <c r="B7" s="1427"/>
      <c r="C7" s="1428"/>
      <c r="D7" s="1450"/>
      <c r="E7" s="1443"/>
      <c r="F7" s="1445"/>
      <c r="G7" s="1445"/>
      <c r="H7" s="1445"/>
      <c r="I7" s="102">
        <v>0.06</v>
      </c>
      <c r="J7" s="99" t="s">
        <v>40</v>
      </c>
      <c r="K7" s="1441"/>
      <c r="L7" s="945" t="s">
        <v>130</v>
      </c>
      <c r="M7" s="946" t="s">
        <v>1270</v>
      </c>
      <c r="N7" s="946" t="s">
        <v>1271</v>
      </c>
      <c r="O7" s="915"/>
      <c r="P7" s="947" t="s">
        <v>163</v>
      </c>
      <c r="Q7" s="915"/>
      <c r="R7" s="948" t="s">
        <v>166</v>
      </c>
      <c r="S7" s="915"/>
      <c r="T7" s="915"/>
      <c r="U7" s="915"/>
      <c r="V7" s="939" t="s">
        <v>1250</v>
      </c>
      <c r="W7" s="939" t="s">
        <v>1251</v>
      </c>
      <c r="X7" s="939" t="s">
        <v>1252</v>
      </c>
      <c r="Y7" s="939" t="s">
        <v>1253</v>
      </c>
      <c r="Z7" s="939" t="s">
        <v>1254</v>
      </c>
      <c r="AA7" s="939" t="s">
        <v>1255</v>
      </c>
      <c r="AB7" s="939" t="s">
        <v>1256</v>
      </c>
      <c r="AC7" s="939" t="s">
        <v>1257</v>
      </c>
      <c r="AD7" s="939" t="s">
        <v>1258</v>
      </c>
      <c r="AE7" s="939" t="s">
        <v>1259</v>
      </c>
      <c r="AF7" s="939" t="s">
        <v>2058</v>
      </c>
      <c r="AG7" s="939" t="s">
        <v>2059</v>
      </c>
      <c r="AH7" s="939" t="s">
        <v>2060</v>
      </c>
      <c r="AI7" s="939" t="s">
        <v>2061</v>
      </c>
      <c r="AJ7" s="939" t="s">
        <v>2062</v>
      </c>
      <c r="AK7" s="939" t="s">
        <v>2063</v>
      </c>
      <c r="AL7" s="939" t="s">
        <v>2064</v>
      </c>
      <c r="AM7" s="939" t="s">
        <v>2065</v>
      </c>
      <c r="AN7" s="939" t="s">
        <v>2066</v>
      </c>
      <c r="AO7" s="939" t="s">
        <v>2067</v>
      </c>
      <c r="AP7" s="939" t="s">
        <v>1260</v>
      </c>
      <c r="AQ7" s="939" t="s">
        <v>1261</v>
      </c>
      <c r="AR7" s="939" t="s">
        <v>1262</v>
      </c>
      <c r="AS7" s="939" t="s">
        <v>1263</v>
      </c>
      <c r="AT7" s="939" t="s">
        <v>1264</v>
      </c>
      <c r="AU7" s="939" t="s">
        <v>1265</v>
      </c>
      <c r="AV7" s="939" t="s">
        <v>1266</v>
      </c>
      <c r="AW7" s="939" t="s">
        <v>1267</v>
      </c>
      <c r="AX7" s="939" t="s">
        <v>1268</v>
      </c>
      <c r="AY7" s="939" t="s">
        <v>1269</v>
      </c>
      <c r="AZ7" s="939" t="s">
        <v>2068</v>
      </c>
      <c r="BA7" s="939" t="s">
        <v>2069</v>
      </c>
      <c r="BB7" s="939" t="s">
        <v>2070</v>
      </c>
      <c r="BC7" s="939" t="s">
        <v>2071</v>
      </c>
      <c r="BD7" s="939" t="s">
        <v>2072</v>
      </c>
      <c r="BE7" s="939" t="s">
        <v>2073</v>
      </c>
      <c r="BF7" s="939" t="s">
        <v>2074</v>
      </c>
      <c r="BG7" s="939" t="s">
        <v>2075</v>
      </c>
      <c r="BH7" s="939" t="s">
        <v>2076</v>
      </c>
      <c r="BI7" s="939" t="s">
        <v>2077</v>
      </c>
      <c r="BJ7" s="939" t="s">
        <v>151</v>
      </c>
      <c r="BK7" s="939" t="s">
        <v>152</v>
      </c>
      <c r="BL7" s="939" t="s">
        <v>153</v>
      </c>
      <c r="BM7" s="939" t="s">
        <v>154</v>
      </c>
      <c r="BN7" s="939" t="s">
        <v>155</v>
      </c>
      <c r="BO7" s="939" t="s">
        <v>156</v>
      </c>
      <c r="BP7" s="939" t="s">
        <v>537</v>
      </c>
      <c r="BQ7" s="939" t="s">
        <v>538</v>
      </c>
      <c r="BR7" s="939" t="s">
        <v>539</v>
      </c>
      <c r="BS7" s="939" t="s">
        <v>540</v>
      </c>
      <c r="BT7" s="939" t="s">
        <v>2078</v>
      </c>
      <c r="BU7" s="939" t="s">
        <v>2079</v>
      </c>
      <c r="BV7" s="939" t="s">
        <v>2080</v>
      </c>
      <c r="BW7" s="939" t="s">
        <v>2081</v>
      </c>
      <c r="BX7" s="939" t="s">
        <v>2082</v>
      </c>
      <c r="BY7" s="939" t="s">
        <v>2083</v>
      </c>
      <c r="BZ7" s="939" t="s">
        <v>2084</v>
      </c>
      <c r="CA7" s="939" t="s">
        <v>2085</v>
      </c>
      <c r="CB7" s="939" t="s">
        <v>2086</v>
      </c>
      <c r="CC7" s="939" t="s">
        <v>2087</v>
      </c>
      <c r="CD7" s="939" t="s">
        <v>157</v>
      </c>
      <c r="CE7" s="939" t="s">
        <v>158</v>
      </c>
      <c r="CF7" s="939" t="s">
        <v>159</v>
      </c>
      <c r="CG7" s="939" t="s">
        <v>160</v>
      </c>
      <c r="CH7" s="939" t="s">
        <v>161</v>
      </c>
      <c r="CI7" s="939" t="s">
        <v>162</v>
      </c>
      <c r="CJ7" s="939" t="s">
        <v>541</v>
      </c>
      <c r="CK7" s="939" t="s">
        <v>542</v>
      </c>
      <c r="CL7" s="939" t="s">
        <v>543</v>
      </c>
      <c r="CM7" s="939" t="s">
        <v>544</v>
      </c>
      <c r="CN7" s="939" t="s">
        <v>2088</v>
      </c>
      <c r="CO7" s="939" t="s">
        <v>2089</v>
      </c>
      <c r="CP7" s="939" t="s">
        <v>2090</v>
      </c>
      <c r="CQ7" s="939" t="s">
        <v>2091</v>
      </c>
      <c r="CR7" s="939" t="s">
        <v>2092</v>
      </c>
      <c r="CS7" s="939" t="s">
        <v>2093</v>
      </c>
      <c r="CT7" s="939" t="s">
        <v>2094</v>
      </c>
      <c r="CU7" s="939" t="s">
        <v>2095</v>
      </c>
      <c r="CV7" s="939" t="s">
        <v>2096</v>
      </c>
      <c r="CW7" s="939" t="s">
        <v>2097</v>
      </c>
      <c r="CX7" s="939" t="s">
        <v>305</v>
      </c>
      <c r="CY7" s="939" t="s">
        <v>306</v>
      </c>
      <c r="CZ7" s="939" t="s">
        <v>307</v>
      </c>
      <c r="DA7" s="939" t="s">
        <v>308</v>
      </c>
      <c r="DB7" s="939" t="s">
        <v>309</v>
      </c>
      <c r="DC7" s="939" t="s">
        <v>310</v>
      </c>
      <c r="DD7" s="939" t="s">
        <v>545</v>
      </c>
      <c r="DE7" s="939" t="s">
        <v>546</v>
      </c>
      <c r="DF7" s="939" t="s">
        <v>547</v>
      </c>
      <c r="DG7" s="939" t="s">
        <v>548</v>
      </c>
      <c r="DH7" s="939" t="s">
        <v>2098</v>
      </c>
      <c r="DI7" s="939" t="s">
        <v>2099</v>
      </c>
      <c r="DJ7" s="939" t="s">
        <v>2100</v>
      </c>
      <c r="DK7" s="939" t="s">
        <v>2101</v>
      </c>
      <c r="DL7" s="939" t="s">
        <v>2102</v>
      </c>
      <c r="DM7" s="939" t="s">
        <v>2103</v>
      </c>
      <c r="DN7" s="939" t="s">
        <v>2104</v>
      </c>
      <c r="DO7" s="939" t="s">
        <v>2105</v>
      </c>
      <c r="DP7" s="939" t="s">
        <v>2106</v>
      </c>
      <c r="DQ7" s="939" t="s">
        <v>2107</v>
      </c>
      <c r="DR7" s="939" t="s">
        <v>311</v>
      </c>
      <c r="DS7" s="939" t="s">
        <v>312</v>
      </c>
      <c r="DT7" s="939" t="s">
        <v>313</v>
      </c>
      <c r="DU7" s="939" t="s">
        <v>314</v>
      </c>
      <c r="DV7" s="939" t="s">
        <v>315</v>
      </c>
      <c r="DW7" s="939" t="s">
        <v>316</v>
      </c>
      <c r="DX7" s="939" t="s">
        <v>549</v>
      </c>
      <c r="DY7" s="939" t="s">
        <v>550</v>
      </c>
      <c r="DZ7" s="939" t="s">
        <v>551</v>
      </c>
      <c r="EA7" s="939" t="s">
        <v>552</v>
      </c>
      <c r="EB7" s="939" t="s">
        <v>2108</v>
      </c>
      <c r="EC7" s="939" t="s">
        <v>2109</v>
      </c>
      <c r="ED7" s="939" t="s">
        <v>2110</v>
      </c>
      <c r="EE7" s="939" t="s">
        <v>2111</v>
      </c>
      <c r="EF7" s="939" t="s">
        <v>2112</v>
      </c>
      <c r="EG7" s="939" t="s">
        <v>2113</v>
      </c>
      <c r="EH7" s="939" t="s">
        <v>2114</v>
      </c>
      <c r="EI7" s="939" t="s">
        <v>2115</v>
      </c>
      <c r="EJ7" s="939" t="s">
        <v>2116</v>
      </c>
      <c r="EK7" s="939" t="s">
        <v>2117</v>
      </c>
      <c r="EL7" s="939"/>
    </row>
    <row r="8" spans="1:147" s="29" customFormat="1" ht="14.1" customHeight="1" x14ac:dyDescent="0.2">
      <c r="A8" s="496">
        <v>1</v>
      </c>
      <c r="B8" s="1438"/>
      <c r="C8" s="1439"/>
      <c r="D8" s="264">
        <v>1</v>
      </c>
      <c r="E8" s="264" t="s">
        <v>1245</v>
      </c>
      <c r="F8" s="265" t="s">
        <v>2544</v>
      </c>
      <c r="G8" s="266">
        <v>1</v>
      </c>
      <c r="H8" s="267">
        <v>10</v>
      </c>
      <c r="I8" s="800">
        <f t="shared" ref="I8:I17" si="2">IF(OR(LEFT(E8,1)="I",LEFT(E8,1)="U"),0,IF(ISTEXT(K8),0,StateTaxLab*G8*H8))</f>
        <v>0.6</v>
      </c>
      <c r="J8" s="269">
        <f>(G8*H8)+I8</f>
        <v>10.6</v>
      </c>
      <c r="K8" s="498"/>
      <c r="L8" s="941" t="str">
        <f>TabName1 &amp; " - UNITS"</f>
        <v>Phase 1 - UNITS</v>
      </c>
      <c r="M8" s="942">
        <f>V6</f>
        <v>0</v>
      </c>
      <c r="N8" s="949" t="e">
        <f>+SUMIF($D$8:$D$110,"1",#REF!)</f>
        <v>#REF!</v>
      </c>
      <c r="O8" s="915"/>
      <c r="P8" s="915">
        <f>INDEX(ValidateTable,1)</f>
        <v>1</v>
      </c>
      <c r="Q8" s="915"/>
      <c r="R8" s="941"/>
      <c r="S8" s="915"/>
      <c r="T8" s="915"/>
      <c r="U8" s="915"/>
      <c r="V8" s="915">
        <f t="shared" ref="V8:V71" si="3">IF(AND($D8=$P$8,$E8=$R$8),$J8,0)</f>
        <v>0</v>
      </c>
      <c r="W8" s="915">
        <f t="shared" ref="W8:W71" si="4">IF(AND($D8=$P$9,$E8=$R$8),$J8,0)</f>
        <v>0</v>
      </c>
      <c r="X8" s="915">
        <f t="shared" ref="X8:X71" si="5">IF(AND($D8=$P$10,$E8=$R$8),$J8,0)</f>
        <v>0</v>
      </c>
      <c r="Y8" s="915">
        <f t="shared" ref="Y8:Y71" si="6">IF(AND($D8=$P$11,$E8=$R$8),$J8,0)</f>
        <v>0</v>
      </c>
      <c r="Z8" s="915">
        <f t="shared" ref="Z8:Z71" si="7">IF(AND($D8=$P$12,$E8=$R$8),$J8,0)</f>
        <v>0</v>
      </c>
      <c r="AA8" s="915">
        <f t="shared" ref="AA8:AA71" si="8">IF(AND($D8=$P$13,$E8=$R$8),$J8,0)</f>
        <v>0</v>
      </c>
      <c r="AB8" s="915">
        <f t="shared" ref="AB8:AB71" si="9">IF(AND($D8=$P$14,$E8=$R$8),$J8,0)</f>
        <v>0</v>
      </c>
      <c r="AC8" s="915">
        <f t="shared" ref="AC8:AC71" si="10">IF(AND($D8=$P$15,$E8=$R$8),$J8,0)</f>
        <v>0</v>
      </c>
      <c r="AD8" s="915">
        <f t="shared" ref="AD8:AD71" si="11">IF(AND($D8=$P$16,$E8=$R$8),$J8,0)</f>
        <v>0</v>
      </c>
      <c r="AE8" s="915">
        <f t="shared" ref="AE8:AE71" si="12">IF(AND($D8=$P$17,$E8=$R$8),$J8,0)</f>
        <v>0</v>
      </c>
      <c r="AF8" s="915">
        <f>IF(AND($D8=$P$18,$E8=$R$8),$J8,0)</f>
        <v>0</v>
      </c>
      <c r="AG8" s="915">
        <f>IF(AND($D8=$P$19,$E8=$R$8),$J8,0)</f>
        <v>0</v>
      </c>
      <c r="AH8" s="915">
        <f>IF(AND($D8=$P$20,$E8=$R$8),$J8,0)</f>
        <v>0</v>
      </c>
      <c r="AI8" s="915">
        <f>IF(AND($D8=$P$21,$E8=$R$8),$J8,0)</f>
        <v>0</v>
      </c>
      <c r="AJ8" s="915">
        <f>IF(AND($D8=$P$22,$E8=$R$8),$J8,0)</f>
        <v>0</v>
      </c>
      <c r="AK8" s="915">
        <f>IF(AND($D8=$P$23,$E8=$R$8),$J8,0)</f>
        <v>0</v>
      </c>
      <c r="AL8" s="915">
        <f>IF(AND($D8=$P$24,$E8=$R$8),$J8,0)</f>
        <v>0</v>
      </c>
      <c r="AM8" s="915">
        <f>IF(AND($D8=$P$25,$E8=$R$8),$J8,0)</f>
        <v>0</v>
      </c>
      <c r="AN8" s="915">
        <f>IF(AND($D8=$P$26,$E8=$R$8),$J8,0)</f>
        <v>0</v>
      </c>
      <c r="AO8" s="915">
        <f>IF(AND($D8=$P$27,$E8=$R$8),$J8,0)</f>
        <v>0</v>
      </c>
      <c r="AP8" s="915">
        <f t="shared" ref="AP8:AP71" si="13">IF(AND($D8=$P$8,$E8=$R$9),$J8,0)</f>
        <v>10.6</v>
      </c>
      <c r="AQ8" s="915">
        <f t="shared" ref="AQ8:AQ71" si="14">IF(AND($D8=$P$9,$E8=$R$9),$J8,0)</f>
        <v>0</v>
      </c>
      <c r="AR8" s="915">
        <f t="shared" ref="AR8:AR71" si="15">IF(AND($D8=$P$10,$E8=$R$9),$J8,0)</f>
        <v>0</v>
      </c>
      <c r="AS8" s="915">
        <f t="shared" ref="AS8:AS71" si="16">IF(AND($D8=$P$11,$E8=$R$9),$J8,0)</f>
        <v>0</v>
      </c>
      <c r="AT8" s="915">
        <f t="shared" ref="AT8:AT71" si="17">IF(AND($D8=$P$12,$E8=$R$9),$J8,0)</f>
        <v>0</v>
      </c>
      <c r="AU8" s="915">
        <f t="shared" ref="AU8:AU71" si="18">IF(AND($D8=$P$13,$E8=$R$9),$J8,0)</f>
        <v>0</v>
      </c>
      <c r="AV8" s="915">
        <f t="shared" ref="AV8:AV71" si="19">IF(AND($D8=$P$14,$E8=$R$9),$J8,0)</f>
        <v>0</v>
      </c>
      <c r="AW8" s="915">
        <f t="shared" ref="AW8:AW71" si="20">IF(AND($D8=$P$15,$E8=$R$9),$J8,0)</f>
        <v>0</v>
      </c>
      <c r="AX8" s="915">
        <f t="shared" ref="AX8:AX71" si="21">IF(AND($D8=$P$16,$E8=$R$9),$J8,0)</f>
        <v>0</v>
      </c>
      <c r="AY8" s="915">
        <f>IF(AND($D8=$P$17,$E8=$R$9),$J8,0)</f>
        <v>0</v>
      </c>
      <c r="AZ8" s="915">
        <f>IF(AND($D8=$P$18,$E8=$R$9),$J8,0)</f>
        <v>0</v>
      </c>
      <c r="BA8" s="915">
        <f>IF(AND($D8=$P$19,$E8=$R$9),$J8,0)</f>
        <v>0</v>
      </c>
      <c r="BB8" s="915">
        <f>IF(AND($D8=$P$20,$E8=$R$9),$J8,0)</f>
        <v>0</v>
      </c>
      <c r="BC8" s="915">
        <f>IF(AND($D8=$P$21,$E8=$R$9),$J8,0)</f>
        <v>0</v>
      </c>
      <c r="BD8" s="915">
        <f>IF(AND($D8=$P$22,$E8=$R$9),$J8,0)</f>
        <v>0</v>
      </c>
      <c r="BE8" s="915">
        <f>IF(AND($D8=$P$23,$E8=$R$9),$J8,0)</f>
        <v>0</v>
      </c>
      <c r="BF8" s="915">
        <f>IF(AND($D8=$P$24,$E8=$R$9),$J8,0)</f>
        <v>0</v>
      </c>
      <c r="BG8" s="915">
        <f>IF(AND($D8=$P$25,$E8=$R$9),$J8,0)</f>
        <v>0</v>
      </c>
      <c r="BH8" s="915">
        <f>IF(AND($D8=$P$26,$E8=$R$9),$J8,0)</f>
        <v>0</v>
      </c>
      <c r="BI8" s="915">
        <f>IF(AND($D8=$P$27,$E8=$R$9),$J8,0)</f>
        <v>0</v>
      </c>
      <c r="BJ8" s="915">
        <f t="shared" ref="BJ8:BJ71" si="22">IF(AND($D8=$P$8,$E8=$R$10),$J8,0)</f>
        <v>0</v>
      </c>
      <c r="BK8" s="915">
        <f t="shared" ref="BK8:BK71" si="23">IF(AND($D8=$P$9,$E8=$R$10),$J8,0)</f>
        <v>0</v>
      </c>
      <c r="BL8" s="915">
        <f t="shared" ref="BL8:BL71" si="24">IF(AND($D8=$P$10,$E8=$R$10),$J8,0)</f>
        <v>0</v>
      </c>
      <c r="BM8" s="915">
        <f t="shared" ref="BM8:BM71" si="25">IF(AND($D8=$P$11,$E8=$R$10),$J8,0)</f>
        <v>0</v>
      </c>
      <c r="BN8" s="915">
        <f t="shared" ref="BN8:BN71" si="26">IF(AND($D8=$P$12,$E8=$R$10),$J8,0)</f>
        <v>0</v>
      </c>
      <c r="BO8" s="915">
        <f t="shared" ref="BO8:BO71" si="27">IF(AND($D8=$P$13,$E8=$R$10),$J8,0)</f>
        <v>0</v>
      </c>
      <c r="BP8" s="915">
        <f t="shared" ref="BP8:BP71" si="28">IF(AND($D8=$P$14,$E8=$R$10),$J8,0)</f>
        <v>0</v>
      </c>
      <c r="BQ8" s="915">
        <f t="shared" ref="BQ8:BQ71" si="29">IF(AND($D8=$P$15,$E8=$R$10),$J8,0)</f>
        <v>0</v>
      </c>
      <c r="BR8" s="915">
        <f t="shared" ref="BR8:BR71" si="30">IF(AND($D8=$P$16,$E8=$R$10),$J8,0)</f>
        <v>0</v>
      </c>
      <c r="BS8" s="915">
        <f t="shared" ref="BS8:BS71" si="31">IF(AND($D8=$P$17,$E8=$R$10),$J8,0)</f>
        <v>0</v>
      </c>
      <c r="BT8" s="915">
        <f>IF(AND($D8=$P$19,$E8=$R$10),$J8,0)</f>
        <v>0</v>
      </c>
      <c r="BU8" s="915">
        <f>IF(AND($D8=$P$19,$E8=$R$10),$J8,0)</f>
        <v>0</v>
      </c>
      <c r="BV8" s="915">
        <f>IF(AND($D8=$P$20,$E8=$R$10),$J8,0)</f>
        <v>0</v>
      </c>
      <c r="BW8" s="915">
        <f>IF(AND($D8=$P$21,$E8=$R$10),$J8,0)</f>
        <v>0</v>
      </c>
      <c r="BX8" s="915">
        <f>IF(AND($D8=$P$22,$E8=$R$10),$J8,0)</f>
        <v>0</v>
      </c>
      <c r="BY8" s="915">
        <f>IF(AND($D8=$P$23,$E8=$R$10),$J8,0)</f>
        <v>0</v>
      </c>
      <c r="BZ8" s="915">
        <f>IF(AND($D8=$P$24,$E8=$R$10),$J8,0)</f>
        <v>0</v>
      </c>
      <c r="CA8" s="915">
        <f>IF(AND($D8=$P$25,$E8=$R$10),$J8,0)</f>
        <v>0</v>
      </c>
      <c r="CB8" s="915">
        <f>IF(AND($D8=$P$26,$E8=$R$10),$J8,0)</f>
        <v>0</v>
      </c>
      <c r="CC8" s="915">
        <f>IF(AND($D8=$P$27,$E8=$R$10),$J8,0)</f>
        <v>0</v>
      </c>
      <c r="CD8" s="915">
        <f t="shared" ref="CD8:CD71" si="32">IF(AND($D8=$P$8,$E8=$R$11),$J8,0)</f>
        <v>0</v>
      </c>
      <c r="CE8" s="915">
        <f t="shared" ref="CE8:CE71" si="33">IF(AND($D8=$P$9,$E8=$R$11),$J8,0)</f>
        <v>0</v>
      </c>
      <c r="CF8" s="915">
        <f t="shared" ref="CF8:CF71" si="34">IF(AND($D8=$P$10,$E8=$R$11),$J8,0)</f>
        <v>0</v>
      </c>
      <c r="CG8" s="915">
        <f t="shared" ref="CG8:CG71" si="35">IF(AND($D8=$P$11,$E8=$R$11),$J8,0)</f>
        <v>0</v>
      </c>
      <c r="CH8" s="915">
        <f t="shared" ref="CH8:CH71" si="36">IF(AND($D8=$P$12,$E8=$R$11),$J8,0)</f>
        <v>0</v>
      </c>
      <c r="CI8" s="915">
        <f t="shared" ref="CI8:CI71" si="37">IF(AND($D8=$P$13,$E8=$R$11),$J8,0)</f>
        <v>0</v>
      </c>
      <c r="CJ8" s="915">
        <f t="shared" ref="CJ8:CJ71" si="38">IF(AND($D8=$P$14,$E8=$R$11),$J8,0)</f>
        <v>0</v>
      </c>
      <c r="CK8" s="915">
        <f t="shared" ref="CK8:CK71" si="39">IF(AND($D8=$P$15,$E8=$R$11),$J8,0)</f>
        <v>0</v>
      </c>
      <c r="CL8" s="915">
        <f t="shared" ref="CL8:CL71" si="40">IF(AND($D8=$P$16,$E8=$R$11),$J8,0)</f>
        <v>0</v>
      </c>
      <c r="CM8" s="915">
        <f t="shared" ref="CM8:CM71" si="41">IF(AND($D8=$P$17,$E8=$R$11),$J8,0)</f>
        <v>0</v>
      </c>
      <c r="CN8" s="915">
        <f>IF(AND($D8=$P$18,$E8=$R$11),$J8,0)</f>
        <v>0</v>
      </c>
      <c r="CO8" s="915">
        <f>IF(AND($D8=$P$19,$E8=$R$11),$J8,0)</f>
        <v>0</v>
      </c>
      <c r="CP8" s="915">
        <f>IF(AND($D8=$P$20,$E8=$R$11),$J8,0)</f>
        <v>0</v>
      </c>
      <c r="CQ8" s="915">
        <f>IF(AND($D8=$P$21,$E8=$R$11),$J8,0)</f>
        <v>0</v>
      </c>
      <c r="CR8" s="915">
        <f>IF(AND($D8=$P$22,$E8=$R$11),$J8,0)</f>
        <v>0</v>
      </c>
      <c r="CS8" s="915">
        <f>IF(AND($D8=$P$23,$E8=$R$11),$J8,0)</f>
        <v>0</v>
      </c>
      <c r="CT8" s="915">
        <f>IF(AND($D8=$P$24,$E8=$R$11),$J8,0)</f>
        <v>0</v>
      </c>
      <c r="CU8" s="915">
        <f>IF(AND($D8=$P$25,$E8=$R$11),$J8,0)</f>
        <v>0</v>
      </c>
      <c r="CV8" s="915">
        <f>IF(AND($D8=$P$26,$E8=$R$11),$J8,0)</f>
        <v>0</v>
      </c>
      <c r="CW8" s="915">
        <f>IF(AND($D8=$P$27,$E8=$R$11),$J8,0)</f>
        <v>0</v>
      </c>
      <c r="CX8" s="915">
        <f t="shared" ref="CX8:CX71" si="42">IF(AND($D8=$P$8,$E8=$R$12),$J8,0)</f>
        <v>0</v>
      </c>
      <c r="CY8" s="915">
        <f t="shared" ref="CY8:CY71" si="43">IF(AND($D8=$P$9,$E8=$R$12),$J8,0)</f>
        <v>0</v>
      </c>
      <c r="CZ8" s="915">
        <f t="shared" ref="CZ8:CZ71" si="44">IF(AND($D8=$P$10,$E8=$R$12),$J8,0)</f>
        <v>0</v>
      </c>
      <c r="DA8" s="915">
        <f t="shared" ref="DA8:DA71" si="45">IF(AND($D8=$P$11,$E8=$R$12),$J8,0)</f>
        <v>0</v>
      </c>
      <c r="DB8" s="915">
        <f t="shared" ref="DB8:DB71" si="46">IF(AND($D8=$P$12,$E8=$R$12),$J8,0)</f>
        <v>0</v>
      </c>
      <c r="DC8" s="915">
        <f t="shared" ref="DC8:DC71" si="47">IF(AND($D8=$P$13,$E8=$R$12),$J8,0)</f>
        <v>0</v>
      </c>
      <c r="DD8" s="915">
        <f t="shared" ref="DD8:DD71" si="48">IF(AND($D8=$P$14,$E8=$R$12),$J8,0)</f>
        <v>0</v>
      </c>
      <c r="DE8" s="915">
        <f t="shared" ref="DE8:DE71" si="49">IF(AND($D8=$P$15,$E8=$R$12),$J8,0)</f>
        <v>0</v>
      </c>
      <c r="DF8" s="915">
        <f t="shared" ref="DF8:DF71" si="50">IF(AND($D8=$P$16,$E8=$R$12),$J8,0)</f>
        <v>0</v>
      </c>
      <c r="DG8" s="915">
        <f t="shared" ref="DG8:DG71" si="51">IF(AND($D8=$P$17,$E8=$R$12),$J8,0)</f>
        <v>0</v>
      </c>
      <c r="DH8" s="915">
        <f>IF(AND($D8=$P$18,$E8=$R$12),$J8,0)</f>
        <v>0</v>
      </c>
      <c r="DI8" s="915">
        <f>IF(AND($D8=$P$19,$E8=$R$12),$J8,0)</f>
        <v>0</v>
      </c>
      <c r="DJ8" s="915">
        <f>IF(AND($D8=$P$20,$E8=$R$12),$J8,0)</f>
        <v>0</v>
      </c>
      <c r="DK8" s="915">
        <f>IF(AND($D8=$P$21,$E8=$R$12),$J8,0)</f>
        <v>0</v>
      </c>
      <c r="DL8" s="915">
        <f>IF(AND($D8=$P$22,$E8=$R$12),$J8,0)</f>
        <v>0</v>
      </c>
      <c r="DM8" s="915">
        <f>IF(AND($D8=$P$23,$E8=$R$12),$J8,0)</f>
        <v>0</v>
      </c>
      <c r="DN8" s="915">
        <f>IF(AND($D8=$P$24,$E8=$R$12),$J8,0)</f>
        <v>0</v>
      </c>
      <c r="DO8" s="915">
        <f>IF(AND($D8=$P$25,$E8=$R$12),$J8,0)</f>
        <v>0</v>
      </c>
      <c r="DP8" s="915">
        <f>IF(AND($D8=$P$26,$E8=$R$12),$J8,0)</f>
        <v>0</v>
      </c>
      <c r="DQ8" s="915">
        <f>IF(AND($D8=$P$27,$E8=$R$12),$J8,0)</f>
        <v>0</v>
      </c>
      <c r="DR8" s="915">
        <f t="shared" ref="DR8:DR71" si="52">IF(AND($D8=$P$8,$E8=$R$13),$J8,0)</f>
        <v>0</v>
      </c>
      <c r="DS8" s="915">
        <f t="shared" ref="DS8:DS71" si="53">IF(AND($D8=$P$9,$E8=$R$13),$J8,0)</f>
        <v>0</v>
      </c>
      <c r="DT8" s="915">
        <f t="shared" ref="DT8:DT71" si="54">IF(AND($D8=$P$10,$E8=$R$13),$J8,0)</f>
        <v>0</v>
      </c>
      <c r="DU8" s="915">
        <f t="shared" ref="DU8:DU71" si="55">IF(AND($D8=$P$11,$E8=$R$13),$J8,0)</f>
        <v>0</v>
      </c>
      <c r="DV8" s="915">
        <f t="shared" ref="DV8:DV71" si="56">IF(AND($D8=$P$12,$E8=$R$13),$J8,0)</f>
        <v>0</v>
      </c>
      <c r="DW8" s="915">
        <f t="shared" ref="DW8:DW71" si="57">IF(AND($D8=$P$13,$E8=$R$13),$J8,0)</f>
        <v>0</v>
      </c>
      <c r="DX8" s="915">
        <f t="shared" ref="DX8:DX71" si="58">IF(AND($D8=$P$14,$E8=$R$13),$J8,0)</f>
        <v>0</v>
      </c>
      <c r="DY8" s="915">
        <f t="shared" ref="DY8:DY71" si="59">IF(AND($D8=$P$15,$E8=$R$13),$J8,0)</f>
        <v>0</v>
      </c>
      <c r="DZ8" s="915">
        <f t="shared" ref="DZ8:DZ71" si="60">IF(AND($D8=$P$16,$E8=$R$13),$J8,0)</f>
        <v>0</v>
      </c>
      <c r="EA8" s="915">
        <f t="shared" ref="EA8:EA57" si="61">IF(AND($D8=$P$17,$E8=$R$13),$J8,0)</f>
        <v>0</v>
      </c>
      <c r="EB8" s="915">
        <f>IF(AND($D8=$P$18,$E8=$R$13),$J8,0)</f>
        <v>0</v>
      </c>
      <c r="EC8" s="915">
        <f>IF(AND($D8=$P$19,$E8=$R$13),$J8,0)</f>
        <v>0</v>
      </c>
      <c r="ED8" s="915">
        <f>IF(AND($D8=$P$20,$E8=$R$13),$J8,0)</f>
        <v>0</v>
      </c>
      <c r="EE8" s="915">
        <f>IF(AND($D8=$P$21,$E8=$R$13),$J8,0)</f>
        <v>0</v>
      </c>
      <c r="EF8" s="915">
        <f>IF(AND($D8=$P$22,$E8=$R$13),$J8,0)</f>
        <v>0</v>
      </c>
      <c r="EG8" s="915">
        <f>IF(AND($D8=$P$23,$E8=$R$13),$J8,0)</f>
        <v>0</v>
      </c>
      <c r="EH8" s="915">
        <f>IF(AND($D8=$P$24,$E8=$R$13),$J8,0)</f>
        <v>0</v>
      </c>
      <c r="EI8" s="915">
        <f>IF(AND($D8=$P$25,$E8=$R$13),$J8,0)</f>
        <v>0</v>
      </c>
      <c r="EJ8" s="915">
        <f>IF(AND($D8=$P$26,$E8=$R$13),$J8,0)</f>
        <v>0</v>
      </c>
      <c r="EK8" s="915">
        <f>IF(AND($D8=$P$27,$E8=$R$13),$J8,0)</f>
        <v>0</v>
      </c>
      <c r="EL8" s="915"/>
      <c r="EM8" s="526"/>
      <c r="EN8" s="538" t="s">
        <v>752</v>
      </c>
      <c r="EO8" s="526"/>
      <c r="EP8" s="526"/>
      <c r="EQ8" s="532"/>
    </row>
    <row r="9" spans="1:147" ht="14.1" customHeight="1" x14ac:dyDescent="0.2">
      <c r="A9" s="497">
        <v>2</v>
      </c>
      <c r="B9" s="1259"/>
      <c r="C9" s="1437"/>
      <c r="D9" s="1020">
        <v>2</v>
      </c>
      <c r="E9" s="138" t="s">
        <v>1245</v>
      </c>
      <c r="F9" s="139" t="s">
        <v>2544</v>
      </c>
      <c r="G9" s="91">
        <v>1</v>
      </c>
      <c r="H9" s="802">
        <v>10</v>
      </c>
      <c r="I9" s="801">
        <f t="shared" si="2"/>
        <v>0.6</v>
      </c>
      <c r="J9" s="90">
        <f t="shared" ref="J9:J136" si="62">(G9*H9)+I9</f>
        <v>10.6</v>
      </c>
      <c r="K9" s="498"/>
      <c r="L9" s="941" t="str">
        <f>TabName2 &amp; " - UNITS"</f>
        <v>Phase 2 - UNITS</v>
      </c>
      <c r="M9" s="942">
        <f>W6</f>
        <v>0</v>
      </c>
      <c r="N9" s="949" t="e">
        <f>+SUMIF($D$8:$D$110,"2",#REF!)</f>
        <v>#REF!</v>
      </c>
      <c r="P9" s="915">
        <f>INDEX(ValidateTable,2)</f>
        <v>2</v>
      </c>
      <c r="R9" s="880" t="s">
        <v>1245</v>
      </c>
      <c r="V9" s="915">
        <f t="shared" si="3"/>
        <v>0</v>
      </c>
      <c r="W9" s="915">
        <f t="shared" si="4"/>
        <v>0</v>
      </c>
      <c r="X9" s="915">
        <f t="shared" si="5"/>
        <v>0</v>
      </c>
      <c r="Y9" s="915">
        <f t="shared" si="6"/>
        <v>0</v>
      </c>
      <c r="Z9" s="915">
        <f t="shared" si="7"/>
        <v>0</v>
      </c>
      <c r="AA9" s="915">
        <f t="shared" si="8"/>
        <v>0</v>
      </c>
      <c r="AB9" s="915">
        <f t="shared" si="9"/>
        <v>0</v>
      </c>
      <c r="AC9" s="915">
        <f t="shared" si="10"/>
        <v>0</v>
      </c>
      <c r="AD9" s="915">
        <f t="shared" si="11"/>
        <v>0</v>
      </c>
      <c r="AE9" s="915">
        <f t="shared" si="12"/>
        <v>0</v>
      </c>
      <c r="AF9" s="915">
        <f t="shared" ref="AF9:AF72" si="63">IF(AND($D9=$P$18,$E9=$R$8),$J9,0)</f>
        <v>0</v>
      </c>
      <c r="AG9" s="915">
        <f t="shared" ref="AG9:AG72" si="64">IF(AND($D9=$P$19,$E9=$R$8),$J9,0)</f>
        <v>0</v>
      </c>
      <c r="AH9" s="915">
        <f t="shared" ref="AH9:AH72" si="65">IF(AND($D9=$P$20,$E9=$R$8),$J9,0)</f>
        <v>0</v>
      </c>
      <c r="AI9" s="915">
        <f t="shared" ref="AI9:AI72" si="66">IF(AND($D9=$P$21,$E9=$R$8),$J9,0)</f>
        <v>0</v>
      </c>
      <c r="AJ9" s="915">
        <f t="shared" ref="AJ9:AJ72" si="67">IF(AND($D9=$P$22,$E9=$R$8),$J9,0)</f>
        <v>0</v>
      </c>
      <c r="AK9" s="915">
        <f t="shared" ref="AK9:AK72" si="68">IF(AND($D9=$P$23,$E9=$R$8),$J9,0)</f>
        <v>0</v>
      </c>
      <c r="AL9" s="915">
        <f t="shared" ref="AL9:AL72" si="69">IF(AND($D9=$P$24,$E9=$R$8),$J9,0)</f>
        <v>0</v>
      </c>
      <c r="AM9" s="915">
        <f t="shared" ref="AM9:AM72" si="70">IF(AND($D9=$P$25,$E9=$R$8),$J9,0)</f>
        <v>0</v>
      </c>
      <c r="AN9" s="915">
        <f t="shared" ref="AN9:AN72" si="71">IF(AND($D9=$P$26,$E9=$R$8),$J9,0)</f>
        <v>0</v>
      </c>
      <c r="AO9" s="915">
        <f t="shared" ref="AO9:AO72" si="72">IF(AND($D9=$P$27,$E9=$R$8),$J9,0)</f>
        <v>0</v>
      </c>
      <c r="AP9" s="915">
        <f t="shared" si="13"/>
        <v>0</v>
      </c>
      <c r="AQ9" s="915">
        <f t="shared" si="14"/>
        <v>10.6</v>
      </c>
      <c r="AR9" s="915">
        <f t="shared" si="15"/>
        <v>0</v>
      </c>
      <c r="AS9" s="915">
        <f t="shared" si="16"/>
        <v>0</v>
      </c>
      <c r="AT9" s="915">
        <f t="shared" si="17"/>
        <v>0</v>
      </c>
      <c r="AU9" s="915">
        <f t="shared" si="18"/>
        <v>0</v>
      </c>
      <c r="AV9" s="915">
        <f t="shared" si="19"/>
        <v>0</v>
      </c>
      <c r="AW9" s="915">
        <f t="shared" si="20"/>
        <v>0</v>
      </c>
      <c r="AX9" s="915">
        <f t="shared" si="21"/>
        <v>0</v>
      </c>
      <c r="AY9" s="915">
        <f t="shared" ref="AY9:AY72" si="73">IF(AND($D9=$P$17,$E9=$R$9),$J9,0)</f>
        <v>0</v>
      </c>
      <c r="AZ9" s="915">
        <f t="shared" ref="AZ9:AZ72" si="74">IF(AND($D9=$P$18,$E9=$R$9),$J9,0)</f>
        <v>0</v>
      </c>
      <c r="BA9" s="915">
        <f t="shared" ref="BA9:BA72" si="75">IF(AND($D9=$P$19,$E9=$R$9),$J9,0)</f>
        <v>0</v>
      </c>
      <c r="BB9" s="915">
        <f t="shared" ref="BB9:BB72" si="76">IF(AND($D9=$P$20,$E9=$R$9),$J9,0)</f>
        <v>0</v>
      </c>
      <c r="BC9" s="915">
        <f t="shared" ref="BC9:BC72" si="77">IF(AND($D9=$P$21,$E9=$R$9),$J9,0)</f>
        <v>0</v>
      </c>
      <c r="BD9" s="915">
        <f t="shared" ref="BD9:BD72" si="78">IF(AND($D9=$P$22,$E9=$R$9),$J9,0)</f>
        <v>0</v>
      </c>
      <c r="BE9" s="915">
        <f t="shared" ref="BE9:BE72" si="79">IF(AND($D9=$P$23,$E9=$R$9),$J9,0)</f>
        <v>0</v>
      </c>
      <c r="BF9" s="915">
        <f t="shared" ref="BF9:BF72" si="80">IF(AND($D9=$P$24,$E9=$R$9),$J9,0)</f>
        <v>0</v>
      </c>
      <c r="BG9" s="915">
        <f t="shared" ref="BG9:BG72" si="81">IF(AND($D9=$P$25,$E9=$R$9),$J9,0)</f>
        <v>0</v>
      </c>
      <c r="BH9" s="915">
        <f t="shared" ref="BH9:BH72" si="82">IF(AND($D9=$P$26,$E9=$R$9),$J9,0)</f>
        <v>0</v>
      </c>
      <c r="BI9" s="915">
        <f t="shared" ref="BI9:BI72" si="83">IF(AND($D9=$P$27,$E9=$R$9),$J9,0)</f>
        <v>0</v>
      </c>
      <c r="BJ9" s="915">
        <f t="shared" si="22"/>
        <v>0</v>
      </c>
      <c r="BK9" s="915">
        <f t="shared" si="23"/>
        <v>0</v>
      </c>
      <c r="BL9" s="915">
        <f t="shared" si="24"/>
        <v>0</v>
      </c>
      <c r="BM9" s="915">
        <f t="shared" si="25"/>
        <v>0</v>
      </c>
      <c r="BN9" s="915">
        <f t="shared" si="26"/>
        <v>0</v>
      </c>
      <c r="BO9" s="915">
        <f t="shared" si="27"/>
        <v>0</v>
      </c>
      <c r="BP9" s="915">
        <f t="shared" si="28"/>
        <v>0</v>
      </c>
      <c r="BQ9" s="915">
        <f t="shared" si="29"/>
        <v>0</v>
      </c>
      <c r="BR9" s="915">
        <f t="shared" si="30"/>
        <v>0</v>
      </c>
      <c r="BS9" s="915">
        <f t="shared" si="31"/>
        <v>0</v>
      </c>
      <c r="BT9" s="915">
        <f t="shared" ref="BT9:BU40" si="84">IF(AND($D9=$P$19,$E9=$R$10),$J9,0)</f>
        <v>0</v>
      </c>
      <c r="BU9" s="915">
        <f t="shared" si="84"/>
        <v>0</v>
      </c>
      <c r="BV9" s="915">
        <f t="shared" ref="BV9:BV72" si="85">IF(AND($D9=$P$20,$E9=$R$10),$J9,0)</f>
        <v>0</v>
      </c>
      <c r="BW9" s="915">
        <f t="shared" ref="BW9:BW72" si="86">IF(AND($D9=$P$21,$E9=$R$10),$J9,0)</f>
        <v>0</v>
      </c>
      <c r="BX9" s="915">
        <f t="shared" ref="BX9:BX72" si="87">IF(AND($D9=$P$22,$E9=$R$10),$J9,0)</f>
        <v>0</v>
      </c>
      <c r="BY9" s="915">
        <f t="shared" ref="BY9:BY72" si="88">IF(AND($D9=$P$23,$E9=$R$10),$J9,0)</f>
        <v>0</v>
      </c>
      <c r="BZ9" s="915">
        <f t="shared" ref="BZ9:BZ72" si="89">IF(AND($D9=$P$24,$E9=$R$10),$J9,0)</f>
        <v>0</v>
      </c>
      <c r="CA9" s="915">
        <f t="shared" ref="CA9:CA72" si="90">IF(AND($D9=$P$25,$E9=$R$10),$J9,0)</f>
        <v>0</v>
      </c>
      <c r="CB9" s="915">
        <f t="shared" ref="CB9:CB72" si="91">IF(AND($D9=$P$26,$E9=$R$10),$J9,0)</f>
        <v>0</v>
      </c>
      <c r="CC9" s="915">
        <f t="shared" ref="CC9:CC72" si="92">IF(AND($D9=$P$27,$E9=$R$10),$J9,0)</f>
        <v>0</v>
      </c>
      <c r="CD9" s="915">
        <f t="shared" si="32"/>
        <v>0</v>
      </c>
      <c r="CE9" s="915">
        <f t="shared" si="33"/>
        <v>0</v>
      </c>
      <c r="CF9" s="915">
        <f t="shared" si="34"/>
        <v>0</v>
      </c>
      <c r="CG9" s="915">
        <f t="shared" si="35"/>
        <v>0</v>
      </c>
      <c r="CH9" s="915">
        <f t="shared" si="36"/>
        <v>0</v>
      </c>
      <c r="CI9" s="915">
        <f t="shared" si="37"/>
        <v>0</v>
      </c>
      <c r="CJ9" s="915">
        <f t="shared" si="38"/>
        <v>0</v>
      </c>
      <c r="CK9" s="915">
        <f t="shared" si="39"/>
        <v>0</v>
      </c>
      <c r="CL9" s="915">
        <f t="shared" si="40"/>
        <v>0</v>
      </c>
      <c r="CM9" s="915">
        <f t="shared" si="41"/>
        <v>0</v>
      </c>
      <c r="CN9" s="915">
        <f t="shared" ref="CN9:CN72" si="93">IF(AND($D9=$P$18,$E9=$R$11),$J9,0)</f>
        <v>0</v>
      </c>
      <c r="CO9" s="915">
        <f t="shared" ref="CO9:CO72" si="94">IF(AND($D9=$P$19,$E9=$R$11),$J9,0)</f>
        <v>0</v>
      </c>
      <c r="CP9" s="915">
        <f t="shared" ref="CP9:CP72" si="95">IF(AND($D9=$P$20,$E9=$R$11),$J9,0)</f>
        <v>0</v>
      </c>
      <c r="CQ9" s="915">
        <f t="shared" ref="CQ9:CQ72" si="96">IF(AND($D9=$P$21,$E9=$R$11),$J9,0)</f>
        <v>0</v>
      </c>
      <c r="CR9" s="915">
        <f t="shared" ref="CR9:CR72" si="97">IF(AND($D9=$P$22,$E9=$R$11),$J9,0)</f>
        <v>0</v>
      </c>
      <c r="CS9" s="915">
        <f t="shared" ref="CS9:CS72" si="98">IF(AND($D9=$P$23,$E9=$R$11),$J9,0)</f>
        <v>0</v>
      </c>
      <c r="CT9" s="915">
        <f t="shared" ref="CT9:CT72" si="99">IF(AND($D9=$P$24,$E9=$R$11),$J9,0)</f>
        <v>0</v>
      </c>
      <c r="CU9" s="915">
        <f t="shared" ref="CU9:CU72" si="100">IF(AND($D9=$P$25,$E9=$R$11),$J9,0)</f>
        <v>0</v>
      </c>
      <c r="CV9" s="915">
        <f t="shared" ref="CV9:CV72" si="101">IF(AND($D9=$P$26,$E9=$R$11),$J9,0)</f>
        <v>0</v>
      </c>
      <c r="CW9" s="915">
        <f t="shared" ref="CW9:CW72" si="102">IF(AND($D9=$P$27,$E9=$R$11),$J9,0)</f>
        <v>0</v>
      </c>
      <c r="CX9" s="915">
        <f t="shared" si="42"/>
        <v>0</v>
      </c>
      <c r="CY9" s="915">
        <f t="shared" si="43"/>
        <v>0</v>
      </c>
      <c r="CZ9" s="915">
        <f t="shared" si="44"/>
        <v>0</v>
      </c>
      <c r="DA9" s="915">
        <f t="shared" si="45"/>
        <v>0</v>
      </c>
      <c r="DB9" s="915">
        <f t="shared" si="46"/>
        <v>0</v>
      </c>
      <c r="DC9" s="915">
        <f t="shared" si="47"/>
        <v>0</v>
      </c>
      <c r="DD9" s="915">
        <f t="shared" si="48"/>
        <v>0</v>
      </c>
      <c r="DE9" s="915">
        <f t="shared" si="49"/>
        <v>0</v>
      </c>
      <c r="DF9" s="915">
        <f t="shared" si="50"/>
        <v>0</v>
      </c>
      <c r="DG9" s="915">
        <f t="shared" si="51"/>
        <v>0</v>
      </c>
      <c r="DH9" s="915">
        <f t="shared" ref="DH9:DH72" si="103">IF(AND($D9=$P$18,$E9=$R$12),$J9,0)</f>
        <v>0</v>
      </c>
      <c r="DI9" s="915">
        <f t="shared" ref="DI9:DI72" si="104">IF(AND($D9=$P$19,$E9=$R$12),$J9,0)</f>
        <v>0</v>
      </c>
      <c r="DJ9" s="915">
        <f t="shared" ref="DJ9:DJ72" si="105">IF(AND($D9=$P$20,$E9=$R$12),$J9,0)</f>
        <v>0</v>
      </c>
      <c r="DK9" s="915">
        <f t="shared" ref="DK9:DK72" si="106">IF(AND($D9=$P$21,$E9=$R$12),$J9,0)</f>
        <v>0</v>
      </c>
      <c r="DL9" s="915">
        <f t="shared" ref="DL9:DL72" si="107">IF(AND($D9=$P$22,$E9=$R$12),$J9,0)</f>
        <v>0</v>
      </c>
      <c r="DM9" s="915">
        <f t="shared" ref="DM9:DM72" si="108">IF(AND($D9=$P$23,$E9=$R$12),$J9,0)</f>
        <v>0</v>
      </c>
      <c r="DN9" s="915">
        <f t="shared" ref="DN9:DN72" si="109">IF(AND($D9=$P$24,$E9=$R$12),$J9,0)</f>
        <v>0</v>
      </c>
      <c r="DO9" s="915">
        <f t="shared" ref="DO9:DO72" si="110">IF(AND($D9=$P$25,$E9=$R$12),$J9,0)</f>
        <v>0</v>
      </c>
      <c r="DP9" s="915">
        <f t="shared" ref="DP9:DP72" si="111">IF(AND($D9=$P$26,$E9=$R$12),$J9,0)</f>
        <v>0</v>
      </c>
      <c r="DQ9" s="915">
        <f t="shared" ref="DQ9:DQ72" si="112">IF(AND($D9=$P$27,$E9=$R$12),$J9,0)</f>
        <v>0</v>
      </c>
      <c r="DR9" s="915">
        <f t="shared" si="52"/>
        <v>0</v>
      </c>
      <c r="DS9" s="915">
        <f t="shared" si="53"/>
        <v>0</v>
      </c>
      <c r="DT9" s="915">
        <f t="shared" si="54"/>
        <v>0</v>
      </c>
      <c r="DU9" s="915">
        <f t="shared" si="55"/>
        <v>0</v>
      </c>
      <c r="DV9" s="915">
        <f t="shared" si="56"/>
        <v>0</v>
      </c>
      <c r="DW9" s="915">
        <f t="shared" si="57"/>
        <v>0</v>
      </c>
      <c r="DX9" s="915">
        <f t="shared" si="58"/>
        <v>0</v>
      </c>
      <c r="DY9" s="915">
        <f t="shared" si="59"/>
        <v>0</v>
      </c>
      <c r="DZ9" s="915">
        <f t="shared" si="60"/>
        <v>0</v>
      </c>
      <c r="EA9" s="915">
        <f t="shared" si="61"/>
        <v>0</v>
      </c>
      <c r="EB9" s="915">
        <f t="shared" ref="EB9:EB72" si="113">IF(AND($D9=$P$18,$E9=$R$13),$J9,0)</f>
        <v>0</v>
      </c>
      <c r="EC9" s="915">
        <f t="shared" ref="EC9:EC72" si="114">IF(AND($D9=$P$19,$E9=$R$13),$J9,0)</f>
        <v>0</v>
      </c>
      <c r="ED9" s="915">
        <f t="shared" ref="ED9:ED72" si="115">IF(AND($D9=$P$20,$E9=$R$13),$J9,0)</f>
        <v>0</v>
      </c>
      <c r="EE9" s="915">
        <f t="shared" ref="EE9:EE72" si="116">IF(AND($D9=$P$21,$E9=$R$13),$J9,0)</f>
        <v>0</v>
      </c>
      <c r="EF9" s="915">
        <f t="shared" ref="EF9:EF72" si="117">IF(AND($D9=$P$22,$E9=$R$13),$J9,0)</f>
        <v>0</v>
      </c>
      <c r="EG9" s="915">
        <f t="shared" ref="EG9:EG72" si="118">IF(AND($D9=$P$23,$E9=$R$13),$J9,0)</f>
        <v>0</v>
      </c>
      <c r="EH9" s="915">
        <f t="shared" ref="EH9:EH72" si="119">IF(AND($D9=$P$24,$E9=$R$13),$J9,0)</f>
        <v>0</v>
      </c>
      <c r="EI9" s="915">
        <f t="shared" ref="EI9:EI72" si="120">IF(AND($D9=$P$25,$E9=$R$13),$J9,0)</f>
        <v>0</v>
      </c>
      <c r="EJ9" s="915">
        <f t="shared" ref="EJ9:EJ72" si="121">IF(AND($D9=$P$26,$E9=$R$13),$J9,0)</f>
        <v>0</v>
      </c>
      <c r="EK9" s="915">
        <f t="shared" ref="EK9:EK72" si="122">IF(AND($D9=$P$27,$E9=$R$13),$J9,0)</f>
        <v>0</v>
      </c>
      <c r="EL9" s="915"/>
      <c r="EN9" s="533"/>
      <c r="EQ9" s="534"/>
    </row>
    <row r="10" spans="1:147" ht="14.1" customHeight="1" x14ac:dyDescent="0.2">
      <c r="A10" s="496">
        <v>3</v>
      </c>
      <c r="B10" s="1435"/>
      <c r="C10" s="1436"/>
      <c r="D10" s="264">
        <v>3</v>
      </c>
      <c r="E10" s="264" t="s">
        <v>1245</v>
      </c>
      <c r="F10" s="270" t="s">
        <v>2544</v>
      </c>
      <c r="G10" s="271">
        <v>1</v>
      </c>
      <c r="H10" s="803">
        <v>10</v>
      </c>
      <c r="I10" s="800">
        <f t="shared" si="2"/>
        <v>0.6</v>
      </c>
      <c r="J10" s="269">
        <f t="shared" si="62"/>
        <v>10.6</v>
      </c>
      <c r="K10" s="225"/>
      <c r="L10" s="941" t="str">
        <f>TabName3 &amp; " - UNITS"</f>
        <v>Phase 3 - UNITS</v>
      </c>
      <c r="M10" s="942">
        <f>X6</f>
        <v>0</v>
      </c>
      <c r="N10" s="949" t="e">
        <f>+SUMIF($D$8:$D$110,"3",#REF!)</f>
        <v>#REF!</v>
      </c>
      <c r="P10" s="915">
        <f>INDEX(ValidateTable,3)</f>
        <v>3</v>
      </c>
      <c r="R10" s="941" t="s">
        <v>515</v>
      </c>
      <c r="V10" s="915">
        <f t="shared" si="3"/>
        <v>0</v>
      </c>
      <c r="W10" s="915">
        <f t="shared" si="4"/>
        <v>0</v>
      </c>
      <c r="X10" s="915">
        <f t="shared" si="5"/>
        <v>0</v>
      </c>
      <c r="Y10" s="915">
        <f t="shared" si="6"/>
        <v>0</v>
      </c>
      <c r="Z10" s="915">
        <f t="shared" si="7"/>
        <v>0</v>
      </c>
      <c r="AA10" s="915">
        <f t="shared" si="8"/>
        <v>0</v>
      </c>
      <c r="AB10" s="915">
        <f t="shared" si="9"/>
        <v>0</v>
      </c>
      <c r="AC10" s="915">
        <f t="shared" si="10"/>
        <v>0</v>
      </c>
      <c r="AD10" s="915">
        <f t="shared" si="11"/>
        <v>0</v>
      </c>
      <c r="AE10" s="915">
        <f t="shared" si="12"/>
        <v>0</v>
      </c>
      <c r="AF10" s="915">
        <f t="shared" si="63"/>
        <v>0</v>
      </c>
      <c r="AG10" s="915">
        <f t="shared" si="64"/>
        <v>0</v>
      </c>
      <c r="AH10" s="915">
        <f t="shared" si="65"/>
        <v>0</v>
      </c>
      <c r="AI10" s="915">
        <f t="shared" si="66"/>
        <v>0</v>
      </c>
      <c r="AJ10" s="915">
        <f t="shared" si="67"/>
        <v>0</v>
      </c>
      <c r="AK10" s="915">
        <f t="shared" si="68"/>
        <v>0</v>
      </c>
      <c r="AL10" s="915">
        <f t="shared" si="69"/>
        <v>0</v>
      </c>
      <c r="AM10" s="915">
        <f t="shared" si="70"/>
        <v>0</v>
      </c>
      <c r="AN10" s="915">
        <f t="shared" si="71"/>
        <v>0</v>
      </c>
      <c r="AO10" s="915">
        <f t="shared" si="72"/>
        <v>0</v>
      </c>
      <c r="AP10" s="915">
        <f t="shared" si="13"/>
        <v>0</v>
      </c>
      <c r="AQ10" s="915">
        <f t="shared" si="14"/>
        <v>0</v>
      </c>
      <c r="AR10" s="915">
        <f t="shared" si="15"/>
        <v>10.6</v>
      </c>
      <c r="AS10" s="915">
        <f t="shared" si="16"/>
        <v>0</v>
      </c>
      <c r="AT10" s="915">
        <f t="shared" si="17"/>
        <v>0</v>
      </c>
      <c r="AU10" s="915">
        <f t="shared" si="18"/>
        <v>0</v>
      </c>
      <c r="AV10" s="915">
        <f t="shared" si="19"/>
        <v>0</v>
      </c>
      <c r="AW10" s="915">
        <f t="shared" si="20"/>
        <v>0</v>
      </c>
      <c r="AX10" s="915">
        <f t="shared" si="21"/>
        <v>0</v>
      </c>
      <c r="AY10" s="915">
        <f t="shared" si="73"/>
        <v>0</v>
      </c>
      <c r="AZ10" s="915">
        <f t="shared" si="74"/>
        <v>0</v>
      </c>
      <c r="BA10" s="915">
        <f t="shared" si="75"/>
        <v>0</v>
      </c>
      <c r="BB10" s="915">
        <f t="shared" si="76"/>
        <v>0</v>
      </c>
      <c r="BC10" s="915">
        <f t="shared" si="77"/>
        <v>0</v>
      </c>
      <c r="BD10" s="915">
        <f t="shared" si="78"/>
        <v>0</v>
      </c>
      <c r="BE10" s="915">
        <f t="shared" si="79"/>
        <v>0</v>
      </c>
      <c r="BF10" s="915">
        <f t="shared" si="80"/>
        <v>0</v>
      </c>
      <c r="BG10" s="915">
        <f t="shared" si="81"/>
        <v>0</v>
      </c>
      <c r="BH10" s="915">
        <f t="shared" si="82"/>
        <v>0</v>
      </c>
      <c r="BI10" s="915">
        <f t="shared" si="83"/>
        <v>0</v>
      </c>
      <c r="BJ10" s="915">
        <f t="shared" si="22"/>
        <v>0</v>
      </c>
      <c r="BK10" s="915">
        <f t="shared" si="23"/>
        <v>0</v>
      </c>
      <c r="BL10" s="915">
        <f t="shared" si="24"/>
        <v>0</v>
      </c>
      <c r="BM10" s="915">
        <f t="shared" si="25"/>
        <v>0</v>
      </c>
      <c r="BN10" s="915">
        <f t="shared" si="26"/>
        <v>0</v>
      </c>
      <c r="BO10" s="915">
        <f t="shared" si="27"/>
        <v>0</v>
      </c>
      <c r="BP10" s="915">
        <f t="shared" si="28"/>
        <v>0</v>
      </c>
      <c r="BQ10" s="915">
        <f t="shared" si="29"/>
        <v>0</v>
      </c>
      <c r="BR10" s="915">
        <f t="shared" si="30"/>
        <v>0</v>
      </c>
      <c r="BS10" s="915">
        <f t="shared" si="31"/>
        <v>0</v>
      </c>
      <c r="BT10" s="915">
        <f t="shared" si="84"/>
        <v>0</v>
      </c>
      <c r="BU10" s="915">
        <f t="shared" si="84"/>
        <v>0</v>
      </c>
      <c r="BV10" s="915">
        <f t="shared" si="85"/>
        <v>0</v>
      </c>
      <c r="BW10" s="915">
        <f t="shared" si="86"/>
        <v>0</v>
      </c>
      <c r="BX10" s="915">
        <f t="shared" si="87"/>
        <v>0</v>
      </c>
      <c r="BY10" s="915">
        <f t="shared" si="88"/>
        <v>0</v>
      </c>
      <c r="BZ10" s="915">
        <f t="shared" si="89"/>
        <v>0</v>
      </c>
      <c r="CA10" s="915">
        <f t="shared" si="90"/>
        <v>0</v>
      </c>
      <c r="CB10" s="915">
        <f t="shared" si="91"/>
        <v>0</v>
      </c>
      <c r="CC10" s="915">
        <f t="shared" si="92"/>
        <v>0</v>
      </c>
      <c r="CD10" s="915">
        <f t="shared" si="32"/>
        <v>0</v>
      </c>
      <c r="CE10" s="915">
        <f t="shared" si="33"/>
        <v>0</v>
      </c>
      <c r="CF10" s="915">
        <f t="shared" si="34"/>
        <v>0</v>
      </c>
      <c r="CG10" s="915">
        <f t="shared" si="35"/>
        <v>0</v>
      </c>
      <c r="CH10" s="915">
        <f t="shared" si="36"/>
        <v>0</v>
      </c>
      <c r="CI10" s="915">
        <f t="shared" si="37"/>
        <v>0</v>
      </c>
      <c r="CJ10" s="915">
        <f t="shared" si="38"/>
        <v>0</v>
      </c>
      <c r="CK10" s="915">
        <f t="shared" si="39"/>
        <v>0</v>
      </c>
      <c r="CL10" s="915">
        <f t="shared" si="40"/>
        <v>0</v>
      </c>
      <c r="CM10" s="915">
        <f t="shared" si="41"/>
        <v>0</v>
      </c>
      <c r="CN10" s="915">
        <f t="shared" si="93"/>
        <v>0</v>
      </c>
      <c r="CO10" s="915">
        <f t="shared" si="94"/>
        <v>0</v>
      </c>
      <c r="CP10" s="915">
        <f t="shared" si="95"/>
        <v>0</v>
      </c>
      <c r="CQ10" s="915">
        <f t="shared" si="96"/>
        <v>0</v>
      </c>
      <c r="CR10" s="915">
        <f t="shared" si="97"/>
        <v>0</v>
      </c>
      <c r="CS10" s="915">
        <f t="shared" si="98"/>
        <v>0</v>
      </c>
      <c r="CT10" s="915">
        <f t="shared" si="99"/>
        <v>0</v>
      </c>
      <c r="CU10" s="915">
        <f t="shared" si="100"/>
        <v>0</v>
      </c>
      <c r="CV10" s="915">
        <f t="shared" si="101"/>
        <v>0</v>
      </c>
      <c r="CW10" s="915">
        <f t="shared" si="102"/>
        <v>0</v>
      </c>
      <c r="CX10" s="915">
        <f t="shared" si="42"/>
        <v>0</v>
      </c>
      <c r="CY10" s="915">
        <f t="shared" si="43"/>
        <v>0</v>
      </c>
      <c r="CZ10" s="915">
        <f t="shared" si="44"/>
        <v>0</v>
      </c>
      <c r="DA10" s="915">
        <f t="shared" si="45"/>
        <v>0</v>
      </c>
      <c r="DB10" s="915">
        <f t="shared" si="46"/>
        <v>0</v>
      </c>
      <c r="DC10" s="915">
        <f t="shared" si="47"/>
        <v>0</v>
      </c>
      <c r="DD10" s="915">
        <f t="shared" si="48"/>
        <v>0</v>
      </c>
      <c r="DE10" s="915">
        <f t="shared" si="49"/>
        <v>0</v>
      </c>
      <c r="DF10" s="915">
        <f t="shared" si="50"/>
        <v>0</v>
      </c>
      <c r="DG10" s="915">
        <f t="shared" si="51"/>
        <v>0</v>
      </c>
      <c r="DH10" s="915">
        <f t="shared" si="103"/>
        <v>0</v>
      </c>
      <c r="DI10" s="915">
        <f t="shared" si="104"/>
        <v>0</v>
      </c>
      <c r="DJ10" s="915">
        <f t="shared" si="105"/>
        <v>0</v>
      </c>
      <c r="DK10" s="915">
        <f t="shared" si="106"/>
        <v>0</v>
      </c>
      <c r="DL10" s="915">
        <f t="shared" si="107"/>
        <v>0</v>
      </c>
      <c r="DM10" s="915">
        <f t="shared" si="108"/>
        <v>0</v>
      </c>
      <c r="DN10" s="915">
        <f t="shared" si="109"/>
        <v>0</v>
      </c>
      <c r="DO10" s="915">
        <f t="shared" si="110"/>
        <v>0</v>
      </c>
      <c r="DP10" s="915">
        <f t="shared" si="111"/>
        <v>0</v>
      </c>
      <c r="DQ10" s="915">
        <f t="shared" si="112"/>
        <v>0</v>
      </c>
      <c r="DR10" s="915">
        <f t="shared" si="52"/>
        <v>0</v>
      </c>
      <c r="DS10" s="915">
        <f t="shared" si="53"/>
        <v>0</v>
      </c>
      <c r="DT10" s="915">
        <f t="shared" si="54"/>
        <v>0</v>
      </c>
      <c r="DU10" s="915">
        <f t="shared" si="55"/>
        <v>0</v>
      </c>
      <c r="DV10" s="915">
        <f t="shared" si="56"/>
        <v>0</v>
      </c>
      <c r="DW10" s="915">
        <f t="shared" si="57"/>
        <v>0</v>
      </c>
      <c r="DX10" s="915">
        <f t="shared" si="58"/>
        <v>0</v>
      </c>
      <c r="DY10" s="915">
        <f t="shared" si="59"/>
        <v>0</v>
      </c>
      <c r="DZ10" s="915">
        <f t="shared" si="60"/>
        <v>0</v>
      </c>
      <c r="EA10" s="915">
        <f t="shared" si="61"/>
        <v>0</v>
      </c>
      <c r="EB10" s="915">
        <f t="shared" si="113"/>
        <v>0</v>
      </c>
      <c r="EC10" s="915">
        <f t="shared" si="114"/>
        <v>0</v>
      </c>
      <c r="ED10" s="915">
        <f t="shared" si="115"/>
        <v>0</v>
      </c>
      <c r="EE10" s="915">
        <f t="shared" si="116"/>
        <v>0</v>
      </c>
      <c r="EF10" s="915">
        <f t="shared" si="117"/>
        <v>0</v>
      </c>
      <c r="EG10" s="915">
        <f t="shared" si="118"/>
        <v>0</v>
      </c>
      <c r="EH10" s="915">
        <f t="shared" si="119"/>
        <v>0</v>
      </c>
      <c r="EI10" s="915">
        <f t="shared" si="120"/>
        <v>0</v>
      </c>
      <c r="EJ10" s="915">
        <f t="shared" si="121"/>
        <v>0</v>
      </c>
      <c r="EK10" s="915">
        <f t="shared" si="122"/>
        <v>0</v>
      </c>
      <c r="EL10" s="915"/>
      <c r="EN10" s="533"/>
      <c r="EQ10" s="534"/>
    </row>
    <row r="11" spans="1:147" ht="14.1" customHeight="1" x14ac:dyDescent="0.2">
      <c r="A11" s="497">
        <v>4</v>
      </c>
      <c r="B11" s="1423"/>
      <c r="C11" s="1424"/>
      <c r="D11" s="1020">
        <v>4</v>
      </c>
      <c r="E11" s="138" t="s">
        <v>1245</v>
      </c>
      <c r="F11" s="91" t="s">
        <v>2544</v>
      </c>
      <c r="G11" s="91">
        <v>1</v>
      </c>
      <c r="H11" s="802">
        <v>10</v>
      </c>
      <c r="I11" s="801">
        <f t="shared" si="2"/>
        <v>0.6</v>
      </c>
      <c r="J11" s="90">
        <f t="shared" si="62"/>
        <v>10.6</v>
      </c>
      <c r="K11" s="225"/>
      <c r="L11" s="941" t="str">
        <f>TabName4 &amp; " - UNITS"</f>
        <v>Phase 4 - UNITS</v>
      </c>
      <c r="M11" s="942">
        <f>Y6</f>
        <v>0</v>
      </c>
      <c r="N11" s="949" t="e">
        <f>+SUMIF($D$8:$D$110,"4",#REF!)</f>
        <v>#REF!</v>
      </c>
      <c r="P11" s="915">
        <f>INDEX(ValidateTable,4)</f>
        <v>4</v>
      </c>
      <c r="R11" s="941" t="s">
        <v>167</v>
      </c>
      <c r="V11" s="915">
        <f t="shared" si="3"/>
        <v>0</v>
      </c>
      <c r="W11" s="915">
        <f t="shared" si="4"/>
        <v>0</v>
      </c>
      <c r="X11" s="915">
        <f t="shared" si="5"/>
        <v>0</v>
      </c>
      <c r="Y11" s="915">
        <f t="shared" si="6"/>
        <v>0</v>
      </c>
      <c r="Z11" s="915">
        <f t="shared" si="7"/>
        <v>0</v>
      </c>
      <c r="AA11" s="915">
        <f t="shared" si="8"/>
        <v>0</v>
      </c>
      <c r="AB11" s="915">
        <f t="shared" si="9"/>
        <v>0</v>
      </c>
      <c r="AC11" s="915">
        <f t="shared" si="10"/>
        <v>0</v>
      </c>
      <c r="AD11" s="915">
        <f t="shared" si="11"/>
        <v>0</v>
      </c>
      <c r="AE11" s="915">
        <f t="shared" si="12"/>
        <v>0</v>
      </c>
      <c r="AF11" s="915">
        <f t="shared" si="63"/>
        <v>0</v>
      </c>
      <c r="AG11" s="915">
        <f t="shared" si="64"/>
        <v>0</v>
      </c>
      <c r="AH11" s="915">
        <f t="shared" si="65"/>
        <v>0</v>
      </c>
      <c r="AI11" s="915">
        <f t="shared" si="66"/>
        <v>0</v>
      </c>
      <c r="AJ11" s="915">
        <f t="shared" si="67"/>
        <v>0</v>
      </c>
      <c r="AK11" s="915">
        <f t="shared" si="68"/>
        <v>0</v>
      </c>
      <c r="AL11" s="915">
        <f t="shared" si="69"/>
        <v>0</v>
      </c>
      <c r="AM11" s="915">
        <f t="shared" si="70"/>
        <v>0</v>
      </c>
      <c r="AN11" s="915">
        <f t="shared" si="71"/>
        <v>0</v>
      </c>
      <c r="AO11" s="915">
        <f t="shared" si="72"/>
        <v>0</v>
      </c>
      <c r="AP11" s="915">
        <f t="shared" si="13"/>
        <v>0</v>
      </c>
      <c r="AQ11" s="915">
        <f t="shared" si="14"/>
        <v>0</v>
      </c>
      <c r="AR11" s="915">
        <f t="shared" si="15"/>
        <v>0</v>
      </c>
      <c r="AS11" s="915">
        <f t="shared" si="16"/>
        <v>10.6</v>
      </c>
      <c r="AT11" s="915">
        <f t="shared" si="17"/>
        <v>0</v>
      </c>
      <c r="AU11" s="915">
        <f t="shared" si="18"/>
        <v>0</v>
      </c>
      <c r="AV11" s="915">
        <f t="shared" si="19"/>
        <v>0</v>
      </c>
      <c r="AW11" s="915">
        <f t="shared" si="20"/>
        <v>0</v>
      </c>
      <c r="AX11" s="915">
        <f t="shared" si="21"/>
        <v>0</v>
      </c>
      <c r="AY11" s="915">
        <f t="shared" si="73"/>
        <v>0</v>
      </c>
      <c r="AZ11" s="915">
        <f t="shared" si="74"/>
        <v>0</v>
      </c>
      <c r="BA11" s="915">
        <f t="shared" si="75"/>
        <v>0</v>
      </c>
      <c r="BB11" s="915">
        <f t="shared" si="76"/>
        <v>0</v>
      </c>
      <c r="BC11" s="915">
        <f t="shared" si="77"/>
        <v>0</v>
      </c>
      <c r="BD11" s="915">
        <f t="shared" si="78"/>
        <v>0</v>
      </c>
      <c r="BE11" s="915">
        <f t="shared" si="79"/>
        <v>0</v>
      </c>
      <c r="BF11" s="915">
        <f t="shared" si="80"/>
        <v>0</v>
      </c>
      <c r="BG11" s="915">
        <f t="shared" si="81"/>
        <v>0</v>
      </c>
      <c r="BH11" s="915">
        <f t="shared" si="82"/>
        <v>0</v>
      </c>
      <c r="BI11" s="915">
        <f t="shared" si="83"/>
        <v>0</v>
      </c>
      <c r="BJ11" s="915">
        <f t="shared" si="22"/>
        <v>0</v>
      </c>
      <c r="BK11" s="915">
        <f t="shared" si="23"/>
        <v>0</v>
      </c>
      <c r="BL11" s="915">
        <f t="shared" si="24"/>
        <v>0</v>
      </c>
      <c r="BM11" s="915">
        <f t="shared" si="25"/>
        <v>0</v>
      </c>
      <c r="BN11" s="915">
        <f t="shared" si="26"/>
        <v>0</v>
      </c>
      <c r="BO11" s="915">
        <f t="shared" si="27"/>
        <v>0</v>
      </c>
      <c r="BP11" s="915">
        <f t="shared" si="28"/>
        <v>0</v>
      </c>
      <c r="BQ11" s="915">
        <f t="shared" si="29"/>
        <v>0</v>
      </c>
      <c r="BR11" s="915">
        <f t="shared" si="30"/>
        <v>0</v>
      </c>
      <c r="BS11" s="915">
        <f t="shared" si="31"/>
        <v>0</v>
      </c>
      <c r="BT11" s="915">
        <f t="shared" si="84"/>
        <v>0</v>
      </c>
      <c r="BU11" s="915">
        <f t="shared" si="84"/>
        <v>0</v>
      </c>
      <c r="BV11" s="915">
        <f t="shared" si="85"/>
        <v>0</v>
      </c>
      <c r="BW11" s="915">
        <f t="shared" si="86"/>
        <v>0</v>
      </c>
      <c r="BX11" s="915">
        <f t="shared" si="87"/>
        <v>0</v>
      </c>
      <c r="BY11" s="915">
        <f t="shared" si="88"/>
        <v>0</v>
      </c>
      <c r="BZ11" s="915">
        <f t="shared" si="89"/>
        <v>0</v>
      </c>
      <c r="CA11" s="915">
        <f t="shared" si="90"/>
        <v>0</v>
      </c>
      <c r="CB11" s="915">
        <f t="shared" si="91"/>
        <v>0</v>
      </c>
      <c r="CC11" s="915">
        <f t="shared" si="92"/>
        <v>0</v>
      </c>
      <c r="CD11" s="915">
        <f t="shared" si="32"/>
        <v>0</v>
      </c>
      <c r="CE11" s="915">
        <f t="shared" si="33"/>
        <v>0</v>
      </c>
      <c r="CF11" s="915">
        <f t="shared" si="34"/>
        <v>0</v>
      </c>
      <c r="CG11" s="915">
        <f t="shared" si="35"/>
        <v>0</v>
      </c>
      <c r="CH11" s="915">
        <f t="shared" si="36"/>
        <v>0</v>
      </c>
      <c r="CI11" s="915">
        <f t="shared" si="37"/>
        <v>0</v>
      </c>
      <c r="CJ11" s="915">
        <f t="shared" si="38"/>
        <v>0</v>
      </c>
      <c r="CK11" s="915">
        <f t="shared" si="39"/>
        <v>0</v>
      </c>
      <c r="CL11" s="915">
        <f t="shared" si="40"/>
        <v>0</v>
      </c>
      <c r="CM11" s="915">
        <f t="shared" si="41"/>
        <v>0</v>
      </c>
      <c r="CN11" s="915">
        <f t="shared" si="93"/>
        <v>0</v>
      </c>
      <c r="CO11" s="915">
        <f t="shared" si="94"/>
        <v>0</v>
      </c>
      <c r="CP11" s="915">
        <f t="shared" si="95"/>
        <v>0</v>
      </c>
      <c r="CQ11" s="915">
        <f t="shared" si="96"/>
        <v>0</v>
      </c>
      <c r="CR11" s="915">
        <f t="shared" si="97"/>
        <v>0</v>
      </c>
      <c r="CS11" s="915">
        <f t="shared" si="98"/>
        <v>0</v>
      </c>
      <c r="CT11" s="915">
        <f t="shared" si="99"/>
        <v>0</v>
      </c>
      <c r="CU11" s="915">
        <f t="shared" si="100"/>
        <v>0</v>
      </c>
      <c r="CV11" s="915">
        <f t="shared" si="101"/>
        <v>0</v>
      </c>
      <c r="CW11" s="915">
        <f t="shared" si="102"/>
        <v>0</v>
      </c>
      <c r="CX11" s="915">
        <f t="shared" si="42"/>
        <v>0</v>
      </c>
      <c r="CY11" s="915">
        <f t="shared" si="43"/>
        <v>0</v>
      </c>
      <c r="CZ11" s="915">
        <f t="shared" si="44"/>
        <v>0</v>
      </c>
      <c r="DA11" s="915">
        <f t="shared" si="45"/>
        <v>0</v>
      </c>
      <c r="DB11" s="915">
        <f t="shared" si="46"/>
        <v>0</v>
      </c>
      <c r="DC11" s="915">
        <f t="shared" si="47"/>
        <v>0</v>
      </c>
      <c r="DD11" s="915">
        <f t="shared" si="48"/>
        <v>0</v>
      </c>
      <c r="DE11" s="915">
        <f t="shared" si="49"/>
        <v>0</v>
      </c>
      <c r="DF11" s="915">
        <f t="shared" si="50"/>
        <v>0</v>
      </c>
      <c r="DG11" s="915">
        <f t="shared" si="51"/>
        <v>0</v>
      </c>
      <c r="DH11" s="915">
        <f t="shared" si="103"/>
        <v>0</v>
      </c>
      <c r="DI11" s="915">
        <f t="shared" si="104"/>
        <v>0</v>
      </c>
      <c r="DJ11" s="915">
        <f t="shared" si="105"/>
        <v>0</v>
      </c>
      <c r="DK11" s="915">
        <f t="shared" si="106"/>
        <v>0</v>
      </c>
      <c r="DL11" s="915">
        <f t="shared" si="107"/>
        <v>0</v>
      </c>
      <c r="DM11" s="915">
        <f t="shared" si="108"/>
        <v>0</v>
      </c>
      <c r="DN11" s="915">
        <f t="shared" si="109"/>
        <v>0</v>
      </c>
      <c r="DO11" s="915">
        <f t="shared" si="110"/>
        <v>0</v>
      </c>
      <c r="DP11" s="915">
        <f t="shared" si="111"/>
        <v>0</v>
      </c>
      <c r="DQ11" s="915">
        <f t="shared" si="112"/>
        <v>0</v>
      </c>
      <c r="DR11" s="915">
        <f t="shared" si="52"/>
        <v>0</v>
      </c>
      <c r="DS11" s="915">
        <f t="shared" si="53"/>
        <v>0</v>
      </c>
      <c r="DT11" s="915">
        <f t="shared" si="54"/>
        <v>0</v>
      </c>
      <c r="DU11" s="915">
        <f t="shared" si="55"/>
        <v>0</v>
      </c>
      <c r="DV11" s="915">
        <f t="shared" si="56"/>
        <v>0</v>
      </c>
      <c r="DW11" s="915">
        <f t="shared" si="57"/>
        <v>0</v>
      </c>
      <c r="DX11" s="915">
        <f t="shared" si="58"/>
        <v>0</v>
      </c>
      <c r="DY11" s="915">
        <f t="shared" si="59"/>
        <v>0</v>
      </c>
      <c r="DZ11" s="915">
        <f t="shared" si="60"/>
        <v>0</v>
      </c>
      <c r="EA11" s="915">
        <f t="shared" si="61"/>
        <v>0</v>
      </c>
      <c r="EB11" s="915">
        <f t="shared" si="113"/>
        <v>0</v>
      </c>
      <c r="EC11" s="915">
        <f t="shared" si="114"/>
        <v>0</v>
      </c>
      <c r="ED11" s="915">
        <f t="shared" si="115"/>
        <v>0</v>
      </c>
      <c r="EE11" s="915">
        <f t="shared" si="116"/>
        <v>0</v>
      </c>
      <c r="EF11" s="915">
        <f t="shared" si="117"/>
        <v>0</v>
      </c>
      <c r="EG11" s="915">
        <f t="shared" si="118"/>
        <v>0</v>
      </c>
      <c r="EH11" s="915">
        <f t="shared" si="119"/>
        <v>0</v>
      </c>
      <c r="EI11" s="915">
        <f t="shared" si="120"/>
        <v>0</v>
      </c>
      <c r="EJ11" s="915">
        <f t="shared" si="121"/>
        <v>0</v>
      </c>
      <c r="EK11" s="915">
        <f t="shared" si="122"/>
        <v>0</v>
      </c>
      <c r="EL11" s="915"/>
      <c r="EN11" s="533"/>
      <c r="EQ11" s="534"/>
    </row>
    <row r="12" spans="1:147" ht="14.1" customHeight="1" x14ac:dyDescent="0.2">
      <c r="A12" s="496">
        <v>5</v>
      </c>
      <c r="B12" s="1438"/>
      <c r="C12" s="1439"/>
      <c r="D12" s="264">
        <v>5</v>
      </c>
      <c r="E12" s="264" t="s">
        <v>1245</v>
      </c>
      <c r="F12" s="270" t="s">
        <v>2544</v>
      </c>
      <c r="G12" s="271">
        <v>1</v>
      </c>
      <c r="H12" s="803">
        <v>10</v>
      </c>
      <c r="I12" s="800">
        <f t="shared" si="2"/>
        <v>0.6</v>
      </c>
      <c r="J12" s="269">
        <f t="shared" si="62"/>
        <v>10.6</v>
      </c>
      <c r="K12" s="225"/>
      <c r="L12" s="941" t="str">
        <f>TabName5 &amp; " - UNITS"</f>
        <v>Phase 5 - UNITS</v>
      </c>
      <c r="M12" s="942">
        <f>Z6</f>
        <v>0</v>
      </c>
      <c r="N12" s="949" t="e">
        <f>+SUMIF($D$8:$D$110,"5",#REF!)</f>
        <v>#REF!</v>
      </c>
      <c r="P12" s="915">
        <f>INDEX(ValidateTable,5)</f>
        <v>5</v>
      </c>
      <c r="R12" s="941" t="s">
        <v>1246</v>
      </c>
      <c r="V12" s="915">
        <f t="shared" si="3"/>
        <v>0</v>
      </c>
      <c r="W12" s="915">
        <f t="shared" si="4"/>
        <v>0</v>
      </c>
      <c r="X12" s="915">
        <f t="shared" si="5"/>
        <v>0</v>
      </c>
      <c r="Y12" s="915">
        <f t="shared" si="6"/>
        <v>0</v>
      </c>
      <c r="Z12" s="915">
        <f t="shared" si="7"/>
        <v>0</v>
      </c>
      <c r="AA12" s="915">
        <f t="shared" si="8"/>
        <v>0</v>
      </c>
      <c r="AB12" s="915">
        <f t="shared" si="9"/>
        <v>0</v>
      </c>
      <c r="AC12" s="915">
        <f t="shared" si="10"/>
        <v>0</v>
      </c>
      <c r="AD12" s="915">
        <f t="shared" si="11"/>
        <v>0</v>
      </c>
      <c r="AE12" s="915">
        <f t="shared" si="12"/>
        <v>0</v>
      </c>
      <c r="AF12" s="915">
        <f t="shared" si="63"/>
        <v>0</v>
      </c>
      <c r="AG12" s="915">
        <f t="shared" si="64"/>
        <v>0</v>
      </c>
      <c r="AH12" s="915">
        <f t="shared" si="65"/>
        <v>0</v>
      </c>
      <c r="AI12" s="915">
        <f t="shared" si="66"/>
        <v>0</v>
      </c>
      <c r="AJ12" s="915">
        <f t="shared" si="67"/>
        <v>0</v>
      </c>
      <c r="AK12" s="915">
        <f t="shared" si="68"/>
        <v>0</v>
      </c>
      <c r="AL12" s="915">
        <f t="shared" si="69"/>
        <v>0</v>
      </c>
      <c r="AM12" s="915">
        <f t="shared" si="70"/>
        <v>0</v>
      </c>
      <c r="AN12" s="915">
        <f t="shared" si="71"/>
        <v>0</v>
      </c>
      <c r="AO12" s="915">
        <f t="shared" si="72"/>
        <v>0</v>
      </c>
      <c r="AP12" s="915">
        <f t="shared" si="13"/>
        <v>0</v>
      </c>
      <c r="AQ12" s="915">
        <f t="shared" si="14"/>
        <v>0</v>
      </c>
      <c r="AR12" s="915">
        <f t="shared" si="15"/>
        <v>0</v>
      </c>
      <c r="AS12" s="915">
        <f t="shared" si="16"/>
        <v>0</v>
      </c>
      <c r="AT12" s="915">
        <f t="shared" si="17"/>
        <v>10.6</v>
      </c>
      <c r="AU12" s="915">
        <f t="shared" si="18"/>
        <v>0</v>
      </c>
      <c r="AV12" s="915">
        <f t="shared" si="19"/>
        <v>0</v>
      </c>
      <c r="AW12" s="915">
        <f t="shared" si="20"/>
        <v>0</v>
      </c>
      <c r="AX12" s="915">
        <f t="shared" si="21"/>
        <v>0</v>
      </c>
      <c r="AY12" s="915">
        <f t="shared" si="73"/>
        <v>0</v>
      </c>
      <c r="AZ12" s="915">
        <f t="shared" si="74"/>
        <v>0</v>
      </c>
      <c r="BA12" s="915">
        <f t="shared" si="75"/>
        <v>0</v>
      </c>
      <c r="BB12" s="915">
        <f t="shared" si="76"/>
        <v>0</v>
      </c>
      <c r="BC12" s="915">
        <f t="shared" si="77"/>
        <v>0</v>
      </c>
      <c r="BD12" s="915">
        <f t="shared" si="78"/>
        <v>0</v>
      </c>
      <c r="BE12" s="915">
        <f t="shared" si="79"/>
        <v>0</v>
      </c>
      <c r="BF12" s="915">
        <f t="shared" si="80"/>
        <v>0</v>
      </c>
      <c r="BG12" s="915">
        <f t="shared" si="81"/>
        <v>0</v>
      </c>
      <c r="BH12" s="915">
        <f t="shared" si="82"/>
        <v>0</v>
      </c>
      <c r="BI12" s="915">
        <f t="shared" si="83"/>
        <v>0</v>
      </c>
      <c r="BJ12" s="915">
        <f t="shared" si="22"/>
        <v>0</v>
      </c>
      <c r="BK12" s="915">
        <f t="shared" si="23"/>
        <v>0</v>
      </c>
      <c r="BL12" s="915">
        <f t="shared" si="24"/>
        <v>0</v>
      </c>
      <c r="BM12" s="915">
        <f t="shared" si="25"/>
        <v>0</v>
      </c>
      <c r="BN12" s="915">
        <f t="shared" si="26"/>
        <v>0</v>
      </c>
      <c r="BO12" s="915">
        <f t="shared" si="27"/>
        <v>0</v>
      </c>
      <c r="BP12" s="915">
        <f t="shared" si="28"/>
        <v>0</v>
      </c>
      <c r="BQ12" s="915">
        <f t="shared" si="29"/>
        <v>0</v>
      </c>
      <c r="BR12" s="915">
        <f t="shared" si="30"/>
        <v>0</v>
      </c>
      <c r="BS12" s="915">
        <f t="shared" si="31"/>
        <v>0</v>
      </c>
      <c r="BT12" s="915">
        <f t="shared" si="84"/>
        <v>0</v>
      </c>
      <c r="BU12" s="915">
        <f t="shared" si="84"/>
        <v>0</v>
      </c>
      <c r="BV12" s="915">
        <f t="shared" si="85"/>
        <v>0</v>
      </c>
      <c r="BW12" s="915">
        <f t="shared" si="86"/>
        <v>0</v>
      </c>
      <c r="BX12" s="915">
        <f t="shared" si="87"/>
        <v>0</v>
      </c>
      <c r="BY12" s="915">
        <f t="shared" si="88"/>
        <v>0</v>
      </c>
      <c r="BZ12" s="915">
        <f t="shared" si="89"/>
        <v>0</v>
      </c>
      <c r="CA12" s="915">
        <f t="shared" si="90"/>
        <v>0</v>
      </c>
      <c r="CB12" s="915">
        <f t="shared" si="91"/>
        <v>0</v>
      </c>
      <c r="CC12" s="915">
        <f t="shared" si="92"/>
        <v>0</v>
      </c>
      <c r="CD12" s="915">
        <f t="shared" si="32"/>
        <v>0</v>
      </c>
      <c r="CE12" s="915">
        <f t="shared" si="33"/>
        <v>0</v>
      </c>
      <c r="CF12" s="915">
        <f t="shared" si="34"/>
        <v>0</v>
      </c>
      <c r="CG12" s="915">
        <f t="shared" si="35"/>
        <v>0</v>
      </c>
      <c r="CH12" s="915">
        <f t="shared" si="36"/>
        <v>0</v>
      </c>
      <c r="CI12" s="915">
        <f t="shared" si="37"/>
        <v>0</v>
      </c>
      <c r="CJ12" s="915">
        <f t="shared" si="38"/>
        <v>0</v>
      </c>
      <c r="CK12" s="915">
        <f t="shared" si="39"/>
        <v>0</v>
      </c>
      <c r="CL12" s="915">
        <f t="shared" si="40"/>
        <v>0</v>
      </c>
      <c r="CM12" s="915">
        <f t="shared" si="41"/>
        <v>0</v>
      </c>
      <c r="CN12" s="915">
        <f t="shared" si="93"/>
        <v>0</v>
      </c>
      <c r="CO12" s="915">
        <f t="shared" si="94"/>
        <v>0</v>
      </c>
      <c r="CP12" s="915">
        <f t="shared" si="95"/>
        <v>0</v>
      </c>
      <c r="CQ12" s="915">
        <f t="shared" si="96"/>
        <v>0</v>
      </c>
      <c r="CR12" s="915">
        <f t="shared" si="97"/>
        <v>0</v>
      </c>
      <c r="CS12" s="915">
        <f t="shared" si="98"/>
        <v>0</v>
      </c>
      <c r="CT12" s="915">
        <f t="shared" si="99"/>
        <v>0</v>
      </c>
      <c r="CU12" s="915">
        <f t="shared" si="100"/>
        <v>0</v>
      </c>
      <c r="CV12" s="915">
        <f t="shared" si="101"/>
        <v>0</v>
      </c>
      <c r="CW12" s="915">
        <f t="shared" si="102"/>
        <v>0</v>
      </c>
      <c r="CX12" s="915">
        <f t="shared" si="42"/>
        <v>0</v>
      </c>
      <c r="CY12" s="915">
        <f t="shared" si="43"/>
        <v>0</v>
      </c>
      <c r="CZ12" s="915">
        <f t="shared" si="44"/>
        <v>0</v>
      </c>
      <c r="DA12" s="915">
        <f t="shared" si="45"/>
        <v>0</v>
      </c>
      <c r="DB12" s="915">
        <f t="shared" si="46"/>
        <v>0</v>
      </c>
      <c r="DC12" s="915">
        <f t="shared" si="47"/>
        <v>0</v>
      </c>
      <c r="DD12" s="915">
        <f t="shared" si="48"/>
        <v>0</v>
      </c>
      <c r="DE12" s="915">
        <f t="shared" si="49"/>
        <v>0</v>
      </c>
      <c r="DF12" s="915">
        <f t="shared" si="50"/>
        <v>0</v>
      </c>
      <c r="DG12" s="915">
        <f t="shared" si="51"/>
        <v>0</v>
      </c>
      <c r="DH12" s="915">
        <f t="shared" si="103"/>
        <v>0</v>
      </c>
      <c r="DI12" s="915">
        <f t="shared" si="104"/>
        <v>0</v>
      </c>
      <c r="DJ12" s="915">
        <f t="shared" si="105"/>
        <v>0</v>
      </c>
      <c r="DK12" s="915">
        <f t="shared" si="106"/>
        <v>0</v>
      </c>
      <c r="DL12" s="915">
        <f t="shared" si="107"/>
        <v>0</v>
      </c>
      <c r="DM12" s="915">
        <f t="shared" si="108"/>
        <v>0</v>
      </c>
      <c r="DN12" s="915">
        <f t="shared" si="109"/>
        <v>0</v>
      </c>
      <c r="DO12" s="915">
        <f t="shared" si="110"/>
        <v>0</v>
      </c>
      <c r="DP12" s="915">
        <f t="shared" si="111"/>
        <v>0</v>
      </c>
      <c r="DQ12" s="915">
        <f t="shared" si="112"/>
        <v>0</v>
      </c>
      <c r="DR12" s="915">
        <f t="shared" si="52"/>
        <v>0</v>
      </c>
      <c r="DS12" s="915">
        <f t="shared" si="53"/>
        <v>0</v>
      </c>
      <c r="DT12" s="915">
        <f t="shared" si="54"/>
        <v>0</v>
      </c>
      <c r="DU12" s="915">
        <f t="shared" si="55"/>
        <v>0</v>
      </c>
      <c r="DV12" s="915">
        <f t="shared" si="56"/>
        <v>0</v>
      </c>
      <c r="DW12" s="915">
        <f t="shared" si="57"/>
        <v>0</v>
      </c>
      <c r="DX12" s="915">
        <f t="shared" si="58"/>
        <v>0</v>
      </c>
      <c r="DY12" s="915">
        <f t="shared" si="59"/>
        <v>0</v>
      </c>
      <c r="DZ12" s="915">
        <f t="shared" si="60"/>
        <v>0</v>
      </c>
      <c r="EA12" s="915">
        <f t="shared" si="61"/>
        <v>0</v>
      </c>
      <c r="EB12" s="915">
        <f t="shared" si="113"/>
        <v>0</v>
      </c>
      <c r="EC12" s="915">
        <f t="shared" si="114"/>
        <v>0</v>
      </c>
      <c r="ED12" s="915">
        <f t="shared" si="115"/>
        <v>0</v>
      </c>
      <c r="EE12" s="915">
        <f t="shared" si="116"/>
        <v>0</v>
      </c>
      <c r="EF12" s="915">
        <f t="shared" si="117"/>
        <v>0</v>
      </c>
      <c r="EG12" s="915">
        <f t="shared" si="118"/>
        <v>0</v>
      </c>
      <c r="EH12" s="915">
        <f t="shared" si="119"/>
        <v>0</v>
      </c>
      <c r="EI12" s="915">
        <f t="shared" si="120"/>
        <v>0</v>
      </c>
      <c r="EJ12" s="915">
        <f t="shared" si="121"/>
        <v>0</v>
      </c>
      <c r="EK12" s="915">
        <f t="shared" si="122"/>
        <v>0</v>
      </c>
      <c r="EL12" s="915"/>
      <c r="EN12" s="533"/>
      <c r="EQ12" s="534"/>
    </row>
    <row r="13" spans="1:147" ht="14.1" customHeight="1" x14ac:dyDescent="0.2">
      <c r="A13" s="497">
        <v>6</v>
      </c>
      <c r="B13" s="1423"/>
      <c r="C13" s="1424"/>
      <c r="D13" s="1020">
        <v>6</v>
      </c>
      <c r="E13" s="138" t="s">
        <v>1245</v>
      </c>
      <c r="F13" s="139" t="s">
        <v>2544</v>
      </c>
      <c r="G13" s="91">
        <v>1</v>
      </c>
      <c r="H13" s="802">
        <v>10</v>
      </c>
      <c r="I13" s="801">
        <f t="shared" si="2"/>
        <v>0.6</v>
      </c>
      <c r="J13" s="90">
        <f t="shared" si="62"/>
        <v>10.6</v>
      </c>
      <c r="K13" s="225"/>
      <c r="L13" s="941" t="str">
        <f>TabName6 &amp; " - UNITS"</f>
        <v>Phase 6 - UNITS</v>
      </c>
      <c r="M13" s="942">
        <f>AA6</f>
        <v>0</v>
      </c>
      <c r="N13" s="949" t="e">
        <f>+SUMIF($D$8:$D$110,"6",#REF!)</f>
        <v>#REF!</v>
      </c>
      <c r="P13" s="915">
        <f>INDEX(ValidateTable,6)</f>
        <v>6</v>
      </c>
      <c r="R13" s="941" t="s">
        <v>1247</v>
      </c>
      <c r="V13" s="915">
        <f t="shared" si="3"/>
        <v>0</v>
      </c>
      <c r="W13" s="915">
        <f t="shared" si="4"/>
        <v>0</v>
      </c>
      <c r="X13" s="915">
        <f t="shared" si="5"/>
        <v>0</v>
      </c>
      <c r="Y13" s="915">
        <f t="shared" si="6"/>
        <v>0</v>
      </c>
      <c r="Z13" s="915">
        <f t="shared" si="7"/>
        <v>0</v>
      </c>
      <c r="AA13" s="915">
        <f t="shared" si="8"/>
        <v>0</v>
      </c>
      <c r="AB13" s="915">
        <f t="shared" si="9"/>
        <v>0</v>
      </c>
      <c r="AC13" s="915">
        <f t="shared" si="10"/>
        <v>0</v>
      </c>
      <c r="AD13" s="915">
        <f t="shared" si="11"/>
        <v>0</v>
      </c>
      <c r="AE13" s="915">
        <f t="shared" si="12"/>
        <v>0</v>
      </c>
      <c r="AF13" s="915">
        <f t="shared" si="63"/>
        <v>0</v>
      </c>
      <c r="AG13" s="915">
        <f t="shared" si="64"/>
        <v>0</v>
      </c>
      <c r="AH13" s="915">
        <f t="shared" si="65"/>
        <v>0</v>
      </c>
      <c r="AI13" s="915">
        <f t="shared" si="66"/>
        <v>0</v>
      </c>
      <c r="AJ13" s="915">
        <f t="shared" si="67"/>
        <v>0</v>
      </c>
      <c r="AK13" s="915">
        <f t="shared" si="68"/>
        <v>0</v>
      </c>
      <c r="AL13" s="915">
        <f t="shared" si="69"/>
        <v>0</v>
      </c>
      <c r="AM13" s="915">
        <f t="shared" si="70"/>
        <v>0</v>
      </c>
      <c r="AN13" s="915">
        <f t="shared" si="71"/>
        <v>0</v>
      </c>
      <c r="AO13" s="915">
        <f t="shared" si="72"/>
        <v>0</v>
      </c>
      <c r="AP13" s="915">
        <f t="shared" si="13"/>
        <v>0</v>
      </c>
      <c r="AQ13" s="915">
        <f t="shared" si="14"/>
        <v>0</v>
      </c>
      <c r="AR13" s="915">
        <f t="shared" si="15"/>
        <v>0</v>
      </c>
      <c r="AS13" s="915">
        <f t="shared" si="16"/>
        <v>0</v>
      </c>
      <c r="AT13" s="915">
        <f t="shared" si="17"/>
        <v>0</v>
      </c>
      <c r="AU13" s="915">
        <f t="shared" si="18"/>
        <v>10.6</v>
      </c>
      <c r="AV13" s="915">
        <f t="shared" si="19"/>
        <v>0</v>
      </c>
      <c r="AW13" s="915">
        <f t="shared" si="20"/>
        <v>0</v>
      </c>
      <c r="AX13" s="915">
        <f t="shared" si="21"/>
        <v>0</v>
      </c>
      <c r="AY13" s="915">
        <f t="shared" si="73"/>
        <v>0</v>
      </c>
      <c r="AZ13" s="915">
        <f t="shared" si="74"/>
        <v>0</v>
      </c>
      <c r="BA13" s="915">
        <f t="shared" si="75"/>
        <v>0</v>
      </c>
      <c r="BB13" s="915">
        <f t="shared" si="76"/>
        <v>0</v>
      </c>
      <c r="BC13" s="915">
        <f t="shared" si="77"/>
        <v>0</v>
      </c>
      <c r="BD13" s="915">
        <f t="shared" si="78"/>
        <v>0</v>
      </c>
      <c r="BE13" s="915">
        <f t="shared" si="79"/>
        <v>0</v>
      </c>
      <c r="BF13" s="915">
        <f t="shared" si="80"/>
        <v>0</v>
      </c>
      <c r="BG13" s="915">
        <f t="shared" si="81"/>
        <v>0</v>
      </c>
      <c r="BH13" s="915">
        <f t="shared" si="82"/>
        <v>0</v>
      </c>
      <c r="BI13" s="915">
        <f t="shared" si="83"/>
        <v>0</v>
      </c>
      <c r="BJ13" s="915">
        <f t="shared" si="22"/>
        <v>0</v>
      </c>
      <c r="BK13" s="915">
        <f t="shared" si="23"/>
        <v>0</v>
      </c>
      <c r="BL13" s="915">
        <f t="shared" si="24"/>
        <v>0</v>
      </c>
      <c r="BM13" s="915">
        <f t="shared" si="25"/>
        <v>0</v>
      </c>
      <c r="BN13" s="915">
        <f t="shared" si="26"/>
        <v>0</v>
      </c>
      <c r="BO13" s="915">
        <f t="shared" si="27"/>
        <v>0</v>
      </c>
      <c r="BP13" s="915">
        <f t="shared" si="28"/>
        <v>0</v>
      </c>
      <c r="BQ13" s="915">
        <f t="shared" si="29"/>
        <v>0</v>
      </c>
      <c r="BR13" s="915">
        <f t="shared" si="30"/>
        <v>0</v>
      </c>
      <c r="BS13" s="915">
        <f t="shared" si="31"/>
        <v>0</v>
      </c>
      <c r="BT13" s="915">
        <f t="shared" si="84"/>
        <v>0</v>
      </c>
      <c r="BU13" s="915">
        <f t="shared" si="84"/>
        <v>0</v>
      </c>
      <c r="BV13" s="915">
        <f t="shared" si="85"/>
        <v>0</v>
      </c>
      <c r="BW13" s="915">
        <f t="shared" si="86"/>
        <v>0</v>
      </c>
      <c r="BX13" s="915">
        <f t="shared" si="87"/>
        <v>0</v>
      </c>
      <c r="BY13" s="915">
        <f t="shared" si="88"/>
        <v>0</v>
      </c>
      <c r="BZ13" s="915">
        <f t="shared" si="89"/>
        <v>0</v>
      </c>
      <c r="CA13" s="915">
        <f t="shared" si="90"/>
        <v>0</v>
      </c>
      <c r="CB13" s="915">
        <f t="shared" si="91"/>
        <v>0</v>
      </c>
      <c r="CC13" s="915">
        <f t="shared" si="92"/>
        <v>0</v>
      </c>
      <c r="CD13" s="915">
        <f t="shared" si="32"/>
        <v>0</v>
      </c>
      <c r="CE13" s="915">
        <f t="shared" si="33"/>
        <v>0</v>
      </c>
      <c r="CF13" s="915">
        <f t="shared" si="34"/>
        <v>0</v>
      </c>
      <c r="CG13" s="915">
        <f t="shared" si="35"/>
        <v>0</v>
      </c>
      <c r="CH13" s="915">
        <f t="shared" si="36"/>
        <v>0</v>
      </c>
      <c r="CI13" s="915">
        <f t="shared" si="37"/>
        <v>0</v>
      </c>
      <c r="CJ13" s="915">
        <f t="shared" si="38"/>
        <v>0</v>
      </c>
      <c r="CK13" s="915">
        <f t="shared" si="39"/>
        <v>0</v>
      </c>
      <c r="CL13" s="915">
        <f t="shared" si="40"/>
        <v>0</v>
      </c>
      <c r="CM13" s="915">
        <f t="shared" si="41"/>
        <v>0</v>
      </c>
      <c r="CN13" s="915">
        <f t="shared" si="93"/>
        <v>0</v>
      </c>
      <c r="CO13" s="915">
        <f t="shared" si="94"/>
        <v>0</v>
      </c>
      <c r="CP13" s="915">
        <f t="shared" si="95"/>
        <v>0</v>
      </c>
      <c r="CQ13" s="915">
        <f t="shared" si="96"/>
        <v>0</v>
      </c>
      <c r="CR13" s="915">
        <f t="shared" si="97"/>
        <v>0</v>
      </c>
      <c r="CS13" s="915">
        <f t="shared" si="98"/>
        <v>0</v>
      </c>
      <c r="CT13" s="915">
        <f t="shared" si="99"/>
        <v>0</v>
      </c>
      <c r="CU13" s="915">
        <f t="shared" si="100"/>
        <v>0</v>
      </c>
      <c r="CV13" s="915">
        <f t="shared" si="101"/>
        <v>0</v>
      </c>
      <c r="CW13" s="915">
        <f t="shared" si="102"/>
        <v>0</v>
      </c>
      <c r="CX13" s="915">
        <f t="shared" si="42"/>
        <v>0</v>
      </c>
      <c r="CY13" s="915">
        <f t="shared" si="43"/>
        <v>0</v>
      </c>
      <c r="CZ13" s="915">
        <f t="shared" si="44"/>
        <v>0</v>
      </c>
      <c r="DA13" s="915">
        <f t="shared" si="45"/>
        <v>0</v>
      </c>
      <c r="DB13" s="915">
        <f t="shared" si="46"/>
        <v>0</v>
      </c>
      <c r="DC13" s="915">
        <f t="shared" si="47"/>
        <v>0</v>
      </c>
      <c r="DD13" s="915">
        <f t="shared" si="48"/>
        <v>0</v>
      </c>
      <c r="DE13" s="915">
        <f t="shared" si="49"/>
        <v>0</v>
      </c>
      <c r="DF13" s="915">
        <f t="shared" si="50"/>
        <v>0</v>
      </c>
      <c r="DG13" s="915">
        <f t="shared" si="51"/>
        <v>0</v>
      </c>
      <c r="DH13" s="915">
        <f t="shared" si="103"/>
        <v>0</v>
      </c>
      <c r="DI13" s="915">
        <f t="shared" si="104"/>
        <v>0</v>
      </c>
      <c r="DJ13" s="915">
        <f t="shared" si="105"/>
        <v>0</v>
      </c>
      <c r="DK13" s="915">
        <f t="shared" si="106"/>
        <v>0</v>
      </c>
      <c r="DL13" s="915">
        <f t="shared" si="107"/>
        <v>0</v>
      </c>
      <c r="DM13" s="915">
        <f t="shared" si="108"/>
        <v>0</v>
      </c>
      <c r="DN13" s="915">
        <f t="shared" si="109"/>
        <v>0</v>
      </c>
      <c r="DO13" s="915">
        <f t="shared" si="110"/>
        <v>0</v>
      </c>
      <c r="DP13" s="915">
        <f t="shared" si="111"/>
        <v>0</v>
      </c>
      <c r="DQ13" s="915">
        <f t="shared" si="112"/>
        <v>0</v>
      </c>
      <c r="DR13" s="915">
        <f t="shared" si="52"/>
        <v>0</v>
      </c>
      <c r="DS13" s="915">
        <f t="shared" si="53"/>
        <v>0</v>
      </c>
      <c r="DT13" s="915">
        <f t="shared" si="54"/>
        <v>0</v>
      </c>
      <c r="DU13" s="915">
        <f t="shared" si="55"/>
        <v>0</v>
      </c>
      <c r="DV13" s="915">
        <f t="shared" si="56"/>
        <v>0</v>
      </c>
      <c r="DW13" s="915">
        <f t="shared" si="57"/>
        <v>0</v>
      </c>
      <c r="DX13" s="915">
        <f t="shared" si="58"/>
        <v>0</v>
      </c>
      <c r="DY13" s="915">
        <f t="shared" si="59"/>
        <v>0</v>
      </c>
      <c r="DZ13" s="915">
        <f t="shared" si="60"/>
        <v>0</v>
      </c>
      <c r="EA13" s="915">
        <f t="shared" si="61"/>
        <v>0</v>
      </c>
      <c r="EB13" s="915">
        <f t="shared" si="113"/>
        <v>0</v>
      </c>
      <c r="EC13" s="915">
        <f t="shared" si="114"/>
        <v>0</v>
      </c>
      <c r="ED13" s="915">
        <f t="shared" si="115"/>
        <v>0</v>
      </c>
      <c r="EE13" s="915">
        <f t="shared" si="116"/>
        <v>0</v>
      </c>
      <c r="EF13" s="915">
        <f t="shared" si="117"/>
        <v>0</v>
      </c>
      <c r="EG13" s="915">
        <f t="shared" si="118"/>
        <v>0</v>
      </c>
      <c r="EH13" s="915">
        <f t="shared" si="119"/>
        <v>0</v>
      </c>
      <c r="EI13" s="915">
        <f t="shared" si="120"/>
        <v>0</v>
      </c>
      <c r="EJ13" s="915">
        <f t="shared" si="121"/>
        <v>0</v>
      </c>
      <c r="EK13" s="915">
        <f t="shared" si="122"/>
        <v>0</v>
      </c>
      <c r="EL13" s="915"/>
      <c r="EN13" s="533"/>
      <c r="EQ13" s="534"/>
    </row>
    <row r="14" spans="1:147" ht="14.1" customHeight="1" x14ac:dyDescent="0.2">
      <c r="A14" s="496">
        <v>7</v>
      </c>
      <c r="B14" s="1419"/>
      <c r="C14" s="1433"/>
      <c r="D14" s="264">
        <v>7</v>
      </c>
      <c r="E14" s="264" t="s">
        <v>1245</v>
      </c>
      <c r="F14" s="270" t="s">
        <v>2544</v>
      </c>
      <c r="G14" s="271">
        <v>1</v>
      </c>
      <c r="H14" s="803">
        <v>10</v>
      </c>
      <c r="I14" s="800">
        <f t="shared" si="2"/>
        <v>0.6</v>
      </c>
      <c r="J14" s="269">
        <f t="shared" si="62"/>
        <v>10.6</v>
      </c>
      <c r="K14" s="225"/>
      <c r="L14" s="941" t="str">
        <f>TabName7 &amp; " - UNITS"</f>
        <v>Phase 7 - UNITS</v>
      </c>
      <c r="M14" s="942">
        <f>AB6</f>
        <v>0</v>
      </c>
      <c r="N14" s="949" t="e">
        <f>+SUMIF($D$8:$D$110,"7",#REF!)</f>
        <v>#REF!</v>
      </c>
      <c r="P14" s="915">
        <f>INDEX(ValidateTable,7)</f>
        <v>7</v>
      </c>
      <c r="V14" s="915">
        <f t="shared" si="3"/>
        <v>0</v>
      </c>
      <c r="W14" s="915">
        <f t="shared" si="4"/>
        <v>0</v>
      </c>
      <c r="X14" s="915">
        <f t="shared" si="5"/>
        <v>0</v>
      </c>
      <c r="Y14" s="915">
        <f t="shared" si="6"/>
        <v>0</v>
      </c>
      <c r="Z14" s="915">
        <f t="shared" si="7"/>
        <v>0</v>
      </c>
      <c r="AA14" s="915">
        <f t="shared" si="8"/>
        <v>0</v>
      </c>
      <c r="AB14" s="915">
        <f t="shared" si="9"/>
        <v>0</v>
      </c>
      <c r="AC14" s="915">
        <f t="shared" si="10"/>
        <v>0</v>
      </c>
      <c r="AD14" s="915">
        <f t="shared" si="11"/>
        <v>0</v>
      </c>
      <c r="AE14" s="915">
        <f t="shared" si="12"/>
        <v>0</v>
      </c>
      <c r="AF14" s="915">
        <f t="shared" si="63"/>
        <v>0</v>
      </c>
      <c r="AG14" s="915">
        <f t="shared" si="64"/>
        <v>0</v>
      </c>
      <c r="AH14" s="915">
        <f t="shared" si="65"/>
        <v>0</v>
      </c>
      <c r="AI14" s="915">
        <f t="shared" si="66"/>
        <v>0</v>
      </c>
      <c r="AJ14" s="915">
        <f t="shared" si="67"/>
        <v>0</v>
      </c>
      <c r="AK14" s="915">
        <f t="shared" si="68"/>
        <v>0</v>
      </c>
      <c r="AL14" s="915">
        <f t="shared" si="69"/>
        <v>0</v>
      </c>
      <c r="AM14" s="915">
        <f t="shared" si="70"/>
        <v>0</v>
      </c>
      <c r="AN14" s="915">
        <f t="shared" si="71"/>
        <v>0</v>
      </c>
      <c r="AO14" s="915">
        <f t="shared" si="72"/>
        <v>0</v>
      </c>
      <c r="AP14" s="915">
        <f t="shared" si="13"/>
        <v>0</v>
      </c>
      <c r="AQ14" s="915">
        <f t="shared" si="14"/>
        <v>0</v>
      </c>
      <c r="AR14" s="915">
        <f t="shared" si="15"/>
        <v>0</v>
      </c>
      <c r="AS14" s="915">
        <f t="shared" si="16"/>
        <v>0</v>
      </c>
      <c r="AT14" s="915">
        <f t="shared" si="17"/>
        <v>0</v>
      </c>
      <c r="AU14" s="915">
        <f t="shared" si="18"/>
        <v>0</v>
      </c>
      <c r="AV14" s="915">
        <f t="shared" si="19"/>
        <v>10.6</v>
      </c>
      <c r="AW14" s="915">
        <f t="shared" si="20"/>
        <v>0</v>
      </c>
      <c r="AX14" s="915">
        <f t="shared" si="21"/>
        <v>0</v>
      </c>
      <c r="AY14" s="915">
        <f t="shared" si="73"/>
        <v>0</v>
      </c>
      <c r="AZ14" s="915">
        <f t="shared" si="74"/>
        <v>0</v>
      </c>
      <c r="BA14" s="915">
        <f t="shared" si="75"/>
        <v>0</v>
      </c>
      <c r="BB14" s="915">
        <f t="shared" si="76"/>
        <v>0</v>
      </c>
      <c r="BC14" s="915">
        <f t="shared" si="77"/>
        <v>0</v>
      </c>
      <c r="BD14" s="915">
        <f t="shared" si="78"/>
        <v>0</v>
      </c>
      <c r="BE14" s="915">
        <f t="shared" si="79"/>
        <v>0</v>
      </c>
      <c r="BF14" s="915">
        <f t="shared" si="80"/>
        <v>0</v>
      </c>
      <c r="BG14" s="915">
        <f t="shared" si="81"/>
        <v>0</v>
      </c>
      <c r="BH14" s="915">
        <f t="shared" si="82"/>
        <v>0</v>
      </c>
      <c r="BI14" s="915">
        <f t="shared" si="83"/>
        <v>0</v>
      </c>
      <c r="BJ14" s="915">
        <f t="shared" si="22"/>
        <v>0</v>
      </c>
      <c r="BK14" s="915">
        <f t="shared" si="23"/>
        <v>0</v>
      </c>
      <c r="BL14" s="915">
        <f t="shared" si="24"/>
        <v>0</v>
      </c>
      <c r="BM14" s="915">
        <f t="shared" si="25"/>
        <v>0</v>
      </c>
      <c r="BN14" s="915">
        <f t="shared" si="26"/>
        <v>0</v>
      </c>
      <c r="BO14" s="915">
        <f t="shared" si="27"/>
        <v>0</v>
      </c>
      <c r="BP14" s="915">
        <f t="shared" si="28"/>
        <v>0</v>
      </c>
      <c r="BQ14" s="915">
        <f t="shared" si="29"/>
        <v>0</v>
      </c>
      <c r="BR14" s="915">
        <f t="shared" si="30"/>
        <v>0</v>
      </c>
      <c r="BS14" s="915">
        <f t="shared" si="31"/>
        <v>0</v>
      </c>
      <c r="BT14" s="915">
        <f t="shared" si="84"/>
        <v>0</v>
      </c>
      <c r="BU14" s="915">
        <f t="shared" si="84"/>
        <v>0</v>
      </c>
      <c r="BV14" s="915">
        <f t="shared" si="85"/>
        <v>0</v>
      </c>
      <c r="BW14" s="915">
        <f t="shared" si="86"/>
        <v>0</v>
      </c>
      <c r="BX14" s="915">
        <f t="shared" si="87"/>
        <v>0</v>
      </c>
      <c r="BY14" s="915">
        <f t="shared" si="88"/>
        <v>0</v>
      </c>
      <c r="BZ14" s="915">
        <f t="shared" si="89"/>
        <v>0</v>
      </c>
      <c r="CA14" s="915">
        <f t="shared" si="90"/>
        <v>0</v>
      </c>
      <c r="CB14" s="915">
        <f t="shared" si="91"/>
        <v>0</v>
      </c>
      <c r="CC14" s="915">
        <f t="shared" si="92"/>
        <v>0</v>
      </c>
      <c r="CD14" s="915">
        <f t="shared" si="32"/>
        <v>0</v>
      </c>
      <c r="CE14" s="915">
        <f t="shared" si="33"/>
        <v>0</v>
      </c>
      <c r="CF14" s="915">
        <f t="shared" si="34"/>
        <v>0</v>
      </c>
      <c r="CG14" s="915">
        <f t="shared" si="35"/>
        <v>0</v>
      </c>
      <c r="CH14" s="915">
        <f t="shared" si="36"/>
        <v>0</v>
      </c>
      <c r="CI14" s="915">
        <f t="shared" si="37"/>
        <v>0</v>
      </c>
      <c r="CJ14" s="915">
        <f t="shared" si="38"/>
        <v>0</v>
      </c>
      <c r="CK14" s="915">
        <f t="shared" si="39"/>
        <v>0</v>
      </c>
      <c r="CL14" s="915">
        <f t="shared" si="40"/>
        <v>0</v>
      </c>
      <c r="CM14" s="915">
        <f t="shared" si="41"/>
        <v>0</v>
      </c>
      <c r="CN14" s="915">
        <f t="shared" si="93"/>
        <v>0</v>
      </c>
      <c r="CO14" s="915">
        <f t="shared" si="94"/>
        <v>0</v>
      </c>
      <c r="CP14" s="915">
        <f t="shared" si="95"/>
        <v>0</v>
      </c>
      <c r="CQ14" s="915">
        <f t="shared" si="96"/>
        <v>0</v>
      </c>
      <c r="CR14" s="915">
        <f t="shared" si="97"/>
        <v>0</v>
      </c>
      <c r="CS14" s="915">
        <f t="shared" si="98"/>
        <v>0</v>
      </c>
      <c r="CT14" s="915">
        <f t="shared" si="99"/>
        <v>0</v>
      </c>
      <c r="CU14" s="915">
        <f t="shared" si="100"/>
        <v>0</v>
      </c>
      <c r="CV14" s="915">
        <f t="shared" si="101"/>
        <v>0</v>
      </c>
      <c r="CW14" s="915">
        <f t="shared" si="102"/>
        <v>0</v>
      </c>
      <c r="CX14" s="915">
        <f t="shared" si="42"/>
        <v>0</v>
      </c>
      <c r="CY14" s="915">
        <f t="shared" si="43"/>
        <v>0</v>
      </c>
      <c r="CZ14" s="915">
        <f t="shared" si="44"/>
        <v>0</v>
      </c>
      <c r="DA14" s="915">
        <f t="shared" si="45"/>
        <v>0</v>
      </c>
      <c r="DB14" s="915">
        <f t="shared" si="46"/>
        <v>0</v>
      </c>
      <c r="DC14" s="915">
        <f t="shared" si="47"/>
        <v>0</v>
      </c>
      <c r="DD14" s="915">
        <f t="shared" si="48"/>
        <v>0</v>
      </c>
      <c r="DE14" s="915">
        <f t="shared" si="49"/>
        <v>0</v>
      </c>
      <c r="DF14" s="915">
        <f t="shared" si="50"/>
        <v>0</v>
      </c>
      <c r="DG14" s="915">
        <f t="shared" si="51"/>
        <v>0</v>
      </c>
      <c r="DH14" s="915">
        <f t="shared" si="103"/>
        <v>0</v>
      </c>
      <c r="DI14" s="915">
        <f t="shared" si="104"/>
        <v>0</v>
      </c>
      <c r="DJ14" s="915">
        <f t="shared" si="105"/>
        <v>0</v>
      </c>
      <c r="DK14" s="915">
        <f t="shared" si="106"/>
        <v>0</v>
      </c>
      <c r="DL14" s="915">
        <f t="shared" si="107"/>
        <v>0</v>
      </c>
      <c r="DM14" s="915">
        <f t="shared" si="108"/>
        <v>0</v>
      </c>
      <c r="DN14" s="915">
        <f t="shared" si="109"/>
        <v>0</v>
      </c>
      <c r="DO14" s="915">
        <f t="shared" si="110"/>
        <v>0</v>
      </c>
      <c r="DP14" s="915">
        <f t="shared" si="111"/>
        <v>0</v>
      </c>
      <c r="DQ14" s="915">
        <f t="shared" si="112"/>
        <v>0</v>
      </c>
      <c r="DR14" s="915">
        <f t="shared" si="52"/>
        <v>0</v>
      </c>
      <c r="DS14" s="915">
        <f t="shared" si="53"/>
        <v>0</v>
      </c>
      <c r="DT14" s="915">
        <f t="shared" si="54"/>
        <v>0</v>
      </c>
      <c r="DU14" s="915">
        <f t="shared" si="55"/>
        <v>0</v>
      </c>
      <c r="DV14" s="915">
        <f t="shared" si="56"/>
        <v>0</v>
      </c>
      <c r="DW14" s="915">
        <f t="shared" si="57"/>
        <v>0</v>
      </c>
      <c r="DX14" s="915">
        <f t="shared" si="58"/>
        <v>0</v>
      </c>
      <c r="DY14" s="915">
        <f t="shared" si="59"/>
        <v>0</v>
      </c>
      <c r="DZ14" s="915">
        <f t="shared" si="60"/>
        <v>0</v>
      </c>
      <c r="EA14" s="915">
        <f t="shared" si="61"/>
        <v>0</v>
      </c>
      <c r="EB14" s="915">
        <f t="shared" si="113"/>
        <v>0</v>
      </c>
      <c r="EC14" s="915">
        <f t="shared" si="114"/>
        <v>0</v>
      </c>
      <c r="ED14" s="915">
        <f t="shared" si="115"/>
        <v>0</v>
      </c>
      <c r="EE14" s="915">
        <f t="shared" si="116"/>
        <v>0</v>
      </c>
      <c r="EF14" s="915">
        <f t="shared" si="117"/>
        <v>0</v>
      </c>
      <c r="EG14" s="915">
        <f t="shared" si="118"/>
        <v>0</v>
      </c>
      <c r="EH14" s="915">
        <f t="shared" si="119"/>
        <v>0</v>
      </c>
      <c r="EI14" s="915">
        <f t="shared" si="120"/>
        <v>0</v>
      </c>
      <c r="EJ14" s="915">
        <f t="shared" si="121"/>
        <v>0</v>
      </c>
      <c r="EK14" s="915">
        <f t="shared" si="122"/>
        <v>0</v>
      </c>
      <c r="EL14" s="915"/>
      <c r="EN14" s="533"/>
      <c r="EQ14" s="534"/>
    </row>
    <row r="15" spans="1:147" ht="14.1" customHeight="1" x14ac:dyDescent="0.2">
      <c r="A15" s="497">
        <v>8</v>
      </c>
      <c r="B15" s="1423"/>
      <c r="C15" s="1424"/>
      <c r="D15" s="1020">
        <v>8</v>
      </c>
      <c r="E15" s="138" t="s">
        <v>1245</v>
      </c>
      <c r="F15" s="139" t="s">
        <v>2544</v>
      </c>
      <c r="G15" s="91">
        <v>1</v>
      </c>
      <c r="H15" s="802">
        <v>10</v>
      </c>
      <c r="I15" s="801">
        <f t="shared" si="2"/>
        <v>0.6</v>
      </c>
      <c r="J15" s="90">
        <f t="shared" si="62"/>
        <v>10.6</v>
      </c>
      <c r="K15" s="225"/>
      <c r="L15" s="941" t="str">
        <f>TabName8 &amp; " - UNITS"</f>
        <v>Phase 8 - UNITS</v>
      </c>
      <c r="M15" s="942">
        <f>AC6</f>
        <v>0</v>
      </c>
      <c r="N15" s="949" t="e">
        <f>+SUMIF($D$8:$D$110,"8",#REF!)</f>
        <v>#REF!</v>
      </c>
      <c r="P15" s="915">
        <f>INDEX(ValidateTable,8)</f>
        <v>8</v>
      </c>
      <c r="V15" s="915">
        <f t="shared" si="3"/>
        <v>0</v>
      </c>
      <c r="W15" s="915">
        <f t="shared" si="4"/>
        <v>0</v>
      </c>
      <c r="X15" s="915">
        <f t="shared" si="5"/>
        <v>0</v>
      </c>
      <c r="Y15" s="915">
        <f t="shared" si="6"/>
        <v>0</v>
      </c>
      <c r="Z15" s="915">
        <f t="shared" si="7"/>
        <v>0</v>
      </c>
      <c r="AA15" s="915">
        <f t="shared" si="8"/>
        <v>0</v>
      </c>
      <c r="AB15" s="915">
        <f t="shared" si="9"/>
        <v>0</v>
      </c>
      <c r="AC15" s="915">
        <f t="shared" si="10"/>
        <v>0</v>
      </c>
      <c r="AD15" s="915">
        <f t="shared" si="11"/>
        <v>0</v>
      </c>
      <c r="AE15" s="915">
        <f t="shared" si="12"/>
        <v>0</v>
      </c>
      <c r="AF15" s="915">
        <f t="shared" si="63"/>
        <v>0</v>
      </c>
      <c r="AG15" s="915">
        <f t="shared" si="64"/>
        <v>0</v>
      </c>
      <c r="AH15" s="915">
        <f t="shared" si="65"/>
        <v>0</v>
      </c>
      <c r="AI15" s="915">
        <f t="shared" si="66"/>
        <v>0</v>
      </c>
      <c r="AJ15" s="915">
        <f t="shared" si="67"/>
        <v>0</v>
      </c>
      <c r="AK15" s="915">
        <f t="shared" si="68"/>
        <v>0</v>
      </c>
      <c r="AL15" s="915">
        <f t="shared" si="69"/>
        <v>0</v>
      </c>
      <c r="AM15" s="915">
        <f t="shared" si="70"/>
        <v>0</v>
      </c>
      <c r="AN15" s="915">
        <f t="shared" si="71"/>
        <v>0</v>
      </c>
      <c r="AO15" s="915">
        <f t="shared" si="72"/>
        <v>0</v>
      </c>
      <c r="AP15" s="915">
        <f t="shared" si="13"/>
        <v>0</v>
      </c>
      <c r="AQ15" s="915">
        <f t="shared" si="14"/>
        <v>0</v>
      </c>
      <c r="AR15" s="915">
        <f t="shared" si="15"/>
        <v>0</v>
      </c>
      <c r="AS15" s="915">
        <f t="shared" si="16"/>
        <v>0</v>
      </c>
      <c r="AT15" s="915">
        <f t="shared" si="17"/>
        <v>0</v>
      </c>
      <c r="AU15" s="915">
        <f t="shared" si="18"/>
        <v>0</v>
      </c>
      <c r="AV15" s="915">
        <f t="shared" si="19"/>
        <v>0</v>
      </c>
      <c r="AW15" s="915">
        <f t="shared" si="20"/>
        <v>10.6</v>
      </c>
      <c r="AX15" s="915">
        <f t="shared" si="21"/>
        <v>0</v>
      </c>
      <c r="AY15" s="915">
        <f t="shared" si="73"/>
        <v>0</v>
      </c>
      <c r="AZ15" s="915">
        <f t="shared" si="74"/>
        <v>0</v>
      </c>
      <c r="BA15" s="915">
        <f t="shared" si="75"/>
        <v>0</v>
      </c>
      <c r="BB15" s="915">
        <f t="shared" si="76"/>
        <v>0</v>
      </c>
      <c r="BC15" s="915">
        <f t="shared" si="77"/>
        <v>0</v>
      </c>
      <c r="BD15" s="915">
        <f t="shared" si="78"/>
        <v>0</v>
      </c>
      <c r="BE15" s="915">
        <f t="shared" si="79"/>
        <v>0</v>
      </c>
      <c r="BF15" s="915">
        <f t="shared" si="80"/>
        <v>0</v>
      </c>
      <c r="BG15" s="915">
        <f t="shared" si="81"/>
        <v>0</v>
      </c>
      <c r="BH15" s="915">
        <f t="shared" si="82"/>
        <v>0</v>
      </c>
      <c r="BI15" s="915">
        <f t="shared" si="83"/>
        <v>0</v>
      </c>
      <c r="BJ15" s="915">
        <f t="shared" si="22"/>
        <v>0</v>
      </c>
      <c r="BK15" s="915">
        <f t="shared" si="23"/>
        <v>0</v>
      </c>
      <c r="BL15" s="915">
        <f t="shared" si="24"/>
        <v>0</v>
      </c>
      <c r="BM15" s="915">
        <f t="shared" si="25"/>
        <v>0</v>
      </c>
      <c r="BN15" s="915">
        <f t="shared" si="26"/>
        <v>0</v>
      </c>
      <c r="BO15" s="915">
        <f t="shared" si="27"/>
        <v>0</v>
      </c>
      <c r="BP15" s="915">
        <f t="shared" si="28"/>
        <v>0</v>
      </c>
      <c r="BQ15" s="915">
        <f t="shared" si="29"/>
        <v>0</v>
      </c>
      <c r="BR15" s="915">
        <f t="shared" si="30"/>
        <v>0</v>
      </c>
      <c r="BS15" s="915">
        <f t="shared" si="31"/>
        <v>0</v>
      </c>
      <c r="BT15" s="915">
        <f t="shared" si="84"/>
        <v>0</v>
      </c>
      <c r="BU15" s="915">
        <f t="shared" si="84"/>
        <v>0</v>
      </c>
      <c r="BV15" s="915">
        <f t="shared" si="85"/>
        <v>0</v>
      </c>
      <c r="BW15" s="915">
        <f t="shared" si="86"/>
        <v>0</v>
      </c>
      <c r="BX15" s="915">
        <f t="shared" si="87"/>
        <v>0</v>
      </c>
      <c r="BY15" s="915">
        <f t="shared" si="88"/>
        <v>0</v>
      </c>
      <c r="BZ15" s="915">
        <f t="shared" si="89"/>
        <v>0</v>
      </c>
      <c r="CA15" s="915">
        <f t="shared" si="90"/>
        <v>0</v>
      </c>
      <c r="CB15" s="915">
        <f t="shared" si="91"/>
        <v>0</v>
      </c>
      <c r="CC15" s="915">
        <f t="shared" si="92"/>
        <v>0</v>
      </c>
      <c r="CD15" s="915">
        <f t="shared" si="32"/>
        <v>0</v>
      </c>
      <c r="CE15" s="915">
        <f t="shared" si="33"/>
        <v>0</v>
      </c>
      <c r="CF15" s="915">
        <f t="shared" si="34"/>
        <v>0</v>
      </c>
      <c r="CG15" s="915">
        <f t="shared" si="35"/>
        <v>0</v>
      </c>
      <c r="CH15" s="915">
        <f t="shared" si="36"/>
        <v>0</v>
      </c>
      <c r="CI15" s="915">
        <f t="shared" si="37"/>
        <v>0</v>
      </c>
      <c r="CJ15" s="915">
        <f t="shared" si="38"/>
        <v>0</v>
      </c>
      <c r="CK15" s="915">
        <f t="shared" si="39"/>
        <v>0</v>
      </c>
      <c r="CL15" s="915">
        <f t="shared" si="40"/>
        <v>0</v>
      </c>
      <c r="CM15" s="915">
        <f t="shared" si="41"/>
        <v>0</v>
      </c>
      <c r="CN15" s="915">
        <f t="shared" si="93"/>
        <v>0</v>
      </c>
      <c r="CO15" s="915">
        <f t="shared" si="94"/>
        <v>0</v>
      </c>
      <c r="CP15" s="915">
        <f t="shared" si="95"/>
        <v>0</v>
      </c>
      <c r="CQ15" s="915">
        <f t="shared" si="96"/>
        <v>0</v>
      </c>
      <c r="CR15" s="915">
        <f t="shared" si="97"/>
        <v>0</v>
      </c>
      <c r="CS15" s="915">
        <f t="shared" si="98"/>
        <v>0</v>
      </c>
      <c r="CT15" s="915">
        <f t="shared" si="99"/>
        <v>0</v>
      </c>
      <c r="CU15" s="915">
        <f t="shared" si="100"/>
        <v>0</v>
      </c>
      <c r="CV15" s="915">
        <f t="shared" si="101"/>
        <v>0</v>
      </c>
      <c r="CW15" s="915">
        <f t="shared" si="102"/>
        <v>0</v>
      </c>
      <c r="CX15" s="915">
        <f t="shared" si="42"/>
        <v>0</v>
      </c>
      <c r="CY15" s="915">
        <f t="shared" si="43"/>
        <v>0</v>
      </c>
      <c r="CZ15" s="915">
        <f t="shared" si="44"/>
        <v>0</v>
      </c>
      <c r="DA15" s="915">
        <f t="shared" si="45"/>
        <v>0</v>
      </c>
      <c r="DB15" s="915">
        <f t="shared" si="46"/>
        <v>0</v>
      </c>
      <c r="DC15" s="915">
        <f t="shared" si="47"/>
        <v>0</v>
      </c>
      <c r="DD15" s="915">
        <f t="shared" si="48"/>
        <v>0</v>
      </c>
      <c r="DE15" s="915">
        <f t="shared" si="49"/>
        <v>0</v>
      </c>
      <c r="DF15" s="915">
        <f t="shared" si="50"/>
        <v>0</v>
      </c>
      <c r="DG15" s="915">
        <f t="shared" si="51"/>
        <v>0</v>
      </c>
      <c r="DH15" s="915">
        <f t="shared" si="103"/>
        <v>0</v>
      </c>
      <c r="DI15" s="915">
        <f t="shared" si="104"/>
        <v>0</v>
      </c>
      <c r="DJ15" s="915">
        <f t="shared" si="105"/>
        <v>0</v>
      </c>
      <c r="DK15" s="915">
        <f t="shared" si="106"/>
        <v>0</v>
      </c>
      <c r="DL15" s="915">
        <f t="shared" si="107"/>
        <v>0</v>
      </c>
      <c r="DM15" s="915">
        <f t="shared" si="108"/>
        <v>0</v>
      </c>
      <c r="DN15" s="915">
        <f t="shared" si="109"/>
        <v>0</v>
      </c>
      <c r="DO15" s="915">
        <f t="shared" si="110"/>
        <v>0</v>
      </c>
      <c r="DP15" s="915">
        <f t="shared" si="111"/>
        <v>0</v>
      </c>
      <c r="DQ15" s="915">
        <f t="shared" si="112"/>
        <v>0</v>
      </c>
      <c r="DR15" s="915">
        <f t="shared" si="52"/>
        <v>0</v>
      </c>
      <c r="DS15" s="915">
        <f t="shared" si="53"/>
        <v>0</v>
      </c>
      <c r="DT15" s="915">
        <f t="shared" si="54"/>
        <v>0</v>
      </c>
      <c r="DU15" s="915">
        <f t="shared" si="55"/>
        <v>0</v>
      </c>
      <c r="DV15" s="915">
        <f t="shared" si="56"/>
        <v>0</v>
      </c>
      <c r="DW15" s="915">
        <f t="shared" si="57"/>
        <v>0</v>
      </c>
      <c r="DX15" s="915">
        <f t="shared" si="58"/>
        <v>0</v>
      </c>
      <c r="DY15" s="915">
        <f t="shared" si="59"/>
        <v>0</v>
      </c>
      <c r="DZ15" s="915">
        <f t="shared" si="60"/>
        <v>0</v>
      </c>
      <c r="EA15" s="915">
        <f t="shared" si="61"/>
        <v>0</v>
      </c>
      <c r="EB15" s="915">
        <f t="shared" si="113"/>
        <v>0</v>
      </c>
      <c r="EC15" s="915">
        <f t="shared" si="114"/>
        <v>0</v>
      </c>
      <c r="ED15" s="915">
        <f t="shared" si="115"/>
        <v>0</v>
      </c>
      <c r="EE15" s="915">
        <f t="shared" si="116"/>
        <v>0</v>
      </c>
      <c r="EF15" s="915">
        <f t="shared" si="117"/>
        <v>0</v>
      </c>
      <c r="EG15" s="915">
        <f t="shared" si="118"/>
        <v>0</v>
      </c>
      <c r="EH15" s="915">
        <f t="shared" si="119"/>
        <v>0</v>
      </c>
      <c r="EI15" s="915">
        <f t="shared" si="120"/>
        <v>0</v>
      </c>
      <c r="EJ15" s="915">
        <f t="shared" si="121"/>
        <v>0</v>
      </c>
      <c r="EK15" s="915">
        <f t="shared" si="122"/>
        <v>0</v>
      </c>
      <c r="EL15" s="915"/>
      <c r="EN15" s="533"/>
      <c r="EQ15" s="534"/>
    </row>
    <row r="16" spans="1:147" ht="14.1" customHeight="1" x14ac:dyDescent="0.2">
      <c r="A16" s="496">
        <v>9</v>
      </c>
      <c r="B16" s="1419"/>
      <c r="C16" s="1433"/>
      <c r="D16" s="264">
        <v>9</v>
      </c>
      <c r="E16" s="264" t="s">
        <v>1245</v>
      </c>
      <c r="F16" s="270" t="s">
        <v>2544</v>
      </c>
      <c r="G16" s="271">
        <v>1</v>
      </c>
      <c r="H16" s="803">
        <v>10</v>
      </c>
      <c r="I16" s="800">
        <f t="shared" si="2"/>
        <v>0.6</v>
      </c>
      <c r="J16" s="269">
        <f>(G16*H16)+I16</f>
        <v>10.6</v>
      </c>
      <c r="K16" s="225"/>
      <c r="L16" s="941" t="str">
        <f>TabName9 &amp; " - UNITS"</f>
        <v>Phase 9 - UNITS</v>
      </c>
      <c r="M16" s="942">
        <f>AD6</f>
        <v>0</v>
      </c>
      <c r="N16" s="949" t="e">
        <f>+SUMIF($D$8:$D$110,"9",#REF!)</f>
        <v>#REF!</v>
      </c>
      <c r="P16" s="915">
        <f>INDEX(ValidateTable,9)</f>
        <v>9</v>
      </c>
      <c r="V16" s="915">
        <f t="shared" si="3"/>
        <v>0</v>
      </c>
      <c r="W16" s="915">
        <f t="shared" si="4"/>
        <v>0</v>
      </c>
      <c r="X16" s="915">
        <f t="shared" si="5"/>
        <v>0</v>
      </c>
      <c r="Y16" s="915">
        <f t="shared" si="6"/>
        <v>0</v>
      </c>
      <c r="Z16" s="915">
        <f t="shared" si="7"/>
        <v>0</v>
      </c>
      <c r="AA16" s="915">
        <f t="shared" si="8"/>
        <v>0</v>
      </c>
      <c r="AB16" s="915">
        <f t="shared" si="9"/>
        <v>0</v>
      </c>
      <c r="AC16" s="915">
        <f t="shared" si="10"/>
        <v>0</v>
      </c>
      <c r="AD16" s="915">
        <f t="shared" si="11"/>
        <v>0</v>
      </c>
      <c r="AE16" s="915">
        <f t="shared" si="12"/>
        <v>0</v>
      </c>
      <c r="AF16" s="915">
        <f t="shared" si="63"/>
        <v>0</v>
      </c>
      <c r="AG16" s="915">
        <f t="shared" si="64"/>
        <v>0</v>
      </c>
      <c r="AH16" s="915">
        <f t="shared" si="65"/>
        <v>0</v>
      </c>
      <c r="AI16" s="915">
        <f t="shared" si="66"/>
        <v>0</v>
      </c>
      <c r="AJ16" s="915">
        <f t="shared" si="67"/>
        <v>0</v>
      </c>
      <c r="AK16" s="915">
        <f t="shared" si="68"/>
        <v>0</v>
      </c>
      <c r="AL16" s="915">
        <f t="shared" si="69"/>
        <v>0</v>
      </c>
      <c r="AM16" s="915">
        <f t="shared" si="70"/>
        <v>0</v>
      </c>
      <c r="AN16" s="915">
        <f t="shared" si="71"/>
        <v>0</v>
      </c>
      <c r="AO16" s="915">
        <f t="shared" si="72"/>
        <v>0</v>
      </c>
      <c r="AP16" s="915">
        <f t="shared" si="13"/>
        <v>0</v>
      </c>
      <c r="AQ16" s="915">
        <f t="shared" si="14"/>
        <v>0</v>
      </c>
      <c r="AR16" s="915">
        <f t="shared" si="15"/>
        <v>0</v>
      </c>
      <c r="AS16" s="915">
        <f t="shared" si="16"/>
        <v>0</v>
      </c>
      <c r="AT16" s="915">
        <f t="shared" si="17"/>
        <v>0</v>
      </c>
      <c r="AU16" s="915">
        <f t="shared" si="18"/>
        <v>0</v>
      </c>
      <c r="AV16" s="915">
        <f t="shared" si="19"/>
        <v>0</v>
      </c>
      <c r="AW16" s="915">
        <f t="shared" si="20"/>
        <v>0</v>
      </c>
      <c r="AX16" s="915">
        <f t="shared" si="21"/>
        <v>10.6</v>
      </c>
      <c r="AY16" s="915">
        <f t="shared" si="73"/>
        <v>0</v>
      </c>
      <c r="AZ16" s="915">
        <f t="shared" si="74"/>
        <v>0</v>
      </c>
      <c r="BA16" s="915">
        <f t="shared" si="75"/>
        <v>0</v>
      </c>
      <c r="BB16" s="915">
        <f t="shared" si="76"/>
        <v>0</v>
      </c>
      <c r="BC16" s="915">
        <f t="shared" si="77"/>
        <v>0</v>
      </c>
      <c r="BD16" s="915">
        <f t="shared" si="78"/>
        <v>0</v>
      </c>
      <c r="BE16" s="915">
        <f t="shared" si="79"/>
        <v>0</v>
      </c>
      <c r="BF16" s="915">
        <f t="shared" si="80"/>
        <v>0</v>
      </c>
      <c r="BG16" s="915">
        <f t="shared" si="81"/>
        <v>0</v>
      </c>
      <c r="BH16" s="915">
        <f t="shared" si="82"/>
        <v>0</v>
      </c>
      <c r="BI16" s="915">
        <f t="shared" si="83"/>
        <v>0</v>
      </c>
      <c r="BJ16" s="915">
        <f t="shared" si="22"/>
        <v>0</v>
      </c>
      <c r="BK16" s="915">
        <f t="shared" si="23"/>
        <v>0</v>
      </c>
      <c r="BL16" s="915">
        <f t="shared" si="24"/>
        <v>0</v>
      </c>
      <c r="BM16" s="915">
        <f t="shared" si="25"/>
        <v>0</v>
      </c>
      <c r="BN16" s="915">
        <f t="shared" si="26"/>
        <v>0</v>
      </c>
      <c r="BO16" s="915">
        <f t="shared" si="27"/>
        <v>0</v>
      </c>
      <c r="BP16" s="915">
        <f t="shared" si="28"/>
        <v>0</v>
      </c>
      <c r="BQ16" s="915">
        <f t="shared" si="29"/>
        <v>0</v>
      </c>
      <c r="BR16" s="915">
        <f t="shared" si="30"/>
        <v>0</v>
      </c>
      <c r="BS16" s="915">
        <f t="shared" si="31"/>
        <v>0</v>
      </c>
      <c r="BT16" s="915">
        <f t="shared" si="84"/>
        <v>0</v>
      </c>
      <c r="BU16" s="915">
        <f t="shared" si="84"/>
        <v>0</v>
      </c>
      <c r="BV16" s="915">
        <f t="shared" si="85"/>
        <v>0</v>
      </c>
      <c r="BW16" s="915">
        <f t="shared" si="86"/>
        <v>0</v>
      </c>
      <c r="BX16" s="915">
        <f t="shared" si="87"/>
        <v>0</v>
      </c>
      <c r="BY16" s="915">
        <f t="shared" si="88"/>
        <v>0</v>
      </c>
      <c r="BZ16" s="915">
        <f t="shared" si="89"/>
        <v>0</v>
      </c>
      <c r="CA16" s="915">
        <f t="shared" si="90"/>
        <v>0</v>
      </c>
      <c r="CB16" s="915">
        <f t="shared" si="91"/>
        <v>0</v>
      </c>
      <c r="CC16" s="915">
        <f t="shared" si="92"/>
        <v>0</v>
      </c>
      <c r="CD16" s="915">
        <f t="shared" si="32"/>
        <v>0</v>
      </c>
      <c r="CE16" s="915">
        <f t="shared" si="33"/>
        <v>0</v>
      </c>
      <c r="CF16" s="915">
        <f t="shared" si="34"/>
        <v>0</v>
      </c>
      <c r="CG16" s="915">
        <f t="shared" si="35"/>
        <v>0</v>
      </c>
      <c r="CH16" s="915">
        <f t="shared" si="36"/>
        <v>0</v>
      </c>
      <c r="CI16" s="915">
        <f t="shared" si="37"/>
        <v>0</v>
      </c>
      <c r="CJ16" s="915">
        <f t="shared" si="38"/>
        <v>0</v>
      </c>
      <c r="CK16" s="915">
        <f t="shared" si="39"/>
        <v>0</v>
      </c>
      <c r="CL16" s="915">
        <f t="shared" si="40"/>
        <v>0</v>
      </c>
      <c r="CM16" s="915">
        <f t="shared" si="41"/>
        <v>0</v>
      </c>
      <c r="CN16" s="915">
        <f t="shared" si="93"/>
        <v>0</v>
      </c>
      <c r="CO16" s="915">
        <f t="shared" si="94"/>
        <v>0</v>
      </c>
      <c r="CP16" s="915">
        <f t="shared" si="95"/>
        <v>0</v>
      </c>
      <c r="CQ16" s="915">
        <f t="shared" si="96"/>
        <v>0</v>
      </c>
      <c r="CR16" s="915">
        <f t="shared" si="97"/>
        <v>0</v>
      </c>
      <c r="CS16" s="915">
        <f t="shared" si="98"/>
        <v>0</v>
      </c>
      <c r="CT16" s="915">
        <f t="shared" si="99"/>
        <v>0</v>
      </c>
      <c r="CU16" s="915">
        <f t="shared" si="100"/>
        <v>0</v>
      </c>
      <c r="CV16" s="915">
        <f t="shared" si="101"/>
        <v>0</v>
      </c>
      <c r="CW16" s="915">
        <f t="shared" si="102"/>
        <v>0</v>
      </c>
      <c r="CX16" s="915">
        <f t="shared" si="42"/>
        <v>0</v>
      </c>
      <c r="CY16" s="915">
        <f t="shared" si="43"/>
        <v>0</v>
      </c>
      <c r="CZ16" s="915">
        <f t="shared" si="44"/>
        <v>0</v>
      </c>
      <c r="DA16" s="915">
        <f t="shared" si="45"/>
        <v>0</v>
      </c>
      <c r="DB16" s="915">
        <f t="shared" si="46"/>
        <v>0</v>
      </c>
      <c r="DC16" s="915">
        <f t="shared" si="47"/>
        <v>0</v>
      </c>
      <c r="DD16" s="915">
        <f t="shared" si="48"/>
        <v>0</v>
      </c>
      <c r="DE16" s="915">
        <f t="shared" si="49"/>
        <v>0</v>
      </c>
      <c r="DF16" s="915">
        <f t="shared" si="50"/>
        <v>0</v>
      </c>
      <c r="DG16" s="915">
        <f t="shared" si="51"/>
        <v>0</v>
      </c>
      <c r="DH16" s="915">
        <f t="shared" si="103"/>
        <v>0</v>
      </c>
      <c r="DI16" s="915">
        <f t="shared" si="104"/>
        <v>0</v>
      </c>
      <c r="DJ16" s="915">
        <f t="shared" si="105"/>
        <v>0</v>
      </c>
      <c r="DK16" s="915">
        <f t="shared" si="106"/>
        <v>0</v>
      </c>
      <c r="DL16" s="915">
        <f t="shared" si="107"/>
        <v>0</v>
      </c>
      <c r="DM16" s="915">
        <f t="shared" si="108"/>
        <v>0</v>
      </c>
      <c r="DN16" s="915">
        <f t="shared" si="109"/>
        <v>0</v>
      </c>
      <c r="DO16" s="915">
        <f t="shared" si="110"/>
        <v>0</v>
      </c>
      <c r="DP16" s="915">
        <f t="shared" si="111"/>
        <v>0</v>
      </c>
      <c r="DQ16" s="915">
        <f t="shared" si="112"/>
        <v>0</v>
      </c>
      <c r="DR16" s="915">
        <f t="shared" si="52"/>
        <v>0</v>
      </c>
      <c r="DS16" s="915">
        <f t="shared" si="53"/>
        <v>0</v>
      </c>
      <c r="DT16" s="915">
        <f t="shared" si="54"/>
        <v>0</v>
      </c>
      <c r="DU16" s="915">
        <f t="shared" si="55"/>
        <v>0</v>
      </c>
      <c r="DV16" s="915">
        <f t="shared" si="56"/>
        <v>0</v>
      </c>
      <c r="DW16" s="915">
        <f t="shared" si="57"/>
        <v>0</v>
      </c>
      <c r="DX16" s="915">
        <f t="shared" si="58"/>
        <v>0</v>
      </c>
      <c r="DY16" s="915">
        <f t="shared" si="59"/>
        <v>0</v>
      </c>
      <c r="DZ16" s="915">
        <f t="shared" si="60"/>
        <v>0</v>
      </c>
      <c r="EA16" s="915">
        <f t="shared" si="61"/>
        <v>0</v>
      </c>
      <c r="EB16" s="915">
        <f t="shared" si="113"/>
        <v>0</v>
      </c>
      <c r="EC16" s="915">
        <f t="shared" si="114"/>
        <v>0</v>
      </c>
      <c r="ED16" s="915">
        <f t="shared" si="115"/>
        <v>0</v>
      </c>
      <c r="EE16" s="915">
        <f t="shared" si="116"/>
        <v>0</v>
      </c>
      <c r="EF16" s="915">
        <f t="shared" si="117"/>
        <v>0</v>
      </c>
      <c r="EG16" s="915">
        <f t="shared" si="118"/>
        <v>0</v>
      </c>
      <c r="EH16" s="915">
        <f t="shared" si="119"/>
        <v>0</v>
      </c>
      <c r="EI16" s="915">
        <f t="shared" si="120"/>
        <v>0</v>
      </c>
      <c r="EJ16" s="915">
        <f t="shared" si="121"/>
        <v>0</v>
      </c>
      <c r="EK16" s="915">
        <f t="shared" si="122"/>
        <v>0</v>
      </c>
      <c r="EL16" s="915"/>
      <c r="EN16" s="533"/>
      <c r="EQ16" s="534"/>
    </row>
    <row r="17" spans="1:147" ht="14.1" customHeight="1" x14ac:dyDescent="0.2">
      <c r="A17" s="497">
        <v>10</v>
      </c>
      <c r="B17" s="1423"/>
      <c r="C17" s="1424"/>
      <c r="D17" s="1020">
        <v>10</v>
      </c>
      <c r="E17" s="138" t="s">
        <v>1245</v>
      </c>
      <c r="F17" s="139" t="s">
        <v>2544</v>
      </c>
      <c r="G17" s="91">
        <v>1</v>
      </c>
      <c r="H17" s="802">
        <v>10</v>
      </c>
      <c r="I17" s="801">
        <f t="shared" si="2"/>
        <v>0.6</v>
      </c>
      <c r="J17" s="90">
        <f t="shared" si="62"/>
        <v>10.6</v>
      </c>
      <c r="K17" s="225"/>
      <c r="L17" s="941" t="str">
        <f>tabname10 &amp; " - UNITS"</f>
        <v>Phase 10 - UNITS</v>
      </c>
      <c r="M17" s="942">
        <f>AE6</f>
        <v>0</v>
      </c>
      <c r="N17" s="949" t="e">
        <f>+SUMIF($D$8:$D$110,"10",#REF!)</f>
        <v>#REF!</v>
      </c>
      <c r="P17" s="915">
        <f>INDEX(ValidateTable,10)</f>
        <v>10</v>
      </c>
      <c r="V17" s="915">
        <f t="shared" si="3"/>
        <v>0</v>
      </c>
      <c r="W17" s="915">
        <f t="shared" si="4"/>
        <v>0</v>
      </c>
      <c r="X17" s="915">
        <f t="shared" si="5"/>
        <v>0</v>
      </c>
      <c r="Y17" s="915">
        <f t="shared" si="6"/>
        <v>0</v>
      </c>
      <c r="Z17" s="915">
        <f t="shared" si="7"/>
        <v>0</v>
      </c>
      <c r="AA17" s="915">
        <f t="shared" si="8"/>
        <v>0</v>
      </c>
      <c r="AB17" s="915">
        <f t="shared" si="9"/>
        <v>0</v>
      </c>
      <c r="AC17" s="915">
        <f t="shared" si="10"/>
        <v>0</v>
      </c>
      <c r="AD17" s="915">
        <f t="shared" si="11"/>
        <v>0</v>
      </c>
      <c r="AE17" s="915">
        <f t="shared" si="12"/>
        <v>0</v>
      </c>
      <c r="AF17" s="915">
        <f t="shared" si="63"/>
        <v>0</v>
      </c>
      <c r="AG17" s="915">
        <f t="shared" si="64"/>
        <v>0</v>
      </c>
      <c r="AH17" s="915">
        <f t="shared" si="65"/>
        <v>0</v>
      </c>
      <c r="AI17" s="915">
        <f t="shared" si="66"/>
        <v>0</v>
      </c>
      <c r="AJ17" s="915">
        <f t="shared" si="67"/>
        <v>0</v>
      </c>
      <c r="AK17" s="915">
        <f t="shared" si="68"/>
        <v>0</v>
      </c>
      <c r="AL17" s="915">
        <f t="shared" si="69"/>
        <v>0</v>
      </c>
      <c r="AM17" s="915">
        <f t="shared" si="70"/>
        <v>0</v>
      </c>
      <c r="AN17" s="915">
        <f t="shared" si="71"/>
        <v>0</v>
      </c>
      <c r="AO17" s="915">
        <f t="shared" si="72"/>
        <v>0</v>
      </c>
      <c r="AP17" s="915">
        <f t="shared" si="13"/>
        <v>0</v>
      </c>
      <c r="AQ17" s="915">
        <f t="shared" si="14"/>
        <v>0</v>
      </c>
      <c r="AR17" s="915">
        <f t="shared" si="15"/>
        <v>0</v>
      </c>
      <c r="AS17" s="915">
        <f t="shared" si="16"/>
        <v>0</v>
      </c>
      <c r="AT17" s="915">
        <f t="shared" si="17"/>
        <v>0</v>
      </c>
      <c r="AU17" s="915">
        <f t="shared" si="18"/>
        <v>0</v>
      </c>
      <c r="AV17" s="915">
        <f t="shared" si="19"/>
        <v>0</v>
      </c>
      <c r="AW17" s="915">
        <f t="shared" si="20"/>
        <v>0</v>
      </c>
      <c r="AX17" s="915">
        <f t="shared" si="21"/>
        <v>0</v>
      </c>
      <c r="AY17" s="915">
        <f t="shared" si="73"/>
        <v>10.6</v>
      </c>
      <c r="AZ17" s="915">
        <f t="shared" si="74"/>
        <v>0</v>
      </c>
      <c r="BA17" s="915">
        <f t="shared" si="75"/>
        <v>0</v>
      </c>
      <c r="BB17" s="915">
        <f t="shared" si="76"/>
        <v>0</v>
      </c>
      <c r="BC17" s="915">
        <f t="shared" si="77"/>
        <v>0</v>
      </c>
      <c r="BD17" s="915">
        <f t="shared" si="78"/>
        <v>0</v>
      </c>
      <c r="BE17" s="915">
        <f t="shared" si="79"/>
        <v>0</v>
      </c>
      <c r="BF17" s="915">
        <f t="shared" si="80"/>
        <v>0</v>
      </c>
      <c r="BG17" s="915">
        <f t="shared" si="81"/>
        <v>0</v>
      </c>
      <c r="BH17" s="915">
        <f t="shared" si="82"/>
        <v>0</v>
      </c>
      <c r="BI17" s="915">
        <f t="shared" si="83"/>
        <v>0</v>
      </c>
      <c r="BJ17" s="915">
        <f t="shared" si="22"/>
        <v>0</v>
      </c>
      <c r="BK17" s="915">
        <f t="shared" si="23"/>
        <v>0</v>
      </c>
      <c r="BL17" s="915">
        <f t="shared" si="24"/>
        <v>0</v>
      </c>
      <c r="BM17" s="915">
        <f t="shared" si="25"/>
        <v>0</v>
      </c>
      <c r="BN17" s="915">
        <f t="shared" si="26"/>
        <v>0</v>
      </c>
      <c r="BO17" s="915">
        <f t="shared" si="27"/>
        <v>0</v>
      </c>
      <c r="BP17" s="915">
        <f t="shared" si="28"/>
        <v>0</v>
      </c>
      <c r="BQ17" s="915">
        <f t="shared" si="29"/>
        <v>0</v>
      </c>
      <c r="BR17" s="915">
        <f t="shared" si="30"/>
        <v>0</v>
      </c>
      <c r="BS17" s="915">
        <f t="shared" si="31"/>
        <v>0</v>
      </c>
      <c r="BT17" s="915">
        <f t="shared" si="84"/>
        <v>0</v>
      </c>
      <c r="BU17" s="915">
        <f t="shared" si="84"/>
        <v>0</v>
      </c>
      <c r="BV17" s="915">
        <f t="shared" si="85"/>
        <v>0</v>
      </c>
      <c r="BW17" s="915">
        <f t="shared" si="86"/>
        <v>0</v>
      </c>
      <c r="BX17" s="915">
        <f t="shared" si="87"/>
        <v>0</v>
      </c>
      <c r="BY17" s="915">
        <f t="shared" si="88"/>
        <v>0</v>
      </c>
      <c r="BZ17" s="915">
        <f t="shared" si="89"/>
        <v>0</v>
      </c>
      <c r="CA17" s="915">
        <f t="shared" si="90"/>
        <v>0</v>
      </c>
      <c r="CB17" s="915">
        <f t="shared" si="91"/>
        <v>0</v>
      </c>
      <c r="CC17" s="915">
        <f t="shared" si="92"/>
        <v>0</v>
      </c>
      <c r="CD17" s="915">
        <f t="shared" si="32"/>
        <v>0</v>
      </c>
      <c r="CE17" s="915">
        <f t="shared" si="33"/>
        <v>0</v>
      </c>
      <c r="CF17" s="915">
        <f t="shared" si="34"/>
        <v>0</v>
      </c>
      <c r="CG17" s="915">
        <f t="shared" si="35"/>
        <v>0</v>
      </c>
      <c r="CH17" s="915">
        <f t="shared" si="36"/>
        <v>0</v>
      </c>
      <c r="CI17" s="915">
        <f t="shared" si="37"/>
        <v>0</v>
      </c>
      <c r="CJ17" s="915">
        <f t="shared" si="38"/>
        <v>0</v>
      </c>
      <c r="CK17" s="915">
        <f t="shared" si="39"/>
        <v>0</v>
      </c>
      <c r="CL17" s="915">
        <f t="shared" si="40"/>
        <v>0</v>
      </c>
      <c r="CM17" s="915">
        <f t="shared" si="41"/>
        <v>0</v>
      </c>
      <c r="CN17" s="915">
        <f t="shared" si="93"/>
        <v>0</v>
      </c>
      <c r="CO17" s="915">
        <f t="shared" si="94"/>
        <v>0</v>
      </c>
      <c r="CP17" s="915">
        <f t="shared" si="95"/>
        <v>0</v>
      </c>
      <c r="CQ17" s="915">
        <f t="shared" si="96"/>
        <v>0</v>
      </c>
      <c r="CR17" s="915">
        <f t="shared" si="97"/>
        <v>0</v>
      </c>
      <c r="CS17" s="915">
        <f t="shared" si="98"/>
        <v>0</v>
      </c>
      <c r="CT17" s="915">
        <f t="shared" si="99"/>
        <v>0</v>
      </c>
      <c r="CU17" s="915">
        <f t="shared" si="100"/>
        <v>0</v>
      </c>
      <c r="CV17" s="915">
        <f t="shared" si="101"/>
        <v>0</v>
      </c>
      <c r="CW17" s="915">
        <f t="shared" si="102"/>
        <v>0</v>
      </c>
      <c r="CX17" s="915">
        <f t="shared" si="42"/>
        <v>0</v>
      </c>
      <c r="CY17" s="915">
        <f t="shared" si="43"/>
        <v>0</v>
      </c>
      <c r="CZ17" s="915">
        <f t="shared" si="44"/>
        <v>0</v>
      </c>
      <c r="DA17" s="915">
        <f t="shared" si="45"/>
        <v>0</v>
      </c>
      <c r="DB17" s="915">
        <f t="shared" si="46"/>
        <v>0</v>
      </c>
      <c r="DC17" s="915">
        <f t="shared" si="47"/>
        <v>0</v>
      </c>
      <c r="DD17" s="915">
        <f t="shared" si="48"/>
        <v>0</v>
      </c>
      <c r="DE17" s="915">
        <f t="shared" si="49"/>
        <v>0</v>
      </c>
      <c r="DF17" s="915">
        <f t="shared" si="50"/>
        <v>0</v>
      </c>
      <c r="DG17" s="915">
        <f t="shared" si="51"/>
        <v>0</v>
      </c>
      <c r="DH17" s="915">
        <f t="shared" si="103"/>
        <v>0</v>
      </c>
      <c r="DI17" s="915">
        <f t="shared" si="104"/>
        <v>0</v>
      </c>
      <c r="DJ17" s="915">
        <f t="shared" si="105"/>
        <v>0</v>
      </c>
      <c r="DK17" s="915">
        <f t="shared" si="106"/>
        <v>0</v>
      </c>
      <c r="DL17" s="915">
        <f t="shared" si="107"/>
        <v>0</v>
      </c>
      <c r="DM17" s="915">
        <f t="shared" si="108"/>
        <v>0</v>
      </c>
      <c r="DN17" s="915">
        <f t="shared" si="109"/>
        <v>0</v>
      </c>
      <c r="DO17" s="915">
        <f t="shared" si="110"/>
        <v>0</v>
      </c>
      <c r="DP17" s="915">
        <f t="shared" si="111"/>
        <v>0</v>
      </c>
      <c r="DQ17" s="915">
        <f t="shared" si="112"/>
        <v>0</v>
      </c>
      <c r="DR17" s="915">
        <f t="shared" si="52"/>
        <v>0</v>
      </c>
      <c r="DS17" s="915">
        <f t="shared" si="53"/>
        <v>0</v>
      </c>
      <c r="DT17" s="915">
        <f t="shared" si="54"/>
        <v>0</v>
      </c>
      <c r="DU17" s="915">
        <f t="shared" si="55"/>
        <v>0</v>
      </c>
      <c r="DV17" s="915">
        <f t="shared" si="56"/>
        <v>0</v>
      </c>
      <c r="DW17" s="915">
        <f t="shared" si="57"/>
        <v>0</v>
      </c>
      <c r="DX17" s="915">
        <f t="shared" si="58"/>
        <v>0</v>
      </c>
      <c r="DY17" s="915">
        <f t="shared" si="59"/>
        <v>0</v>
      </c>
      <c r="DZ17" s="915">
        <f t="shared" si="60"/>
        <v>0</v>
      </c>
      <c r="EA17" s="915">
        <f t="shared" si="61"/>
        <v>0</v>
      </c>
      <c r="EB17" s="915">
        <f t="shared" si="113"/>
        <v>0</v>
      </c>
      <c r="EC17" s="915">
        <f t="shared" si="114"/>
        <v>0</v>
      </c>
      <c r="ED17" s="915">
        <f t="shared" si="115"/>
        <v>0</v>
      </c>
      <c r="EE17" s="915">
        <f t="shared" si="116"/>
        <v>0</v>
      </c>
      <c r="EF17" s="915">
        <f t="shared" si="117"/>
        <v>0</v>
      </c>
      <c r="EG17" s="915">
        <f t="shared" si="118"/>
        <v>0</v>
      </c>
      <c r="EH17" s="915">
        <f t="shared" si="119"/>
        <v>0</v>
      </c>
      <c r="EI17" s="915">
        <f t="shared" si="120"/>
        <v>0</v>
      </c>
      <c r="EJ17" s="915">
        <f t="shared" si="121"/>
        <v>0</v>
      </c>
      <c r="EK17" s="915">
        <f t="shared" si="122"/>
        <v>0</v>
      </c>
      <c r="EL17" s="915"/>
      <c r="EN17" s="533"/>
      <c r="EQ17" s="534"/>
    </row>
    <row r="18" spans="1:147" ht="14.1" customHeight="1" x14ac:dyDescent="0.2">
      <c r="A18" s="496">
        <v>11</v>
      </c>
      <c r="B18" s="1419"/>
      <c r="C18" s="1433"/>
      <c r="D18" s="264">
        <v>11</v>
      </c>
      <c r="E18" s="264" t="s">
        <v>1245</v>
      </c>
      <c r="F18" s="270" t="s">
        <v>2544</v>
      </c>
      <c r="G18" s="271">
        <v>1</v>
      </c>
      <c r="H18" s="803">
        <v>10</v>
      </c>
      <c r="I18" s="800">
        <f t="shared" ref="I18" si="123">IF(OR(LEFT(E18,1)="I",LEFT(E18,1)="U"),0,IF(ISTEXT(K18),0,StateTaxLab*G18*H18))</f>
        <v>0.6</v>
      </c>
      <c r="J18" s="269">
        <f>(G18*H18)+I18</f>
        <v>10.6</v>
      </c>
      <c r="K18" s="225"/>
      <c r="L18" s="941" t="str">
        <f>TabName11 &amp; " - UNITS"</f>
        <v>Phase 11 - UNITS</v>
      </c>
      <c r="M18" s="942">
        <f>AF6</f>
        <v>0</v>
      </c>
      <c r="N18" s="949"/>
      <c r="P18" s="915">
        <f>INDEX(ValidateTable,11)</f>
        <v>11</v>
      </c>
      <c r="V18" s="915">
        <f t="shared" si="3"/>
        <v>0</v>
      </c>
      <c r="W18" s="915">
        <f t="shared" si="4"/>
        <v>0</v>
      </c>
      <c r="X18" s="915">
        <f t="shared" si="5"/>
        <v>0</v>
      </c>
      <c r="Y18" s="915">
        <f t="shared" si="6"/>
        <v>0</v>
      </c>
      <c r="Z18" s="915">
        <f t="shared" si="7"/>
        <v>0</v>
      </c>
      <c r="AA18" s="915">
        <f t="shared" si="8"/>
        <v>0</v>
      </c>
      <c r="AB18" s="915">
        <f t="shared" si="9"/>
        <v>0</v>
      </c>
      <c r="AC18" s="915">
        <f t="shared" si="10"/>
        <v>0</v>
      </c>
      <c r="AD18" s="915">
        <f t="shared" si="11"/>
        <v>0</v>
      </c>
      <c r="AE18" s="915">
        <f t="shared" si="12"/>
        <v>0</v>
      </c>
      <c r="AF18" s="915">
        <f t="shared" si="63"/>
        <v>0</v>
      </c>
      <c r="AG18" s="915">
        <f t="shared" si="64"/>
        <v>0</v>
      </c>
      <c r="AH18" s="915">
        <f t="shared" si="65"/>
        <v>0</v>
      </c>
      <c r="AI18" s="915">
        <f t="shared" si="66"/>
        <v>0</v>
      </c>
      <c r="AJ18" s="915">
        <f t="shared" si="67"/>
        <v>0</v>
      </c>
      <c r="AK18" s="915">
        <f t="shared" si="68"/>
        <v>0</v>
      </c>
      <c r="AL18" s="915">
        <f t="shared" si="69"/>
        <v>0</v>
      </c>
      <c r="AM18" s="915">
        <f t="shared" si="70"/>
        <v>0</v>
      </c>
      <c r="AN18" s="915">
        <f t="shared" si="71"/>
        <v>0</v>
      </c>
      <c r="AO18" s="915">
        <f t="shared" si="72"/>
        <v>0</v>
      </c>
      <c r="AP18" s="915">
        <f t="shared" si="13"/>
        <v>0</v>
      </c>
      <c r="AQ18" s="915">
        <f t="shared" si="14"/>
        <v>0</v>
      </c>
      <c r="AR18" s="915">
        <f t="shared" si="15"/>
        <v>0</v>
      </c>
      <c r="AS18" s="915">
        <f t="shared" si="16"/>
        <v>0</v>
      </c>
      <c r="AT18" s="915">
        <f t="shared" si="17"/>
        <v>0</v>
      </c>
      <c r="AU18" s="915">
        <f t="shared" si="18"/>
        <v>0</v>
      </c>
      <c r="AV18" s="915">
        <f t="shared" si="19"/>
        <v>0</v>
      </c>
      <c r="AW18" s="915">
        <f t="shared" si="20"/>
        <v>0</v>
      </c>
      <c r="AX18" s="915">
        <f t="shared" si="21"/>
        <v>0</v>
      </c>
      <c r="AY18" s="915">
        <f t="shared" si="73"/>
        <v>0</v>
      </c>
      <c r="AZ18" s="915">
        <f t="shared" si="74"/>
        <v>10.6</v>
      </c>
      <c r="BA18" s="915">
        <f t="shared" si="75"/>
        <v>0</v>
      </c>
      <c r="BB18" s="915">
        <f t="shared" si="76"/>
        <v>0</v>
      </c>
      <c r="BC18" s="915">
        <f t="shared" si="77"/>
        <v>0</v>
      </c>
      <c r="BD18" s="915">
        <f t="shared" si="78"/>
        <v>0</v>
      </c>
      <c r="BE18" s="915">
        <f t="shared" si="79"/>
        <v>0</v>
      </c>
      <c r="BF18" s="915">
        <f t="shared" si="80"/>
        <v>0</v>
      </c>
      <c r="BG18" s="915">
        <f t="shared" si="81"/>
        <v>0</v>
      </c>
      <c r="BH18" s="915">
        <f t="shared" si="82"/>
        <v>0</v>
      </c>
      <c r="BI18" s="915">
        <f t="shared" si="83"/>
        <v>0</v>
      </c>
      <c r="BJ18" s="915">
        <f t="shared" si="22"/>
        <v>0</v>
      </c>
      <c r="BK18" s="915">
        <f t="shared" si="23"/>
        <v>0</v>
      </c>
      <c r="BL18" s="915">
        <f t="shared" si="24"/>
        <v>0</v>
      </c>
      <c r="BM18" s="915">
        <f t="shared" si="25"/>
        <v>0</v>
      </c>
      <c r="BN18" s="915">
        <f t="shared" si="26"/>
        <v>0</v>
      </c>
      <c r="BO18" s="915">
        <f t="shared" si="27"/>
        <v>0</v>
      </c>
      <c r="BP18" s="915">
        <f t="shared" si="28"/>
        <v>0</v>
      </c>
      <c r="BQ18" s="915">
        <f t="shared" si="29"/>
        <v>0</v>
      </c>
      <c r="BR18" s="915">
        <f t="shared" si="30"/>
        <v>0</v>
      </c>
      <c r="BS18" s="915">
        <f t="shared" si="31"/>
        <v>0</v>
      </c>
      <c r="BT18" s="915">
        <f t="shared" si="84"/>
        <v>0</v>
      </c>
      <c r="BU18" s="915">
        <f t="shared" si="84"/>
        <v>0</v>
      </c>
      <c r="BV18" s="915">
        <f t="shared" si="85"/>
        <v>0</v>
      </c>
      <c r="BW18" s="915">
        <f t="shared" si="86"/>
        <v>0</v>
      </c>
      <c r="BX18" s="915">
        <f t="shared" si="87"/>
        <v>0</v>
      </c>
      <c r="BY18" s="915">
        <f t="shared" si="88"/>
        <v>0</v>
      </c>
      <c r="BZ18" s="915">
        <f t="shared" si="89"/>
        <v>0</v>
      </c>
      <c r="CA18" s="915">
        <f t="shared" si="90"/>
        <v>0</v>
      </c>
      <c r="CB18" s="915">
        <f t="shared" si="91"/>
        <v>0</v>
      </c>
      <c r="CC18" s="915">
        <f t="shared" si="92"/>
        <v>0</v>
      </c>
      <c r="CD18" s="915">
        <f t="shared" si="32"/>
        <v>0</v>
      </c>
      <c r="CE18" s="915">
        <f t="shared" si="33"/>
        <v>0</v>
      </c>
      <c r="CF18" s="915">
        <f t="shared" si="34"/>
        <v>0</v>
      </c>
      <c r="CG18" s="915">
        <f t="shared" si="35"/>
        <v>0</v>
      </c>
      <c r="CH18" s="915">
        <f t="shared" si="36"/>
        <v>0</v>
      </c>
      <c r="CI18" s="915">
        <f t="shared" si="37"/>
        <v>0</v>
      </c>
      <c r="CJ18" s="915">
        <f t="shared" si="38"/>
        <v>0</v>
      </c>
      <c r="CK18" s="915">
        <f t="shared" si="39"/>
        <v>0</v>
      </c>
      <c r="CL18" s="915">
        <f t="shared" si="40"/>
        <v>0</v>
      </c>
      <c r="CM18" s="915">
        <f t="shared" si="41"/>
        <v>0</v>
      </c>
      <c r="CN18" s="915">
        <f t="shared" si="93"/>
        <v>0</v>
      </c>
      <c r="CO18" s="915">
        <f t="shared" si="94"/>
        <v>0</v>
      </c>
      <c r="CP18" s="915">
        <f t="shared" si="95"/>
        <v>0</v>
      </c>
      <c r="CQ18" s="915">
        <f t="shared" si="96"/>
        <v>0</v>
      </c>
      <c r="CR18" s="915">
        <f t="shared" si="97"/>
        <v>0</v>
      </c>
      <c r="CS18" s="915">
        <f t="shared" si="98"/>
        <v>0</v>
      </c>
      <c r="CT18" s="915">
        <f t="shared" si="99"/>
        <v>0</v>
      </c>
      <c r="CU18" s="915">
        <f t="shared" si="100"/>
        <v>0</v>
      </c>
      <c r="CV18" s="915">
        <f t="shared" si="101"/>
        <v>0</v>
      </c>
      <c r="CW18" s="915">
        <f t="shared" si="102"/>
        <v>0</v>
      </c>
      <c r="CX18" s="915">
        <f t="shared" si="42"/>
        <v>0</v>
      </c>
      <c r="CY18" s="915">
        <f t="shared" si="43"/>
        <v>0</v>
      </c>
      <c r="CZ18" s="915">
        <f t="shared" si="44"/>
        <v>0</v>
      </c>
      <c r="DA18" s="915">
        <f t="shared" si="45"/>
        <v>0</v>
      </c>
      <c r="DB18" s="915">
        <f t="shared" si="46"/>
        <v>0</v>
      </c>
      <c r="DC18" s="915">
        <f t="shared" si="47"/>
        <v>0</v>
      </c>
      <c r="DD18" s="915">
        <f t="shared" si="48"/>
        <v>0</v>
      </c>
      <c r="DE18" s="915">
        <f t="shared" si="49"/>
        <v>0</v>
      </c>
      <c r="DF18" s="915">
        <f t="shared" si="50"/>
        <v>0</v>
      </c>
      <c r="DG18" s="915">
        <f t="shared" si="51"/>
        <v>0</v>
      </c>
      <c r="DH18" s="915">
        <f t="shared" si="103"/>
        <v>0</v>
      </c>
      <c r="DI18" s="915">
        <f t="shared" si="104"/>
        <v>0</v>
      </c>
      <c r="DJ18" s="915">
        <f t="shared" si="105"/>
        <v>0</v>
      </c>
      <c r="DK18" s="915">
        <f t="shared" si="106"/>
        <v>0</v>
      </c>
      <c r="DL18" s="915">
        <f t="shared" si="107"/>
        <v>0</v>
      </c>
      <c r="DM18" s="915">
        <f t="shared" si="108"/>
        <v>0</v>
      </c>
      <c r="DN18" s="915">
        <f t="shared" si="109"/>
        <v>0</v>
      </c>
      <c r="DO18" s="915">
        <f t="shared" si="110"/>
        <v>0</v>
      </c>
      <c r="DP18" s="915">
        <f t="shared" si="111"/>
        <v>0</v>
      </c>
      <c r="DQ18" s="915">
        <f t="shared" si="112"/>
        <v>0</v>
      </c>
      <c r="DR18" s="915">
        <f t="shared" si="52"/>
        <v>0</v>
      </c>
      <c r="DS18" s="915">
        <f t="shared" si="53"/>
        <v>0</v>
      </c>
      <c r="DT18" s="915">
        <f t="shared" si="54"/>
        <v>0</v>
      </c>
      <c r="DU18" s="915">
        <f t="shared" si="55"/>
        <v>0</v>
      </c>
      <c r="DV18" s="915">
        <f t="shared" si="56"/>
        <v>0</v>
      </c>
      <c r="DW18" s="915">
        <f t="shared" si="57"/>
        <v>0</v>
      </c>
      <c r="DX18" s="915">
        <f t="shared" si="58"/>
        <v>0</v>
      </c>
      <c r="DY18" s="915">
        <f t="shared" si="59"/>
        <v>0</v>
      </c>
      <c r="DZ18" s="915">
        <f t="shared" si="60"/>
        <v>0</v>
      </c>
      <c r="EA18" s="915">
        <f t="shared" si="61"/>
        <v>0</v>
      </c>
      <c r="EB18" s="915">
        <f t="shared" si="113"/>
        <v>0</v>
      </c>
      <c r="EC18" s="915">
        <f t="shared" si="114"/>
        <v>0</v>
      </c>
      <c r="ED18" s="915">
        <f t="shared" si="115"/>
        <v>0</v>
      </c>
      <c r="EE18" s="915">
        <f t="shared" si="116"/>
        <v>0</v>
      </c>
      <c r="EF18" s="915">
        <f t="shared" si="117"/>
        <v>0</v>
      </c>
      <c r="EG18" s="915">
        <f t="shared" si="118"/>
        <v>0</v>
      </c>
      <c r="EH18" s="915">
        <f t="shared" si="119"/>
        <v>0</v>
      </c>
      <c r="EI18" s="915">
        <f t="shared" si="120"/>
        <v>0</v>
      </c>
      <c r="EJ18" s="915">
        <f t="shared" si="121"/>
        <v>0</v>
      </c>
      <c r="EK18" s="915">
        <f t="shared" si="122"/>
        <v>0</v>
      </c>
      <c r="EL18" s="915"/>
      <c r="EN18" s="533"/>
      <c r="EQ18" s="534"/>
    </row>
    <row r="19" spans="1:147" ht="14.1" customHeight="1" x14ac:dyDescent="0.2">
      <c r="A19" s="497">
        <v>12</v>
      </c>
      <c r="B19" s="1005"/>
      <c r="C19" s="1008"/>
      <c r="D19" s="1020">
        <v>12</v>
      </c>
      <c r="E19" s="138" t="s">
        <v>1245</v>
      </c>
      <c r="F19" s="139" t="s">
        <v>2544</v>
      </c>
      <c r="G19" s="91">
        <v>1</v>
      </c>
      <c r="H19" s="802">
        <v>10</v>
      </c>
      <c r="I19" s="801">
        <f t="shared" ref="I19:I31" si="124">IF(OR(LEFT(E19,1)="I",LEFT(E19,1)="U"),0,IF(ISTEXT(K19),0,StateTaxLab*G19*H19))</f>
        <v>0.6</v>
      </c>
      <c r="J19" s="1021">
        <f t="shared" ref="J19:J31" si="125">(G19*H19)+I19</f>
        <v>10.6</v>
      </c>
      <c r="K19" s="225"/>
      <c r="L19" s="941" t="str">
        <f>TabName12 &amp; " - UNITS"</f>
        <v>Phase 12 - UNITS</v>
      </c>
      <c r="M19" s="942">
        <f>AG6</f>
        <v>0</v>
      </c>
      <c r="N19" s="949"/>
      <c r="P19" s="915">
        <f>INDEX(ValidateTable,12)</f>
        <v>12</v>
      </c>
      <c r="V19" s="915">
        <f t="shared" si="3"/>
        <v>0</v>
      </c>
      <c r="W19" s="915">
        <f t="shared" si="4"/>
        <v>0</v>
      </c>
      <c r="X19" s="915">
        <f t="shared" si="5"/>
        <v>0</v>
      </c>
      <c r="Y19" s="915">
        <f t="shared" si="6"/>
        <v>0</v>
      </c>
      <c r="Z19" s="915">
        <f t="shared" si="7"/>
        <v>0</v>
      </c>
      <c r="AA19" s="915">
        <f t="shared" si="8"/>
        <v>0</v>
      </c>
      <c r="AB19" s="915">
        <f t="shared" si="9"/>
        <v>0</v>
      </c>
      <c r="AC19" s="915">
        <f t="shared" si="10"/>
        <v>0</v>
      </c>
      <c r="AD19" s="915">
        <f t="shared" si="11"/>
        <v>0</v>
      </c>
      <c r="AE19" s="915">
        <f t="shared" si="12"/>
        <v>0</v>
      </c>
      <c r="AF19" s="915">
        <f t="shared" si="63"/>
        <v>0</v>
      </c>
      <c r="AG19" s="915">
        <f t="shared" si="64"/>
        <v>0</v>
      </c>
      <c r="AH19" s="915">
        <f t="shared" si="65"/>
        <v>0</v>
      </c>
      <c r="AI19" s="915">
        <f t="shared" si="66"/>
        <v>0</v>
      </c>
      <c r="AJ19" s="915">
        <f t="shared" si="67"/>
        <v>0</v>
      </c>
      <c r="AK19" s="915">
        <f t="shared" si="68"/>
        <v>0</v>
      </c>
      <c r="AL19" s="915">
        <f t="shared" si="69"/>
        <v>0</v>
      </c>
      <c r="AM19" s="915">
        <f t="shared" si="70"/>
        <v>0</v>
      </c>
      <c r="AN19" s="915">
        <f t="shared" si="71"/>
        <v>0</v>
      </c>
      <c r="AO19" s="915">
        <f t="shared" si="72"/>
        <v>0</v>
      </c>
      <c r="AP19" s="915">
        <f t="shared" si="13"/>
        <v>0</v>
      </c>
      <c r="AQ19" s="915">
        <f t="shared" si="14"/>
        <v>0</v>
      </c>
      <c r="AR19" s="915">
        <f t="shared" si="15"/>
        <v>0</v>
      </c>
      <c r="AS19" s="915">
        <f t="shared" si="16"/>
        <v>0</v>
      </c>
      <c r="AT19" s="915">
        <f t="shared" si="17"/>
        <v>0</v>
      </c>
      <c r="AU19" s="915">
        <f t="shared" si="18"/>
        <v>0</v>
      </c>
      <c r="AV19" s="915">
        <f t="shared" si="19"/>
        <v>0</v>
      </c>
      <c r="AW19" s="915">
        <f t="shared" si="20"/>
        <v>0</v>
      </c>
      <c r="AX19" s="915">
        <f t="shared" si="21"/>
        <v>0</v>
      </c>
      <c r="AY19" s="915">
        <f t="shared" si="73"/>
        <v>0</v>
      </c>
      <c r="AZ19" s="915">
        <f t="shared" si="74"/>
        <v>0</v>
      </c>
      <c r="BA19" s="915">
        <f t="shared" si="75"/>
        <v>10.6</v>
      </c>
      <c r="BB19" s="915">
        <f t="shared" si="76"/>
        <v>0</v>
      </c>
      <c r="BC19" s="915">
        <f t="shared" si="77"/>
        <v>0</v>
      </c>
      <c r="BD19" s="915">
        <f t="shared" si="78"/>
        <v>0</v>
      </c>
      <c r="BE19" s="915">
        <f t="shared" si="79"/>
        <v>0</v>
      </c>
      <c r="BF19" s="915">
        <f t="shared" si="80"/>
        <v>0</v>
      </c>
      <c r="BG19" s="915">
        <f t="shared" si="81"/>
        <v>0</v>
      </c>
      <c r="BH19" s="915">
        <f t="shared" si="82"/>
        <v>0</v>
      </c>
      <c r="BI19" s="915">
        <f t="shared" si="83"/>
        <v>0</v>
      </c>
      <c r="BJ19" s="915">
        <f t="shared" si="22"/>
        <v>0</v>
      </c>
      <c r="BK19" s="915">
        <f t="shared" si="23"/>
        <v>0</v>
      </c>
      <c r="BL19" s="915">
        <f t="shared" si="24"/>
        <v>0</v>
      </c>
      <c r="BM19" s="915">
        <f t="shared" si="25"/>
        <v>0</v>
      </c>
      <c r="BN19" s="915">
        <f t="shared" si="26"/>
        <v>0</v>
      </c>
      <c r="BO19" s="915">
        <f t="shared" si="27"/>
        <v>0</v>
      </c>
      <c r="BP19" s="915">
        <f t="shared" si="28"/>
        <v>0</v>
      </c>
      <c r="BQ19" s="915">
        <f t="shared" si="29"/>
        <v>0</v>
      </c>
      <c r="BR19" s="915">
        <f t="shared" si="30"/>
        <v>0</v>
      </c>
      <c r="BS19" s="915">
        <f t="shared" si="31"/>
        <v>0</v>
      </c>
      <c r="BT19" s="915">
        <f t="shared" si="84"/>
        <v>0</v>
      </c>
      <c r="BU19" s="915">
        <f t="shared" si="84"/>
        <v>0</v>
      </c>
      <c r="BV19" s="915">
        <f t="shared" si="85"/>
        <v>0</v>
      </c>
      <c r="BW19" s="915">
        <f t="shared" si="86"/>
        <v>0</v>
      </c>
      <c r="BX19" s="915">
        <f t="shared" si="87"/>
        <v>0</v>
      </c>
      <c r="BY19" s="915">
        <f t="shared" si="88"/>
        <v>0</v>
      </c>
      <c r="BZ19" s="915">
        <f t="shared" si="89"/>
        <v>0</v>
      </c>
      <c r="CA19" s="915">
        <f t="shared" si="90"/>
        <v>0</v>
      </c>
      <c r="CB19" s="915">
        <f t="shared" si="91"/>
        <v>0</v>
      </c>
      <c r="CC19" s="915">
        <f t="shared" si="92"/>
        <v>0</v>
      </c>
      <c r="CD19" s="915">
        <f t="shared" si="32"/>
        <v>0</v>
      </c>
      <c r="CE19" s="915">
        <f t="shared" si="33"/>
        <v>0</v>
      </c>
      <c r="CF19" s="915">
        <f t="shared" si="34"/>
        <v>0</v>
      </c>
      <c r="CG19" s="915">
        <f t="shared" si="35"/>
        <v>0</v>
      </c>
      <c r="CH19" s="915">
        <f t="shared" si="36"/>
        <v>0</v>
      </c>
      <c r="CI19" s="915">
        <f t="shared" si="37"/>
        <v>0</v>
      </c>
      <c r="CJ19" s="915">
        <f t="shared" si="38"/>
        <v>0</v>
      </c>
      <c r="CK19" s="915">
        <f t="shared" si="39"/>
        <v>0</v>
      </c>
      <c r="CL19" s="915">
        <f t="shared" si="40"/>
        <v>0</v>
      </c>
      <c r="CM19" s="915">
        <f t="shared" si="41"/>
        <v>0</v>
      </c>
      <c r="CN19" s="915">
        <f t="shared" si="93"/>
        <v>0</v>
      </c>
      <c r="CO19" s="915">
        <f t="shared" si="94"/>
        <v>0</v>
      </c>
      <c r="CP19" s="915">
        <f t="shared" si="95"/>
        <v>0</v>
      </c>
      <c r="CQ19" s="915">
        <f t="shared" si="96"/>
        <v>0</v>
      </c>
      <c r="CR19" s="915">
        <f t="shared" si="97"/>
        <v>0</v>
      </c>
      <c r="CS19" s="915">
        <f t="shared" si="98"/>
        <v>0</v>
      </c>
      <c r="CT19" s="915">
        <f t="shared" si="99"/>
        <v>0</v>
      </c>
      <c r="CU19" s="915">
        <f t="shared" si="100"/>
        <v>0</v>
      </c>
      <c r="CV19" s="915">
        <f t="shared" si="101"/>
        <v>0</v>
      </c>
      <c r="CW19" s="915">
        <f t="shared" si="102"/>
        <v>0</v>
      </c>
      <c r="CX19" s="915">
        <f t="shared" si="42"/>
        <v>0</v>
      </c>
      <c r="CY19" s="915">
        <f t="shared" si="43"/>
        <v>0</v>
      </c>
      <c r="CZ19" s="915">
        <f t="shared" si="44"/>
        <v>0</v>
      </c>
      <c r="DA19" s="915">
        <f t="shared" si="45"/>
        <v>0</v>
      </c>
      <c r="DB19" s="915">
        <f t="shared" si="46"/>
        <v>0</v>
      </c>
      <c r="DC19" s="915">
        <f t="shared" si="47"/>
        <v>0</v>
      </c>
      <c r="DD19" s="915">
        <f t="shared" si="48"/>
        <v>0</v>
      </c>
      <c r="DE19" s="915">
        <f t="shared" si="49"/>
        <v>0</v>
      </c>
      <c r="DF19" s="915">
        <f t="shared" si="50"/>
        <v>0</v>
      </c>
      <c r="DG19" s="915">
        <f t="shared" si="51"/>
        <v>0</v>
      </c>
      <c r="DH19" s="915">
        <f t="shared" si="103"/>
        <v>0</v>
      </c>
      <c r="DI19" s="915">
        <f t="shared" si="104"/>
        <v>0</v>
      </c>
      <c r="DJ19" s="915">
        <f t="shared" si="105"/>
        <v>0</v>
      </c>
      <c r="DK19" s="915">
        <f t="shared" si="106"/>
        <v>0</v>
      </c>
      <c r="DL19" s="915">
        <f t="shared" si="107"/>
        <v>0</v>
      </c>
      <c r="DM19" s="915">
        <f t="shared" si="108"/>
        <v>0</v>
      </c>
      <c r="DN19" s="915">
        <f t="shared" si="109"/>
        <v>0</v>
      </c>
      <c r="DO19" s="915">
        <f t="shared" si="110"/>
        <v>0</v>
      </c>
      <c r="DP19" s="915">
        <f t="shared" si="111"/>
        <v>0</v>
      </c>
      <c r="DQ19" s="915">
        <f t="shared" si="112"/>
        <v>0</v>
      </c>
      <c r="DR19" s="915">
        <f t="shared" si="52"/>
        <v>0</v>
      </c>
      <c r="DS19" s="915">
        <f t="shared" si="53"/>
        <v>0</v>
      </c>
      <c r="DT19" s="915">
        <f t="shared" si="54"/>
        <v>0</v>
      </c>
      <c r="DU19" s="915">
        <f t="shared" si="55"/>
        <v>0</v>
      </c>
      <c r="DV19" s="915">
        <f t="shared" si="56"/>
        <v>0</v>
      </c>
      <c r="DW19" s="915">
        <f t="shared" si="57"/>
        <v>0</v>
      </c>
      <c r="DX19" s="915">
        <f t="shared" si="58"/>
        <v>0</v>
      </c>
      <c r="DY19" s="915">
        <f t="shared" si="59"/>
        <v>0</v>
      </c>
      <c r="DZ19" s="915">
        <f t="shared" si="60"/>
        <v>0</v>
      </c>
      <c r="EA19" s="915">
        <f t="shared" si="61"/>
        <v>0</v>
      </c>
      <c r="EB19" s="915">
        <f t="shared" si="113"/>
        <v>0</v>
      </c>
      <c r="EC19" s="915">
        <f t="shared" si="114"/>
        <v>0</v>
      </c>
      <c r="ED19" s="915">
        <f t="shared" si="115"/>
        <v>0</v>
      </c>
      <c r="EE19" s="915">
        <f t="shared" si="116"/>
        <v>0</v>
      </c>
      <c r="EF19" s="915">
        <f t="shared" si="117"/>
        <v>0</v>
      </c>
      <c r="EG19" s="915">
        <f t="shared" si="118"/>
        <v>0</v>
      </c>
      <c r="EH19" s="915">
        <f t="shared" si="119"/>
        <v>0</v>
      </c>
      <c r="EI19" s="915">
        <f t="shared" si="120"/>
        <v>0</v>
      </c>
      <c r="EJ19" s="915">
        <f t="shared" si="121"/>
        <v>0</v>
      </c>
      <c r="EK19" s="915">
        <f t="shared" si="122"/>
        <v>0</v>
      </c>
      <c r="EL19" s="915"/>
      <c r="EN19" s="533"/>
      <c r="EQ19" s="534"/>
    </row>
    <row r="20" spans="1:147" ht="14.1" customHeight="1" x14ac:dyDescent="0.2">
      <c r="A20" s="496">
        <v>13</v>
      </c>
      <c r="B20" s="1419"/>
      <c r="C20" s="1433"/>
      <c r="D20" s="264">
        <v>13</v>
      </c>
      <c r="E20" s="264" t="s">
        <v>1245</v>
      </c>
      <c r="F20" s="270" t="s">
        <v>2544</v>
      </c>
      <c r="G20" s="271">
        <v>1</v>
      </c>
      <c r="H20" s="803">
        <v>10</v>
      </c>
      <c r="I20" s="800">
        <f t="shared" si="124"/>
        <v>0.6</v>
      </c>
      <c r="J20" s="269">
        <f t="shared" si="125"/>
        <v>10.6</v>
      </c>
      <c r="K20" s="225"/>
      <c r="L20" s="941" t="str">
        <f>TabName13 &amp; " - UNITS"</f>
        <v>Phase 13 - UNITS</v>
      </c>
      <c r="M20" s="942">
        <f>AH6</f>
        <v>0</v>
      </c>
      <c r="N20" s="949"/>
      <c r="P20" s="915">
        <f>INDEX(ValidateTable,13)</f>
        <v>13</v>
      </c>
      <c r="V20" s="915">
        <f t="shared" si="3"/>
        <v>0</v>
      </c>
      <c r="W20" s="915">
        <f t="shared" si="4"/>
        <v>0</v>
      </c>
      <c r="X20" s="915">
        <f t="shared" si="5"/>
        <v>0</v>
      </c>
      <c r="Y20" s="915">
        <f t="shared" si="6"/>
        <v>0</v>
      </c>
      <c r="Z20" s="915">
        <f t="shared" si="7"/>
        <v>0</v>
      </c>
      <c r="AA20" s="915">
        <f t="shared" si="8"/>
        <v>0</v>
      </c>
      <c r="AB20" s="915">
        <f t="shared" si="9"/>
        <v>0</v>
      </c>
      <c r="AC20" s="915">
        <f t="shared" si="10"/>
        <v>0</v>
      </c>
      <c r="AD20" s="915">
        <f t="shared" si="11"/>
        <v>0</v>
      </c>
      <c r="AE20" s="915">
        <f t="shared" si="12"/>
        <v>0</v>
      </c>
      <c r="AF20" s="915">
        <f t="shared" si="63"/>
        <v>0</v>
      </c>
      <c r="AG20" s="915">
        <f t="shared" si="64"/>
        <v>0</v>
      </c>
      <c r="AH20" s="915">
        <f t="shared" si="65"/>
        <v>0</v>
      </c>
      <c r="AI20" s="915">
        <f t="shared" si="66"/>
        <v>0</v>
      </c>
      <c r="AJ20" s="915">
        <f t="shared" si="67"/>
        <v>0</v>
      </c>
      <c r="AK20" s="915">
        <f t="shared" si="68"/>
        <v>0</v>
      </c>
      <c r="AL20" s="915">
        <f t="shared" si="69"/>
        <v>0</v>
      </c>
      <c r="AM20" s="915">
        <f t="shared" si="70"/>
        <v>0</v>
      </c>
      <c r="AN20" s="915">
        <f t="shared" si="71"/>
        <v>0</v>
      </c>
      <c r="AO20" s="915">
        <f t="shared" si="72"/>
        <v>0</v>
      </c>
      <c r="AP20" s="915">
        <f t="shared" si="13"/>
        <v>0</v>
      </c>
      <c r="AQ20" s="915">
        <f t="shared" si="14"/>
        <v>0</v>
      </c>
      <c r="AR20" s="915">
        <f t="shared" si="15"/>
        <v>0</v>
      </c>
      <c r="AS20" s="915">
        <f t="shared" si="16"/>
        <v>0</v>
      </c>
      <c r="AT20" s="915">
        <f t="shared" si="17"/>
        <v>0</v>
      </c>
      <c r="AU20" s="915">
        <f t="shared" si="18"/>
        <v>0</v>
      </c>
      <c r="AV20" s="915">
        <f t="shared" si="19"/>
        <v>0</v>
      </c>
      <c r="AW20" s="915">
        <f t="shared" si="20"/>
        <v>0</v>
      </c>
      <c r="AX20" s="915">
        <f t="shared" si="21"/>
        <v>0</v>
      </c>
      <c r="AY20" s="915">
        <f t="shared" si="73"/>
        <v>0</v>
      </c>
      <c r="AZ20" s="915">
        <f t="shared" si="74"/>
        <v>0</v>
      </c>
      <c r="BA20" s="915">
        <f t="shared" si="75"/>
        <v>0</v>
      </c>
      <c r="BB20" s="915">
        <f t="shared" si="76"/>
        <v>10.6</v>
      </c>
      <c r="BC20" s="915">
        <f t="shared" si="77"/>
        <v>0</v>
      </c>
      <c r="BD20" s="915">
        <f t="shared" si="78"/>
        <v>0</v>
      </c>
      <c r="BE20" s="915">
        <f t="shared" si="79"/>
        <v>0</v>
      </c>
      <c r="BF20" s="915">
        <f t="shared" si="80"/>
        <v>0</v>
      </c>
      <c r="BG20" s="915">
        <f t="shared" si="81"/>
        <v>0</v>
      </c>
      <c r="BH20" s="915">
        <f t="shared" si="82"/>
        <v>0</v>
      </c>
      <c r="BI20" s="915">
        <f t="shared" si="83"/>
        <v>0</v>
      </c>
      <c r="BJ20" s="915">
        <f t="shared" si="22"/>
        <v>0</v>
      </c>
      <c r="BK20" s="915">
        <f t="shared" si="23"/>
        <v>0</v>
      </c>
      <c r="BL20" s="915">
        <f t="shared" si="24"/>
        <v>0</v>
      </c>
      <c r="BM20" s="915">
        <f t="shared" si="25"/>
        <v>0</v>
      </c>
      <c r="BN20" s="915">
        <f t="shared" si="26"/>
        <v>0</v>
      </c>
      <c r="BO20" s="915">
        <f t="shared" si="27"/>
        <v>0</v>
      </c>
      <c r="BP20" s="915">
        <f t="shared" si="28"/>
        <v>0</v>
      </c>
      <c r="BQ20" s="915">
        <f t="shared" si="29"/>
        <v>0</v>
      </c>
      <c r="BR20" s="915">
        <f t="shared" si="30"/>
        <v>0</v>
      </c>
      <c r="BS20" s="915">
        <f t="shared" si="31"/>
        <v>0</v>
      </c>
      <c r="BT20" s="915">
        <f t="shared" si="84"/>
        <v>0</v>
      </c>
      <c r="BU20" s="915">
        <f t="shared" si="84"/>
        <v>0</v>
      </c>
      <c r="BV20" s="915">
        <f t="shared" si="85"/>
        <v>0</v>
      </c>
      <c r="BW20" s="915">
        <f t="shared" si="86"/>
        <v>0</v>
      </c>
      <c r="BX20" s="915">
        <f t="shared" si="87"/>
        <v>0</v>
      </c>
      <c r="BY20" s="915">
        <f t="shared" si="88"/>
        <v>0</v>
      </c>
      <c r="BZ20" s="915">
        <f t="shared" si="89"/>
        <v>0</v>
      </c>
      <c r="CA20" s="915">
        <f t="shared" si="90"/>
        <v>0</v>
      </c>
      <c r="CB20" s="915">
        <f t="shared" si="91"/>
        <v>0</v>
      </c>
      <c r="CC20" s="915">
        <f t="shared" si="92"/>
        <v>0</v>
      </c>
      <c r="CD20" s="915">
        <f t="shared" si="32"/>
        <v>0</v>
      </c>
      <c r="CE20" s="915">
        <f t="shared" si="33"/>
        <v>0</v>
      </c>
      <c r="CF20" s="915">
        <f t="shared" si="34"/>
        <v>0</v>
      </c>
      <c r="CG20" s="915">
        <f t="shared" si="35"/>
        <v>0</v>
      </c>
      <c r="CH20" s="915">
        <f t="shared" si="36"/>
        <v>0</v>
      </c>
      <c r="CI20" s="915">
        <f t="shared" si="37"/>
        <v>0</v>
      </c>
      <c r="CJ20" s="915">
        <f t="shared" si="38"/>
        <v>0</v>
      </c>
      <c r="CK20" s="915">
        <f t="shared" si="39"/>
        <v>0</v>
      </c>
      <c r="CL20" s="915">
        <f t="shared" si="40"/>
        <v>0</v>
      </c>
      <c r="CM20" s="915">
        <f t="shared" si="41"/>
        <v>0</v>
      </c>
      <c r="CN20" s="915">
        <f t="shared" si="93"/>
        <v>0</v>
      </c>
      <c r="CO20" s="915">
        <f t="shared" si="94"/>
        <v>0</v>
      </c>
      <c r="CP20" s="915">
        <f t="shared" si="95"/>
        <v>0</v>
      </c>
      <c r="CQ20" s="915">
        <f t="shared" si="96"/>
        <v>0</v>
      </c>
      <c r="CR20" s="915">
        <f t="shared" si="97"/>
        <v>0</v>
      </c>
      <c r="CS20" s="915">
        <f t="shared" si="98"/>
        <v>0</v>
      </c>
      <c r="CT20" s="915">
        <f t="shared" si="99"/>
        <v>0</v>
      </c>
      <c r="CU20" s="915">
        <f t="shared" si="100"/>
        <v>0</v>
      </c>
      <c r="CV20" s="915">
        <f t="shared" si="101"/>
        <v>0</v>
      </c>
      <c r="CW20" s="915">
        <f t="shared" si="102"/>
        <v>0</v>
      </c>
      <c r="CX20" s="915">
        <f t="shared" si="42"/>
        <v>0</v>
      </c>
      <c r="CY20" s="915">
        <f t="shared" si="43"/>
        <v>0</v>
      </c>
      <c r="CZ20" s="915">
        <f t="shared" si="44"/>
        <v>0</v>
      </c>
      <c r="DA20" s="915">
        <f t="shared" si="45"/>
        <v>0</v>
      </c>
      <c r="DB20" s="915">
        <f t="shared" si="46"/>
        <v>0</v>
      </c>
      <c r="DC20" s="915">
        <f t="shared" si="47"/>
        <v>0</v>
      </c>
      <c r="DD20" s="915">
        <f t="shared" si="48"/>
        <v>0</v>
      </c>
      <c r="DE20" s="915">
        <f t="shared" si="49"/>
        <v>0</v>
      </c>
      <c r="DF20" s="915">
        <f t="shared" si="50"/>
        <v>0</v>
      </c>
      <c r="DG20" s="915">
        <f t="shared" si="51"/>
        <v>0</v>
      </c>
      <c r="DH20" s="915">
        <f t="shared" si="103"/>
        <v>0</v>
      </c>
      <c r="DI20" s="915">
        <f t="shared" si="104"/>
        <v>0</v>
      </c>
      <c r="DJ20" s="915">
        <f t="shared" si="105"/>
        <v>0</v>
      </c>
      <c r="DK20" s="915">
        <f t="shared" si="106"/>
        <v>0</v>
      </c>
      <c r="DL20" s="915">
        <f t="shared" si="107"/>
        <v>0</v>
      </c>
      <c r="DM20" s="915">
        <f t="shared" si="108"/>
        <v>0</v>
      </c>
      <c r="DN20" s="915">
        <f t="shared" si="109"/>
        <v>0</v>
      </c>
      <c r="DO20" s="915">
        <f t="shared" si="110"/>
        <v>0</v>
      </c>
      <c r="DP20" s="915">
        <f t="shared" si="111"/>
        <v>0</v>
      </c>
      <c r="DQ20" s="915">
        <f t="shared" si="112"/>
        <v>0</v>
      </c>
      <c r="DR20" s="915">
        <f t="shared" si="52"/>
        <v>0</v>
      </c>
      <c r="DS20" s="915">
        <f t="shared" si="53"/>
        <v>0</v>
      </c>
      <c r="DT20" s="915">
        <f t="shared" si="54"/>
        <v>0</v>
      </c>
      <c r="DU20" s="915">
        <f t="shared" si="55"/>
        <v>0</v>
      </c>
      <c r="DV20" s="915">
        <f t="shared" si="56"/>
        <v>0</v>
      </c>
      <c r="DW20" s="915">
        <f t="shared" si="57"/>
        <v>0</v>
      </c>
      <c r="DX20" s="915">
        <f t="shared" si="58"/>
        <v>0</v>
      </c>
      <c r="DY20" s="915">
        <f t="shared" si="59"/>
        <v>0</v>
      </c>
      <c r="DZ20" s="915">
        <f t="shared" si="60"/>
        <v>0</v>
      </c>
      <c r="EA20" s="915">
        <f t="shared" si="61"/>
        <v>0</v>
      </c>
      <c r="EB20" s="915">
        <f t="shared" si="113"/>
        <v>0</v>
      </c>
      <c r="EC20" s="915">
        <f t="shared" si="114"/>
        <v>0</v>
      </c>
      <c r="ED20" s="915">
        <f t="shared" si="115"/>
        <v>0</v>
      </c>
      <c r="EE20" s="915">
        <f t="shared" si="116"/>
        <v>0</v>
      </c>
      <c r="EF20" s="915">
        <f t="shared" si="117"/>
        <v>0</v>
      </c>
      <c r="EG20" s="915">
        <f t="shared" si="118"/>
        <v>0</v>
      </c>
      <c r="EH20" s="915">
        <f t="shared" si="119"/>
        <v>0</v>
      </c>
      <c r="EI20" s="915">
        <f t="shared" si="120"/>
        <v>0</v>
      </c>
      <c r="EJ20" s="915">
        <f t="shared" si="121"/>
        <v>0</v>
      </c>
      <c r="EK20" s="915">
        <f t="shared" si="122"/>
        <v>0</v>
      </c>
      <c r="EL20" s="915"/>
      <c r="EN20" s="533"/>
      <c r="EQ20" s="534"/>
    </row>
    <row r="21" spans="1:147" ht="14.1" customHeight="1" x14ac:dyDescent="0.2">
      <c r="A21" s="497">
        <v>14</v>
      </c>
      <c r="B21" s="1005"/>
      <c r="C21" s="1008"/>
      <c r="D21" s="1020">
        <v>14</v>
      </c>
      <c r="E21" s="138" t="s">
        <v>1245</v>
      </c>
      <c r="F21" s="139" t="s">
        <v>2544</v>
      </c>
      <c r="G21" s="91">
        <v>1</v>
      </c>
      <c r="H21" s="802">
        <v>10</v>
      </c>
      <c r="I21" s="801">
        <f>IF(OR(LEFT(E21,1)="I",LEFT(E21,1)="U"),0,IF(ISTEXT(K21),0,StateTaxLab*G21*H21))</f>
        <v>0.6</v>
      </c>
      <c r="J21" s="1021">
        <f>(G21*H21)+I21</f>
        <v>10.6</v>
      </c>
      <c r="K21" s="225"/>
      <c r="L21" s="941" t="str">
        <f>TabName14 &amp; " - UNITS"</f>
        <v>Phase 14 - UNITS</v>
      </c>
      <c r="M21" s="942">
        <f>AI6</f>
        <v>0</v>
      </c>
      <c r="N21" s="949"/>
      <c r="P21" s="915">
        <f>INDEX(ValidateTable,14)</f>
        <v>14</v>
      </c>
      <c r="V21" s="915">
        <f t="shared" si="3"/>
        <v>0</v>
      </c>
      <c r="W21" s="915">
        <f t="shared" si="4"/>
        <v>0</v>
      </c>
      <c r="X21" s="915">
        <f t="shared" si="5"/>
        <v>0</v>
      </c>
      <c r="Y21" s="915">
        <f t="shared" si="6"/>
        <v>0</v>
      </c>
      <c r="Z21" s="915">
        <f t="shared" si="7"/>
        <v>0</v>
      </c>
      <c r="AA21" s="915">
        <f t="shared" si="8"/>
        <v>0</v>
      </c>
      <c r="AB21" s="915">
        <f t="shared" si="9"/>
        <v>0</v>
      </c>
      <c r="AC21" s="915">
        <f t="shared" si="10"/>
        <v>0</v>
      </c>
      <c r="AD21" s="915">
        <f t="shared" si="11"/>
        <v>0</v>
      </c>
      <c r="AE21" s="915">
        <f t="shared" si="12"/>
        <v>0</v>
      </c>
      <c r="AF21" s="915">
        <f t="shared" si="63"/>
        <v>0</v>
      </c>
      <c r="AG21" s="915">
        <f t="shared" si="64"/>
        <v>0</v>
      </c>
      <c r="AH21" s="915">
        <f t="shared" si="65"/>
        <v>0</v>
      </c>
      <c r="AI21" s="915">
        <f t="shared" si="66"/>
        <v>0</v>
      </c>
      <c r="AJ21" s="915">
        <f t="shared" si="67"/>
        <v>0</v>
      </c>
      <c r="AK21" s="915">
        <f t="shared" si="68"/>
        <v>0</v>
      </c>
      <c r="AL21" s="915">
        <f t="shared" si="69"/>
        <v>0</v>
      </c>
      <c r="AM21" s="915">
        <f t="shared" si="70"/>
        <v>0</v>
      </c>
      <c r="AN21" s="915">
        <f t="shared" si="71"/>
        <v>0</v>
      </c>
      <c r="AO21" s="915">
        <f t="shared" si="72"/>
        <v>0</v>
      </c>
      <c r="AP21" s="915">
        <f t="shared" si="13"/>
        <v>0</v>
      </c>
      <c r="AQ21" s="915">
        <f t="shared" si="14"/>
        <v>0</v>
      </c>
      <c r="AR21" s="915">
        <f t="shared" si="15"/>
        <v>0</v>
      </c>
      <c r="AS21" s="915">
        <f t="shared" si="16"/>
        <v>0</v>
      </c>
      <c r="AT21" s="915">
        <f t="shared" si="17"/>
        <v>0</v>
      </c>
      <c r="AU21" s="915">
        <f t="shared" si="18"/>
        <v>0</v>
      </c>
      <c r="AV21" s="915">
        <f t="shared" si="19"/>
        <v>0</v>
      </c>
      <c r="AW21" s="915">
        <f t="shared" si="20"/>
        <v>0</v>
      </c>
      <c r="AX21" s="915">
        <f t="shared" si="21"/>
        <v>0</v>
      </c>
      <c r="AY21" s="915">
        <f t="shared" si="73"/>
        <v>0</v>
      </c>
      <c r="AZ21" s="915">
        <f t="shared" si="74"/>
        <v>0</v>
      </c>
      <c r="BA21" s="915">
        <f t="shared" si="75"/>
        <v>0</v>
      </c>
      <c r="BB21" s="915">
        <f t="shared" si="76"/>
        <v>0</v>
      </c>
      <c r="BC21" s="915">
        <f t="shared" si="77"/>
        <v>10.6</v>
      </c>
      <c r="BD21" s="915">
        <f t="shared" si="78"/>
        <v>0</v>
      </c>
      <c r="BE21" s="915">
        <f t="shared" si="79"/>
        <v>0</v>
      </c>
      <c r="BF21" s="915">
        <f t="shared" si="80"/>
        <v>0</v>
      </c>
      <c r="BG21" s="915">
        <f t="shared" si="81"/>
        <v>0</v>
      </c>
      <c r="BH21" s="915">
        <f t="shared" si="82"/>
        <v>0</v>
      </c>
      <c r="BI21" s="915">
        <f t="shared" si="83"/>
        <v>0</v>
      </c>
      <c r="BJ21" s="915">
        <f t="shared" si="22"/>
        <v>0</v>
      </c>
      <c r="BK21" s="915">
        <f t="shared" si="23"/>
        <v>0</v>
      </c>
      <c r="BL21" s="915">
        <f t="shared" si="24"/>
        <v>0</v>
      </c>
      <c r="BM21" s="915">
        <f t="shared" si="25"/>
        <v>0</v>
      </c>
      <c r="BN21" s="915">
        <f t="shared" si="26"/>
        <v>0</v>
      </c>
      <c r="BO21" s="915">
        <f t="shared" si="27"/>
        <v>0</v>
      </c>
      <c r="BP21" s="915">
        <f t="shared" si="28"/>
        <v>0</v>
      </c>
      <c r="BQ21" s="915">
        <f t="shared" si="29"/>
        <v>0</v>
      </c>
      <c r="BR21" s="915">
        <f t="shared" si="30"/>
        <v>0</v>
      </c>
      <c r="BS21" s="915">
        <f t="shared" si="31"/>
        <v>0</v>
      </c>
      <c r="BT21" s="915">
        <f t="shared" si="84"/>
        <v>0</v>
      </c>
      <c r="BU21" s="915">
        <f t="shared" si="84"/>
        <v>0</v>
      </c>
      <c r="BV21" s="915">
        <f t="shared" si="85"/>
        <v>0</v>
      </c>
      <c r="BW21" s="915">
        <f t="shared" si="86"/>
        <v>0</v>
      </c>
      <c r="BX21" s="915">
        <f t="shared" si="87"/>
        <v>0</v>
      </c>
      <c r="BY21" s="915">
        <f t="shared" si="88"/>
        <v>0</v>
      </c>
      <c r="BZ21" s="915">
        <f t="shared" si="89"/>
        <v>0</v>
      </c>
      <c r="CA21" s="915">
        <f t="shared" si="90"/>
        <v>0</v>
      </c>
      <c r="CB21" s="915">
        <f t="shared" si="91"/>
        <v>0</v>
      </c>
      <c r="CC21" s="915">
        <f t="shared" si="92"/>
        <v>0</v>
      </c>
      <c r="CD21" s="915">
        <f t="shared" si="32"/>
        <v>0</v>
      </c>
      <c r="CE21" s="915">
        <f t="shared" si="33"/>
        <v>0</v>
      </c>
      <c r="CF21" s="915">
        <f t="shared" si="34"/>
        <v>0</v>
      </c>
      <c r="CG21" s="915">
        <f t="shared" si="35"/>
        <v>0</v>
      </c>
      <c r="CH21" s="915">
        <f t="shared" si="36"/>
        <v>0</v>
      </c>
      <c r="CI21" s="915">
        <f t="shared" si="37"/>
        <v>0</v>
      </c>
      <c r="CJ21" s="915">
        <f t="shared" si="38"/>
        <v>0</v>
      </c>
      <c r="CK21" s="915">
        <f t="shared" si="39"/>
        <v>0</v>
      </c>
      <c r="CL21" s="915">
        <f t="shared" si="40"/>
        <v>0</v>
      </c>
      <c r="CM21" s="915">
        <f t="shared" si="41"/>
        <v>0</v>
      </c>
      <c r="CN21" s="915">
        <f>IF(AND($D21=$P$18,$E21=$R$11),$J21,0)</f>
        <v>0</v>
      </c>
      <c r="CO21" s="915">
        <f>IF(AND($D21=$P$19,$E21=$R$11),$J21,0)</f>
        <v>0</v>
      </c>
      <c r="CP21" s="915">
        <f>IF(AND($D21=$P$20,$E21=$R$11),$J21,0)</f>
        <v>0</v>
      </c>
      <c r="CQ21" s="915">
        <f>IF(AND($D21=$P$21,$E21=$R$11),$J21,0)</f>
        <v>0</v>
      </c>
      <c r="CR21" s="915">
        <f>IF(AND($D21=$P$22,$E21=$R$11),$J21,0)</f>
        <v>0</v>
      </c>
      <c r="CS21" s="915">
        <f>IF(AND($D21=$P$23,$E21=$R$11),$J21,0)</f>
        <v>0</v>
      </c>
      <c r="CT21" s="915">
        <f>IF(AND($D21=$P$24,$E21=$R$11),$J21,0)</f>
        <v>0</v>
      </c>
      <c r="CU21" s="915">
        <f>IF(AND($D21=$P$25,$E21=$R$11),$J21,0)</f>
        <v>0</v>
      </c>
      <c r="CV21" s="915">
        <f>IF(AND($D21=$P$26,$E21=$R$11),$J21,0)</f>
        <v>0</v>
      </c>
      <c r="CW21" s="915">
        <f>IF(AND($D21=$P$27,$E21=$R$11),$J21,0)</f>
        <v>0</v>
      </c>
      <c r="CX21" s="915">
        <f t="shared" si="42"/>
        <v>0</v>
      </c>
      <c r="CY21" s="915">
        <f t="shared" si="43"/>
        <v>0</v>
      </c>
      <c r="CZ21" s="915">
        <f t="shared" si="44"/>
        <v>0</v>
      </c>
      <c r="DA21" s="915">
        <f t="shared" si="45"/>
        <v>0</v>
      </c>
      <c r="DB21" s="915">
        <f t="shared" si="46"/>
        <v>0</v>
      </c>
      <c r="DC21" s="915">
        <f t="shared" si="47"/>
        <v>0</v>
      </c>
      <c r="DD21" s="915">
        <f t="shared" si="48"/>
        <v>0</v>
      </c>
      <c r="DE21" s="915">
        <f t="shared" si="49"/>
        <v>0</v>
      </c>
      <c r="DF21" s="915">
        <f t="shared" si="50"/>
        <v>0</v>
      </c>
      <c r="DG21" s="915">
        <f t="shared" si="51"/>
        <v>0</v>
      </c>
      <c r="DH21" s="915">
        <f t="shared" si="103"/>
        <v>0</v>
      </c>
      <c r="DI21" s="915">
        <f t="shared" si="104"/>
        <v>0</v>
      </c>
      <c r="DJ21" s="915">
        <f t="shared" si="105"/>
        <v>0</v>
      </c>
      <c r="DK21" s="915">
        <f t="shared" si="106"/>
        <v>0</v>
      </c>
      <c r="DL21" s="915">
        <f t="shared" si="107"/>
        <v>0</v>
      </c>
      <c r="DM21" s="915">
        <f t="shared" si="108"/>
        <v>0</v>
      </c>
      <c r="DN21" s="915">
        <f t="shared" si="109"/>
        <v>0</v>
      </c>
      <c r="DO21" s="915">
        <f t="shared" si="110"/>
        <v>0</v>
      </c>
      <c r="DP21" s="915">
        <f t="shared" si="111"/>
        <v>0</v>
      </c>
      <c r="DQ21" s="915">
        <f t="shared" si="112"/>
        <v>0</v>
      </c>
      <c r="DR21" s="915">
        <f t="shared" si="52"/>
        <v>0</v>
      </c>
      <c r="DS21" s="915">
        <f t="shared" si="53"/>
        <v>0</v>
      </c>
      <c r="DT21" s="915">
        <f t="shared" si="54"/>
        <v>0</v>
      </c>
      <c r="DU21" s="915">
        <f t="shared" si="55"/>
        <v>0</v>
      </c>
      <c r="DV21" s="915">
        <f t="shared" si="56"/>
        <v>0</v>
      </c>
      <c r="DW21" s="915">
        <f t="shared" si="57"/>
        <v>0</v>
      </c>
      <c r="DX21" s="915">
        <f t="shared" si="58"/>
        <v>0</v>
      </c>
      <c r="DY21" s="915">
        <f t="shared" si="59"/>
        <v>0</v>
      </c>
      <c r="DZ21" s="915">
        <f t="shared" si="60"/>
        <v>0</v>
      </c>
      <c r="EA21" s="915">
        <f t="shared" si="61"/>
        <v>0</v>
      </c>
      <c r="EB21" s="915">
        <f t="shared" si="113"/>
        <v>0</v>
      </c>
      <c r="EC21" s="915">
        <f t="shared" si="114"/>
        <v>0</v>
      </c>
      <c r="ED21" s="915">
        <f t="shared" si="115"/>
        <v>0</v>
      </c>
      <c r="EE21" s="915">
        <f t="shared" si="116"/>
        <v>0</v>
      </c>
      <c r="EF21" s="915">
        <f t="shared" si="117"/>
        <v>0</v>
      </c>
      <c r="EG21" s="915">
        <f t="shared" si="118"/>
        <v>0</v>
      </c>
      <c r="EH21" s="915">
        <f t="shared" si="119"/>
        <v>0</v>
      </c>
      <c r="EI21" s="915">
        <f t="shared" si="120"/>
        <v>0</v>
      </c>
      <c r="EJ21" s="915">
        <f t="shared" si="121"/>
        <v>0</v>
      </c>
      <c r="EK21" s="915">
        <f t="shared" si="122"/>
        <v>0</v>
      </c>
      <c r="EL21" s="915"/>
      <c r="EN21" s="533"/>
      <c r="EQ21" s="534"/>
    </row>
    <row r="22" spans="1:147" ht="14.1" customHeight="1" x14ac:dyDescent="0.2">
      <c r="A22" s="496">
        <v>15</v>
      </c>
      <c r="B22" s="1419"/>
      <c r="C22" s="1433"/>
      <c r="D22" s="264">
        <v>15</v>
      </c>
      <c r="E22" s="264" t="s">
        <v>1245</v>
      </c>
      <c r="F22" s="270" t="s">
        <v>2544</v>
      </c>
      <c r="G22" s="271">
        <v>1</v>
      </c>
      <c r="H22" s="803">
        <v>10</v>
      </c>
      <c r="I22" s="800">
        <f>IF(OR(LEFT(E22,1)="I",LEFT(E22,1)="U"),0,IF(ISTEXT(K22),0,StateTaxLab*G22*H22))</f>
        <v>0.6</v>
      </c>
      <c r="J22" s="269">
        <f>(G22*H22)+I22</f>
        <v>10.6</v>
      </c>
      <c r="K22" s="225"/>
      <c r="L22" s="941" t="str">
        <f>TabName15 &amp; " - UNITS"</f>
        <v>Phase 15 - UNITS</v>
      </c>
      <c r="M22" s="942">
        <f>AJ6</f>
        <v>0</v>
      </c>
      <c r="N22" s="949"/>
      <c r="P22" s="915">
        <f>INDEX(ValidateTable,15)</f>
        <v>15</v>
      </c>
      <c r="V22" s="915">
        <f t="shared" si="3"/>
        <v>0</v>
      </c>
      <c r="W22" s="915">
        <f t="shared" si="4"/>
        <v>0</v>
      </c>
      <c r="X22" s="915">
        <f t="shared" si="5"/>
        <v>0</v>
      </c>
      <c r="Y22" s="915">
        <f t="shared" si="6"/>
        <v>0</v>
      </c>
      <c r="Z22" s="915">
        <f t="shared" si="7"/>
        <v>0</v>
      </c>
      <c r="AA22" s="915">
        <f t="shared" si="8"/>
        <v>0</v>
      </c>
      <c r="AB22" s="915">
        <f t="shared" si="9"/>
        <v>0</v>
      </c>
      <c r="AC22" s="915">
        <f t="shared" si="10"/>
        <v>0</v>
      </c>
      <c r="AD22" s="915">
        <f t="shared" si="11"/>
        <v>0</v>
      </c>
      <c r="AE22" s="915">
        <f t="shared" si="12"/>
        <v>0</v>
      </c>
      <c r="AF22" s="915">
        <f t="shared" si="63"/>
        <v>0</v>
      </c>
      <c r="AG22" s="915">
        <f t="shared" si="64"/>
        <v>0</v>
      </c>
      <c r="AH22" s="915">
        <f t="shared" si="65"/>
        <v>0</v>
      </c>
      <c r="AI22" s="915">
        <f t="shared" si="66"/>
        <v>0</v>
      </c>
      <c r="AJ22" s="915">
        <f t="shared" si="67"/>
        <v>0</v>
      </c>
      <c r="AK22" s="915">
        <f t="shared" si="68"/>
        <v>0</v>
      </c>
      <c r="AL22" s="915">
        <f t="shared" si="69"/>
        <v>0</v>
      </c>
      <c r="AM22" s="915">
        <f t="shared" si="70"/>
        <v>0</v>
      </c>
      <c r="AN22" s="915">
        <f t="shared" si="71"/>
        <v>0</v>
      </c>
      <c r="AO22" s="915">
        <f t="shared" si="72"/>
        <v>0</v>
      </c>
      <c r="AP22" s="915">
        <f t="shared" si="13"/>
        <v>0</v>
      </c>
      <c r="AQ22" s="915">
        <f t="shared" si="14"/>
        <v>0</v>
      </c>
      <c r="AR22" s="915">
        <f t="shared" si="15"/>
        <v>0</v>
      </c>
      <c r="AS22" s="915">
        <f t="shared" si="16"/>
        <v>0</v>
      </c>
      <c r="AT22" s="915">
        <f t="shared" si="17"/>
        <v>0</v>
      </c>
      <c r="AU22" s="915">
        <f t="shared" si="18"/>
        <v>0</v>
      </c>
      <c r="AV22" s="915">
        <f t="shared" si="19"/>
        <v>0</v>
      </c>
      <c r="AW22" s="915">
        <f t="shared" si="20"/>
        <v>0</v>
      </c>
      <c r="AX22" s="915">
        <f t="shared" si="21"/>
        <v>0</v>
      </c>
      <c r="AY22" s="915">
        <f t="shared" si="73"/>
        <v>0</v>
      </c>
      <c r="AZ22" s="915">
        <f t="shared" si="74"/>
        <v>0</v>
      </c>
      <c r="BA22" s="915">
        <f t="shared" si="75"/>
        <v>0</v>
      </c>
      <c r="BB22" s="915">
        <f t="shared" si="76"/>
        <v>0</v>
      </c>
      <c r="BC22" s="915">
        <f t="shared" si="77"/>
        <v>0</v>
      </c>
      <c r="BD22" s="915">
        <f t="shared" si="78"/>
        <v>10.6</v>
      </c>
      <c r="BE22" s="915">
        <f t="shared" si="79"/>
        <v>0</v>
      </c>
      <c r="BF22" s="915">
        <f t="shared" si="80"/>
        <v>0</v>
      </c>
      <c r="BG22" s="915">
        <f t="shared" si="81"/>
        <v>0</v>
      </c>
      <c r="BH22" s="915">
        <f t="shared" si="82"/>
        <v>0</v>
      </c>
      <c r="BI22" s="915">
        <f t="shared" si="83"/>
        <v>0</v>
      </c>
      <c r="BJ22" s="915">
        <f t="shared" si="22"/>
        <v>0</v>
      </c>
      <c r="BK22" s="915">
        <f t="shared" si="23"/>
        <v>0</v>
      </c>
      <c r="BL22" s="915">
        <f t="shared" si="24"/>
        <v>0</v>
      </c>
      <c r="BM22" s="915">
        <f t="shared" si="25"/>
        <v>0</v>
      </c>
      <c r="BN22" s="915">
        <f t="shared" si="26"/>
        <v>0</v>
      </c>
      <c r="BO22" s="915">
        <f t="shared" si="27"/>
        <v>0</v>
      </c>
      <c r="BP22" s="915">
        <f t="shared" si="28"/>
        <v>0</v>
      </c>
      <c r="BQ22" s="915">
        <f t="shared" si="29"/>
        <v>0</v>
      </c>
      <c r="BR22" s="915">
        <f t="shared" si="30"/>
        <v>0</v>
      </c>
      <c r="BS22" s="915">
        <f t="shared" si="31"/>
        <v>0</v>
      </c>
      <c r="BT22" s="915">
        <f t="shared" si="84"/>
        <v>0</v>
      </c>
      <c r="BU22" s="915">
        <f t="shared" si="84"/>
        <v>0</v>
      </c>
      <c r="BV22" s="915">
        <f t="shared" si="85"/>
        <v>0</v>
      </c>
      <c r="BW22" s="915">
        <f t="shared" si="86"/>
        <v>0</v>
      </c>
      <c r="BX22" s="915">
        <f t="shared" si="87"/>
        <v>0</v>
      </c>
      <c r="BY22" s="915">
        <f t="shared" si="88"/>
        <v>0</v>
      </c>
      <c r="BZ22" s="915">
        <f t="shared" si="89"/>
        <v>0</v>
      </c>
      <c r="CA22" s="915">
        <f t="shared" si="90"/>
        <v>0</v>
      </c>
      <c r="CB22" s="915">
        <f t="shared" si="91"/>
        <v>0</v>
      </c>
      <c r="CC22" s="915">
        <f t="shared" si="92"/>
        <v>0</v>
      </c>
      <c r="CD22" s="915">
        <f t="shared" si="32"/>
        <v>0</v>
      </c>
      <c r="CE22" s="915">
        <f t="shared" si="33"/>
        <v>0</v>
      </c>
      <c r="CF22" s="915">
        <f t="shared" si="34"/>
        <v>0</v>
      </c>
      <c r="CG22" s="915">
        <f t="shared" si="35"/>
        <v>0</v>
      </c>
      <c r="CH22" s="915">
        <f t="shared" si="36"/>
        <v>0</v>
      </c>
      <c r="CI22" s="915">
        <f t="shared" si="37"/>
        <v>0</v>
      </c>
      <c r="CJ22" s="915">
        <f t="shared" si="38"/>
        <v>0</v>
      </c>
      <c r="CK22" s="915">
        <f t="shared" si="39"/>
        <v>0</v>
      </c>
      <c r="CL22" s="915">
        <f t="shared" si="40"/>
        <v>0</v>
      </c>
      <c r="CM22" s="915">
        <f t="shared" si="41"/>
        <v>0</v>
      </c>
      <c r="CN22" s="915">
        <f t="shared" si="93"/>
        <v>0</v>
      </c>
      <c r="CO22" s="915">
        <f t="shared" si="94"/>
        <v>0</v>
      </c>
      <c r="CP22" s="915">
        <f t="shared" si="95"/>
        <v>0</v>
      </c>
      <c r="CQ22" s="915">
        <f t="shared" si="96"/>
        <v>0</v>
      </c>
      <c r="CR22" s="915">
        <f t="shared" si="97"/>
        <v>0</v>
      </c>
      <c r="CS22" s="915">
        <f t="shared" si="98"/>
        <v>0</v>
      </c>
      <c r="CT22" s="915">
        <f t="shared" si="99"/>
        <v>0</v>
      </c>
      <c r="CU22" s="915">
        <f t="shared" si="100"/>
        <v>0</v>
      </c>
      <c r="CV22" s="915">
        <f t="shared" si="101"/>
        <v>0</v>
      </c>
      <c r="CW22" s="915">
        <f t="shared" si="102"/>
        <v>0</v>
      </c>
      <c r="CX22" s="915">
        <f t="shared" si="42"/>
        <v>0</v>
      </c>
      <c r="CY22" s="915">
        <f t="shared" si="43"/>
        <v>0</v>
      </c>
      <c r="CZ22" s="915">
        <f t="shared" si="44"/>
        <v>0</v>
      </c>
      <c r="DA22" s="915">
        <f t="shared" si="45"/>
        <v>0</v>
      </c>
      <c r="DB22" s="915">
        <f t="shared" si="46"/>
        <v>0</v>
      </c>
      <c r="DC22" s="915">
        <f t="shared" si="47"/>
        <v>0</v>
      </c>
      <c r="DD22" s="915">
        <f t="shared" si="48"/>
        <v>0</v>
      </c>
      <c r="DE22" s="915">
        <f t="shared" si="49"/>
        <v>0</v>
      </c>
      <c r="DF22" s="915">
        <f t="shared" si="50"/>
        <v>0</v>
      </c>
      <c r="DG22" s="915">
        <f t="shared" si="51"/>
        <v>0</v>
      </c>
      <c r="DH22" s="915">
        <f t="shared" si="103"/>
        <v>0</v>
      </c>
      <c r="DI22" s="915">
        <f t="shared" si="104"/>
        <v>0</v>
      </c>
      <c r="DJ22" s="915">
        <f t="shared" si="105"/>
        <v>0</v>
      </c>
      <c r="DK22" s="915">
        <f t="shared" si="106"/>
        <v>0</v>
      </c>
      <c r="DL22" s="915">
        <f t="shared" si="107"/>
        <v>0</v>
      </c>
      <c r="DM22" s="915">
        <f t="shared" si="108"/>
        <v>0</v>
      </c>
      <c r="DN22" s="915">
        <f t="shared" si="109"/>
        <v>0</v>
      </c>
      <c r="DO22" s="915">
        <f t="shared" si="110"/>
        <v>0</v>
      </c>
      <c r="DP22" s="915">
        <f t="shared" si="111"/>
        <v>0</v>
      </c>
      <c r="DQ22" s="915">
        <f t="shared" si="112"/>
        <v>0</v>
      </c>
      <c r="DR22" s="915">
        <f t="shared" si="52"/>
        <v>0</v>
      </c>
      <c r="DS22" s="915">
        <f t="shared" si="53"/>
        <v>0</v>
      </c>
      <c r="DT22" s="915">
        <f t="shared" si="54"/>
        <v>0</v>
      </c>
      <c r="DU22" s="915">
        <f t="shared" si="55"/>
        <v>0</v>
      </c>
      <c r="DV22" s="915">
        <f t="shared" si="56"/>
        <v>0</v>
      </c>
      <c r="DW22" s="915">
        <f t="shared" si="57"/>
        <v>0</v>
      </c>
      <c r="DX22" s="915">
        <f t="shared" si="58"/>
        <v>0</v>
      </c>
      <c r="DY22" s="915">
        <f t="shared" si="59"/>
        <v>0</v>
      </c>
      <c r="DZ22" s="915">
        <f t="shared" si="60"/>
        <v>0</v>
      </c>
      <c r="EA22" s="915">
        <f t="shared" si="61"/>
        <v>0</v>
      </c>
      <c r="EB22" s="915">
        <f t="shared" si="113"/>
        <v>0</v>
      </c>
      <c r="EC22" s="915">
        <f t="shared" si="114"/>
        <v>0</v>
      </c>
      <c r="ED22" s="915">
        <f t="shared" si="115"/>
        <v>0</v>
      </c>
      <c r="EE22" s="915">
        <f t="shared" si="116"/>
        <v>0</v>
      </c>
      <c r="EF22" s="915">
        <f t="shared" si="117"/>
        <v>0</v>
      </c>
      <c r="EG22" s="915">
        <f t="shared" si="118"/>
        <v>0</v>
      </c>
      <c r="EH22" s="915">
        <f t="shared" si="119"/>
        <v>0</v>
      </c>
      <c r="EI22" s="915">
        <f t="shared" si="120"/>
        <v>0</v>
      </c>
      <c r="EJ22" s="915">
        <f t="shared" si="121"/>
        <v>0</v>
      </c>
      <c r="EK22" s="915">
        <f t="shared" si="122"/>
        <v>0</v>
      </c>
      <c r="EL22" s="915"/>
      <c r="EN22" s="533"/>
      <c r="EQ22" s="534"/>
    </row>
    <row r="23" spans="1:147" ht="14.1" customHeight="1" x14ac:dyDescent="0.2">
      <c r="A23" s="497">
        <v>16</v>
      </c>
      <c r="B23" s="1005"/>
      <c r="C23" s="1008"/>
      <c r="D23" s="1020">
        <v>16</v>
      </c>
      <c r="E23" s="138" t="s">
        <v>1245</v>
      </c>
      <c r="F23" s="139" t="s">
        <v>2544</v>
      </c>
      <c r="G23" s="91">
        <v>1</v>
      </c>
      <c r="H23" s="802">
        <v>10</v>
      </c>
      <c r="I23" s="801">
        <f t="shared" si="124"/>
        <v>0.6</v>
      </c>
      <c r="J23" s="1021">
        <f t="shared" si="125"/>
        <v>10.6</v>
      </c>
      <c r="K23" s="225"/>
      <c r="L23" s="941" t="str">
        <f>TabName16 &amp; " - UNITS"</f>
        <v>Phase 16 - UNITS</v>
      </c>
      <c r="M23" s="942">
        <f>AK6</f>
        <v>0</v>
      </c>
      <c r="N23" s="949"/>
      <c r="P23" s="915">
        <f>INDEX(ValidateTable,16)</f>
        <v>16</v>
      </c>
      <c r="V23" s="915">
        <f t="shared" si="3"/>
        <v>0</v>
      </c>
      <c r="W23" s="915">
        <f t="shared" si="4"/>
        <v>0</v>
      </c>
      <c r="X23" s="915">
        <f t="shared" si="5"/>
        <v>0</v>
      </c>
      <c r="Y23" s="915">
        <f t="shared" si="6"/>
        <v>0</v>
      </c>
      <c r="Z23" s="915">
        <f t="shared" si="7"/>
        <v>0</v>
      </c>
      <c r="AA23" s="915">
        <f t="shared" si="8"/>
        <v>0</v>
      </c>
      <c r="AB23" s="915">
        <f t="shared" si="9"/>
        <v>0</v>
      </c>
      <c r="AC23" s="915">
        <f t="shared" si="10"/>
        <v>0</v>
      </c>
      <c r="AD23" s="915">
        <f t="shared" si="11"/>
        <v>0</v>
      </c>
      <c r="AE23" s="915">
        <f t="shared" si="12"/>
        <v>0</v>
      </c>
      <c r="AF23" s="915">
        <f t="shared" si="63"/>
        <v>0</v>
      </c>
      <c r="AG23" s="915">
        <f t="shared" si="64"/>
        <v>0</v>
      </c>
      <c r="AH23" s="915">
        <f t="shared" si="65"/>
        <v>0</v>
      </c>
      <c r="AI23" s="915">
        <f t="shared" si="66"/>
        <v>0</v>
      </c>
      <c r="AJ23" s="915">
        <f t="shared" si="67"/>
        <v>0</v>
      </c>
      <c r="AK23" s="915">
        <f t="shared" si="68"/>
        <v>0</v>
      </c>
      <c r="AL23" s="915">
        <f t="shared" si="69"/>
        <v>0</v>
      </c>
      <c r="AM23" s="915">
        <f t="shared" si="70"/>
        <v>0</v>
      </c>
      <c r="AN23" s="915">
        <f t="shared" si="71"/>
        <v>0</v>
      </c>
      <c r="AO23" s="915">
        <f t="shared" si="72"/>
        <v>0</v>
      </c>
      <c r="AP23" s="915">
        <f t="shared" si="13"/>
        <v>0</v>
      </c>
      <c r="AQ23" s="915">
        <f t="shared" si="14"/>
        <v>0</v>
      </c>
      <c r="AR23" s="915">
        <f t="shared" si="15"/>
        <v>0</v>
      </c>
      <c r="AS23" s="915">
        <f t="shared" si="16"/>
        <v>0</v>
      </c>
      <c r="AT23" s="915">
        <f t="shared" si="17"/>
        <v>0</v>
      </c>
      <c r="AU23" s="915">
        <f t="shared" si="18"/>
        <v>0</v>
      </c>
      <c r="AV23" s="915">
        <f t="shared" si="19"/>
        <v>0</v>
      </c>
      <c r="AW23" s="915">
        <f t="shared" si="20"/>
        <v>0</v>
      </c>
      <c r="AX23" s="915">
        <f t="shared" si="21"/>
        <v>0</v>
      </c>
      <c r="AY23" s="915">
        <f t="shared" si="73"/>
        <v>0</v>
      </c>
      <c r="AZ23" s="915">
        <f t="shared" si="74"/>
        <v>0</v>
      </c>
      <c r="BA23" s="915">
        <f t="shared" si="75"/>
        <v>0</v>
      </c>
      <c r="BB23" s="915">
        <f t="shared" si="76"/>
        <v>0</v>
      </c>
      <c r="BC23" s="915">
        <f t="shared" si="77"/>
        <v>0</v>
      </c>
      <c r="BD23" s="915">
        <f t="shared" si="78"/>
        <v>0</v>
      </c>
      <c r="BE23" s="915">
        <f t="shared" si="79"/>
        <v>10.6</v>
      </c>
      <c r="BF23" s="915">
        <f t="shared" si="80"/>
        <v>0</v>
      </c>
      <c r="BG23" s="915">
        <f t="shared" si="81"/>
        <v>0</v>
      </c>
      <c r="BH23" s="915">
        <f t="shared" si="82"/>
        <v>0</v>
      </c>
      <c r="BI23" s="915">
        <f t="shared" si="83"/>
        <v>0</v>
      </c>
      <c r="BJ23" s="915">
        <f t="shared" si="22"/>
        <v>0</v>
      </c>
      <c r="BK23" s="915">
        <f t="shared" si="23"/>
        <v>0</v>
      </c>
      <c r="BL23" s="915">
        <f t="shared" si="24"/>
        <v>0</v>
      </c>
      <c r="BM23" s="915">
        <f t="shared" si="25"/>
        <v>0</v>
      </c>
      <c r="BN23" s="915">
        <f t="shared" si="26"/>
        <v>0</v>
      </c>
      <c r="BO23" s="915">
        <f t="shared" si="27"/>
        <v>0</v>
      </c>
      <c r="BP23" s="915">
        <f t="shared" si="28"/>
        <v>0</v>
      </c>
      <c r="BQ23" s="915">
        <f t="shared" si="29"/>
        <v>0</v>
      </c>
      <c r="BR23" s="915">
        <f t="shared" si="30"/>
        <v>0</v>
      </c>
      <c r="BS23" s="915">
        <f t="shared" si="31"/>
        <v>0</v>
      </c>
      <c r="BT23" s="915">
        <f t="shared" si="84"/>
        <v>0</v>
      </c>
      <c r="BU23" s="915">
        <f t="shared" si="84"/>
        <v>0</v>
      </c>
      <c r="BV23" s="915">
        <f t="shared" si="85"/>
        <v>0</v>
      </c>
      <c r="BW23" s="915">
        <f t="shared" si="86"/>
        <v>0</v>
      </c>
      <c r="BX23" s="915">
        <f t="shared" si="87"/>
        <v>0</v>
      </c>
      <c r="BY23" s="915">
        <f t="shared" si="88"/>
        <v>0</v>
      </c>
      <c r="BZ23" s="915">
        <f t="shared" si="89"/>
        <v>0</v>
      </c>
      <c r="CA23" s="915">
        <f t="shared" si="90"/>
        <v>0</v>
      </c>
      <c r="CB23" s="915">
        <f t="shared" si="91"/>
        <v>0</v>
      </c>
      <c r="CC23" s="915">
        <f t="shared" si="92"/>
        <v>0</v>
      </c>
      <c r="CD23" s="915">
        <f t="shared" si="32"/>
        <v>0</v>
      </c>
      <c r="CE23" s="915">
        <f t="shared" si="33"/>
        <v>0</v>
      </c>
      <c r="CF23" s="915">
        <f t="shared" si="34"/>
        <v>0</v>
      </c>
      <c r="CG23" s="915">
        <f t="shared" si="35"/>
        <v>0</v>
      </c>
      <c r="CH23" s="915">
        <f t="shared" si="36"/>
        <v>0</v>
      </c>
      <c r="CI23" s="915">
        <f t="shared" si="37"/>
        <v>0</v>
      </c>
      <c r="CJ23" s="915">
        <f t="shared" si="38"/>
        <v>0</v>
      </c>
      <c r="CK23" s="915">
        <f t="shared" si="39"/>
        <v>0</v>
      </c>
      <c r="CL23" s="915">
        <f t="shared" si="40"/>
        <v>0</v>
      </c>
      <c r="CM23" s="915">
        <f t="shared" si="41"/>
        <v>0</v>
      </c>
      <c r="CN23" s="915">
        <f t="shared" si="93"/>
        <v>0</v>
      </c>
      <c r="CO23" s="915">
        <f t="shared" si="94"/>
        <v>0</v>
      </c>
      <c r="CP23" s="915">
        <f t="shared" si="95"/>
        <v>0</v>
      </c>
      <c r="CQ23" s="915">
        <f t="shared" si="96"/>
        <v>0</v>
      </c>
      <c r="CR23" s="915">
        <f t="shared" si="97"/>
        <v>0</v>
      </c>
      <c r="CS23" s="915">
        <f t="shared" si="98"/>
        <v>0</v>
      </c>
      <c r="CT23" s="915">
        <f t="shared" si="99"/>
        <v>0</v>
      </c>
      <c r="CU23" s="915">
        <f t="shared" si="100"/>
        <v>0</v>
      </c>
      <c r="CV23" s="915">
        <f t="shared" si="101"/>
        <v>0</v>
      </c>
      <c r="CW23" s="915">
        <f t="shared" si="102"/>
        <v>0</v>
      </c>
      <c r="CX23" s="915">
        <f t="shared" si="42"/>
        <v>0</v>
      </c>
      <c r="CY23" s="915">
        <f t="shared" si="43"/>
        <v>0</v>
      </c>
      <c r="CZ23" s="915">
        <f t="shared" si="44"/>
        <v>0</v>
      </c>
      <c r="DA23" s="915">
        <f t="shared" si="45"/>
        <v>0</v>
      </c>
      <c r="DB23" s="915">
        <f t="shared" si="46"/>
        <v>0</v>
      </c>
      <c r="DC23" s="915">
        <f t="shared" si="47"/>
        <v>0</v>
      </c>
      <c r="DD23" s="915">
        <f t="shared" si="48"/>
        <v>0</v>
      </c>
      <c r="DE23" s="915">
        <f t="shared" si="49"/>
        <v>0</v>
      </c>
      <c r="DF23" s="915">
        <f t="shared" si="50"/>
        <v>0</v>
      </c>
      <c r="DG23" s="915">
        <f t="shared" si="51"/>
        <v>0</v>
      </c>
      <c r="DH23" s="915">
        <f t="shared" si="103"/>
        <v>0</v>
      </c>
      <c r="DI23" s="915">
        <f t="shared" si="104"/>
        <v>0</v>
      </c>
      <c r="DJ23" s="915">
        <f t="shared" si="105"/>
        <v>0</v>
      </c>
      <c r="DK23" s="915">
        <f t="shared" si="106"/>
        <v>0</v>
      </c>
      <c r="DL23" s="915">
        <f t="shared" si="107"/>
        <v>0</v>
      </c>
      <c r="DM23" s="915">
        <f t="shared" si="108"/>
        <v>0</v>
      </c>
      <c r="DN23" s="915">
        <f t="shared" si="109"/>
        <v>0</v>
      </c>
      <c r="DO23" s="915">
        <f t="shared" si="110"/>
        <v>0</v>
      </c>
      <c r="DP23" s="915">
        <f t="shared" si="111"/>
        <v>0</v>
      </c>
      <c r="DQ23" s="915">
        <f t="shared" si="112"/>
        <v>0</v>
      </c>
      <c r="DR23" s="915">
        <f t="shared" si="52"/>
        <v>0</v>
      </c>
      <c r="DS23" s="915">
        <f t="shared" si="53"/>
        <v>0</v>
      </c>
      <c r="DT23" s="915">
        <f t="shared" si="54"/>
        <v>0</v>
      </c>
      <c r="DU23" s="915">
        <f t="shared" si="55"/>
        <v>0</v>
      </c>
      <c r="DV23" s="915">
        <f t="shared" si="56"/>
        <v>0</v>
      </c>
      <c r="DW23" s="915">
        <f t="shared" si="57"/>
        <v>0</v>
      </c>
      <c r="DX23" s="915">
        <f t="shared" si="58"/>
        <v>0</v>
      </c>
      <c r="DY23" s="915">
        <f t="shared" si="59"/>
        <v>0</v>
      </c>
      <c r="DZ23" s="915">
        <f t="shared" si="60"/>
        <v>0</v>
      </c>
      <c r="EA23" s="915">
        <f t="shared" si="61"/>
        <v>0</v>
      </c>
      <c r="EB23" s="915">
        <f t="shared" si="113"/>
        <v>0</v>
      </c>
      <c r="EC23" s="915">
        <f t="shared" si="114"/>
        <v>0</v>
      </c>
      <c r="ED23" s="915">
        <f t="shared" si="115"/>
        <v>0</v>
      </c>
      <c r="EE23" s="915">
        <f t="shared" si="116"/>
        <v>0</v>
      </c>
      <c r="EF23" s="915">
        <f t="shared" si="117"/>
        <v>0</v>
      </c>
      <c r="EG23" s="915">
        <f t="shared" si="118"/>
        <v>0</v>
      </c>
      <c r="EH23" s="915">
        <f t="shared" si="119"/>
        <v>0</v>
      </c>
      <c r="EI23" s="915">
        <f t="shared" si="120"/>
        <v>0</v>
      </c>
      <c r="EJ23" s="915">
        <f t="shared" si="121"/>
        <v>0</v>
      </c>
      <c r="EK23" s="915">
        <f t="shared" si="122"/>
        <v>0</v>
      </c>
      <c r="EL23" s="915"/>
      <c r="EN23" s="533"/>
      <c r="EQ23" s="534"/>
    </row>
    <row r="24" spans="1:147" ht="14.1" customHeight="1" x14ac:dyDescent="0.2">
      <c r="A24" s="496">
        <v>17</v>
      </c>
      <c r="B24" s="1419"/>
      <c r="C24" s="1433"/>
      <c r="D24" s="264">
        <v>17</v>
      </c>
      <c r="E24" s="264" t="s">
        <v>1245</v>
      </c>
      <c r="F24" s="270" t="s">
        <v>2544</v>
      </c>
      <c r="G24" s="271">
        <v>1</v>
      </c>
      <c r="H24" s="803">
        <v>10</v>
      </c>
      <c r="I24" s="800">
        <f t="shared" si="124"/>
        <v>0.6</v>
      </c>
      <c r="J24" s="269">
        <f t="shared" si="125"/>
        <v>10.6</v>
      </c>
      <c r="K24" s="225"/>
      <c r="L24" s="941" t="str">
        <f>TabName17 &amp; " - UNITS"</f>
        <v>Phase 17 - UNITS</v>
      </c>
      <c r="M24" s="942">
        <f>AL6</f>
        <v>0</v>
      </c>
      <c r="N24" s="949"/>
      <c r="P24" s="915">
        <f>INDEX(ValidateTable,17)</f>
        <v>17</v>
      </c>
      <c r="V24" s="915">
        <f t="shared" si="3"/>
        <v>0</v>
      </c>
      <c r="W24" s="915">
        <f t="shared" si="4"/>
        <v>0</v>
      </c>
      <c r="X24" s="915">
        <f t="shared" si="5"/>
        <v>0</v>
      </c>
      <c r="Y24" s="915">
        <f t="shared" si="6"/>
        <v>0</v>
      </c>
      <c r="Z24" s="915">
        <f t="shared" si="7"/>
        <v>0</v>
      </c>
      <c r="AA24" s="915">
        <f t="shared" si="8"/>
        <v>0</v>
      </c>
      <c r="AB24" s="915">
        <f t="shared" si="9"/>
        <v>0</v>
      </c>
      <c r="AC24" s="915">
        <f t="shared" si="10"/>
        <v>0</v>
      </c>
      <c r="AD24" s="915">
        <f t="shared" si="11"/>
        <v>0</v>
      </c>
      <c r="AE24" s="915">
        <f t="shared" si="12"/>
        <v>0</v>
      </c>
      <c r="AF24" s="915">
        <f t="shared" si="63"/>
        <v>0</v>
      </c>
      <c r="AG24" s="915">
        <f t="shared" si="64"/>
        <v>0</v>
      </c>
      <c r="AH24" s="915">
        <f t="shared" si="65"/>
        <v>0</v>
      </c>
      <c r="AI24" s="915">
        <f t="shared" si="66"/>
        <v>0</v>
      </c>
      <c r="AJ24" s="915">
        <f t="shared" si="67"/>
        <v>0</v>
      </c>
      <c r="AK24" s="915">
        <f t="shared" si="68"/>
        <v>0</v>
      </c>
      <c r="AL24" s="915">
        <f t="shared" si="69"/>
        <v>0</v>
      </c>
      <c r="AM24" s="915">
        <f t="shared" si="70"/>
        <v>0</v>
      </c>
      <c r="AN24" s="915">
        <f t="shared" si="71"/>
        <v>0</v>
      </c>
      <c r="AO24" s="915">
        <f t="shared" si="72"/>
        <v>0</v>
      </c>
      <c r="AP24" s="915">
        <f t="shared" si="13"/>
        <v>0</v>
      </c>
      <c r="AQ24" s="915">
        <f t="shared" si="14"/>
        <v>0</v>
      </c>
      <c r="AR24" s="915">
        <f t="shared" si="15"/>
        <v>0</v>
      </c>
      <c r="AS24" s="915">
        <f t="shared" si="16"/>
        <v>0</v>
      </c>
      <c r="AT24" s="915">
        <f t="shared" si="17"/>
        <v>0</v>
      </c>
      <c r="AU24" s="915">
        <f t="shared" si="18"/>
        <v>0</v>
      </c>
      <c r="AV24" s="915">
        <f t="shared" si="19"/>
        <v>0</v>
      </c>
      <c r="AW24" s="915">
        <f t="shared" si="20"/>
        <v>0</v>
      </c>
      <c r="AX24" s="915">
        <f t="shared" si="21"/>
        <v>0</v>
      </c>
      <c r="AY24" s="915">
        <f t="shared" si="73"/>
        <v>0</v>
      </c>
      <c r="AZ24" s="915">
        <f t="shared" si="74"/>
        <v>0</v>
      </c>
      <c r="BA24" s="915">
        <f t="shared" si="75"/>
        <v>0</v>
      </c>
      <c r="BB24" s="915">
        <f t="shared" si="76"/>
        <v>0</v>
      </c>
      <c r="BC24" s="915">
        <f t="shared" si="77"/>
        <v>0</v>
      </c>
      <c r="BD24" s="915">
        <f t="shared" si="78"/>
        <v>0</v>
      </c>
      <c r="BE24" s="915">
        <f t="shared" si="79"/>
        <v>0</v>
      </c>
      <c r="BF24" s="915">
        <f t="shared" si="80"/>
        <v>10.6</v>
      </c>
      <c r="BG24" s="915">
        <f t="shared" si="81"/>
        <v>0</v>
      </c>
      <c r="BH24" s="915">
        <f t="shared" si="82"/>
        <v>0</v>
      </c>
      <c r="BI24" s="915">
        <f t="shared" si="83"/>
        <v>0</v>
      </c>
      <c r="BJ24" s="915">
        <f t="shared" si="22"/>
        <v>0</v>
      </c>
      <c r="BK24" s="915">
        <f t="shared" si="23"/>
        <v>0</v>
      </c>
      <c r="BL24" s="915">
        <f t="shared" si="24"/>
        <v>0</v>
      </c>
      <c r="BM24" s="915">
        <f t="shared" si="25"/>
        <v>0</v>
      </c>
      <c r="BN24" s="915">
        <f t="shared" si="26"/>
        <v>0</v>
      </c>
      <c r="BO24" s="915">
        <f t="shared" si="27"/>
        <v>0</v>
      </c>
      <c r="BP24" s="915">
        <f t="shared" si="28"/>
        <v>0</v>
      </c>
      <c r="BQ24" s="915">
        <f t="shared" si="29"/>
        <v>0</v>
      </c>
      <c r="BR24" s="915">
        <f t="shared" si="30"/>
        <v>0</v>
      </c>
      <c r="BS24" s="915">
        <f t="shared" si="31"/>
        <v>0</v>
      </c>
      <c r="BT24" s="915">
        <f t="shared" si="84"/>
        <v>0</v>
      </c>
      <c r="BU24" s="915">
        <f t="shared" si="84"/>
        <v>0</v>
      </c>
      <c r="BV24" s="915">
        <f t="shared" si="85"/>
        <v>0</v>
      </c>
      <c r="BW24" s="915">
        <f t="shared" si="86"/>
        <v>0</v>
      </c>
      <c r="BX24" s="915">
        <f t="shared" si="87"/>
        <v>0</v>
      </c>
      <c r="BY24" s="915">
        <f t="shared" si="88"/>
        <v>0</v>
      </c>
      <c r="BZ24" s="915">
        <f t="shared" si="89"/>
        <v>0</v>
      </c>
      <c r="CA24" s="915">
        <f t="shared" si="90"/>
        <v>0</v>
      </c>
      <c r="CB24" s="915">
        <f t="shared" si="91"/>
        <v>0</v>
      </c>
      <c r="CC24" s="915">
        <f t="shared" si="92"/>
        <v>0</v>
      </c>
      <c r="CD24" s="915">
        <f t="shared" si="32"/>
        <v>0</v>
      </c>
      <c r="CE24" s="915">
        <f t="shared" si="33"/>
        <v>0</v>
      </c>
      <c r="CF24" s="915">
        <f t="shared" si="34"/>
        <v>0</v>
      </c>
      <c r="CG24" s="915">
        <f t="shared" si="35"/>
        <v>0</v>
      </c>
      <c r="CH24" s="915">
        <f t="shared" si="36"/>
        <v>0</v>
      </c>
      <c r="CI24" s="915">
        <f t="shared" si="37"/>
        <v>0</v>
      </c>
      <c r="CJ24" s="915">
        <f t="shared" si="38"/>
        <v>0</v>
      </c>
      <c r="CK24" s="915">
        <f t="shared" si="39"/>
        <v>0</v>
      </c>
      <c r="CL24" s="915">
        <f t="shared" si="40"/>
        <v>0</v>
      </c>
      <c r="CM24" s="915">
        <f t="shared" si="41"/>
        <v>0</v>
      </c>
      <c r="CN24" s="915">
        <f t="shared" si="93"/>
        <v>0</v>
      </c>
      <c r="CO24" s="915">
        <f t="shared" si="94"/>
        <v>0</v>
      </c>
      <c r="CP24" s="915">
        <f t="shared" si="95"/>
        <v>0</v>
      </c>
      <c r="CQ24" s="915">
        <f t="shared" si="96"/>
        <v>0</v>
      </c>
      <c r="CR24" s="915">
        <f t="shared" si="97"/>
        <v>0</v>
      </c>
      <c r="CS24" s="915">
        <f t="shared" si="98"/>
        <v>0</v>
      </c>
      <c r="CT24" s="915">
        <f t="shared" si="99"/>
        <v>0</v>
      </c>
      <c r="CU24" s="915">
        <f t="shared" si="100"/>
        <v>0</v>
      </c>
      <c r="CV24" s="915">
        <f t="shared" si="101"/>
        <v>0</v>
      </c>
      <c r="CW24" s="915">
        <f t="shared" si="102"/>
        <v>0</v>
      </c>
      <c r="CX24" s="915">
        <f t="shared" si="42"/>
        <v>0</v>
      </c>
      <c r="CY24" s="915">
        <f t="shared" si="43"/>
        <v>0</v>
      </c>
      <c r="CZ24" s="915">
        <f t="shared" si="44"/>
        <v>0</v>
      </c>
      <c r="DA24" s="915">
        <f t="shared" si="45"/>
        <v>0</v>
      </c>
      <c r="DB24" s="915">
        <f t="shared" si="46"/>
        <v>0</v>
      </c>
      <c r="DC24" s="915">
        <f t="shared" si="47"/>
        <v>0</v>
      </c>
      <c r="DD24" s="915">
        <f t="shared" si="48"/>
        <v>0</v>
      </c>
      <c r="DE24" s="915">
        <f t="shared" si="49"/>
        <v>0</v>
      </c>
      <c r="DF24" s="915">
        <f t="shared" si="50"/>
        <v>0</v>
      </c>
      <c r="DG24" s="915">
        <f t="shared" si="51"/>
        <v>0</v>
      </c>
      <c r="DH24" s="915">
        <f t="shared" si="103"/>
        <v>0</v>
      </c>
      <c r="DI24" s="915">
        <f t="shared" si="104"/>
        <v>0</v>
      </c>
      <c r="DJ24" s="915">
        <f t="shared" si="105"/>
        <v>0</v>
      </c>
      <c r="DK24" s="915">
        <f t="shared" si="106"/>
        <v>0</v>
      </c>
      <c r="DL24" s="915">
        <f t="shared" si="107"/>
        <v>0</v>
      </c>
      <c r="DM24" s="915">
        <f t="shared" si="108"/>
        <v>0</v>
      </c>
      <c r="DN24" s="915">
        <f t="shared" si="109"/>
        <v>0</v>
      </c>
      <c r="DO24" s="915">
        <f t="shared" si="110"/>
        <v>0</v>
      </c>
      <c r="DP24" s="915">
        <f t="shared" si="111"/>
        <v>0</v>
      </c>
      <c r="DQ24" s="915">
        <f t="shared" si="112"/>
        <v>0</v>
      </c>
      <c r="DR24" s="915">
        <f t="shared" si="52"/>
        <v>0</v>
      </c>
      <c r="DS24" s="915">
        <f t="shared" si="53"/>
        <v>0</v>
      </c>
      <c r="DT24" s="915">
        <f t="shared" si="54"/>
        <v>0</v>
      </c>
      <c r="DU24" s="915">
        <f t="shared" si="55"/>
        <v>0</v>
      </c>
      <c r="DV24" s="915">
        <f t="shared" si="56"/>
        <v>0</v>
      </c>
      <c r="DW24" s="915">
        <f t="shared" si="57"/>
        <v>0</v>
      </c>
      <c r="DX24" s="915">
        <f t="shared" si="58"/>
        <v>0</v>
      </c>
      <c r="DY24" s="915">
        <f t="shared" si="59"/>
        <v>0</v>
      </c>
      <c r="DZ24" s="915">
        <f t="shared" si="60"/>
        <v>0</v>
      </c>
      <c r="EA24" s="915">
        <f t="shared" si="61"/>
        <v>0</v>
      </c>
      <c r="EB24" s="915">
        <f t="shared" si="113"/>
        <v>0</v>
      </c>
      <c r="EC24" s="915">
        <f t="shared" si="114"/>
        <v>0</v>
      </c>
      <c r="ED24" s="915">
        <f t="shared" si="115"/>
        <v>0</v>
      </c>
      <c r="EE24" s="915">
        <f t="shared" si="116"/>
        <v>0</v>
      </c>
      <c r="EF24" s="915">
        <f t="shared" si="117"/>
        <v>0</v>
      </c>
      <c r="EG24" s="915">
        <f t="shared" si="118"/>
        <v>0</v>
      </c>
      <c r="EH24" s="915">
        <f t="shared" si="119"/>
        <v>0</v>
      </c>
      <c r="EI24" s="915">
        <f t="shared" si="120"/>
        <v>0</v>
      </c>
      <c r="EJ24" s="915">
        <f t="shared" si="121"/>
        <v>0</v>
      </c>
      <c r="EK24" s="915">
        <f t="shared" si="122"/>
        <v>0</v>
      </c>
      <c r="EL24" s="915"/>
      <c r="EN24" s="533"/>
      <c r="EQ24" s="534"/>
    </row>
    <row r="25" spans="1:147" ht="14.1" customHeight="1" x14ac:dyDescent="0.2">
      <c r="A25" s="497">
        <v>18</v>
      </c>
      <c r="B25" s="1005"/>
      <c r="C25" s="1008"/>
      <c r="D25" s="1020">
        <v>18</v>
      </c>
      <c r="E25" s="138" t="s">
        <v>1245</v>
      </c>
      <c r="F25" s="139" t="s">
        <v>2544</v>
      </c>
      <c r="G25" s="91">
        <v>1</v>
      </c>
      <c r="H25" s="802">
        <v>10</v>
      </c>
      <c r="I25" s="801">
        <f t="shared" si="124"/>
        <v>0.6</v>
      </c>
      <c r="J25" s="1021">
        <f t="shared" si="125"/>
        <v>10.6</v>
      </c>
      <c r="K25" s="225"/>
      <c r="L25" s="941" t="str">
        <f>TabName18 &amp; " - UNITS"</f>
        <v>Phase 18 - UNITS</v>
      </c>
      <c r="M25" s="942">
        <f>AM6</f>
        <v>0</v>
      </c>
      <c r="N25" s="949"/>
      <c r="P25" s="915">
        <f>INDEX(ValidateTable,18)</f>
        <v>18</v>
      </c>
      <c r="V25" s="915">
        <f t="shared" si="3"/>
        <v>0</v>
      </c>
      <c r="W25" s="915">
        <f t="shared" si="4"/>
        <v>0</v>
      </c>
      <c r="X25" s="915">
        <f t="shared" si="5"/>
        <v>0</v>
      </c>
      <c r="Y25" s="915">
        <f t="shared" si="6"/>
        <v>0</v>
      </c>
      <c r="Z25" s="915">
        <f t="shared" si="7"/>
        <v>0</v>
      </c>
      <c r="AA25" s="915">
        <f t="shared" si="8"/>
        <v>0</v>
      </c>
      <c r="AB25" s="915">
        <f t="shared" si="9"/>
        <v>0</v>
      </c>
      <c r="AC25" s="915">
        <f t="shared" si="10"/>
        <v>0</v>
      </c>
      <c r="AD25" s="915">
        <f t="shared" si="11"/>
        <v>0</v>
      </c>
      <c r="AE25" s="915">
        <f t="shared" si="12"/>
        <v>0</v>
      </c>
      <c r="AF25" s="915">
        <f t="shared" si="63"/>
        <v>0</v>
      </c>
      <c r="AG25" s="915">
        <f t="shared" si="64"/>
        <v>0</v>
      </c>
      <c r="AH25" s="915">
        <f t="shared" si="65"/>
        <v>0</v>
      </c>
      <c r="AI25" s="915">
        <f t="shared" si="66"/>
        <v>0</v>
      </c>
      <c r="AJ25" s="915">
        <f t="shared" si="67"/>
        <v>0</v>
      </c>
      <c r="AK25" s="915">
        <f t="shared" si="68"/>
        <v>0</v>
      </c>
      <c r="AL25" s="915">
        <f t="shared" si="69"/>
        <v>0</v>
      </c>
      <c r="AM25" s="915">
        <f t="shared" si="70"/>
        <v>0</v>
      </c>
      <c r="AN25" s="915">
        <f t="shared" si="71"/>
        <v>0</v>
      </c>
      <c r="AO25" s="915">
        <f t="shared" si="72"/>
        <v>0</v>
      </c>
      <c r="AP25" s="915">
        <f t="shared" si="13"/>
        <v>0</v>
      </c>
      <c r="AQ25" s="915">
        <f t="shared" si="14"/>
        <v>0</v>
      </c>
      <c r="AR25" s="915">
        <f t="shared" si="15"/>
        <v>0</v>
      </c>
      <c r="AS25" s="915">
        <f t="shared" si="16"/>
        <v>0</v>
      </c>
      <c r="AT25" s="915">
        <f t="shared" si="17"/>
        <v>0</v>
      </c>
      <c r="AU25" s="915">
        <f t="shared" si="18"/>
        <v>0</v>
      </c>
      <c r="AV25" s="915">
        <f t="shared" si="19"/>
        <v>0</v>
      </c>
      <c r="AW25" s="915">
        <f t="shared" si="20"/>
        <v>0</v>
      </c>
      <c r="AX25" s="915">
        <f t="shared" si="21"/>
        <v>0</v>
      </c>
      <c r="AY25" s="915">
        <f t="shared" si="73"/>
        <v>0</v>
      </c>
      <c r="AZ25" s="915">
        <f t="shared" si="74"/>
        <v>0</v>
      </c>
      <c r="BA25" s="915">
        <f t="shared" si="75"/>
        <v>0</v>
      </c>
      <c r="BB25" s="915">
        <f t="shared" si="76"/>
        <v>0</v>
      </c>
      <c r="BC25" s="915">
        <f t="shared" si="77"/>
        <v>0</v>
      </c>
      <c r="BD25" s="915">
        <f t="shared" si="78"/>
        <v>0</v>
      </c>
      <c r="BE25" s="915">
        <f t="shared" si="79"/>
        <v>0</v>
      </c>
      <c r="BF25" s="915">
        <f t="shared" si="80"/>
        <v>0</v>
      </c>
      <c r="BG25" s="915">
        <f t="shared" si="81"/>
        <v>10.6</v>
      </c>
      <c r="BH25" s="915">
        <f t="shared" si="82"/>
        <v>0</v>
      </c>
      <c r="BI25" s="915">
        <f t="shared" si="83"/>
        <v>0</v>
      </c>
      <c r="BJ25" s="915">
        <f t="shared" si="22"/>
        <v>0</v>
      </c>
      <c r="BK25" s="915">
        <f t="shared" si="23"/>
        <v>0</v>
      </c>
      <c r="BL25" s="915">
        <f t="shared" si="24"/>
        <v>0</v>
      </c>
      <c r="BM25" s="915">
        <f t="shared" si="25"/>
        <v>0</v>
      </c>
      <c r="BN25" s="915">
        <f t="shared" si="26"/>
        <v>0</v>
      </c>
      <c r="BO25" s="915">
        <f t="shared" si="27"/>
        <v>0</v>
      </c>
      <c r="BP25" s="915">
        <f t="shared" si="28"/>
        <v>0</v>
      </c>
      <c r="BQ25" s="915">
        <f t="shared" si="29"/>
        <v>0</v>
      </c>
      <c r="BR25" s="915">
        <f t="shared" si="30"/>
        <v>0</v>
      </c>
      <c r="BS25" s="915">
        <f t="shared" si="31"/>
        <v>0</v>
      </c>
      <c r="BT25" s="915">
        <f t="shared" si="84"/>
        <v>0</v>
      </c>
      <c r="BU25" s="915">
        <f t="shared" si="84"/>
        <v>0</v>
      </c>
      <c r="BV25" s="915">
        <f t="shared" si="85"/>
        <v>0</v>
      </c>
      <c r="BW25" s="915">
        <f t="shared" si="86"/>
        <v>0</v>
      </c>
      <c r="BX25" s="915">
        <f t="shared" si="87"/>
        <v>0</v>
      </c>
      <c r="BY25" s="915">
        <f t="shared" si="88"/>
        <v>0</v>
      </c>
      <c r="BZ25" s="915">
        <f t="shared" si="89"/>
        <v>0</v>
      </c>
      <c r="CA25" s="915">
        <f t="shared" si="90"/>
        <v>0</v>
      </c>
      <c r="CB25" s="915">
        <f t="shared" si="91"/>
        <v>0</v>
      </c>
      <c r="CC25" s="915">
        <f t="shared" si="92"/>
        <v>0</v>
      </c>
      <c r="CD25" s="915">
        <f t="shared" si="32"/>
        <v>0</v>
      </c>
      <c r="CE25" s="915">
        <f t="shared" si="33"/>
        <v>0</v>
      </c>
      <c r="CF25" s="915">
        <f t="shared" si="34"/>
        <v>0</v>
      </c>
      <c r="CG25" s="915">
        <f t="shared" si="35"/>
        <v>0</v>
      </c>
      <c r="CH25" s="915">
        <f t="shared" si="36"/>
        <v>0</v>
      </c>
      <c r="CI25" s="915">
        <f t="shared" si="37"/>
        <v>0</v>
      </c>
      <c r="CJ25" s="915">
        <f t="shared" si="38"/>
        <v>0</v>
      </c>
      <c r="CK25" s="915">
        <f t="shared" si="39"/>
        <v>0</v>
      </c>
      <c r="CL25" s="915">
        <f t="shared" si="40"/>
        <v>0</v>
      </c>
      <c r="CM25" s="915">
        <f t="shared" si="41"/>
        <v>0</v>
      </c>
      <c r="CN25" s="915">
        <f t="shared" si="93"/>
        <v>0</v>
      </c>
      <c r="CO25" s="915">
        <f t="shared" si="94"/>
        <v>0</v>
      </c>
      <c r="CP25" s="915">
        <f t="shared" si="95"/>
        <v>0</v>
      </c>
      <c r="CQ25" s="915">
        <f t="shared" si="96"/>
        <v>0</v>
      </c>
      <c r="CR25" s="915">
        <f t="shared" si="97"/>
        <v>0</v>
      </c>
      <c r="CS25" s="915">
        <f t="shared" si="98"/>
        <v>0</v>
      </c>
      <c r="CT25" s="915">
        <f t="shared" si="99"/>
        <v>0</v>
      </c>
      <c r="CU25" s="915">
        <f t="shared" si="100"/>
        <v>0</v>
      </c>
      <c r="CV25" s="915">
        <f t="shared" si="101"/>
        <v>0</v>
      </c>
      <c r="CW25" s="915">
        <f t="shared" si="102"/>
        <v>0</v>
      </c>
      <c r="CX25" s="915">
        <f t="shared" si="42"/>
        <v>0</v>
      </c>
      <c r="CY25" s="915">
        <f t="shared" si="43"/>
        <v>0</v>
      </c>
      <c r="CZ25" s="915">
        <f t="shared" si="44"/>
        <v>0</v>
      </c>
      <c r="DA25" s="915">
        <f t="shared" si="45"/>
        <v>0</v>
      </c>
      <c r="DB25" s="915">
        <f t="shared" si="46"/>
        <v>0</v>
      </c>
      <c r="DC25" s="915">
        <f t="shared" si="47"/>
        <v>0</v>
      </c>
      <c r="DD25" s="915">
        <f t="shared" si="48"/>
        <v>0</v>
      </c>
      <c r="DE25" s="915">
        <f t="shared" si="49"/>
        <v>0</v>
      </c>
      <c r="DF25" s="915">
        <f t="shared" si="50"/>
        <v>0</v>
      </c>
      <c r="DG25" s="915">
        <f t="shared" si="51"/>
        <v>0</v>
      </c>
      <c r="DH25" s="915">
        <f t="shared" si="103"/>
        <v>0</v>
      </c>
      <c r="DI25" s="915">
        <f t="shared" si="104"/>
        <v>0</v>
      </c>
      <c r="DJ25" s="915">
        <f t="shared" si="105"/>
        <v>0</v>
      </c>
      <c r="DK25" s="915">
        <f t="shared" si="106"/>
        <v>0</v>
      </c>
      <c r="DL25" s="915">
        <f t="shared" si="107"/>
        <v>0</v>
      </c>
      <c r="DM25" s="915">
        <f t="shared" si="108"/>
        <v>0</v>
      </c>
      <c r="DN25" s="915">
        <f t="shared" si="109"/>
        <v>0</v>
      </c>
      <c r="DO25" s="915">
        <f t="shared" si="110"/>
        <v>0</v>
      </c>
      <c r="DP25" s="915">
        <f t="shared" si="111"/>
        <v>0</v>
      </c>
      <c r="DQ25" s="915">
        <f t="shared" si="112"/>
        <v>0</v>
      </c>
      <c r="DR25" s="915">
        <f t="shared" si="52"/>
        <v>0</v>
      </c>
      <c r="DS25" s="915">
        <f t="shared" si="53"/>
        <v>0</v>
      </c>
      <c r="DT25" s="915">
        <f t="shared" si="54"/>
        <v>0</v>
      </c>
      <c r="DU25" s="915">
        <f t="shared" si="55"/>
        <v>0</v>
      </c>
      <c r="DV25" s="915">
        <f t="shared" si="56"/>
        <v>0</v>
      </c>
      <c r="DW25" s="915">
        <f t="shared" si="57"/>
        <v>0</v>
      </c>
      <c r="DX25" s="915">
        <f t="shared" si="58"/>
        <v>0</v>
      </c>
      <c r="DY25" s="915">
        <f t="shared" si="59"/>
        <v>0</v>
      </c>
      <c r="DZ25" s="915">
        <f t="shared" si="60"/>
        <v>0</v>
      </c>
      <c r="EA25" s="915">
        <f t="shared" si="61"/>
        <v>0</v>
      </c>
      <c r="EB25" s="915">
        <f t="shared" si="113"/>
        <v>0</v>
      </c>
      <c r="EC25" s="915">
        <f t="shared" si="114"/>
        <v>0</v>
      </c>
      <c r="ED25" s="915">
        <f t="shared" si="115"/>
        <v>0</v>
      </c>
      <c r="EE25" s="915">
        <f t="shared" si="116"/>
        <v>0</v>
      </c>
      <c r="EF25" s="915">
        <f t="shared" si="117"/>
        <v>0</v>
      </c>
      <c r="EG25" s="915">
        <f t="shared" si="118"/>
        <v>0</v>
      </c>
      <c r="EH25" s="915">
        <f t="shared" si="119"/>
        <v>0</v>
      </c>
      <c r="EI25" s="915">
        <f t="shared" si="120"/>
        <v>0</v>
      </c>
      <c r="EJ25" s="915">
        <f t="shared" si="121"/>
        <v>0</v>
      </c>
      <c r="EK25" s="915">
        <f t="shared" si="122"/>
        <v>0</v>
      </c>
      <c r="EL25" s="915"/>
      <c r="EN25" s="533"/>
      <c r="EQ25" s="534"/>
    </row>
    <row r="26" spans="1:147" ht="14.1" customHeight="1" x14ac:dyDescent="0.2">
      <c r="A26" s="496">
        <v>19</v>
      </c>
      <c r="B26" s="1419"/>
      <c r="C26" s="1433"/>
      <c r="D26" s="264">
        <v>19</v>
      </c>
      <c r="E26" s="264" t="s">
        <v>1245</v>
      </c>
      <c r="F26" s="270" t="s">
        <v>2544</v>
      </c>
      <c r="G26" s="271">
        <v>1</v>
      </c>
      <c r="H26" s="803">
        <v>10</v>
      </c>
      <c r="I26" s="800">
        <f t="shared" si="124"/>
        <v>0.6</v>
      </c>
      <c r="J26" s="269">
        <f t="shared" si="125"/>
        <v>10.6</v>
      </c>
      <c r="K26" s="225"/>
      <c r="L26" s="941" t="str">
        <f>TabName19 &amp; " - UNITS"</f>
        <v>Phase 19 - UNITS</v>
      </c>
      <c r="M26" s="942">
        <f>AN6</f>
        <v>0</v>
      </c>
      <c r="N26" s="949"/>
      <c r="P26" s="915">
        <f>INDEX(ValidateTable,19)</f>
        <v>19</v>
      </c>
      <c r="V26" s="915">
        <f t="shared" si="3"/>
        <v>0</v>
      </c>
      <c r="W26" s="915">
        <f t="shared" si="4"/>
        <v>0</v>
      </c>
      <c r="X26" s="915">
        <f t="shared" si="5"/>
        <v>0</v>
      </c>
      <c r="Y26" s="915">
        <f t="shared" si="6"/>
        <v>0</v>
      </c>
      <c r="Z26" s="915">
        <f t="shared" si="7"/>
        <v>0</v>
      </c>
      <c r="AA26" s="915">
        <f t="shared" si="8"/>
        <v>0</v>
      </c>
      <c r="AB26" s="915">
        <f t="shared" si="9"/>
        <v>0</v>
      </c>
      <c r="AC26" s="915">
        <f t="shared" si="10"/>
        <v>0</v>
      </c>
      <c r="AD26" s="915">
        <f t="shared" si="11"/>
        <v>0</v>
      </c>
      <c r="AE26" s="915">
        <f t="shared" si="12"/>
        <v>0</v>
      </c>
      <c r="AF26" s="915">
        <f t="shared" si="63"/>
        <v>0</v>
      </c>
      <c r="AG26" s="915">
        <f t="shared" si="64"/>
        <v>0</v>
      </c>
      <c r="AH26" s="915">
        <f t="shared" si="65"/>
        <v>0</v>
      </c>
      <c r="AI26" s="915">
        <f t="shared" si="66"/>
        <v>0</v>
      </c>
      <c r="AJ26" s="915">
        <f t="shared" si="67"/>
        <v>0</v>
      </c>
      <c r="AK26" s="915">
        <f t="shared" si="68"/>
        <v>0</v>
      </c>
      <c r="AL26" s="915">
        <f t="shared" si="69"/>
        <v>0</v>
      </c>
      <c r="AM26" s="915">
        <f t="shared" si="70"/>
        <v>0</v>
      </c>
      <c r="AN26" s="915">
        <f t="shared" si="71"/>
        <v>0</v>
      </c>
      <c r="AO26" s="915">
        <f t="shared" si="72"/>
        <v>0</v>
      </c>
      <c r="AP26" s="915">
        <f t="shared" si="13"/>
        <v>0</v>
      </c>
      <c r="AQ26" s="915">
        <f t="shared" si="14"/>
        <v>0</v>
      </c>
      <c r="AR26" s="915">
        <f t="shared" si="15"/>
        <v>0</v>
      </c>
      <c r="AS26" s="915">
        <f t="shared" si="16"/>
        <v>0</v>
      </c>
      <c r="AT26" s="915">
        <f t="shared" si="17"/>
        <v>0</v>
      </c>
      <c r="AU26" s="915">
        <f t="shared" si="18"/>
        <v>0</v>
      </c>
      <c r="AV26" s="915">
        <f t="shared" si="19"/>
        <v>0</v>
      </c>
      <c r="AW26" s="915">
        <f t="shared" si="20"/>
        <v>0</v>
      </c>
      <c r="AX26" s="915">
        <f t="shared" si="21"/>
        <v>0</v>
      </c>
      <c r="AY26" s="915">
        <f t="shared" si="73"/>
        <v>0</v>
      </c>
      <c r="AZ26" s="915">
        <f t="shared" si="74"/>
        <v>0</v>
      </c>
      <c r="BA26" s="915">
        <f t="shared" si="75"/>
        <v>0</v>
      </c>
      <c r="BB26" s="915">
        <f t="shared" si="76"/>
        <v>0</v>
      </c>
      <c r="BC26" s="915">
        <f t="shared" si="77"/>
        <v>0</v>
      </c>
      <c r="BD26" s="915">
        <f t="shared" si="78"/>
        <v>0</v>
      </c>
      <c r="BE26" s="915">
        <f t="shared" si="79"/>
        <v>0</v>
      </c>
      <c r="BF26" s="915">
        <f t="shared" si="80"/>
        <v>0</v>
      </c>
      <c r="BG26" s="915">
        <f t="shared" si="81"/>
        <v>0</v>
      </c>
      <c r="BH26" s="915">
        <f t="shared" si="82"/>
        <v>10.6</v>
      </c>
      <c r="BI26" s="915">
        <f t="shared" si="83"/>
        <v>0</v>
      </c>
      <c r="BJ26" s="915">
        <f t="shared" si="22"/>
        <v>0</v>
      </c>
      <c r="BK26" s="915">
        <f t="shared" si="23"/>
        <v>0</v>
      </c>
      <c r="BL26" s="915">
        <f t="shared" si="24"/>
        <v>0</v>
      </c>
      <c r="BM26" s="915">
        <f t="shared" si="25"/>
        <v>0</v>
      </c>
      <c r="BN26" s="915">
        <f t="shared" si="26"/>
        <v>0</v>
      </c>
      <c r="BO26" s="915">
        <f t="shared" si="27"/>
        <v>0</v>
      </c>
      <c r="BP26" s="915">
        <f t="shared" si="28"/>
        <v>0</v>
      </c>
      <c r="BQ26" s="915">
        <f t="shared" si="29"/>
        <v>0</v>
      </c>
      <c r="BR26" s="915">
        <f t="shared" si="30"/>
        <v>0</v>
      </c>
      <c r="BS26" s="915">
        <f t="shared" si="31"/>
        <v>0</v>
      </c>
      <c r="BT26" s="915">
        <f t="shared" si="84"/>
        <v>0</v>
      </c>
      <c r="BU26" s="915">
        <f t="shared" si="84"/>
        <v>0</v>
      </c>
      <c r="BV26" s="915">
        <f t="shared" si="85"/>
        <v>0</v>
      </c>
      <c r="BW26" s="915">
        <f t="shared" si="86"/>
        <v>0</v>
      </c>
      <c r="BX26" s="915">
        <f t="shared" si="87"/>
        <v>0</v>
      </c>
      <c r="BY26" s="915">
        <f t="shared" si="88"/>
        <v>0</v>
      </c>
      <c r="BZ26" s="915">
        <f t="shared" si="89"/>
        <v>0</v>
      </c>
      <c r="CA26" s="915">
        <f t="shared" si="90"/>
        <v>0</v>
      </c>
      <c r="CB26" s="915">
        <f t="shared" si="91"/>
        <v>0</v>
      </c>
      <c r="CC26" s="915">
        <f t="shared" si="92"/>
        <v>0</v>
      </c>
      <c r="CD26" s="915">
        <f t="shared" si="32"/>
        <v>0</v>
      </c>
      <c r="CE26" s="915">
        <f t="shared" si="33"/>
        <v>0</v>
      </c>
      <c r="CF26" s="915">
        <f t="shared" si="34"/>
        <v>0</v>
      </c>
      <c r="CG26" s="915">
        <f t="shared" si="35"/>
        <v>0</v>
      </c>
      <c r="CH26" s="915">
        <f t="shared" si="36"/>
        <v>0</v>
      </c>
      <c r="CI26" s="915">
        <f t="shared" si="37"/>
        <v>0</v>
      </c>
      <c r="CJ26" s="915">
        <f t="shared" si="38"/>
        <v>0</v>
      </c>
      <c r="CK26" s="915">
        <f t="shared" si="39"/>
        <v>0</v>
      </c>
      <c r="CL26" s="915">
        <f t="shared" si="40"/>
        <v>0</v>
      </c>
      <c r="CM26" s="915">
        <f t="shared" si="41"/>
        <v>0</v>
      </c>
      <c r="CN26" s="915">
        <f t="shared" si="93"/>
        <v>0</v>
      </c>
      <c r="CO26" s="915">
        <f t="shared" si="94"/>
        <v>0</v>
      </c>
      <c r="CP26" s="915">
        <f t="shared" si="95"/>
        <v>0</v>
      </c>
      <c r="CQ26" s="915">
        <f t="shared" si="96"/>
        <v>0</v>
      </c>
      <c r="CR26" s="915">
        <f t="shared" si="97"/>
        <v>0</v>
      </c>
      <c r="CS26" s="915">
        <f t="shared" si="98"/>
        <v>0</v>
      </c>
      <c r="CT26" s="915">
        <f t="shared" si="99"/>
        <v>0</v>
      </c>
      <c r="CU26" s="915">
        <f t="shared" si="100"/>
        <v>0</v>
      </c>
      <c r="CV26" s="915">
        <f t="shared" si="101"/>
        <v>0</v>
      </c>
      <c r="CW26" s="915">
        <f t="shared" si="102"/>
        <v>0</v>
      </c>
      <c r="CX26" s="915">
        <f t="shared" si="42"/>
        <v>0</v>
      </c>
      <c r="CY26" s="915">
        <f t="shared" si="43"/>
        <v>0</v>
      </c>
      <c r="CZ26" s="915">
        <f t="shared" si="44"/>
        <v>0</v>
      </c>
      <c r="DA26" s="915">
        <f t="shared" si="45"/>
        <v>0</v>
      </c>
      <c r="DB26" s="915">
        <f t="shared" si="46"/>
        <v>0</v>
      </c>
      <c r="DC26" s="915">
        <f t="shared" si="47"/>
        <v>0</v>
      </c>
      <c r="DD26" s="915">
        <f t="shared" si="48"/>
        <v>0</v>
      </c>
      <c r="DE26" s="915">
        <f t="shared" si="49"/>
        <v>0</v>
      </c>
      <c r="DF26" s="915">
        <f t="shared" si="50"/>
        <v>0</v>
      </c>
      <c r="DG26" s="915">
        <f t="shared" si="51"/>
        <v>0</v>
      </c>
      <c r="DH26" s="915">
        <f t="shared" si="103"/>
        <v>0</v>
      </c>
      <c r="DI26" s="915">
        <f t="shared" si="104"/>
        <v>0</v>
      </c>
      <c r="DJ26" s="915">
        <f t="shared" si="105"/>
        <v>0</v>
      </c>
      <c r="DK26" s="915">
        <f t="shared" si="106"/>
        <v>0</v>
      </c>
      <c r="DL26" s="915">
        <f t="shared" si="107"/>
        <v>0</v>
      </c>
      <c r="DM26" s="915">
        <f t="shared" si="108"/>
        <v>0</v>
      </c>
      <c r="DN26" s="915">
        <f t="shared" si="109"/>
        <v>0</v>
      </c>
      <c r="DO26" s="915">
        <f t="shared" si="110"/>
        <v>0</v>
      </c>
      <c r="DP26" s="915">
        <f t="shared" si="111"/>
        <v>0</v>
      </c>
      <c r="DQ26" s="915">
        <f t="shared" si="112"/>
        <v>0</v>
      </c>
      <c r="DR26" s="915">
        <f t="shared" si="52"/>
        <v>0</v>
      </c>
      <c r="DS26" s="915">
        <f t="shared" si="53"/>
        <v>0</v>
      </c>
      <c r="DT26" s="915">
        <f t="shared" si="54"/>
        <v>0</v>
      </c>
      <c r="DU26" s="915">
        <f t="shared" si="55"/>
        <v>0</v>
      </c>
      <c r="DV26" s="915">
        <f t="shared" si="56"/>
        <v>0</v>
      </c>
      <c r="DW26" s="915">
        <f t="shared" si="57"/>
        <v>0</v>
      </c>
      <c r="DX26" s="915">
        <f t="shared" si="58"/>
        <v>0</v>
      </c>
      <c r="DY26" s="915">
        <f t="shared" si="59"/>
        <v>0</v>
      </c>
      <c r="DZ26" s="915">
        <f t="shared" si="60"/>
        <v>0</v>
      </c>
      <c r="EA26" s="915">
        <f t="shared" si="61"/>
        <v>0</v>
      </c>
      <c r="EB26" s="915">
        <f t="shared" si="113"/>
        <v>0</v>
      </c>
      <c r="EC26" s="915">
        <f t="shared" si="114"/>
        <v>0</v>
      </c>
      <c r="ED26" s="915">
        <f t="shared" si="115"/>
        <v>0</v>
      </c>
      <c r="EE26" s="915">
        <f t="shared" si="116"/>
        <v>0</v>
      </c>
      <c r="EF26" s="915">
        <f t="shared" si="117"/>
        <v>0</v>
      </c>
      <c r="EG26" s="915">
        <f t="shared" si="118"/>
        <v>0</v>
      </c>
      <c r="EH26" s="915">
        <f t="shared" si="119"/>
        <v>0</v>
      </c>
      <c r="EI26" s="915">
        <f t="shared" si="120"/>
        <v>0</v>
      </c>
      <c r="EJ26" s="915">
        <f t="shared" si="121"/>
        <v>0</v>
      </c>
      <c r="EK26" s="915">
        <f t="shared" si="122"/>
        <v>0</v>
      </c>
      <c r="EL26" s="915"/>
      <c r="EN26" s="533"/>
      <c r="EQ26" s="534"/>
    </row>
    <row r="27" spans="1:147" ht="14.1" customHeight="1" x14ac:dyDescent="0.2">
      <c r="A27" s="497">
        <v>20</v>
      </c>
      <c r="B27" s="1005"/>
      <c r="C27" s="1008"/>
      <c r="D27" s="1020">
        <v>20</v>
      </c>
      <c r="E27" s="138" t="s">
        <v>1245</v>
      </c>
      <c r="F27" s="139" t="s">
        <v>2544</v>
      </c>
      <c r="G27" s="91">
        <v>1</v>
      </c>
      <c r="H27" s="1022">
        <v>10</v>
      </c>
      <c r="I27" s="801">
        <f t="shared" si="124"/>
        <v>0.6</v>
      </c>
      <c r="J27" s="1021">
        <f t="shared" si="125"/>
        <v>10.6</v>
      </c>
      <c r="K27" s="225"/>
      <c r="L27" s="941" t="str">
        <f>TabName20 &amp; " - UNITS"</f>
        <v>Phase 20 - UNITS</v>
      </c>
      <c r="M27" s="942">
        <f>AO6</f>
        <v>0</v>
      </c>
      <c r="N27" s="949"/>
      <c r="P27" s="915">
        <f>INDEX(ValidateTable,20)</f>
        <v>20</v>
      </c>
      <c r="V27" s="915">
        <f t="shared" si="3"/>
        <v>0</v>
      </c>
      <c r="W27" s="915">
        <f t="shared" si="4"/>
        <v>0</v>
      </c>
      <c r="X27" s="915">
        <f t="shared" si="5"/>
        <v>0</v>
      </c>
      <c r="Y27" s="915">
        <f t="shared" si="6"/>
        <v>0</v>
      </c>
      <c r="Z27" s="915">
        <f t="shared" si="7"/>
        <v>0</v>
      </c>
      <c r="AA27" s="915">
        <f t="shared" si="8"/>
        <v>0</v>
      </c>
      <c r="AB27" s="915">
        <f t="shared" si="9"/>
        <v>0</v>
      </c>
      <c r="AC27" s="915">
        <f t="shared" si="10"/>
        <v>0</v>
      </c>
      <c r="AD27" s="915">
        <f t="shared" si="11"/>
        <v>0</v>
      </c>
      <c r="AE27" s="915">
        <f t="shared" si="12"/>
        <v>0</v>
      </c>
      <c r="AF27" s="915">
        <f t="shared" si="63"/>
        <v>0</v>
      </c>
      <c r="AG27" s="915">
        <f t="shared" si="64"/>
        <v>0</v>
      </c>
      <c r="AH27" s="915">
        <f t="shared" si="65"/>
        <v>0</v>
      </c>
      <c r="AI27" s="915">
        <f t="shared" si="66"/>
        <v>0</v>
      </c>
      <c r="AJ27" s="915">
        <f t="shared" si="67"/>
        <v>0</v>
      </c>
      <c r="AK27" s="915">
        <f t="shared" si="68"/>
        <v>0</v>
      </c>
      <c r="AL27" s="915">
        <f t="shared" si="69"/>
        <v>0</v>
      </c>
      <c r="AM27" s="915">
        <f t="shared" si="70"/>
        <v>0</v>
      </c>
      <c r="AN27" s="915">
        <f t="shared" si="71"/>
        <v>0</v>
      </c>
      <c r="AO27" s="915">
        <f t="shared" si="72"/>
        <v>0</v>
      </c>
      <c r="AP27" s="915">
        <f t="shared" si="13"/>
        <v>0</v>
      </c>
      <c r="AQ27" s="915">
        <f t="shared" si="14"/>
        <v>0</v>
      </c>
      <c r="AR27" s="915">
        <f t="shared" si="15"/>
        <v>0</v>
      </c>
      <c r="AS27" s="915">
        <f t="shared" si="16"/>
        <v>0</v>
      </c>
      <c r="AT27" s="915">
        <f t="shared" si="17"/>
        <v>0</v>
      </c>
      <c r="AU27" s="915">
        <f t="shared" si="18"/>
        <v>0</v>
      </c>
      <c r="AV27" s="915">
        <f t="shared" si="19"/>
        <v>0</v>
      </c>
      <c r="AW27" s="915">
        <f t="shared" si="20"/>
        <v>0</v>
      </c>
      <c r="AX27" s="915">
        <f t="shared" si="21"/>
        <v>0</v>
      </c>
      <c r="AY27" s="915">
        <f t="shared" si="73"/>
        <v>0</v>
      </c>
      <c r="AZ27" s="915">
        <f t="shared" si="74"/>
        <v>0</v>
      </c>
      <c r="BA27" s="915">
        <f t="shared" si="75"/>
        <v>0</v>
      </c>
      <c r="BB27" s="915">
        <f t="shared" si="76"/>
        <v>0</v>
      </c>
      <c r="BC27" s="915">
        <f t="shared" si="77"/>
        <v>0</v>
      </c>
      <c r="BD27" s="915">
        <f t="shared" si="78"/>
        <v>0</v>
      </c>
      <c r="BE27" s="915">
        <f t="shared" si="79"/>
        <v>0</v>
      </c>
      <c r="BF27" s="915">
        <f t="shared" si="80"/>
        <v>0</v>
      </c>
      <c r="BG27" s="915">
        <f t="shared" si="81"/>
        <v>0</v>
      </c>
      <c r="BH27" s="915">
        <f t="shared" si="82"/>
        <v>0</v>
      </c>
      <c r="BI27" s="915">
        <f t="shared" si="83"/>
        <v>10.6</v>
      </c>
      <c r="BJ27" s="915">
        <f t="shared" si="22"/>
        <v>0</v>
      </c>
      <c r="BK27" s="915">
        <f t="shared" si="23"/>
        <v>0</v>
      </c>
      <c r="BL27" s="915">
        <f t="shared" si="24"/>
        <v>0</v>
      </c>
      <c r="BM27" s="915">
        <f t="shared" si="25"/>
        <v>0</v>
      </c>
      <c r="BN27" s="915">
        <f t="shared" si="26"/>
        <v>0</v>
      </c>
      <c r="BO27" s="915">
        <f t="shared" si="27"/>
        <v>0</v>
      </c>
      <c r="BP27" s="915">
        <f t="shared" si="28"/>
        <v>0</v>
      </c>
      <c r="BQ27" s="915">
        <f t="shared" si="29"/>
        <v>0</v>
      </c>
      <c r="BR27" s="915">
        <f t="shared" si="30"/>
        <v>0</v>
      </c>
      <c r="BS27" s="915">
        <f t="shared" si="31"/>
        <v>0</v>
      </c>
      <c r="BT27" s="915">
        <f t="shared" si="84"/>
        <v>0</v>
      </c>
      <c r="BU27" s="915">
        <f t="shared" si="84"/>
        <v>0</v>
      </c>
      <c r="BV27" s="915">
        <f t="shared" si="85"/>
        <v>0</v>
      </c>
      <c r="BW27" s="915">
        <f t="shared" si="86"/>
        <v>0</v>
      </c>
      <c r="BX27" s="915">
        <f t="shared" si="87"/>
        <v>0</v>
      </c>
      <c r="BY27" s="915">
        <f t="shared" si="88"/>
        <v>0</v>
      </c>
      <c r="BZ27" s="915">
        <f t="shared" si="89"/>
        <v>0</v>
      </c>
      <c r="CA27" s="915">
        <f t="shared" si="90"/>
        <v>0</v>
      </c>
      <c r="CB27" s="915">
        <f t="shared" si="91"/>
        <v>0</v>
      </c>
      <c r="CC27" s="915">
        <f t="shared" si="92"/>
        <v>0</v>
      </c>
      <c r="CD27" s="915">
        <f t="shared" si="32"/>
        <v>0</v>
      </c>
      <c r="CE27" s="915">
        <f t="shared" si="33"/>
        <v>0</v>
      </c>
      <c r="CF27" s="915">
        <f t="shared" si="34"/>
        <v>0</v>
      </c>
      <c r="CG27" s="915">
        <f t="shared" si="35"/>
        <v>0</v>
      </c>
      <c r="CH27" s="915">
        <f t="shared" si="36"/>
        <v>0</v>
      </c>
      <c r="CI27" s="915">
        <f t="shared" si="37"/>
        <v>0</v>
      </c>
      <c r="CJ27" s="915">
        <f t="shared" si="38"/>
        <v>0</v>
      </c>
      <c r="CK27" s="915">
        <f t="shared" si="39"/>
        <v>0</v>
      </c>
      <c r="CL27" s="915">
        <f t="shared" si="40"/>
        <v>0</v>
      </c>
      <c r="CM27" s="915">
        <f t="shared" si="41"/>
        <v>0</v>
      </c>
      <c r="CN27" s="915">
        <f t="shared" si="93"/>
        <v>0</v>
      </c>
      <c r="CO27" s="915">
        <f t="shared" si="94"/>
        <v>0</v>
      </c>
      <c r="CP27" s="915">
        <f t="shared" si="95"/>
        <v>0</v>
      </c>
      <c r="CQ27" s="915">
        <f t="shared" si="96"/>
        <v>0</v>
      </c>
      <c r="CR27" s="915">
        <f t="shared" si="97"/>
        <v>0</v>
      </c>
      <c r="CS27" s="915">
        <f t="shared" si="98"/>
        <v>0</v>
      </c>
      <c r="CT27" s="915">
        <f t="shared" si="99"/>
        <v>0</v>
      </c>
      <c r="CU27" s="915">
        <f t="shared" si="100"/>
        <v>0</v>
      </c>
      <c r="CV27" s="915">
        <f t="shared" si="101"/>
        <v>0</v>
      </c>
      <c r="CW27" s="915">
        <f t="shared" si="102"/>
        <v>0</v>
      </c>
      <c r="CX27" s="915">
        <f t="shared" si="42"/>
        <v>0</v>
      </c>
      <c r="CY27" s="915">
        <f t="shared" si="43"/>
        <v>0</v>
      </c>
      <c r="CZ27" s="915">
        <f t="shared" si="44"/>
        <v>0</v>
      </c>
      <c r="DA27" s="915">
        <f t="shared" si="45"/>
        <v>0</v>
      </c>
      <c r="DB27" s="915">
        <f t="shared" si="46"/>
        <v>0</v>
      </c>
      <c r="DC27" s="915">
        <f t="shared" si="47"/>
        <v>0</v>
      </c>
      <c r="DD27" s="915">
        <f t="shared" si="48"/>
        <v>0</v>
      </c>
      <c r="DE27" s="915">
        <f t="shared" si="49"/>
        <v>0</v>
      </c>
      <c r="DF27" s="915">
        <f t="shared" si="50"/>
        <v>0</v>
      </c>
      <c r="DG27" s="915">
        <f t="shared" si="51"/>
        <v>0</v>
      </c>
      <c r="DH27" s="915">
        <f t="shared" si="103"/>
        <v>0</v>
      </c>
      <c r="DI27" s="915">
        <f t="shared" si="104"/>
        <v>0</v>
      </c>
      <c r="DJ27" s="915">
        <f t="shared" si="105"/>
        <v>0</v>
      </c>
      <c r="DK27" s="915">
        <f t="shared" si="106"/>
        <v>0</v>
      </c>
      <c r="DL27" s="915">
        <f t="shared" si="107"/>
        <v>0</v>
      </c>
      <c r="DM27" s="915">
        <f t="shared" si="108"/>
        <v>0</v>
      </c>
      <c r="DN27" s="915">
        <f t="shared" si="109"/>
        <v>0</v>
      </c>
      <c r="DO27" s="915">
        <f t="shared" si="110"/>
        <v>0</v>
      </c>
      <c r="DP27" s="915">
        <f t="shared" si="111"/>
        <v>0</v>
      </c>
      <c r="DQ27" s="915">
        <f t="shared" si="112"/>
        <v>0</v>
      </c>
      <c r="DR27" s="915">
        <f t="shared" si="52"/>
        <v>0</v>
      </c>
      <c r="DS27" s="915">
        <f t="shared" si="53"/>
        <v>0</v>
      </c>
      <c r="DT27" s="915">
        <f t="shared" si="54"/>
        <v>0</v>
      </c>
      <c r="DU27" s="915">
        <f t="shared" si="55"/>
        <v>0</v>
      </c>
      <c r="DV27" s="915">
        <f t="shared" si="56"/>
        <v>0</v>
      </c>
      <c r="DW27" s="915">
        <f t="shared" si="57"/>
        <v>0</v>
      </c>
      <c r="DX27" s="915">
        <f t="shared" si="58"/>
        <v>0</v>
      </c>
      <c r="DY27" s="915">
        <f t="shared" si="59"/>
        <v>0</v>
      </c>
      <c r="DZ27" s="915">
        <f t="shared" si="60"/>
        <v>0</v>
      </c>
      <c r="EA27" s="915">
        <f t="shared" si="61"/>
        <v>0</v>
      </c>
      <c r="EB27" s="915">
        <f t="shared" si="113"/>
        <v>0</v>
      </c>
      <c r="EC27" s="915">
        <f t="shared" si="114"/>
        <v>0</v>
      </c>
      <c r="ED27" s="915">
        <f t="shared" si="115"/>
        <v>0</v>
      </c>
      <c r="EE27" s="915">
        <f t="shared" si="116"/>
        <v>0</v>
      </c>
      <c r="EF27" s="915">
        <f t="shared" si="117"/>
        <v>0</v>
      </c>
      <c r="EG27" s="915">
        <f t="shared" si="118"/>
        <v>0</v>
      </c>
      <c r="EH27" s="915">
        <f t="shared" si="119"/>
        <v>0</v>
      </c>
      <c r="EI27" s="915">
        <f t="shared" si="120"/>
        <v>0</v>
      </c>
      <c r="EJ27" s="915">
        <f t="shared" si="121"/>
        <v>0</v>
      </c>
      <c r="EK27" s="915">
        <f t="shared" si="122"/>
        <v>0</v>
      </c>
      <c r="EL27" s="915"/>
      <c r="EN27" s="533"/>
      <c r="EQ27" s="534"/>
    </row>
    <row r="28" spans="1:147" ht="14.1" customHeight="1" x14ac:dyDescent="0.2">
      <c r="A28" s="496">
        <v>21</v>
      </c>
      <c r="B28" s="1419"/>
      <c r="C28" s="1433"/>
      <c r="D28" s="264">
        <v>1</v>
      </c>
      <c r="E28" s="264" t="s">
        <v>1245</v>
      </c>
      <c r="F28" s="270" t="s">
        <v>2544</v>
      </c>
      <c r="G28" s="271">
        <v>1</v>
      </c>
      <c r="H28" s="803">
        <v>10</v>
      </c>
      <c r="I28" s="800">
        <f t="shared" si="124"/>
        <v>0.6</v>
      </c>
      <c r="J28" s="269">
        <f t="shared" si="125"/>
        <v>10.6</v>
      </c>
      <c r="K28" s="225"/>
      <c r="L28" s="941" t="str">
        <f>TabName1 &amp; " - WATER"</f>
        <v>Phase 1 - WATER</v>
      </c>
      <c r="M28" s="942">
        <f>AP6</f>
        <v>21.2</v>
      </c>
      <c r="N28" s="950"/>
      <c r="V28" s="915">
        <f t="shared" si="3"/>
        <v>0</v>
      </c>
      <c r="W28" s="915">
        <f t="shared" si="4"/>
        <v>0</v>
      </c>
      <c r="X28" s="915">
        <f t="shared" si="5"/>
        <v>0</v>
      </c>
      <c r="Y28" s="915">
        <f t="shared" si="6"/>
        <v>0</v>
      </c>
      <c r="Z28" s="915">
        <f t="shared" si="7"/>
        <v>0</v>
      </c>
      <c r="AA28" s="915">
        <f t="shared" si="8"/>
        <v>0</v>
      </c>
      <c r="AB28" s="915">
        <f t="shared" si="9"/>
        <v>0</v>
      </c>
      <c r="AC28" s="915">
        <f t="shared" si="10"/>
        <v>0</v>
      </c>
      <c r="AD28" s="915">
        <f t="shared" si="11"/>
        <v>0</v>
      </c>
      <c r="AE28" s="915">
        <f t="shared" si="12"/>
        <v>0</v>
      </c>
      <c r="AF28" s="915">
        <f t="shared" si="63"/>
        <v>0</v>
      </c>
      <c r="AG28" s="915">
        <f t="shared" si="64"/>
        <v>0</v>
      </c>
      <c r="AH28" s="915">
        <f t="shared" si="65"/>
        <v>0</v>
      </c>
      <c r="AI28" s="915">
        <f t="shared" si="66"/>
        <v>0</v>
      </c>
      <c r="AJ28" s="915">
        <f t="shared" si="67"/>
        <v>0</v>
      </c>
      <c r="AK28" s="915">
        <f t="shared" si="68"/>
        <v>0</v>
      </c>
      <c r="AL28" s="915">
        <f t="shared" si="69"/>
        <v>0</v>
      </c>
      <c r="AM28" s="915">
        <f t="shared" si="70"/>
        <v>0</v>
      </c>
      <c r="AN28" s="915">
        <f t="shared" si="71"/>
        <v>0</v>
      </c>
      <c r="AO28" s="915">
        <f t="shared" si="72"/>
        <v>0</v>
      </c>
      <c r="AP28" s="915">
        <f t="shared" si="13"/>
        <v>10.6</v>
      </c>
      <c r="AQ28" s="915">
        <f t="shared" si="14"/>
        <v>0</v>
      </c>
      <c r="AR28" s="915">
        <f t="shared" si="15"/>
        <v>0</v>
      </c>
      <c r="AS28" s="915">
        <f t="shared" si="16"/>
        <v>0</v>
      </c>
      <c r="AT28" s="915">
        <f t="shared" si="17"/>
        <v>0</v>
      </c>
      <c r="AU28" s="915">
        <f t="shared" si="18"/>
        <v>0</v>
      </c>
      <c r="AV28" s="915">
        <f t="shared" si="19"/>
        <v>0</v>
      </c>
      <c r="AW28" s="915">
        <f t="shared" si="20"/>
        <v>0</v>
      </c>
      <c r="AX28" s="915">
        <f t="shared" si="21"/>
        <v>0</v>
      </c>
      <c r="AY28" s="915">
        <f t="shared" si="73"/>
        <v>0</v>
      </c>
      <c r="AZ28" s="915">
        <f t="shared" si="74"/>
        <v>0</v>
      </c>
      <c r="BA28" s="915">
        <f t="shared" si="75"/>
        <v>0</v>
      </c>
      <c r="BB28" s="915">
        <f t="shared" si="76"/>
        <v>0</v>
      </c>
      <c r="BC28" s="915">
        <f t="shared" si="77"/>
        <v>0</v>
      </c>
      <c r="BD28" s="915">
        <f t="shared" si="78"/>
        <v>0</v>
      </c>
      <c r="BE28" s="915">
        <f t="shared" si="79"/>
        <v>0</v>
      </c>
      <c r="BF28" s="915">
        <f t="shared" si="80"/>
        <v>0</v>
      </c>
      <c r="BG28" s="915">
        <f t="shared" si="81"/>
        <v>0</v>
      </c>
      <c r="BH28" s="915">
        <f t="shared" si="82"/>
        <v>0</v>
      </c>
      <c r="BI28" s="915">
        <f t="shared" si="83"/>
        <v>0</v>
      </c>
      <c r="BJ28" s="915">
        <f t="shared" si="22"/>
        <v>0</v>
      </c>
      <c r="BK28" s="915">
        <f t="shared" si="23"/>
        <v>0</v>
      </c>
      <c r="BL28" s="915">
        <f t="shared" si="24"/>
        <v>0</v>
      </c>
      <c r="BM28" s="915">
        <f t="shared" si="25"/>
        <v>0</v>
      </c>
      <c r="BN28" s="915">
        <f t="shared" si="26"/>
        <v>0</v>
      </c>
      <c r="BO28" s="915">
        <f t="shared" si="27"/>
        <v>0</v>
      </c>
      <c r="BP28" s="915">
        <f t="shared" si="28"/>
        <v>0</v>
      </c>
      <c r="BQ28" s="915">
        <f t="shared" si="29"/>
        <v>0</v>
      </c>
      <c r="BR28" s="915">
        <f t="shared" si="30"/>
        <v>0</v>
      </c>
      <c r="BS28" s="915">
        <f t="shared" si="31"/>
        <v>0</v>
      </c>
      <c r="BT28" s="915">
        <f t="shared" si="84"/>
        <v>0</v>
      </c>
      <c r="BU28" s="915">
        <f t="shared" si="84"/>
        <v>0</v>
      </c>
      <c r="BV28" s="915">
        <f t="shared" si="85"/>
        <v>0</v>
      </c>
      <c r="BW28" s="915">
        <f t="shared" si="86"/>
        <v>0</v>
      </c>
      <c r="BX28" s="915">
        <f t="shared" si="87"/>
        <v>0</v>
      </c>
      <c r="BY28" s="915">
        <f t="shared" si="88"/>
        <v>0</v>
      </c>
      <c r="BZ28" s="915">
        <f t="shared" si="89"/>
        <v>0</v>
      </c>
      <c r="CA28" s="915">
        <f t="shared" si="90"/>
        <v>0</v>
      </c>
      <c r="CB28" s="915">
        <f t="shared" si="91"/>
        <v>0</v>
      </c>
      <c r="CC28" s="915">
        <f t="shared" si="92"/>
        <v>0</v>
      </c>
      <c r="CD28" s="915">
        <f t="shared" si="32"/>
        <v>0</v>
      </c>
      <c r="CE28" s="915">
        <f t="shared" si="33"/>
        <v>0</v>
      </c>
      <c r="CF28" s="915">
        <f t="shared" si="34"/>
        <v>0</v>
      </c>
      <c r="CG28" s="915">
        <f t="shared" si="35"/>
        <v>0</v>
      </c>
      <c r="CH28" s="915">
        <f t="shared" si="36"/>
        <v>0</v>
      </c>
      <c r="CI28" s="915">
        <f t="shared" si="37"/>
        <v>0</v>
      </c>
      <c r="CJ28" s="915">
        <f t="shared" si="38"/>
        <v>0</v>
      </c>
      <c r="CK28" s="915">
        <f t="shared" si="39"/>
        <v>0</v>
      </c>
      <c r="CL28" s="915">
        <f t="shared" si="40"/>
        <v>0</v>
      </c>
      <c r="CM28" s="915">
        <f t="shared" si="41"/>
        <v>0</v>
      </c>
      <c r="CN28" s="915">
        <f t="shared" si="93"/>
        <v>0</v>
      </c>
      <c r="CO28" s="915">
        <f t="shared" si="94"/>
        <v>0</v>
      </c>
      <c r="CP28" s="915">
        <f t="shared" si="95"/>
        <v>0</v>
      </c>
      <c r="CQ28" s="915">
        <f t="shared" si="96"/>
        <v>0</v>
      </c>
      <c r="CR28" s="915">
        <f t="shared" si="97"/>
        <v>0</v>
      </c>
      <c r="CS28" s="915">
        <f t="shared" si="98"/>
        <v>0</v>
      </c>
      <c r="CT28" s="915">
        <f t="shared" si="99"/>
        <v>0</v>
      </c>
      <c r="CU28" s="915">
        <f t="shared" si="100"/>
        <v>0</v>
      </c>
      <c r="CV28" s="915">
        <f t="shared" si="101"/>
        <v>0</v>
      </c>
      <c r="CW28" s="915">
        <f t="shared" si="102"/>
        <v>0</v>
      </c>
      <c r="CX28" s="915">
        <f t="shared" si="42"/>
        <v>0</v>
      </c>
      <c r="CY28" s="915">
        <f t="shared" si="43"/>
        <v>0</v>
      </c>
      <c r="CZ28" s="915">
        <f t="shared" si="44"/>
        <v>0</v>
      </c>
      <c r="DA28" s="915">
        <f t="shared" si="45"/>
        <v>0</v>
      </c>
      <c r="DB28" s="915">
        <f t="shared" si="46"/>
        <v>0</v>
      </c>
      <c r="DC28" s="915">
        <f t="shared" si="47"/>
        <v>0</v>
      </c>
      <c r="DD28" s="915">
        <f t="shared" si="48"/>
        <v>0</v>
      </c>
      <c r="DE28" s="915">
        <f t="shared" si="49"/>
        <v>0</v>
      </c>
      <c r="DF28" s="915">
        <f t="shared" si="50"/>
        <v>0</v>
      </c>
      <c r="DG28" s="915">
        <f t="shared" si="51"/>
        <v>0</v>
      </c>
      <c r="DH28" s="915">
        <f t="shared" si="103"/>
        <v>0</v>
      </c>
      <c r="DI28" s="915">
        <f t="shared" si="104"/>
        <v>0</v>
      </c>
      <c r="DJ28" s="915">
        <f t="shared" si="105"/>
        <v>0</v>
      </c>
      <c r="DK28" s="915">
        <f t="shared" si="106"/>
        <v>0</v>
      </c>
      <c r="DL28" s="915">
        <f t="shared" si="107"/>
        <v>0</v>
      </c>
      <c r="DM28" s="915">
        <f t="shared" si="108"/>
        <v>0</v>
      </c>
      <c r="DN28" s="915">
        <f t="shared" si="109"/>
        <v>0</v>
      </c>
      <c r="DO28" s="915">
        <f t="shared" si="110"/>
        <v>0</v>
      </c>
      <c r="DP28" s="915">
        <f t="shared" si="111"/>
        <v>0</v>
      </c>
      <c r="DQ28" s="915">
        <f t="shared" si="112"/>
        <v>0</v>
      </c>
      <c r="DR28" s="915">
        <f t="shared" si="52"/>
        <v>0</v>
      </c>
      <c r="DS28" s="915">
        <f t="shared" si="53"/>
        <v>0</v>
      </c>
      <c r="DT28" s="915">
        <f t="shared" si="54"/>
        <v>0</v>
      </c>
      <c r="DU28" s="915">
        <f t="shared" si="55"/>
        <v>0</v>
      </c>
      <c r="DV28" s="915">
        <f t="shared" si="56"/>
        <v>0</v>
      </c>
      <c r="DW28" s="915">
        <f t="shared" si="57"/>
        <v>0</v>
      </c>
      <c r="DX28" s="915">
        <f t="shared" si="58"/>
        <v>0</v>
      </c>
      <c r="DY28" s="915">
        <f t="shared" si="59"/>
        <v>0</v>
      </c>
      <c r="DZ28" s="915">
        <f t="shared" si="60"/>
        <v>0</v>
      </c>
      <c r="EA28" s="915">
        <f t="shared" si="61"/>
        <v>0</v>
      </c>
      <c r="EB28" s="915">
        <f t="shared" si="113"/>
        <v>0</v>
      </c>
      <c r="EC28" s="915">
        <f t="shared" si="114"/>
        <v>0</v>
      </c>
      <c r="ED28" s="915">
        <f t="shared" si="115"/>
        <v>0</v>
      </c>
      <c r="EE28" s="915">
        <f t="shared" si="116"/>
        <v>0</v>
      </c>
      <c r="EF28" s="915">
        <f t="shared" si="117"/>
        <v>0</v>
      </c>
      <c r="EG28" s="915">
        <f t="shared" si="118"/>
        <v>0</v>
      </c>
      <c r="EH28" s="915">
        <f t="shared" si="119"/>
        <v>0</v>
      </c>
      <c r="EI28" s="915">
        <f t="shared" si="120"/>
        <v>0</v>
      </c>
      <c r="EJ28" s="915">
        <f t="shared" si="121"/>
        <v>0</v>
      </c>
      <c r="EK28" s="915">
        <f t="shared" si="122"/>
        <v>0</v>
      </c>
      <c r="EL28" s="915"/>
      <c r="EN28" s="533"/>
      <c r="EQ28" s="534"/>
    </row>
    <row r="29" spans="1:147" ht="14.1" customHeight="1" x14ac:dyDescent="0.2">
      <c r="A29" s="497">
        <v>22</v>
      </c>
      <c r="B29" s="1423"/>
      <c r="C29" s="1424"/>
      <c r="D29" s="1020">
        <v>2</v>
      </c>
      <c r="E29" s="138" t="s">
        <v>1245</v>
      </c>
      <c r="F29" s="139" t="s">
        <v>2544</v>
      </c>
      <c r="G29" s="91">
        <v>1</v>
      </c>
      <c r="H29" s="1022">
        <v>10</v>
      </c>
      <c r="I29" s="801">
        <f t="shared" si="124"/>
        <v>0.6</v>
      </c>
      <c r="J29" s="1021">
        <f t="shared" si="125"/>
        <v>10.6</v>
      </c>
      <c r="K29" s="225"/>
      <c r="L29" s="941" t="str">
        <f>TabName2 &amp; " - WATER"</f>
        <v>Phase 2 - WATER</v>
      </c>
      <c r="M29" s="942">
        <f>AQ6</f>
        <v>21.2</v>
      </c>
      <c r="N29" s="949"/>
      <c r="V29" s="915">
        <f t="shared" si="3"/>
        <v>0</v>
      </c>
      <c r="W29" s="915">
        <f t="shared" si="4"/>
        <v>0</v>
      </c>
      <c r="X29" s="915">
        <f t="shared" si="5"/>
        <v>0</v>
      </c>
      <c r="Y29" s="915">
        <f t="shared" si="6"/>
        <v>0</v>
      </c>
      <c r="Z29" s="915">
        <f t="shared" si="7"/>
        <v>0</v>
      </c>
      <c r="AA29" s="915">
        <f t="shared" si="8"/>
        <v>0</v>
      </c>
      <c r="AB29" s="915">
        <f t="shared" si="9"/>
        <v>0</v>
      </c>
      <c r="AC29" s="915">
        <f t="shared" si="10"/>
        <v>0</v>
      </c>
      <c r="AD29" s="915">
        <f t="shared" si="11"/>
        <v>0</v>
      </c>
      <c r="AE29" s="915">
        <f t="shared" si="12"/>
        <v>0</v>
      </c>
      <c r="AF29" s="915">
        <f t="shared" si="63"/>
        <v>0</v>
      </c>
      <c r="AG29" s="915">
        <f t="shared" si="64"/>
        <v>0</v>
      </c>
      <c r="AH29" s="915">
        <f t="shared" si="65"/>
        <v>0</v>
      </c>
      <c r="AI29" s="915">
        <f t="shared" si="66"/>
        <v>0</v>
      </c>
      <c r="AJ29" s="915">
        <f t="shared" si="67"/>
        <v>0</v>
      </c>
      <c r="AK29" s="915">
        <f t="shared" si="68"/>
        <v>0</v>
      </c>
      <c r="AL29" s="915">
        <f t="shared" si="69"/>
        <v>0</v>
      </c>
      <c r="AM29" s="915">
        <f t="shared" si="70"/>
        <v>0</v>
      </c>
      <c r="AN29" s="915">
        <f t="shared" si="71"/>
        <v>0</v>
      </c>
      <c r="AO29" s="915">
        <f t="shared" si="72"/>
        <v>0</v>
      </c>
      <c r="AP29" s="915">
        <f t="shared" si="13"/>
        <v>0</v>
      </c>
      <c r="AQ29" s="915">
        <f t="shared" si="14"/>
        <v>10.6</v>
      </c>
      <c r="AR29" s="915">
        <f t="shared" si="15"/>
        <v>0</v>
      </c>
      <c r="AS29" s="915">
        <f t="shared" si="16"/>
        <v>0</v>
      </c>
      <c r="AT29" s="915">
        <f t="shared" si="17"/>
        <v>0</v>
      </c>
      <c r="AU29" s="915">
        <f t="shared" si="18"/>
        <v>0</v>
      </c>
      <c r="AV29" s="915">
        <f t="shared" si="19"/>
        <v>0</v>
      </c>
      <c r="AW29" s="915">
        <f t="shared" si="20"/>
        <v>0</v>
      </c>
      <c r="AX29" s="915">
        <f t="shared" si="21"/>
        <v>0</v>
      </c>
      <c r="AY29" s="915">
        <f t="shared" si="73"/>
        <v>0</v>
      </c>
      <c r="AZ29" s="915">
        <f t="shared" si="74"/>
        <v>0</v>
      </c>
      <c r="BA29" s="915">
        <f t="shared" si="75"/>
        <v>0</v>
      </c>
      <c r="BB29" s="915">
        <f t="shared" si="76"/>
        <v>0</v>
      </c>
      <c r="BC29" s="915">
        <f t="shared" si="77"/>
        <v>0</v>
      </c>
      <c r="BD29" s="915">
        <f t="shared" si="78"/>
        <v>0</v>
      </c>
      <c r="BE29" s="915">
        <f t="shared" si="79"/>
        <v>0</v>
      </c>
      <c r="BF29" s="915">
        <f t="shared" si="80"/>
        <v>0</v>
      </c>
      <c r="BG29" s="915">
        <f t="shared" si="81"/>
        <v>0</v>
      </c>
      <c r="BH29" s="915">
        <f t="shared" si="82"/>
        <v>0</v>
      </c>
      <c r="BI29" s="915">
        <f t="shared" si="83"/>
        <v>0</v>
      </c>
      <c r="BJ29" s="915">
        <f t="shared" si="22"/>
        <v>0</v>
      </c>
      <c r="BK29" s="915">
        <f t="shared" si="23"/>
        <v>0</v>
      </c>
      <c r="BL29" s="915">
        <f t="shared" si="24"/>
        <v>0</v>
      </c>
      <c r="BM29" s="915">
        <f t="shared" si="25"/>
        <v>0</v>
      </c>
      <c r="BN29" s="915">
        <f t="shared" si="26"/>
        <v>0</v>
      </c>
      <c r="BO29" s="915">
        <f t="shared" si="27"/>
        <v>0</v>
      </c>
      <c r="BP29" s="915">
        <f t="shared" si="28"/>
        <v>0</v>
      </c>
      <c r="BQ29" s="915">
        <f t="shared" si="29"/>
        <v>0</v>
      </c>
      <c r="BR29" s="915">
        <f t="shared" si="30"/>
        <v>0</v>
      </c>
      <c r="BS29" s="915">
        <f t="shared" si="31"/>
        <v>0</v>
      </c>
      <c r="BT29" s="915">
        <f t="shared" si="84"/>
        <v>0</v>
      </c>
      <c r="BU29" s="915">
        <f t="shared" si="84"/>
        <v>0</v>
      </c>
      <c r="BV29" s="915">
        <f t="shared" si="85"/>
        <v>0</v>
      </c>
      <c r="BW29" s="915">
        <f t="shared" si="86"/>
        <v>0</v>
      </c>
      <c r="BX29" s="915">
        <f t="shared" si="87"/>
        <v>0</v>
      </c>
      <c r="BY29" s="915">
        <f t="shared" si="88"/>
        <v>0</v>
      </c>
      <c r="BZ29" s="915">
        <f t="shared" si="89"/>
        <v>0</v>
      </c>
      <c r="CA29" s="915">
        <f t="shared" si="90"/>
        <v>0</v>
      </c>
      <c r="CB29" s="915">
        <f t="shared" si="91"/>
        <v>0</v>
      </c>
      <c r="CC29" s="915">
        <f t="shared" si="92"/>
        <v>0</v>
      </c>
      <c r="CD29" s="915">
        <f t="shared" si="32"/>
        <v>0</v>
      </c>
      <c r="CE29" s="915">
        <f t="shared" si="33"/>
        <v>0</v>
      </c>
      <c r="CF29" s="915">
        <f t="shared" si="34"/>
        <v>0</v>
      </c>
      <c r="CG29" s="915">
        <f t="shared" si="35"/>
        <v>0</v>
      </c>
      <c r="CH29" s="915">
        <f t="shared" si="36"/>
        <v>0</v>
      </c>
      <c r="CI29" s="915">
        <f t="shared" si="37"/>
        <v>0</v>
      </c>
      <c r="CJ29" s="915">
        <f t="shared" si="38"/>
        <v>0</v>
      </c>
      <c r="CK29" s="915">
        <f t="shared" si="39"/>
        <v>0</v>
      </c>
      <c r="CL29" s="915">
        <f t="shared" si="40"/>
        <v>0</v>
      </c>
      <c r="CM29" s="915">
        <f t="shared" si="41"/>
        <v>0</v>
      </c>
      <c r="CN29" s="915">
        <f t="shared" si="93"/>
        <v>0</v>
      </c>
      <c r="CO29" s="915">
        <f t="shared" si="94"/>
        <v>0</v>
      </c>
      <c r="CP29" s="915">
        <f t="shared" si="95"/>
        <v>0</v>
      </c>
      <c r="CQ29" s="915">
        <f t="shared" si="96"/>
        <v>0</v>
      </c>
      <c r="CR29" s="915">
        <f t="shared" si="97"/>
        <v>0</v>
      </c>
      <c r="CS29" s="915">
        <f t="shared" si="98"/>
        <v>0</v>
      </c>
      <c r="CT29" s="915">
        <f t="shared" si="99"/>
        <v>0</v>
      </c>
      <c r="CU29" s="915">
        <f t="shared" si="100"/>
        <v>0</v>
      </c>
      <c r="CV29" s="915">
        <f t="shared" si="101"/>
        <v>0</v>
      </c>
      <c r="CW29" s="915">
        <f t="shared" si="102"/>
        <v>0</v>
      </c>
      <c r="CX29" s="915">
        <f t="shared" si="42"/>
        <v>0</v>
      </c>
      <c r="CY29" s="915">
        <f t="shared" si="43"/>
        <v>0</v>
      </c>
      <c r="CZ29" s="915">
        <f t="shared" si="44"/>
        <v>0</v>
      </c>
      <c r="DA29" s="915">
        <f t="shared" si="45"/>
        <v>0</v>
      </c>
      <c r="DB29" s="915">
        <f t="shared" si="46"/>
        <v>0</v>
      </c>
      <c r="DC29" s="915">
        <f t="shared" si="47"/>
        <v>0</v>
      </c>
      <c r="DD29" s="915">
        <f t="shared" si="48"/>
        <v>0</v>
      </c>
      <c r="DE29" s="915">
        <f t="shared" si="49"/>
        <v>0</v>
      </c>
      <c r="DF29" s="915">
        <f t="shared" si="50"/>
        <v>0</v>
      </c>
      <c r="DG29" s="915">
        <f t="shared" si="51"/>
        <v>0</v>
      </c>
      <c r="DH29" s="915">
        <f t="shared" si="103"/>
        <v>0</v>
      </c>
      <c r="DI29" s="915">
        <f t="shared" si="104"/>
        <v>0</v>
      </c>
      <c r="DJ29" s="915">
        <f t="shared" si="105"/>
        <v>0</v>
      </c>
      <c r="DK29" s="915">
        <f t="shared" si="106"/>
        <v>0</v>
      </c>
      <c r="DL29" s="915">
        <f t="shared" si="107"/>
        <v>0</v>
      </c>
      <c r="DM29" s="915">
        <f t="shared" si="108"/>
        <v>0</v>
      </c>
      <c r="DN29" s="915">
        <f t="shared" si="109"/>
        <v>0</v>
      </c>
      <c r="DO29" s="915">
        <f t="shared" si="110"/>
        <v>0</v>
      </c>
      <c r="DP29" s="915">
        <f t="shared" si="111"/>
        <v>0</v>
      </c>
      <c r="DQ29" s="915">
        <f t="shared" si="112"/>
        <v>0</v>
      </c>
      <c r="DR29" s="915">
        <f t="shared" si="52"/>
        <v>0</v>
      </c>
      <c r="DS29" s="915">
        <f t="shared" si="53"/>
        <v>0</v>
      </c>
      <c r="DT29" s="915">
        <f t="shared" si="54"/>
        <v>0</v>
      </c>
      <c r="DU29" s="915">
        <f t="shared" si="55"/>
        <v>0</v>
      </c>
      <c r="DV29" s="915">
        <f t="shared" si="56"/>
        <v>0</v>
      </c>
      <c r="DW29" s="915">
        <f t="shared" si="57"/>
        <v>0</v>
      </c>
      <c r="DX29" s="915">
        <f t="shared" si="58"/>
        <v>0</v>
      </c>
      <c r="DY29" s="915">
        <f t="shared" si="59"/>
        <v>0</v>
      </c>
      <c r="DZ29" s="915">
        <f t="shared" si="60"/>
        <v>0</v>
      </c>
      <c r="EA29" s="915">
        <f t="shared" si="61"/>
        <v>0</v>
      </c>
      <c r="EB29" s="915">
        <f t="shared" si="113"/>
        <v>0</v>
      </c>
      <c r="EC29" s="915">
        <f t="shared" si="114"/>
        <v>0</v>
      </c>
      <c r="ED29" s="915">
        <f t="shared" si="115"/>
        <v>0</v>
      </c>
      <c r="EE29" s="915">
        <f t="shared" si="116"/>
        <v>0</v>
      </c>
      <c r="EF29" s="915">
        <f t="shared" si="117"/>
        <v>0</v>
      </c>
      <c r="EG29" s="915">
        <f t="shared" si="118"/>
        <v>0</v>
      </c>
      <c r="EH29" s="915">
        <f t="shared" si="119"/>
        <v>0</v>
      </c>
      <c r="EI29" s="915">
        <f t="shared" si="120"/>
        <v>0</v>
      </c>
      <c r="EJ29" s="915">
        <f t="shared" si="121"/>
        <v>0</v>
      </c>
      <c r="EK29" s="915">
        <f t="shared" si="122"/>
        <v>0</v>
      </c>
      <c r="EL29" s="915"/>
      <c r="EN29" s="533"/>
      <c r="EQ29" s="534"/>
    </row>
    <row r="30" spans="1:147" ht="14.1" customHeight="1" x14ac:dyDescent="0.2">
      <c r="A30" s="496">
        <v>23</v>
      </c>
      <c r="B30" s="1419"/>
      <c r="C30" s="1433"/>
      <c r="D30" s="264">
        <v>3</v>
      </c>
      <c r="E30" s="264" t="s">
        <v>1245</v>
      </c>
      <c r="F30" s="270" t="s">
        <v>2544</v>
      </c>
      <c r="G30" s="271">
        <v>1</v>
      </c>
      <c r="H30" s="803">
        <v>10</v>
      </c>
      <c r="I30" s="800">
        <f t="shared" si="124"/>
        <v>0.6</v>
      </c>
      <c r="J30" s="269">
        <f t="shared" si="125"/>
        <v>10.6</v>
      </c>
      <c r="K30" s="225"/>
      <c r="L30" s="941" t="str">
        <f>TabName3 &amp; " - WATER"</f>
        <v>Phase 3 - WATER</v>
      </c>
      <c r="M30" s="942">
        <f>AR6</f>
        <v>21.2</v>
      </c>
      <c r="N30" s="949"/>
      <c r="V30" s="915">
        <f t="shared" si="3"/>
        <v>0</v>
      </c>
      <c r="W30" s="915">
        <f t="shared" si="4"/>
        <v>0</v>
      </c>
      <c r="X30" s="915">
        <f t="shared" si="5"/>
        <v>0</v>
      </c>
      <c r="Y30" s="915">
        <f t="shared" si="6"/>
        <v>0</v>
      </c>
      <c r="Z30" s="915">
        <f t="shared" si="7"/>
        <v>0</v>
      </c>
      <c r="AA30" s="915">
        <f t="shared" si="8"/>
        <v>0</v>
      </c>
      <c r="AB30" s="915">
        <f t="shared" si="9"/>
        <v>0</v>
      </c>
      <c r="AC30" s="915">
        <f t="shared" si="10"/>
        <v>0</v>
      </c>
      <c r="AD30" s="915">
        <f t="shared" si="11"/>
        <v>0</v>
      </c>
      <c r="AE30" s="915">
        <f t="shared" si="12"/>
        <v>0</v>
      </c>
      <c r="AF30" s="915">
        <f t="shared" si="63"/>
        <v>0</v>
      </c>
      <c r="AG30" s="915">
        <f t="shared" si="64"/>
        <v>0</v>
      </c>
      <c r="AH30" s="915">
        <f t="shared" si="65"/>
        <v>0</v>
      </c>
      <c r="AI30" s="915">
        <f t="shared" si="66"/>
        <v>0</v>
      </c>
      <c r="AJ30" s="915">
        <f t="shared" si="67"/>
        <v>0</v>
      </c>
      <c r="AK30" s="915">
        <f t="shared" si="68"/>
        <v>0</v>
      </c>
      <c r="AL30" s="915">
        <f t="shared" si="69"/>
        <v>0</v>
      </c>
      <c r="AM30" s="915">
        <f t="shared" si="70"/>
        <v>0</v>
      </c>
      <c r="AN30" s="915">
        <f t="shared" si="71"/>
        <v>0</v>
      </c>
      <c r="AO30" s="915">
        <f t="shared" si="72"/>
        <v>0</v>
      </c>
      <c r="AP30" s="915">
        <f t="shared" si="13"/>
        <v>0</v>
      </c>
      <c r="AQ30" s="915">
        <f t="shared" si="14"/>
        <v>0</v>
      </c>
      <c r="AR30" s="915">
        <f t="shared" si="15"/>
        <v>10.6</v>
      </c>
      <c r="AS30" s="915">
        <f t="shared" si="16"/>
        <v>0</v>
      </c>
      <c r="AT30" s="915">
        <f t="shared" si="17"/>
        <v>0</v>
      </c>
      <c r="AU30" s="915">
        <f t="shared" si="18"/>
        <v>0</v>
      </c>
      <c r="AV30" s="915">
        <f t="shared" si="19"/>
        <v>0</v>
      </c>
      <c r="AW30" s="915">
        <f t="shared" si="20"/>
        <v>0</v>
      </c>
      <c r="AX30" s="915">
        <f t="shared" si="21"/>
        <v>0</v>
      </c>
      <c r="AY30" s="915">
        <f t="shared" si="73"/>
        <v>0</v>
      </c>
      <c r="AZ30" s="915">
        <f t="shared" si="74"/>
        <v>0</v>
      </c>
      <c r="BA30" s="915">
        <f t="shared" si="75"/>
        <v>0</v>
      </c>
      <c r="BB30" s="915">
        <f t="shared" si="76"/>
        <v>0</v>
      </c>
      <c r="BC30" s="915">
        <f t="shared" si="77"/>
        <v>0</v>
      </c>
      <c r="BD30" s="915">
        <f t="shared" si="78"/>
        <v>0</v>
      </c>
      <c r="BE30" s="915">
        <f t="shared" si="79"/>
        <v>0</v>
      </c>
      <c r="BF30" s="915">
        <f t="shared" si="80"/>
        <v>0</v>
      </c>
      <c r="BG30" s="915">
        <f t="shared" si="81"/>
        <v>0</v>
      </c>
      <c r="BH30" s="915">
        <f t="shared" si="82"/>
        <v>0</v>
      </c>
      <c r="BI30" s="915">
        <f t="shared" si="83"/>
        <v>0</v>
      </c>
      <c r="BJ30" s="915">
        <f t="shared" si="22"/>
        <v>0</v>
      </c>
      <c r="BK30" s="915">
        <f t="shared" si="23"/>
        <v>0</v>
      </c>
      <c r="BL30" s="915">
        <f t="shared" si="24"/>
        <v>0</v>
      </c>
      <c r="BM30" s="915">
        <f t="shared" si="25"/>
        <v>0</v>
      </c>
      <c r="BN30" s="915">
        <f t="shared" si="26"/>
        <v>0</v>
      </c>
      <c r="BO30" s="915">
        <f t="shared" si="27"/>
        <v>0</v>
      </c>
      <c r="BP30" s="915">
        <f t="shared" si="28"/>
        <v>0</v>
      </c>
      <c r="BQ30" s="915">
        <f t="shared" si="29"/>
        <v>0</v>
      </c>
      <c r="BR30" s="915">
        <f t="shared" si="30"/>
        <v>0</v>
      </c>
      <c r="BS30" s="915">
        <f t="shared" si="31"/>
        <v>0</v>
      </c>
      <c r="BT30" s="915">
        <f t="shared" si="84"/>
        <v>0</v>
      </c>
      <c r="BU30" s="915">
        <f t="shared" si="84"/>
        <v>0</v>
      </c>
      <c r="BV30" s="915">
        <f t="shared" si="85"/>
        <v>0</v>
      </c>
      <c r="BW30" s="915">
        <f t="shared" si="86"/>
        <v>0</v>
      </c>
      <c r="BX30" s="915">
        <f t="shared" si="87"/>
        <v>0</v>
      </c>
      <c r="BY30" s="915">
        <f t="shared" si="88"/>
        <v>0</v>
      </c>
      <c r="BZ30" s="915">
        <f t="shared" si="89"/>
        <v>0</v>
      </c>
      <c r="CA30" s="915">
        <f t="shared" si="90"/>
        <v>0</v>
      </c>
      <c r="CB30" s="915">
        <f t="shared" si="91"/>
        <v>0</v>
      </c>
      <c r="CC30" s="915">
        <f t="shared" si="92"/>
        <v>0</v>
      </c>
      <c r="CD30" s="915">
        <f t="shared" si="32"/>
        <v>0</v>
      </c>
      <c r="CE30" s="915">
        <f t="shared" si="33"/>
        <v>0</v>
      </c>
      <c r="CF30" s="915">
        <f t="shared" si="34"/>
        <v>0</v>
      </c>
      <c r="CG30" s="915">
        <f t="shared" si="35"/>
        <v>0</v>
      </c>
      <c r="CH30" s="915">
        <f t="shared" si="36"/>
        <v>0</v>
      </c>
      <c r="CI30" s="915">
        <f t="shared" si="37"/>
        <v>0</v>
      </c>
      <c r="CJ30" s="915">
        <f t="shared" si="38"/>
        <v>0</v>
      </c>
      <c r="CK30" s="915">
        <f t="shared" si="39"/>
        <v>0</v>
      </c>
      <c r="CL30" s="915">
        <f t="shared" si="40"/>
        <v>0</v>
      </c>
      <c r="CM30" s="915">
        <f t="shared" si="41"/>
        <v>0</v>
      </c>
      <c r="CN30" s="915">
        <f t="shared" si="93"/>
        <v>0</v>
      </c>
      <c r="CO30" s="915">
        <f t="shared" si="94"/>
        <v>0</v>
      </c>
      <c r="CP30" s="915">
        <f t="shared" si="95"/>
        <v>0</v>
      </c>
      <c r="CQ30" s="915">
        <f t="shared" si="96"/>
        <v>0</v>
      </c>
      <c r="CR30" s="915">
        <f t="shared" si="97"/>
        <v>0</v>
      </c>
      <c r="CS30" s="915">
        <f t="shared" si="98"/>
        <v>0</v>
      </c>
      <c r="CT30" s="915">
        <f t="shared" si="99"/>
        <v>0</v>
      </c>
      <c r="CU30" s="915">
        <f t="shared" si="100"/>
        <v>0</v>
      </c>
      <c r="CV30" s="915">
        <f t="shared" si="101"/>
        <v>0</v>
      </c>
      <c r="CW30" s="915">
        <f t="shared" si="102"/>
        <v>0</v>
      </c>
      <c r="CX30" s="915">
        <f t="shared" si="42"/>
        <v>0</v>
      </c>
      <c r="CY30" s="915">
        <f t="shared" si="43"/>
        <v>0</v>
      </c>
      <c r="CZ30" s="915">
        <f t="shared" si="44"/>
        <v>0</v>
      </c>
      <c r="DA30" s="915">
        <f t="shared" si="45"/>
        <v>0</v>
      </c>
      <c r="DB30" s="915">
        <f t="shared" si="46"/>
        <v>0</v>
      </c>
      <c r="DC30" s="915">
        <f t="shared" si="47"/>
        <v>0</v>
      </c>
      <c r="DD30" s="915">
        <f t="shared" si="48"/>
        <v>0</v>
      </c>
      <c r="DE30" s="915">
        <f t="shared" si="49"/>
        <v>0</v>
      </c>
      <c r="DF30" s="915">
        <f t="shared" si="50"/>
        <v>0</v>
      </c>
      <c r="DG30" s="915">
        <f t="shared" si="51"/>
        <v>0</v>
      </c>
      <c r="DH30" s="915">
        <f t="shared" si="103"/>
        <v>0</v>
      </c>
      <c r="DI30" s="915">
        <f t="shared" si="104"/>
        <v>0</v>
      </c>
      <c r="DJ30" s="915">
        <f t="shared" si="105"/>
        <v>0</v>
      </c>
      <c r="DK30" s="915">
        <f t="shared" si="106"/>
        <v>0</v>
      </c>
      <c r="DL30" s="915">
        <f t="shared" si="107"/>
        <v>0</v>
      </c>
      <c r="DM30" s="915">
        <f t="shared" si="108"/>
        <v>0</v>
      </c>
      <c r="DN30" s="915">
        <f t="shared" si="109"/>
        <v>0</v>
      </c>
      <c r="DO30" s="915">
        <f t="shared" si="110"/>
        <v>0</v>
      </c>
      <c r="DP30" s="915">
        <f t="shared" si="111"/>
        <v>0</v>
      </c>
      <c r="DQ30" s="915">
        <f t="shared" si="112"/>
        <v>0</v>
      </c>
      <c r="DR30" s="915">
        <f t="shared" si="52"/>
        <v>0</v>
      </c>
      <c r="DS30" s="915">
        <f t="shared" si="53"/>
        <v>0</v>
      </c>
      <c r="DT30" s="915">
        <f t="shared" si="54"/>
        <v>0</v>
      </c>
      <c r="DU30" s="915">
        <f t="shared" si="55"/>
        <v>0</v>
      </c>
      <c r="DV30" s="915">
        <f t="shared" si="56"/>
        <v>0</v>
      </c>
      <c r="DW30" s="915">
        <f t="shared" si="57"/>
        <v>0</v>
      </c>
      <c r="DX30" s="915">
        <f t="shared" si="58"/>
        <v>0</v>
      </c>
      <c r="DY30" s="915">
        <f t="shared" si="59"/>
        <v>0</v>
      </c>
      <c r="DZ30" s="915">
        <f t="shared" si="60"/>
        <v>0</v>
      </c>
      <c r="EA30" s="915">
        <f t="shared" si="61"/>
        <v>0</v>
      </c>
      <c r="EB30" s="915">
        <f t="shared" si="113"/>
        <v>0</v>
      </c>
      <c r="EC30" s="915">
        <f t="shared" si="114"/>
        <v>0</v>
      </c>
      <c r="ED30" s="915">
        <f t="shared" si="115"/>
        <v>0</v>
      </c>
      <c r="EE30" s="915">
        <f t="shared" si="116"/>
        <v>0</v>
      </c>
      <c r="EF30" s="915">
        <f t="shared" si="117"/>
        <v>0</v>
      </c>
      <c r="EG30" s="915">
        <f t="shared" si="118"/>
        <v>0</v>
      </c>
      <c r="EH30" s="915">
        <f t="shared" si="119"/>
        <v>0</v>
      </c>
      <c r="EI30" s="915">
        <f t="shared" si="120"/>
        <v>0</v>
      </c>
      <c r="EJ30" s="915">
        <f t="shared" si="121"/>
        <v>0</v>
      </c>
      <c r="EK30" s="915">
        <f t="shared" si="122"/>
        <v>0</v>
      </c>
      <c r="EL30" s="915"/>
      <c r="EN30" s="533"/>
      <c r="EQ30" s="534"/>
    </row>
    <row r="31" spans="1:147" ht="14.1" customHeight="1" x14ac:dyDescent="0.2">
      <c r="A31" s="497">
        <v>24</v>
      </c>
      <c r="B31" s="1423"/>
      <c r="C31" s="1424"/>
      <c r="D31" s="1020">
        <v>4</v>
      </c>
      <c r="E31" s="138" t="s">
        <v>1245</v>
      </c>
      <c r="F31" s="139" t="s">
        <v>2544</v>
      </c>
      <c r="G31" s="91">
        <v>1</v>
      </c>
      <c r="H31" s="802">
        <v>10</v>
      </c>
      <c r="I31" s="801">
        <f t="shared" si="124"/>
        <v>0.6</v>
      </c>
      <c r="J31" s="1021">
        <f t="shared" si="125"/>
        <v>10.6</v>
      </c>
      <c r="K31" s="225"/>
      <c r="L31" s="941" t="str">
        <f>TabName4 &amp; " - WATER"</f>
        <v>Phase 4 - WATER</v>
      </c>
      <c r="M31" s="942">
        <f>AS6</f>
        <v>21.2</v>
      </c>
      <c r="N31" s="950"/>
      <c r="V31" s="915">
        <f t="shared" si="3"/>
        <v>0</v>
      </c>
      <c r="W31" s="915">
        <f t="shared" si="4"/>
        <v>0</v>
      </c>
      <c r="X31" s="915">
        <f t="shared" si="5"/>
        <v>0</v>
      </c>
      <c r="Y31" s="915">
        <f t="shared" si="6"/>
        <v>0</v>
      </c>
      <c r="Z31" s="915">
        <f t="shared" si="7"/>
        <v>0</v>
      </c>
      <c r="AA31" s="915">
        <f t="shared" si="8"/>
        <v>0</v>
      </c>
      <c r="AB31" s="915">
        <f t="shared" si="9"/>
        <v>0</v>
      </c>
      <c r="AC31" s="915">
        <f t="shared" si="10"/>
        <v>0</v>
      </c>
      <c r="AD31" s="915">
        <f t="shared" si="11"/>
        <v>0</v>
      </c>
      <c r="AE31" s="915">
        <f t="shared" si="12"/>
        <v>0</v>
      </c>
      <c r="AF31" s="915">
        <f t="shared" si="63"/>
        <v>0</v>
      </c>
      <c r="AG31" s="915">
        <f t="shared" si="64"/>
        <v>0</v>
      </c>
      <c r="AH31" s="915">
        <f t="shared" si="65"/>
        <v>0</v>
      </c>
      <c r="AI31" s="915">
        <f t="shared" si="66"/>
        <v>0</v>
      </c>
      <c r="AJ31" s="915">
        <f t="shared" si="67"/>
        <v>0</v>
      </c>
      <c r="AK31" s="915">
        <f t="shared" si="68"/>
        <v>0</v>
      </c>
      <c r="AL31" s="915">
        <f t="shared" si="69"/>
        <v>0</v>
      </c>
      <c r="AM31" s="915">
        <f t="shared" si="70"/>
        <v>0</v>
      </c>
      <c r="AN31" s="915">
        <f t="shared" si="71"/>
        <v>0</v>
      </c>
      <c r="AO31" s="915">
        <f t="shared" si="72"/>
        <v>0</v>
      </c>
      <c r="AP31" s="915">
        <f t="shared" si="13"/>
        <v>0</v>
      </c>
      <c r="AQ31" s="915">
        <f t="shared" si="14"/>
        <v>0</v>
      </c>
      <c r="AR31" s="915">
        <f t="shared" si="15"/>
        <v>0</v>
      </c>
      <c r="AS31" s="915">
        <f t="shared" si="16"/>
        <v>10.6</v>
      </c>
      <c r="AT31" s="915">
        <f t="shared" si="17"/>
        <v>0</v>
      </c>
      <c r="AU31" s="915">
        <f t="shared" si="18"/>
        <v>0</v>
      </c>
      <c r="AV31" s="915">
        <f t="shared" si="19"/>
        <v>0</v>
      </c>
      <c r="AW31" s="915">
        <f t="shared" si="20"/>
        <v>0</v>
      </c>
      <c r="AX31" s="915">
        <f t="shared" si="21"/>
        <v>0</v>
      </c>
      <c r="AY31" s="915">
        <f t="shared" si="73"/>
        <v>0</v>
      </c>
      <c r="AZ31" s="915">
        <f t="shared" si="74"/>
        <v>0</v>
      </c>
      <c r="BA31" s="915">
        <f t="shared" si="75"/>
        <v>0</v>
      </c>
      <c r="BB31" s="915">
        <f t="shared" si="76"/>
        <v>0</v>
      </c>
      <c r="BC31" s="915">
        <f t="shared" si="77"/>
        <v>0</v>
      </c>
      <c r="BD31" s="915">
        <f t="shared" si="78"/>
        <v>0</v>
      </c>
      <c r="BE31" s="915">
        <f t="shared" si="79"/>
        <v>0</v>
      </c>
      <c r="BF31" s="915">
        <f t="shared" si="80"/>
        <v>0</v>
      </c>
      <c r="BG31" s="915">
        <f t="shared" si="81"/>
        <v>0</v>
      </c>
      <c r="BH31" s="915">
        <f t="shared" si="82"/>
        <v>0</v>
      </c>
      <c r="BI31" s="915">
        <f t="shared" si="83"/>
        <v>0</v>
      </c>
      <c r="BJ31" s="915">
        <f t="shared" si="22"/>
        <v>0</v>
      </c>
      <c r="BK31" s="915">
        <f t="shared" si="23"/>
        <v>0</v>
      </c>
      <c r="BL31" s="915">
        <f t="shared" si="24"/>
        <v>0</v>
      </c>
      <c r="BM31" s="915">
        <f t="shared" si="25"/>
        <v>0</v>
      </c>
      <c r="BN31" s="915">
        <f t="shared" si="26"/>
        <v>0</v>
      </c>
      <c r="BO31" s="915">
        <f t="shared" si="27"/>
        <v>0</v>
      </c>
      <c r="BP31" s="915">
        <f t="shared" si="28"/>
        <v>0</v>
      </c>
      <c r="BQ31" s="915">
        <f t="shared" si="29"/>
        <v>0</v>
      </c>
      <c r="BR31" s="915">
        <f t="shared" si="30"/>
        <v>0</v>
      </c>
      <c r="BS31" s="915">
        <f t="shared" si="31"/>
        <v>0</v>
      </c>
      <c r="BT31" s="915">
        <f t="shared" si="84"/>
        <v>0</v>
      </c>
      <c r="BU31" s="915">
        <f t="shared" si="84"/>
        <v>0</v>
      </c>
      <c r="BV31" s="915">
        <f t="shared" si="85"/>
        <v>0</v>
      </c>
      <c r="BW31" s="915">
        <f t="shared" si="86"/>
        <v>0</v>
      </c>
      <c r="BX31" s="915">
        <f t="shared" si="87"/>
        <v>0</v>
      </c>
      <c r="BY31" s="915">
        <f t="shared" si="88"/>
        <v>0</v>
      </c>
      <c r="BZ31" s="915">
        <f t="shared" si="89"/>
        <v>0</v>
      </c>
      <c r="CA31" s="915">
        <f t="shared" si="90"/>
        <v>0</v>
      </c>
      <c r="CB31" s="915">
        <f t="shared" si="91"/>
        <v>0</v>
      </c>
      <c r="CC31" s="915">
        <f t="shared" si="92"/>
        <v>0</v>
      </c>
      <c r="CD31" s="915">
        <f t="shared" si="32"/>
        <v>0</v>
      </c>
      <c r="CE31" s="915">
        <f t="shared" si="33"/>
        <v>0</v>
      </c>
      <c r="CF31" s="915">
        <f t="shared" si="34"/>
        <v>0</v>
      </c>
      <c r="CG31" s="915">
        <f t="shared" si="35"/>
        <v>0</v>
      </c>
      <c r="CH31" s="915">
        <f t="shared" si="36"/>
        <v>0</v>
      </c>
      <c r="CI31" s="915">
        <f t="shared" si="37"/>
        <v>0</v>
      </c>
      <c r="CJ31" s="915">
        <f t="shared" si="38"/>
        <v>0</v>
      </c>
      <c r="CK31" s="915">
        <f t="shared" si="39"/>
        <v>0</v>
      </c>
      <c r="CL31" s="915">
        <f t="shared" si="40"/>
        <v>0</v>
      </c>
      <c r="CM31" s="915">
        <f t="shared" si="41"/>
        <v>0</v>
      </c>
      <c r="CN31" s="915">
        <f t="shared" si="93"/>
        <v>0</v>
      </c>
      <c r="CO31" s="915">
        <f t="shared" si="94"/>
        <v>0</v>
      </c>
      <c r="CP31" s="915">
        <f t="shared" si="95"/>
        <v>0</v>
      </c>
      <c r="CQ31" s="915">
        <f t="shared" si="96"/>
        <v>0</v>
      </c>
      <c r="CR31" s="915">
        <f t="shared" si="97"/>
        <v>0</v>
      </c>
      <c r="CS31" s="915">
        <f t="shared" si="98"/>
        <v>0</v>
      </c>
      <c r="CT31" s="915">
        <f t="shared" si="99"/>
        <v>0</v>
      </c>
      <c r="CU31" s="915">
        <f t="shared" si="100"/>
        <v>0</v>
      </c>
      <c r="CV31" s="915">
        <f t="shared" si="101"/>
        <v>0</v>
      </c>
      <c r="CW31" s="915">
        <f t="shared" si="102"/>
        <v>0</v>
      </c>
      <c r="CX31" s="915">
        <f t="shared" si="42"/>
        <v>0</v>
      </c>
      <c r="CY31" s="915">
        <f t="shared" si="43"/>
        <v>0</v>
      </c>
      <c r="CZ31" s="915">
        <f t="shared" si="44"/>
        <v>0</v>
      </c>
      <c r="DA31" s="915">
        <f t="shared" si="45"/>
        <v>0</v>
      </c>
      <c r="DB31" s="915">
        <f t="shared" si="46"/>
        <v>0</v>
      </c>
      <c r="DC31" s="915">
        <f t="shared" si="47"/>
        <v>0</v>
      </c>
      <c r="DD31" s="915">
        <f t="shared" si="48"/>
        <v>0</v>
      </c>
      <c r="DE31" s="915">
        <f t="shared" si="49"/>
        <v>0</v>
      </c>
      <c r="DF31" s="915">
        <f t="shared" si="50"/>
        <v>0</v>
      </c>
      <c r="DG31" s="915">
        <f t="shared" si="51"/>
        <v>0</v>
      </c>
      <c r="DH31" s="915">
        <f t="shared" si="103"/>
        <v>0</v>
      </c>
      <c r="DI31" s="915">
        <f t="shared" si="104"/>
        <v>0</v>
      </c>
      <c r="DJ31" s="915">
        <f t="shared" si="105"/>
        <v>0</v>
      </c>
      <c r="DK31" s="915">
        <f t="shared" si="106"/>
        <v>0</v>
      </c>
      <c r="DL31" s="915">
        <f t="shared" si="107"/>
        <v>0</v>
      </c>
      <c r="DM31" s="915">
        <f t="shared" si="108"/>
        <v>0</v>
      </c>
      <c r="DN31" s="915">
        <f t="shared" si="109"/>
        <v>0</v>
      </c>
      <c r="DO31" s="915">
        <f t="shared" si="110"/>
        <v>0</v>
      </c>
      <c r="DP31" s="915">
        <f t="shared" si="111"/>
        <v>0</v>
      </c>
      <c r="DQ31" s="915">
        <f t="shared" si="112"/>
        <v>0</v>
      </c>
      <c r="DR31" s="915">
        <f t="shared" si="52"/>
        <v>0</v>
      </c>
      <c r="DS31" s="915">
        <f t="shared" si="53"/>
        <v>0</v>
      </c>
      <c r="DT31" s="915">
        <f t="shared" si="54"/>
        <v>0</v>
      </c>
      <c r="DU31" s="915">
        <f t="shared" si="55"/>
        <v>0</v>
      </c>
      <c r="DV31" s="915">
        <f t="shared" si="56"/>
        <v>0</v>
      </c>
      <c r="DW31" s="915">
        <f t="shared" si="57"/>
        <v>0</v>
      </c>
      <c r="DX31" s="915">
        <f t="shared" si="58"/>
        <v>0</v>
      </c>
      <c r="DY31" s="915">
        <f t="shared" si="59"/>
        <v>0</v>
      </c>
      <c r="DZ31" s="915">
        <f t="shared" si="60"/>
        <v>0</v>
      </c>
      <c r="EA31" s="915">
        <f t="shared" si="61"/>
        <v>0</v>
      </c>
      <c r="EB31" s="915">
        <f t="shared" si="113"/>
        <v>0</v>
      </c>
      <c r="EC31" s="915">
        <f t="shared" si="114"/>
        <v>0</v>
      </c>
      <c r="ED31" s="915">
        <f t="shared" si="115"/>
        <v>0</v>
      </c>
      <c r="EE31" s="915">
        <f t="shared" si="116"/>
        <v>0</v>
      </c>
      <c r="EF31" s="915">
        <f t="shared" si="117"/>
        <v>0</v>
      </c>
      <c r="EG31" s="915">
        <f t="shared" si="118"/>
        <v>0</v>
      </c>
      <c r="EH31" s="915">
        <f t="shared" si="119"/>
        <v>0</v>
      </c>
      <c r="EI31" s="915">
        <f t="shared" si="120"/>
        <v>0</v>
      </c>
      <c r="EJ31" s="915">
        <f t="shared" si="121"/>
        <v>0</v>
      </c>
      <c r="EK31" s="915">
        <f t="shared" si="122"/>
        <v>0</v>
      </c>
      <c r="EL31" s="915"/>
      <c r="EN31" s="533"/>
      <c r="EQ31" s="534"/>
    </row>
    <row r="32" spans="1:147" ht="14.1" customHeight="1" x14ac:dyDescent="0.2">
      <c r="A32" s="496">
        <v>25</v>
      </c>
      <c r="B32" s="1419"/>
      <c r="C32" s="1420"/>
      <c r="D32" s="264">
        <v>5</v>
      </c>
      <c r="E32" s="264" t="s">
        <v>1245</v>
      </c>
      <c r="F32" s="270" t="s">
        <v>2544</v>
      </c>
      <c r="G32" s="271">
        <v>1</v>
      </c>
      <c r="H32" s="803">
        <v>10</v>
      </c>
      <c r="I32" s="800">
        <f t="shared" ref="I32:I44" si="126">IF(OR(LEFT(E32,1)="I",LEFT(E32,1)="U"),0,IF(ISTEXT(K32),0,StateTaxLab*G32*H32))</f>
        <v>0.6</v>
      </c>
      <c r="J32" s="269">
        <f t="shared" ref="J32:J44" si="127">(G32*H32)+I32</f>
        <v>10.6</v>
      </c>
      <c r="K32" s="225"/>
      <c r="L32" s="941" t="str">
        <f>TabName5 &amp; " - WATER"</f>
        <v>Phase 5 - WATER</v>
      </c>
      <c r="M32" s="942">
        <f>AT6</f>
        <v>21.2</v>
      </c>
      <c r="N32" s="949"/>
      <c r="V32" s="915">
        <f t="shared" si="3"/>
        <v>0</v>
      </c>
      <c r="W32" s="915">
        <f t="shared" si="4"/>
        <v>0</v>
      </c>
      <c r="X32" s="915">
        <f t="shared" si="5"/>
        <v>0</v>
      </c>
      <c r="Y32" s="915">
        <f t="shared" si="6"/>
        <v>0</v>
      </c>
      <c r="Z32" s="915">
        <f t="shared" si="7"/>
        <v>0</v>
      </c>
      <c r="AA32" s="915">
        <f t="shared" si="8"/>
        <v>0</v>
      </c>
      <c r="AB32" s="915">
        <f t="shared" si="9"/>
        <v>0</v>
      </c>
      <c r="AC32" s="915">
        <f t="shared" si="10"/>
        <v>0</v>
      </c>
      <c r="AD32" s="915">
        <f t="shared" si="11"/>
        <v>0</v>
      </c>
      <c r="AE32" s="915">
        <f t="shared" si="12"/>
        <v>0</v>
      </c>
      <c r="AF32" s="915">
        <f t="shared" si="63"/>
        <v>0</v>
      </c>
      <c r="AG32" s="915">
        <f t="shared" si="64"/>
        <v>0</v>
      </c>
      <c r="AH32" s="915">
        <f t="shared" si="65"/>
        <v>0</v>
      </c>
      <c r="AI32" s="915">
        <f t="shared" si="66"/>
        <v>0</v>
      </c>
      <c r="AJ32" s="915">
        <f t="shared" si="67"/>
        <v>0</v>
      </c>
      <c r="AK32" s="915">
        <f t="shared" si="68"/>
        <v>0</v>
      </c>
      <c r="AL32" s="915">
        <f t="shared" si="69"/>
        <v>0</v>
      </c>
      <c r="AM32" s="915">
        <f t="shared" si="70"/>
        <v>0</v>
      </c>
      <c r="AN32" s="915">
        <f t="shared" si="71"/>
        <v>0</v>
      </c>
      <c r="AO32" s="915">
        <f t="shared" si="72"/>
        <v>0</v>
      </c>
      <c r="AP32" s="915">
        <f t="shared" si="13"/>
        <v>0</v>
      </c>
      <c r="AQ32" s="915">
        <f t="shared" si="14"/>
        <v>0</v>
      </c>
      <c r="AR32" s="915">
        <f t="shared" si="15"/>
        <v>0</v>
      </c>
      <c r="AS32" s="915">
        <f t="shared" si="16"/>
        <v>0</v>
      </c>
      <c r="AT32" s="915">
        <f t="shared" si="17"/>
        <v>10.6</v>
      </c>
      <c r="AU32" s="915">
        <f t="shared" si="18"/>
        <v>0</v>
      </c>
      <c r="AV32" s="915">
        <f t="shared" si="19"/>
        <v>0</v>
      </c>
      <c r="AW32" s="915">
        <f t="shared" si="20"/>
        <v>0</v>
      </c>
      <c r="AX32" s="915">
        <f t="shared" si="21"/>
        <v>0</v>
      </c>
      <c r="AY32" s="915">
        <f t="shared" si="73"/>
        <v>0</v>
      </c>
      <c r="AZ32" s="915">
        <f t="shared" si="74"/>
        <v>0</v>
      </c>
      <c r="BA32" s="915">
        <f t="shared" si="75"/>
        <v>0</v>
      </c>
      <c r="BB32" s="915">
        <f t="shared" si="76"/>
        <v>0</v>
      </c>
      <c r="BC32" s="915">
        <f t="shared" si="77"/>
        <v>0</v>
      </c>
      <c r="BD32" s="915">
        <f t="shared" si="78"/>
        <v>0</v>
      </c>
      <c r="BE32" s="915">
        <f t="shared" si="79"/>
        <v>0</v>
      </c>
      <c r="BF32" s="915">
        <f t="shared" si="80"/>
        <v>0</v>
      </c>
      <c r="BG32" s="915">
        <f t="shared" si="81"/>
        <v>0</v>
      </c>
      <c r="BH32" s="915">
        <f t="shared" si="82"/>
        <v>0</v>
      </c>
      <c r="BI32" s="915">
        <f t="shared" si="83"/>
        <v>0</v>
      </c>
      <c r="BJ32" s="915">
        <f t="shared" si="22"/>
        <v>0</v>
      </c>
      <c r="BK32" s="915">
        <f t="shared" si="23"/>
        <v>0</v>
      </c>
      <c r="BL32" s="915">
        <f t="shared" si="24"/>
        <v>0</v>
      </c>
      <c r="BM32" s="915">
        <f t="shared" si="25"/>
        <v>0</v>
      </c>
      <c r="BN32" s="915">
        <f t="shared" si="26"/>
        <v>0</v>
      </c>
      <c r="BO32" s="915">
        <f t="shared" si="27"/>
        <v>0</v>
      </c>
      <c r="BP32" s="915">
        <f t="shared" si="28"/>
        <v>0</v>
      </c>
      <c r="BQ32" s="915">
        <f t="shared" si="29"/>
        <v>0</v>
      </c>
      <c r="BR32" s="915">
        <f t="shared" si="30"/>
        <v>0</v>
      </c>
      <c r="BS32" s="915">
        <f t="shared" si="31"/>
        <v>0</v>
      </c>
      <c r="BT32" s="915">
        <f t="shared" si="84"/>
        <v>0</v>
      </c>
      <c r="BU32" s="915">
        <f t="shared" si="84"/>
        <v>0</v>
      </c>
      <c r="BV32" s="915">
        <f t="shared" si="85"/>
        <v>0</v>
      </c>
      <c r="BW32" s="915">
        <f t="shared" si="86"/>
        <v>0</v>
      </c>
      <c r="BX32" s="915">
        <f t="shared" si="87"/>
        <v>0</v>
      </c>
      <c r="BY32" s="915">
        <f t="shared" si="88"/>
        <v>0</v>
      </c>
      <c r="BZ32" s="915">
        <f t="shared" si="89"/>
        <v>0</v>
      </c>
      <c r="CA32" s="915">
        <f t="shared" si="90"/>
        <v>0</v>
      </c>
      <c r="CB32" s="915">
        <f t="shared" si="91"/>
        <v>0</v>
      </c>
      <c r="CC32" s="915">
        <f t="shared" si="92"/>
        <v>0</v>
      </c>
      <c r="CD32" s="915">
        <f t="shared" si="32"/>
        <v>0</v>
      </c>
      <c r="CE32" s="915">
        <f t="shared" si="33"/>
        <v>0</v>
      </c>
      <c r="CF32" s="915">
        <f t="shared" si="34"/>
        <v>0</v>
      </c>
      <c r="CG32" s="915">
        <f t="shared" si="35"/>
        <v>0</v>
      </c>
      <c r="CH32" s="915">
        <f t="shared" si="36"/>
        <v>0</v>
      </c>
      <c r="CI32" s="915">
        <f t="shared" si="37"/>
        <v>0</v>
      </c>
      <c r="CJ32" s="915">
        <f t="shared" si="38"/>
        <v>0</v>
      </c>
      <c r="CK32" s="915">
        <f t="shared" si="39"/>
        <v>0</v>
      </c>
      <c r="CL32" s="915">
        <f t="shared" si="40"/>
        <v>0</v>
      </c>
      <c r="CM32" s="915">
        <f t="shared" si="41"/>
        <v>0</v>
      </c>
      <c r="CN32" s="915">
        <f t="shared" si="93"/>
        <v>0</v>
      </c>
      <c r="CO32" s="915">
        <f t="shared" si="94"/>
        <v>0</v>
      </c>
      <c r="CP32" s="915">
        <f t="shared" si="95"/>
        <v>0</v>
      </c>
      <c r="CQ32" s="915">
        <f t="shared" si="96"/>
        <v>0</v>
      </c>
      <c r="CR32" s="915">
        <f t="shared" si="97"/>
        <v>0</v>
      </c>
      <c r="CS32" s="915">
        <f t="shared" si="98"/>
        <v>0</v>
      </c>
      <c r="CT32" s="915">
        <f t="shared" si="99"/>
        <v>0</v>
      </c>
      <c r="CU32" s="915">
        <f t="shared" si="100"/>
        <v>0</v>
      </c>
      <c r="CV32" s="915">
        <f t="shared" si="101"/>
        <v>0</v>
      </c>
      <c r="CW32" s="915">
        <f t="shared" si="102"/>
        <v>0</v>
      </c>
      <c r="CX32" s="915">
        <f t="shared" si="42"/>
        <v>0</v>
      </c>
      <c r="CY32" s="915">
        <f t="shared" si="43"/>
        <v>0</v>
      </c>
      <c r="CZ32" s="915">
        <f t="shared" si="44"/>
        <v>0</v>
      </c>
      <c r="DA32" s="915">
        <f t="shared" si="45"/>
        <v>0</v>
      </c>
      <c r="DB32" s="915">
        <f t="shared" si="46"/>
        <v>0</v>
      </c>
      <c r="DC32" s="915">
        <f t="shared" si="47"/>
        <v>0</v>
      </c>
      <c r="DD32" s="915">
        <f t="shared" si="48"/>
        <v>0</v>
      </c>
      <c r="DE32" s="915">
        <f t="shared" si="49"/>
        <v>0</v>
      </c>
      <c r="DF32" s="915">
        <f t="shared" si="50"/>
        <v>0</v>
      </c>
      <c r="DG32" s="915">
        <f t="shared" si="51"/>
        <v>0</v>
      </c>
      <c r="DH32" s="915">
        <f t="shared" si="103"/>
        <v>0</v>
      </c>
      <c r="DI32" s="915">
        <f t="shared" si="104"/>
        <v>0</v>
      </c>
      <c r="DJ32" s="915">
        <f t="shared" si="105"/>
        <v>0</v>
      </c>
      <c r="DK32" s="915">
        <f t="shared" si="106"/>
        <v>0</v>
      </c>
      <c r="DL32" s="915">
        <f t="shared" si="107"/>
        <v>0</v>
      </c>
      <c r="DM32" s="915">
        <f t="shared" si="108"/>
        <v>0</v>
      </c>
      <c r="DN32" s="915">
        <f t="shared" si="109"/>
        <v>0</v>
      </c>
      <c r="DO32" s="915">
        <f t="shared" si="110"/>
        <v>0</v>
      </c>
      <c r="DP32" s="915">
        <f t="shared" si="111"/>
        <v>0</v>
      </c>
      <c r="DQ32" s="915">
        <f t="shared" si="112"/>
        <v>0</v>
      </c>
      <c r="DR32" s="915">
        <f t="shared" si="52"/>
        <v>0</v>
      </c>
      <c r="DS32" s="915">
        <f t="shared" si="53"/>
        <v>0</v>
      </c>
      <c r="DT32" s="915">
        <f t="shared" si="54"/>
        <v>0</v>
      </c>
      <c r="DU32" s="915">
        <f t="shared" si="55"/>
        <v>0</v>
      </c>
      <c r="DV32" s="915">
        <f t="shared" si="56"/>
        <v>0</v>
      </c>
      <c r="DW32" s="915">
        <f t="shared" si="57"/>
        <v>0</v>
      </c>
      <c r="DX32" s="915">
        <f t="shared" si="58"/>
        <v>0</v>
      </c>
      <c r="DY32" s="915">
        <f t="shared" si="59"/>
        <v>0</v>
      </c>
      <c r="DZ32" s="915">
        <f t="shared" si="60"/>
        <v>0</v>
      </c>
      <c r="EA32" s="915">
        <f t="shared" si="61"/>
        <v>0</v>
      </c>
      <c r="EB32" s="915">
        <f t="shared" si="113"/>
        <v>0</v>
      </c>
      <c r="EC32" s="915">
        <f t="shared" si="114"/>
        <v>0</v>
      </c>
      <c r="ED32" s="915">
        <f t="shared" si="115"/>
        <v>0</v>
      </c>
      <c r="EE32" s="915">
        <f t="shared" si="116"/>
        <v>0</v>
      </c>
      <c r="EF32" s="915">
        <f t="shared" si="117"/>
        <v>0</v>
      </c>
      <c r="EG32" s="915">
        <f t="shared" si="118"/>
        <v>0</v>
      </c>
      <c r="EH32" s="915">
        <f t="shared" si="119"/>
        <v>0</v>
      </c>
      <c r="EI32" s="915">
        <f t="shared" si="120"/>
        <v>0</v>
      </c>
      <c r="EJ32" s="915">
        <f t="shared" si="121"/>
        <v>0</v>
      </c>
      <c r="EK32" s="915">
        <f t="shared" si="122"/>
        <v>0</v>
      </c>
      <c r="EL32" s="915"/>
      <c r="EN32" s="533"/>
      <c r="EQ32" s="534"/>
    </row>
    <row r="33" spans="1:147" ht="14.1" customHeight="1" x14ac:dyDescent="0.2">
      <c r="A33" s="497">
        <v>26</v>
      </c>
      <c r="B33" s="1423"/>
      <c r="C33" s="1431"/>
      <c r="D33" s="1020">
        <v>6</v>
      </c>
      <c r="E33" s="138" t="s">
        <v>1245</v>
      </c>
      <c r="F33" s="139" t="s">
        <v>2544</v>
      </c>
      <c r="G33" s="91">
        <v>1</v>
      </c>
      <c r="H33" s="802">
        <v>10</v>
      </c>
      <c r="I33" s="801">
        <f t="shared" si="126"/>
        <v>0.6</v>
      </c>
      <c r="J33" s="1021">
        <f t="shared" si="127"/>
        <v>10.6</v>
      </c>
      <c r="K33" s="225"/>
      <c r="L33" s="941" t="str">
        <f>TabName6 &amp; " - WATER"</f>
        <v>Phase 6 - WATER</v>
      </c>
      <c r="M33" s="942">
        <f>AU6</f>
        <v>21.2</v>
      </c>
      <c r="N33" s="949"/>
      <c r="V33" s="915">
        <f t="shared" si="3"/>
        <v>0</v>
      </c>
      <c r="W33" s="915">
        <f t="shared" si="4"/>
        <v>0</v>
      </c>
      <c r="X33" s="915">
        <f t="shared" si="5"/>
        <v>0</v>
      </c>
      <c r="Y33" s="915">
        <f t="shared" si="6"/>
        <v>0</v>
      </c>
      <c r="Z33" s="915">
        <f t="shared" si="7"/>
        <v>0</v>
      </c>
      <c r="AA33" s="915">
        <f t="shared" si="8"/>
        <v>0</v>
      </c>
      <c r="AB33" s="915">
        <f t="shared" si="9"/>
        <v>0</v>
      </c>
      <c r="AC33" s="915">
        <f t="shared" si="10"/>
        <v>0</v>
      </c>
      <c r="AD33" s="915">
        <f t="shared" si="11"/>
        <v>0</v>
      </c>
      <c r="AE33" s="915">
        <f t="shared" si="12"/>
        <v>0</v>
      </c>
      <c r="AF33" s="915">
        <f t="shared" si="63"/>
        <v>0</v>
      </c>
      <c r="AG33" s="915">
        <f t="shared" si="64"/>
        <v>0</v>
      </c>
      <c r="AH33" s="915">
        <f t="shared" si="65"/>
        <v>0</v>
      </c>
      <c r="AI33" s="915">
        <f t="shared" si="66"/>
        <v>0</v>
      </c>
      <c r="AJ33" s="915">
        <f t="shared" si="67"/>
        <v>0</v>
      </c>
      <c r="AK33" s="915">
        <f t="shared" si="68"/>
        <v>0</v>
      </c>
      <c r="AL33" s="915">
        <f t="shared" si="69"/>
        <v>0</v>
      </c>
      <c r="AM33" s="915">
        <f t="shared" si="70"/>
        <v>0</v>
      </c>
      <c r="AN33" s="915">
        <f t="shared" si="71"/>
        <v>0</v>
      </c>
      <c r="AO33" s="915">
        <f t="shared" si="72"/>
        <v>0</v>
      </c>
      <c r="AP33" s="915">
        <f t="shared" si="13"/>
        <v>0</v>
      </c>
      <c r="AQ33" s="915">
        <f t="shared" si="14"/>
        <v>0</v>
      </c>
      <c r="AR33" s="915">
        <f t="shared" si="15"/>
        <v>0</v>
      </c>
      <c r="AS33" s="915">
        <f t="shared" si="16"/>
        <v>0</v>
      </c>
      <c r="AT33" s="915">
        <f t="shared" si="17"/>
        <v>0</v>
      </c>
      <c r="AU33" s="915">
        <f t="shared" si="18"/>
        <v>10.6</v>
      </c>
      <c r="AV33" s="915">
        <f t="shared" si="19"/>
        <v>0</v>
      </c>
      <c r="AW33" s="915">
        <f t="shared" si="20"/>
        <v>0</v>
      </c>
      <c r="AX33" s="915">
        <f t="shared" si="21"/>
        <v>0</v>
      </c>
      <c r="AY33" s="915">
        <f t="shared" si="73"/>
        <v>0</v>
      </c>
      <c r="AZ33" s="915">
        <f t="shared" si="74"/>
        <v>0</v>
      </c>
      <c r="BA33" s="915">
        <f t="shared" si="75"/>
        <v>0</v>
      </c>
      <c r="BB33" s="915">
        <f t="shared" si="76"/>
        <v>0</v>
      </c>
      <c r="BC33" s="915">
        <f t="shared" si="77"/>
        <v>0</v>
      </c>
      <c r="BD33" s="915">
        <f t="shared" si="78"/>
        <v>0</v>
      </c>
      <c r="BE33" s="915">
        <f t="shared" si="79"/>
        <v>0</v>
      </c>
      <c r="BF33" s="915">
        <f t="shared" si="80"/>
        <v>0</v>
      </c>
      <c r="BG33" s="915">
        <f t="shared" si="81"/>
        <v>0</v>
      </c>
      <c r="BH33" s="915">
        <f t="shared" si="82"/>
        <v>0</v>
      </c>
      <c r="BI33" s="915">
        <f t="shared" si="83"/>
        <v>0</v>
      </c>
      <c r="BJ33" s="915">
        <f t="shared" si="22"/>
        <v>0</v>
      </c>
      <c r="BK33" s="915">
        <f t="shared" si="23"/>
        <v>0</v>
      </c>
      <c r="BL33" s="915">
        <f t="shared" si="24"/>
        <v>0</v>
      </c>
      <c r="BM33" s="915">
        <f t="shared" si="25"/>
        <v>0</v>
      </c>
      <c r="BN33" s="915">
        <f t="shared" si="26"/>
        <v>0</v>
      </c>
      <c r="BO33" s="915">
        <f t="shared" si="27"/>
        <v>0</v>
      </c>
      <c r="BP33" s="915">
        <f t="shared" si="28"/>
        <v>0</v>
      </c>
      <c r="BQ33" s="915">
        <f t="shared" si="29"/>
        <v>0</v>
      </c>
      <c r="BR33" s="915">
        <f t="shared" si="30"/>
        <v>0</v>
      </c>
      <c r="BS33" s="915">
        <f t="shared" si="31"/>
        <v>0</v>
      </c>
      <c r="BT33" s="915">
        <f t="shared" si="84"/>
        <v>0</v>
      </c>
      <c r="BU33" s="915">
        <f t="shared" si="84"/>
        <v>0</v>
      </c>
      <c r="BV33" s="915">
        <f t="shared" si="85"/>
        <v>0</v>
      </c>
      <c r="BW33" s="915">
        <f t="shared" si="86"/>
        <v>0</v>
      </c>
      <c r="BX33" s="915">
        <f t="shared" si="87"/>
        <v>0</v>
      </c>
      <c r="BY33" s="915">
        <f t="shared" si="88"/>
        <v>0</v>
      </c>
      <c r="BZ33" s="915">
        <f t="shared" si="89"/>
        <v>0</v>
      </c>
      <c r="CA33" s="915">
        <f t="shared" si="90"/>
        <v>0</v>
      </c>
      <c r="CB33" s="915">
        <f t="shared" si="91"/>
        <v>0</v>
      </c>
      <c r="CC33" s="915">
        <f t="shared" si="92"/>
        <v>0</v>
      </c>
      <c r="CD33" s="915">
        <f t="shared" si="32"/>
        <v>0</v>
      </c>
      <c r="CE33" s="915">
        <f t="shared" si="33"/>
        <v>0</v>
      </c>
      <c r="CF33" s="915">
        <f t="shared" si="34"/>
        <v>0</v>
      </c>
      <c r="CG33" s="915">
        <f t="shared" si="35"/>
        <v>0</v>
      </c>
      <c r="CH33" s="915">
        <f t="shared" si="36"/>
        <v>0</v>
      </c>
      <c r="CI33" s="915">
        <f t="shared" si="37"/>
        <v>0</v>
      </c>
      <c r="CJ33" s="915">
        <f t="shared" si="38"/>
        <v>0</v>
      </c>
      <c r="CK33" s="915">
        <f t="shared" si="39"/>
        <v>0</v>
      </c>
      <c r="CL33" s="915">
        <f t="shared" si="40"/>
        <v>0</v>
      </c>
      <c r="CM33" s="915">
        <f t="shared" si="41"/>
        <v>0</v>
      </c>
      <c r="CN33" s="915">
        <f t="shared" si="93"/>
        <v>0</v>
      </c>
      <c r="CO33" s="915">
        <f t="shared" si="94"/>
        <v>0</v>
      </c>
      <c r="CP33" s="915">
        <f t="shared" si="95"/>
        <v>0</v>
      </c>
      <c r="CQ33" s="915">
        <f t="shared" si="96"/>
        <v>0</v>
      </c>
      <c r="CR33" s="915">
        <f t="shared" si="97"/>
        <v>0</v>
      </c>
      <c r="CS33" s="915">
        <f t="shared" si="98"/>
        <v>0</v>
      </c>
      <c r="CT33" s="915">
        <f t="shared" si="99"/>
        <v>0</v>
      </c>
      <c r="CU33" s="915">
        <f t="shared" si="100"/>
        <v>0</v>
      </c>
      <c r="CV33" s="915">
        <f t="shared" si="101"/>
        <v>0</v>
      </c>
      <c r="CW33" s="915">
        <f t="shared" si="102"/>
        <v>0</v>
      </c>
      <c r="CX33" s="915">
        <f t="shared" si="42"/>
        <v>0</v>
      </c>
      <c r="CY33" s="915">
        <f t="shared" si="43"/>
        <v>0</v>
      </c>
      <c r="CZ33" s="915">
        <f t="shared" si="44"/>
        <v>0</v>
      </c>
      <c r="DA33" s="915">
        <f t="shared" si="45"/>
        <v>0</v>
      </c>
      <c r="DB33" s="915">
        <f t="shared" si="46"/>
        <v>0</v>
      </c>
      <c r="DC33" s="915">
        <f t="shared" si="47"/>
        <v>0</v>
      </c>
      <c r="DD33" s="915">
        <f t="shared" si="48"/>
        <v>0</v>
      </c>
      <c r="DE33" s="915">
        <f t="shared" si="49"/>
        <v>0</v>
      </c>
      <c r="DF33" s="915">
        <f t="shared" si="50"/>
        <v>0</v>
      </c>
      <c r="DG33" s="915">
        <f t="shared" si="51"/>
        <v>0</v>
      </c>
      <c r="DH33" s="915">
        <f t="shared" si="103"/>
        <v>0</v>
      </c>
      <c r="DI33" s="915">
        <f t="shared" si="104"/>
        <v>0</v>
      </c>
      <c r="DJ33" s="915">
        <f t="shared" si="105"/>
        <v>0</v>
      </c>
      <c r="DK33" s="915">
        <f t="shared" si="106"/>
        <v>0</v>
      </c>
      <c r="DL33" s="915">
        <f t="shared" si="107"/>
        <v>0</v>
      </c>
      <c r="DM33" s="915">
        <f t="shared" si="108"/>
        <v>0</v>
      </c>
      <c r="DN33" s="915">
        <f t="shared" si="109"/>
        <v>0</v>
      </c>
      <c r="DO33" s="915">
        <f t="shared" si="110"/>
        <v>0</v>
      </c>
      <c r="DP33" s="915">
        <f t="shared" si="111"/>
        <v>0</v>
      </c>
      <c r="DQ33" s="915">
        <f t="shared" si="112"/>
        <v>0</v>
      </c>
      <c r="DR33" s="915">
        <f t="shared" si="52"/>
        <v>0</v>
      </c>
      <c r="DS33" s="915">
        <f t="shared" si="53"/>
        <v>0</v>
      </c>
      <c r="DT33" s="915">
        <f t="shared" si="54"/>
        <v>0</v>
      </c>
      <c r="DU33" s="915">
        <f t="shared" si="55"/>
        <v>0</v>
      </c>
      <c r="DV33" s="915">
        <f t="shared" si="56"/>
        <v>0</v>
      </c>
      <c r="DW33" s="915">
        <f t="shared" si="57"/>
        <v>0</v>
      </c>
      <c r="DX33" s="915">
        <f t="shared" si="58"/>
        <v>0</v>
      </c>
      <c r="DY33" s="915">
        <f t="shared" si="59"/>
        <v>0</v>
      </c>
      <c r="DZ33" s="915">
        <f t="shared" si="60"/>
        <v>0</v>
      </c>
      <c r="EA33" s="915">
        <f t="shared" si="61"/>
        <v>0</v>
      </c>
      <c r="EB33" s="915">
        <f t="shared" si="113"/>
        <v>0</v>
      </c>
      <c r="EC33" s="915">
        <f t="shared" si="114"/>
        <v>0</v>
      </c>
      <c r="ED33" s="915">
        <f t="shared" si="115"/>
        <v>0</v>
      </c>
      <c r="EE33" s="915">
        <f t="shared" si="116"/>
        <v>0</v>
      </c>
      <c r="EF33" s="915">
        <f t="shared" si="117"/>
        <v>0</v>
      </c>
      <c r="EG33" s="915">
        <f t="shared" si="118"/>
        <v>0</v>
      </c>
      <c r="EH33" s="915">
        <f t="shared" si="119"/>
        <v>0</v>
      </c>
      <c r="EI33" s="915">
        <f t="shared" si="120"/>
        <v>0</v>
      </c>
      <c r="EJ33" s="915">
        <f t="shared" si="121"/>
        <v>0</v>
      </c>
      <c r="EK33" s="915">
        <f t="shared" si="122"/>
        <v>0</v>
      </c>
      <c r="EL33" s="915"/>
      <c r="EN33" s="533"/>
      <c r="EQ33" s="534"/>
    </row>
    <row r="34" spans="1:147" ht="14.1" customHeight="1" x14ac:dyDescent="0.2">
      <c r="A34" s="496">
        <v>27</v>
      </c>
      <c r="B34" s="1419"/>
      <c r="C34" s="1420"/>
      <c r="D34" s="264">
        <v>7</v>
      </c>
      <c r="E34" s="264" t="s">
        <v>1245</v>
      </c>
      <c r="F34" s="270" t="s">
        <v>2544</v>
      </c>
      <c r="G34" s="271">
        <v>1</v>
      </c>
      <c r="H34" s="803">
        <v>10</v>
      </c>
      <c r="I34" s="800">
        <f t="shared" si="126"/>
        <v>0.6</v>
      </c>
      <c r="J34" s="269">
        <f t="shared" si="127"/>
        <v>10.6</v>
      </c>
      <c r="K34" s="225"/>
      <c r="L34" s="941" t="str">
        <f>TabName7 &amp; " - WATER"</f>
        <v>Phase 7 - WATER</v>
      </c>
      <c r="M34" s="942">
        <f>AV6</f>
        <v>21.2</v>
      </c>
      <c r="N34" s="950"/>
      <c r="V34" s="915">
        <f t="shared" si="3"/>
        <v>0</v>
      </c>
      <c r="W34" s="915">
        <f t="shared" si="4"/>
        <v>0</v>
      </c>
      <c r="X34" s="915">
        <f t="shared" si="5"/>
        <v>0</v>
      </c>
      <c r="Y34" s="915">
        <f t="shared" si="6"/>
        <v>0</v>
      </c>
      <c r="Z34" s="915">
        <f t="shared" si="7"/>
        <v>0</v>
      </c>
      <c r="AA34" s="915">
        <f t="shared" si="8"/>
        <v>0</v>
      </c>
      <c r="AB34" s="915">
        <f t="shared" si="9"/>
        <v>0</v>
      </c>
      <c r="AC34" s="915">
        <f t="shared" si="10"/>
        <v>0</v>
      </c>
      <c r="AD34" s="915">
        <f t="shared" si="11"/>
        <v>0</v>
      </c>
      <c r="AE34" s="915">
        <f t="shared" si="12"/>
        <v>0</v>
      </c>
      <c r="AF34" s="915">
        <f t="shared" si="63"/>
        <v>0</v>
      </c>
      <c r="AG34" s="915">
        <f t="shared" si="64"/>
        <v>0</v>
      </c>
      <c r="AH34" s="915">
        <f t="shared" si="65"/>
        <v>0</v>
      </c>
      <c r="AI34" s="915">
        <f t="shared" si="66"/>
        <v>0</v>
      </c>
      <c r="AJ34" s="915">
        <f t="shared" si="67"/>
        <v>0</v>
      </c>
      <c r="AK34" s="915">
        <f t="shared" si="68"/>
        <v>0</v>
      </c>
      <c r="AL34" s="915">
        <f t="shared" si="69"/>
        <v>0</v>
      </c>
      <c r="AM34" s="915">
        <f t="shared" si="70"/>
        <v>0</v>
      </c>
      <c r="AN34" s="915">
        <f t="shared" si="71"/>
        <v>0</v>
      </c>
      <c r="AO34" s="915">
        <f t="shared" si="72"/>
        <v>0</v>
      </c>
      <c r="AP34" s="915">
        <f t="shared" si="13"/>
        <v>0</v>
      </c>
      <c r="AQ34" s="915">
        <f t="shared" si="14"/>
        <v>0</v>
      </c>
      <c r="AR34" s="915">
        <f t="shared" si="15"/>
        <v>0</v>
      </c>
      <c r="AS34" s="915">
        <f t="shared" si="16"/>
        <v>0</v>
      </c>
      <c r="AT34" s="915">
        <f t="shared" si="17"/>
        <v>0</v>
      </c>
      <c r="AU34" s="915">
        <f t="shared" si="18"/>
        <v>0</v>
      </c>
      <c r="AV34" s="915">
        <f t="shared" si="19"/>
        <v>10.6</v>
      </c>
      <c r="AW34" s="915">
        <f t="shared" si="20"/>
        <v>0</v>
      </c>
      <c r="AX34" s="915">
        <f t="shared" si="21"/>
        <v>0</v>
      </c>
      <c r="AY34" s="915">
        <f t="shared" si="73"/>
        <v>0</v>
      </c>
      <c r="AZ34" s="915">
        <f t="shared" si="74"/>
        <v>0</v>
      </c>
      <c r="BA34" s="915">
        <f t="shared" si="75"/>
        <v>0</v>
      </c>
      <c r="BB34" s="915">
        <f t="shared" si="76"/>
        <v>0</v>
      </c>
      <c r="BC34" s="915">
        <f t="shared" si="77"/>
        <v>0</v>
      </c>
      <c r="BD34" s="915">
        <f t="shared" si="78"/>
        <v>0</v>
      </c>
      <c r="BE34" s="915">
        <f t="shared" si="79"/>
        <v>0</v>
      </c>
      <c r="BF34" s="915">
        <f t="shared" si="80"/>
        <v>0</v>
      </c>
      <c r="BG34" s="915">
        <f t="shared" si="81"/>
        <v>0</v>
      </c>
      <c r="BH34" s="915">
        <f t="shared" si="82"/>
        <v>0</v>
      </c>
      <c r="BI34" s="915">
        <f t="shared" si="83"/>
        <v>0</v>
      </c>
      <c r="BJ34" s="915">
        <f t="shared" si="22"/>
        <v>0</v>
      </c>
      <c r="BK34" s="915">
        <f t="shared" si="23"/>
        <v>0</v>
      </c>
      <c r="BL34" s="915">
        <f t="shared" si="24"/>
        <v>0</v>
      </c>
      <c r="BM34" s="915">
        <f t="shared" si="25"/>
        <v>0</v>
      </c>
      <c r="BN34" s="915">
        <f t="shared" si="26"/>
        <v>0</v>
      </c>
      <c r="BO34" s="915">
        <f t="shared" si="27"/>
        <v>0</v>
      </c>
      <c r="BP34" s="915">
        <f t="shared" si="28"/>
        <v>0</v>
      </c>
      <c r="BQ34" s="915">
        <f t="shared" si="29"/>
        <v>0</v>
      </c>
      <c r="BR34" s="915">
        <f t="shared" si="30"/>
        <v>0</v>
      </c>
      <c r="BS34" s="915">
        <f t="shared" si="31"/>
        <v>0</v>
      </c>
      <c r="BT34" s="915">
        <f t="shared" si="84"/>
        <v>0</v>
      </c>
      <c r="BU34" s="915">
        <f t="shared" si="84"/>
        <v>0</v>
      </c>
      <c r="BV34" s="915">
        <f t="shared" si="85"/>
        <v>0</v>
      </c>
      <c r="BW34" s="915">
        <f t="shared" si="86"/>
        <v>0</v>
      </c>
      <c r="BX34" s="915">
        <f t="shared" si="87"/>
        <v>0</v>
      </c>
      <c r="BY34" s="915">
        <f t="shared" si="88"/>
        <v>0</v>
      </c>
      <c r="BZ34" s="915">
        <f t="shared" si="89"/>
        <v>0</v>
      </c>
      <c r="CA34" s="915">
        <f t="shared" si="90"/>
        <v>0</v>
      </c>
      <c r="CB34" s="915">
        <f t="shared" si="91"/>
        <v>0</v>
      </c>
      <c r="CC34" s="915">
        <f t="shared" si="92"/>
        <v>0</v>
      </c>
      <c r="CD34" s="915">
        <f t="shared" si="32"/>
        <v>0</v>
      </c>
      <c r="CE34" s="915">
        <f t="shared" si="33"/>
        <v>0</v>
      </c>
      <c r="CF34" s="915">
        <f t="shared" si="34"/>
        <v>0</v>
      </c>
      <c r="CG34" s="915">
        <f t="shared" si="35"/>
        <v>0</v>
      </c>
      <c r="CH34" s="915">
        <f t="shared" si="36"/>
        <v>0</v>
      </c>
      <c r="CI34" s="915">
        <f t="shared" si="37"/>
        <v>0</v>
      </c>
      <c r="CJ34" s="915">
        <f t="shared" si="38"/>
        <v>0</v>
      </c>
      <c r="CK34" s="915">
        <f t="shared" si="39"/>
        <v>0</v>
      </c>
      <c r="CL34" s="915">
        <f t="shared" si="40"/>
        <v>0</v>
      </c>
      <c r="CM34" s="915">
        <f t="shared" si="41"/>
        <v>0</v>
      </c>
      <c r="CN34" s="915">
        <f t="shared" si="93"/>
        <v>0</v>
      </c>
      <c r="CO34" s="915">
        <f t="shared" si="94"/>
        <v>0</v>
      </c>
      <c r="CP34" s="915">
        <f t="shared" si="95"/>
        <v>0</v>
      </c>
      <c r="CQ34" s="915">
        <f t="shared" si="96"/>
        <v>0</v>
      </c>
      <c r="CR34" s="915">
        <f t="shared" si="97"/>
        <v>0</v>
      </c>
      <c r="CS34" s="915">
        <f t="shared" si="98"/>
        <v>0</v>
      </c>
      <c r="CT34" s="915">
        <f t="shared" si="99"/>
        <v>0</v>
      </c>
      <c r="CU34" s="915">
        <f t="shared" si="100"/>
        <v>0</v>
      </c>
      <c r="CV34" s="915">
        <f t="shared" si="101"/>
        <v>0</v>
      </c>
      <c r="CW34" s="915">
        <f t="shared" si="102"/>
        <v>0</v>
      </c>
      <c r="CX34" s="915">
        <f t="shared" si="42"/>
        <v>0</v>
      </c>
      <c r="CY34" s="915">
        <f t="shared" si="43"/>
        <v>0</v>
      </c>
      <c r="CZ34" s="915">
        <f t="shared" si="44"/>
        <v>0</v>
      </c>
      <c r="DA34" s="915">
        <f t="shared" si="45"/>
        <v>0</v>
      </c>
      <c r="DB34" s="915">
        <f t="shared" si="46"/>
        <v>0</v>
      </c>
      <c r="DC34" s="915">
        <f t="shared" si="47"/>
        <v>0</v>
      </c>
      <c r="DD34" s="915">
        <f t="shared" si="48"/>
        <v>0</v>
      </c>
      <c r="DE34" s="915">
        <f t="shared" si="49"/>
        <v>0</v>
      </c>
      <c r="DF34" s="915">
        <f t="shared" si="50"/>
        <v>0</v>
      </c>
      <c r="DG34" s="915">
        <f t="shared" si="51"/>
        <v>0</v>
      </c>
      <c r="DH34" s="915">
        <f t="shared" si="103"/>
        <v>0</v>
      </c>
      <c r="DI34" s="915">
        <f t="shared" si="104"/>
        <v>0</v>
      </c>
      <c r="DJ34" s="915">
        <f t="shared" si="105"/>
        <v>0</v>
      </c>
      <c r="DK34" s="915">
        <f t="shared" si="106"/>
        <v>0</v>
      </c>
      <c r="DL34" s="915">
        <f t="shared" si="107"/>
        <v>0</v>
      </c>
      <c r="DM34" s="915">
        <f t="shared" si="108"/>
        <v>0</v>
      </c>
      <c r="DN34" s="915">
        <f t="shared" si="109"/>
        <v>0</v>
      </c>
      <c r="DO34" s="915">
        <f t="shared" si="110"/>
        <v>0</v>
      </c>
      <c r="DP34" s="915">
        <f t="shared" si="111"/>
        <v>0</v>
      </c>
      <c r="DQ34" s="915">
        <f t="shared" si="112"/>
        <v>0</v>
      </c>
      <c r="DR34" s="915">
        <f t="shared" si="52"/>
        <v>0</v>
      </c>
      <c r="DS34" s="915">
        <f t="shared" si="53"/>
        <v>0</v>
      </c>
      <c r="DT34" s="915">
        <f t="shared" si="54"/>
        <v>0</v>
      </c>
      <c r="DU34" s="915">
        <f t="shared" si="55"/>
        <v>0</v>
      </c>
      <c r="DV34" s="915">
        <f t="shared" si="56"/>
        <v>0</v>
      </c>
      <c r="DW34" s="915">
        <f t="shared" si="57"/>
        <v>0</v>
      </c>
      <c r="DX34" s="915">
        <f t="shared" si="58"/>
        <v>0</v>
      </c>
      <c r="DY34" s="915">
        <f t="shared" si="59"/>
        <v>0</v>
      </c>
      <c r="DZ34" s="915">
        <f t="shared" si="60"/>
        <v>0</v>
      </c>
      <c r="EA34" s="915">
        <f t="shared" si="61"/>
        <v>0</v>
      </c>
      <c r="EB34" s="915">
        <f t="shared" si="113"/>
        <v>0</v>
      </c>
      <c r="EC34" s="915">
        <f t="shared" si="114"/>
        <v>0</v>
      </c>
      <c r="ED34" s="915">
        <f t="shared" si="115"/>
        <v>0</v>
      </c>
      <c r="EE34" s="915">
        <f t="shared" si="116"/>
        <v>0</v>
      </c>
      <c r="EF34" s="915">
        <f t="shared" si="117"/>
        <v>0</v>
      </c>
      <c r="EG34" s="915">
        <f t="shared" si="118"/>
        <v>0</v>
      </c>
      <c r="EH34" s="915">
        <f t="shared" si="119"/>
        <v>0</v>
      </c>
      <c r="EI34" s="915">
        <f t="shared" si="120"/>
        <v>0</v>
      </c>
      <c r="EJ34" s="915">
        <f t="shared" si="121"/>
        <v>0</v>
      </c>
      <c r="EK34" s="915">
        <f t="shared" si="122"/>
        <v>0</v>
      </c>
      <c r="EL34" s="915"/>
      <c r="EN34" s="533"/>
      <c r="EQ34" s="534"/>
    </row>
    <row r="35" spans="1:147" ht="14.1" customHeight="1" x14ac:dyDescent="0.2">
      <c r="A35" s="497">
        <v>28</v>
      </c>
      <c r="B35" s="1423"/>
      <c r="C35" s="1431"/>
      <c r="D35" s="1020">
        <v>8</v>
      </c>
      <c r="E35" s="138" t="s">
        <v>1245</v>
      </c>
      <c r="F35" s="139" t="s">
        <v>2544</v>
      </c>
      <c r="G35" s="91">
        <v>1</v>
      </c>
      <c r="H35" s="802">
        <v>10</v>
      </c>
      <c r="I35" s="801">
        <f t="shared" si="126"/>
        <v>0.6</v>
      </c>
      <c r="J35" s="1021">
        <f t="shared" si="127"/>
        <v>10.6</v>
      </c>
      <c r="K35" s="225"/>
      <c r="L35" s="941" t="str">
        <f>TabName8 &amp; " - WATER"</f>
        <v>Phase 8 - WATER</v>
      </c>
      <c r="M35" s="942">
        <f>AW6</f>
        <v>21.2</v>
      </c>
      <c r="N35" s="949"/>
      <c r="V35" s="915">
        <f t="shared" si="3"/>
        <v>0</v>
      </c>
      <c r="W35" s="915">
        <f t="shared" si="4"/>
        <v>0</v>
      </c>
      <c r="X35" s="915">
        <f t="shared" si="5"/>
        <v>0</v>
      </c>
      <c r="Y35" s="915">
        <f t="shared" si="6"/>
        <v>0</v>
      </c>
      <c r="Z35" s="915">
        <f t="shared" si="7"/>
        <v>0</v>
      </c>
      <c r="AA35" s="915">
        <f t="shared" si="8"/>
        <v>0</v>
      </c>
      <c r="AB35" s="915">
        <f t="shared" si="9"/>
        <v>0</v>
      </c>
      <c r="AC35" s="915">
        <f t="shared" si="10"/>
        <v>0</v>
      </c>
      <c r="AD35" s="915">
        <f t="shared" si="11"/>
        <v>0</v>
      </c>
      <c r="AE35" s="915">
        <f t="shared" si="12"/>
        <v>0</v>
      </c>
      <c r="AF35" s="915">
        <f t="shared" si="63"/>
        <v>0</v>
      </c>
      <c r="AG35" s="915">
        <f t="shared" si="64"/>
        <v>0</v>
      </c>
      <c r="AH35" s="915">
        <f t="shared" si="65"/>
        <v>0</v>
      </c>
      <c r="AI35" s="915">
        <f t="shared" si="66"/>
        <v>0</v>
      </c>
      <c r="AJ35" s="915">
        <f t="shared" si="67"/>
        <v>0</v>
      </c>
      <c r="AK35" s="915">
        <f t="shared" si="68"/>
        <v>0</v>
      </c>
      <c r="AL35" s="915">
        <f t="shared" si="69"/>
        <v>0</v>
      </c>
      <c r="AM35" s="915">
        <f t="shared" si="70"/>
        <v>0</v>
      </c>
      <c r="AN35" s="915">
        <f t="shared" si="71"/>
        <v>0</v>
      </c>
      <c r="AO35" s="915">
        <f t="shared" si="72"/>
        <v>0</v>
      </c>
      <c r="AP35" s="915">
        <f t="shared" si="13"/>
        <v>0</v>
      </c>
      <c r="AQ35" s="915">
        <f t="shared" si="14"/>
        <v>0</v>
      </c>
      <c r="AR35" s="915">
        <f t="shared" si="15"/>
        <v>0</v>
      </c>
      <c r="AS35" s="915">
        <f t="shared" si="16"/>
        <v>0</v>
      </c>
      <c r="AT35" s="915">
        <f t="shared" si="17"/>
        <v>0</v>
      </c>
      <c r="AU35" s="915">
        <f t="shared" si="18"/>
        <v>0</v>
      </c>
      <c r="AV35" s="915">
        <f t="shared" si="19"/>
        <v>0</v>
      </c>
      <c r="AW35" s="915">
        <f t="shared" si="20"/>
        <v>10.6</v>
      </c>
      <c r="AX35" s="915">
        <f t="shared" si="21"/>
        <v>0</v>
      </c>
      <c r="AY35" s="915">
        <f t="shared" si="73"/>
        <v>0</v>
      </c>
      <c r="AZ35" s="915">
        <f t="shared" si="74"/>
        <v>0</v>
      </c>
      <c r="BA35" s="915">
        <f t="shared" si="75"/>
        <v>0</v>
      </c>
      <c r="BB35" s="915">
        <f t="shared" si="76"/>
        <v>0</v>
      </c>
      <c r="BC35" s="915">
        <f t="shared" si="77"/>
        <v>0</v>
      </c>
      <c r="BD35" s="915">
        <f t="shared" si="78"/>
        <v>0</v>
      </c>
      <c r="BE35" s="915">
        <f t="shared" si="79"/>
        <v>0</v>
      </c>
      <c r="BF35" s="915">
        <f t="shared" si="80"/>
        <v>0</v>
      </c>
      <c r="BG35" s="915">
        <f t="shared" si="81"/>
        <v>0</v>
      </c>
      <c r="BH35" s="915">
        <f t="shared" si="82"/>
        <v>0</v>
      </c>
      <c r="BI35" s="915">
        <f t="shared" si="83"/>
        <v>0</v>
      </c>
      <c r="BJ35" s="915">
        <f t="shared" si="22"/>
        <v>0</v>
      </c>
      <c r="BK35" s="915">
        <f t="shared" si="23"/>
        <v>0</v>
      </c>
      <c r="BL35" s="915">
        <f t="shared" si="24"/>
        <v>0</v>
      </c>
      <c r="BM35" s="915">
        <f t="shared" si="25"/>
        <v>0</v>
      </c>
      <c r="BN35" s="915">
        <f t="shared" si="26"/>
        <v>0</v>
      </c>
      <c r="BO35" s="915">
        <f t="shared" si="27"/>
        <v>0</v>
      </c>
      <c r="BP35" s="915">
        <f t="shared" si="28"/>
        <v>0</v>
      </c>
      <c r="BQ35" s="915">
        <f t="shared" si="29"/>
        <v>0</v>
      </c>
      <c r="BR35" s="915">
        <f t="shared" si="30"/>
        <v>0</v>
      </c>
      <c r="BS35" s="915">
        <f t="shared" si="31"/>
        <v>0</v>
      </c>
      <c r="BT35" s="915">
        <f t="shared" si="84"/>
        <v>0</v>
      </c>
      <c r="BU35" s="915">
        <f t="shared" si="84"/>
        <v>0</v>
      </c>
      <c r="BV35" s="915">
        <f t="shared" si="85"/>
        <v>0</v>
      </c>
      <c r="BW35" s="915">
        <f t="shared" si="86"/>
        <v>0</v>
      </c>
      <c r="BX35" s="915">
        <f t="shared" si="87"/>
        <v>0</v>
      </c>
      <c r="BY35" s="915">
        <f t="shared" si="88"/>
        <v>0</v>
      </c>
      <c r="BZ35" s="915">
        <f t="shared" si="89"/>
        <v>0</v>
      </c>
      <c r="CA35" s="915">
        <f t="shared" si="90"/>
        <v>0</v>
      </c>
      <c r="CB35" s="915">
        <f t="shared" si="91"/>
        <v>0</v>
      </c>
      <c r="CC35" s="915">
        <f t="shared" si="92"/>
        <v>0</v>
      </c>
      <c r="CD35" s="915">
        <f t="shared" si="32"/>
        <v>0</v>
      </c>
      <c r="CE35" s="915">
        <f t="shared" si="33"/>
        <v>0</v>
      </c>
      <c r="CF35" s="915">
        <f t="shared" si="34"/>
        <v>0</v>
      </c>
      <c r="CG35" s="915">
        <f t="shared" si="35"/>
        <v>0</v>
      </c>
      <c r="CH35" s="915">
        <f t="shared" si="36"/>
        <v>0</v>
      </c>
      <c r="CI35" s="915">
        <f t="shared" si="37"/>
        <v>0</v>
      </c>
      <c r="CJ35" s="915">
        <f t="shared" si="38"/>
        <v>0</v>
      </c>
      <c r="CK35" s="915">
        <f t="shared" si="39"/>
        <v>0</v>
      </c>
      <c r="CL35" s="915">
        <f t="shared" si="40"/>
        <v>0</v>
      </c>
      <c r="CM35" s="915">
        <f t="shared" si="41"/>
        <v>0</v>
      </c>
      <c r="CN35" s="915">
        <f t="shared" si="93"/>
        <v>0</v>
      </c>
      <c r="CO35" s="915">
        <f t="shared" si="94"/>
        <v>0</v>
      </c>
      <c r="CP35" s="915">
        <f t="shared" si="95"/>
        <v>0</v>
      </c>
      <c r="CQ35" s="915">
        <f t="shared" si="96"/>
        <v>0</v>
      </c>
      <c r="CR35" s="915">
        <f t="shared" si="97"/>
        <v>0</v>
      </c>
      <c r="CS35" s="915">
        <f t="shared" si="98"/>
        <v>0</v>
      </c>
      <c r="CT35" s="915">
        <f t="shared" si="99"/>
        <v>0</v>
      </c>
      <c r="CU35" s="915">
        <f t="shared" si="100"/>
        <v>0</v>
      </c>
      <c r="CV35" s="915">
        <f t="shared" si="101"/>
        <v>0</v>
      </c>
      <c r="CW35" s="915">
        <f t="shared" si="102"/>
        <v>0</v>
      </c>
      <c r="CX35" s="915">
        <f t="shared" si="42"/>
        <v>0</v>
      </c>
      <c r="CY35" s="915">
        <f t="shared" si="43"/>
        <v>0</v>
      </c>
      <c r="CZ35" s="915">
        <f t="shared" si="44"/>
        <v>0</v>
      </c>
      <c r="DA35" s="915">
        <f t="shared" si="45"/>
        <v>0</v>
      </c>
      <c r="DB35" s="915">
        <f t="shared" si="46"/>
        <v>0</v>
      </c>
      <c r="DC35" s="915">
        <f t="shared" si="47"/>
        <v>0</v>
      </c>
      <c r="DD35" s="915">
        <f t="shared" si="48"/>
        <v>0</v>
      </c>
      <c r="DE35" s="915">
        <f t="shared" si="49"/>
        <v>0</v>
      </c>
      <c r="DF35" s="915">
        <f t="shared" si="50"/>
        <v>0</v>
      </c>
      <c r="DG35" s="915">
        <f t="shared" si="51"/>
        <v>0</v>
      </c>
      <c r="DH35" s="915">
        <f t="shared" si="103"/>
        <v>0</v>
      </c>
      <c r="DI35" s="915">
        <f t="shared" si="104"/>
        <v>0</v>
      </c>
      <c r="DJ35" s="915">
        <f t="shared" si="105"/>
        <v>0</v>
      </c>
      <c r="DK35" s="915">
        <f t="shared" si="106"/>
        <v>0</v>
      </c>
      <c r="DL35" s="915">
        <f t="shared" si="107"/>
        <v>0</v>
      </c>
      <c r="DM35" s="915">
        <f t="shared" si="108"/>
        <v>0</v>
      </c>
      <c r="DN35" s="915">
        <f t="shared" si="109"/>
        <v>0</v>
      </c>
      <c r="DO35" s="915">
        <f t="shared" si="110"/>
        <v>0</v>
      </c>
      <c r="DP35" s="915">
        <f t="shared" si="111"/>
        <v>0</v>
      </c>
      <c r="DQ35" s="915">
        <f t="shared" si="112"/>
        <v>0</v>
      </c>
      <c r="DR35" s="915">
        <f t="shared" si="52"/>
        <v>0</v>
      </c>
      <c r="DS35" s="915">
        <f t="shared" si="53"/>
        <v>0</v>
      </c>
      <c r="DT35" s="915">
        <f t="shared" si="54"/>
        <v>0</v>
      </c>
      <c r="DU35" s="915">
        <f t="shared" si="55"/>
        <v>0</v>
      </c>
      <c r="DV35" s="915">
        <f t="shared" si="56"/>
        <v>0</v>
      </c>
      <c r="DW35" s="915">
        <f t="shared" si="57"/>
        <v>0</v>
      </c>
      <c r="DX35" s="915">
        <f t="shared" si="58"/>
        <v>0</v>
      </c>
      <c r="DY35" s="915">
        <f t="shared" si="59"/>
        <v>0</v>
      </c>
      <c r="DZ35" s="915">
        <f t="shared" si="60"/>
        <v>0</v>
      </c>
      <c r="EA35" s="915">
        <f t="shared" si="61"/>
        <v>0</v>
      </c>
      <c r="EB35" s="915">
        <f t="shared" si="113"/>
        <v>0</v>
      </c>
      <c r="EC35" s="915">
        <f t="shared" si="114"/>
        <v>0</v>
      </c>
      <c r="ED35" s="915">
        <f t="shared" si="115"/>
        <v>0</v>
      </c>
      <c r="EE35" s="915">
        <f t="shared" si="116"/>
        <v>0</v>
      </c>
      <c r="EF35" s="915">
        <f t="shared" si="117"/>
        <v>0</v>
      </c>
      <c r="EG35" s="915">
        <f t="shared" si="118"/>
        <v>0</v>
      </c>
      <c r="EH35" s="915">
        <f t="shared" si="119"/>
        <v>0</v>
      </c>
      <c r="EI35" s="915">
        <f t="shared" si="120"/>
        <v>0</v>
      </c>
      <c r="EJ35" s="915">
        <f t="shared" si="121"/>
        <v>0</v>
      </c>
      <c r="EK35" s="915">
        <f t="shared" si="122"/>
        <v>0</v>
      </c>
      <c r="EL35" s="915"/>
      <c r="EN35" s="533"/>
      <c r="EQ35" s="534"/>
    </row>
    <row r="36" spans="1:147" ht="14.1" customHeight="1" x14ac:dyDescent="0.2">
      <c r="A36" s="496">
        <v>29</v>
      </c>
      <c r="B36" s="1419"/>
      <c r="C36" s="1420"/>
      <c r="D36" s="264">
        <v>9</v>
      </c>
      <c r="E36" s="264" t="s">
        <v>1245</v>
      </c>
      <c r="F36" s="270" t="s">
        <v>2544</v>
      </c>
      <c r="G36" s="271">
        <v>1</v>
      </c>
      <c r="H36" s="803">
        <v>10</v>
      </c>
      <c r="I36" s="800">
        <f t="shared" si="126"/>
        <v>0.6</v>
      </c>
      <c r="J36" s="269">
        <f t="shared" si="127"/>
        <v>10.6</v>
      </c>
      <c r="K36" s="225"/>
      <c r="L36" s="941" t="str">
        <f>TabName9 &amp; " - WATER"</f>
        <v>Phase 9 - WATER</v>
      </c>
      <c r="M36" s="942">
        <f>AX6</f>
        <v>21.2</v>
      </c>
      <c r="N36" s="949"/>
      <c r="V36" s="915">
        <f t="shared" si="3"/>
        <v>0</v>
      </c>
      <c r="W36" s="915">
        <f t="shared" si="4"/>
        <v>0</v>
      </c>
      <c r="X36" s="915">
        <f t="shared" si="5"/>
        <v>0</v>
      </c>
      <c r="Y36" s="915">
        <f t="shared" si="6"/>
        <v>0</v>
      </c>
      <c r="Z36" s="915">
        <f t="shared" si="7"/>
        <v>0</v>
      </c>
      <c r="AA36" s="915">
        <f t="shared" si="8"/>
        <v>0</v>
      </c>
      <c r="AB36" s="915">
        <f t="shared" si="9"/>
        <v>0</v>
      </c>
      <c r="AC36" s="915">
        <f t="shared" si="10"/>
        <v>0</v>
      </c>
      <c r="AD36" s="915">
        <f t="shared" si="11"/>
        <v>0</v>
      </c>
      <c r="AE36" s="915">
        <f t="shared" si="12"/>
        <v>0</v>
      </c>
      <c r="AF36" s="915">
        <f t="shared" si="63"/>
        <v>0</v>
      </c>
      <c r="AG36" s="915">
        <f t="shared" si="64"/>
        <v>0</v>
      </c>
      <c r="AH36" s="915">
        <f t="shared" si="65"/>
        <v>0</v>
      </c>
      <c r="AI36" s="915">
        <f t="shared" si="66"/>
        <v>0</v>
      </c>
      <c r="AJ36" s="915">
        <f t="shared" si="67"/>
        <v>0</v>
      </c>
      <c r="AK36" s="915">
        <f t="shared" si="68"/>
        <v>0</v>
      </c>
      <c r="AL36" s="915">
        <f t="shared" si="69"/>
        <v>0</v>
      </c>
      <c r="AM36" s="915">
        <f t="shared" si="70"/>
        <v>0</v>
      </c>
      <c r="AN36" s="915">
        <f t="shared" si="71"/>
        <v>0</v>
      </c>
      <c r="AO36" s="915">
        <f t="shared" si="72"/>
        <v>0</v>
      </c>
      <c r="AP36" s="915">
        <f t="shared" si="13"/>
        <v>0</v>
      </c>
      <c r="AQ36" s="915">
        <f t="shared" si="14"/>
        <v>0</v>
      </c>
      <c r="AR36" s="915">
        <f t="shared" si="15"/>
        <v>0</v>
      </c>
      <c r="AS36" s="915">
        <f t="shared" si="16"/>
        <v>0</v>
      </c>
      <c r="AT36" s="915">
        <f t="shared" si="17"/>
        <v>0</v>
      </c>
      <c r="AU36" s="915">
        <f t="shared" si="18"/>
        <v>0</v>
      </c>
      <c r="AV36" s="915">
        <f t="shared" si="19"/>
        <v>0</v>
      </c>
      <c r="AW36" s="915">
        <f t="shared" si="20"/>
        <v>0</v>
      </c>
      <c r="AX36" s="915">
        <f t="shared" si="21"/>
        <v>10.6</v>
      </c>
      <c r="AY36" s="915">
        <f t="shared" si="73"/>
        <v>0</v>
      </c>
      <c r="AZ36" s="915">
        <f t="shared" si="74"/>
        <v>0</v>
      </c>
      <c r="BA36" s="915">
        <f t="shared" si="75"/>
        <v>0</v>
      </c>
      <c r="BB36" s="915">
        <f t="shared" si="76"/>
        <v>0</v>
      </c>
      <c r="BC36" s="915">
        <f t="shared" si="77"/>
        <v>0</v>
      </c>
      <c r="BD36" s="915">
        <f t="shared" si="78"/>
        <v>0</v>
      </c>
      <c r="BE36" s="915">
        <f t="shared" si="79"/>
        <v>0</v>
      </c>
      <c r="BF36" s="915">
        <f t="shared" si="80"/>
        <v>0</v>
      </c>
      <c r="BG36" s="915">
        <f t="shared" si="81"/>
        <v>0</v>
      </c>
      <c r="BH36" s="915">
        <f t="shared" si="82"/>
        <v>0</v>
      </c>
      <c r="BI36" s="915">
        <f t="shared" si="83"/>
        <v>0</v>
      </c>
      <c r="BJ36" s="915">
        <f t="shared" si="22"/>
        <v>0</v>
      </c>
      <c r="BK36" s="915">
        <f t="shared" si="23"/>
        <v>0</v>
      </c>
      <c r="BL36" s="915">
        <f t="shared" si="24"/>
        <v>0</v>
      </c>
      <c r="BM36" s="915">
        <f t="shared" si="25"/>
        <v>0</v>
      </c>
      <c r="BN36" s="915">
        <f t="shared" si="26"/>
        <v>0</v>
      </c>
      <c r="BO36" s="915">
        <f t="shared" si="27"/>
        <v>0</v>
      </c>
      <c r="BP36" s="915">
        <f t="shared" si="28"/>
        <v>0</v>
      </c>
      <c r="BQ36" s="915">
        <f t="shared" si="29"/>
        <v>0</v>
      </c>
      <c r="BR36" s="915">
        <f t="shared" si="30"/>
        <v>0</v>
      </c>
      <c r="BS36" s="915">
        <f t="shared" si="31"/>
        <v>0</v>
      </c>
      <c r="BT36" s="915">
        <f t="shared" si="84"/>
        <v>0</v>
      </c>
      <c r="BU36" s="915">
        <f t="shared" si="84"/>
        <v>0</v>
      </c>
      <c r="BV36" s="915">
        <f t="shared" si="85"/>
        <v>0</v>
      </c>
      <c r="BW36" s="915">
        <f t="shared" si="86"/>
        <v>0</v>
      </c>
      <c r="BX36" s="915">
        <f t="shared" si="87"/>
        <v>0</v>
      </c>
      <c r="BY36" s="915">
        <f t="shared" si="88"/>
        <v>0</v>
      </c>
      <c r="BZ36" s="915">
        <f t="shared" si="89"/>
        <v>0</v>
      </c>
      <c r="CA36" s="915">
        <f t="shared" si="90"/>
        <v>0</v>
      </c>
      <c r="CB36" s="915">
        <f t="shared" si="91"/>
        <v>0</v>
      </c>
      <c r="CC36" s="915">
        <f t="shared" si="92"/>
        <v>0</v>
      </c>
      <c r="CD36" s="915">
        <f t="shared" si="32"/>
        <v>0</v>
      </c>
      <c r="CE36" s="915">
        <f t="shared" si="33"/>
        <v>0</v>
      </c>
      <c r="CF36" s="915">
        <f t="shared" si="34"/>
        <v>0</v>
      </c>
      <c r="CG36" s="915">
        <f t="shared" si="35"/>
        <v>0</v>
      </c>
      <c r="CH36" s="915">
        <f t="shared" si="36"/>
        <v>0</v>
      </c>
      <c r="CI36" s="915">
        <f t="shared" si="37"/>
        <v>0</v>
      </c>
      <c r="CJ36" s="915">
        <f t="shared" si="38"/>
        <v>0</v>
      </c>
      <c r="CK36" s="915">
        <f t="shared" si="39"/>
        <v>0</v>
      </c>
      <c r="CL36" s="915">
        <f t="shared" si="40"/>
        <v>0</v>
      </c>
      <c r="CM36" s="915">
        <f t="shared" si="41"/>
        <v>0</v>
      </c>
      <c r="CN36" s="915">
        <f t="shared" si="93"/>
        <v>0</v>
      </c>
      <c r="CO36" s="915">
        <f t="shared" si="94"/>
        <v>0</v>
      </c>
      <c r="CP36" s="915">
        <f t="shared" si="95"/>
        <v>0</v>
      </c>
      <c r="CQ36" s="915">
        <f t="shared" si="96"/>
        <v>0</v>
      </c>
      <c r="CR36" s="915">
        <f t="shared" si="97"/>
        <v>0</v>
      </c>
      <c r="CS36" s="915">
        <f t="shared" si="98"/>
        <v>0</v>
      </c>
      <c r="CT36" s="915">
        <f t="shared" si="99"/>
        <v>0</v>
      </c>
      <c r="CU36" s="915">
        <f t="shared" si="100"/>
        <v>0</v>
      </c>
      <c r="CV36" s="915">
        <f t="shared" si="101"/>
        <v>0</v>
      </c>
      <c r="CW36" s="915">
        <f t="shared" si="102"/>
        <v>0</v>
      </c>
      <c r="CX36" s="915">
        <f t="shared" si="42"/>
        <v>0</v>
      </c>
      <c r="CY36" s="915">
        <f t="shared" si="43"/>
        <v>0</v>
      </c>
      <c r="CZ36" s="915">
        <f t="shared" si="44"/>
        <v>0</v>
      </c>
      <c r="DA36" s="915">
        <f t="shared" si="45"/>
        <v>0</v>
      </c>
      <c r="DB36" s="915">
        <f t="shared" si="46"/>
        <v>0</v>
      </c>
      <c r="DC36" s="915">
        <f t="shared" si="47"/>
        <v>0</v>
      </c>
      <c r="DD36" s="915">
        <f t="shared" si="48"/>
        <v>0</v>
      </c>
      <c r="DE36" s="915">
        <f t="shared" si="49"/>
        <v>0</v>
      </c>
      <c r="DF36" s="915">
        <f t="shared" si="50"/>
        <v>0</v>
      </c>
      <c r="DG36" s="915">
        <f t="shared" si="51"/>
        <v>0</v>
      </c>
      <c r="DH36" s="915">
        <f t="shared" si="103"/>
        <v>0</v>
      </c>
      <c r="DI36" s="915">
        <f t="shared" si="104"/>
        <v>0</v>
      </c>
      <c r="DJ36" s="915">
        <f t="shared" si="105"/>
        <v>0</v>
      </c>
      <c r="DK36" s="915">
        <f t="shared" si="106"/>
        <v>0</v>
      </c>
      <c r="DL36" s="915">
        <f t="shared" si="107"/>
        <v>0</v>
      </c>
      <c r="DM36" s="915">
        <f t="shared" si="108"/>
        <v>0</v>
      </c>
      <c r="DN36" s="915">
        <f t="shared" si="109"/>
        <v>0</v>
      </c>
      <c r="DO36" s="915">
        <f t="shared" si="110"/>
        <v>0</v>
      </c>
      <c r="DP36" s="915">
        <f t="shared" si="111"/>
        <v>0</v>
      </c>
      <c r="DQ36" s="915">
        <f t="shared" si="112"/>
        <v>0</v>
      </c>
      <c r="DR36" s="915">
        <f t="shared" si="52"/>
        <v>0</v>
      </c>
      <c r="DS36" s="915">
        <f t="shared" si="53"/>
        <v>0</v>
      </c>
      <c r="DT36" s="915">
        <f t="shared" si="54"/>
        <v>0</v>
      </c>
      <c r="DU36" s="915">
        <f t="shared" si="55"/>
        <v>0</v>
      </c>
      <c r="DV36" s="915">
        <f t="shared" si="56"/>
        <v>0</v>
      </c>
      <c r="DW36" s="915">
        <f t="shared" si="57"/>
        <v>0</v>
      </c>
      <c r="DX36" s="915">
        <f t="shared" si="58"/>
        <v>0</v>
      </c>
      <c r="DY36" s="915">
        <f t="shared" si="59"/>
        <v>0</v>
      </c>
      <c r="DZ36" s="915">
        <f t="shared" si="60"/>
        <v>0</v>
      </c>
      <c r="EA36" s="915">
        <f t="shared" si="61"/>
        <v>0</v>
      </c>
      <c r="EB36" s="915">
        <f t="shared" si="113"/>
        <v>0</v>
      </c>
      <c r="EC36" s="915">
        <f t="shared" si="114"/>
        <v>0</v>
      </c>
      <c r="ED36" s="915">
        <f t="shared" si="115"/>
        <v>0</v>
      </c>
      <c r="EE36" s="915">
        <f t="shared" si="116"/>
        <v>0</v>
      </c>
      <c r="EF36" s="915">
        <f t="shared" si="117"/>
        <v>0</v>
      </c>
      <c r="EG36" s="915">
        <f t="shared" si="118"/>
        <v>0</v>
      </c>
      <c r="EH36" s="915">
        <f t="shared" si="119"/>
        <v>0</v>
      </c>
      <c r="EI36" s="915">
        <f t="shared" si="120"/>
        <v>0</v>
      </c>
      <c r="EJ36" s="915">
        <f t="shared" si="121"/>
        <v>0</v>
      </c>
      <c r="EK36" s="915">
        <f t="shared" si="122"/>
        <v>0</v>
      </c>
      <c r="EL36" s="915"/>
      <c r="EN36" s="533"/>
      <c r="EQ36" s="534"/>
    </row>
    <row r="37" spans="1:147" ht="14.1" customHeight="1" x14ac:dyDescent="0.2">
      <c r="A37" s="497">
        <v>30</v>
      </c>
      <c r="B37" s="1423"/>
      <c r="C37" s="1431"/>
      <c r="D37" s="1020">
        <v>10</v>
      </c>
      <c r="E37" s="138" t="s">
        <v>1245</v>
      </c>
      <c r="F37" s="139" t="s">
        <v>2544</v>
      </c>
      <c r="G37" s="91">
        <v>1</v>
      </c>
      <c r="H37" s="1022">
        <v>10</v>
      </c>
      <c r="I37" s="801">
        <f t="shared" si="126"/>
        <v>0.6</v>
      </c>
      <c r="J37" s="1021">
        <f t="shared" si="127"/>
        <v>10.6</v>
      </c>
      <c r="K37" s="225"/>
      <c r="L37" s="941" t="str">
        <f>tabname10 &amp; " - WATER"</f>
        <v>Phase 10 - WATER</v>
      </c>
      <c r="M37" s="942">
        <f>AY6</f>
        <v>21.2</v>
      </c>
      <c r="N37" s="949"/>
      <c r="V37" s="915">
        <f t="shared" si="3"/>
        <v>0</v>
      </c>
      <c r="W37" s="915">
        <f t="shared" si="4"/>
        <v>0</v>
      </c>
      <c r="X37" s="915">
        <f t="shared" si="5"/>
        <v>0</v>
      </c>
      <c r="Y37" s="915">
        <f t="shared" si="6"/>
        <v>0</v>
      </c>
      <c r="Z37" s="915">
        <f t="shared" si="7"/>
        <v>0</v>
      </c>
      <c r="AA37" s="915">
        <f t="shared" si="8"/>
        <v>0</v>
      </c>
      <c r="AB37" s="915">
        <f t="shared" si="9"/>
        <v>0</v>
      </c>
      <c r="AC37" s="915">
        <f t="shared" si="10"/>
        <v>0</v>
      </c>
      <c r="AD37" s="915">
        <f t="shared" si="11"/>
        <v>0</v>
      </c>
      <c r="AE37" s="915">
        <f t="shared" si="12"/>
        <v>0</v>
      </c>
      <c r="AF37" s="915">
        <f t="shared" si="63"/>
        <v>0</v>
      </c>
      <c r="AG37" s="915">
        <f t="shared" si="64"/>
        <v>0</v>
      </c>
      <c r="AH37" s="915">
        <f t="shared" si="65"/>
        <v>0</v>
      </c>
      <c r="AI37" s="915">
        <f t="shared" si="66"/>
        <v>0</v>
      </c>
      <c r="AJ37" s="915">
        <f t="shared" si="67"/>
        <v>0</v>
      </c>
      <c r="AK37" s="915">
        <f t="shared" si="68"/>
        <v>0</v>
      </c>
      <c r="AL37" s="915">
        <f t="shared" si="69"/>
        <v>0</v>
      </c>
      <c r="AM37" s="915">
        <f t="shared" si="70"/>
        <v>0</v>
      </c>
      <c r="AN37" s="915">
        <f t="shared" si="71"/>
        <v>0</v>
      </c>
      <c r="AO37" s="915">
        <f t="shared" si="72"/>
        <v>0</v>
      </c>
      <c r="AP37" s="915">
        <f t="shared" si="13"/>
        <v>0</v>
      </c>
      <c r="AQ37" s="915">
        <f t="shared" si="14"/>
        <v>0</v>
      </c>
      <c r="AR37" s="915">
        <f t="shared" si="15"/>
        <v>0</v>
      </c>
      <c r="AS37" s="915">
        <f t="shared" si="16"/>
        <v>0</v>
      </c>
      <c r="AT37" s="915">
        <f t="shared" si="17"/>
        <v>0</v>
      </c>
      <c r="AU37" s="915">
        <f t="shared" si="18"/>
        <v>0</v>
      </c>
      <c r="AV37" s="915">
        <f t="shared" si="19"/>
        <v>0</v>
      </c>
      <c r="AW37" s="915">
        <f t="shared" si="20"/>
        <v>0</v>
      </c>
      <c r="AX37" s="915">
        <f t="shared" si="21"/>
        <v>0</v>
      </c>
      <c r="AY37" s="915">
        <f t="shared" si="73"/>
        <v>10.6</v>
      </c>
      <c r="AZ37" s="915">
        <f t="shared" si="74"/>
        <v>0</v>
      </c>
      <c r="BA37" s="915">
        <f t="shared" si="75"/>
        <v>0</v>
      </c>
      <c r="BB37" s="915">
        <f t="shared" si="76"/>
        <v>0</v>
      </c>
      <c r="BC37" s="915">
        <f t="shared" si="77"/>
        <v>0</v>
      </c>
      <c r="BD37" s="915">
        <f t="shared" si="78"/>
        <v>0</v>
      </c>
      <c r="BE37" s="915">
        <f t="shared" si="79"/>
        <v>0</v>
      </c>
      <c r="BF37" s="915">
        <f t="shared" si="80"/>
        <v>0</v>
      </c>
      <c r="BG37" s="915">
        <f t="shared" si="81"/>
        <v>0</v>
      </c>
      <c r="BH37" s="915">
        <f t="shared" si="82"/>
        <v>0</v>
      </c>
      <c r="BI37" s="915">
        <f t="shared" si="83"/>
        <v>0</v>
      </c>
      <c r="BJ37" s="915">
        <f t="shared" si="22"/>
        <v>0</v>
      </c>
      <c r="BK37" s="915">
        <f t="shared" si="23"/>
        <v>0</v>
      </c>
      <c r="BL37" s="915">
        <f t="shared" si="24"/>
        <v>0</v>
      </c>
      <c r="BM37" s="915">
        <f t="shared" si="25"/>
        <v>0</v>
      </c>
      <c r="BN37" s="915">
        <f t="shared" si="26"/>
        <v>0</v>
      </c>
      <c r="BO37" s="915">
        <f t="shared" si="27"/>
        <v>0</v>
      </c>
      <c r="BP37" s="915">
        <f t="shared" si="28"/>
        <v>0</v>
      </c>
      <c r="BQ37" s="915">
        <f t="shared" si="29"/>
        <v>0</v>
      </c>
      <c r="BR37" s="915">
        <f t="shared" si="30"/>
        <v>0</v>
      </c>
      <c r="BS37" s="915">
        <f t="shared" si="31"/>
        <v>0</v>
      </c>
      <c r="BT37" s="915">
        <f t="shared" si="84"/>
        <v>0</v>
      </c>
      <c r="BU37" s="915">
        <f t="shared" si="84"/>
        <v>0</v>
      </c>
      <c r="BV37" s="915">
        <f t="shared" si="85"/>
        <v>0</v>
      </c>
      <c r="BW37" s="915">
        <f t="shared" si="86"/>
        <v>0</v>
      </c>
      <c r="BX37" s="915">
        <f t="shared" si="87"/>
        <v>0</v>
      </c>
      <c r="BY37" s="915">
        <f t="shared" si="88"/>
        <v>0</v>
      </c>
      <c r="BZ37" s="915">
        <f t="shared" si="89"/>
        <v>0</v>
      </c>
      <c r="CA37" s="915">
        <f t="shared" si="90"/>
        <v>0</v>
      </c>
      <c r="CB37" s="915">
        <f t="shared" si="91"/>
        <v>0</v>
      </c>
      <c r="CC37" s="915">
        <f t="shared" si="92"/>
        <v>0</v>
      </c>
      <c r="CD37" s="915">
        <f t="shared" si="32"/>
        <v>0</v>
      </c>
      <c r="CE37" s="915">
        <f t="shared" si="33"/>
        <v>0</v>
      </c>
      <c r="CF37" s="915">
        <f t="shared" si="34"/>
        <v>0</v>
      </c>
      <c r="CG37" s="915">
        <f t="shared" si="35"/>
        <v>0</v>
      </c>
      <c r="CH37" s="915">
        <f t="shared" si="36"/>
        <v>0</v>
      </c>
      <c r="CI37" s="915">
        <f t="shared" si="37"/>
        <v>0</v>
      </c>
      <c r="CJ37" s="915">
        <f t="shared" si="38"/>
        <v>0</v>
      </c>
      <c r="CK37" s="915">
        <f t="shared" si="39"/>
        <v>0</v>
      </c>
      <c r="CL37" s="915">
        <f t="shared" si="40"/>
        <v>0</v>
      </c>
      <c r="CM37" s="915">
        <f t="shared" si="41"/>
        <v>0</v>
      </c>
      <c r="CN37" s="915">
        <f t="shared" si="93"/>
        <v>0</v>
      </c>
      <c r="CO37" s="915">
        <f t="shared" si="94"/>
        <v>0</v>
      </c>
      <c r="CP37" s="915">
        <f t="shared" si="95"/>
        <v>0</v>
      </c>
      <c r="CQ37" s="915">
        <f t="shared" si="96"/>
        <v>0</v>
      </c>
      <c r="CR37" s="915">
        <f t="shared" si="97"/>
        <v>0</v>
      </c>
      <c r="CS37" s="915">
        <f t="shared" si="98"/>
        <v>0</v>
      </c>
      <c r="CT37" s="915">
        <f t="shared" si="99"/>
        <v>0</v>
      </c>
      <c r="CU37" s="915">
        <f t="shared" si="100"/>
        <v>0</v>
      </c>
      <c r="CV37" s="915">
        <f t="shared" si="101"/>
        <v>0</v>
      </c>
      <c r="CW37" s="915">
        <f t="shared" si="102"/>
        <v>0</v>
      </c>
      <c r="CX37" s="915">
        <f t="shared" si="42"/>
        <v>0</v>
      </c>
      <c r="CY37" s="915">
        <f t="shared" si="43"/>
        <v>0</v>
      </c>
      <c r="CZ37" s="915">
        <f t="shared" si="44"/>
        <v>0</v>
      </c>
      <c r="DA37" s="915">
        <f t="shared" si="45"/>
        <v>0</v>
      </c>
      <c r="DB37" s="915">
        <f t="shared" si="46"/>
        <v>0</v>
      </c>
      <c r="DC37" s="915">
        <f t="shared" si="47"/>
        <v>0</v>
      </c>
      <c r="DD37" s="915">
        <f t="shared" si="48"/>
        <v>0</v>
      </c>
      <c r="DE37" s="915">
        <f t="shared" si="49"/>
        <v>0</v>
      </c>
      <c r="DF37" s="915">
        <f t="shared" si="50"/>
        <v>0</v>
      </c>
      <c r="DG37" s="915">
        <f t="shared" si="51"/>
        <v>0</v>
      </c>
      <c r="DH37" s="915">
        <f t="shared" si="103"/>
        <v>0</v>
      </c>
      <c r="DI37" s="915">
        <f t="shared" si="104"/>
        <v>0</v>
      </c>
      <c r="DJ37" s="915">
        <f t="shared" si="105"/>
        <v>0</v>
      </c>
      <c r="DK37" s="915">
        <f t="shared" si="106"/>
        <v>0</v>
      </c>
      <c r="DL37" s="915">
        <f t="shared" si="107"/>
        <v>0</v>
      </c>
      <c r="DM37" s="915">
        <f t="shared" si="108"/>
        <v>0</v>
      </c>
      <c r="DN37" s="915">
        <f t="shared" si="109"/>
        <v>0</v>
      </c>
      <c r="DO37" s="915">
        <f t="shared" si="110"/>
        <v>0</v>
      </c>
      <c r="DP37" s="915">
        <f t="shared" si="111"/>
        <v>0</v>
      </c>
      <c r="DQ37" s="915">
        <f t="shared" si="112"/>
        <v>0</v>
      </c>
      <c r="DR37" s="915">
        <f t="shared" si="52"/>
        <v>0</v>
      </c>
      <c r="DS37" s="915">
        <f t="shared" si="53"/>
        <v>0</v>
      </c>
      <c r="DT37" s="915">
        <f t="shared" si="54"/>
        <v>0</v>
      </c>
      <c r="DU37" s="915">
        <f t="shared" si="55"/>
        <v>0</v>
      </c>
      <c r="DV37" s="915">
        <f t="shared" si="56"/>
        <v>0</v>
      </c>
      <c r="DW37" s="915">
        <f t="shared" si="57"/>
        <v>0</v>
      </c>
      <c r="DX37" s="915">
        <f t="shared" si="58"/>
        <v>0</v>
      </c>
      <c r="DY37" s="915">
        <f t="shared" si="59"/>
        <v>0</v>
      </c>
      <c r="DZ37" s="915">
        <f t="shared" si="60"/>
        <v>0</v>
      </c>
      <c r="EA37" s="915">
        <f t="shared" si="61"/>
        <v>0</v>
      </c>
      <c r="EB37" s="915">
        <f t="shared" si="113"/>
        <v>0</v>
      </c>
      <c r="EC37" s="915">
        <f t="shared" si="114"/>
        <v>0</v>
      </c>
      <c r="ED37" s="915">
        <f t="shared" si="115"/>
        <v>0</v>
      </c>
      <c r="EE37" s="915">
        <f t="shared" si="116"/>
        <v>0</v>
      </c>
      <c r="EF37" s="915">
        <f t="shared" si="117"/>
        <v>0</v>
      </c>
      <c r="EG37" s="915">
        <f t="shared" si="118"/>
        <v>0</v>
      </c>
      <c r="EH37" s="915">
        <f t="shared" si="119"/>
        <v>0</v>
      </c>
      <c r="EI37" s="915">
        <f t="shared" si="120"/>
        <v>0</v>
      </c>
      <c r="EJ37" s="915">
        <f t="shared" si="121"/>
        <v>0</v>
      </c>
      <c r="EK37" s="915">
        <f t="shared" si="122"/>
        <v>0</v>
      </c>
      <c r="EL37" s="915"/>
      <c r="EN37" s="533"/>
      <c r="EQ37" s="534"/>
    </row>
    <row r="38" spans="1:147" ht="14.1" customHeight="1" x14ac:dyDescent="0.2">
      <c r="A38" s="496">
        <v>31</v>
      </c>
      <c r="B38" s="1419"/>
      <c r="C38" s="1420"/>
      <c r="D38" s="264">
        <v>11</v>
      </c>
      <c r="E38" s="264" t="s">
        <v>1245</v>
      </c>
      <c r="F38" s="270" t="s">
        <v>2544</v>
      </c>
      <c r="G38" s="271">
        <v>1</v>
      </c>
      <c r="H38" s="803">
        <v>10</v>
      </c>
      <c r="I38" s="800">
        <f t="shared" si="126"/>
        <v>0.6</v>
      </c>
      <c r="J38" s="269">
        <f t="shared" si="127"/>
        <v>10.6</v>
      </c>
      <c r="K38" s="225"/>
      <c r="L38" s="941" t="str">
        <f>TabName11 &amp; " - WATER"</f>
        <v>Phase 11 - WATER</v>
      </c>
      <c r="M38" s="942">
        <f>AZ6</f>
        <v>21.2</v>
      </c>
      <c r="N38" s="949"/>
      <c r="V38" s="915">
        <f t="shared" si="3"/>
        <v>0</v>
      </c>
      <c r="W38" s="915">
        <f t="shared" si="4"/>
        <v>0</v>
      </c>
      <c r="X38" s="915">
        <f t="shared" si="5"/>
        <v>0</v>
      </c>
      <c r="Y38" s="915">
        <f t="shared" si="6"/>
        <v>0</v>
      </c>
      <c r="Z38" s="915">
        <f t="shared" si="7"/>
        <v>0</v>
      </c>
      <c r="AA38" s="915">
        <f t="shared" si="8"/>
        <v>0</v>
      </c>
      <c r="AB38" s="915">
        <f t="shared" si="9"/>
        <v>0</v>
      </c>
      <c r="AC38" s="915">
        <f t="shared" si="10"/>
        <v>0</v>
      </c>
      <c r="AD38" s="915">
        <f t="shared" si="11"/>
        <v>0</v>
      </c>
      <c r="AE38" s="915">
        <f t="shared" si="12"/>
        <v>0</v>
      </c>
      <c r="AF38" s="915">
        <f t="shared" si="63"/>
        <v>0</v>
      </c>
      <c r="AG38" s="915">
        <f t="shared" si="64"/>
        <v>0</v>
      </c>
      <c r="AH38" s="915">
        <f t="shared" si="65"/>
        <v>0</v>
      </c>
      <c r="AI38" s="915">
        <f t="shared" si="66"/>
        <v>0</v>
      </c>
      <c r="AJ38" s="915">
        <f t="shared" si="67"/>
        <v>0</v>
      </c>
      <c r="AK38" s="915">
        <f t="shared" si="68"/>
        <v>0</v>
      </c>
      <c r="AL38" s="915">
        <f t="shared" si="69"/>
        <v>0</v>
      </c>
      <c r="AM38" s="915">
        <f t="shared" si="70"/>
        <v>0</v>
      </c>
      <c r="AN38" s="915">
        <f t="shared" si="71"/>
        <v>0</v>
      </c>
      <c r="AO38" s="915">
        <f t="shared" si="72"/>
        <v>0</v>
      </c>
      <c r="AP38" s="915">
        <f t="shared" si="13"/>
        <v>0</v>
      </c>
      <c r="AQ38" s="915">
        <f t="shared" si="14"/>
        <v>0</v>
      </c>
      <c r="AR38" s="915">
        <f t="shared" si="15"/>
        <v>0</v>
      </c>
      <c r="AS38" s="915">
        <f t="shared" si="16"/>
        <v>0</v>
      </c>
      <c r="AT38" s="915">
        <f t="shared" si="17"/>
        <v>0</v>
      </c>
      <c r="AU38" s="915">
        <f t="shared" si="18"/>
        <v>0</v>
      </c>
      <c r="AV38" s="915">
        <f t="shared" si="19"/>
        <v>0</v>
      </c>
      <c r="AW38" s="915">
        <f t="shared" si="20"/>
        <v>0</v>
      </c>
      <c r="AX38" s="915">
        <f t="shared" si="21"/>
        <v>0</v>
      </c>
      <c r="AY38" s="915">
        <f t="shared" si="73"/>
        <v>0</v>
      </c>
      <c r="AZ38" s="915">
        <f t="shared" si="74"/>
        <v>10.6</v>
      </c>
      <c r="BA38" s="915">
        <f t="shared" si="75"/>
        <v>0</v>
      </c>
      <c r="BB38" s="915">
        <f t="shared" si="76"/>
        <v>0</v>
      </c>
      <c r="BC38" s="915">
        <f t="shared" si="77"/>
        <v>0</v>
      </c>
      <c r="BD38" s="915">
        <f t="shared" si="78"/>
        <v>0</v>
      </c>
      <c r="BE38" s="915">
        <f t="shared" si="79"/>
        <v>0</v>
      </c>
      <c r="BF38" s="915">
        <f t="shared" si="80"/>
        <v>0</v>
      </c>
      <c r="BG38" s="915">
        <f t="shared" si="81"/>
        <v>0</v>
      </c>
      <c r="BH38" s="915">
        <f t="shared" si="82"/>
        <v>0</v>
      </c>
      <c r="BI38" s="915">
        <f t="shared" si="83"/>
        <v>0</v>
      </c>
      <c r="BJ38" s="915">
        <f t="shared" si="22"/>
        <v>0</v>
      </c>
      <c r="BK38" s="915">
        <f t="shared" si="23"/>
        <v>0</v>
      </c>
      <c r="BL38" s="915">
        <f t="shared" si="24"/>
        <v>0</v>
      </c>
      <c r="BM38" s="915">
        <f t="shared" si="25"/>
        <v>0</v>
      </c>
      <c r="BN38" s="915">
        <f t="shared" si="26"/>
        <v>0</v>
      </c>
      <c r="BO38" s="915">
        <f t="shared" si="27"/>
        <v>0</v>
      </c>
      <c r="BP38" s="915">
        <f t="shared" si="28"/>
        <v>0</v>
      </c>
      <c r="BQ38" s="915">
        <f t="shared" si="29"/>
        <v>0</v>
      </c>
      <c r="BR38" s="915">
        <f t="shared" si="30"/>
        <v>0</v>
      </c>
      <c r="BS38" s="915">
        <f t="shared" si="31"/>
        <v>0</v>
      </c>
      <c r="BT38" s="915">
        <f t="shared" si="84"/>
        <v>0</v>
      </c>
      <c r="BU38" s="915">
        <f t="shared" si="84"/>
        <v>0</v>
      </c>
      <c r="BV38" s="915">
        <f t="shared" si="85"/>
        <v>0</v>
      </c>
      <c r="BW38" s="915">
        <f t="shared" si="86"/>
        <v>0</v>
      </c>
      <c r="BX38" s="915">
        <f t="shared" si="87"/>
        <v>0</v>
      </c>
      <c r="BY38" s="915">
        <f t="shared" si="88"/>
        <v>0</v>
      </c>
      <c r="BZ38" s="915">
        <f t="shared" si="89"/>
        <v>0</v>
      </c>
      <c r="CA38" s="915">
        <f t="shared" si="90"/>
        <v>0</v>
      </c>
      <c r="CB38" s="915">
        <f t="shared" si="91"/>
        <v>0</v>
      </c>
      <c r="CC38" s="915">
        <f t="shared" si="92"/>
        <v>0</v>
      </c>
      <c r="CD38" s="915">
        <f t="shared" si="32"/>
        <v>0</v>
      </c>
      <c r="CE38" s="915">
        <f t="shared" si="33"/>
        <v>0</v>
      </c>
      <c r="CF38" s="915">
        <f t="shared" si="34"/>
        <v>0</v>
      </c>
      <c r="CG38" s="915">
        <f t="shared" si="35"/>
        <v>0</v>
      </c>
      <c r="CH38" s="915">
        <f t="shared" si="36"/>
        <v>0</v>
      </c>
      <c r="CI38" s="915">
        <f t="shared" si="37"/>
        <v>0</v>
      </c>
      <c r="CJ38" s="915">
        <f t="shared" si="38"/>
        <v>0</v>
      </c>
      <c r="CK38" s="915">
        <f t="shared" si="39"/>
        <v>0</v>
      </c>
      <c r="CL38" s="915">
        <f t="shared" si="40"/>
        <v>0</v>
      </c>
      <c r="CM38" s="915">
        <f t="shared" si="41"/>
        <v>0</v>
      </c>
      <c r="CN38" s="915">
        <f t="shared" si="93"/>
        <v>0</v>
      </c>
      <c r="CO38" s="915">
        <f t="shared" si="94"/>
        <v>0</v>
      </c>
      <c r="CP38" s="915">
        <f t="shared" si="95"/>
        <v>0</v>
      </c>
      <c r="CQ38" s="915">
        <f t="shared" si="96"/>
        <v>0</v>
      </c>
      <c r="CR38" s="915">
        <f t="shared" si="97"/>
        <v>0</v>
      </c>
      <c r="CS38" s="915">
        <f t="shared" si="98"/>
        <v>0</v>
      </c>
      <c r="CT38" s="915">
        <f t="shared" si="99"/>
        <v>0</v>
      </c>
      <c r="CU38" s="915">
        <f t="shared" si="100"/>
        <v>0</v>
      </c>
      <c r="CV38" s="915">
        <f t="shared" si="101"/>
        <v>0</v>
      </c>
      <c r="CW38" s="915">
        <f t="shared" si="102"/>
        <v>0</v>
      </c>
      <c r="CX38" s="915">
        <f t="shared" si="42"/>
        <v>0</v>
      </c>
      <c r="CY38" s="915">
        <f t="shared" si="43"/>
        <v>0</v>
      </c>
      <c r="CZ38" s="915">
        <f t="shared" si="44"/>
        <v>0</v>
      </c>
      <c r="DA38" s="915">
        <f t="shared" si="45"/>
        <v>0</v>
      </c>
      <c r="DB38" s="915">
        <f t="shared" si="46"/>
        <v>0</v>
      </c>
      <c r="DC38" s="915">
        <f t="shared" si="47"/>
        <v>0</v>
      </c>
      <c r="DD38" s="915">
        <f t="shared" si="48"/>
        <v>0</v>
      </c>
      <c r="DE38" s="915">
        <f t="shared" si="49"/>
        <v>0</v>
      </c>
      <c r="DF38" s="915">
        <f t="shared" si="50"/>
        <v>0</v>
      </c>
      <c r="DG38" s="915">
        <f t="shared" si="51"/>
        <v>0</v>
      </c>
      <c r="DH38" s="915">
        <f t="shared" si="103"/>
        <v>0</v>
      </c>
      <c r="DI38" s="915">
        <f t="shared" si="104"/>
        <v>0</v>
      </c>
      <c r="DJ38" s="915">
        <f t="shared" si="105"/>
        <v>0</v>
      </c>
      <c r="DK38" s="915">
        <f t="shared" si="106"/>
        <v>0</v>
      </c>
      <c r="DL38" s="915">
        <f t="shared" si="107"/>
        <v>0</v>
      </c>
      <c r="DM38" s="915">
        <f t="shared" si="108"/>
        <v>0</v>
      </c>
      <c r="DN38" s="915">
        <f t="shared" si="109"/>
        <v>0</v>
      </c>
      <c r="DO38" s="915">
        <f t="shared" si="110"/>
        <v>0</v>
      </c>
      <c r="DP38" s="915">
        <f t="shared" si="111"/>
        <v>0</v>
      </c>
      <c r="DQ38" s="915">
        <f t="shared" si="112"/>
        <v>0</v>
      </c>
      <c r="DR38" s="915">
        <f t="shared" si="52"/>
        <v>0</v>
      </c>
      <c r="DS38" s="915">
        <f t="shared" si="53"/>
        <v>0</v>
      </c>
      <c r="DT38" s="915">
        <f t="shared" si="54"/>
        <v>0</v>
      </c>
      <c r="DU38" s="915">
        <f t="shared" si="55"/>
        <v>0</v>
      </c>
      <c r="DV38" s="915">
        <f t="shared" si="56"/>
        <v>0</v>
      </c>
      <c r="DW38" s="915">
        <f t="shared" si="57"/>
        <v>0</v>
      </c>
      <c r="DX38" s="915">
        <f t="shared" si="58"/>
        <v>0</v>
      </c>
      <c r="DY38" s="915">
        <f t="shared" si="59"/>
        <v>0</v>
      </c>
      <c r="DZ38" s="915">
        <f t="shared" si="60"/>
        <v>0</v>
      </c>
      <c r="EA38" s="915">
        <f t="shared" si="61"/>
        <v>0</v>
      </c>
      <c r="EB38" s="915">
        <f t="shared" si="113"/>
        <v>0</v>
      </c>
      <c r="EC38" s="915">
        <f t="shared" si="114"/>
        <v>0</v>
      </c>
      <c r="ED38" s="915">
        <f t="shared" si="115"/>
        <v>0</v>
      </c>
      <c r="EE38" s="915">
        <f t="shared" si="116"/>
        <v>0</v>
      </c>
      <c r="EF38" s="915">
        <f t="shared" si="117"/>
        <v>0</v>
      </c>
      <c r="EG38" s="915">
        <f t="shared" si="118"/>
        <v>0</v>
      </c>
      <c r="EH38" s="915">
        <f t="shared" si="119"/>
        <v>0</v>
      </c>
      <c r="EI38" s="915">
        <f t="shared" si="120"/>
        <v>0</v>
      </c>
      <c r="EJ38" s="915">
        <f t="shared" si="121"/>
        <v>0</v>
      </c>
      <c r="EK38" s="915">
        <f t="shared" si="122"/>
        <v>0</v>
      </c>
      <c r="EL38" s="915"/>
      <c r="EN38" s="533"/>
      <c r="EQ38" s="534"/>
    </row>
    <row r="39" spans="1:147" ht="14.1" customHeight="1" x14ac:dyDescent="0.2">
      <c r="A39" s="497">
        <v>32</v>
      </c>
      <c r="B39" s="1423"/>
      <c r="C39" s="1424"/>
      <c r="D39" s="1020">
        <v>12</v>
      </c>
      <c r="E39" s="138" t="s">
        <v>1245</v>
      </c>
      <c r="F39" s="139" t="s">
        <v>2544</v>
      </c>
      <c r="G39" s="91">
        <v>1</v>
      </c>
      <c r="H39" s="1022">
        <v>10</v>
      </c>
      <c r="I39" s="801">
        <f t="shared" si="126"/>
        <v>0.6</v>
      </c>
      <c r="J39" s="1021">
        <f t="shared" si="127"/>
        <v>10.6</v>
      </c>
      <c r="K39" s="225"/>
      <c r="L39" s="941" t="str">
        <f>TabName12 &amp; " - WATER"</f>
        <v>Phase 12 - WATER</v>
      </c>
      <c r="M39" s="942">
        <f>BA6</f>
        <v>21.2</v>
      </c>
      <c r="N39" s="949"/>
      <c r="V39" s="915">
        <f t="shared" si="3"/>
        <v>0</v>
      </c>
      <c r="W39" s="915">
        <f t="shared" si="4"/>
        <v>0</v>
      </c>
      <c r="X39" s="915">
        <f t="shared" si="5"/>
        <v>0</v>
      </c>
      <c r="Y39" s="915">
        <f t="shared" si="6"/>
        <v>0</v>
      </c>
      <c r="Z39" s="915">
        <f t="shared" si="7"/>
        <v>0</v>
      </c>
      <c r="AA39" s="915">
        <f t="shared" si="8"/>
        <v>0</v>
      </c>
      <c r="AB39" s="915">
        <f t="shared" si="9"/>
        <v>0</v>
      </c>
      <c r="AC39" s="915">
        <f t="shared" si="10"/>
        <v>0</v>
      </c>
      <c r="AD39" s="915">
        <f t="shared" si="11"/>
        <v>0</v>
      </c>
      <c r="AE39" s="915">
        <f t="shared" si="12"/>
        <v>0</v>
      </c>
      <c r="AF39" s="915">
        <f t="shared" si="63"/>
        <v>0</v>
      </c>
      <c r="AG39" s="915">
        <f t="shared" si="64"/>
        <v>0</v>
      </c>
      <c r="AH39" s="915">
        <f t="shared" si="65"/>
        <v>0</v>
      </c>
      <c r="AI39" s="915">
        <f t="shared" si="66"/>
        <v>0</v>
      </c>
      <c r="AJ39" s="915">
        <f t="shared" si="67"/>
        <v>0</v>
      </c>
      <c r="AK39" s="915">
        <f t="shared" si="68"/>
        <v>0</v>
      </c>
      <c r="AL39" s="915">
        <f t="shared" si="69"/>
        <v>0</v>
      </c>
      <c r="AM39" s="915">
        <f t="shared" si="70"/>
        <v>0</v>
      </c>
      <c r="AN39" s="915">
        <f t="shared" si="71"/>
        <v>0</v>
      </c>
      <c r="AO39" s="915">
        <f t="shared" si="72"/>
        <v>0</v>
      </c>
      <c r="AP39" s="915">
        <f t="shared" si="13"/>
        <v>0</v>
      </c>
      <c r="AQ39" s="915">
        <f t="shared" si="14"/>
        <v>0</v>
      </c>
      <c r="AR39" s="915">
        <f t="shared" si="15"/>
        <v>0</v>
      </c>
      <c r="AS39" s="915">
        <f t="shared" si="16"/>
        <v>0</v>
      </c>
      <c r="AT39" s="915">
        <f t="shared" si="17"/>
        <v>0</v>
      </c>
      <c r="AU39" s="915">
        <f t="shared" si="18"/>
        <v>0</v>
      </c>
      <c r="AV39" s="915">
        <f t="shared" si="19"/>
        <v>0</v>
      </c>
      <c r="AW39" s="915">
        <f t="shared" si="20"/>
        <v>0</v>
      </c>
      <c r="AX39" s="915">
        <f t="shared" si="21"/>
        <v>0</v>
      </c>
      <c r="AY39" s="915">
        <f t="shared" si="73"/>
        <v>0</v>
      </c>
      <c r="AZ39" s="915">
        <f t="shared" si="74"/>
        <v>0</v>
      </c>
      <c r="BA39" s="915">
        <f t="shared" si="75"/>
        <v>10.6</v>
      </c>
      <c r="BB39" s="915">
        <f t="shared" si="76"/>
        <v>0</v>
      </c>
      <c r="BC39" s="915">
        <f t="shared" si="77"/>
        <v>0</v>
      </c>
      <c r="BD39" s="915">
        <f t="shared" si="78"/>
        <v>0</v>
      </c>
      <c r="BE39" s="915">
        <f t="shared" si="79"/>
        <v>0</v>
      </c>
      <c r="BF39" s="915">
        <f t="shared" si="80"/>
        <v>0</v>
      </c>
      <c r="BG39" s="915">
        <f t="shared" si="81"/>
        <v>0</v>
      </c>
      <c r="BH39" s="915">
        <f t="shared" si="82"/>
        <v>0</v>
      </c>
      <c r="BI39" s="915">
        <f t="shared" si="83"/>
        <v>0</v>
      </c>
      <c r="BJ39" s="915">
        <f t="shared" si="22"/>
        <v>0</v>
      </c>
      <c r="BK39" s="915">
        <f t="shared" si="23"/>
        <v>0</v>
      </c>
      <c r="BL39" s="915">
        <f t="shared" si="24"/>
        <v>0</v>
      </c>
      <c r="BM39" s="915">
        <f t="shared" si="25"/>
        <v>0</v>
      </c>
      <c r="BN39" s="915">
        <f t="shared" si="26"/>
        <v>0</v>
      </c>
      <c r="BO39" s="915">
        <f t="shared" si="27"/>
        <v>0</v>
      </c>
      <c r="BP39" s="915">
        <f t="shared" si="28"/>
        <v>0</v>
      </c>
      <c r="BQ39" s="915">
        <f t="shared" si="29"/>
        <v>0</v>
      </c>
      <c r="BR39" s="915">
        <f t="shared" si="30"/>
        <v>0</v>
      </c>
      <c r="BS39" s="915">
        <f t="shared" si="31"/>
        <v>0</v>
      </c>
      <c r="BT39" s="915">
        <f t="shared" si="84"/>
        <v>0</v>
      </c>
      <c r="BU39" s="915">
        <f t="shared" si="84"/>
        <v>0</v>
      </c>
      <c r="BV39" s="915">
        <f t="shared" si="85"/>
        <v>0</v>
      </c>
      <c r="BW39" s="915">
        <f t="shared" si="86"/>
        <v>0</v>
      </c>
      <c r="BX39" s="915">
        <f t="shared" si="87"/>
        <v>0</v>
      </c>
      <c r="BY39" s="915">
        <f t="shared" si="88"/>
        <v>0</v>
      </c>
      <c r="BZ39" s="915">
        <f t="shared" si="89"/>
        <v>0</v>
      </c>
      <c r="CA39" s="915">
        <f t="shared" si="90"/>
        <v>0</v>
      </c>
      <c r="CB39" s="915">
        <f t="shared" si="91"/>
        <v>0</v>
      </c>
      <c r="CC39" s="915">
        <f t="shared" si="92"/>
        <v>0</v>
      </c>
      <c r="CD39" s="915">
        <f t="shared" si="32"/>
        <v>0</v>
      </c>
      <c r="CE39" s="915">
        <f t="shared" si="33"/>
        <v>0</v>
      </c>
      <c r="CF39" s="915">
        <f t="shared" si="34"/>
        <v>0</v>
      </c>
      <c r="CG39" s="915">
        <f t="shared" si="35"/>
        <v>0</v>
      </c>
      <c r="CH39" s="915">
        <f t="shared" si="36"/>
        <v>0</v>
      </c>
      <c r="CI39" s="915">
        <f t="shared" si="37"/>
        <v>0</v>
      </c>
      <c r="CJ39" s="915">
        <f t="shared" si="38"/>
        <v>0</v>
      </c>
      <c r="CK39" s="915">
        <f t="shared" si="39"/>
        <v>0</v>
      </c>
      <c r="CL39" s="915">
        <f t="shared" si="40"/>
        <v>0</v>
      </c>
      <c r="CM39" s="915">
        <f t="shared" si="41"/>
        <v>0</v>
      </c>
      <c r="CN39" s="915">
        <f t="shared" si="93"/>
        <v>0</v>
      </c>
      <c r="CO39" s="915">
        <f t="shared" si="94"/>
        <v>0</v>
      </c>
      <c r="CP39" s="915">
        <f t="shared" si="95"/>
        <v>0</v>
      </c>
      <c r="CQ39" s="915">
        <f t="shared" si="96"/>
        <v>0</v>
      </c>
      <c r="CR39" s="915">
        <f t="shared" si="97"/>
        <v>0</v>
      </c>
      <c r="CS39" s="915">
        <f t="shared" si="98"/>
        <v>0</v>
      </c>
      <c r="CT39" s="915">
        <f t="shared" si="99"/>
        <v>0</v>
      </c>
      <c r="CU39" s="915">
        <f t="shared" si="100"/>
        <v>0</v>
      </c>
      <c r="CV39" s="915">
        <f t="shared" si="101"/>
        <v>0</v>
      </c>
      <c r="CW39" s="915">
        <f t="shared" si="102"/>
        <v>0</v>
      </c>
      <c r="CX39" s="915">
        <f t="shared" si="42"/>
        <v>0</v>
      </c>
      <c r="CY39" s="915">
        <f t="shared" si="43"/>
        <v>0</v>
      </c>
      <c r="CZ39" s="915">
        <f t="shared" si="44"/>
        <v>0</v>
      </c>
      <c r="DA39" s="915">
        <f t="shared" si="45"/>
        <v>0</v>
      </c>
      <c r="DB39" s="915">
        <f t="shared" si="46"/>
        <v>0</v>
      </c>
      <c r="DC39" s="915">
        <f t="shared" si="47"/>
        <v>0</v>
      </c>
      <c r="DD39" s="915">
        <f t="shared" si="48"/>
        <v>0</v>
      </c>
      <c r="DE39" s="915">
        <f t="shared" si="49"/>
        <v>0</v>
      </c>
      <c r="DF39" s="915">
        <f t="shared" si="50"/>
        <v>0</v>
      </c>
      <c r="DG39" s="915">
        <f t="shared" si="51"/>
        <v>0</v>
      </c>
      <c r="DH39" s="915">
        <f t="shared" si="103"/>
        <v>0</v>
      </c>
      <c r="DI39" s="915">
        <f t="shared" si="104"/>
        <v>0</v>
      </c>
      <c r="DJ39" s="915">
        <f t="shared" si="105"/>
        <v>0</v>
      </c>
      <c r="DK39" s="915">
        <f t="shared" si="106"/>
        <v>0</v>
      </c>
      <c r="DL39" s="915">
        <f t="shared" si="107"/>
        <v>0</v>
      </c>
      <c r="DM39" s="915">
        <f t="shared" si="108"/>
        <v>0</v>
      </c>
      <c r="DN39" s="915">
        <f t="shared" si="109"/>
        <v>0</v>
      </c>
      <c r="DO39" s="915">
        <f t="shared" si="110"/>
        <v>0</v>
      </c>
      <c r="DP39" s="915">
        <f t="shared" si="111"/>
        <v>0</v>
      </c>
      <c r="DQ39" s="915">
        <f t="shared" si="112"/>
        <v>0</v>
      </c>
      <c r="DR39" s="915">
        <f t="shared" si="52"/>
        <v>0</v>
      </c>
      <c r="DS39" s="915">
        <f t="shared" si="53"/>
        <v>0</v>
      </c>
      <c r="DT39" s="915">
        <f t="shared" si="54"/>
        <v>0</v>
      </c>
      <c r="DU39" s="915">
        <f t="shared" si="55"/>
        <v>0</v>
      </c>
      <c r="DV39" s="915">
        <f t="shared" si="56"/>
        <v>0</v>
      </c>
      <c r="DW39" s="915">
        <f t="shared" si="57"/>
        <v>0</v>
      </c>
      <c r="DX39" s="915">
        <f t="shared" si="58"/>
        <v>0</v>
      </c>
      <c r="DY39" s="915">
        <f t="shared" si="59"/>
        <v>0</v>
      </c>
      <c r="DZ39" s="915">
        <f t="shared" si="60"/>
        <v>0</v>
      </c>
      <c r="EA39" s="915">
        <f t="shared" si="61"/>
        <v>0</v>
      </c>
      <c r="EB39" s="915">
        <f t="shared" si="113"/>
        <v>0</v>
      </c>
      <c r="EC39" s="915">
        <f t="shared" si="114"/>
        <v>0</v>
      </c>
      <c r="ED39" s="915">
        <f t="shared" si="115"/>
        <v>0</v>
      </c>
      <c r="EE39" s="915">
        <f t="shared" si="116"/>
        <v>0</v>
      </c>
      <c r="EF39" s="915">
        <f t="shared" si="117"/>
        <v>0</v>
      </c>
      <c r="EG39" s="915">
        <f t="shared" si="118"/>
        <v>0</v>
      </c>
      <c r="EH39" s="915">
        <f t="shared" si="119"/>
        <v>0</v>
      </c>
      <c r="EI39" s="915">
        <f t="shared" si="120"/>
        <v>0</v>
      </c>
      <c r="EJ39" s="915">
        <f t="shared" si="121"/>
        <v>0</v>
      </c>
      <c r="EK39" s="915">
        <f t="shared" si="122"/>
        <v>0</v>
      </c>
      <c r="EL39" s="915"/>
      <c r="EN39" s="533"/>
      <c r="EQ39" s="534"/>
    </row>
    <row r="40" spans="1:147" ht="14.1" customHeight="1" x14ac:dyDescent="0.2">
      <c r="A40" s="496">
        <v>33</v>
      </c>
      <c r="B40" s="1419"/>
      <c r="C40" s="1420"/>
      <c r="D40" s="264">
        <v>13</v>
      </c>
      <c r="E40" s="264" t="s">
        <v>1245</v>
      </c>
      <c r="F40" s="270" t="s">
        <v>2544</v>
      </c>
      <c r="G40" s="271">
        <v>1</v>
      </c>
      <c r="H40" s="803">
        <v>10</v>
      </c>
      <c r="I40" s="800">
        <f t="shared" si="126"/>
        <v>0.6</v>
      </c>
      <c r="J40" s="269">
        <f t="shared" si="127"/>
        <v>10.6</v>
      </c>
      <c r="K40" s="225"/>
      <c r="L40" s="941" t="str">
        <f>TabName13 &amp; " - WATER"</f>
        <v>Phase 13 - WATER</v>
      </c>
      <c r="M40" s="942">
        <f>BB6</f>
        <v>21.2</v>
      </c>
      <c r="N40" s="949"/>
      <c r="V40" s="915">
        <f t="shared" si="3"/>
        <v>0</v>
      </c>
      <c r="W40" s="915">
        <f t="shared" si="4"/>
        <v>0</v>
      </c>
      <c r="X40" s="915">
        <f t="shared" si="5"/>
        <v>0</v>
      </c>
      <c r="Y40" s="915">
        <f t="shared" si="6"/>
        <v>0</v>
      </c>
      <c r="Z40" s="915">
        <f t="shared" si="7"/>
        <v>0</v>
      </c>
      <c r="AA40" s="915">
        <f t="shared" si="8"/>
        <v>0</v>
      </c>
      <c r="AB40" s="915">
        <f t="shared" si="9"/>
        <v>0</v>
      </c>
      <c r="AC40" s="915">
        <f t="shared" si="10"/>
        <v>0</v>
      </c>
      <c r="AD40" s="915">
        <f t="shared" si="11"/>
        <v>0</v>
      </c>
      <c r="AE40" s="915">
        <f t="shared" si="12"/>
        <v>0</v>
      </c>
      <c r="AF40" s="915">
        <f t="shared" si="63"/>
        <v>0</v>
      </c>
      <c r="AG40" s="915">
        <f t="shared" si="64"/>
        <v>0</v>
      </c>
      <c r="AH40" s="915">
        <f t="shared" si="65"/>
        <v>0</v>
      </c>
      <c r="AI40" s="915">
        <f t="shared" si="66"/>
        <v>0</v>
      </c>
      <c r="AJ40" s="915">
        <f t="shared" si="67"/>
        <v>0</v>
      </c>
      <c r="AK40" s="915">
        <f t="shared" si="68"/>
        <v>0</v>
      </c>
      <c r="AL40" s="915">
        <f t="shared" si="69"/>
        <v>0</v>
      </c>
      <c r="AM40" s="915">
        <f t="shared" si="70"/>
        <v>0</v>
      </c>
      <c r="AN40" s="915">
        <f t="shared" si="71"/>
        <v>0</v>
      </c>
      <c r="AO40" s="915">
        <f t="shared" si="72"/>
        <v>0</v>
      </c>
      <c r="AP40" s="915">
        <f t="shared" si="13"/>
        <v>0</v>
      </c>
      <c r="AQ40" s="915">
        <f t="shared" si="14"/>
        <v>0</v>
      </c>
      <c r="AR40" s="915">
        <f t="shared" si="15"/>
        <v>0</v>
      </c>
      <c r="AS40" s="915">
        <f t="shared" si="16"/>
        <v>0</v>
      </c>
      <c r="AT40" s="915">
        <f t="shared" si="17"/>
        <v>0</v>
      </c>
      <c r="AU40" s="915">
        <f t="shared" si="18"/>
        <v>0</v>
      </c>
      <c r="AV40" s="915">
        <f t="shared" si="19"/>
        <v>0</v>
      </c>
      <c r="AW40" s="915">
        <f t="shared" si="20"/>
        <v>0</v>
      </c>
      <c r="AX40" s="915">
        <f t="shared" si="21"/>
        <v>0</v>
      </c>
      <c r="AY40" s="915">
        <f t="shared" si="73"/>
        <v>0</v>
      </c>
      <c r="AZ40" s="915">
        <f t="shared" si="74"/>
        <v>0</v>
      </c>
      <c r="BA40" s="915">
        <f t="shared" si="75"/>
        <v>0</v>
      </c>
      <c r="BB40" s="915">
        <f t="shared" si="76"/>
        <v>10.6</v>
      </c>
      <c r="BC40" s="915">
        <f t="shared" si="77"/>
        <v>0</v>
      </c>
      <c r="BD40" s="915">
        <f t="shared" si="78"/>
        <v>0</v>
      </c>
      <c r="BE40" s="915">
        <f t="shared" si="79"/>
        <v>0</v>
      </c>
      <c r="BF40" s="915">
        <f t="shared" si="80"/>
        <v>0</v>
      </c>
      <c r="BG40" s="915">
        <f t="shared" si="81"/>
        <v>0</v>
      </c>
      <c r="BH40" s="915">
        <f t="shared" si="82"/>
        <v>0</v>
      </c>
      <c r="BI40" s="915">
        <f t="shared" si="83"/>
        <v>0</v>
      </c>
      <c r="BJ40" s="915">
        <f t="shared" si="22"/>
        <v>0</v>
      </c>
      <c r="BK40" s="915">
        <f t="shared" si="23"/>
        <v>0</v>
      </c>
      <c r="BL40" s="915">
        <f t="shared" si="24"/>
        <v>0</v>
      </c>
      <c r="BM40" s="915">
        <f t="shared" si="25"/>
        <v>0</v>
      </c>
      <c r="BN40" s="915">
        <f t="shared" si="26"/>
        <v>0</v>
      </c>
      <c r="BO40" s="915">
        <f t="shared" si="27"/>
        <v>0</v>
      </c>
      <c r="BP40" s="915">
        <f t="shared" si="28"/>
        <v>0</v>
      </c>
      <c r="BQ40" s="915">
        <f t="shared" si="29"/>
        <v>0</v>
      </c>
      <c r="BR40" s="915">
        <f t="shared" si="30"/>
        <v>0</v>
      </c>
      <c r="BS40" s="915">
        <f t="shared" si="31"/>
        <v>0</v>
      </c>
      <c r="BT40" s="915">
        <f t="shared" si="84"/>
        <v>0</v>
      </c>
      <c r="BU40" s="915">
        <f t="shared" si="84"/>
        <v>0</v>
      </c>
      <c r="BV40" s="915">
        <f t="shared" si="85"/>
        <v>0</v>
      </c>
      <c r="BW40" s="915">
        <f t="shared" si="86"/>
        <v>0</v>
      </c>
      <c r="BX40" s="915">
        <f t="shared" si="87"/>
        <v>0</v>
      </c>
      <c r="BY40" s="915">
        <f t="shared" si="88"/>
        <v>0</v>
      </c>
      <c r="BZ40" s="915">
        <f t="shared" si="89"/>
        <v>0</v>
      </c>
      <c r="CA40" s="915">
        <f t="shared" si="90"/>
        <v>0</v>
      </c>
      <c r="CB40" s="915">
        <f t="shared" si="91"/>
        <v>0</v>
      </c>
      <c r="CC40" s="915">
        <f t="shared" si="92"/>
        <v>0</v>
      </c>
      <c r="CD40" s="915">
        <f t="shared" si="32"/>
        <v>0</v>
      </c>
      <c r="CE40" s="915">
        <f t="shared" si="33"/>
        <v>0</v>
      </c>
      <c r="CF40" s="915">
        <f t="shared" si="34"/>
        <v>0</v>
      </c>
      <c r="CG40" s="915">
        <f t="shared" si="35"/>
        <v>0</v>
      </c>
      <c r="CH40" s="915">
        <f t="shared" si="36"/>
        <v>0</v>
      </c>
      <c r="CI40" s="915">
        <f t="shared" si="37"/>
        <v>0</v>
      </c>
      <c r="CJ40" s="915">
        <f t="shared" si="38"/>
        <v>0</v>
      </c>
      <c r="CK40" s="915">
        <f t="shared" si="39"/>
        <v>0</v>
      </c>
      <c r="CL40" s="915">
        <f t="shared" si="40"/>
        <v>0</v>
      </c>
      <c r="CM40" s="915">
        <f t="shared" si="41"/>
        <v>0</v>
      </c>
      <c r="CN40" s="915">
        <f t="shared" si="93"/>
        <v>0</v>
      </c>
      <c r="CO40" s="915">
        <f t="shared" si="94"/>
        <v>0</v>
      </c>
      <c r="CP40" s="915">
        <f t="shared" si="95"/>
        <v>0</v>
      </c>
      <c r="CQ40" s="915">
        <f t="shared" si="96"/>
        <v>0</v>
      </c>
      <c r="CR40" s="915">
        <f t="shared" si="97"/>
        <v>0</v>
      </c>
      <c r="CS40" s="915">
        <f t="shared" si="98"/>
        <v>0</v>
      </c>
      <c r="CT40" s="915">
        <f t="shared" si="99"/>
        <v>0</v>
      </c>
      <c r="CU40" s="915">
        <f t="shared" si="100"/>
        <v>0</v>
      </c>
      <c r="CV40" s="915">
        <f t="shared" si="101"/>
        <v>0</v>
      </c>
      <c r="CW40" s="915">
        <f t="shared" si="102"/>
        <v>0</v>
      </c>
      <c r="CX40" s="915">
        <f t="shared" si="42"/>
        <v>0</v>
      </c>
      <c r="CY40" s="915">
        <f t="shared" si="43"/>
        <v>0</v>
      </c>
      <c r="CZ40" s="915">
        <f t="shared" si="44"/>
        <v>0</v>
      </c>
      <c r="DA40" s="915">
        <f t="shared" si="45"/>
        <v>0</v>
      </c>
      <c r="DB40" s="915">
        <f t="shared" si="46"/>
        <v>0</v>
      </c>
      <c r="DC40" s="915">
        <f t="shared" si="47"/>
        <v>0</v>
      </c>
      <c r="DD40" s="915">
        <f t="shared" si="48"/>
        <v>0</v>
      </c>
      <c r="DE40" s="915">
        <f t="shared" si="49"/>
        <v>0</v>
      </c>
      <c r="DF40" s="915">
        <f t="shared" si="50"/>
        <v>0</v>
      </c>
      <c r="DG40" s="915">
        <f t="shared" si="51"/>
        <v>0</v>
      </c>
      <c r="DH40" s="915">
        <f t="shared" si="103"/>
        <v>0</v>
      </c>
      <c r="DI40" s="915">
        <f t="shared" si="104"/>
        <v>0</v>
      </c>
      <c r="DJ40" s="915">
        <f t="shared" si="105"/>
        <v>0</v>
      </c>
      <c r="DK40" s="915">
        <f t="shared" si="106"/>
        <v>0</v>
      </c>
      <c r="DL40" s="915">
        <f t="shared" si="107"/>
        <v>0</v>
      </c>
      <c r="DM40" s="915">
        <f t="shared" si="108"/>
        <v>0</v>
      </c>
      <c r="DN40" s="915">
        <f t="shared" si="109"/>
        <v>0</v>
      </c>
      <c r="DO40" s="915">
        <f t="shared" si="110"/>
        <v>0</v>
      </c>
      <c r="DP40" s="915">
        <f t="shared" si="111"/>
        <v>0</v>
      </c>
      <c r="DQ40" s="915">
        <f t="shared" si="112"/>
        <v>0</v>
      </c>
      <c r="DR40" s="915">
        <f t="shared" si="52"/>
        <v>0</v>
      </c>
      <c r="DS40" s="915">
        <f t="shared" si="53"/>
        <v>0</v>
      </c>
      <c r="DT40" s="915">
        <f t="shared" si="54"/>
        <v>0</v>
      </c>
      <c r="DU40" s="915">
        <f t="shared" si="55"/>
        <v>0</v>
      </c>
      <c r="DV40" s="915">
        <f t="shared" si="56"/>
        <v>0</v>
      </c>
      <c r="DW40" s="915">
        <f t="shared" si="57"/>
        <v>0</v>
      </c>
      <c r="DX40" s="915">
        <f t="shared" si="58"/>
        <v>0</v>
      </c>
      <c r="DY40" s="915">
        <f t="shared" si="59"/>
        <v>0</v>
      </c>
      <c r="DZ40" s="915">
        <f t="shared" si="60"/>
        <v>0</v>
      </c>
      <c r="EA40" s="915">
        <f t="shared" si="61"/>
        <v>0</v>
      </c>
      <c r="EB40" s="915">
        <f t="shared" si="113"/>
        <v>0</v>
      </c>
      <c r="EC40" s="915">
        <f t="shared" si="114"/>
        <v>0</v>
      </c>
      <c r="ED40" s="915">
        <f t="shared" si="115"/>
        <v>0</v>
      </c>
      <c r="EE40" s="915">
        <f t="shared" si="116"/>
        <v>0</v>
      </c>
      <c r="EF40" s="915">
        <f t="shared" si="117"/>
        <v>0</v>
      </c>
      <c r="EG40" s="915">
        <f t="shared" si="118"/>
        <v>0</v>
      </c>
      <c r="EH40" s="915">
        <f t="shared" si="119"/>
        <v>0</v>
      </c>
      <c r="EI40" s="915">
        <f t="shared" si="120"/>
        <v>0</v>
      </c>
      <c r="EJ40" s="915">
        <f t="shared" si="121"/>
        <v>0</v>
      </c>
      <c r="EK40" s="915">
        <f t="shared" si="122"/>
        <v>0</v>
      </c>
      <c r="EL40" s="915"/>
      <c r="EN40" s="533"/>
      <c r="EQ40" s="534"/>
    </row>
    <row r="41" spans="1:147" ht="14.1" customHeight="1" x14ac:dyDescent="0.2">
      <c r="A41" s="497">
        <v>34</v>
      </c>
      <c r="B41" s="1423"/>
      <c r="C41" s="1424"/>
      <c r="D41" s="1020">
        <v>14</v>
      </c>
      <c r="E41" s="138" t="s">
        <v>1245</v>
      </c>
      <c r="F41" s="139" t="s">
        <v>2544</v>
      </c>
      <c r="G41" s="91">
        <v>1</v>
      </c>
      <c r="H41" s="1022">
        <v>10</v>
      </c>
      <c r="I41" s="801">
        <f t="shared" si="126"/>
        <v>0.6</v>
      </c>
      <c r="J41" s="1021">
        <f t="shared" si="127"/>
        <v>10.6</v>
      </c>
      <c r="K41" s="225"/>
      <c r="L41" s="941" t="str">
        <f>TabName14 &amp; " - WATER"</f>
        <v>Phase 14 - WATER</v>
      </c>
      <c r="M41" s="942">
        <f>BC6</f>
        <v>21.2</v>
      </c>
      <c r="N41" s="949"/>
      <c r="V41" s="915">
        <f t="shared" si="3"/>
        <v>0</v>
      </c>
      <c r="W41" s="915">
        <f t="shared" si="4"/>
        <v>0</v>
      </c>
      <c r="X41" s="915">
        <f t="shared" si="5"/>
        <v>0</v>
      </c>
      <c r="Y41" s="915">
        <f t="shared" si="6"/>
        <v>0</v>
      </c>
      <c r="Z41" s="915">
        <f t="shared" si="7"/>
        <v>0</v>
      </c>
      <c r="AA41" s="915">
        <f t="shared" si="8"/>
        <v>0</v>
      </c>
      <c r="AB41" s="915">
        <f t="shared" si="9"/>
        <v>0</v>
      </c>
      <c r="AC41" s="915">
        <f t="shared" si="10"/>
        <v>0</v>
      </c>
      <c r="AD41" s="915">
        <f t="shared" si="11"/>
        <v>0</v>
      </c>
      <c r="AE41" s="915">
        <f t="shared" si="12"/>
        <v>0</v>
      </c>
      <c r="AF41" s="915">
        <f t="shared" si="63"/>
        <v>0</v>
      </c>
      <c r="AG41" s="915">
        <f t="shared" si="64"/>
        <v>0</v>
      </c>
      <c r="AH41" s="915">
        <f t="shared" si="65"/>
        <v>0</v>
      </c>
      <c r="AI41" s="915">
        <f t="shared" si="66"/>
        <v>0</v>
      </c>
      <c r="AJ41" s="915">
        <f t="shared" si="67"/>
        <v>0</v>
      </c>
      <c r="AK41" s="915">
        <f t="shared" si="68"/>
        <v>0</v>
      </c>
      <c r="AL41" s="915">
        <f t="shared" si="69"/>
        <v>0</v>
      </c>
      <c r="AM41" s="915">
        <f t="shared" si="70"/>
        <v>0</v>
      </c>
      <c r="AN41" s="915">
        <f t="shared" si="71"/>
        <v>0</v>
      </c>
      <c r="AO41" s="915">
        <f t="shared" si="72"/>
        <v>0</v>
      </c>
      <c r="AP41" s="915">
        <f t="shared" si="13"/>
        <v>0</v>
      </c>
      <c r="AQ41" s="915">
        <f t="shared" si="14"/>
        <v>0</v>
      </c>
      <c r="AR41" s="915">
        <f t="shared" si="15"/>
        <v>0</v>
      </c>
      <c r="AS41" s="915">
        <f t="shared" si="16"/>
        <v>0</v>
      </c>
      <c r="AT41" s="915">
        <f t="shared" si="17"/>
        <v>0</v>
      </c>
      <c r="AU41" s="915">
        <f t="shared" si="18"/>
        <v>0</v>
      </c>
      <c r="AV41" s="915">
        <f t="shared" si="19"/>
        <v>0</v>
      </c>
      <c r="AW41" s="915">
        <f t="shared" si="20"/>
        <v>0</v>
      </c>
      <c r="AX41" s="915">
        <f t="shared" si="21"/>
        <v>0</v>
      </c>
      <c r="AY41" s="915">
        <f t="shared" si="73"/>
        <v>0</v>
      </c>
      <c r="AZ41" s="915">
        <f t="shared" si="74"/>
        <v>0</v>
      </c>
      <c r="BA41" s="915">
        <f t="shared" si="75"/>
        <v>0</v>
      </c>
      <c r="BB41" s="915">
        <f t="shared" si="76"/>
        <v>0</v>
      </c>
      <c r="BC41" s="915">
        <f t="shared" si="77"/>
        <v>10.6</v>
      </c>
      <c r="BD41" s="915">
        <f t="shared" si="78"/>
        <v>0</v>
      </c>
      <c r="BE41" s="915">
        <f t="shared" si="79"/>
        <v>0</v>
      </c>
      <c r="BF41" s="915">
        <f t="shared" si="80"/>
        <v>0</v>
      </c>
      <c r="BG41" s="915">
        <f t="shared" si="81"/>
        <v>0</v>
      </c>
      <c r="BH41" s="915">
        <f t="shared" si="82"/>
        <v>0</v>
      </c>
      <c r="BI41" s="915">
        <f t="shared" si="83"/>
        <v>0</v>
      </c>
      <c r="BJ41" s="915">
        <f t="shared" si="22"/>
        <v>0</v>
      </c>
      <c r="BK41" s="915">
        <f t="shared" si="23"/>
        <v>0</v>
      </c>
      <c r="BL41" s="915">
        <f t="shared" si="24"/>
        <v>0</v>
      </c>
      <c r="BM41" s="915">
        <f t="shared" si="25"/>
        <v>0</v>
      </c>
      <c r="BN41" s="915">
        <f t="shared" si="26"/>
        <v>0</v>
      </c>
      <c r="BO41" s="915">
        <f t="shared" si="27"/>
        <v>0</v>
      </c>
      <c r="BP41" s="915">
        <f t="shared" si="28"/>
        <v>0</v>
      </c>
      <c r="BQ41" s="915">
        <f t="shared" si="29"/>
        <v>0</v>
      </c>
      <c r="BR41" s="915">
        <f t="shared" si="30"/>
        <v>0</v>
      </c>
      <c r="BS41" s="915">
        <f t="shared" si="31"/>
        <v>0</v>
      </c>
      <c r="BT41" s="915">
        <f t="shared" ref="BT41:BU72" si="128">IF(AND($D41=$P$19,$E41=$R$10),$J41,0)</f>
        <v>0</v>
      </c>
      <c r="BU41" s="915">
        <f t="shared" si="128"/>
        <v>0</v>
      </c>
      <c r="BV41" s="915">
        <f t="shared" si="85"/>
        <v>0</v>
      </c>
      <c r="BW41" s="915">
        <f t="shared" si="86"/>
        <v>0</v>
      </c>
      <c r="BX41" s="915">
        <f t="shared" si="87"/>
        <v>0</v>
      </c>
      <c r="BY41" s="915">
        <f t="shared" si="88"/>
        <v>0</v>
      </c>
      <c r="BZ41" s="915">
        <f t="shared" si="89"/>
        <v>0</v>
      </c>
      <c r="CA41" s="915">
        <f t="shared" si="90"/>
        <v>0</v>
      </c>
      <c r="CB41" s="915">
        <f t="shared" si="91"/>
        <v>0</v>
      </c>
      <c r="CC41" s="915">
        <f t="shared" si="92"/>
        <v>0</v>
      </c>
      <c r="CD41" s="915">
        <f t="shared" si="32"/>
        <v>0</v>
      </c>
      <c r="CE41" s="915">
        <f t="shared" si="33"/>
        <v>0</v>
      </c>
      <c r="CF41" s="915">
        <f t="shared" si="34"/>
        <v>0</v>
      </c>
      <c r="CG41" s="915">
        <f t="shared" si="35"/>
        <v>0</v>
      </c>
      <c r="CH41" s="915">
        <f t="shared" si="36"/>
        <v>0</v>
      </c>
      <c r="CI41" s="915">
        <f t="shared" si="37"/>
        <v>0</v>
      </c>
      <c r="CJ41" s="915">
        <f t="shared" si="38"/>
        <v>0</v>
      </c>
      <c r="CK41" s="915">
        <f t="shared" si="39"/>
        <v>0</v>
      </c>
      <c r="CL41" s="915">
        <f t="shared" si="40"/>
        <v>0</v>
      </c>
      <c r="CM41" s="915">
        <f t="shared" si="41"/>
        <v>0</v>
      </c>
      <c r="CN41" s="915">
        <f t="shared" si="93"/>
        <v>0</v>
      </c>
      <c r="CO41" s="915">
        <f t="shared" si="94"/>
        <v>0</v>
      </c>
      <c r="CP41" s="915">
        <f t="shared" si="95"/>
        <v>0</v>
      </c>
      <c r="CQ41" s="915">
        <f t="shared" si="96"/>
        <v>0</v>
      </c>
      <c r="CR41" s="915">
        <f t="shared" si="97"/>
        <v>0</v>
      </c>
      <c r="CS41" s="915">
        <f t="shared" si="98"/>
        <v>0</v>
      </c>
      <c r="CT41" s="915">
        <f t="shared" si="99"/>
        <v>0</v>
      </c>
      <c r="CU41" s="915">
        <f t="shared" si="100"/>
        <v>0</v>
      </c>
      <c r="CV41" s="915">
        <f t="shared" si="101"/>
        <v>0</v>
      </c>
      <c r="CW41" s="915">
        <f t="shared" si="102"/>
        <v>0</v>
      </c>
      <c r="CX41" s="915">
        <f t="shared" si="42"/>
        <v>0</v>
      </c>
      <c r="CY41" s="915">
        <f t="shared" si="43"/>
        <v>0</v>
      </c>
      <c r="CZ41" s="915">
        <f t="shared" si="44"/>
        <v>0</v>
      </c>
      <c r="DA41" s="915">
        <f t="shared" si="45"/>
        <v>0</v>
      </c>
      <c r="DB41" s="915">
        <f t="shared" si="46"/>
        <v>0</v>
      </c>
      <c r="DC41" s="915">
        <f t="shared" si="47"/>
        <v>0</v>
      </c>
      <c r="DD41" s="915">
        <f t="shared" si="48"/>
        <v>0</v>
      </c>
      <c r="DE41" s="915">
        <f t="shared" si="49"/>
        <v>0</v>
      </c>
      <c r="DF41" s="915">
        <f t="shared" si="50"/>
        <v>0</v>
      </c>
      <c r="DG41" s="915">
        <f t="shared" si="51"/>
        <v>0</v>
      </c>
      <c r="DH41" s="915">
        <f t="shared" si="103"/>
        <v>0</v>
      </c>
      <c r="DI41" s="915">
        <f t="shared" si="104"/>
        <v>0</v>
      </c>
      <c r="DJ41" s="915">
        <f t="shared" si="105"/>
        <v>0</v>
      </c>
      <c r="DK41" s="915">
        <f t="shared" si="106"/>
        <v>0</v>
      </c>
      <c r="DL41" s="915">
        <f t="shared" si="107"/>
        <v>0</v>
      </c>
      <c r="DM41" s="915">
        <f t="shared" si="108"/>
        <v>0</v>
      </c>
      <c r="DN41" s="915">
        <f t="shared" si="109"/>
        <v>0</v>
      </c>
      <c r="DO41" s="915">
        <f t="shared" si="110"/>
        <v>0</v>
      </c>
      <c r="DP41" s="915">
        <f t="shared" si="111"/>
        <v>0</v>
      </c>
      <c r="DQ41" s="915">
        <f t="shared" si="112"/>
        <v>0</v>
      </c>
      <c r="DR41" s="915">
        <f t="shared" si="52"/>
        <v>0</v>
      </c>
      <c r="DS41" s="915">
        <f t="shared" si="53"/>
        <v>0</v>
      </c>
      <c r="DT41" s="915">
        <f t="shared" si="54"/>
        <v>0</v>
      </c>
      <c r="DU41" s="915">
        <f t="shared" si="55"/>
        <v>0</v>
      </c>
      <c r="DV41" s="915">
        <f t="shared" si="56"/>
        <v>0</v>
      </c>
      <c r="DW41" s="915">
        <f t="shared" si="57"/>
        <v>0</v>
      </c>
      <c r="DX41" s="915">
        <f t="shared" si="58"/>
        <v>0</v>
      </c>
      <c r="DY41" s="915">
        <f t="shared" si="59"/>
        <v>0</v>
      </c>
      <c r="DZ41" s="915">
        <f t="shared" si="60"/>
        <v>0</v>
      </c>
      <c r="EA41" s="915">
        <f t="shared" si="61"/>
        <v>0</v>
      </c>
      <c r="EB41" s="915">
        <f t="shared" si="113"/>
        <v>0</v>
      </c>
      <c r="EC41" s="915">
        <f t="shared" si="114"/>
        <v>0</v>
      </c>
      <c r="ED41" s="915">
        <f t="shared" si="115"/>
        <v>0</v>
      </c>
      <c r="EE41" s="915">
        <f t="shared" si="116"/>
        <v>0</v>
      </c>
      <c r="EF41" s="915">
        <f t="shared" si="117"/>
        <v>0</v>
      </c>
      <c r="EG41" s="915">
        <f t="shared" si="118"/>
        <v>0</v>
      </c>
      <c r="EH41" s="915">
        <f t="shared" si="119"/>
        <v>0</v>
      </c>
      <c r="EI41" s="915">
        <f t="shared" si="120"/>
        <v>0</v>
      </c>
      <c r="EJ41" s="915">
        <f t="shared" si="121"/>
        <v>0</v>
      </c>
      <c r="EK41" s="915">
        <f t="shared" si="122"/>
        <v>0</v>
      </c>
      <c r="EL41" s="915"/>
      <c r="EN41" s="533"/>
      <c r="EQ41" s="534"/>
    </row>
    <row r="42" spans="1:147" ht="14.25" customHeight="1" x14ac:dyDescent="0.2">
      <c r="A42" s="496">
        <v>35</v>
      </c>
      <c r="B42" s="1419"/>
      <c r="C42" s="1420"/>
      <c r="D42" s="264">
        <v>15</v>
      </c>
      <c r="E42" s="264" t="s">
        <v>1245</v>
      </c>
      <c r="F42" s="270" t="s">
        <v>2544</v>
      </c>
      <c r="G42" s="271">
        <v>1</v>
      </c>
      <c r="H42" s="803">
        <v>10</v>
      </c>
      <c r="I42" s="800">
        <f t="shared" si="126"/>
        <v>0.6</v>
      </c>
      <c r="J42" s="269">
        <f t="shared" si="127"/>
        <v>10.6</v>
      </c>
      <c r="K42" s="225"/>
      <c r="L42" s="941" t="str">
        <f>TabName15 &amp; " - WATER"</f>
        <v>Phase 15 - WATER</v>
      </c>
      <c r="M42" s="942">
        <f>BD6</f>
        <v>21.2</v>
      </c>
      <c r="N42" s="949"/>
      <c r="V42" s="915">
        <f t="shared" si="3"/>
        <v>0</v>
      </c>
      <c r="W42" s="915">
        <f t="shared" si="4"/>
        <v>0</v>
      </c>
      <c r="X42" s="915">
        <f t="shared" si="5"/>
        <v>0</v>
      </c>
      <c r="Y42" s="915">
        <f t="shared" si="6"/>
        <v>0</v>
      </c>
      <c r="Z42" s="915">
        <f t="shared" si="7"/>
        <v>0</v>
      </c>
      <c r="AA42" s="915">
        <f t="shared" si="8"/>
        <v>0</v>
      </c>
      <c r="AB42" s="915">
        <f t="shared" si="9"/>
        <v>0</v>
      </c>
      <c r="AC42" s="915">
        <f t="shared" si="10"/>
        <v>0</v>
      </c>
      <c r="AD42" s="915">
        <f t="shared" si="11"/>
        <v>0</v>
      </c>
      <c r="AE42" s="915">
        <f t="shared" si="12"/>
        <v>0</v>
      </c>
      <c r="AF42" s="915">
        <f t="shared" si="63"/>
        <v>0</v>
      </c>
      <c r="AG42" s="915">
        <f t="shared" si="64"/>
        <v>0</v>
      </c>
      <c r="AH42" s="915">
        <f t="shared" si="65"/>
        <v>0</v>
      </c>
      <c r="AI42" s="915">
        <f t="shared" si="66"/>
        <v>0</v>
      </c>
      <c r="AJ42" s="915">
        <f t="shared" si="67"/>
        <v>0</v>
      </c>
      <c r="AK42" s="915">
        <f t="shared" si="68"/>
        <v>0</v>
      </c>
      <c r="AL42" s="915">
        <f t="shared" si="69"/>
        <v>0</v>
      </c>
      <c r="AM42" s="915">
        <f t="shared" si="70"/>
        <v>0</v>
      </c>
      <c r="AN42" s="915">
        <f t="shared" si="71"/>
        <v>0</v>
      </c>
      <c r="AO42" s="915">
        <f t="shared" si="72"/>
        <v>0</v>
      </c>
      <c r="AP42" s="915">
        <f t="shared" si="13"/>
        <v>0</v>
      </c>
      <c r="AQ42" s="915">
        <f t="shared" si="14"/>
        <v>0</v>
      </c>
      <c r="AR42" s="915">
        <f t="shared" si="15"/>
        <v>0</v>
      </c>
      <c r="AS42" s="915">
        <f t="shared" si="16"/>
        <v>0</v>
      </c>
      <c r="AT42" s="915">
        <f t="shared" si="17"/>
        <v>0</v>
      </c>
      <c r="AU42" s="915">
        <f t="shared" si="18"/>
        <v>0</v>
      </c>
      <c r="AV42" s="915">
        <f t="shared" si="19"/>
        <v>0</v>
      </c>
      <c r="AW42" s="915">
        <f t="shared" si="20"/>
        <v>0</v>
      </c>
      <c r="AX42" s="915">
        <f t="shared" si="21"/>
        <v>0</v>
      </c>
      <c r="AY42" s="915">
        <f t="shared" si="73"/>
        <v>0</v>
      </c>
      <c r="AZ42" s="915">
        <f t="shared" si="74"/>
        <v>0</v>
      </c>
      <c r="BA42" s="915">
        <f t="shared" si="75"/>
        <v>0</v>
      </c>
      <c r="BB42" s="915">
        <f t="shared" si="76"/>
        <v>0</v>
      </c>
      <c r="BC42" s="915">
        <f t="shared" si="77"/>
        <v>0</v>
      </c>
      <c r="BD42" s="915">
        <f t="shared" si="78"/>
        <v>10.6</v>
      </c>
      <c r="BE42" s="915">
        <f t="shared" si="79"/>
        <v>0</v>
      </c>
      <c r="BF42" s="915">
        <f t="shared" si="80"/>
        <v>0</v>
      </c>
      <c r="BG42" s="915">
        <f t="shared" si="81"/>
        <v>0</v>
      </c>
      <c r="BH42" s="915">
        <f t="shared" si="82"/>
        <v>0</v>
      </c>
      <c r="BI42" s="915">
        <f t="shared" si="83"/>
        <v>0</v>
      </c>
      <c r="BJ42" s="915">
        <f t="shared" si="22"/>
        <v>0</v>
      </c>
      <c r="BK42" s="915">
        <f t="shared" si="23"/>
        <v>0</v>
      </c>
      <c r="BL42" s="915">
        <f t="shared" si="24"/>
        <v>0</v>
      </c>
      <c r="BM42" s="915">
        <f t="shared" si="25"/>
        <v>0</v>
      </c>
      <c r="BN42" s="915">
        <f t="shared" si="26"/>
        <v>0</v>
      </c>
      <c r="BO42" s="915">
        <f t="shared" si="27"/>
        <v>0</v>
      </c>
      <c r="BP42" s="915">
        <f t="shared" si="28"/>
        <v>0</v>
      </c>
      <c r="BQ42" s="915">
        <f t="shared" si="29"/>
        <v>0</v>
      </c>
      <c r="BR42" s="915">
        <f t="shared" si="30"/>
        <v>0</v>
      </c>
      <c r="BS42" s="915">
        <f t="shared" si="31"/>
        <v>0</v>
      </c>
      <c r="BT42" s="915">
        <f t="shared" si="128"/>
        <v>0</v>
      </c>
      <c r="BU42" s="915">
        <f t="shared" si="128"/>
        <v>0</v>
      </c>
      <c r="BV42" s="915">
        <f t="shared" si="85"/>
        <v>0</v>
      </c>
      <c r="BW42" s="915">
        <f t="shared" si="86"/>
        <v>0</v>
      </c>
      <c r="BX42" s="915">
        <f t="shared" si="87"/>
        <v>0</v>
      </c>
      <c r="BY42" s="915">
        <f t="shared" si="88"/>
        <v>0</v>
      </c>
      <c r="BZ42" s="915">
        <f t="shared" si="89"/>
        <v>0</v>
      </c>
      <c r="CA42" s="915">
        <f t="shared" si="90"/>
        <v>0</v>
      </c>
      <c r="CB42" s="915">
        <f t="shared" si="91"/>
        <v>0</v>
      </c>
      <c r="CC42" s="915">
        <f t="shared" si="92"/>
        <v>0</v>
      </c>
      <c r="CD42" s="915">
        <f t="shared" si="32"/>
        <v>0</v>
      </c>
      <c r="CE42" s="915">
        <f t="shared" si="33"/>
        <v>0</v>
      </c>
      <c r="CF42" s="915">
        <f t="shared" si="34"/>
        <v>0</v>
      </c>
      <c r="CG42" s="915">
        <f t="shared" si="35"/>
        <v>0</v>
      </c>
      <c r="CH42" s="915">
        <f t="shared" si="36"/>
        <v>0</v>
      </c>
      <c r="CI42" s="915">
        <f t="shared" si="37"/>
        <v>0</v>
      </c>
      <c r="CJ42" s="915">
        <f t="shared" si="38"/>
        <v>0</v>
      </c>
      <c r="CK42" s="915">
        <f t="shared" si="39"/>
        <v>0</v>
      </c>
      <c r="CL42" s="915">
        <f t="shared" si="40"/>
        <v>0</v>
      </c>
      <c r="CM42" s="915">
        <f t="shared" si="41"/>
        <v>0</v>
      </c>
      <c r="CN42" s="915">
        <f t="shared" si="93"/>
        <v>0</v>
      </c>
      <c r="CO42" s="915">
        <f t="shared" si="94"/>
        <v>0</v>
      </c>
      <c r="CP42" s="915">
        <f t="shared" si="95"/>
        <v>0</v>
      </c>
      <c r="CQ42" s="915">
        <f t="shared" si="96"/>
        <v>0</v>
      </c>
      <c r="CR42" s="915">
        <f t="shared" si="97"/>
        <v>0</v>
      </c>
      <c r="CS42" s="915">
        <f t="shared" si="98"/>
        <v>0</v>
      </c>
      <c r="CT42" s="915">
        <f t="shared" si="99"/>
        <v>0</v>
      </c>
      <c r="CU42" s="915">
        <f t="shared" si="100"/>
        <v>0</v>
      </c>
      <c r="CV42" s="915">
        <f t="shared" si="101"/>
        <v>0</v>
      </c>
      <c r="CW42" s="915">
        <f t="shared" si="102"/>
        <v>0</v>
      </c>
      <c r="CX42" s="915">
        <f t="shared" si="42"/>
        <v>0</v>
      </c>
      <c r="CY42" s="915">
        <f t="shared" si="43"/>
        <v>0</v>
      </c>
      <c r="CZ42" s="915">
        <f t="shared" si="44"/>
        <v>0</v>
      </c>
      <c r="DA42" s="915">
        <f t="shared" si="45"/>
        <v>0</v>
      </c>
      <c r="DB42" s="915">
        <f t="shared" si="46"/>
        <v>0</v>
      </c>
      <c r="DC42" s="915">
        <f t="shared" si="47"/>
        <v>0</v>
      </c>
      <c r="DD42" s="915">
        <f t="shared" si="48"/>
        <v>0</v>
      </c>
      <c r="DE42" s="915">
        <f t="shared" si="49"/>
        <v>0</v>
      </c>
      <c r="DF42" s="915">
        <f t="shared" si="50"/>
        <v>0</v>
      </c>
      <c r="DG42" s="915">
        <f t="shared" si="51"/>
        <v>0</v>
      </c>
      <c r="DH42" s="915">
        <f t="shared" si="103"/>
        <v>0</v>
      </c>
      <c r="DI42" s="915">
        <f t="shared" si="104"/>
        <v>0</v>
      </c>
      <c r="DJ42" s="915">
        <f t="shared" si="105"/>
        <v>0</v>
      </c>
      <c r="DK42" s="915">
        <f t="shared" si="106"/>
        <v>0</v>
      </c>
      <c r="DL42" s="915">
        <f t="shared" si="107"/>
        <v>0</v>
      </c>
      <c r="DM42" s="915">
        <f t="shared" si="108"/>
        <v>0</v>
      </c>
      <c r="DN42" s="915">
        <f t="shared" si="109"/>
        <v>0</v>
      </c>
      <c r="DO42" s="915">
        <f t="shared" si="110"/>
        <v>0</v>
      </c>
      <c r="DP42" s="915">
        <f t="shared" si="111"/>
        <v>0</v>
      </c>
      <c r="DQ42" s="915">
        <f t="shared" si="112"/>
        <v>0</v>
      </c>
      <c r="DR42" s="915">
        <f t="shared" si="52"/>
        <v>0</v>
      </c>
      <c r="DS42" s="915">
        <f t="shared" si="53"/>
        <v>0</v>
      </c>
      <c r="DT42" s="915">
        <f t="shared" si="54"/>
        <v>0</v>
      </c>
      <c r="DU42" s="915">
        <f t="shared" si="55"/>
        <v>0</v>
      </c>
      <c r="DV42" s="915">
        <f t="shared" si="56"/>
        <v>0</v>
      </c>
      <c r="DW42" s="915">
        <f t="shared" si="57"/>
        <v>0</v>
      </c>
      <c r="DX42" s="915">
        <f t="shared" si="58"/>
        <v>0</v>
      </c>
      <c r="DY42" s="915">
        <f t="shared" si="59"/>
        <v>0</v>
      </c>
      <c r="DZ42" s="915">
        <f t="shared" si="60"/>
        <v>0</v>
      </c>
      <c r="EA42" s="915">
        <f t="shared" si="61"/>
        <v>0</v>
      </c>
      <c r="EB42" s="915">
        <f t="shared" si="113"/>
        <v>0</v>
      </c>
      <c r="EC42" s="915">
        <f t="shared" si="114"/>
        <v>0</v>
      </c>
      <c r="ED42" s="915">
        <f t="shared" si="115"/>
        <v>0</v>
      </c>
      <c r="EE42" s="915">
        <f t="shared" si="116"/>
        <v>0</v>
      </c>
      <c r="EF42" s="915">
        <f t="shared" si="117"/>
        <v>0</v>
      </c>
      <c r="EG42" s="915">
        <f t="shared" si="118"/>
        <v>0</v>
      </c>
      <c r="EH42" s="915">
        <f t="shared" si="119"/>
        <v>0</v>
      </c>
      <c r="EI42" s="915">
        <f t="shared" si="120"/>
        <v>0</v>
      </c>
      <c r="EJ42" s="915">
        <f t="shared" si="121"/>
        <v>0</v>
      </c>
      <c r="EK42" s="915">
        <f t="shared" si="122"/>
        <v>0</v>
      </c>
      <c r="EL42" s="915"/>
      <c r="EN42" s="533"/>
      <c r="EQ42" s="534"/>
    </row>
    <row r="43" spans="1:147" ht="14.1" customHeight="1" x14ac:dyDescent="0.2">
      <c r="A43" s="497">
        <v>36</v>
      </c>
      <c r="B43" s="1423"/>
      <c r="C43" s="1424"/>
      <c r="D43" s="1020">
        <v>16</v>
      </c>
      <c r="E43" s="138" t="s">
        <v>1245</v>
      </c>
      <c r="F43" s="139" t="s">
        <v>2544</v>
      </c>
      <c r="G43" s="91">
        <v>1</v>
      </c>
      <c r="H43" s="802">
        <v>10</v>
      </c>
      <c r="I43" s="801">
        <f t="shared" si="126"/>
        <v>0.6</v>
      </c>
      <c r="J43" s="1021">
        <f t="shared" si="127"/>
        <v>10.6</v>
      </c>
      <c r="K43" s="225"/>
      <c r="L43" s="941" t="str">
        <f>TabName16 &amp; " - WATER"</f>
        <v>Phase 16 - WATER</v>
      </c>
      <c r="M43" s="942">
        <f>BE6</f>
        <v>21.2</v>
      </c>
      <c r="N43" s="949"/>
      <c r="V43" s="915">
        <f t="shared" si="3"/>
        <v>0</v>
      </c>
      <c r="W43" s="915">
        <f t="shared" si="4"/>
        <v>0</v>
      </c>
      <c r="X43" s="915">
        <f t="shared" si="5"/>
        <v>0</v>
      </c>
      <c r="Y43" s="915">
        <f t="shared" si="6"/>
        <v>0</v>
      </c>
      <c r="Z43" s="915">
        <f t="shared" si="7"/>
        <v>0</v>
      </c>
      <c r="AA43" s="915">
        <f t="shared" si="8"/>
        <v>0</v>
      </c>
      <c r="AB43" s="915">
        <f t="shared" si="9"/>
        <v>0</v>
      </c>
      <c r="AC43" s="915">
        <f t="shared" si="10"/>
        <v>0</v>
      </c>
      <c r="AD43" s="915">
        <f t="shared" si="11"/>
        <v>0</v>
      </c>
      <c r="AE43" s="915">
        <f t="shared" si="12"/>
        <v>0</v>
      </c>
      <c r="AF43" s="915">
        <f t="shared" si="63"/>
        <v>0</v>
      </c>
      <c r="AG43" s="915">
        <f t="shared" si="64"/>
        <v>0</v>
      </c>
      <c r="AH43" s="915">
        <f t="shared" si="65"/>
        <v>0</v>
      </c>
      <c r="AI43" s="915">
        <f t="shared" si="66"/>
        <v>0</v>
      </c>
      <c r="AJ43" s="915">
        <f t="shared" si="67"/>
        <v>0</v>
      </c>
      <c r="AK43" s="915">
        <f t="shared" si="68"/>
        <v>0</v>
      </c>
      <c r="AL43" s="915">
        <f t="shared" si="69"/>
        <v>0</v>
      </c>
      <c r="AM43" s="915">
        <f t="shared" si="70"/>
        <v>0</v>
      </c>
      <c r="AN43" s="915">
        <f t="shared" si="71"/>
        <v>0</v>
      </c>
      <c r="AO43" s="915">
        <f t="shared" si="72"/>
        <v>0</v>
      </c>
      <c r="AP43" s="915">
        <f t="shared" si="13"/>
        <v>0</v>
      </c>
      <c r="AQ43" s="915">
        <f t="shared" si="14"/>
        <v>0</v>
      </c>
      <c r="AR43" s="915">
        <f t="shared" si="15"/>
        <v>0</v>
      </c>
      <c r="AS43" s="915">
        <f t="shared" si="16"/>
        <v>0</v>
      </c>
      <c r="AT43" s="915">
        <f t="shared" si="17"/>
        <v>0</v>
      </c>
      <c r="AU43" s="915">
        <f t="shared" si="18"/>
        <v>0</v>
      </c>
      <c r="AV43" s="915">
        <f t="shared" si="19"/>
        <v>0</v>
      </c>
      <c r="AW43" s="915">
        <f t="shared" si="20"/>
        <v>0</v>
      </c>
      <c r="AX43" s="915">
        <f t="shared" si="21"/>
        <v>0</v>
      </c>
      <c r="AY43" s="915">
        <f t="shared" si="73"/>
        <v>0</v>
      </c>
      <c r="AZ43" s="915">
        <f t="shared" si="74"/>
        <v>0</v>
      </c>
      <c r="BA43" s="915">
        <f t="shared" si="75"/>
        <v>0</v>
      </c>
      <c r="BB43" s="915">
        <f t="shared" si="76"/>
        <v>0</v>
      </c>
      <c r="BC43" s="915">
        <f t="shared" si="77"/>
        <v>0</v>
      </c>
      <c r="BD43" s="915">
        <f t="shared" si="78"/>
        <v>0</v>
      </c>
      <c r="BE43" s="915">
        <f t="shared" si="79"/>
        <v>10.6</v>
      </c>
      <c r="BF43" s="915">
        <f t="shared" si="80"/>
        <v>0</v>
      </c>
      <c r="BG43" s="915">
        <f t="shared" si="81"/>
        <v>0</v>
      </c>
      <c r="BH43" s="915">
        <f t="shared" si="82"/>
        <v>0</v>
      </c>
      <c r="BI43" s="915">
        <f t="shared" si="83"/>
        <v>0</v>
      </c>
      <c r="BJ43" s="915">
        <f t="shared" si="22"/>
        <v>0</v>
      </c>
      <c r="BK43" s="915">
        <f t="shared" si="23"/>
        <v>0</v>
      </c>
      <c r="BL43" s="915">
        <f t="shared" si="24"/>
        <v>0</v>
      </c>
      <c r="BM43" s="915">
        <f t="shared" si="25"/>
        <v>0</v>
      </c>
      <c r="BN43" s="915">
        <f t="shared" si="26"/>
        <v>0</v>
      </c>
      <c r="BO43" s="915">
        <f t="shared" si="27"/>
        <v>0</v>
      </c>
      <c r="BP43" s="915">
        <f t="shared" si="28"/>
        <v>0</v>
      </c>
      <c r="BQ43" s="915">
        <f t="shared" si="29"/>
        <v>0</v>
      </c>
      <c r="BR43" s="915">
        <f t="shared" si="30"/>
        <v>0</v>
      </c>
      <c r="BS43" s="915">
        <f t="shared" si="31"/>
        <v>0</v>
      </c>
      <c r="BT43" s="915">
        <f t="shared" si="128"/>
        <v>0</v>
      </c>
      <c r="BU43" s="915">
        <f t="shared" si="128"/>
        <v>0</v>
      </c>
      <c r="BV43" s="915">
        <f t="shared" si="85"/>
        <v>0</v>
      </c>
      <c r="BW43" s="915">
        <f t="shared" si="86"/>
        <v>0</v>
      </c>
      <c r="BX43" s="915">
        <f t="shared" si="87"/>
        <v>0</v>
      </c>
      <c r="BY43" s="915">
        <f t="shared" si="88"/>
        <v>0</v>
      </c>
      <c r="BZ43" s="915">
        <f t="shared" si="89"/>
        <v>0</v>
      </c>
      <c r="CA43" s="915">
        <f t="shared" si="90"/>
        <v>0</v>
      </c>
      <c r="CB43" s="915">
        <f t="shared" si="91"/>
        <v>0</v>
      </c>
      <c r="CC43" s="915">
        <f t="shared" si="92"/>
        <v>0</v>
      </c>
      <c r="CD43" s="915">
        <f t="shared" si="32"/>
        <v>0</v>
      </c>
      <c r="CE43" s="915">
        <f t="shared" si="33"/>
        <v>0</v>
      </c>
      <c r="CF43" s="915">
        <f t="shared" si="34"/>
        <v>0</v>
      </c>
      <c r="CG43" s="915">
        <f t="shared" si="35"/>
        <v>0</v>
      </c>
      <c r="CH43" s="915">
        <f t="shared" si="36"/>
        <v>0</v>
      </c>
      <c r="CI43" s="915">
        <f t="shared" si="37"/>
        <v>0</v>
      </c>
      <c r="CJ43" s="915">
        <f t="shared" si="38"/>
        <v>0</v>
      </c>
      <c r="CK43" s="915">
        <f t="shared" si="39"/>
        <v>0</v>
      </c>
      <c r="CL43" s="915">
        <f t="shared" si="40"/>
        <v>0</v>
      </c>
      <c r="CM43" s="915">
        <f t="shared" si="41"/>
        <v>0</v>
      </c>
      <c r="CN43" s="915">
        <f t="shared" si="93"/>
        <v>0</v>
      </c>
      <c r="CO43" s="915">
        <f t="shared" si="94"/>
        <v>0</v>
      </c>
      <c r="CP43" s="915">
        <f t="shared" si="95"/>
        <v>0</v>
      </c>
      <c r="CQ43" s="915">
        <f t="shared" si="96"/>
        <v>0</v>
      </c>
      <c r="CR43" s="915">
        <f t="shared" si="97"/>
        <v>0</v>
      </c>
      <c r="CS43" s="915">
        <f t="shared" si="98"/>
        <v>0</v>
      </c>
      <c r="CT43" s="915">
        <f t="shared" si="99"/>
        <v>0</v>
      </c>
      <c r="CU43" s="915">
        <f t="shared" si="100"/>
        <v>0</v>
      </c>
      <c r="CV43" s="915">
        <f t="shared" si="101"/>
        <v>0</v>
      </c>
      <c r="CW43" s="915">
        <f t="shared" si="102"/>
        <v>0</v>
      </c>
      <c r="CX43" s="915">
        <f t="shared" si="42"/>
        <v>0</v>
      </c>
      <c r="CY43" s="915">
        <f t="shared" si="43"/>
        <v>0</v>
      </c>
      <c r="CZ43" s="915">
        <f t="shared" si="44"/>
        <v>0</v>
      </c>
      <c r="DA43" s="915">
        <f t="shared" si="45"/>
        <v>0</v>
      </c>
      <c r="DB43" s="915">
        <f t="shared" si="46"/>
        <v>0</v>
      </c>
      <c r="DC43" s="915">
        <f t="shared" si="47"/>
        <v>0</v>
      </c>
      <c r="DD43" s="915">
        <f t="shared" si="48"/>
        <v>0</v>
      </c>
      <c r="DE43" s="915">
        <f t="shared" si="49"/>
        <v>0</v>
      </c>
      <c r="DF43" s="915">
        <f t="shared" si="50"/>
        <v>0</v>
      </c>
      <c r="DG43" s="915">
        <f t="shared" si="51"/>
        <v>0</v>
      </c>
      <c r="DH43" s="915">
        <f t="shared" si="103"/>
        <v>0</v>
      </c>
      <c r="DI43" s="915">
        <f t="shared" si="104"/>
        <v>0</v>
      </c>
      <c r="DJ43" s="915">
        <f t="shared" si="105"/>
        <v>0</v>
      </c>
      <c r="DK43" s="915">
        <f t="shared" si="106"/>
        <v>0</v>
      </c>
      <c r="DL43" s="915">
        <f t="shared" si="107"/>
        <v>0</v>
      </c>
      <c r="DM43" s="915">
        <f t="shared" si="108"/>
        <v>0</v>
      </c>
      <c r="DN43" s="915">
        <f t="shared" si="109"/>
        <v>0</v>
      </c>
      <c r="DO43" s="915">
        <f t="shared" si="110"/>
        <v>0</v>
      </c>
      <c r="DP43" s="915">
        <f t="shared" si="111"/>
        <v>0</v>
      </c>
      <c r="DQ43" s="915">
        <f t="shared" si="112"/>
        <v>0</v>
      </c>
      <c r="DR43" s="915">
        <f t="shared" si="52"/>
        <v>0</v>
      </c>
      <c r="DS43" s="915">
        <f t="shared" si="53"/>
        <v>0</v>
      </c>
      <c r="DT43" s="915">
        <f t="shared" si="54"/>
        <v>0</v>
      </c>
      <c r="DU43" s="915">
        <f t="shared" si="55"/>
        <v>0</v>
      </c>
      <c r="DV43" s="915">
        <f t="shared" si="56"/>
        <v>0</v>
      </c>
      <c r="DW43" s="915">
        <f t="shared" si="57"/>
        <v>0</v>
      </c>
      <c r="DX43" s="915">
        <f t="shared" si="58"/>
        <v>0</v>
      </c>
      <c r="DY43" s="915">
        <f t="shared" si="59"/>
        <v>0</v>
      </c>
      <c r="DZ43" s="915">
        <f t="shared" si="60"/>
        <v>0</v>
      </c>
      <c r="EA43" s="915">
        <f t="shared" si="61"/>
        <v>0</v>
      </c>
      <c r="EB43" s="915">
        <f t="shared" si="113"/>
        <v>0</v>
      </c>
      <c r="EC43" s="915">
        <f t="shared" si="114"/>
        <v>0</v>
      </c>
      <c r="ED43" s="915">
        <f t="shared" si="115"/>
        <v>0</v>
      </c>
      <c r="EE43" s="915">
        <f t="shared" si="116"/>
        <v>0</v>
      </c>
      <c r="EF43" s="915">
        <f t="shared" si="117"/>
        <v>0</v>
      </c>
      <c r="EG43" s="915">
        <f t="shared" si="118"/>
        <v>0</v>
      </c>
      <c r="EH43" s="915">
        <f t="shared" si="119"/>
        <v>0</v>
      </c>
      <c r="EI43" s="915">
        <f t="shared" si="120"/>
        <v>0</v>
      </c>
      <c r="EJ43" s="915">
        <f t="shared" si="121"/>
        <v>0</v>
      </c>
      <c r="EK43" s="915">
        <f t="shared" si="122"/>
        <v>0</v>
      </c>
      <c r="EL43" s="915"/>
      <c r="EN43" s="533"/>
      <c r="EQ43" s="534"/>
    </row>
    <row r="44" spans="1:147" ht="14.1" customHeight="1" x14ac:dyDescent="0.2">
      <c r="A44" s="496">
        <v>37</v>
      </c>
      <c r="B44" s="1419"/>
      <c r="C44" s="1420"/>
      <c r="D44" s="264">
        <v>17</v>
      </c>
      <c r="E44" s="264" t="s">
        <v>1245</v>
      </c>
      <c r="F44" s="270" t="s">
        <v>2544</v>
      </c>
      <c r="G44" s="271">
        <v>1</v>
      </c>
      <c r="H44" s="803">
        <v>10</v>
      </c>
      <c r="I44" s="800">
        <f t="shared" si="126"/>
        <v>0.6</v>
      </c>
      <c r="J44" s="269">
        <f t="shared" si="127"/>
        <v>10.6</v>
      </c>
      <c r="K44" s="225"/>
      <c r="L44" s="941" t="str">
        <f>TabName17 &amp; " - WATER"</f>
        <v>Phase 17 - WATER</v>
      </c>
      <c r="M44" s="942">
        <f>BF6</f>
        <v>21.2</v>
      </c>
      <c r="N44" s="949"/>
      <c r="V44" s="915">
        <f t="shared" si="3"/>
        <v>0</v>
      </c>
      <c r="W44" s="915">
        <f t="shared" si="4"/>
        <v>0</v>
      </c>
      <c r="X44" s="915">
        <f t="shared" si="5"/>
        <v>0</v>
      </c>
      <c r="Y44" s="915">
        <f t="shared" si="6"/>
        <v>0</v>
      </c>
      <c r="Z44" s="915">
        <f t="shared" si="7"/>
        <v>0</v>
      </c>
      <c r="AA44" s="915">
        <f t="shared" si="8"/>
        <v>0</v>
      </c>
      <c r="AB44" s="915">
        <f t="shared" si="9"/>
        <v>0</v>
      </c>
      <c r="AC44" s="915">
        <f t="shared" si="10"/>
        <v>0</v>
      </c>
      <c r="AD44" s="915">
        <f t="shared" si="11"/>
        <v>0</v>
      </c>
      <c r="AE44" s="915">
        <f t="shared" si="12"/>
        <v>0</v>
      </c>
      <c r="AF44" s="915">
        <f t="shared" si="63"/>
        <v>0</v>
      </c>
      <c r="AG44" s="915">
        <f t="shared" si="64"/>
        <v>0</v>
      </c>
      <c r="AH44" s="915">
        <f t="shared" si="65"/>
        <v>0</v>
      </c>
      <c r="AI44" s="915">
        <f t="shared" si="66"/>
        <v>0</v>
      </c>
      <c r="AJ44" s="915">
        <f t="shared" si="67"/>
        <v>0</v>
      </c>
      <c r="AK44" s="915">
        <f t="shared" si="68"/>
        <v>0</v>
      </c>
      <c r="AL44" s="915">
        <f t="shared" si="69"/>
        <v>0</v>
      </c>
      <c r="AM44" s="915">
        <f t="shared" si="70"/>
        <v>0</v>
      </c>
      <c r="AN44" s="915">
        <f t="shared" si="71"/>
        <v>0</v>
      </c>
      <c r="AO44" s="915">
        <f t="shared" si="72"/>
        <v>0</v>
      </c>
      <c r="AP44" s="915">
        <f t="shared" si="13"/>
        <v>0</v>
      </c>
      <c r="AQ44" s="915">
        <f t="shared" si="14"/>
        <v>0</v>
      </c>
      <c r="AR44" s="915">
        <f t="shared" si="15"/>
        <v>0</v>
      </c>
      <c r="AS44" s="915">
        <f t="shared" si="16"/>
        <v>0</v>
      </c>
      <c r="AT44" s="915">
        <f t="shared" si="17"/>
        <v>0</v>
      </c>
      <c r="AU44" s="915">
        <f t="shared" si="18"/>
        <v>0</v>
      </c>
      <c r="AV44" s="915">
        <f t="shared" si="19"/>
        <v>0</v>
      </c>
      <c r="AW44" s="915">
        <f t="shared" si="20"/>
        <v>0</v>
      </c>
      <c r="AX44" s="915">
        <f t="shared" si="21"/>
        <v>0</v>
      </c>
      <c r="AY44" s="915">
        <f t="shared" si="73"/>
        <v>0</v>
      </c>
      <c r="AZ44" s="915">
        <f t="shared" si="74"/>
        <v>0</v>
      </c>
      <c r="BA44" s="915">
        <f t="shared" si="75"/>
        <v>0</v>
      </c>
      <c r="BB44" s="915">
        <f t="shared" si="76"/>
        <v>0</v>
      </c>
      <c r="BC44" s="915">
        <f t="shared" si="77"/>
        <v>0</v>
      </c>
      <c r="BD44" s="915">
        <f t="shared" si="78"/>
        <v>0</v>
      </c>
      <c r="BE44" s="915">
        <f t="shared" si="79"/>
        <v>0</v>
      </c>
      <c r="BF44" s="915">
        <f t="shared" si="80"/>
        <v>10.6</v>
      </c>
      <c r="BG44" s="915">
        <f t="shared" si="81"/>
        <v>0</v>
      </c>
      <c r="BH44" s="915">
        <f t="shared" si="82"/>
        <v>0</v>
      </c>
      <c r="BI44" s="915">
        <f t="shared" si="83"/>
        <v>0</v>
      </c>
      <c r="BJ44" s="915">
        <f t="shared" si="22"/>
        <v>0</v>
      </c>
      <c r="BK44" s="915">
        <f t="shared" si="23"/>
        <v>0</v>
      </c>
      <c r="BL44" s="915">
        <f t="shared" si="24"/>
        <v>0</v>
      </c>
      <c r="BM44" s="915">
        <f t="shared" si="25"/>
        <v>0</v>
      </c>
      <c r="BN44" s="915">
        <f t="shared" si="26"/>
        <v>0</v>
      </c>
      <c r="BO44" s="915">
        <f t="shared" si="27"/>
        <v>0</v>
      </c>
      <c r="BP44" s="915">
        <f t="shared" si="28"/>
        <v>0</v>
      </c>
      <c r="BQ44" s="915">
        <f t="shared" si="29"/>
        <v>0</v>
      </c>
      <c r="BR44" s="915">
        <f t="shared" si="30"/>
        <v>0</v>
      </c>
      <c r="BS44" s="915">
        <f t="shared" si="31"/>
        <v>0</v>
      </c>
      <c r="BT44" s="915">
        <f t="shared" si="128"/>
        <v>0</v>
      </c>
      <c r="BU44" s="915">
        <f t="shared" si="128"/>
        <v>0</v>
      </c>
      <c r="BV44" s="915">
        <f t="shared" si="85"/>
        <v>0</v>
      </c>
      <c r="BW44" s="915">
        <f t="shared" si="86"/>
        <v>0</v>
      </c>
      <c r="BX44" s="915">
        <f t="shared" si="87"/>
        <v>0</v>
      </c>
      <c r="BY44" s="915">
        <f t="shared" si="88"/>
        <v>0</v>
      </c>
      <c r="BZ44" s="915">
        <f t="shared" si="89"/>
        <v>0</v>
      </c>
      <c r="CA44" s="915">
        <f t="shared" si="90"/>
        <v>0</v>
      </c>
      <c r="CB44" s="915">
        <f t="shared" si="91"/>
        <v>0</v>
      </c>
      <c r="CC44" s="915">
        <f t="shared" si="92"/>
        <v>0</v>
      </c>
      <c r="CD44" s="915">
        <f t="shared" si="32"/>
        <v>0</v>
      </c>
      <c r="CE44" s="915">
        <f t="shared" si="33"/>
        <v>0</v>
      </c>
      <c r="CF44" s="915">
        <f t="shared" si="34"/>
        <v>0</v>
      </c>
      <c r="CG44" s="915">
        <f t="shared" si="35"/>
        <v>0</v>
      </c>
      <c r="CH44" s="915">
        <f t="shared" si="36"/>
        <v>0</v>
      </c>
      <c r="CI44" s="915">
        <f t="shared" si="37"/>
        <v>0</v>
      </c>
      <c r="CJ44" s="915">
        <f t="shared" si="38"/>
        <v>0</v>
      </c>
      <c r="CK44" s="915">
        <f t="shared" si="39"/>
        <v>0</v>
      </c>
      <c r="CL44" s="915">
        <f t="shared" si="40"/>
        <v>0</v>
      </c>
      <c r="CM44" s="915">
        <f t="shared" si="41"/>
        <v>0</v>
      </c>
      <c r="CN44" s="915">
        <f t="shared" si="93"/>
        <v>0</v>
      </c>
      <c r="CO44" s="915">
        <f t="shared" si="94"/>
        <v>0</v>
      </c>
      <c r="CP44" s="915">
        <f t="shared" si="95"/>
        <v>0</v>
      </c>
      <c r="CQ44" s="915">
        <f t="shared" si="96"/>
        <v>0</v>
      </c>
      <c r="CR44" s="915">
        <f t="shared" si="97"/>
        <v>0</v>
      </c>
      <c r="CS44" s="915">
        <f t="shared" si="98"/>
        <v>0</v>
      </c>
      <c r="CT44" s="915">
        <f t="shared" si="99"/>
        <v>0</v>
      </c>
      <c r="CU44" s="915">
        <f t="shared" si="100"/>
        <v>0</v>
      </c>
      <c r="CV44" s="915">
        <f t="shared" si="101"/>
        <v>0</v>
      </c>
      <c r="CW44" s="915">
        <f t="shared" si="102"/>
        <v>0</v>
      </c>
      <c r="CX44" s="915">
        <f t="shared" si="42"/>
        <v>0</v>
      </c>
      <c r="CY44" s="915">
        <f t="shared" si="43"/>
        <v>0</v>
      </c>
      <c r="CZ44" s="915">
        <f t="shared" si="44"/>
        <v>0</v>
      </c>
      <c r="DA44" s="915">
        <f t="shared" si="45"/>
        <v>0</v>
      </c>
      <c r="DB44" s="915">
        <f t="shared" si="46"/>
        <v>0</v>
      </c>
      <c r="DC44" s="915">
        <f t="shared" si="47"/>
        <v>0</v>
      </c>
      <c r="DD44" s="915">
        <f t="shared" si="48"/>
        <v>0</v>
      </c>
      <c r="DE44" s="915">
        <f t="shared" si="49"/>
        <v>0</v>
      </c>
      <c r="DF44" s="915">
        <f t="shared" si="50"/>
        <v>0</v>
      </c>
      <c r="DG44" s="915">
        <f t="shared" si="51"/>
        <v>0</v>
      </c>
      <c r="DH44" s="915">
        <f t="shared" si="103"/>
        <v>0</v>
      </c>
      <c r="DI44" s="915">
        <f t="shared" si="104"/>
        <v>0</v>
      </c>
      <c r="DJ44" s="915">
        <f t="shared" si="105"/>
        <v>0</v>
      </c>
      <c r="DK44" s="915">
        <f t="shared" si="106"/>
        <v>0</v>
      </c>
      <c r="DL44" s="915">
        <f t="shared" si="107"/>
        <v>0</v>
      </c>
      <c r="DM44" s="915">
        <f t="shared" si="108"/>
        <v>0</v>
      </c>
      <c r="DN44" s="915">
        <f t="shared" si="109"/>
        <v>0</v>
      </c>
      <c r="DO44" s="915">
        <f t="shared" si="110"/>
        <v>0</v>
      </c>
      <c r="DP44" s="915">
        <f t="shared" si="111"/>
        <v>0</v>
      </c>
      <c r="DQ44" s="915">
        <f t="shared" si="112"/>
        <v>0</v>
      </c>
      <c r="DR44" s="915">
        <f t="shared" si="52"/>
        <v>0</v>
      </c>
      <c r="DS44" s="915">
        <f t="shared" si="53"/>
        <v>0</v>
      </c>
      <c r="DT44" s="915">
        <f t="shared" si="54"/>
        <v>0</v>
      </c>
      <c r="DU44" s="915">
        <f t="shared" si="55"/>
        <v>0</v>
      </c>
      <c r="DV44" s="915">
        <f t="shared" si="56"/>
        <v>0</v>
      </c>
      <c r="DW44" s="915">
        <f t="shared" si="57"/>
        <v>0</v>
      </c>
      <c r="DX44" s="915">
        <f t="shared" si="58"/>
        <v>0</v>
      </c>
      <c r="DY44" s="915">
        <f t="shared" si="59"/>
        <v>0</v>
      </c>
      <c r="DZ44" s="915">
        <f t="shared" si="60"/>
        <v>0</v>
      </c>
      <c r="EA44" s="915">
        <f t="shared" si="61"/>
        <v>0</v>
      </c>
      <c r="EB44" s="915">
        <f t="shared" si="113"/>
        <v>0</v>
      </c>
      <c r="EC44" s="915">
        <f t="shared" si="114"/>
        <v>0</v>
      </c>
      <c r="ED44" s="915">
        <f t="shared" si="115"/>
        <v>0</v>
      </c>
      <c r="EE44" s="915">
        <f t="shared" si="116"/>
        <v>0</v>
      </c>
      <c r="EF44" s="915">
        <f t="shared" si="117"/>
        <v>0</v>
      </c>
      <c r="EG44" s="915">
        <f t="shared" si="118"/>
        <v>0</v>
      </c>
      <c r="EH44" s="915">
        <f t="shared" si="119"/>
        <v>0</v>
      </c>
      <c r="EI44" s="915">
        <f t="shared" si="120"/>
        <v>0</v>
      </c>
      <c r="EJ44" s="915">
        <f t="shared" si="121"/>
        <v>0</v>
      </c>
      <c r="EK44" s="915">
        <f t="shared" si="122"/>
        <v>0</v>
      </c>
      <c r="EL44" s="915"/>
      <c r="EN44" s="533"/>
      <c r="EQ44" s="534"/>
    </row>
    <row r="45" spans="1:147" ht="14.1" customHeight="1" x14ac:dyDescent="0.2">
      <c r="A45" s="497">
        <v>38</v>
      </c>
      <c r="B45" s="1423"/>
      <c r="C45" s="1424"/>
      <c r="D45" s="1020">
        <v>18</v>
      </c>
      <c r="E45" s="138" t="s">
        <v>1245</v>
      </c>
      <c r="F45" s="139" t="s">
        <v>2544</v>
      </c>
      <c r="G45" s="91">
        <v>1</v>
      </c>
      <c r="H45" s="1022">
        <v>10</v>
      </c>
      <c r="I45" s="801">
        <f t="shared" ref="I45:I85" si="129">IF(OR(LEFT(E45,1)="I",LEFT(E45,1)="U"),0,IF(ISTEXT(K45),0,StateTaxLab*G45*H45))</f>
        <v>0.6</v>
      </c>
      <c r="J45" s="1021">
        <f t="shared" ref="J45:J97" si="130">(G45*H45)+I45</f>
        <v>10.6</v>
      </c>
      <c r="K45" s="225"/>
      <c r="L45" s="941" t="str">
        <f>TabName18 &amp; " - WATER"</f>
        <v>Phase 18 - WATER</v>
      </c>
      <c r="M45" s="942">
        <f>BG6</f>
        <v>21.2</v>
      </c>
      <c r="N45" s="949"/>
      <c r="V45" s="915">
        <f t="shared" si="3"/>
        <v>0</v>
      </c>
      <c r="W45" s="915">
        <f t="shared" si="4"/>
        <v>0</v>
      </c>
      <c r="X45" s="915">
        <f t="shared" si="5"/>
        <v>0</v>
      </c>
      <c r="Y45" s="915">
        <f t="shared" si="6"/>
        <v>0</v>
      </c>
      <c r="Z45" s="915">
        <f t="shared" si="7"/>
        <v>0</v>
      </c>
      <c r="AA45" s="915">
        <f t="shared" si="8"/>
        <v>0</v>
      </c>
      <c r="AB45" s="915">
        <f t="shared" si="9"/>
        <v>0</v>
      </c>
      <c r="AC45" s="915">
        <f t="shared" si="10"/>
        <v>0</v>
      </c>
      <c r="AD45" s="915">
        <f t="shared" si="11"/>
        <v>0</v>
      </c>
      <c r="AE45" s="915">
        <f t="shared" si="12"/>
        <v>0</v>
      </c>
      <c r="AF45" s="915">
        <f t="shared" si="63"/>
        <v>0</v>
      </c>
      <c r="AG45" s="915">
        <f t="shared" si="64"/>
        <v>0</v>
      </c>
      <c r="AH45" s="915">
        <f t="shared" si="65"/>
        <v>0</v>
      </c>
      <c r="AI45" s="915">
        <f t="shared" si="66"/>
        <v>0</v>
      </c>
      <c r="AJ45" s="915">
        <f t="shared" si="67"/>
        <v>0</v>
      </c>
      <c r="AK45" s="915">
        <f t="shared" si="68"/>
        <v>0</v>
      </c>
      <c r="AL45" s="915">
        <f t="shared" si="69"/>
        <v>0</v>
      </c>
      <c r="AM45" s="915">
        <f t="shared" si="70"/>
        <v>0</v>
      </c>
      <c r="AN45" s="915">
        <f t="shared" si="71"/>
        <v>0</v>
      </c>
      <c r="AO45" s="915">
        <f t="shared" si="72"/>
        <v>0</v>
      </c>
      <c r="AP45" s="915">
        <f t="shared" si="13"/>
        <v>0</v>
      </c>
      <c r="AQ45" s="915">
        <f t="shared" si="14"/>
        <v>0</v>
      </c>
      <c r="AR45" s="915">
        <f t="shared" si="15"/>
        <v>0</v>
      </c>
      <c r="AS45" s="915">
        <f t="shared" si="16"/>
        <v>0</v>
      </c>
      <c r="AT45" s="915">
        <f t="shared" si="17"/>
        <v>0</v>
      </c>
      <c r="AU45" s="915">
        <f t="shared" si="18"/>
        <v>0</v>
      </c>
      <c r="AV45" s="915">
        <f t="shared" si="19"/>
        <v>0</v>
      </c>
      <c r="AW45" s="915">
        <f t="shared" si="20"/>
        <v>0</v>
      </c>
      <c r="AX45" s="915">
        <f t="shared" si="21"/>
        <v>0</v>
      </c>
      <c r="AY45" s="915">
        <f t="shared" si="73"/>
        <v>0</v>
      </c>
      <c r="AZ45" s="915">
        <f t="shared" si="74"/>
        <v>0</v>
      </c>
      <c r="BA45" s="915">
        <f t="shared" si="75"/>
        <v>0</v>
      </c>
      <c r="BB45" s="915">
        <f t="shared" si="76"/>
        <v>0</v>
      </c>
      <c r="BC45" s="915">
        <f t="shared" si="77"/>
        <v>0</v>
      </c>
      <c r="BD45" s="915">
        <f t="shared" si="78"/>
        <v>0</v>
      </c>
      <c r="BE45" s="915">
        <f t="shared" si="79"/>
        <v>0</v>
      </c>
      <c r="BF45" s="915">
        <f t="shared" si="80"/>
        <v>0</v>
      </c>
      <c r="BG45" s="915">
        <f t="shared" si="81"/>
        <v>10.6</v>
      </c>
      <c r="BH45" s="915">
        <f t="shared" si="82"/>
        <v>0</v>
      </c>
      <c r="BI45" s="915">
        <f t="shared" si="83"/>
        <v>0</v>
      </c>
      <c r="BJ45" s="915">
        <f t="shared" si="22"/>
        <v>0</v>
      </c>
      <c r="BK45" s="915">
        <f t="shared" si="23"/>
        <v>0</v>
      </c>
      <c r="BL45" s="915">
        <f t="shared" si="24"/>
        <v>0</v>
      </c>
      <c r="BM45" s="915">
        <f t="shared" si="25"/>
        <v>0</v>
      </c>
      <c r="BN45" s="915">
        <f t="shared" si="26"/>
        <v>0</v>
      </c>
      <c r="BO45" s="915">
        <f t="shared" si="27"/>
        <v>0</v>
      </c>
      <c r="BP45" s="915">
        <f t="shared" si="28"/>
        <v>0</v>
      </c>
      <c r="BQ45" s="915">
        <f t="shared" si="29"/>
        <v>0</v>
      </c>
      <c r="BR45" s="915">
        <f t="shared" si="30"/>
        <v>0</v>
      </c>
      <c r="BS45" s="915">
        <f t="shared" si="31"/>
        <v>0</v>
      </c>
      <c r="BT45" s="915">
        <f t="shared" si="128"/>
        <v>0</v>
      </c>
      <c r="BU45" s="915">
        <f t="shared" si="128"/>
        <v>0</v>
      </c>
      <c r="BV45" s="915">
        <f t="shared" si="85"/>
        <v>0</v>
      </c>
      <c r="BW45" s="915">
        <f t="shared" si="86"/>
        <v>0</v>
      </c>
      <c r="BX45" s="915">
        <f t="shared" si="87"/>
        <v>0</v>
      </c>
      <c r="BY45" s="915">
        <f t="shared" si="88"/>
        <v>0</v>
      </c>
      <c r="BZ45" s="915">
        <f t="shared" si="89"/>
        <v>0</v>
      </c>
      <c r="CA45" s="915">
        <f t="shared" si="90"/>
        <v>0</v>
      </c>
      <c r="CB45" s="915">
        <f t="shared" si="91"/>
        <v>0</v>
      </c>
      <c r="CC45" s="915">
        <f t="shared" si="92"/>
        <v>0</v>
      </c>
      <c r="CD45" s="915">
        <f t="shared" si="32"/>
        <v>0</v>
      </c>
      <c r="CE45" s="915">
        <f t="shared" si="33"/>
        <v>0</v>
      </c>
      <c r="CF45" s="915">
        <f t="shared" si="34"/>
        <v>0</v>
      </c>
      <c r="CG45" s="915">
        <f t="shared" si="35"/>
        <v>0</v>
      </c>
      <c r="CH45" s="915">
        <f t="shared" si="36"/>
        <v>0</v>
      </c>
      <c r="CI45" s="915">
        <f t="shared" si="37"/>
        <v>0</v>
      </c>
      <c r="CJ45" s="915">
        <f t="shared" si="38"/>
        <v>0</v>
      </c>
      <c r="CK45" s="915">
        <f t="shared" si="39"/>
        <v>0</v>
      </c>
      <c r="CL45" s="915">
        <f t="shared" si="40"/>
        <v>0</v>
      </c>
      <c r="CM45" s="915">
        <f t="shared" si="41"/>
        <v>0</v>
      </c>
      <c r="CN45" s="915">
        <f t="shared" si="93"/>
        <v>0</v>
      </c>
      <c r="CO45" s="915">
        <f t="shared" si="94"/>
        <v>0</v>
      </c>
      <c r="CP45" s="915">
        <f t="shared" si="95"/>
        <v>0</v>
      </c>
      <c r="CQ45" s="915">
        <f t="shared" si="96"/>
        <v>0</v>
      </c>
      <c r="CR45" s="915">
        <f t="shared" si="97"/>
        <v>0</v>
      </c>
      <c r="CS45" s="915">
        <f t="shared" si="98"/>
        <v>0</v>
      </c>
      <c r="CT45" s="915">
        <f t="shared" si="99"/>
        <v>0</v>
      </c>
      <c r="CU45" s="915">
        <f t="shared" si="100"/>
        <v>0</v>
      </c>
      <c r="CV45" s="915">
        <f t="shared" si="101"/>
        <v>0</v>
      </c>
      <c r="CW45" s="915">
        <f t="shared" si="102"/>
        <v>0</v>
      </c>
      <c r="CX45" s="915">
        <f t="shared" si="42"/>
        <v>0</v>
      </c>
      <c r="CY45" s="915">
        <f t="shared" si="43"/>
        <v>0</v>
      </c>
      <c r="CZ45" s="915">
        <f t="shared" si="44"/>
        <v>0</v>
      </c>
      <c r="DA45" s="915">
        <f t="shared" si="45"/>
        <v>0</v>
      </c>
      <c r="DB45" s="915">
        <f t="shared" si="46"/>
        <v>0</v>
      </c>
      <c r="DC45" s="915">
        <f t="shared" si="47"/>
        <v>0</v>
      </c>
      <c r="DD45" s="915">
        <f t="shared" si="48"/>
        <v>0</v>
      </c>
      <c r="DE45" s="915">
        <f t="shared" si="49"/>
        <v>0</v>
      </c>
      <c r="DF45" s="915">
        <f t="shared" si="50"/>
        <v>0</v>
      </c>
      <c r="DG45" s="915">
        <f t="shared" si="51"/>
        <v>0</v>
      </c>
      <c r="DH45" s="915">
        <f t="shared" si="103"/>
        <v>0</v>
      </c>
      <c r="DI45" s="915">
        <f t="shared" si="104"/>
        <v>0</v>
      </c>
      <c r="DJ45" s="915">
        <f t="shared" si="105"/>
        <v>0</v>
      </c>
      <c r="DK45" s="915">
        <f t="shared" si="106"/>
        <v>0</v>
      </c>
      <c r="DL45" s="915">
        <f t="shared" si="107"/>
        <v>0</v>
      </c>
      <c r="DM45" s="915">
        <f t="shared" si="108"/>
        <v>0</v>
      </c>
      <c r="DN45" s="915">
        <f t="shared" si="109"/>
        <v>0</v>
      </c>
      <c r="DO45" s="915">
        <f t="shared" si="110"/>
        <v>0</v>
      </c>
      <c r="DP45" s="915">
        <f t="shared" si="111"/>
        <v>0</v>
      </c>
      <c r="DQ45" s="915">
        <f t="shared" si="112"/>
        <v>0</v>
      </c>
      <c r="DR45" s="915">
        <f t="shared" si="52"/>
        <v>0</v>
      </c>
      <c r="DS45" s="915">
        <f t="shared" si="53"/>
        <v>0</v>
      </c>
      <c r="DT45" s="915">
        <f t="shared" si="54"/>
        <v>0</v>
      </c>
      <c r="DU45" s="915">
        <f t="shared" si="55"/>
        <v>0</v>
      </c>
      <c r="DV45" s="915">
        <f t="shared" si="56"/>
        <v>0</v>
      </c>
      <c r="DW45" s="915">
        <f t="shared" si="57"/>
        <v>0</v>
      </c>
      <c r="DX45" s="915">
        <f t="shared" si="58"/>
        <v>0</v>
      </c>
      <c r="DY45" s="915">
        <f t="shared" si="59"/>
        <v>0</v>
      </c>
      <c r="DZ45" s="915">
        <f t="shared" si="60"/>
        <v>0</v>
      </c>
      <c r="EA45" s="915">
        <f t="shared" si="61"/>
        <v>0</v>
      </c>
      <c r="EB45" s="915">
        <f t="shared" si="113"/>
        <v>0</v>
      </c>
      <c r="EC45" s="915">
        <f t="shared" si="114"/>
        <v>0</v>
      </c>
      <c r="ED45" s="915">
        <f t="shared" si="115"/>
        <v>0</v>
      </c>
      <c r="EE45" s="915">
        <f t="shared" si="116"/>
        <v>0</v>
      </c>
      <c r="EF45" s="915">
        <f t="shared" si="117"/>
        <v>0</v>
      </c>
      <c r="EG45" s="915">
        <f t="shared" si="118"/>
        <v>0</v>
      </c>
      <c r="EH45" s="915">
        <f t="shared" si="119"/>
        <v>0</v>
      </c>
      <c r="EI45" s="915">
        <f t="shared" si="120"/>
        <v>0</v>
      </c>
      <c r="EJ45" s="915">
        <f t="shared" si="121"/>
        <v>0</v>
      </c>
      <c r="EK45" s="915">
        <f t="shared" si="122"/>
        <v>0</v>
      </c>
      <c r="EL45" s="915"/>
      <c r="EN45" s="533"/>
      <c r="EQ45" s="534"/>
    </row>
    <row r="46" spans="1:147" ht="14.1" customHeight="1" x14ac:dyDescent="0.2">
      <c r="A46" s="496">
        <v>39</v>
      </c>
      <c r="B46" s="1419"/>
      <c r="C46" s="1420"/>
      <c r="D46" s="264">
        <v>19</v>
      </c>
      <c r="E46" s="264" t="s">
        <v>1245</v>
      </c>
      <c r="F46" s="270" t="s">
        <v>2544</v>
      </c>
      <c r="G46" s="271">
        <v>1</v>
      </c>
      <c r="H46" s="803">
        <v>10</v>
      </c>
      <c r="I46" s="800">
        <f t="shared" si="129"/>
        <v>0.6</v>
      </c>
      <c r="J46" s="269">
        <f t="shared" si="130"/>
        <v>10.6</v>
      </c>
      <c r="K46" s="225"/>
      <c r="L46" s="941" t="str">
        <f>TabName19 &amp; " - WATER"</f>
        <v>Phase 19 - WATER</v>
      </c>
      <c r="M46" s="942">
        <f>BH6</f>
        <v>21.2</v>
      </c>
      <c r="N46" s="949"/>
      <c r="V46" s="915">
        <f t="shared" si="3"/>
        <v>0</v>
      </c>
      <c r="W46" s="915">
        <f t="shared" si="4"/>
        <v>0</v>
      </c>
      <c r="X46" s="915">
        <f t="shared" si="5"/>
        <v>0</v>
      </c>
      <c r="Y46" s="915">
        <f t="shared" si="6"/>
        <v>0</v>
      </c>
      <c r="Z46" s="915">
        <f t="shared" si="7"/>
        <v>0</v>
      </c>
      <c r="AA46" s="915">
        <f t="shared" si="8"/>
        <v>0</v>
      </c>
      <c r="AB46" s="915">
        <f t="shared" si="9"/>
        <v>0</v>
      </c>
      <c r="AC46" s="915">
        <f t="shared" si="10"/>
        <v>0</v>
      </c>
      <c r="AD46" s="915">
        <f t="shared" si="11"/>
        <v>0</v>
      </c>
      <c r="AE46" s="915">
        <f t="shared" si="12"/>
        <v>0</v>
      </c>
      <c r="AF46" s="915">
        <f t="shared" si="63"/>
        <v>0</v>
      </c>
      <c r="AG46" s="915">
        <f t="shared" si="64"/>
        <v>0</v>
      </c>
      <c r="AH46" s="915">
        <f t="shared" si="65"/>
        <v>0</v>
      </c>
      <c r="AI46" s="915">
        <f t="shared" si="66"/>
        <v>0</v>
      </c>
      <c r="AJ46" s="915">
        <f t="shared" si="67"/>
        <v>0</v>
      </c>
      <c r="AK46" s="915">
        <f t="shared" si="68"/>
        <v>0</v>
      </c>
      <c r="AL46" s="915">
        <f t="shared" si="69"/>
        <v>0</v>
      </c>
      <c r="AM46" s="915">
        <f t="shared" si="70"/>
        <v>0</v>
      </c>
      <c r="AN46" s="915">
        <f t="shared" si="71"/>
        <v>0</v>
      </c>
      <c r="AO46" s="915">
        <f t="shared" si="72"/>
        <v>0</v>
      </c>
      <c r="AP46" s="915">
        <f t="shared" si="13"/>
        <v>0</v>
      </c>
      <c r="AQ46" s="915">
        <f t="shared" si="14"/>
        <v>0</v>
      </c>
      <c r="AR46" s="915">
        <f t="shared" si="15"/>
        <v>0</v>
      </c>
      <c r="AS46" s="915">
        <f t="shared" si="16"/>
        <v>0</v>
      </c>
      <c r="AT46" s="915">
        <f t="shared" si="17"/>
        <v>0</v>
      </c>
      <c r="AU46" s="915">
        <f t="shared" si="18"/>
        <v>0</v>
      </c>
      <c r="AV46" s="915">
        <f t="shared" si="19"/>
        <v>0</v>
      </c>
      <c r="AW46" s="915">
        <f t="shared" si="20"/>
        <v>0</v>
      </c>
      <c r="AX46" s="915">
        <f t="shared" si="21"/>
        <v>0</v>
      </c>
      <c r="AY46" s="915">
        <f t="shared" si="73"/>
        <v>0</v>
      </c>
      <c r="AZ46" s="915">
        <f t="shared" si="74"/>
        <v>0</v>
      </c>
      <c r="BA46" s="915">
        <f t="shared" si="75"/>
        <v>0</v>
      </c>
      <c r="BB46" s="915">
        <f t="shared" si="76"/>
        <v>0</v>
      </c>
      <c r="BC46" s="915">
        <f t="shared" si="77"/>
        <v>0</v>
      </c>
      <c r="BD46" s="915">
        <f t="shared" si="78"/>
        <v>0</v>
      </c>
      <c r="BE46" s="915">
        <f t="shared" si="79"/>
        <v>0</v>
      </c>
      <c r="BF46" s="915">
        <f t="shared" si="80"/>
        <v>0</v>
      </c>
      <c r="BG46" s="915">
        <f t="shared" si="81"/>
        <v>0</v>
      </c>
      <c r="BH46" s="915">
        <f t="shared" si="82"/>
        <v>10.6</v>
      </c>
      <c r="BI46" s="915">
        <f t="shared" si="83"/>
        <v>0</v>
      </c>
      <c r="BJ46" s="915">
        <f t="shared" si="22"/>
        <v>0</v>
      </c>
      <c r="BK46" s="915">
        <f t="shared" si="23"/>
        <v>0</v>
      </c>
      <c r="BL46" s="915">
        <f t="shared" si="24"/>
        <v>0</v>
      </c>
      <c r="BM46" s="915">
        <f t="shared" si="25"/>
        <v>0</v>
      </c>
      <c r="BN46" s="915">
        <f t="shared" si="26"/>
        <v>0</v>
      </c>
      <c r="BO46" s="915">
        <f t="shared" si="27"/>
        <v>0</v>
      </c>
      <c r="BP46" s="915">
        <f t="shared" si="28"/>
        <v>0</v>
      </c>
      <c r="BQ46" s="915">
        <f t="shared" si="29"/>
        <v>0</v>
      </c>
      <c r="BR46" s="915">
        <f t="shared" si="30"/>
        <v>0</v>
      </c>
      <c r="BS46" s="915">
        <f t="shared" si="31"/>
        <v>0</v>
      </c>
      <c r="BT46" s="915">
        <f t="shared" si="128"/>
        <v>0</v>
      </c>
      <c r="BU46" s="915">
        <f t="shared" si="128"/>
        <v>0</v>
      </c>
      <c r="BV46" s="915">
        <f t="shared" si="85"/>
        <v>0</v>
      </c>
      <c r="BW46" s="915">
        <f t="shared" si="86"/>
        <v>0</v>
      </c>
      <c r="BX46" s="915">
        <f t="shared" si="87"/>
        <v>0</v>
      </c>
      <c r="BY46" s="915">
        <f t="shared" si="88"/>
        <v>0</v>
      </c>
      <c r="BZ46" s="915">
        <f t="shared" si="89"/>
        <v>0</v>
      </c>
      <c r="CA46" s="915">
        <f t="shared" si="90"/>
        <v>0</v>
      </c>
      <c r="CB46" s="915">
        <f t="shared" si="91"/>
        <v>0</v>
      </c>
      <c r="CC46" s="915">
        <f t="shared" si="92"/>
        <v>0</v>
      </c>
      <c r="CD46" s="915">
        <f t="shared" si="32"/>
        <v>0</v>
      </c>
      <c r="CE46" s="915">
        <f t="shared" si="33"/>
        <v>0</v>
      </c>
      <c r="CF46" s="915">
        <f t="shared" si="34"/>
        <v>0</v>
      </c>
      <c r="CG46" s="915">
        <f t="shared" si="35"/>
        <v>0</v>
      </c>
      <c r="CH46" s="915">
        <f t="shared" si="36"/>
        <v>0</v>
      </c>
      <c r="CI46" s="915">
        <f t="shared" si="37"/>
        <v>0</v>
      </c>
      <c r="CJ46" s="915">
        <f t="shared" si="38"/>
        <v>0</v>
      </c>
      <c r="CK46" s="915">
        <f t="shared" si="39"/>
        <v>0</v>
      </c>
      <c r="CL46" s="915">
        <f t="shared" si="40"/>
        <v>0</v>
      </c>
      <c r="CM46" s="915">
        <f t="shared" si="41"/>
        <v>0</v>
      </c>
      <c r="CN46" s="915">
        <f t="shared" si="93"/>
        <v>0</v>
      </c>
      <c r="CO46" s="915">
        <f t="shared" si="94"/>
        <v>0</v>
      </c>
      <c r="CP46" s="915">
        <f t="shared" si="95"/>
        <v>0</v>
      </c>
      <c r="CQ46" s="915">
        <f t="shared" si="96"/>
        <v>0</v>
      </c>
      <c r="CR46" s="915">
        <f t="shared" si="97"/>
        <v>0</v>
      </c>
      <c r="CS46" s="915">
        <f t="shared" si="98"/>
        <v>0</v>
      </c>
      <c r="CT46" s="915">
        <f t="shared" si="99"/>
        <v>0</v>
      </c>
      <c r="CU46" s="915">
        <f t="shared" si="100"/>
        <v>0</v>
      </c>
      <c r="CV46" s="915">
        <f t="shared" si="101"/>
        <v>0</v>
      </c>
      <c r="CW46" s="915">
        <f t="shared" si="102"/>
        <v>0</v>
      </c>
      <c r="CX46" s="915">
        <f t="shared" si="42"/>
        <v>0</v>
      </c>
      <c r="CY46" s="915">
        <f t="shared" si="43"/>
        <v>0</v>
      </c>
      <c r="CZ46" s="915">
        <f t="shared" si="44"/>
        <v>0</v>
      </c>
      <c r="DA46" s="915">
        <f t="shared" si="45"/>
        <v>0</v>
      </c>
      <c r="DB46" s="915">
        <f t="shared" si="46"/>
        <v>0</v>
      </c>
      <c r="DC46" s="915">
        <f t="shared" si="47"/>
        <v>0</v>
      </c>
      <c r="DD46" s="915">
        <f t="shared" si="48"/>
        <v>0</v>
      </c>
      <c r="DE46" s="915">
        <f t="shared" si="49"/>
        <v>0</v>
      </c>
      <c r="DF46" s="915">
        <f t="shared" si="50"/>
        <v>0</v>
      </c>
      <c r="DG46" s="915">
        <f t="shared" si="51"/>
        <v>0</v>
      </c>
      <c r="DH46" s="915">
        <f t="shared" si="103"/>
        <v>0</v>
      </c>
      <c r="DI46" s="915">
        <f t="shared" si="104"/>
        <v>0</v>
      </c>
      <c r="DJ46" s="915">
        <f t="shared" si="105"/>
        <v>0</v>
      </c>
      <c r="DK46" s="915">
        <f t="shared" si="106"/>
        <v>0</v>
      </c>
      <c r="DL46" s="915">
        <f t="shared" si="107"/>
        <v>0</v>
      </c>
      <c r="DM46" s="915">
        <f t="shared" si="108"/>
        <v>0</v>
      </c>
      <c r="DN46" s="915">
        <f t="shared" si="109"/>
        <v>0</v>
      </c>
      <c r="DO46" s="915">
        <f t="shared" si="110"/>
        <v>0</v>
      </c>
      <c r="DP46" s="915">
        <f t="shared" si="111"/>
        <v>0</v>
      </c>
      <c r="DQ46" s="915">
        <f t="shared" si="112"/>
        <v>0</v>
      </c>
      <c r="DR46" s="915">
        <f t="shared" si="52"/>
        <v>0</v>
      </c>
      <c r="DS46" s="915">
        <f t="shared" si="53"/>
        <v>0</v>
      </c>
      <c r="DT46" s="915">
        <f t="shared" si="54"/>
        <v>0</v>
      </c>
      <c r="DU46" s="915">
        <f t="shared" si="55"/>
        <v>0</v>
      </c>
      <c r="DV46" s="915">
        <f t="shared" si="56"/>
        <v>0</v>
      </c>
      <c r="DW46" s="915">
        <f t="shared" si="57"/>
        <v>0</v>
      </c>
      <c r="DX46" s="915">
        <f t="shared" si="58"/>
        <v>0</v>
      </c>
      <c r="DY46" s="915">
        <f t="shared" si="59"/>
        <v>0</v>
      </c>
      <c r="DZ46" s="915">
        <f t="shared" si="60"/>
        <v>0</v>
      </c>
      <c r="EA46" s="915">
        <f t="shared" si="61"/>
        <v>0</v>
      </c>
      <c r="EB46" s="915">
        <f t="shared" si="113"/>
        <v>0</v>
      </c>
      <c r="EC46" s="915">
        <f t="shared" si="114"/>
        <v>0</v>
      </c>
      <c r="ED46" s="915">
        <f t="shared" si="115"/>
        <v>0</v>
      </c>
      <c r="EE46" s="915">
        <f t="shared" si="116"/>
        <v>0</v>
      </c>
      <c r="EF46" s="915">
        <f t="shared" si="117"/>
        <v>0</v>
      </c>
      <c r="EG46" s="915">
        <f t="shared" si="118"/>
        <v>0</v>
      </c>
      <c r="EH46" s="915">
        <f t="shared" si="119"/>
        <v>0</v>
      </c>
      <c r="EI46" s="915">
        <f t="shared" si="120"/>
        <v>0</v>
      </c>
      <c r="EJ46" s="915">
        <f t="shared" si="121"/>
        <v>0</v>
      </c>
      <c r="EK46" s="915">
        <f t="shared" si="122"/>
        <v>0</v>
      </c>
      <c r="EL46" s="915"/>
      <c r="EN46" s="533"/>
      <c r="EQ46" s="534"/>
    </row>
    <row r="47" spans="1:147" ht="14.1" customHeight="1" x14ac:dyDescent="0.2">
      <c r="A47" s="1026">
        <v>40</v>
      </c>
      <c r="B47" s="1423"/>
      <c r="C47" s="1424"/>
      <c r="D47" s="1020">
        <v>20</v>
      </c>
      <c r="E47" s="138" t="s">
        <v>1245</v>
      </c>
      <c r="F47" s="139" t="s">
        <v>2544</v>
      </c>
      <c r="G47" s="91">
        <v>1</v>
      </c>
      <c r="H47" s="1022">
        <v>10</v>
      </c>
      <c r="I47" s="801">
        <f t="shared" si="129"/>
        <v>0.6</v>
      </c>
      <c r="J47" s="1021">
        <f t="shared" si="130"/>
        <v>10.6</v>
      </c>
      <c r="K47" s="225"/>
      <c r="L47" s="941" t="str">
        <f>TabName20 &amp; " - WATER"</f>
        <v>Phase 20 - WATER</v>
      </c>
      <c r="M47" s="942">
        <f>BI6</f>
        <v>21.2</v>
      </c>
      <c r="N47" s="949"/>
      <c r="V47" s="915">
        <f t="shared" si="3"/>
        <v>0</v>
      </c>
      <c r="W47" s="915">
        <f t="shared" si="4"/>
        <v>0</v>
      </c>
      <c r="X47" s="915">
        <f t="shared" si="5"/>
        <v>0</v>
      </c>
      <c r="Y47" s="915">
        <f t="shared" si="6"/>
        <v>0</v>
      </c>
      <c r="Z47" s="915">
        <f t="shared" si="7"/>
        <v>0</v>
      </c>
      <c r="AA47" s="915">
        <f t="shared" si="8"/>
        <v>0</v>
      </c>
      <c r="AB47" s="915">
        <f t="shared" si="9"/>
        <v>0</v>
      </c>
      <c r="AC47" s="915">
        <f t="shared" si="10"/>
        <v>0</v>
      </c>
      <c r="AD47" s="915">
        <f t="shared" si="11"/>
        <v>0</v>
      </c>
      <c r="AE47" s="915">
        <f t="shared" si="12"/>
        <v>0</v>
      </c>
      <c r="AF47" s="915">
        <f t="shared" si="63"/>
        <v>0</v>
      </c>
      <c r="AG47" s="915">
        <f t="shared" si="64"/>
        <v>0</v>
      </c>
      <c r="AH47" s="915">
        <f t="shared" si="65"/>
        <v>0</v>
      </c>
      <c r="AI47" s="915">
        <f t="shared" si="66"/>
        <v>0</v>
      </c>
      <c r="AJ47" s="915">
        <f t="shared" si="67"/>
        <v>0</v>
      </c>
      <c r="AK47" s="915">
        <f t="shared" si="68"/>
        <v>0</v>
      </c>
      <c r="AL47" s="915">
        <f t="shared" si="69"/>
        <v>0</v>
      </c>
      <c r="AM47" s="915">
        <f t="shared" si="70"/>
        <v>0</v>
      </c>
      <c r="AN47" s="915">
        <f t="shared" si="71"/>
        <v>0</v>
      </c>
      <c r="AO47" s="915">
        <f t="shared" si="72"/>
        <v>0</v>
      </c>
      <c r="AP47" s="915">
        <f t="shared" si="13"/>
        <v>0</v>
      </c>
      <c r="AQ47" s="915">
        <f t="shared" si="14"/>
        <v>0</v>
      </c>
      <c r="AR47" s="915">
        <f t="shared" si="15"/>
        <v>0</v>
      </c>
      <c r="AS47" s="915">
        <f t="shared" si="16"/>
        <v>0</v>
      </c>
      <c r="AT47" s="915">
        <f t="shared" si="17"/>
        <v>0</v>
      </c>
      <c r="AU47" s="915">
        <f t="shared" si="18"/>
        <v>0</v>
      </c>
      <c r="AV47" s="915">
        <f t="shared" si="19"/>
        <v>0</v>
      </c>
      <c r="AW47" s="915">
        <f t="shared" si="20"/>
        <v>0</v>
      </c>
      <c r="AX47" s="915">
        <f t="shared" si="21"/>
        <v>0</v>
      </c>
      <c r="AY47" s="915">
        <f t="shared" si="73"/>
        <v>0</v>
      </c>
      <c r="AZ47" s="915">
        <f t="shared" si="74"/>
        <v>0</v>
      </c>
      <c r="BA47" s="915">
        <f t="shared" si="75"/>
        <v>0</v>
      </c>
      <c r="BB47" s="915">
        <f t="shared" si="76"/>
        <v>0</v>
      </c>
      <c r="BC47" s="915">
        <f t="shared" si="77"/>
        <v>0</v>
      </c>
      <c r="BD47" s="915">
        <f t="shared" si="78"/>
        <v>0</v>
      </c>
      <c r="BE47" s="915">
        <f t="shared" si="79"/>
        <v>0</v>
      </c>
      <c r="BF47" s="915">
        <f t="shared" si="80"/>
        <v>0</v>
      </c>
      <c r="BG47" s="915">
        <f t="shared" si="81"/>
        <v>0</v>
      </c>
      <c r="BH47" s="915">
        <f t="shared" si="82"/>
        <v>0</v>
      </c>
      <c r="BI47" s="915">
        <f t="shared" si="83"/>
        <v>10.6</v>
      </c>
      <c r="BJ47" s="915">
        <f t="shared" si="22"/>
        <v>0</v>
      </c>
      <c r="BK47" s="915">
        <f t="shared" si="23"/>
        <v>0</v>
      </c>
      <c r="BL47" s="915">
        <f t="shared" si="24"/>
        <v>0</v>
      </c>
      <c r="BM47" s="915">
        <f t="shared" si="25"/>
        <v>0</v>
      </c>
      <c r="BN47" s="915">
        <f t="shared" si="26"/>
        <v>0</v>
      </c>
      <c r="BO47" s="915">
        <f t="shared" si="27"/>
        <v>0</v>
      </c>
      <c r="BP47" s="915">
        <f t="shared" si="28"/>
        <v>0</v>
      </c>
      <c r="BQ47" s="915">
        <f t="shared" si="29"/>
        <v>0</v>
      </c>
      <c r="BR47" s="915">
        <f t="shared" si="30"/>
        <v>0</v>
      </c>
      <c r="BS47" s="915">
        <f t="shared" si="31"/>
        <v>0</v>
      </c>
      <c r="BT47" s="915">
        <f t="shared" si="128"/>
        <v>0</v>
      </c>
      <c r="BU47" s="915">
        <f t="shared" si="128"/>
        <v>0</v>
      </c>
      <c r="BV47" s="915">
        <f t="shared" si="85"/>
        <v>0</v>
      </c>
      <c r="BW47" s="915">
        <f t="shared" si="86"/>
        <v>0</v>
      </c>
      <c r="BX47" s="915">
        <f t="shared" si="87"/>
        <v>0</v>
      </c>
      <c r="BY47" s="915">
        <f t="shared" si="88"/>
        <v>0</v>
      </c>
      <c r="BZ47" s="915">
        <f t="shared" si="89"/>
        <v>0</v>
      </c>
      <c r="CA47" s="915">
        <f t="shared" si="90"/>
        <v>0</v>
      </c>
      <c r="CB47" s="915">
        <f t="shared" si="91"/>
        <v>0</v>
      </c>
      <c r="CC47" s="915">
        <f t="shared" si="92"/>
        <v>0</v>
      </c>
      <c r="CD47" s="915">
        <f t="shared" si="32"/>
        <v>0</v>
      </c>
      <c r="CE47" s="915">
        <f t="shared" si="33"/>
        <v>0</v>
      </c>
      <c r="CF47" s="915">
        <f t="shared" si="34"/>
        <v>0</v>
      </c>
      <c r="CG47" s="915">
        <f t="shared" si="35"/>
        <v>0</v>
      </c>
      <c r="CH47" s="915">
        <f t="shared" si="36"/>
        <v>0</v>
      </c>
      <c r="CI47" s="915">
        <f t="shared" si="37"/>
        <v>0</v>
      </c>
      <c r="CJ47" s="915">
        <f t="shared" si="38"/>
        <v>0</v>
      </c>
      <c r="CK47" s="915">
        <f t="shared" si="39"/>
        <v>0</v>
      </c>
      <c r="CL47" s="915">
        <f t="shared" si="40"/>
        <v>0</v>
      </c>
      <c r="CM47" s="915">
        <f t="shared" si="41"/>
        <v>0</v>
      </c>
      <c r="CN47" s="915">
        <f t="shared" si="93"/>
        <v>0</v>
      </c>
      <c r="CO47" s="915">
        <f t="shared" si="94"/>
        <v>0</v>
      </c>
      <c r="CP47" s="915">
        <f t="shared" si="95"/>
        <v>0</v>
      </c>
      <c r="CQ47" s="915">
        <f t="shared" si="96"/>
        <v>0</v>
      </c>
      <c r="CR47" s="915">
        <f t="shared" si="97"/>
        <v>0</v>
      </c>
      <c r="CS47" s="915">
        <f t="shared" si="98"/>
        <v>0</v>
      </c>
      <c r="CT47" s="915">
        <f t="shared" si="99"/>
        <v>0</v>
      </c>
      <c r="CU47" s="915">
        <f t="shared" si="100"/>
        <v>0</v>
      </c>
      <c r="CV47" s="915">
        <f t="shared" si="101"/>
        <v>0</v>
      </c>
      <c r="CW47" s="915">
        <f t="shared" si="102"/>
        <v>0</v>
      </c>
      <c r="CX47" s="915">
        <f t="shared" si="42"/>
        <v>0</v>
      </c>
      <c r="CY47" s="915">
        <f t="shared" si="43"/>
        <v>0</v>
      </c>
      <c r="CZ47" s="915">
        <f t="shared" si="44"/>
        <v>0</v>
      </c>
      <c r="DA47" s="915">
        <f t="shared" si="45"/>
        <v>0</v>
      </c>
      <c r="DB47" s="915">
        <f t="shared" si="46"/>
        <v>0</v>
      </c>
      <c r="DC47" s="915">
        <f t="shared" si="47"/>
        <v>0</v>
      </c>
      <c r="DD47" s="915">
        <f t="shared" si="48"/>
        <v>0</v>
      </c>
      <c r="DE47" s="915">
        <f t="shared" si="49"/>
        <v>0</v>
      </c>
      <c r="DF47" s="915">
        <f t="shared" si="50"/>
        <v>0</v>
      </c>
      <c r="DG47" s="915">
        <f t="shared" si="51"/>
        <v>0</v>
      </c>
      <c r="DH47" s="915">
        <f t="shared" si="103"/>
        <v>0</v>
      </c>
      <c r="DI47" s="915">
        <f t="shared" si="104"/>
        <v>0</v>
      </c>
      <c r="DJ47" s="915">
        <f t="shared" si="105"/>
        <v>0</v>
      </c>
      <c r="DK47" s="915">
        <f t="shared" si="106"/>
        <v>0</v>
      </c>
      <c r="DL47" s="915">
        <f t="shared" si="107"/>
        <v>0</v>
      </c>
      <c r="DM47" s="915">
        <f t="shared" si="108"/>
        <v>0</v>
      </c>
      <c r="DN47" s="915">
        <f t="shared" si="109"/>
        <v>0</v>
      </c>
      <c r="DO47" s="915">
        <f t="shared" si="110"/>
        <v>0</v>
      </c>
      <c r="DP47" s="915">
        <f t="shared" si="111"/>
        <v>0</v>
      </c>
      <c r="DQ47" s="915">
        <f t="shared" si="112"/>
        <v>0</v>
      </c>
      <c r="DR47" s="915">
        <f t="shared" si="52"/>
        <v>0</v>
      </c>
      <c r="DS47" s="915">
        <f t="shared" si="53"/>
        <v>0</v>
      </c>
      <c r="DT47" s="915">
        <f t="shared" si="54"/>
        <v>0</v>
      </c>
      <c r="DU47" s="915">
        <f t="shared" si="55"/>
        <v>0</v>
      </c>
      <c r="DV47" s="915">
        <f t="shared" si="56"/>
        <v>0</v>
      </c>
      <c r="DW47" s="915">
        <f t="shared" si="57"/>
        <v>0</v>
      </c>
      <c r="DX47" s="915">
        <f t="shared" si="58"/>
        <v>0</v>
      </c>
      <c r="DY47" s="915">
        <f t="shared" si="59"/>
        <v>0</v>
      </c>
      <c r="DZ47" s="915">
        <f t="shared" si="60"/>
        <v>0</v>
      </c>
      <c r="EA47" s="915">
        <f t="shared" si="61"/>
        <v>0</v>
      </c>
      <c r="EB47" s="915">
        <f t="shared" si="113"/>
        <v>0</v>
      </c>
      <c r="EC47" s="915">
        <f t="shared" si="114"/>
        <v>0</v>
      </c>
      <c r="ED47" s="915">
        <f t="shared" si="115"/>
        <v>0</v>
      </c>
      <c r="EE47" s="915">
        <f t="shared" si="116"/>
        <v>0</v>
      </c>
      <c r="EF47" s="915">
        <f t="shared" si="117"/>
        <v>0</v>
      </c>
      <c r="EG47" s="915">
        <f t="shared" si="118"/>
        <v>0</v>
      </c>
      <c r="EH47" s="915">
        <f t="shared" si="119"/>
        <v>0</v>
      </c>
      <c r="EI47" s="915">
        <f t="shared" si="120"/>
        <v>0</v>
      </c>
      <c r="EJ47" s="915">
        <f t="shared" si="121"/>
        <v>0</v>
      </c>
      <c r="EK47" s="915">
        <f t="shared" si="122"/>
        <v>0</v>
      </c>
      <c r="EL47" s="915"/>
      <c r="EN47" s="533"/>
      <c r="EQ47" s="534"/>
    </row>
    <row r="48" spans="1:147" ht="14.1" customHeight="1" x14ac:dyDescent="0.2">
      <c r="A48" s="496">
        <v>41</v>
      </c>
      <c r="B48" s="1419"/>
      <c r="C48" s="1420"/>
      <c r="D48" s="264">
        <v>1</v>
      </c>
      <c r="E48" s="264" t="s">
        <v>515</v>
      </c>
      <c r="F48" s="270" t="s">
        <v>2544</v>
      </c>
      <c r="G48" s="271">
        <v>1</v>
      </c>
      <c r="H48" s="803">
        <v>10</v>
      </c>
      <c r="I48" s="800">
        <f t="shared" si="129"/>
        <v>0.6</v>
      </c>
      <c r="J48" s="269">
        <f t="shared" si="130"/>
        <v>10.6</v>
      </c>
      <c r="K48" s="225"/>
      <c r="L48" s="941" t="str">
        <f>TabName1 &amp; " - SOLID"</f>
        <v>Phase 1 - SOLID</v>
      </c>
      <c r="M48" s="942">
        <f>BJ6</f>
        <v>10.6</v>
      </c>
      <c r="N48" s="949"/>
      <c r="V48" s="915">
        <f t="shared" si="3"/>
        <v>0</v>
      </c>
      <c r="W48" s="915">
        <f t="shared" si="4"/>
        <v>0</v>
      </c>
      <c r="X48" s="915">
        <f t="shared" si="5"/>
        <v>0</v>
      </c>
      <c r="Y48" s="915">
        <f t="shared" si="6"/>
        <v>0</v>
      </c>
      <c r="Z48" s="915">
        <f t="shared" si="7"/>
        <v>0</v>
      </c>
      <c r="AA48" s="915">
        <f t="shared" si="8"/>
        <v>0</v>
      </c>
      <c r="AB48" s="915">
        <f t="shared" si="9"/>
        <v>0</v>
      </c>
      <c r="AC48" s="915">
        <f t="shared" si="10"/>
        <v>0</v>
      </c>
      <c r="AD48" s="915">
        <f t="shared" si="11"/>
        <v>0</v>
      </c>
      <c r="AE48" s="915">
        <f t="shared" si="12"/>
        <v>0</v>
      </c>
      <c r="AF48" s="915">
        <f t="shared" si="63"/>
        <v>0</v>
      </c>
      <c r="AG48" s="915">
        <f t="shared" si="64"/>
        <v>0</v>
      </c>
      <c r="AH48" s="915">
        <f t="shared" si="65"/>
        <v>0</v>
      </c>
      <c r="AI48" s="915">
        <f t="shared" si="66"/>
        <v>0</v>
      </c>
      <c r="AJ48" s="915">
        <f t="shared" si="67"/>
        <v>0</v>
      </c>
      <c r="AK48" s="915">
        <f t="shared" si="68"/>
        <v>0</v>
      </c>
      <c r="AL48" s="915">
        <f t="shared" si="69"/>
        <v>0</v>
      </c>
      <c r="AM48" s="915">
        <f t="shared" si="70"/>
        <v>0</v>
      </c>
      <c r="AN48" s="915">
        <f t="shared" si="71"/>
        <v>0</v>
      </c>
      <c r="AO48" s="915">
        <f t="shared" si="72"/>
        <v>0</v>
      </c>
      <c r="AP48" s="915">
        <f t="shared" si="13"/>
        <v>0</v>
      </c>
      <c r="AQ48" s="915">
        <f t="shared" si="14"/>
        <v>0</v>
      </c>
      <c r="AR48" s="915">
        <f t="shared" si="15"/>
        <v>0</v>
      </c>
      <c r="AS48" s="915">
        <f t="shared" si="16"/>
        <v>0</v>
      </c>
      <c r="AT48" s="915">
        <f t="shared" si="17"/>
        <v>0</v>
      </c>
      <c r="AU48" s="915">
        <f t="shared" si="18"/>
        <v>0</v>
      </c>
      <c r="AV48" s="915">
        <f t="shared" si="19"/>
        <v>0</v>
      </c>
      <c r="AW48" s="915">
        <f t="shared" si="20"/>
        <v>0</v>
      </c>
      <c r="AX48" s="915">
        <f t="shared" si="21"/>
        <v>0</v>
      </c>
      <c r="AY48" s="915">
        <f t="shared" si="73"/>
        <v>0</v>
      </c>
      <c r="AZ48" s="915">
        <f t="shared" si="74"/>
        <v>0</v>
      </c>
      <c r="BA48" s="915">
        <f t="shared" si="75"/>
        <v>0</v>
      </c>
      <c r="BB48" s="915">
        <f t="shared" si="76"/>
        <v>0</v>
      </c>
      <c r="BC48" s="915">
        <f t="shared" si="77"/>
        <v>0</v>
      </c>
      <c r="BD48" s="915">
        <f t="shared" si="78"/>
        <v>0</v>
      </c>
      <c r="BE48" s="915">
        <f t="shared" si="79"/>
        <v>0</v>
      </c>
      <c r="BF48" s="915">
        <f t="shared" si="80"/>
        <v>0</v>
      </c>
      <c r="BG48" s="915">
        <f t="shared" si="81"/>
        <v>0</v>
      </c>
      <c r="BH48" s="915">
        <f t="shared" si="82"/>
        <v>0</v>
      </c>
      <c r="BI48" s="915">
        <f t="shared" si="83"/>
        <v>0</v>
      </c>
      <c r="BJ48" s="915">
        <f t="shared" si="22"/>
        <v>10.6</v>
      </c>
      <c r="BK48" s="915">
        <f t="shared" si="23"/>
        <v>0</v>
      </c>
      <c r="BL48" s="915">
        <f t="shared" si="24"/>
        <v>0</v>
      </c>
      <c r="BM48" s="915">
        <f t="shared" si="25"/>
        <v>0</v>
      </c>
      <c r="BN48" s="915">
        <f t="shared" si="26"/>
        <v>0</v>
      </c>
      <c r="BO48" s="915">
        <f t="shared" si="27"/>
        <v>0</v>
      </c>
      <c r="BP48" s="915">
        <f t="shared" si="28"/>
        <v>0</v>
      </c>
      <c r="BQ48" s="915">
        <f t="shared" si="29"/>
        <v>0</v>
      </c>
      <c r="BR48" s="915">
        <f t="shared" si="30"/>
        <v>0</v>
      </c>
      <c r="BS48" s="915">
        <f t="shared" si="31"/>
        <v>0</v>
      </c>
      <c r="BT48" s="915">
        <f t="shared" si="128"/>
        <v>0</v>
      </c>
      <c r="BU48" s="915">
        <f t="shared" si="128"/>
        <v>0</v>
      </c>
      <c r="BV48" s="915">
        <f t="shared" si="85"/>
        <v>0</v>
      </c>
      <c r="BW48" s="915">
        <f t="shared" si="86"/>
        <v>0</v>
      </c>
      <c r="BX48" s="915">
        <f t="shared" si="87"/>
        <v>0</v>
      </c>
      <c r="BY48" s="915">
        <f t="shared" si="88"/>
        <v>0</v>
      </c>
      <c r="BZ48" s="915">
        <f t="shared" si="89"/>
        <v>0</v>
      </c>
      <c r="CA48" s="915">
        <f t="shared" si="90"/>
        <v>0</v>
      </c>
      <c r="CB48" s="915">
        <f t="shared" si="91"/>
        <v>0</v>
      </c>
      <c r="CC48" s="915">
        <f t="shared" si="92"/>
        <v>0</v>
      </c>
      <c r="CD48" s="915">
        <f t="shared" si="32"/>
        <v>0</v>
      </c>
      <c r="CE48" s="915">
        <f t="shared" si="33"/>
        <v>0</v>
      </c>
      <c r="CF48" s="915">
        <f t="shared" si="34"/>
        <v>0</v>
      </c>
      <c r="CG48" s="915">
        <f t="shared" si="35"/>
        <v>0</v>
      </c>
      <c r="CH48" s="915">
        <f t="shared" si="36"/>
        <v>0</v>
      </c>
      <c r="CI48" s="915">
        <f t="shared" si="37"/>
        <v>0</v>
      </c>
      <c r="CJ48" s="915">
        <f t="shared" si="38"/>
        <v>0</v>
      </c>
      <c r="CK48" s="915">
        <f t="shared" si="39"/>
        <v>0</v>
      </c>
      <c r="CL48" s="915">
        <f t="shared" si="40"/>
        <v>0</v>
      </c>
      <c r="CM48" s="915">
        <f t="shared" si="41"/>
        <v>0</v>
      </c>
      <c r="CN48" s="915">
        <f t="shared" si="93"/>
        <v>0</v>
      </c>
      <c r="CO48" s="915">
        <f t="shared" si="94"/>
        <v>0</v>
      </c>
      <c r="CP48" s="915">
        <f t="shared" si="95"/>
        <v>0</v>
      </c>
      <c r="CQ48" s="915">
        <f t="shared" si="96"/>
        <v>0</v>
      </c>
      <c r="CR48" s="915">
        <f t="shared" si="97"/>
        <v>0</v>
      </c>
      <c r="CS48" s="915">
        <f t="shared" si="98"/>
        <v>0</v>
      </c>
      <c r="CT48" s="915">
        <f t="shared" si="99"/>
        <v>0</v>
      </c>
      <c r="CU48" s="915">
        <f t="shared" si="100"/>
        <v>0</v>
      </c>
      <c r="CV48" s="915">
        <f t="shared" si="101"/>
        <v>0</v>
      </c>
      <c r="CW48" s="915">
        <f t="shared" si="102"/>
        <v>0</v>
      </c>
      <c r="CX48" s="915">
        <f t="shared" si="42"/>
        <v>0</v>
      </c>
      <c r="CY48" s="915">
        <f t="shared" si="43"/>
        <v>0</v>
      </c>
      <c r="CZ48" s="915">
        <f t="shared" si="44"/>
        <v>0</v>
      </c>
      <c r="DA48" s="915">
        <f t="shared" si="45"/>
        <v>0</v>
      </c>
      <c r="DB48" s="915">
        <f t="shared" si="46"/>
        <v>0</v>
      </c>
      <c r="DC48" s="915">
        <f t="shared" si="47"/>
        <v>0</v>
      </c>
      <c r="DD48" s="915">
        <f t="shared" si="48"/>
        <v>0</v>
      </c>
      <c r="DE48" s="915">
        <f t="shared" si="49"/>
        <v>0</v>
      </c>
      <c r="DF48" s="915">
        <f t="shared" si="50"/>
        <v>0</v>
      </c>
      <c r="DG48" s="915">
        <f t="shared" si="51"/>
        <v>0</v>
      </c>
      <c r="DH48" s="915">
        <f t="shared" si="103"/>
        <v>0</v>
      </c>
      <c r="DI48" s="915">
        <f t="shared" si="104"/>
        <v>0</v>
      </c>
      <c r="DJ48" s="915">
        <f t="shared" si="105"/>
        <v>0</v>
      </c>
      <c r="DK48" s="915">
        <f t="shared" si="106"/>
        <v>0</v>
      </c>
      <c r="DL48" s="915">
        <f t="shared" si="107"/>
        <v>0</v>
      </c>
      <c r="DM48" s="915">
        <f t="shared" si="108"/>
        <v>0</v>
      </c>
      <c r="DN48" s="915">
        <f t="shared" si="109"/>
        <v>0</v>
      </c>
      <c r="DO48" s="915">
        <f t="shared" si="110"/>
        <v>0</v>
      </c>
      <c r="DP48" s="915">
        <f t="shared" si="111"/>
        <v>0</v>
      </c>
      <c r="DQ48" s="915">
        <f t="shared" si="112"/>
        <v>0</v>
      </c>
      <c r="DR48" s="915">
        <f t="shared" si="52"/>
        <v>0</v>
      </c>
      <c r="DS48" s="915">
        <f t="shared" si="53"/>
        <v>0</v>
      </c>
      <c r="DT48" s="915">
        <f t="shared" si="54"/>
        <v>0</v>
      </c>
      <c r="DU48" s="915">
        <f t="shared" si="55"/>
        <v>0</v>
      </c>
      <c r="DV48" s="915">
        <f t="shared" si="56"/>
        <v>0</v>
      </c>
      <c r="DW48" s="915">
        <f t="shared" si="57"/>
        <v>0</v>
      </c>
      <c r="DX48" s="915">
        <f t="shared" si="58"/>
        <v>0</v>
      </c>
      <c r="DY48" s="915">
        <f t="shared" si="59"/>
        <v>0</v>
      </c>
      <c r="DZ48" s="915">
        <f t="shared" si="60"/>
        <v>0</v>
      </c>
      <c r="EA48" s="915">
        <f t="shared" si="61"/>
        <v>0</v>
      </c>
      <c r="EB48" s="915">
        <f t="shared" si="113"/>
        <v>0</v>
      </c>
      <c r="EC48" s="915">
        <f t="shared" si="114"/>
        <v>0</v>
      </c>
      <c r="ED48" s="915">
        <f t="shared" si="115"/>
        <v>0</v>
      </c>
      <c r="EE48" s="915">
        <f t="shared" si="116"/>
        <v>0</v>
      </c>
      <c r="EF48" s="915">
        <f t="shared" si="117"/>
        <v>0</v>
      </c>
      <c r="EG48" s="915">
        <f t="shared" si="118"/>
        <v>0</v>
      </c>
      <c r="EH48" s="915">
        <f t="shared" si="119"/>
        <v>0</v>
      </c>
      <c r="EI48" s="915">
        <f t="shared" si="120"/>
        <v>0</v>
      </c>
      <c r="EJ48" s="915">
        <f t="shared" si="121"/>
        <v>0</v>
      </c>
      <c r="EK48" s="915">
        <f t="shared" si="122"/>
        <v>0</v>
      </c>
      <c r="EL48" s="915"/>
      <c r="EN48" s="533"/>
      <c r="EQ48" s="534"/>
    </row>
    <row r="49" spans="1:147" ht="14.1" customHeight="1" x14ac:dyDescent="0.2">
      <c r="A49" s="1026">
        <v>42</v>
      </c>
      <c r="B49" s="1423"/>
      <c r="C49" s="1431"/>
      <c r="D49" s="1020">
        <v>2</v>
      </c>
      <c r="E49" s="138" t="s">
        <v>515</v>
      </c>
      <c r="F49" s="139" t="s">
        <v>2544</v>
      </c>
      <c r="G49" s="91">
        <v>1</v>
      </c>
      <c r="H49" s="1022">
        <v>10</v>
      </c>
      <c r="I49" s="801">
        <f t="shared" si="129"/>
        <v>0.6</v>
      </c>
      <c r="J49" s="1021">
        <f t="shared" si="130"/>
        <v>10.6</v>
      </c>
      <c r="K49" s="225"/>
      <c r="L49" s="941" t="str">
        <f>TabName2 &amp; " - SOLID"</f>
        <v>Phase 2 - SOLID</v>
      </c>
      <c r="M49" s="942">
        <f>BK6</f>
        <v>10.6</v>
      </c>
      <c r="N49" s="949"/>
      <c r="V49" s="915">
        <f t="shared" si="3"/>
        <v>0</v>
      </c>
      <c r="W49" s="915">
        <f t="shared" si="4"/>
        <v>0</v>
      </c>
      <c r="X49" s="915">
        <f t="shared" si="5"/>
        <v>0</v>
      </c>
      <c r="Y49" s="915">
        <f t="shared" si="6"/>
        <v>0</v>
      </c>
      <c r="Z49" s="915">
        <f t="shared" si="7"/>
        <v>0</v>
      </c>
      <c r="AA49" s="915">
        <f t="shared" si="8"/>
        <v>0</v>
      </c>
      <c r="AB49" s="915">
        <f t="shared" si="9"/>
        <v>0</v>
      </c>
      <c r="AC49" s="915">
        <f t="shared" si="10"/>
        <v>0</v>
      </c>
      <c r="AD49" s="915">
        <f t="shared" si="11"/>
        <v>0</v>
      </c>
      <c r="AE49" s="915">
        <f t="shared" si="12"/>
        <v>0</v>
      </c>
      <c r="AF49" s="915">
        <f t="shared" si="63"/>
        <v>0</v>
      </c>
      <c r="AG49" s="915">
        <f t="shared" si="64"/>
        <v>0</v>
      </c>
      <c r="AH49" s="915">
        <f t="shared" si="65"/>
        <v>0</v>
      </c>
      <c r="AI49" s="915">
        <f t="shared" si="66"/>
        <v>0</v>
      </c>
      <c r="AJ49" s="915">
        <f t="shared" si="67"/>
        <v>0</v>
      </c>
      <c r="AK49" s="915">
        <f t="shared" si="68"/>
        <v>0</v>
      </c>
      <c r="AL49" s="915">
        <f t="shared" si="69"/>
        <v>0</v>
      </c>
      <c r="AM49" s="915">
        <f t="shared" si="70"/>
        <v>0</v>
      </c>
      <c r="AN49" s="915">
        <f t="shared" si="71"/>
        <v>0</v>
      </c>
      <c r="AO49" s="915">
        <f t="shared" si="72"/>
        <v>0</v>
      </c>
      <c r="AP49" s="915">
        <f t="shared" si="13"/>
        <v>0</v>
      </c>
      <c r="AQ49" s="915">
        <f t="shared" si="14"/>
        <v>0</v>
      </c>
      <c r="AR49" s="915">
        <f t="shared" si="15"/>
        <v>0</v>
      </c>
      <c r="AS49" s="915">
        <f t="shared" si="16"/>
        <v>0</v>
      </c>
      <c r="AT49" s="915">
        <f t="shared" si="17"/>
        <v>0</v>
      </c>
      <c r="AU49" s="915">
        <f t="shared" si="18"/>
        <v>0</v>
      </c>
      <c r="AV49" s="915">
        <f t="shared" si="19"/>
        <v>0</v>
      </c>
      <c r="AW49" s="915">
        <f t="shared" si="20"/>
        <v>0</v>
      </c>
      <c r="AX49" s="915">
        <f t="shared" si="21"/>
        <v>0</v>
      </c>
      <c r="AY49" s="915">
        <f t="shared" si="73"/>
        <v>0</v>
      </c>
      <c r="AZ49" s="915">
        <f t="shared" si="74"/>
        <v>0</v>
      </c>
      <c r="BA49" s="915">
        <f t="shared" si="75"/>
        <v>0</v>
      </c>
      <c r="BB49" s="915">
        <f t="shared" si="76"/>
        <v>0</v>
      </c>
      <c r="BC49" s="915">
        <f t="shared" si="77"/>
        <v>0</v>
      </c>
      <c r="BD49" s="915">
        <f t="shared" si="78"/>
        <v>0</v>
      </c>
      <c r="BE49" s="915">
        <f t="shared" si="79"/>
        <v>0</v>
      </c>
      <c r="BF49" s="915">
        <f t="shared" si="80"/>
        <v>0</v>
      </c>
      <c r="BG49" s="915">
        <f t="shared" si="81"/>
        <v>0</v>
      </c>
      <c r="BH49" s="915">
        <f t="shared" si="82"/>
        <v>0</v>
      </c>
      <c r="BI49" s="915">
        <f t="shared" si="83"/>
        <v>0</v>
      </c>
      <c r="BJ49" s="915">
        <f t="shared" si="22"/>
        <v>0</v>
      </c>
      <c r="BK49" s="915">
        <f t="shared" si="23"/>
        <v>10.6</v>
      </c>
      <c r="BL49" s="915">
        <f t="shared" si="24"/>
        <v>0</v>
      </c>
      <c r="BM49" s="915">
        <f t="shared" si="25"/>
        <v>0</v>
      </c>
      <c r="BN49" s="915">
        <f t="shared" si="26"/>
        <v>0</v>
      </c>
      <c r="BO49" s="915">
        <f t="shared" si="27"/>
        <v>0</v>
      </c>
      <c r="BP49" s="915">
        <f t="shared" si="28"/>
        <v>0</v>
      </c>
      <c r="BQ49" s="915">
        <f t="shared" si="29"/>
        <v>0</v>
      </c>
      <c r="BR49" s="915">
        <f t="shared" si="30"/>
        <v>0</v>
      </c>
      <c r="BS49" s="915">
        <f t="shared" si="31"/>
        <v>0</v>
      </c>
      <c r="BT49" s="915">
        <f t="shared" si="128"/>
        <v>0</v>
      </c>
      <c r="BU49" s="915">
        <f t="shared" si="128"/>
        <v>0</v>
      </c>
      <c r="BV49" s="915">
        <f t="shared" si="85"/>
        <v>0</v>
      </c>
      <c r="BW49" s="915">
        <f t="shared" si="86"/>
        <v>0</v>
      </c>
      <c r="BX49" s="915">
        <f t="shared" si="87"/>
        <v>0</v>
      </c>
      <c r="BY49" s="915">
        <f t="shared" si="88"/>
        <v>0</v>
      </c>
      <c r="BZ49" s="915">
        <f t="shared" si="89"/>
        <v>0</v>
      </c>
      <c r="CA49" s="915">
        <f t="shared" si="90"/>
        <v>0</v>
      </c>
      <c r="CB49" s="915">
        <f t="shared" si="91"/>
        <v>0</v>
      </c>
      <c r="CC49" s="915">
        <f t="shared" si="92"/>
        <v>0</v>
      </c>
      <c r="CD49" s="915">
        <f t="shared" si="32"/>
        <v>0</v>
      </c>
      <c r="CE49" s="915">
        <f t="shared" si="33"/>
        <v>0</v>
      </c>
      <c r="CF49" s="915">
        <f t="shared" si="34"/>
        <v>0</v>
      </c>
      <c r="CG49" s="915">
        <f t="shared" si="35"/>
        <v>0</v>
      </c>
      <c r="CH49" s="915">
        <f t="shared" si="36"/>
        <v>0</v>
      </c>
      <c r="CI49" s="915">
        <f t="shared" si="37"/>
        <v>0</v>
      </c>
      <c r="CJ49" s="915">
        <f t="shared" si="38"/>
        <v>0</v>
      </c>
      <c r="CK49" s="915">
        <f t="shared" si="39"/>
        <v>0</v>
      </c>
      <c r="CL49" s="915">
        <f t="shared" si="40"/>
        <v>0</v>
      </c>
      <c r="CM49" s="915">
        <f t="shared" si="41"/>
        <v>0</v>
      </c>
      <c r="CN49" s="915">
        <f t="shared" si="93"/>
        <v>0</v>
      </c>
      <c r="CO49" s="915">
        <f t="shared" si="94"/>
        <v>0</v>
      </c>
      <c r="CP49" s="915">
        <f t="shared" si="95"/>
        <v>0</v>
      </c>
      <c r="CQ49" s="915">
        <f t="shared" si="96"/>
        <v>0</v>
      </c>
      <c r="CR49" s="915">
        <f t="shared" si="97"/>
        <v>0</v>
      </c>
      <c r="CS49" s="915">
        <f t="shared" si="98"/>
        <v>0</v>
      </c>
      <c r="CT49" s="915">
        <f t="shared" si="99"/>
        <v>0</v>
      </c>
      <c r="CU49" s="915">
        <f t="shared" si="100"/>
        <v>0</v>
      </c>
      <c r="CV49" s="915">
        <f t="shared" si="101"/>
        <v>0</v>
      </c>
      <c r="CW49" s="915">
        <f t="shared" si="102"/>
        <v>0</v>
      </c>
      <c r="CX49" s="915">
        <f t="shared" si="42"/>
        <v>0</v>
      </c>
      <c r="CY49" s="915">
        <f t="shared" si="43"/>
        <v>0</v>
      </c>
      <c r="CZ49" s="915">
        <f t="shared" si="44"/>
        <v>0</v>
      </c>
      <c r="DA49" s="915">
        <f t="shared" si="45"/>
        <v>0</v>
      </c>
      <c r="DB49" s="915">
        <f t="shared" si="46"/>
        <v>0</v>
      </c>
      <c r="DC49" s="915">
        <f t="shared" si="47"/>
        <v>0</v>
      </c>
      <c r="DD49" s="915">
        <f t="shared" si="48"/>
        <v>0</v>
      </c>
      <c r="DE49" s="915">
        <f t="shared" si="49"/>
        <v>0</v>
      </c>
      <c r="DF49" s="915">
        <f t="shared" si="50"/>
        <v>0</v>
      </c>
      <c r="DG49" s="915">
        <f t="shared" si="51"/>
        <v>0</v>
      </c>
      <c r="DH49" s="915">
        <f t="shared" si="103"/>
        <v>0</v>
      </c>
      <c r="DI49" s="915">
        <f t="shared" si="104"/>
        <v>0</v>
      </c>
      <c r="DJ49" s="915">
        <f t="shared" si="105"/>
        <v>0</v>
      </c>
      <c r="DK49" s="915">
        <f t="shared" si="106"/>
        <v>0</v>
      </c>
      <c r="DL49" s="915">
        <f t="shared" si="107"/>
        <v>0</v>
      </c>
      <c r="DM49" s="915">
        <f t="shared" si="108"/>
        <v>0</v>
      </c>
      <c r="DN49" s="915">
        <f t="shared" si="109"/>
        <v>0</v>
      </c>
      <c r="DO49" s="915">
        <f t="shared" si="110"/>
        <v>0</v>
      </c>
      <c r="DP49" s="915">
        <f t="shared" si="111"/>
        <v>0</v>
      </c>
      <c r="DQ49" s="915">
        <f t="shared" si="112"/>
        <v>0</v>
      </c>
      <c r="DR49" s="915">
        <f t="shared" si="52"/>
        <v>0</v>
      </c>
      <c r="DS49" s="915">
        <f t="shared" si="53"/>
        <v>0</v>
      </c>
      <c r="DT49" s="915">
        <f t="shared" si="54"/>
        <v>0</v>
      </c>
      <c r="DU49" s="915">
        <f t="shared" si="55"/>
        <v>0</v>
      </c>
      <c r="DV49" s="915">
        <f t="shared" si="56"/>
        <v>0</v>
      </c>
      <c r="DW49" s="915">
        <f t="shared" si="57"/>
        <v>0</v>
      </c>
      <c r="DX49" s="915">
        <f t="shared" si="58"/>
        <v>0</v>
      </c>
      <c r="DY49" s="915">
        <f t="shared" si="59"/>
        <v>0</v>
      </c>
      <c r="DZ49" s="915">
        <f t="shared" si="60"/>
        <v>0</v>
      </c>
      <c r="EA49" s="915">
        <f t="shared" si="61"/>
        <v>0</v>
      </c>
      <c r="EB49" s="915">
        <f t="shared" si="113"/>
        <v>0</v>
      </c>
      <c r="EC49" s="915">
        <f t="shared" si="114"/>
        <v>0</v>
      </c>
      <c r="ED49" s="915">
        <f t="shared" si="115"/>
        <v>0</v>
      </c>
      <c r="EE49" s="915">
        <f t="shared" si="116"/>
        <v>0</v>
      </c>
      <c r="EF49" s="915">
        <f t="shared" si="117"/>
        <v>0</v>
      </c>
      <c r="EG49" s="915">
        <f t="shared" si="118"/>
        <v>0</v>
      </c>
      <c r="EH49" s="915">
        <f t="shared" si="119"/>
        <v>0</v>
      </c>
      <c r="EI49" s="915">
        <f t="shared" si="120"/>
        <v>0</v>
      </c>
      <c r="EJ49" s="915">
        <f t="shared" si="121"/>
        <v>0</v>
      </c>
      <c r="EK49" s="915">
        <f t="shared" si="122"/>
        <v>0</v>
      </c>
      <c r="EL49" s="915"/>
      <c r="EN49" s="533"/>
      <c r="EQ49" s="534"/>
    </row>
    <row r="50" spans="1:147" ht="14.1" customHeight="1" x14ac:dyDescent="0.2">
      <c r="A50" s="496">
        <v>43</v>
      </c>
      <c r="B50" s="1419"/>
      <c r="C50" s="1420"/>
      <c r="D50" s="264">
        <v>3</v>
      </c>
      <c r="E50" s="264" t="s">
        <v>515</v>
      </c>
      <c r="F50" s="270" t="s">
        <v>2544</v>
      </c>
      <c r="G50" s="271">
        <v>1</v>
      </c>
      <c r="H50" s="803">
        <v>10</v>
      </c>
      <c r="I50" s="800">
        <f t="shared" si="129"/>
        <v>0.6</v>
      </c>
      <c r="J50" s="269">
        <f t="shared" si="130"/>
        <v>10.6</v>
      </c>
      <c r="K50" s="225"/>
      <c r="L50" s="941" t="str">
        <f>TabName3 &amp; " - SOLID"</f>
        <v>Phase 3 - SOLID</v>
      </c>
      <c r="M50" s="942">
        <f>BL6</f>
        <v>10.6</v>
      </c>
      <c r="N50" s="949"/>
      <c r="V50" s="915">
        <f t="shared" si="3"/>
        <v>0</v>
      </c>
      <c r="W50" s="915">
        <f t="shared" si="4"/>
        <v>0</v>
      </c>
      <c r="X50" s="915">
        <f t="shared" si="5"/>
        <v>0</v>
      </c>
      <c r="Y50" s="915">
        <f t="shared" si="6"/>
        <v>0</v>
      </c>
      <c r="Z50" s="915">
        <f t="shared" si="7"/>
        <v>0</v>
      </c>
      <c r="AA50" s="915">
        <f t="shared" si="8"/>
        <v>0</v>
      </c>
      <c r="AB50" s="915">
        <f t="shared" si="9"/>
        <v>0</v>
      </c>
      <c r="AC50" s="915">
        <f t="shared" si="10"/>
        <v>0</v>
      </c>
      <c r="AD50" s="915">
        <f t="shared" si="11"/>
        <v>0</v>
      </c>
      <c r="AE50" s="915">
        <f t="shared" si="12"/>
        <v>0</v>
      </c>
      <c r="AF50" s="915">
        <f t="shared" si="63"/>
        <v>0</v>
      </c>
      <c r="AG50" s="915">
        <f t="shared" si="64"/>
        <v>0</v>
      </c>
      <c r="AH50" s="915">
        <f t="shared" si="65"/>
        <v>0</v>
      </c>
      <c r="AI50" s="915">
        <f t="shared" si="66"/>
        <v>0</v>
      </c>
      <c r="AJ50" s="915">
        <f t="shared" si="67"/>
        <v>0</v>
      </c>
      <c r="AK50" s="915">
        <f t="shared" si="68"/>
        <v>0</v>
      </c>
      <c r="AL50" s="915">
        <f t="shared" si="69"/>
        <v>0</v>
      </c>
      <c r="AM50" s="915">
        <f t="shared" si="70"/>
        <v>0</v>
      </c>
      <c r="AN50" s="915">
        <f t="shared" si="71"/>
        <v>0</v>
      </c>
      <c r="AO50" s="915">
        <f t="shared" si="72"/>
        <v>0</v>
      </c>
      <c r="AP50" s="915">
        <f t="shared" si="13"/>
        <v>0</v>
      </c>
      <c r="AQ50" s="915">
        <f t="shared" si="14"/>
        <v>0</v>
      </c>
      <c r="AR50" s="915">
        <f t="shared" si="15"/>
        <v>0</v>
      </c>
      <c r="AS50" s="915">
        <f t="shared" si="16"/>
        <v>0</v>
      </c>
      <c r="AT50" s="915">
        <f t="shared" si="17"/>
        <v>0</v>
      </c>
      <c r="AU50" s="915">
        <f t="shared" si="18"/>
        <v>0</v>
      </c>
      <c r="AV50" s="915">
        <f t="shared" si="19"/>
        <v>0</v>
      </c>
      <c r="AW50" s="915">
        <f t="shared" si="20"/>
        <v>0</v>
      </c>
      <c r="AX50" s="915">
        <f t="shared" si="21"/>
        <v>0</v>
      </c>
      <c r="AY50" s="915">
        <f t="shared" si="73"/>
        <v>0</v>
      </c>
      <c r="AZ50" s="915">
        <f t="shared" si="74"/>
        <v>0</v>
      </c>
      <c r="BA50" s="915">
        <f t="shared" si="75"/>
        <v>0</v>
      </c>
      <c r="BB50" s="915">
        <f t="shared" si="76"/>
        <v>0</v>
      </c>
      <c r="BC50" s="915">
        <f t="shared" si="77"/>
        <v>0</v>
      </c>
      <c r="BD50" s="915">
        <f t="shared" si="78"/>
        <v>0</v>
      </c>
      <c r="BE50" s="915">
        <f t="shared" si="79"/>
        <v>0</v>
      </c>
      <c r="BF50" s="915">
        <f t="shared" si="80"/>
        <v>0</v>
      </c>
      <c r="BG50" s="915">
        <f t="shared" si="81"/>
        <v>0</v>
      </c>
      <c r="BH50" s="915">
        <f t="shared" si="82"/>
        <v>0</v>
      </c>
      <c r="BI50" s="915">
        <f t="shared" si="83"/>
        <v>0</v>
      </c>
      <c r="BJ50" s="915">
        <f t="shared" si="22"/>
        <v>0</v>
      </c>
      <c r="BK50" s="915">
        <f t="shared" si="23"/>
        <v>0</v>
      </c>
      <c r="BL50" s="915">
        <f t="shared" si="24"/>
        <v>10.6</v>
      </c>
      <c r="BM50" s="915">
        <f t="shared" si="25"/>
        <v>0</v>
      </c>
      <c r="BN50" s="915">
        <f t="shared" si="26"/>
        <v>0</v>
      </c>
      <c r="BO50" s="915">
        <f t="shared" si="27"/>
        <v>0</v>
      </c>
      <c r="BP50" s="915">
        <f t="shared" si="28"/>
        <v>0</v>
      </c>
      <c r="BQ50" s="915">
        <f t="shared" si="29"/>
        <v>0</v>
      </c>
      <c r="BR50" s="915">
        <f t="shared" si="30"/>
        <v>0</v>
      </c>
      <c r="BS50" s="915">
        <f t="shared" si="31"/>
        <v>0</v>
      </c>
      <c r="BT50" s="915">
        <f t="shared" si="128"/>
        <v>0</v>
      </c>
      <c r="BU50" s="915">
        <f t="shared" si="128"/>
        <v>0</v>
      </c>
      <c r="BV50" s="915">
        <f t="shared" si="85"/>
        <v>0</v>
      </c>
      <c r="BW50" s="915">
        <f t="shared" si="86"/>
        <v>0</v>
      </c>
      <c r="BX50" s="915">
        <f t="shared" si="87"/>
        <v>0</v>
      </c>
      <c r="BY50" s="915">
        <f t="shared" si="88"/>
        <v>0</v>
      </c>
      <c r="BZ50" s="915">
        <f t="shared" si="89"/>
        <v>0</v>
      </c>
      <c r="CA50" s="915">
        <f t="shared" si="90"/>
        <v>0</v>
      </c>
      <c r="CB50" s="915">
        <f t="shared" si="91"/>
        <v>0</v>
      </c>
      <c r="CC50" s="915">
        <f t="shared" si="92"/>
        <v>0</v>
      </c>
      <c r="CD50" s="915">
        <f t="shared" si="32"/>
        <v>0</v>
      </c>
      <c r="CE50" s="915">
        <f t="shared" si="33"/>
        <v>0</v>
      </c>
      <c r="CF50" s="915">
        <f t="shared" si="34"/>
        <v>0</v>
      </c>
      <c r="CG50" s="915">
        <f t="shared" si="35"/>
        <v>0</v>
      </c>
      <c r="CH50" s="915">
        <f t="shared" si="36"/>
        <v>0</v>
      </c>
      <c r="CI50" s="915">
        <f t="shared" si="37"/>
        <v>0</v>
      </c>
      <c r="CJ50" s="915">
        <f t="shared" si="38"/>
        <v>0</v>
      </c>
      <c r="CK50" s="915">
        <f t="shared" si="39"/>
        <v>0</v>
      </c>
      <c r="CL50" s="915">
        <f t="shared" si="40"/>
        <v>0</v>
      </c>
      <c r="CM50" s="915">
        <f t="shared" si="41"/>
        <v>0</v>
      </c>
      <c r="CN50" s="915">
        <f t="shared" si="93"/>
        <v>0</v>
      </c>
      <c r="CO50" s="915">
        <f t="shared" si="94"/>
        <v>0</v>
      </c>
      <c r="CP50" s="915">
        <f t="shared" si="95"/>
        <v>0</v>
      </c>
      <c r="CQ50" s="915">
        <f t="shared" si="96"/>
        <v>0</v>
      </c>
      <c r="CR50" s="915">
        <f t="shared" si="97"/>
        <v>0</v>
      </c>
      <c r="CS50" s="915">
        <f t="shared" si="98"/>
        <v>0</v>
      </c>
      <c r="CT50" s="915">
        <f t="shared" si="99"/>
        <v>0</v>
      </c>
      <c r="CU50" s="915">
        <f t="shared" si="100"/>
        <v>0</v>
      </c>
      <c r="CV50" s="915">
        <f t="shared" si="101"/>
        <v>0</v>
      </c>
      <c r="CW50" s="915">
        <f t="shared" si="102"/>
        <v>0</v>
      </c>
      <c r="CX50" s="915">
        <f t="shared" si="42"/>
        <v>0</v>
      </c>
      <c r="CY50" s="915">
        <f t="shared" si="43"/>
        <v>0</v>
      </c>
      <c r="CZ50" s="915">
        <f t="shared" si="44"/>
        <v>0</v>
      </c>
      <c r="DA50" s="915">
        <f t="shared" si="45"/>
        <v>0</v>
      </c>
      <c r="DB50" s="915">
        <f t="shared" si="46"/>
        <v>0</v>
      </c>
      <c r="DC50" s="915">
        <f t="shared" si="47"/>
        <v>0</v>
      </c>
      <c r="DD50" s="915">
        <f t="shared" si="48"/>
        <v>0</v>
      </c>
      <c r="DE50" s="915">
        <f t="shared" si="49"/>
        <v>0</v>
      </c>
      <c r="DF50" s="915">
        <f t="shared" si="50"/>
        <v>0</v>
      </c>
      <c r="DG50" s="915">
        <f t="shared" si="51"/>
        <v>0</v>
      </c>
      <c r="DH50" s="915">
        <f t="shared" si="103"/>
        <v>0</v>
      </c>
      <c r="DI50" s="915">
        <f t="shared" si="104"/>
        <v>0</v>
      </c>
      <c r="DJ50" s="915">
        <f t="shared" si="105"/>
        <v>0</v>
      </c>
      <c r="DK50" s="915">
        <f t="shared" si="106"/>
        <v>0</v>
      </c>
      <c r="DL50" s="915">
        <f t="shared" si="107"/>
        <v>0</v>
      </c>
      <c r="DM50" s="915">
        <f t="shared" si="108"/>
        <v>0</v>
      </c>
      <c r="DN50" s="915">
        <f t="shared" si="109"/>
        <v>0</v>
      </c>
      <c r="DO50" s="915">
        <f t="shared" si="110"/>
        <v>0</v>
      </c>
      <c r="DP50" s="915">
        <f t="shared" si="111"/>
        <v>0</v>
      </c>
      <c r="DQ50" s="915">
        <f t="shared" si="112"/>
        <v>0</v>
      </c>
      <c r="DR50" s="915">
        <f t="shared" si="52"/>
        <v>0</v>
      </c>
      <c r="DS50" s="915">
        <f t="shared" si="53"/>
        <v>0</v>
      </c>
      <c r="DT50" s="915">
        <f t="shared" si="54"/>
        <v>0</v>
      </c>
      <c r="DU50" s="915">
        <f t="shared" si="55"/>
        <v>0</v>
      </c>
      <c r="DV50" s="915">
        <f t="shared" si="56"/>
        <v>0</v>
      </c>
      <c r="DW50" s="915">
        <f t="shared" si="57"/>
        <v>0</v>
      </c>
      <c r="DX50" s="915">
        <f t="shared" si="58"/>
        <v>0</v>
      </c>
      <c r="DY50" s="915">
        <f t="shared" si="59"/>
        <v>0</v>
      </c>
      <c r="DZ50" s="915">
        <f t="shared" si="60"/>
        <v>0</v>
      </c>
      <c r="EA50" s="915">
        <f t="shared" si="61"/>
        <v>0</v>
      </c>
      <c r="EB50" s="915">
        <f t="shared" si="113"/>
        <v>0</v>
      </c>
      <c r="EC50" s="915">
        <f t="shared" si="114"/>
        <v>0</v>
      </c>
      <c r="ED50" s="915">
        <f t="shared" si="115"/>
        <v>0</v>
      </c>
      <c r="EE50" s="915">
        <f t="shared" si="116"/>
        <v>0</v>
      </c>
      <c r="EF50" s="915">
        <f t="shared" si="117"/>
        <v>0</v>
      </c>
      <c r="EG50" s="915">
        <f t="shared" si="118"/>
        <v>0</v>
      </c>
      <c r="EH50" s="915">
        <f t="shared" si="119"/>
        <v>0</v>
      </c>
      <c r="EI50" s="915">
        <f t="shared" si="120"/>
        <v>0</v>
      </c>
      <c r="EJ50" s="915">
        <f t="shared" si="121"/>
        <v>0</v>
      </c>
      <c r="EK50" s="915">
        <f t="shared" si="122"/>
        <v>0</v>
      </c>
      <c r="EL50" s="915"/>
      <c r="EN50" s="533"/>
      <c r="EQ50" s="534"/>
    </row>
    <row r="51" spans="1:147" ht="14.1" customHeight="1" x14ac:dyDescent="0.2">
      <c r="A51" s="1026">
        <v>44</v>
      </c>
      <c r="B51" s="1423"/>
      <c r="C51" s="1431"/>
      <c r="D51" s="1020">
        <v>4</v>
      </c>
      <c r="E51" s="138" t="s">
        <v>515</v>
      </c>
      <c r="F51" s="139" t="s">
        <v>2544</v>
      </c>
      <c r="G51" s="91">
        <v>1</v>
      </c>
      <c r="H51" s="1022">
        <v>10</v>
      </c>
      <c r="I51" s="801">
        <f t="shared" si="129"/>
        <v>0.6</v>
      </c>
      <c r="J51" s="1021">
        <f t="shared" si="130"/>
        <v>10.6</v>
      </c>
      <c r="K51" s="225"/>
      <c r="L51" s="941" t="str">
        <f>TabName4 &amp; " - SOLID"</f>
        <v>Phase 4 - SOLID</v>
      </c>
      <c r="M51" s="942">
        <f>BM6</f>
        <v>10.6</v>
      </c>
      <c r="N51" s="949"/>
      <c r="V51" s="915">
        <f t="shared" si="3"/>
        <v>0</v>
      </c>
      <c r="W51" s="915">
        <f t="shared" si="4"/>
        <v>0</v>
      </c>
      <c r="X51" s="915">
        <f t="shared" si="5"/>
        <v>0</v>
      </c>
      <c r="Y51" s="915">
        <f t="shared" si="6"/>
        <v>0</v>
      </c>
      <c r="Z51" s="915">
        <f t="shared" si="7"/>
        <v>0</v>
      </c>
      <c r="AA51" s="915">
        <f t="shared" si="8"/>
        <v>0</v>
      </c>
      <c r="AB51" s="915">
        <f t="shared" si="9"/>
        <v>0</v>
      </c>
      <c r="AC51" s="915">
        <f t="shared" si="10"/>
        <v>0</v>
      </c>
      <c r="AD51" s="915">
        <f t="shared" si="11"/>
        <v>0</v>
      </c>
      <c r="AE51" s="915">
        <f t="shared" si="12"/>
        <v>0</v>
      </c>
      <c r="AF51" s="915">
        <f t="shared" si="63"/>
        <v>0</v>
      </c>
      <c r="AG51" s="915">
        <f t="shared" si="64"/>
        <v>0</v>
      </c>
      <c r="AH51" s="915">
        <f t="shared" si="65"/>
        <v>0</v>
      </c>
      <c r="AI51" s="915">
        <f t="shared" si="66"/>
        <v>0</v>
      </c>
      <c r="AJ51" s="915">
        <f t="shared" si="67"/>
        <v>0</v>
      </c>
      <c r="AK51" s="915">
        <f t="shared" si="68"/>
        <v>0</v>
      </c>
      <c r="AL51" s="915">
        <f t="shared" si="69"/>
        <v>0</v>
      </c>
      <c r="AM51" s="915">
        <f t="shared" si="70"/>
        <v>0</v>
      </c>
      <c r="AN51" s="915">
        <f t="shared" si="71"/>
        <v>0</v>
      </c>
      <c r="AO51" s="915">
        <f t="shared" si="72"/>
        <v>0</v>
      </c>
      <c r="AP51" s="915">
        <f t="shared" si="13"/>
        <v>0</v>
      </c>
      <c r="AQ51" s="915">
        <f t="shared" si="14"/>
        <v>0</v>
      </c>
      <c r="AR51" s="915">
        <f t="shared" si="15"/>
        <v>0</v>
      </c>
      <c r="AS51" s="915">
        <f t="shared" si="16"/>
        <v>0</v>
      </c>
      <c r="AT51" s="915">
        <f t="shared" si="17"/>
        <v>0</v>
      </c>
      <c r="AU51" s="915">
        <f t="shared" si="18"/>
        <v>0</v>
      </c>
      <c r="AV51" s="915">
        <f t="shared" si="19"/>
        <v>0</v>
      </c>
      <c r="AW51" s="915">
        <f t="shared" si="20"/>
        <v>0</v>
      </c>
      <c r="AX51" s="915">
        <f t="shared" si="21"/>
        <v>0</v>
      </c>
      <c r="AY51" s="915">
        <f t="shared" si="73"/>
        <v>0</v>
      </c>
      <c r="AZ51" s="915">
        <f t="shared" si="74"/>
        <v>0</v>
      </c>
      <c r="BA51" s="915">
        <f t="shared" si="75"/>
        <v>0</v>
      </c>
      <c r="BB51" s="915">
        <f t="shared" si="76"/>
        <v>0</v>
      </c>
      <c r="BC51" s="915">
        <f t="shared" si="77"/>
        <v>0</v>
      </c>
      <c r="BD51" s="915">
        <f t="shared" si="78"/>
        <v>0</v>
      </c>
      <c r="BE51" s="915">
        <f t="shared" si="79"/>
        <v>0</v>
      </c>
      <c r="BF51" s="915">
        <f t="shared" si="80"/>
        <v>0</v>
      </c>
      <c r="BG51" s="915">
        <f t="shared" si="81"/>
        <v>0</v>
      </c>
      <c r="BH51" s="915">
        <f t="shared" si="82"/>
        <v>0</v>
      </c>
      <c r="BI51" s="915">
        <f t="shared" si="83"/>
        <v>0</v>
      </c>
      <c r="BJ51" s="915">
        <f t="shared" si="22"/>
        <v>0</v>
      </c>
      <c r="BK51" s="915">
        <f t="shared" si="23"/>
        <v>0</v>
      </c>
      <c r="BL51" s="915">
        <f t="shared" si="24"/>
        <v>0</v>
      </c>
      <c r="BM51" s="915">
        <f t="shared" si="25"/>
        <v>10.6</v>
      </c>
      <c r="BN51" s="915">
        <f t="shared" si="26"/>
        <v>0</v>
      </c>
      <c r="BO51" s="915">
        <f t="shared" si="27"/>
        <v>0</v>
      </c>
      <c r="BP51" s="915">
        <f t="shared" si="28"/>
        <v>0</v>
      </c>
      <c r="BQ51" s="915">
        <f t="shared" si="29"/>
        <v>0</v>
      </c>
      <c r="BR51" s="915">
        <f t="shared" si="30"/>
        <v>0</v>
      </c>
      <c r="BS51" s="915">
        <f t="shared" si="31"/>
        <v>0</v>
      </c>
      <c r="BT51" s="915">
        <f t="shared" si="128"/>
        <v>0</v>
      </c>
      <c r="BU51" s="915">
        <f t="shared" si="128"/>
        <v>0</v>
      </c>
      <c r="BV51" s="915">
        <f t="shared" si="85"/>
        <v>0</v>
      </c>
      <c r="BW51" s="915">
        <f t="shared" si="86"/>
        <v>0</v>
      </c>
      <c r="BX51" s="915">
        <f t="shared" si="87"/>
        <v>0</v>
      </c>
      <c r="BY51" s="915">
        <f t="shared" si="88"/>
        <v>0</v>
      </c>
      <c r="BZ51" s="915">
        <f t="shared" si="89"/>
        <v>0</v>
      </c>
      <c r="CA51" s="915">
        <f t="shared" si="90"/>
        <v>0</v>
      </c>
      <c r="CB51" s="915">
        <f t="shared" si="91"/>
        <v>0</v>
      </c>
      <c r="CC51" s="915">
        <f t="shared" si="92"/>
        <v>0</v>
      </c>
      <c r="CD51" s="915">
        <f t="shared" si="32"/>
        <v>0</v>
      </c>
      <c r="CE51" s="915">
        <f t="shared" si="33"/>
        <v>0</v>
      </c>
      <c r="CF51" s="915">
        <f t="shared" si="34"/>
        <v>0</v>
      </c>
      <c r="CG51" s="915">
        <f t="shared" si="35"/>
        <v>0</v>
      </c>
      <c r="CH51" s="915">
        <f t="shared" si="36"/>
        <v>0</v>
      </c>
      <c r="CI51" s="915">
        <f t="shared" si="37"/>
        <v>0</v>
      </c>
      <c r="CJ51" s="915">
        <f t="shared" si="38"/>
        <v>0</v>
      </c>
      <c r="CK51" s="915">
        <f t="shared" si="39"/>
        <v>0</v>
      </c>
      <c r="CL51" s="915">
        <f t="shared" si="40"/>
        <v>0</v>
      </c>
      <c r="CM51" s="915">
        <f t="shared" si="41"/>
        <v>0</v>
      </c>
      <c r="CN51" s="915">
        <f t="shared" si="93"/>
        <v>0</v>
      </c>
      <c r="CO51" s="915">
        <f t="shared" si="94"/>
        <v>0</v>
      </c>
      <c r="CP51" s="915">
        <f t="shared" si="95"/>
        <v>0</v>
      </c>
      <c r="CQ51" s="915">
        <f t="shared" si="96"/>
        <v>0</v>
      </c>
      <c r="CR51" s="915">
        <f t="shared" si="97"/>
        <v>0</v>
      </c>
      <c r="CS51" s="915">
        <f t="shared" si="98"/>
        <v>0</v>
      </c>
      <c r="CT51" s="915">
        <f t="shared" si="99"/>
        <v>0</v>
      </c>
      <c r="CU51" s="915">
        <f t="shared" si="100"/>
        <v>0</v>
      </c>
      <c r="CV51" s="915">
        <f t="shared" si="101"/>
        <v>0</v>
      </c>
      <c r="CW51" s="915">
        <f t="shared" si="102"/>
        <v>0</v>
      </c>
      <c r="CX51" s="915">
        <f t="shared" si="42"/>
        <v>0</v>
      </c>
      <c r="CY51" s="915">
        <f t="shared" si="43"/>
        <v>0</v>
      </c>
      <c r="CZ51" s="915">
        <f t="shared" si="44"/>
        <v>0</v>
      </c>
      <c r="DA51" s="915">
        <f t="shared" si="45"/>
        <v>0</v>
      </c>
      <c r="DB51" s="915">
        <f t="shared" si="46"/>
        <v>0</v>
      </c>
      <c r="DC51" s="915">
        <f t="shared" si="47"/>
        <v>0</v>
      </c>
      <c r="DD51" s="915">
        <f t="shared" si="48"/>
        <v>0</v>
      </c>
      <c r="DE51" s="915">
        <f t="shared" si="49"/>
        <v>0</v>
      </c>
      <c r="DF51" s="915">
        <f t="shared" si="50"/>
        <v>0</v>
      </c>
      <c r="DG51" s="915">
        <f t="shared" si="51"/>
        <v>0</v>
      </c>
      <c r="DH51" s="915">
        <f t="shared" si="103"/>
        <v>0</v>
      </c>
      <c r="DI51" s="915">
        <f t="shared" si="104"/>
        <v>0</v>
      </c>
      <c r="DJ51" s="915">
        <f t="shared" si="105"/>
        <v>0</v>
      </c>
      <c r="DK51" s="915">
        <f t="shared" si="106"/>
        <v>0</v>
      </c>
      <c r="DL51" s="915">
        <f t="shared" si="107"/>
        <v>0</v>
      </c>
      <c r="DM51" s="915">
        <f t="shared" si="108"/>
        <v>0</v>
      </c>
      <c r="DN51" s="915">
        <f t="shared" si="109"/>
        <v>0</v>
      </c>
      <c r="DO51" s="915">
        <f t="shared" si="110"/>
        <v>0</v>
      </c>
      <c r="DP51" s="915">
        <f t="shared" si="111"/>
        <v>0</v>
      </c>
      <c r="DQ51" s="915">
        <f t="shared" si="112"/>
        <v>0</v>
      </c>
      <c r="DR51" s="915">
        <f t="shared" si="52"/>
        <v>0</v>
      </c>
      <c r="DS51" s="915">
        <f t="shared" si="53"/>
        <v>0</v>
      </c>
      <c r="DT51" s="915">
        <f t="shared" si="54"/>
        <v>0</v>
      </c>
      <c r="DU51" s="915">
        <f t="shared" si="55"/>
        <v>0</v>
      </c>
      <c r="DV51" s="915">
        <f t="shared" si="56"/>
        <v>0</v>
      </c>
      <c r="DW51" s="915">
        <f t="shared" si="57"/>
        <v>0</v>
      </c>
      <c r="DX51" s="915">
        <f t="shared" si="58"/>
        <v>0</v>
      </c>
      <c r="DY51" s="915">
        <f t="shared" si="59"/>
        <v>0</v>
      </c>
      <c r="DZ51" s="915">
        <f t="shared" si="60"/>
        <v>0</v>
      </c>
      <c r="EA51" s="915">
        <f t="shared" si="61"/>
        <v>0</v>
      </c>
      <c r="EB51" s="915">
        <f t="shared" si="113"/>
        <v>0</v>
      </c>
      <c r="EC51" s="915">
        <f t="shared" si="114"/>
        <v>0</v>
      </c>
      <c r="ED51" s="915">
        <f t="shared" si="115"/>
        <v>0</v>
      </c>
      <c r="EE51" s="915">
        <f t="shared" si="116"/>
        <v>0</v>
      </c>
      <c r="EF51" s="915">
        <f t="shared" si="117"/>
        <v>0</v>
      </c>
      <c r="EG51" s="915">
        <f t="shared" si="118"/>
        <v>0</v>
      </c>
      <c r="EH51" s="915">
        <f t="shared" si="119"/>
        <v>0</v>
      </c>
      <c r="EI51" s="915">
        <f t="shared" si="120"/>
        <v>0</v>
      </c>
      <c r="EJ51" s="915">
        <f t="shared" si="121"/>
        <v>0</v>
      </c>
      <c r="EK51" s="915">
        <f t="shared" si="122"/>
        <v>0</v>
      </c>
      <c r="EL51" s="915"/>
      <c r="EN51" s="533"/>
      <c r="EQ51" s="534"/>
    </row>
    <row r="52" spans="1:147" ht="14.1" customHeight="1" x14ac:dyDescent="0.2">
      <c r="A52" s="496">
        <v>45</v>
      </c>
      <c r="B52" s="1419"/>
      <c r="C52" s="1420"/>
      <c r="D52" s="264">
        <v>5</v>
      </c>
      <c r="E52" s="264" t="s">
        <v>515</v>
      </c>
      <c r="F52" s="270" t="s">
        <v>2544</v>
      </c>
      <c r="G52" s="271">
        <v>1</v>
      </c>
      <c r="H52" s="803">
        <v>10</v>
      </c>
      <c r="I52" s="800">
        <f t="shared" si="129"/>
        <v>0.6</v>
      </c>
      <c r="J52" s="269">
        <f t="shared" si="130"/>
        <v>10.6</v>
      </c>
      <c r="K52" s="225"/>
      <c r="L52" s="941" t="str">
        <f>TabName5 &amp; " - SOLID"</f>
        <v>Phase 5 - SOLID</v>
      </c>
      <c r="M52" s="942">
        <f>BN6</f>
        <v>10.6</v>
      </c>
      <c r="N52" s="949"/>
      <c r="V52" s="915">
        <f t="shared" si="3"/>
        <v>0</v>
      </c>
      <c r="W52" s="915">
        <f t="shared" si="4"/>
        <v>0</v>
      </c>
      <c r="X52" s="915">
        <f t="shared" si="5"/>
        <v>0</v>
      </c>
      <c r="Y52" s="915">
        <f t="shared" si="6"/>
        <v>0</v>
      </c>
      <c r="Z52" s="915">
        <f t="shared" si="7"/>
        <v>0</v>
      </c>
      <c r="AA52" s="915">
        <f t="shared" si="8"/>
        <v>0</v>
      </c>
      <c r="AB52" s="915">
        <f t="shared" si="9"/>
        <v>0</v>
      </c>
      <c r="AC52" s="915">
        <f t="shared" si="10"/>
        <v>0</v>
      </c>
      <c r="AD52" s="915">
        <f t="shared" si="11"/>
        <v>0</v>
      </c>
      <c r="AE52" s="915">
        <f t="shared" si="12"/>
        <v>0</v>
      </c>
      <c r="AF52" s="915">
        <f t="shared" si="63"/>
        <v>0</v>
      </c>
      <c r="AG52" s="915">
        <f t="shared" si="64"/>
        <v>0</v>
      </c>
      <c r="AH52" s="915">
        <f t="shared" si="65"/>
        <v>0</v>
      </c>
      <c r="AI52" s="915">
        <f t="shared" si="66"/>
        <v>0</v>
      </c>
      <c r="AJ52" s="915">
        <f t="shared" si="67"/>
        <v>0</v>
      </c>
      <c r="AK52" s="915">
        <f t="shared" si="68"/>
        <v>0</v>
      </c>
      <c r="AL52" s="915">
        <f t="shared" si="69"/>
        <v>0</v>
      </c>
      <c r="AM52" s="915">
        <f t="shared" si="70"/>
        <v>0</v>
      </c>
      <c r="AN52" s="915">
        <f t="shared" si="71"/>
        <v>0</v>
      </c>
      <c r="AO52" s="915">
        <f t="shared" si="72"/>
        <v>0</v>
      </c>
      <c r="AP52" s="915">
        <f t="shared" si="13"/>
        <v>0</v>
      </c>
      <c r="AQ52" s="915">
        <f t="shared" si="14"/>
        <v>0</v>
      </c>
      <c r="AR52" s="915">
        <f t="shared" si="15"/>
        <v>0</v>
      </c>
      <c r="AS52" s="915">
        <f t="shared" si="16"/>
        <v>0</v>
      </c>
      <c r="AT52" s="915">
        <f t="shared" si="17"/>
        <v>0</v>
      </c>
      <c r="AU52" s="915">
        <f t="shared" si="18"/>
        <v>0</v>
      </c>
      <c r="AV52" s="915">
        <f t="shared" si="19"/>
        <v>0</v>
      </c>
      <c r="AW52" s="915">
        <f t="shared" si="20"/>
        <v>0</v>
      </c>
      <c r="AX52" s="915">
        <f t="shared" si="21"/>
        <v>0</v>
      </c>
      <c r="AY52" s="915">
        <f t="shared" si="73"/>
        <v>0</v>
      </c>
      <c r="AZ52" s="915">
        <f t="shared" si="74"/>
        <v>0</v>
      </c>
      <c r="BA52" s="915">
        <f t="shared" si="75"/>
        <v>0</v>
      </c>
      <c r="BB52" s="915">
        <f t="shared" si="76"/>
        <v>0</v>
      </c>
      <c r="BC52" s="915">
        <f t="shared" si="77"/>
        <v>0</v>
      </c>
      <c r="BD52" s="915">
        <f t="shared" si="78"/>
        <v>0</v>
      </c>
      <c r="BE52" s="915">
        <f t="shared" si="79"/>
        <v>0</v>
      </c>
      <c r="BF52" s="915">
        <f t="shared" si="80"/>
        <v>0</v>
      </c>
      <c r="BG52" s="915">
        <f t="shared" si="81"/>
        <v>0</v>
      </c>
      <c r="BH52" s="915">
        <f t="shared" si="82"/>
        <v>0</v>
      </c>
      <c r="BI52" s="915">
        <f t="shared" si="83"/>
        <v>0</v>
      </c>
      <c r="BJ52" s="915">
        <f t="shared" si="22"/>
        <v>0</v>
      </c>
      <c r="BK52" s="915">
        <f t="shared" si="23"/>
        <v>0</v>
      </c>
      <c r="BL52" s="915">
        <f t="shared" si="24"/>
        <v>0</v>
      </c>
      <c r="BM52" s="915">
        <f t="shared" si="25"/>
        <v>0</v>
      </c>
      <c r="BN52" s="915">
        <f t="shared" si="26"/>
        <v>10.6</v>
      </c>
      <c r="BO52" s="915">
        <f t="shared" si="27"/>
        <v>0</v>
      </c>
      <c r="BP52" s="915">
        <f t="shared" si="28"/>
        <v>0</v>
      </c>
      <c r="BQ52" s="915">
        <f t="shared" si="29"/>
        <v>0</v>
      </c>
      <c r="BR52" s="915">
        <f t="shared" si="30"/>
        <v>0</v>
      </c>
      <c r="BS52" s="915">
        <f t="shared" si="31"/>
        <v>0</v>
      </c>
      <c r="BT52" s="915">
        <f t="shared" si="128"/>
        <v>0</v>
      </c>
      <c r="BU52" s="915">
        <f t="shared" si="128"/>
        <v>0</v>
      </c>
      <c r="BV52" s="915">
        <f t="shared" si="85"/>
        <v>0</v>
      </c>
      <c r="BW52" s="915">
        <f t="shared" si="86"/>
        <v>0</v>
      </c>
      <c r="BX52" s="915">
        <f t="shared" si="87"/>
        <v>0</v>
      </c>
      <c r="BY52" s="915">
        <f t="shared" si="88"/>
        <v>0</v>
      </c>
      <c r="BZ52" s="915">
        <f t="shared" si="89"/>
        <v>0</v>
      </c>
      <c r="CA52" s="915">
        <f t="shared" si="90"/>
        <v>0</v>
      </c>
      <c r="CB52" s="915">
        <f t="shared" si="91"/>
        <v>0</v>
      </c>
      <c r="CC52" s="915">
        <f t="shared" si="92"/>
        <v>0</v>
      </c>
      <c r="CD52" s="915">
        <f t="shared" si="32"/>
        <v>0</v>
      </c>
      <c r="CE52" s="915">
        <f t="shared" si="33"/>
        <v>0</v>
      </c>
      <c r="CF52" s="915">
        <f t="shared" si="34"/>
        <v>0</v>
      </c>
      <c r="CG52" s="915">
        <f t="shared" si="35"/>
        <v>0</v>
      </c>
      <c r="CH52" s="915">
        <f t="shared" si="36"/>
        <v>0</v>
      </c>
      <c r="CI52" s="915">
        <f t="shared" si="37"/>
        <v>0</v>
      </c>
      <c r="CJ52" s="915">
        <f t="shared" si="38"/>
        <v>0</v>
      </c>
      <c r="CK52" s="915">
        <f t="shared" si="39"/>
        <v>0</v>
      </c>
      <c r="CL52" s="915">
        <f t="shared" si="40"/>
        <v>0</v>
      </c>
      <c r="CM52" s="915">
        <f t="shared" si="41"/>
        <v>0</v>
      </c>
      <c r="CN52" s="915">
        <f t="shared" si="93"/>
        <v>0</v>
      </c>
      <c r="CO52" s="915">
        <f t="shared" si="94"/>
        <v>0</v>
      </c>
      <c r="CP52" s="915">
        <f t="shared" si="95"/>
        <v>0</v>
      </c>
      <c r="CQ52" s="915">
        <f t="shared" si="96"/>
        <v>0</v>
      </c>
      <c r="CR52" s="915">
        <f t="shared" si="97"/>
        <v>0</v>
      </c>
      <c r="CS52" s="915">
        <f t="shared" si="98"/>
        <v>0</v>
      </c>
      <c r="CT52" s="915">
        <f t="shared" si="99"/>
        <v>0</v>
      </c>
      <c r="CU52" s="915">
        <f t="shared" si="100"/>
        <v>0</v>
      </c>
      <c r="CV52" s="915">
        <f t="shared" si="101"/>
        <v>0</v>
      </c>
      <c r="CW52" s="915">
        <f t="shared" si="102"/>
        <v>0</v>
      </c>
      <c r="CX52" s="915">
        <f t="shared" si="42"/>
        <v>0</v>
      </c>
      <c r="CY52" s="915">
        <f t="shared" si="43"/>
        <v>0</v>
      </c>
      <c r="CZ52" s="915">
        <f t="shared" si="44"/>
        <v>0</v>
      </c>
      <c r="DA52" s="915">
        <f t="shared" si="45"/>
        <v>0</v>
      </c>
      <c r="DB52" s="915">
        <f t="shared" si="46"/>
        <v>0</v>
      </c>
      <c r="DC52" s="915">
        <f t="shared" si="47"/>
        <v>0</v>
      </c>
      <c r="DD52" s="915">
        <f t="shared" si="48"/>
        <v>0</v>
      </c>
      <c r="DE52" s="915">
        <f t="shared" si="49"/>
        <v>0</v>
      </c>
      <c r="DF52" s="915">
        <f t="shared" si="50"/>
        <v>0</v>
      </c>
      <c r="DG52" s="915">
        <f t="shared" si="51"/>
        <v>0</v>
      </c>
      <c r="DH52" s="915">
        <f t="shared" si="103"/>
        <v>0</v>
      </c>
      <c r="DI52" s="915">
        <f t="shared" si="104"/>
        <v>0</v>
      </c>
      <c r="DJ52" s="915">
        <f t="shared" si="105"/>
        <v>0</v>
      </c>
      <c r="DK52" s="915">
        <f t="shared" si="106"/>
        <v>0</v>
      </c>
      <c r="DL52" s="915">
        <f t="shared" si="107"/>
        <v>0</v>
      </c>
      <c r="DM52" s="915">
        <f t="shared" si="108"/>
        <v>0</v>
      </c>
      <c r="DN52" s="915">
        <f t="shared" si="109"/>
        <v>0</v>
      </c>
      <c r="DO52" s="915">
        <f t="shared" si="110"/>
        <v>0</v>
      </c>
      <c r="DP52" s="915">
        <f t="shared" si="111"/>
        <v>0</v>
      </c>
      <c r="DQ52" s="915">
        <f t="shared" si="112"/>
        <v>0</v>
      </c>
      <c r="DR52" s="915">
        <f t="shared" si="52"/>
        <v>0</v>
      </c>
      <c r="DS52" s="915">
        <f t="shared" si="53"/>
        <v>0</v>
      </c>
      <c r="DT52" s="915">
        <f t="shared" si="54"/>
        <v>0</v>
      </c>
      <c r="DU52" s="915">
        <f t="shared" si="55"/>
        <v>0</v>
      </c>
      <c r="DV52" s="915">
        <f t="shared" si="56"/>
        <v>0</v>
      </c>
      <c r="DW52" s="915">
        <f t="shared" si="57"/>
        <v>0</v>
      </c>
      <c r="DX52" s="915">
        <f t="shared" si="58"/>
        <v>0</v>
      </c>
      <c r="DY52" s="915">
        <f t="shared" si="59"/>
        <v>0</v>
      </c>
      <c r="DZ52" s="915">
        <f t="shared" si="60"/>
        <v>0</v>
      </c>
      <c r="EA52" s="915">
        <f t="shared" si="61"/>
        <v>0</v>
      </c>
      <c r="EB52" s="915">
        <f t="shared" si="113"/>
        <v>0</v>
      </c>
      <c r="EC52" s="915">
        <f t="shared" si="114"/>
        <v>0</v>
      </c>
      <c r="ED52" s="915">
        <f t="shared" si="115"/>
        <v>0</v>
      </c>
      <c r="EE52" s="915">
        <f t="shared" si="116"/>
        <v>0</v>
      </c>
      <c r="EF52" s="915">
        <f t="shared" si="117"/>
        <v>0</v>
      </c>
      <c r="EG52" s="915">
        <f t="shared" si="118"/>
        <v>0</v>
      </c>
      <c r="EH52" s="915">
        <f t="shared" si="119"/>
        <v>0</v>
      </c>
      <c r="EI52" s="915">
        <f t="shared" si="120"/>
        <v>0</v>
      </c>
      <c r="EJ52" s="915">
        <f t="shared" si="121"/>
        <v>0</v>
      </c>
      <c r="EK52" s="915">
        <f t="shared" si="122"/>
        <v>0</v>
      </c>
      <c r="EL52" s="915"/>
      <c r="EN52" s="533"/>
      <c r="EQ52" s="534"/>
    </row>
    <row r="53" spans="1:147" ht="14.1" customHeight="1" x14ac:dyDescent="0.2">
      <c r="A53" s="1026">
        <v>46</v>
      </c>
      <c r="B53" s="1423"/>
      <c r="C53" s="1431"/>
      <c r="D53" s="1020">
        <v>6</v>
      </c>
      <c r="E53" s="138" t="s">
        <v>515</v>
      </c>
      <c r="F53" s="139" t="s">
        <v>2544</v>
      </c>
      <c r="G53" s="91">
        <v>1</v>
      </c>
      <c r="H53" s="802">
        <v>10</v>
      </c>
      <c r="I53" s="801">
        <f t="shared" si="129"/>
        <v>0.6</v>
      </c>
      <c r="J53" s="1021">
        <f t="shared" si="130"/>
        <v>10.6</v>
      </c>
      <c r="K53" s="225"/>
      <c r="L53" s="941" t="str">
        <f>TabName6 &amp; " - SOLID"</f>
        <v>Phase 6 - SOLID</v>
      </c>
      <c r="M53" s="942">
        <f>BO6</f>
        <v>10.6</v>
      </c>
      <c r="N53" s="949"/>
      <c r="V53" s="915">
        <f t="shared" si="3"/>
        <v>0</v>
      </c>
      <c r="W53" s="915">
        <f t="shared" si="4"/>
        <v>0</v>
      </c>
      <c r="X53" s="915">
        <f t="shared" si="5"/>
        <v>0</v>
      </c>
      <c r="Y53" s="915">
        <f t="shared" si="6"/>
        <v>0</v>
      </c>
      <c r="Z53" s="915">
        <f t="shared" si="7"/>
        <v>0</v>
      </c>
      <c r="AA53" s="915">
        <f t="shared" si="8"/>
        <v>0</v>
      </c>
      <c r="AB53" s="915">
        <f t="shared" si="9"/>
        <v>0</v>
      </c>
      <c r="AC53" s="915">
        <f t="shared" si="10"/>
        <v>0</v>
      </c>
      <c r="AD53" s="915">
        <f t="shared" si="11"/>
        <v>0</v>
      </c>
      <c r="AE53" s="915">
        <f t="shared" si="12"/>
        <v>0</v>
      </c>
      <c r="AF53" s="915">
        <f t="shared" si="63"/>
        <v>0</v>
      </c>
      <c r="AG53" s="915">
        <f t="shared" si="64"/>
        <v>0</v>
      </c>
      <c r="AH53" s="915">
        <f t="shared" si="65"/>
        <v>0</v>
      </c>
      <c r="AI53" s="915">
        <f t="shared" si="66"/>
        <v>0</v>
      </c>
      <c r="AJ53" s="915">
        <f t="shared" si="67"/>
        <v>0</v>
      </c>
      <c r="AK53" s="915">
        <f t="shared" si="68"/>
        <v>0</v>
      </c>
      <c r="AL53" s="915">
        <f t="shared" si="69"/>
        <v>0</v>
      </c>
      <c r="AM53" s="915">
        <f t="shared" si="70"/>
        <v>0</v>
      </c>
      <c r="AN53" s="915">
        <f t="shared" si="71"/>
        <v>0</v>
      </c>
      <c r="AO53" s="915">
        <f t="shared" si="72"/>
        <v>0</v>
      </c>
      <c r="AP53" s="915">
        <f t="shared" si="13"/>
        <v>0</v>
      </c>
      <c r="AQ53" s="915">
        <f t="shared" si="14"/>
        <v>0</v>
      </c>
      <c r="AR53" s="915">
        <f t="shared" si="15"/>
        <v>0</v>
      </c>
      <c r="AS53" s="915">
        <f t="shared" si="16"/>
        <v>0</v>
      </c>
      <c r="AT53" s="915">
        <f t="shared" si="17"/>
        <v>0</v>
      </c>
      <c r="AU53" s="915">
        <f t="shared" si="18"/>
        <v>0</v>
      </c>
      <c r="AV53" s="915">
        <f t="shared" si="19"/>
        <v>0</v>
      </c>
      <c r="AW53" s="915">
        <f t="shared" si="20"/>
        <v>0</v>
      </c>
      <c r="AX53" s="915">
        <f t="shared" si="21"/>
        <v>0</v>
      </c>
      <c r="AY53" s="915">
        <f t="shared" si="73"/>
        <v>0</v>
      </c>
      <c r="AZ53" s="915">
        <f t="shared" si="74"/>
        <v>0</v>
      </c>
      <c r="BA53" s="915">
        <f t="shared" si="75"/>
        <v>0</v>
      </c>
      <c r="BB53" s="915">
        <f t="shared" si="76"/>
        <v>0</v>
      </c>
      <c r="BC53" s="915">
        <f t="shared" si="77"/>
        <v>0</v>
      </c>
      <c r="BD53" s="915">
        <f t="shared" si="78"/>
        <v>0</v>
      </c>
      <c r="BE53" s="915">
        <f t="shared" si="79"/>
        <v>0</v>
      </c>
      <c r="BF53" s="915">
        <f t="shared" si="80"/>
        <v>0</v>
      </c>
      <c r="BG53" s="915">
        <f t="shared" si="81"/>
        <v>0</v>
      </c>
      <c r="BH53" s="915">
        <f t="shared" si="82"/>
        <v>0</v>
      </c>
      <c r="BI53" s="915">
        <f t="shared" si="83"/>
        <v>0</v>
      </c>
      <c r="BJ53" s="915">
        <f t="shared" si="22"/>
        <v>0</v>
      </c>
      <c r="BK53" s="915">
        <f t="shared" si="23"/>
        <v>0</v>
      </c>
      <c r="BL53" s="915">
        <f t="shared" si="24"/>
        <v>0</v>
      </c>
      <c r="BM53" s="915">
        <f t="shared" si="25"/>
        <v>0</v>
      </c>
      <c r="BN53" s="915">
        <f t="shared" si="26"/>
        <v>0</v>
      </c>
      <c r="BO53" s="915">
        <f t="shared" si="27"/>
        <v>10.6</v>
      </c>
      <c r="BP53" s="915">
        <f t="shared" si="28"/>
        <v>0</v>
      </c>
      <c r="BQ53" s="915">
        <f t="shared" si="29"/>
        <v>0</v>
      </c>
      <c r="BR53" s="915">
        <f t="shared" si="30"/>
        <v>0</v>
      </c>
      <c r="BS53" s="915">
        <f t="shared" si="31"/>
        <v>0</v>
      </c>
      <c r="BT53" s="915">
        <f t="shared" si="128"/>
        <v>0</v>
      </c>
      <c r="BU53" s="915">
        <f t="shared" si="128"/>
        <v>0</v>
      </c>
      <c r="BV53" s="915">
        <f t="shared" si="85"/>
        <v>0</v>
      </c>
      <c r="BW53" s="915">
        <f t="shared" si="86"/>
        <v>0</v>
      </c>
      <c r="BX53" s="915">
        <f t="shared" si="87"/>
        <v>0</v>
      </c>
      <c r="BY53" s="915">
        <f t="shared" si="88"/>
        <v>0</v>
      </c>
      <c r="BZ53" s="915">
        <f t="shared" si="89"/>
        <v>0</v>
      </c>
      <c r="CA53" s="915">
        <f t="shared" si="90"/>
        <v>0</v>
      </c>
      <c r="CB53" s="915">
        <f t="shared" si="91"/>
        <v>0</v>
      </c>
      <c r="CC53" s="915">
        <f t="shared" si="92"/>
        <v>0</v>
      </c>
      <c r="CD53" s="915">
        <f t="shared" si="32"/>
        <v>0</v>
      </c>
      <c r="CE53" s="915">
        <f t="shared" si="33"/>
        <v>0</v>
      </c>
      <c r="CF53" s="915">
        <f t="shared" si="34"/>
        <v>0</v>
      </c>
      <c r="CG53" s="915">
        <f t="shared" si="35"/>
        <v>0</v>
      </c>
      <c r="CH53" s="915">
        <f t="shared" si="36"/>
        <v>0</v>
      </c>
      <c r="CI53" s="915">
        <f t="shared" si="37"/>
        <v>0</v>
      </c>
      <c r="CJ53" s="915">
        <f t="shared" si="38"/>
        <v>0</v>
      </c>
      <c r="CK53" s="915">
        <f t="shared" si="39"/>
        <v>0</v>
      </c>
      <c r="CL53" s="915">
        <f t="shared" si="40"/>
        <v>0</v>
      </c>
      <c r="CM53" s="915">
        <f t="shared" si="41"/>
        <v>0</v>
      </c>
      <c r="CN53" s="915">
        <f t="shared" si="93"/>
        <v>0</v>
      </c>
      <c r="CO53" s="915">
        <f t="shared" si="94"/>
        <v>0</v>
      </c>
      <c r="CP53" s="915">
        <f t="shared" si="95"/>
        <v>0</v>
      </c>
      <c r="CQ53" s="915">
        <f t="shared" si="96"/>
        <v>0</v>
      </c>
      <c r="CR53" s="915">
        <f t="shared" si="97"/>
        <v>0</v>
      </c>
      <c r="CS53" s="915">
        <f t="shared" si="98"/>
        <v>0</v>
      </c>
      <c r="CT53" s="915">
        <f t="shared" si="99"/>
        <v>0</v>
      </c>
      <c r="CU53" s="915">
        <f t="shared" si="100"/>
        <v>0</v>
      </c>
      <c r="CV53" s="915">
        <f t="shared" si="101"/>
        <v>0</v>
      </c>
      <c r="CW53" s="915">
        <f t="shared" si="102"/>
        <v>0</v>
      </c>
      <c r="CX53" s="915">
        <f t="shared" si="42"/>
        <v>0</v>
      </c>
      <c r="CY53" s="915">
        <f t="shared" si="43"/>
        <v>0</v>
      </c>
      <c r="CZ53" s="915">
        <f t="shared" si="44"/>
        <v>0</v>
      </c>
      <c r="DA53" s="915">
        <f t="shared" si="45"/>
        <v>0</v>
      </c>
      <c r="DB53" s="915">
        <f t="shared" si="46"/>
        <v>0</v>
      </c>
      <c r="DC53" s="915">
        <f t="shared" si="47"/>
        <v>0</v>
      </c>
      <c r="DD53" s="915">
        <f t="shared" si="48"/>
        <v>0</v>
      </c>
      <c r="DE53" s="915">
        <f t="shared" si="49"/>
        <v>0</v>
      </c>
      <c r="DF53" s="915">
        <f t="shared" si="50"/>
        <v>0</v>
      </c>
      <c r="DG53" s="915">
        <f t="shared" si="51"/>
        <v>0</v>
      </c>
      <c r="DH53" s="915">
        <f t="shared" si="103"/>
        <v>0</v>
      </c>
      <c r="DI53" s="915">
        <f t="shared" si="104"/>
        <v>0</v>
      </c>
      <c r="DJ53" s="915">
        <f t="shared" si="105"/>
        <v>0</v>
      </c>
      <c r="DK53" s="915">
        <f t="shared" si="106"/>
        <v>0</v>
      </c>
      <c r="DL53" s="915">
        <f t="shared" si="107"/>
        <v>0</v>
      </c>
      <c r="DM53" s="915">
        <f t="shared" si="108"/>
        <v>0</v>
      </c>
      <c r="DN53" s="915">
        <f t="shared" si="109"/>
        <v>0</v>
      </c>
      <c r="DO53" s="915">
        <f t="shared" si="110"/>
        <v>0</v>
      </c>
      <c r="DP53" s="915">
        <f t="shared" si="111"/>
        <v>0</v>
      </c>
      <c r="DQ53" s="915">
        <f t="shared" si="112"/>
        <v>0</v>
      </c>
      <c r="DR53" s="915">
        <f t="shared" si="52"/>
        <v>0</v>
      </c>
      <c r="DS53" s="915">
        <f t="shared" si="53"/>
        <v>0</v>
      </c>
      <c r="DT53" s="915">
        <f t="shared" si="54"/>
        <v>0</v>
      </c>
      <c r="DU53" s="915">
        <f t="shared" si="55"/>
        <v>0</v>
      </c>
      <c r="DV53" s="915">
        <f t="shared" si="56"/>
        <v>0</v>
      </c>
      <c r="DW53" s="915">
        <f t="shared" si="57"/>
        <v>0</v>
      </c>
      <c r="DX53" s="915">
        <f t="shared" si="58"/>
        <v>0</v>
      </c>
      <c r="DY53" s="915">
        <f t="shared" si="59"/>
        <v>0</v>
      </c>
      <c r="DZ53" s="915">
        <f t="shared" si="60"/>
        <v>0</v>
      </c>
      <c r="EA53" s="915">
        <f t="shared" si="61"/>
        <v>0</v>
      </c>
      <c r="EB53" s="915">
        <f t="shared" si="113"/>
        <v>0</v>
      </c>
      <c r="EC53" s="915">
        <f t="shared" si="114"/>
        <v>0</v>
      </c>
      <c r="ED53" s="915">
        <f t="shared" si="115"/>
        <v>0</v>
      </c>
      <c r="EE53" s="915">
        <f t="shared" si="116"/>
        <v>0</v>
      </c>
      <c r="EF53" s="915">
        <f t="shared" si="117"/>
        <v>0</v>
      </c>
      <c r="EG53" s="915">
        <f t="shared" si="118"/>
        <v>0</v>
      </c>
      <c r="EH53" s="915">
        <f t="shared" si="119"/>
        <v>0</v>
      </c>
      <c r="EI53" s="915">
        <f t="shared" si="120"/>
        <v>0</v>
      </c>
      <c r="EJ53" s="915">
        <f t="shared" si="121"/>
        <v>0</v>
      </c>
      <c r="EK53" s="915">
        <f t="shared" si="122"/>
        <v>0</v>
      </c>
      <c r="EL53" s="915"/>
      <c r="EN53" s="533"/>
      <c r="EQ53" s="534"/>
    </row>
    <row r="54" spans="1:147" ht="14.1" customHeight="1" x14ac:dyDescent="0.2">
      <c r="A54" s="496">
        <v>47</v>
      </c>
      <c r="B54" s="1419"/>
      <c r="C54" s="1420"/>
      <c r="D54" s="264">
        <v>7</v>
      </c>
      <c r="E54" s="264" t="s">
        <v>515</v>
      </c>
      <c r="F54" s="270" t="s">
        <v>2544</v>
      </c>
      <c r="G54" s="271">
        <v>1</v>
      </c>
      <c r="H54" s="803">
        <v>10</v>
      </c>
      <c r="I54" s="800">
        <f t="shared" si="129"/>
        <v>0.6</v>
      </c>
      <c r="J54" s="269">
        <f t="shared" si="130"/>
        <v>10.6</v>
      </c>
      <c r="K54" s="225"/>
      <c r="L54" s="941" t="str">
        <f>TabName7 &amp; " - SOLID"</f>
        <v>Phase 7 - SOLID</v>
      </c>
      <c r="M54" s="942">
        <f>BP6</f>
        <v>10.6</v>
      </c>
      <c r="N54" s="949"/>
      <c r="V54" s="915">
        <f t="shared" si="3"/>
        <v>0</v>
      </c>
      <c r="W54" s="915">
        <f t="shared" si="4"/>
        <v>0</v>
      </c>
      <c r="X54" s="915">
        <f t="shared" si="5"/>
        <v>0</v>
      </c>
      <c r="Y54" s="915">
        <f t="shared" si="6"/>
        <v>0</v>
      </c>
      <c r="Z54" s="915">
        <f t="shared" si="7"/>
        <v>0</v>
      </c>
      <c r="AA54" s="915">
        <f t="shared" si="8"/>
        <v>0</v>
      </c>
      <c r="AB54" s="915">
        <f t="shared" si="9"/>
        <v>0</v>
      </c>
      <c r="AC54" s="915">
        <f t="shared" si="10"/>
        <v>0</v>
      </c>
      <c r="AD54" s="915">
        <f t="shared" si="11"/>
        <v>0</v>
      </c>
      <c r="AE54" s="915">
        <f t="shared" si="12"/>
        <v>0</v>
      </c>
      <c r="AF54" s="915">
        <f t="shared" si="63"/>
        <v>0</v>
      </c>
      <c r="AG54" s="915">
        <f t="shared" si="64"/>
        <v>0</v>
      </c>
      <c r="AH54" s="915">
        <f t="shared" si="65"/>
        <v>0</v>
      </c>
      <c r="AI54" s="915">
        <f t="shared" si="66"/>
        <v>0</v>
      </c>
      <c r="AJ54" s="915">
        <f t="shared" si="67"/>
        <v>0</v>
      </c>
      <c r="AK54" s="915">
        <f t="shared" si="68"/>
        <v>0</v>
      </c>
      <c r="AL54" s="915">
        <f t="shared" si="69"/>
        <v>0</v>
      </c>
      <c r="AM54" s="915">
        <f t="shared" si="70"/>
        <v>0</v>
      </c>
      <c r="AN54" s="915">
        <f t="shared" si="71"/>
        <v>0</v>
      </c>
      <c r="AO54" s="915">
        <f t="shared" si="72"/>
        <v>0</v>
      </c>
      <c r="AP54" s="915">
        <f t="shared" si="13"/>
        <v>0</v>
      </c>
      <c r="AQ54" s="915">
        <f t="shared" si="14"/>
        <v>0</v>
      </c>
      <c r="AR54" s="915">
        <f t="shared" si="15"/>
        <v>0</v>
      </c>
      <c r="AS54" s="915">
        <f t="shared" si="16"/>
        <v>0</v>
      </c>
      <c r="AT54" s="915">
        <f t="shared" si="17"/>
        <v>0</v>
      </c>
      <c r="AU54" s="915">
        <f t="shared" si="18"/>
        <v>0</v>
      </c>
      <c r="AV54" s="915">
        <f t="shared" si="19"/>
        <v>0</v>
      </c>
      <c r="AW54" s="915">
        <f t="shared" si="20"/>
        <v>0</v>
      </c>
      <c r="AX54" s="915">
        <f t="shared" si="21"/>
        <v>0</v>
      </c>
      <c r="AY54" s="915">
        <f t="shared" si="73"/>
        <v>0</v>
      </c>
      <c r="AZ54" s="915">
        <f t="shared" si="74"/>
        <v>0</v>
      </c>
      <c r="BA54" s="915">
        <f t="shared" si="75"/>
        <v>0</v>
      </c>
      <c r="BB54" s="915">
        <f t="shared" si="76"/>
        <v>0</v>
      </c>
      <c r="BC54" s="915">
        <f t="shared" si="77"/>
        <v>0</v>
      </c>
      <c r="BD54" s="915">
        <f t="shared" si="78"/>
        <v>0</v>
      </c>
      <c r="BE54" s="915">
        <f t="shared" si="79"/>
        <v>0</v>
      </c>
      <c r="BF54" s="915">
        <f t="shared" si="80"/>
        <v>0</v>
      </c>
      <c r="BG54" s="915">
        <f t="shared" si="81"/>
        <v>0</v>
      </c>
      <c r="BH54" s="915">
        <f t="shared" si="82"/>
        <v>0</v>
      </c>
      <c r="BI54" s="915">
        <f t="shared" si="83"/>
        <v>0</v>
      </c>
      <c r="BJ54" s="915">
        <f t="shared" si="22"/>
        <v>0</v>
      </c>
      <c r="BK54" s="915">
        <f t="shared" si="23"/>
        <v>0</v>
      </c>
      <c r="BL54" s="915">
        <f t="shared" si="24"/>
        <v>0</v>
      </c>
      <c r="BM54" s="915">
        <f t="shared" si="25"/>
        <v>0</v>
      </c>
      <c r="BN54" s="915">
        <f t="shared" si="26"/>
        <v>0</v>
      </c>
      <c r="BO54" s="915">
        <f t="shared" si="27"/>
        <v>0</v>
      </c>
      <c r="BP54" s="915">
        <f t="shared" si="28"/>
        <v>10.6</v>
      </c>
      <c r="BQ54" s="915">
        <f t="shared" si="29"/>
        <v>0</v>
      </c>
      <c r="BR54" s="915">
        <f t="shared" si="30"/>
        <v>0</v>
      </c>
      <c r="BS54" s="915">
        <f t="shared" si="31"/>
        <v>0</v>
      </c>
      <c r="BT54" s="915">
        <f t="shared" si="128"/>
        <v>0</v>
      </c>
      <c r="BU54" s="915">
        <f t="shared" si="128"/>
        <v>0</v>
      </c>
      <c r="BV54" s="915">
        <f t="shared" si="85"/>
        <v>0</v>
      </c>
      <c r="BW54" s="915">
        <f t="shared" si="86"/>
        <v>0</v>
      </c>
      <c r="BX54" s="915">
        <f t="shared" si="87"/>
        <v>0</v>
      </c>
      <c r="BY54" s="915">
        <f t="shared" si="88"/>
        <v>0</v>
      </c>
      <c r="BZ54" s="915">
        <f t="shared" si="89"/>
        <v>0</v>
      </c>
      <c r="CA54" s="915">
        <f t="shared" si="90"/>
        <v>0</v>
      </c>
      <c r="CB54" s="915">
        <f t="shared" si="91"/>
        <v>0</v>
      </c>
      <c r="CC54" s="915">
        <f t="shared" si="92"/>
        <v>0</v>
      </c>
      <c r="CD54" s="915">
        <f t="shared" si="32"/>
        <v>0</v>
      </c>
      <c r="CE54" s="915">
        <f t="shared" si="33"/>
        <v>0</v>
      </c>
      <c r="CF54" s="915">
        <f t="shared" si="34"/>
        <v>0</v>
      </c>
      <c r="CG54" s="915">
        <f t="shared" si="35"/>
        <v>0</v>
      </c>
      <c r="CH54" s="915">
        <f t="shared" si="36"/>
        <v>0</v>
      </c>
      <c r="CI54" s="915">
        <f t="shared" si="37"/>
        <v>0</v>
      </c>
      <c r="CJ54" s="915">
        <f t="shared" si="38"/>
        <v>0</v>
      </c>
      <c r="CK54" s="915">
        <f t="shared" si="39"/>
        <v>0</v>
      </c>
      <c r="CL54" s="915">
        <f t="shared" si="40"/>
        <v>0</v>
      </c>
      <c r="CM54" s="915">
        <f t="shared" si="41"/>
        <v>0</v>
      </c>
      <c r="CN54" s="915">
        <f t="shared" si="93"/>
        <v>0</v>
      </c>
      <c r="CO54" s="915">
        <f t="shared" si="94"/>
        <v>0</v>
      </c>
      <c r="CP54" s="915">
        <f t="shared" si="95"/>
        <v>0</v>
      </c>
      <c r="CQ54" s="915">
        <f t="shared" si="96"/>
        <v>0</v>
      </c>
      <c r="CR54" s="915">
        <f t="shared" si="97"/>
        <v>0</v>
      </c>
      <c r="CS54" s="915">
        <f t="shared" si="98"/>
        <v>0</v>
      </c>
      <c r="CT54" s="915">
        <f t="shared" si="99"/>
        <v>0</v>
      </c>
      <c r="CU54" s="915">
        <f t="shared" si="100"/>
        <v>0</v>
      </c>
      <c r="CV54" s="915">
        <f t="shared" si="101"/>
        <v>0</v>
      </c>
      <c r="CW54" s="915">
        <f t="shared" si="102"/>
        <v>0</v>
      </c>
      <c r="CX54" s="915">
        <f t="shared" si="42"/>
        <v>0</v>
      </c>
      <c r="CY54" s="915">
        <f t="shared" si="43"/>
        <v>0</v>
      </c>
      <c r="CZ54" s="915">
        <f t="shared" si="44"/>
        <v>0</v>
      </c>
      <c r="DA54" s="915">
        <f t="shared" si="45"/>
        <v>0</v>
      </c>
      <c r="DB54" s="915">
        <f t="shared" si="46"/>
        <v>0</v>
      </c>
      <c r="DC54" s="915">
        <f t="shared" si="47"/>
        <v>0</v>
      </c>
      <c r="DD54" s="915">
        <f t="shared" si="48"/>
        <v>0</v>
      </c>
      <c r="DE54" s="915">
        <f t="shared" si="49"/>
        <v>0</v>
      </c>
      <c r="DF54" s="915">
        <f t="shared" si="50"/>
        <v>0</v>
      </c>
      <c r="DG54" s="915">
        <f t="shared" si="51"/>
        <v>0</v>
      </c>
      <c r="DH54" s="915">
        <f t="shared" si="103"/>
        <v>0</v>
      </c>
      <c r="DI54" s="915">
        <f t="shared" si="104"/>
        <v>0</v>
      </c>
      <c r="DJ54" s="915">
        <f t="shared" si="105"/>
        <v>0</v>
      </c>
      <c r="DK54" s="915">
        <f t="shared" si="106"/>
        <v>0</v>
      </c>
      <c r="DL54" s="915">
        <f t="shared" si="107"/>
        <v>0</v>
      </c>
      <c r="DM54" s="915">
        <f t="shared" si="108"/>
        <v>0</v>
      </c>
      <c r="DN54" s="915">
        <f t="shared" si="109"/>
        <v>0</v>
      </c>
      <c r="DO54" s="915">
        <f t="shared" si="110"/>
        <v>0</v>
      </c>
      <c r="DP54" s="915">
        <f t="shared" si="111"/>
        <v>0</v>
      </c>
      <c r="DQ54" s="915">
        <f t="shared" si="112"/>
        <v>0</v>
      </c>
      <c r="DR54" s="915">
        <f t="shared" si="52"/>
        <v>0</v>
      </c>
      <c r="DS54" s="915">
        <f t="shared" si="53"/>
        <v>0</v>
      </c>
      <c r="DT54" s="915">
        <f t="shared" si="54"/>
        <v>0</v>
      </c>
      <c r="DU54" s="915">
        <f t="shared" si="55"/>
        <v>0</v>
      </c>
      <c r="DV54" s="915">
        <f t="shared" si="56"/>
        <v>0</v>
      </c>
      <c r="DW54" s="915">
        <f t="shared" si="57"/>
        <v>0</v>
      </c>
      <c r="DX54" s="915">
        <f t="shared" si="58"/>
        <v>0</v>
      </c>
      <c r="DY54" s="915">
        <f t="shared" si="59"/>
        <v>0</v>
      </c>
      <c r="DZ54" s="915">
        <f t="shared" si="60"/>
        <v>0</v>
      </c>
      <c r="EA54" s="915">
        <f t="shared" si="61"/>
        <v>0</v>
      </c>
      <c r="EB54" s="915">
        <f t="shared" si="113"/>
        <v>0</v>
      </c>
      <c r="EC54" s="915">
        <f t="shared" si="114"/>
        <v>0</v>
      </c>
      <c r="ED54" s="915">
        <f t="shared" si="115"/>
        <v>0</v>
      </c>
      <c r="EE54" s="915">
        <f t="shared" si="116"/>
        <v>0</v>
      </c>
      <c r="EF54" s="915">
        <f t="shared" si="117"/>
        <v>0</v>
      </c>
      <c r="EG54" s="915">
        <f t="shared" si="118"/>
        <v>0</v>
      </c>
      <c r="EH54" s="915">
        <f t="shared" si="119"/>
        <v>0</v>
      </c>
      <c r="EI54" s="915">
        <f t="shared" si="120"/>
        <v>0</v>
      </c>
      <c r="EJ54" s="915">
        <f t="shared" si="121"/>
        <v>0</v>
      </c>
      <c r="EK54" s="915">
        <f t="shared" si="122"/>
        <v>0</v>
      </c>
      <c r="EL54" s="915"/>
      <c r="EN54" s="533"/>
      <c r="EQ54" s="534"/>
    </row>
    <row r="55" spans="1:147" ht="14.1" customHeight="1" x14ac:dyDescent="0.2">
      <c r="A55" s="1026">
        <v>48</v>
      </c>
      <c r="B55" s="1423"/>
      <c r="C55" s="1431"/>
      <c r="D55" s="1020">
        <v>8</v>
      </c>
      <c r="E55" s="138" t="s">
        <v>515</v>
      </c>
      <c r="F55" s="139" t="s">
        <v>2544</v>
      </c>
      <c r="G55" s="91">
        <v>1</v>
      </c>
      <c r="H55" s="1022">
        <v>10</v>
      </c>
      <c r="I55" s="801">
        <f t="shared" si="129"/>
        <v>0.6</v>
      </c>
      <c r="J55" s="1021">
        <f t="shared" si="130"/>
        <v>10.6</v>
      </c>
      <c r="K55" s="225"/>
      <c r="L55" s="941" t="str">
        <f>TabName8 &amp; " - SOLID"</f>
        <v>Phase 8 - SOLID</v>
      </c>
      <c r="M55" s="942">
        <f>BQ6</f>
        <v>10.6</v>
      </c>
      <c r="N55" s="949"/>
      <c r="V55" s="915">
        <f t="shared" si="3"/>
        <v>0</v>
      </c>
      <c r="W55" s="915">
        <f t="shared" si="4"/>
        <v>0</v>
      </c>
      <c r="X55" s="915">
        <f t="shared" si="5"/>
        <v>0</v>
      </c>
      <c r="Y55" s="915">
        <f t="shared" si="6"/>
        <v>0</v>
      </c>
      <c r="Z55" s="915">
        <f t="shared" si="7"/>
        <v>0</v>
      </c>
      <c r="AA55" s="915">
        <f t="shared" si="8"/>
        <v>0</v>
      </c>
      <c r="AB55" s="915">
        <f t="shared" si="9"/>
        <v>0</v>
      </c>
      <c r="AC55" s="915">
        <f t="shared" si="10"/>
        <v>0</v>
      </c>
      <c r="AD55" s="915">
        <f t="shared" si="11"/>
        <v>0</v>
      </c>
      <c r="AE55" s="915">
        <f t="shared" si="12"/>
        <v>0</v>
      </c>
      <c r="AF55" s="915">
        <f t="shared" si="63"/>
        <v>0</v>
      </c>
      <c r="AG55" s="915">
        <f t="shared" si="64"/>
        <v>0</v>
      </c>
      <c r="AH55" s="915">
        <f t="shared" si="65"/>
        <v>0</v>
      </c>
      <c r="AI55" s="915">
        <f t="shared" si="66"/>
        <v>0</v>
      </c>
      <c r="AJ55" s="915">
        <f t="shared" si="67"/>
        <v>0</v>
      </c>
      <c r="AK55" s="915">
        <f t="shared" si="68"/>
        <v>0</v>
      </c>
      <c r="AL55" s="915">
        <f t="shared" si="69"/>
        <v>0</v>
      </c>
      <c r="AM55" s="915">
        <f t="shared" si="70"/>
        <v>0</v>
      </c>
      <c r="AN55" s="915">
        <f t="shared" si="71"/>
        <v>0</v>
      </c>
      <c r="AO55" s="915">
        <f t="shared" si="72"/>
        <v>0</v>
      </c>
      <c r="AP55" s="915">
        <f t="shared" si="13"/>
        <v>0</v>
      </c>
      <c r="AQ55" s="915">
        <f t="shared" si="14"/>
        <v>0</v>
      </c>
      <c r="AR55" s="915">
        <f t="shared" si="15"/>
        <v>0</v>
      </c>
      <c r="AS55" s="915">
        <f t="shared" si="16"/>
        <v>0</v>
      </c>
      <c r="AT55" s="915">
        <f t="shared" si="17"/>
        <v>0</v>
      </c>
      <c r="AU55" s="915">
        <f t="shared" si="18"/>
        <v>0</v>
      </c>
      <c r="AV55" s="915">
        <f t="shared" si="19"/>
        <v>0</v>
      </c>
      <c r="AW55" s="915">
        <f t="shared" si="20"/>
        <v>0</v>
      </c>
      <c r="AX55" s="915">
        <f t="shared" si="21"/>
        <v>0</v>
      </c>
      <c r="AY55" s="915">
        <f t="shared" si="73"/>
        <v>0</v>
      </c>
      <c r="AZ55" s="915">
        <f t="shared" si="74"/>
        <v>0</v>
      </c>
      <c r="BA55" s="915">
        <f t="shared" si="75"/>
        <v>0</v>
      </c>
      <c r="BB55" s="915">
        <f t="shared" si="76"/>
        <v>0</v>
      </c>
      <c r="BC55" s="915">
        <f t="shared" si="77"/>
        <v>0</v>
      </c>
      <c r="BD55" s="915">
        <f t="shared" si="78"/>
        <v>0</v>
      </c>
      <c r="BE55" s="915">
        <f t="shared" si="79"/>
        <v>0</v>
      </c>
      <c r="BF55" s="915">
        <f t="shared" si="80"/>
        <v>0</v>
      </c>
      <c r="BG55" s="915">
        <f t="shared" si="81"/>
        <v>0</v>
      </c>
      <c r="BH55" s="915">
        <f t="shared" si="82"/>
        <v>0</v>
      </c>
      <c r="BI55" s="915">
        <f t="shared" si="83"/>
        <v>0</v>
      </c>
      <c r="BJ55" s="915">
        <f t="shared" si="22"/>
        <v>0</v>
      </c>
      <c r="BK55" s="915">
        <f t="shared" si="23"/>
        <v>0</v>
      </c>
      <c r="BL55" s="915">
        <f t="shared" si="24"/>
        <v>0</v>
      </c>
      <c r="BM55" s="915">
        <f t="shared" si="25"/>
        <v>0</v>
      </c>
      <c r="BN55" s="915">
        <f t="shared" si="26"/>
        <v>0</v>
      </c>
      <c r="BO55" s="915">
        <f t="shared" si="27"/>
        <v>0</v>
      </c>
      <c r="BP55" s="915">
        <f t="shared" si="28"/>
        <v>0</v>
      </c>
      <c r="BQ55" s="915">
        <f t="shared" si="29"/>
        <v>10.6</v>
      </c>
      <c r="BR55" s="915">
        <f t="shared" si="30"/>
        <v>0</v>
      </c>
      <c r="BS55" s="915">
        <f t="shared" si="31"/>
        <v>0</v>
      </c>
      <c r="BT55" s="915">
        <f t="shared" si="128"/>
        <v>0</v>
      </c>
      <c r="BU55" s="915">
        <f t="shared" si="128"/>
        <v>0</v>
      </c>
      <c r="BV55" s="915">
        <f t="shared" si="85"/>
        <v>0</v>
      </c>
      <c r="BW55" s="915">
        <f t="shared" si="86"/>
        <v>0</v>
      </c>
      <c r="BX55" s="915">
        <f t="shared" si="87"/>
        <v>0</v>
      </c>
      <c r="BY55" s="915">
        <f t="shared" si="88"/>
        <v>0</v>
      </c>
      <c r="BZ55" s="915">
        <f t="shared" si="89"/>
        <v>0</v>
      </c>
      <c r="CA55" s="915">
        <f t="shared" si="90"/>
        <v>0</v>
      </c>
      <c r="CB55" s="915">
        <f t="shared" si="91"/>
        <v>0</v>
      </c>
      <c r="CC55" s="915">
        <f t="shared" si="92"/>
        <v>0</v>
      </c>
      <c r="CD55" s="915">
        <f t="shared" si="32"/>
        <v>0</v>
      </c>
      <c r="CE55" s="915">
        <f t="shared" si="33"/>
        <v>0</v>
      </c>
      <c r="CF55" s="915">
        <f t="shared" si="34"/>
        <v>0</v>
      </c>
      <c r="CG55" s="915">
        <f t="shared" si="35"/>
        <v>0</v>
      </c>
      <c r="CH55" s="915">
        <f t="shared" si="36"/>
        <v>0</v>
      </c>
      <c r="CI55" s="915">
        <f t="shared" si="37"/>
        <v>0</v>
      </c>
      <c r="CJ55" s="915">
        <f t="shared" si="38"/>
        <v>0</v>
      </c>
      <c r="CK55" s="915">
        <f t="shared" si="39"/>
        <v>0</v>
      </c>
      <c r="CL55" s="915">
        <f t="shared" si="40"/>
        <v>0</v>
      </c>
      <c r="CM55" s="915">
        <f t="shared" si="41"/>
        <v>0</v>
      </c>
      <c r="CN55" s="915">
        <f t="shared" si="93"/>
        <v>0</v>
      </c>
      <c r="CO55" s="915">
        <f t="shared" si="94"/>
        <v>0</v>
      </c>
      <c r="CP55" s="915">
        <f t="shared" si="95"/>
        <v>0</v>
      </c>
      <c r="CQ55" s="915">
        <f t="shared" si="96"/>
        <v>0</v>
      </c>
      <c r="CR55" s="915">
        <f t="shared" si="97"/>
        <v>0</v>
      </c>
      <c r="CS55" s="915">
        <f t="shared" si="98"/>
        <v>0</v>
      </c>
      <c r="CT55" s="915">
        <f t="shared" si="99"/>
        <v>0</v>
      </c>
      <c r="CU55" s="915">
        <f t="shared" si="100"/>
        <v>0</v>
      </c>
      <c r="CV55" s="915">
        <f t="shared" si="101"/>
        <v>0</v>
      </c>
      <c r="CW55" s="915">
        <f t="shared" si="102"/>
        <v>0</v>
      </c>
      <c r="CX55" s="915">
        <f t="shared" si="42"/>
        <v>0</v>
      </c>
      <c r="CY55" s="915">
        <f t="shared" si="43"/>
        <v>0</v>
      </c>
      <c r="CZ55" s="915">
        <f t="shared" si="44"/>
        <v>0</v>
      </c>
      <c r="DA55" s="915">
        <f t="shared" si="45"/>
        <v>0</v>
      </c>
      <c r="DB55" s="915">
        <f t="shared" si="46"/>
        <v>0</v>
      </c>
      <c r="DC55" s="915">
        <f t="shared" si="47"/>
        <v>0</v>
      </c>
      <c r="DD55" s="915">
        <f t="shared" si="48"/>
        <v>0</v>
      </c>
      <c r="DE55" s="915">
        <f t="shared" si="49"/>
        <v>0</v>
      </c>
      <c r="DF55" s="915">
        <f t="shared" si="50"/>
        <v>0</v>
      </c>
      <c r="DG55" s="915">
        <f t="shared" si="51"/>
        <v>0</v>
      </c>
      <c r="DH55" s="915">
        <f t="shared" si="103"/>
        <v>0</v>
      </c>
      <c r="DI55" s="915">
        <f t="shared" si="104"/>
        <v>0</v>
      </c>
      <c r="DJ55" s="915">
        <f t="shared" si="105"/>
        <v>0</v>
      </c>
      <c r="DK55" s="915">
        <f t="shared" si="106"/>
        <v>0</v>
      </c>
      <c r="DL55" s="915">
        <f t="shared" si="107"/>
        <v>0</v>
      </c>
      <c r="DM55" s="915">
        <f t="shared" si="108"/>
        <v>0</v>
      </c>
      <c r="DN55" s="915">
        <f t="shared" si="109"/>
        <v>0</v>
      </c>
      <c r="DO55" s="915">
        <f t="shared" si="110"/>
        <v>0</v>
      </c>
      <c r="DP55" s="915">
        <f t="shared" si="111"/>
        <v>0</v>
      </c>
      <c r="DQ55" s="915">
        <f t="shared" si="112"/>
        <v>0</v>
      </c>
      <c r="DR55" s="915">
        <f t="shared" si="52"/>
        <v>0</v>
      </c>
      <c r="DS55" s="915">
        <f t="shared" si="53"/>
        <v>0</v>
      </c>
      <c r="DT55" s="915">
        <f t="shared" si="54"/>
        <v>0</v>
      </c>
      <c r="DU55" s="915">
        <f t="shared" si="55"/>
        <v>0</v>
      </c>
      <c r="DV55" s="915">
        <f t="shared" si="56"/>
        <v>0</v>
      </c>
      <c r="DW55" s="915">
        <f t="shared" si="57"/>
        <v>0</v>
      </c>
      <c r="DX55" s="915">
        <f t="shared" si="58"/>
        <v>0</v>
      </c>
      <c r="DY55" s="915">
        <f t="shared" si="59"/>
        <v>0</v>
      </c>
      <c r="DZ55" s="915">
        <f t="shared" si="60"/>
        <v>0</v>
      </c>
      <c r="EA55" s="915">
        <f t="shared" si="61"/>
        <v>0</v>
      </c>
      <c r="EB55" s="915">
        <f t="shared" si="113"/>
        <v>0</v>
      </c>
      <c r="EC55" s="915">
        <f t="shared" si="114"/>
        <v>0</v>
      </c>
      <c r="ED55" s="915">
        <f t="shared" si="115"/>
        <v>0</v>
      </c>
      <c r="EE55" s="915">
        <f t="shared" si="116"/>
        <v>0</v>
      </c>
      <c r="EF55" s="915">
        <f t="shared" si="117"/>
        <v>0</v>
      </c>
      <c r="EG55" s="915">
        <f t="shared" si="118"/>
        <v>0</v>
      </c>
      <c r="EH55" s="915">
        <f t="shared" si="119"/>
        <v>0</v>
      </c>
      <c r="EI55" s="915">
        <f t="shared" si="120"/>
        <v>0</v>
      </c>
      <c r="EJ55" s="915">
        <f t="shared" si="121"/>
        <v>0</v>
      </c>
      <c r="EK55" s="915">
        <f t="shared" si="122"/>
        <v>0</v>
      </c>
      <c r="EL55" s="915"/>
      <c r="EN55" s="533"/>
      <c r="EQ55" s="534"/>
    </row>
    <row r="56" spans="1:147" ht="14.1" customHeight="1" x14ac:dyDescent="0.2">
      <c r="A56" s="496">
        <v>49</v>
      </c>
      <c r="B56" s="1419"/>
      <c r="C56" s="1420"/>
      <c r="D56" s="264">
        <v>9</v>
      </c>
      <c r="E56" s="264" t="s">
        <v>515</v>
      </c>
      <c r="F56" s="270" t="s">
        <v>2544</v>
      </c>
      <c r="G56" s="271">
        <v>1</v>
      </c>
      <c r="H56" s="803">
        <v>10</v>
      </c>
      <c r="I56" s="800">
        <f>IF(OR(LEFT(E56,1)="I",LEFT(E56,1)="U"),0,IF(ISTEXT(K56),0,StateTaxLab*G56*H56))</f>
        <v>0.6</v>
      </c>
      <c r="J56" s="269">
        <f t="shared" si="130"/>
        <v>10.6</v>
      </c>
      <c r="K56" s="225"/>
      <c r="L56" s="941" t="str">
        <f>TabName9 &amp; " - SOLID"</f>
        <v>Phase 9 - SOLID</v>
      </c>
      <c r="M56" s="942">
        <f>BR6</f>
        <v>10.6</v>
      </c>
      <c r="N56" s="949"/>
      <c r="V56" s="915">
        <f t="shared" si="3"/>
        <v>0</v>
      </c>
      <c r="W56" s="915">
        <f t="shared" si="4"/>
        <v>0</v>
      </c>
      <c r="X56" s="915">
        <f t="shared" si="5"/>
        <v>0</v>
      </c>
      <c r="Y56" s="915">
        <f t="shared" si="6"/>
        <v>0</v>
      </c>
      <c r="Z56" s="915">
        <f t="shared" si="7"/>
        <v>0</v>
      </c>
      <c r="AA56" s="915">
        <f t="shared" si="8"/>
        <v>0</v>
      </c>
      <c r="AB56" s="915">
        <f t="shared" si="9"/>
        <v>0</v>
      </c>
      <c r="AC56" s="915">
        <f t="shared" si="10"/>
        <v>0</v>
      </c>
      <c r="AD56" s="915">
        <f t="shared" si="11"/>
        <v>0</v>
      </c>
      <c r="AE56" s="915">
        <f t="shared" si="12"/>
        <v>0</v>
      </c>
      <c r="AF56" s="915">
        <f t="shared" si="63"/>
        <v>0</v>
      </c>
      <c r="AG56" s="915">
        <f t="shared" si="64"/>
        <v>0</v>
      </c>
      <c r="AH56" s="915">
        <f t="shared" si="65"/>
        <v>0</v>
      </c>
      <c r="AI56" s="915">
        <f t="shared" si="66"/>
        <v>0</v>
      </c>
      <c r="AJ56" s="915">
        <f t="shared" si="67"/>
        <v>0</v>
      </c>
      <c r="AK56" s="915">
        <f t="shared" si="68"/>
        <v>0</v>
      </c>
      <c r="AL56" s="915">
        <f t="shared" si="69"/>
        <v>0</v>
      </c>
      <c r="AM56" s="915">
        <f t="shared" si="70"/>
        <v>0</v>
      </c>
      <c r="AN56" s="915">
        <f t="shared" si="71"/>
        <v>0</v>
      </c>
      <c r="AO56" s="915">
        <f t="shared" si="72"/>
        <v>0</v>
      </c>
      <c r="AP56" s="915">
        <f t="shared" si="13"/>
        <v>0</v>
      </c>
      <c r="AQ56" s="915">
        <f t="shared" si="14"/>
        <v>0</v>
      </c>
      <c r="AR56" s="915">
        <f t="shared" si="15"/>
        <v>0</v>
      </c>
      <c r="AS56" s="915">
        <f t="shared" si="16"/>
        <v>0</v>
      </c>
      <c r="AT56" s="915">
        <f t="shared" si="17"/>
        <v>0</v>
      </c>
      <c r="AU56" s="915">
        <f t="shared" si="18"/>
        <v>0</v>
      </c>
      <c r="AV56" s="915">
        <f t="shared" si="19"/>
        <v>0</v>
      </c>
      <c r="AW56" s="915">
        <f t="shared" si="20"/>
        <v>0</v>
      </c>
      <c r="AX56" s="915">
        <f t="shared" si="21"/>
        <v>0</v>
      </c>
      <c r="AY56" s="915">
        <f t="shared" si="73"/>
        <v>0</v>
      </c>
      <c r="AZ56" s="915">
        <f t="shared" si="74"/>
        <v>0</v>
      </c>
      <c r="BA56" s="915">
        <f t="shared" si="75"/>
        <v>0</v>
      </c>
      <c r="BB56" s="915">
        <f t="shared" si="76"/>
        <v>0</v>
      </c>
      <c r="BC56" s="915">
        <f t="shared" si="77"/>
        <v>0</v>
      </c>
      <c r="BD56" s="915">
        <f t="shared" si="78"/>
        <v>0</v>
      </c>
      <c r="BE56" s="915">
        <f t="shared" si="79"/>
        <v>0</v>
      </c>
      <c r="BF56" s="915">
        <f t="shared" si="80"/>
        <v>0</v>
      </c>
      <c r="BG56" s="915">
        <f t="shared" si="81"/>
        <v>0</v>
      </c>
      <c r="BH56" s="915">
        <f t="shared" si="82"/>
        <v>0</v>
      </c>
      <c r="BI56" s="915">
        <f t="shared" si="83"/>
        <v>0</v>
      </c>
      <c r="BJ56" s="915">
        <f t="shared" si="22"/>
        <v>0</v>
      </c>
      <c r="BK56" s="915">
        <f t="shared" si="23"/>
        <v>0</v>
      </c>
      <c r="BL56" s="915">
        <f t="shared" si="24"/>
        <v>0</v>
      </c>
      <c r="BM56" s="915">
        <f t="shared" si="25"/>
        <v>0</v>
      </c>
      <c r="BN56" s="915">
        <f t="shared" si="26"/>
        <v>0</v>
      </c>
      <c r="BO56" s="915">
        <f t="shared" si="27"/>
        <v>0</v>
      </c>
      <c r="BP56" s="915">
        <f t="shared" si="28"/>
        <v>0</v>
      </c>
      <c r="BQ56" s="915">
        <f t="shared" si="29"/>
        <v>0</v>
      </c>
      <c r="BR56" s="915">
        <f t="shared" si="30"/>
        <v>10.6</v>
      </c>
      <c r="BS56" s="915">
        <f t="shared" si="31"/>
        <v>0</v>
      </c>
      <c r="BT56" s="915">
        <f t="shared" si="128"/>
        <v>0</v>
      </c>
      <c r="BU56" s="915">
        <f t="shared" si="128"/>
        <v>0</v>
      </c>
      <c r="BV56" s="915">
        <f t="shared" si="85"/>
        <v>0</v>
      </c>
      <c r="BW56" s="915">
        <f t="shared" si="86"/>
        <v>0</v>
      </c>
      <c r="BX56" s="915">
        <f t="shared" si="87"/>
        <v>0</v>
      </c>
      <c r="BY56" s="915">
        <f t="shared" si="88"/>
        <v>0</v>
      </c>
      <c r="BZ56" s="915">
        <f t="shared" si="89"/>
        <v>0</v>
      </c>
      <c r="CA56" s="915">
        <f t="shared" si="90"/>
        <v>0</v>
      </c>
      <c r="CB56" s="915">
        <f t="shared" si="91"/>
        <v>0</v>
      </c>
      <c r="CC56" s="915">
        <f t="shared" si="92"/>
        <v>0</v>
      </c>
      <c r="CD56" s="915">
        <f t="shared" si="32"/>
        <v>0</v>
      </c>
      <c r="CE56" s="915">
        <f t="shared" si="33"/>
        <v>0</v>
      </c>
      <c r="CF56" s="915">
        <f t="shared" si="34"/>
        <v>0</v>
      </c>
      <c r="CG56" s="915">
        <f t="shared" si="35"/>
        <v>0</v>
      </c>
      <c r="CH56" s="915">
        <f t="shared" si="36"/>
        <v>0</v>
      </c>
      <c r="CI56" s="915">
        <f t="shared" si="37"/>
        <v>0</v>
      </c>
      <c r="CJ56" s="915">
        <f t="shared" si="38"/>
        <v>0</v>
      </c>
      <c r="CK56" s="915">
        <f t="shared" si="39"/>
        <v>0</v>
      </c>
      <c r="CL56" s="915">
        <f t="shared" si="40"/>
        <v>0</v>
      </c>
      <c r="CM56" s="915">
        <f t="shared" si="41"/>
        <v>0</v>
      </c>
      <c r="CN56" s="915">
        <f t="shared" si="93"/>
        <v>0</v>
      </c>
      <c r="CO56" s="915">
        <f t="shared" si="94"/>
        <v>0</v>
      </c>
      <c r="CP56" s="915">
        <f t="shared" si="95"/>
        <v>0</v>
      </c>
      <c r="CQ56" s="915">
        <f t="shared" si="96"/>
        <v>0</v>
      </c>
      <c r="CR56" s="915">
        <f t="shared" si="97"/>
        <v>0</v>
      </c>
      <c r="CS56" s="915">
        <f t="shared" si="98"/>
        <v>0</v>
      </c>
      <c r="CT56" s="915">
        <f t="shared" si="99"/>
        <v>0</v>
      </c>
      <c r="CU56" s="915">
        <f t="shared" si="100"/>
        <v>0</v>
      </c>
      <c r="CV56" s="915">
        <f t="shared" si="101"/>
        <v>0</v>
      </c>
      <c r="CW56" s="915">
        <f t="shared" si="102"/>
        <v>0</v>
      </c>
      <c r="CX56" s="915">
        <f t="shared" si="42"/>
        <v>0</v>
      </c>
      <c r="CY56" s="915">
        <f t="shared" si="43"/>
        <v>0</v>
      </c>
      <c r="CZ56" s="915">
        <f t="shared" si="44"/>
        <v>0</v>
      </c>
      <c r="DA56" s="915">
        <f t="shared" si="45"/>
        <v>0</v>
      </c>
      <c r="DB56" s="915">
        <f t="shared" si="46"/>
        <v>0</v>
      </c>
      <c r="DC56" s="915">
        <f t="shared" si="47"/>
        <v>0</v>
      </c>
      <c r="DD56" s="915">
        <f t="shared" si="48"/>
        <v>0</v>
      </c>
      <c r="DE56" s="915">
        <f t="shared" si="49"/>
        <v>0</v>
      </c>
      <c r="DF56" s="915">
        <f t="shared" si="50"/>
        <v>0</v>
      </c>
      <c r="DG56" s="915">
        <f t="shared" si="51"/>
        <v>0</v>
      </c>
      <c r="DH56" s="915">
        <f t="shared" si="103"/>
        <v>0</v>
      </c>
      <c r="DI56" s="915">
        <f t="shared" si="104"/>
        <v>0</v>
      </c>
      <c r="DJ56" s="915">
        <f t="shared" si="105"/>
        <v>0</v>
      </c>
      <c r="DK56" s="915">
        <f t="shared" si="106"/>
        <v>0</v>
      </c>
      <c r="DL56" s="915">
        <f t="shared" si="107"/>
        <v>0</v>
      </c>
      <c r="DM56" s="915">
        <f t="shared" si="108"/>
        <v>0</v>
      </c>
      <c r="DN56" s="915">
        <f t="shared" si="109"/>
        <v>0</v>
      </c>
      <c r="DO56" s="915">
        <f t="shared" si="110"/>
        <v>0</v>
      </c>
      <c r="DP56" s="915">
        <f t="shared" si="111"/>
        <v>0</v>
      </c>
      <c r="DQ56" s="915">
        <f t="shared" si="112"/>
        <v>0</v>
      </c>
      <c r="DR56" s="915">
        <f t="shared" si="52"/>
        <v>0</v>
      </c>
      <c r="DS56" s="915">
        <f t="shared" si="53"/>
        <v>0</v>
      </c>
      <c r="DT56" s="915">
        <f t="shared" si="54"/>
        <v>0</v>
      </c>
      <c r="DU56" s="915">
        <f t="shared" si="55"/>
        <v>0</v>
      </c>
      <c r="DV56" s="915">
        <f t="shared" si="56"/>
        <v>0</v>
      </c>
      <c r="DW56" s="915">
        <f t="shared" si="57"/>
        <v>0</v>
      </c>
      <c r="DX56" s="915">
        <f t="shared" si="58"/>
        <v>0</v>
      </c>
      <c r="DY56" s="915">
        <f t="shared" si="59"/>
        <v>0</v>
      </c>
      <c r="DZ56" s="915">
        <f t="shared" si="60"/>
        <v>0</v>
      </c>
      <c r="EA56" s="915">
        <f t="shared" si="61"/>
        <v>0</v>
      </c>
      <c r="EB56" s="915">
        <f t="shared" si="113"/>
        <v>0</v>
      </c>
      <c r="EC56" s="915">
        <f t="shared" si="114"/>
        <v>0</v>
      </c>
      <c r="ED56" s="915">
        <f t="shared" si="115"/>
        <v>0</v>
      </c>
      <c r="EE56" s="915">
        <f t="shared" si="116"/>
        <v>0</v>
      </c>
      <c r="EF56" s="915">
        <f t="shared" si="117"/>
        <v>0</v>
      </c>
      <c r="EG56" s="915">
        <f t="shared" si="118"/>
        <v>0</v>
      </c>
      <c r="EH56" s="915">
        <f t="shared" si="119"/>
        <v>0</v>
      </c>
      <c r="EI56" s="915">
        <f t="shared" si="120"/>
        <v>0</v>
      </c>
      <c r="EJ56" s="915">
        <f t="shared" si="121"/>
        <v>0</v>
      </c>
      <c r="EK56" s="915">
        <f t="shared" si="122"/>
        <v>0</v>
      </c>
      <c r="EL56" s="915"/>
      <c r="EN56" s="533"/>
      <c r="EQ56" s="534"/>
    </row>
    <row r="57" spans="1:147" ht="14.1" customHeight="1" x14ac:dyDescent="0.2">
      <c r="A57" s="1026">
        <v>50</v>
      </c>
      <c r="B57" s="1423"/>
      <c r="C57" s="1424"/>
      <c r="D57" s="1020">
        <v>10</v>
      </c>
      <c r="E57" s="138" t="s">
        <v>515</v>
      </c>
      <c r="F57" s="139" t="s">
        <v>2544</v>
      </c>
      <c r="G57" s="91">
        <v>1</v>
      </c>
      <c r="H57" s="1022">
        <v>10</v>
      </c>
      <c r="I57" s="801">
        <f t="shared" si="129"/>
        <v>0.6</v>
      </c>
      <c r="J57" s="1021">
        <f t="shared" si="130"/>
        <v>10.6</v>
      </c>
      <c r="K57" s="225"/>
      <c r="L57" s="941" t="str">
        <f>tabname10 &amp; " - SOLID"</f>
        <v>Phase 10 - SOLID</v>
      </c>
      <c r="M57" s="942">
        <f>BS6</f>
        <v>10.6</v>
      </c>
      <c r="N57" s="949"/>
      <c r="V57" s="915">
        <f t="shared" si="3"/>
        <v>0</v>
      </c>
      <c r="W57" s="915">
        <f t="shared" si="4"/>
        <v>0</v>
      </c>
      <c r="X57" s="915">
        <f t="shared" si="5"/>
        <v>0</v>
      </c>
      <c r="Y57" s="915">
        <f t="shared" si="6"/>
        <v>0</v>
      </c>
      <c r="Z57" s="915">
        <f t="shared" si="7"/>
        <v>0</v>
      </c>
      <c r="AA57" s="915">
        <f t="shared" si="8"/>
        <v>0</v>
      </c>
      <c r="AB57" s="915">
        <f t="shared" si="9"/>
        <v>0</v>
      </c>
      <c r="AC57" s="915">
        <f t="shared" si="10"/>
        <v>0</v>
      </c>
      <c r="AD57" s="915">
        <f t="shared" si="11"/>
        <v>0</v>
      </c>
      <c r="AE57" s="915">
        <f t="shared" si="12"/>
        <v>0</v>
      </c>
      <c r="AF57" s="915">
        <f t="shared" si="63"/>
        <v>0</v>
      </c>
      <c r="AG57" s="915">
        <f t="shared" si="64"/>
        <v>0</v>
      </c>
      <c r="AH57" s="915">
        <f t="shared" si="65"/>
        <v>0</v>
      </c>
      <c r="AI57" s="915">
        <f t="shared" si="66"/>
        <v>0</v>
      </c>
      <c r="AJ57" s="915">
        <f t="shared" si="67"/>
        <v>0</v>
      </c>
      <c r="AK57" s="915">
        <f t="shared" si="68"/>
        <v>0</v>
      </c>
      <c r="AL57" s="915">
        <f t="shared" si="69"/>
        <v>0</v>
      </c>
      <c r="AM57" s="915">
        <f t="shared" si="70"/>
        <v>0</v>
      </c>
      <c r="AN57" s="915">
        <f t="shared" si="71"/>
        <v>0</v>
      </c>
      <c r="AO57" s="915">
        <f t="shared" si="72"/>
        <v>0</v>
      </c>
      <c r="AP57" s="915">
        <f t="shared" si="13"/>
        <v>0</v>
      </c>
      <c r="AQ57" s="915">
        <f t="shared" si="14"/>
        <v>0</v>
      </c>
      <c r="AR57" s="915">
        <f t="shared" si="15"/>
        <v>0</v>
      </c>
      <c r="AS57" s="915">
        <f t="shared" si="16"/>
        <v>0</v>
      </c>
      <c r="AT57" s="915">
        <f t="shared" si="17"/>
        <v>0</v>
      </c>
      <c r="AU57" s="915">
        <f t="shared" si="18"/>
        <v>0</v>
      </c>
      <c r="AV57" s="915">
        <f t="shared" si="19"/>
        <v>0</v>
      </c>
      <c r="AW57" s="915">
        <f t="shared" si="20"/>
        <v>0</v>
      </c>
      <c r="AX57" s="915">
        <f t="shared" si="21"/>
        <v>0</v>
      </c>
      <c r="AY57" s="915">
        <f t="shared" si="73"/>
        <v>0</v>
      </c>
      <c r="AZ57" s="915">
        <f t="shared" si="74"/>
        <v>0</v>
      </c>
      <c r="BA57" s="915">
        <f t="shared" si="75"/>
        <v>0</v>
      </c>
      <c r="BB57" s="915">
        <f t="shared" si="76"/>
        <v>0</v>
      </c>
      <c r="BC57" s="915">
        <f t="shared" si="77"/>
        <v>0</v>
      </c>
      <c r="BD57" s="915">
        <f t="shared" si="78"/>
        <v>0</v>
      </c>
      <c r="BE57" s="915">
        <f t="shared" si="79"/>
        <v>0</v>
      </c>
      <c r="BF57" s="915">
        <f t="shared" si="80"/>
        <v>0</v>
      </c>
      <c r="BG57" s="915">
        <f t="shared" si="81"/>
        <v>0</v>
      </c>
      <c r="BH57" s="915">
        <f t="shared" si="82"/>
        <v>0</v>
      </c>
      <c r="BI57" s="915">
        <f t="shared" si="83"/>
        <v>0</v>
      </c>
      <c r="BJ57" s="915">
        <f t="shared" si="22"/>
        <v>0</v>
      </c>
      <c r="BK57" s="915">
        <f t="shared" si="23"/>
        <v>0</v>
      </c>
      <c r="BL57" s="915">
        <f t="shared" si="24"/>
        <v>0</v>
      </c>
      <c r="BM57" s="915">
        <f t="shared" si="25"/>
        <v>0</v>
      </c>
      <c r="BN57" s="915">
        <f t="shared" si="26"/>
        <v>0</v>
      </c>
      <c r="BO57" s="915">
        <f t="shared" si="27"/>
        <v>0</v>
      </c>
      <c r="BP57" s="915">
        <f t="shared" si="28"/>
        <v>0</v>
      </c>
      <c r="BQ57" s="915">
        <f t="shared" si="29"/>
        <v>0</v>
      </c>
      <c r="BR57" s="915">
        <f t="shared" si="30"/>
        <v>0</v>
      </c>
      <c r="BS57" s="915">
        <f t="shared" si="31"/>
        <v>10.6</v>
      </c>
      <c r="BT57" s="915">
        <f t="shared" si="128"/>
        <v>0</v>
      </c>
      <c r="BU57" s="915">
        <f t="shared" si="128"/>
        <v>0</v>
      </c>
      <c r="BV57" s="915">
        <f t="shared" si="85"/>
        <v>0</v>
      </c>
      <c r="BW57" s="915">
        <f t="shared" si="86"/>
        <v>0</v>
      </c>
      <c r="BX57" s="915">
        <f t="shared" si="87"/>
        <v>0</v>
      </c>
      <c r="BY57" s="915">
        <f t="shared" si="88"/>
        <v>0</v>
      </c>
      <c r="BZ57" s="915">
        <f t="shared" si="89"/>
        <v>0</v>
      </c>
      <c r="CA57" s="915">
        <f t="shared" si="90"/>
        <v>0</v>
      </c>
      <c r="CB57" s="915">
        <f t="shared" si="91"/>
        <v>0</v>
      </c>
      <c r="CC57" s="915">
        <f t="shared" si="92"/>
        <v>0</v>
      </c>
      <c r="CD57" s="915">
        <f t="shared" si="32"/>
        <v>0</v>
      </c>
      <c r="CE57" s="915">
        <f t="shared" si="33"/>
        <v>0</v>
      </c>
      <c r="CF57" s="915">
        <f t="shared" si="34"/>
        <v>0</v>
      </c>
      <c r="CG57" s="915">
        <f t="shared" si="35"/>
        <v>0</v>
      </c>
      <c r="CH57" s="915">
        <f t="shared" si="36"/>
        <v>0</v>
      </c>
      <c r="CI57" s="915">
        <f t="shared" si="37"/>
        <v>0</v>
      </c>
      <c r="CJ57" s="915">
        <f t="shared" si="38"/>
        <v>0</v>
      </c>
      <c r="CK57" s="915">
        <f t="shared" si="39"/>
        <v>0</v>
      </c>
      <c r="CL57" s="915">
        <f t="shared" si="40"/>
        <v>0</v>
      </c>
      <c r="CM57" s="915">
        <f t="shared" si="41"/>
        <v>0</v>
      </c>
      <c r="CN57" s="915">
        <f t="shared" si="93"/>
        <v>0</v>
      </c>
      <c r="CO57" s="915">
        <f t="shared" si="94"/>
        <v>0</v>
      </c>
      <c r="CP57" s="915">
        <f t="shared" si="95"/>
        <v>0</v>
      </c>
      <c r="CQ57" s="915">
        <f t="shared" si="96"/>
        <v>0</v>
      </c>
      <c r="CR57" s="915">
        <f t="shared" si="97"/>
        <v>0</v>
      </c>
      <c r="CS57" s="915">
        <f t="shared" si="98"/>
        <v>0</v>
      </c>
      <c r="CT57" s="915">
        <f t="shared" si="99"/>
        <v>0</v>
      </c>
      <c r="CU57" s="915">
        <f t="shared" si="100"/>
        <v>0</v>
      </c>
      <c r="CV57" s="915">
        <f t="shared" si="101"/>
        <v>0</v>
      </c>
      <c r="CW57" s="915">
        <f t="shared" si="102"/>
        <v>0</v>
      </c>
      <c r="CX57" s="915">
        <f t="shared" si="42"/>
        <v>0</v>
      </c>
      <c r="CY57" s="915">
        <f t="shared" si="43"/>
        <v>0</v>
      </c>
      <c r="CZ57" s="915">
        <f t="shared" si="44"/>
        <v>0</v>
      </c>
      <c r="DA57" s="915">
        <f t="shared" si="45"/>
        <v>0</v>
      </c>
      <c r="DB57" s="915">
        <f t="shared" si="46"/>
        <v>0</v>
      </c>
      <c r="DC57" s="915">
        <f t="shared" si="47"/>
        <v>0</v>
      </c>
      <c r="DD57" s="915">
        <f t="shared" si="48"/>
        <v>0</v>
      </c>
      <c r="DE57" s="915">
        <f t="shared" si="49"/>
        <v>0</v>
      </c>
      <c r="DF57" s="915">
        <f t="shared" si="50"/>
        <v>0</v>
      </c>
      <c r="DG57" s="915">
        <f t="shared" si="51"/>
        <v>0</v>
      </c>
      <c r="DH57" s="915">
        <f t="shared" si="103"/>
        <v>0</v>
      </c>
      <c r="DI57" s="915">
        <f t="shared" si="104"/>
        <v>0</v>
      </c>
      <c r="DJ57" s="915">
        <f t="shared" si="105"/>
        <v>0</v>
      </c>
      <c r="DK57" s="915">
        <f t="shared" si="106"/>
        <v>0</v>
      </c>
      <c r="DL57" s="915">
        <f t="shared" si="107"/>
        <v>0</v>
      </c>
      <c r="DM57" s="915">
        <f t="shared" si="108"/>
        <v>0</v>
      </c>
      <c r="DN57" s="915">
        <f t="shared" si="109"/>
        <v>0</v>
      </c>
      <c r="DO57" s="915">
        <f t="shared" si="110"/>
        <v>0</v>
      </c>
      <c r="DP57" s="915">
        <f t="shared" si="111"/>
        <v>0</v>
      </c>
      <c r="DQ57" s="915">
        <f t="shared" si="112"/>
        <v>0</v>
      </c>
      <c r="DR57" s="915">
        <f t="shared" si="52"/>
        <v>0</v>
      </c>
      <c r="DS57" s="915">
        <f t="shared" si="53"/>
        <v>0</v>
      </c>
      <c r="DT57" s="915">
        <f t="shared" si="54"/>
        <v>0</v>
      </c>
      <c r="DU57" s="915">
        <f t="shared" si="55"/>
        <v>0</v>
      </c>
      <c r="DV57" s="915">
        <f t="shared" si="56"/>
        <v>0</v>
      </c>
      <c r="DW57" s="915">
        <f t="shared" si="57"/>
        <v>0</v>
      </c>
      <c r="DX57" s="915">
        <f t="shared" si="58"/>
        <v>0</v>
      </c>
      <c r="DY57" s="915">
        <f t="shared" si="59"/>
        <v>0</v>
      </c>
      <c r="DZ57" s="915">
        <f t="shared" si="60"/>
        <v>0</v>
      </c>
      <c r="EA57" s="915">
        <f t="shared" si="61"/>
        <v>0</v>
      </c>
      <c r="EB57" s="915">
        <f t="shared" si="113"/>
        <v>0</v>
      </c>
      <c r="EC57" s="915">
        <f t="shared" si="114"/>
        <v>0</v>
      </c>
      <c r="ED57" s="915">
        <f t="shared" si="115"/>
        <v>0</v>
      </c>
      <c r="EE57" s="915">
        <f t="shared" si="116"/>
        <v>0</v>
      </c>
      <c r="EF57" s="915">
        <f t="shared" si="117"/>
        <v>0</v>
      </c>
      <c r="EG57" s="915">
        <f t="shared" si="118"/>
        <v>0</v>
      </c>
      <c r="EH57" s="915">
        <f t="shared" si="119"/>
        <v>0</v>
      </c>
      <c r="EI57" s="915">
        <f t="shared" si="120"/>
        <v>0</v>
      </c>
      <c r="EJ57" s="915">
        <f t="shared" si="121"/>
        <v>0</v>
      </c>
      <c r="EK57" s="915">
        <f t="shared" si="122"/>
        <v>0</v>
      </c>
      <c r="EL57" s="915"/>
      <c r="EN57" s="533"/>
      <c r="EQ57" s="534"/>
    </row>
    <row r="58" spans="1:147" ht="14.1" customHeight="1" x14ac:dyDescent="0.2">
      <c r="A58" s="496">
        <v>51</v>
      </c>
      <c r="B58" s="1419"/>
      <c r="C58" s="1420"/>
      <c r="D58" s="264">
        <v>11</v>
      </c>
      <c r="E58" s="264" t="s">
        <v>515</v>
      </c>
      <c r="F58" s="270" t="s">
        <v>2544</v>
      </c>
      <c r="G58" s="271">
        <v>1</v>
      </c>
      <c r="H58" s="803">
        <v>10</v>
      </c>
      <c r="I58" s="800">
        <f t="shared" si="129"/>
        <v>0.6</v>
      </c>
      <c r="J58" s="269">
        <f t="shared" si="130"/>
        <v>10.6</v>
      </c>
      <c r="K58" s="225"/>
      <c r="L58" s="941" t="str">
        <f>TabName11 &amp; " - SOLID"</f>
        <v>Phase 11 - SOLID</v>
      </c>
      <c r="M58" s="942">
        <f>BT6</f>
        <v>10.6</v>
      </c>
      <c r="N58" s="949"/>
      <c r="V58" s="915">
        <f t="shared" si="3"/>
        <v>0</v>
      </c>
      <c r="W58" s="915">
        <f t="shared" si="4"/>
        <v>0</v>
      </c>
      <c r="X58" s="915">
        <f t="shared" si="5"/>
        <v>0</v>
      </c>
      <c r="Y58" s="915">
        <f t="shared" si="6"/>
        <v>0</v>
      </c>
      <c r="Z58" s="915">
        <f t="shared" si="7"/>
        <v>0</v>
      </c>
      <c r="AA58" s="915">
        <f t="shared" si="8"/>
        <v>0</v>
      </c>
      <c r="AB58" s="915">
        <f t="shared" si="9"/>
        <v>0</v>
      </c>
      <c r="AC58" s="915">
        <f t="shared" si="10"/>
        <v>0</v>
      </c>
      <c r="AD58" s="915">
        <f t="shared" si="11"/>
        <v>0</v>
      </c>
      <c r="AE58" s="915">
        <f t="shared" si="12"/>
        <v>0</v>
      </c>
      <c r="AF58" s="915">
        <f t="shared" si="63"/>
        <v>0</v>
      </c>
      <c r="AG58" s="915">
        <f t="shared" si="64"/>
        <v>0</v>
      </c>
      <c r="AH58" s="915">
        <f t="shared" si="65"/>
        <v>0</v>
      </c>
      <c r="AI58" s="915">
        <f t="shared" si="66"/>
        <v>0</v>
      </c>
      <c r="AJ58" s="915">
        <f t="shared" si="67"/>
        <v>0</v>
      </c>
      <c r="AK58" s="915">
        <f t="shared" si="68"/>
        <v>0</v>
      </c>
      <c r="AL58" s="915">
        <f t="shared" si="69"/>
        <v>0</v>
      </c>
      <c r="AM58" s="915">
        <f t="shared" si="70"/>
        <v>0</v>
      </c>
      <c r="AN58" s="915">
        <f t="shared" si="71"/>
        <v>0</v>
      </c>
      <c r="AO58" s="915">
        <f t="shared" si="72"/>
        <v>0</v>
      </c>
      <c r="AP58" s="915">
        <f t="shared" si="13"/>
        <v>0</v>
      </c>
      <c r="AQ58" s="915">
        <f t="shared" si="14"/>
        <v>0</v>
      </c>
      <c r="AR58" s="915">
        <f t="shared" si="15"/>
        <v>0</v>
      </c>
      <c r="AS58" s="915">
        <f t="shared" si="16"/>
        <v>0</v>
      </c>
      <c r="AT58" s="915">
        <f t="shared" si="17"/>
        <v>0</v>
      </c>
      <c r="AU58" s="915">
        <f t="shared" si="18"/>
        <v>0</v>
      </c>
      <c r="AV58" s="915">
        <f t="shared" si="19"/>
        <v>0</v>
      </c>
      <c r="AW58" s="915">
        <f t="shared" si="20"/>
        <v>0</v>
      </c>
      <c r="AX58" s="915">
        <f t="shared" si="21"/>
        <v>0</v>
      </c>
      <c r="AY58" s="915">
        <f t="shared" si="73"/>
        <v>0</v>
      </c>
      <c r="AZ58" s="915">
        <f t="shared" si="74"/>
        <v>0</v>
      </c>
      <c r="BA58" s="915">
        <f t="shared" si="75"/>
        <v>0</v>
      </c>
      <c r="BB58" s="915">
        <f t="shared" si="76"/>
        <v>0</v>
      </c>
      <c r="BC58" s="915">
        <f t="shared" si="77"/>
        <v>0</v>
      </c>
      <c r="BD58" s="915">
        <f t="shared" si="78"/>
        <v>0</v>
      </c>
      <c r="BE58" s="915">
        <f t="shared" si="79"/>
        <v>0</v>
      </c>
      <c r="BF58" s="915">
        <f t="shared" si="80"/>
        <v>0</v>
      </c>
      <c r="BG58" s="915">
        <f t="shared" si="81"/>
        <v>0</v>
      </c>
      <c r="BH58" s="915">
        <f t="shared" si="82"/>
        <v>0</v>
      </c>
      <c r="BI58" s="915">
        <f t="shared" si="83"/>
        <v>0</v>
      </c>
      <c r="BJ58" s="915">
        <f t="shared" si="22"/>
        <v>0</v>
      </c>
      <c r="BK58" s="915">
        <f t="shared" si="23"/>
        <v>0</v>
      </c>
      <c r="BL58" s="915">
        <f t="shared" si="24"/>
        <v>0</v>
      </c>
      <c r="BM58" s="915">
        <f t="shared" si="25"/>
        <v>0</v>
      </c>
      <c r="BN58" s="915">
        <f t="shared" si="26"/>
        <v>0</v>
      </c>
      <c r="BO58" s="915">
        <f t="shared" si="27"/>
        <v>0</v>
      </c>
      <c r="BP58" s="915">
        <f t="shared" si="28"/>
        <v>0</v>
      </c>
      <c r="BQ58" s="915">
        <f t="shared" si="29"/>
        <v>0</v>
      </c>
      <c r="BR58" s="915">
        <f t="shared" si="30"/>
        <v>0</v>
      </c>
      <c r="BS58" s="915">
        <f t="shared" si="31"/>
        <v>0</v>
      </c>
      <c r="BT58" s="915">
        <f t="shared" si="128"/>
        <v>0</v>
      </c>
      <c r="BU58" s="915">
        <f t="shared" si="128"/>
        <v>0</v>
      </c>
      <c r="BV58" s="915">
        <f t="shared" si="85"/>
        <v>0</v>
      </c>
      <c r="BW58" s="915">
        <f t="shared" si="86"/>
        <v>0</v>
      </c>
      <c r="BX58" s="915">
        <f t="shared" si="87"/>
        <v>0</v>
      </c>
      <c r="BY58" s="915">
        <f t="shared" si="88"/>
        <v>0</v>
      </c>
      <c r="BZ58" s="915">
        <f t="shared" si="89"/>
        <v>0</v>
      </c>
      <c r="CA58" s="915">
        <f t="shared" si="90"/>
        <v>0</v>
      </c>
      <c r="CB58" s="915">
        <f t="shared" si="91"/>
        <v>0</v>
      </c>
      <c r="CC58" s="915">
        <f t="shared" si="92"/>
        <v>0</v>
      </c>
      <c r="CD58" s="915">
        <f t="shared" si="32"/>
        <v>0</v>
      </c>
      <c r="CE58" s="915">
        <f t="shared" si="33"/>
        <v>0</v>
      </c>
      <c r="CF58" s="915">
        <f t="shared" si="34"/>
        <v>0</v>
      </c>
      <c r="CG58" s="915">
        <f t="shared" si="35"/>
        <v>0</v>
      </c>
      <c r="CH58" s="915">
        <f t="shared" si="36"/>
        <v>0</v>
      </c>
      <c r="CI58" s="915">
        <f t="shared" si="37"/>
        <v>0</v>
      </c>
      <c r="CJ58" s="915">
        <f t="shared" si="38"/>
        <v>0</v>
      </c>
      <c r="CK58" s="915">
        <f t="shared" si="39"/>
        <v>0</v>
      </c>
      <c r="CL58" s="915">
        <f t="shared" si="40"/>
        <v>0</v>
      </c>
      <c r="CM58" s="915">
        <f t="shared" si="41"/>
        <v>0</v>
      </c>
      <c r="CN58" s="915">
        <f t="shared" si="93"/>
        <v>0</v>
      </c>
      <c r="CO58" s="915">
        <f t="shared" si="94"/>
        <v>0</v>
      </c>
      <c r="CP58" s="915">
        <f t="shared" si="95"/>
        <v>0</v>
      </c>
      <c r="CQ58" s="915">
        <f t="shared" si="96"/>
        <v>0</v>
      </c>
      <c r="CR58" s="915">
        <f t="shared" si="97"/>
        <v>0</v>
      </c>
      <c r="CS58" s="915">
        <f t="shared" si="98"/>
        <v>0</v>
      </c>
      <c r="CT58" s="915">
        <f t="shared" si="99"/>
        <v>0</v>
      </c>
      <c r="CU58" s="915">
        <f t="shared" si="100"/>
        <v>0</v>
      </c>
      <c r="CV58" s="915">
        <f t="shared" si="101"/>
        <v>0</v>
      </c>
      <c r="CW58" s="915">
        <f t="shared" si="102"/>
        <v>0</v>
      </c>
      <c r="CX58" s="915">
        <f t="shared" si="42"/>
        <v>0</v>
      </c>
      <c r="CY58" s="915">
        <f t="shared" si="43"/>
        <v>0</v>
      </c>
      <c r="CZ58" s="915">
        <f t="shared" si="44"/>
        <v>0</v>
      </c>
      <c r="DA58" s="915">
        <f t="shared" si="45"/>
        <v>0</v>
      </c>
      <c r="DB58" s="915">
        <f t="shared" si="46"/>
        <v>0</v>
      </c>
      <c r="DC58" s="915">
        <f t="shared" si="47"/>
        <v>0</v>
      </c>
      <c r="DD58" s="915">
        <f t="shared" si="48"/>
        <v>0</v>
      </c>
      <c r="DE58" s="915">
        <f t="shared" si="49"/>
        <v>0</v>
      </c>
      <c r="DF58" s="915">
        <f t="shared" si="50"/>
        <v>0</v>
      </c>
      <c r="DG58" s="915">
        <f t="shared" si="51"/>
        <v>0</v>
      </c>
      <c r="DH58" s="915">
        <f t="shared" si="103"/>
        <v>0</v>
      </c>
      <c r="DI58" s="915">
        <f t="shared" si="104"/>
        <v>0</v>
      </c>
      <c r="DJ58" s="915">
        <f t="shared" si="105"/>
        <v>0</v>
      </c>
      <c r="DK58" s="915">
        <f t="shared" si="106"/>
        <v>0</v>
      </c>
      <c r="DL58" s="915">
        <f t="shared" si="107"/>
        <v>0</v>
      </c>
      <c r="DM58" s="915">
        <f t="shared" si="108"/>
        <v>0</v>
      </c>
      <c r="DN58" s="915">
        <f t="shared" si="109"/>
        <v>0</v>
      </c>
      <c r="DO58" s="915">
        <f t="shared" si="110"/>
        <v>0</v>
      </c>
      <c r="DP58" s="915">
        <f t="shared" si="111"/>
        <v>0</v>
      </c>
      <c r="DQ58" s="915">
        <f t="shared" si="112"/>
        <v>0</v>
      </c>
      <c r="DR58" s="915">
        <f t="shared" si="52"/>
        <v>0</v>
      </c>
      <c r="DS58" s="915">
        <f t="shared" si="53"/>
        <v>0</v>
      </c>
      <c r="DT58" s="915">
        <f t="shared" si="54"/>
        <v>0</v>
      </c>
      <c r="DU58" s="915">
        <f t="shared" si="55"/>
        <v>0</v>
      </c>
      <c r="DV58" s="915">
        <f t="shared" si="56"/>
        <v>0</v>
      </c>
      <c r="DW58" s="915">
        <f t="shared" si="57"/>
        <v>0</v>
      </c>
      <c r="DX58" s="915">
        <f t="shared" si="58"/>
        <v>0</v>
      </c>
      <c r="DY58" s="915">
        <f t="shared" si="59"/>
        <v>0</v>
      </c>
      <c r="DZ58" s="915">
        <f t="shared" si="60"/>
        <v>0</v>
      </c>
      <c r="EA58" s="915">
        <f t="shared" ref="EA58:EA121" si="131">IF(AND($D58=$P$17,$E58=$R$13),$J58,0)</f>
        <v>0</v>
      </c>
      <c r="EB58" s="915">
        <f t="shared" si="113"/>
        <v>0</v>
      </c>
      <c r="EC58" s="915">
        <f t="shared" si="114"/>
        <v>0</v>
      </c>
      <c r="ED58" s="915">
        <f t="shared" si="115"/>
        <v>0</v>
      </c>
      <c r="EE58" s="915">
        <f t="shared" si="116"/>
        <v>0</v>
      </c>
      <c r="EF58" s="915">
        <f t="shared" si="117"/>
        <v>0</v>
      </c>
      <c r="EG58" s="915">
        <f t="shared" si="118"/>
        <v>0</v>
      </c>
      <c r="EH58" s="915">
        <f t="shared" si="119"/>
        <v>0</v>
      </c>
      <c r="EI58" s="915">
        <f t="shared" si="120"/>
        <v>0</v>
      </c>
      <c r="EJ58" s="915">
        <f t="shared" si="121"/>
        <v>0</v>
      </c>
      <c r="EK58" s="915">
        <f t="shared" si="122"/>
        <v>0</v>
      </c>
      <c r="EL58" s="915"/>
      <c r="EN58" s="533"/>
      <c r="EQ58" s="534"/>
    </row>
    <row r="59" spans="1:147" ht="14.1" customHeight="1" x14ac:dyDescent="0.2">
      <c r="A59" s="1026">
        <v>52</v>
      </c>
      <c r="B59" s="1005"/>
      <c r="C59" s="1008"/>
      <c r="D59" s="1020">
        <v>12</v>
      </c>
      <c r="E59" s="138" t="s">
        <v>515</v>
      </c>
      <c r="F59" s="139" t="s">
        <v>2544</v>
      </c>
      <c r="G59" s="91">
        <v>1</v>
      </c>
      <c r="H59" s="1022">
        <v>10</v>
      </c>
      <c r="I59" s="801">
        <f t="shared" si="129"/>
        <v>0.6</v>
      </c>
      <c r="J59" s="1021">
        <f t="shared" si="130"/>
        <v>10.6</v>
      </c>
      <c r="K59" s="225"/>
      <c r="L59" s="941" t="str">
        <f>TabName12 &amp; " - SOLID"</f>
        <v>Phase 12 - SOLID</v>
      </c>
      <c r="M59" s="942">
        <f>BU6</f>
        <v>10.6</v>
      </c>
      <c r="N59" s="949"/>
      <c r="V59" s="915">
        <f t="shared" si="3"/>
        <v>0</v>
      </c>
      <c r="W59" s="915">
        <f t="shared" si="4"/>
        <v>0</v>
      </c>
      <c r="X59" s="915">
        <f t="shared" si="5"/>
        <v>0</v>
      </c>
      <c r="Y59" s="915">
        <f t="shared" si="6"/>
        <v>0</v>
      </c>
      <c r="Z59" s="915">
        <f t="shared" si="7"/>
        <v>0</v>
      </c>
      <c r="AA59" s="915">
        <f t="shared" si="8"/>
        <v>0</v>
      </c>
      <c r="AB59" s="915">
        <f t="shared" si="9"/>
        <v>0</v>
      </c>
      <c r="AC59" s="915">
        <f t="shared" si="10"/>
        <v>0</v>
      </c>
      <c r="AD59" s="915">
        <f t="shared" si="11"/>
        <v>0</v>
      </c>
      <c r="AE59" s="915">
        <f t="shared" si="12"/>
        <v>0</v>
      </c>
      <c r="AF59" s="915">
        <f t="shared" si="63"/>
        <v>0</v>
      </c>
      <c r="AG59" s="915">
        <f t="shared" si="64"/>
        <v>0</v>
      </c>
      <c r="AH59" s="915">
        <f t="shared" si="65"/>
        <v>0</v>
      </c>
      <c r="AI59" s="915">
        <f t="shared" si="66"/>
        <v>0</v>
      </c>
      <c r="AJ59" s="915">
        <f t="shared" si="67"/>
        <v>0</v>
      </c>
      <c r="AK59" s="915">
        <f t="shared" si="68"/>
        <v>0</v>
      </c>
      <c r="AL59" s="915">
        <f t="shared" si="69"/>
        <v>0</v>
      </c>
      <c r="AM59" s="915">
        <f t="shared" si="70"/>
        <v>0</v>
      </c>
      <c r="AN59" s="915">
        <f t="shared" si="71"/>
        <v>0</v>
      </c>
      <c r="AO59" s="915">
        <f t="shared" si="72"/>
        <v>0</v>
      </c>
      <c r="AP59" s="915">
        <f t="shared" si="13"/>
        <v>0</v>
      </c>
      <c r="AQ59" s="915">
        <f t="shared" si="14"/>
        <v>0</v>
      </c>
      <c r="AR59" s="915">
        <f t="shared" si="15"/>
        <v>0</v>
      </c>
      <c r="AS59" s="915">
        <f t="shared" si="16"/>
        <v>0</v>
      </c>
      <c r="AT59" s="915">
        <f t="shared" si="17"/>
        <v>0</v>
      </c>
      <c r="AU59" s="915">
        <f t="shared" si="18"/>
        <v>0</v>
      </c>
      <c r="AV59" s="915">
        <f t="shared" si="19"/>
        <v>0</v>
      </c>
      <c r="AW59" s="915">
        <f t="shared" si="20"/>
        <v>0</v>
      </c>
      <c r="AX59" s="915">
        <f t="shared" si="21"/>
        <v>0</v>
      </c>
      <c r="AY59" s="915">
        <f t="shared" si="73"/>
        <v>0</v>
      </c>
      <c r="AZ59" s="915">
        <f t="shared" si="74"/>
        <v>0</v>
      </c>
      <c r="BA59" s="915">
        <f t="shared" si="75"/>
        <v>0</v>
      </c>
      <c r="BB59" s="915">
        <f t="shared" si="76"/>
        <v>0</v>
      </c>
      <c r="BC59" s="915">
        <f t="shared" si="77"/>
        <v>0</v>
      </c>
      <c r="BD59" s="915">
        <f t="shared" si="78"/>
        <v>0</v>
      </c>
      <c r="BE59" s="915">
        <f t="shared" si="79"/>
        <v>0</v>
      </c>
      <c r="BF59" s="915">
        <f t="shared" si="80"/>
        <v>0</v>
      </c>
      <c r="BG59" s="915">
        <f t="shared" si="81"/>
        <v>0</v>
      </c>
      <c r="BH59" s="915">
        <f t="shared" si="82"/>
        <v>0</v>
      </c>
      <c r="BI59" s="915">
        <f t="shared" si="83"/>
        <v>0</v>
      </c>
      <c r="BJ59" s="915">
        <f t="shared" si="22"/>
        <v>0</v>
      </c>
      <c r="BK59" s="915">
        <f t="shared" si="23"/>
        <v>0</v>
      </c>
      <c r="BL59" s="915">
        <f t="shared" si="24"/>
        <v>0</v>
      </c>
      <c r="BM59" s="915">
        <f t="shared" si="25"/>
        <v>0</v>
      </c>
      <c r="BN59" s="915">
        <f t="shared" si="26"/>
        <v>0</v>
      </c>
      <c r="BO59" s="915">
        <f t="shared" si="27"/>
        <v>0</v>
      </c>
      <c r="BP59" s="915">
        <f t="shared" si="28"/>
        <v>0</v>
      </c>
      <c r="BQ59" s="915">
        <f t="shared" si="29"/>
        <v>0</v>
      </c>
      <c r="BR59" s="915">
        <f t="shared" si="30"/>
        <v>0</v>
      </c>
      <c r="BS59" s="915">
        <f t="shared" si="31"/>
        <v>0</v>
      </c>
      <c r="BT59" s="915">
        <f t="shared" si="128"/>
        <v>10.6</v>
      </c>
      <c r="BU59" s="915">
        <f t="shared" si="128"/>
        <v>10.6</v>
      </c>
      <c r="BV59" s="915">
        <f t="shared" si="85"/>
        <v>0</v>
      </c>
      <c r="BW59" s="915">
        <f t="shared" si="86"/>
        <v>0</v>
      </c>
      <c r="BX59" s="915">
        <f t="shared" si="87"/>
        <v>0</v>
      </c>
      <c r="BY59" s="915">
        <f t="shared" si="88"/>
        <v>0</v>
      </c>
      <c r="BZ59" s="915">
        <f t="shared" si="89"/>
        <v>0</v>
      </c>
      <c r="CA59" s="915">
        <f t="shared" si="90"/>
        <v>0</v>
      </c>
      <c r="CB59" s="915">
        <f t="shared" si="91"/>
        <v>0</v>
      </c>
      <c r="CC59" s="915">
        <f t="shared" si="92"/>
        <v>0</v>
      </c>
      <c r="CD59" s="915">
        <f t="shared" si="32"/>
        <v>0</v>
      </c>
      <c r="CE59" s="915">
        <f t="shared" si="33"/>
        <v>0</v>
      </c>
      <c r="CF59" s="915">
        <f t="shared" si="34"/>
        <v>0</v>
      </c>
      <c r="CG59" s="915">
        <f t="shared" si="35"/>
        <v>0</v>
      </c>
      <c r="CH59" s="915">
        <f t="shared" si="36"/>
        <v>0</v>
      </c>
      <c r="CI59" s="915">
        <f t="shared" si="37"/>
        <v>0</v>
      </c>
      <c r="CJ59" s="915">
        <f t="shared" si="38"/>
        <v>0</v>
      </c>
      <c r="CK59" s="915">
        <f t="shared" si="39"/>
        <v>0</v>
      </c>
      <c r="CL59" s="915">
        <f t="shared" si="40"/>
        <v>0</v>
      </c>
      <c r="CM59" s="915">
        <f t="shared" si="41"/>
        <v>0</v>
      </c>
      <c r="CN59" s="915">
        <f t="shared" si="93"/>
        <v>0</v>
      </c>
      <c r="CO59" s="915">
        <f t="shared" si="94"/>
        <v>0</v>
      </c>
      <c r="CP59" s="915">
        <f t="shared" si="95"/>
        <v>0</v>
      </c>
      <c r="CQ59" s="915">
        <f t="shared" si="96"/>
        <v>0</v>
      </c>
      <c r="CR59" s="915">
        <f t="shared" si="97"/>
        <v>0</v>
      </c>
      <c r="CS59" s="915">
        <f t="shared" si="98"/>
        <v>0</v>
      </c>
      <c r="CT59" s="915">
        <f t="shared" si="99"/>
        <v>0</v>
      </c>
      <c r="CU59" s="915">
        <f t="shared" si="100"/>
        <v>0</v>
      </c>
      <c r="CV59" s="915">
        <f t="shared" si="101"/>
        <v>0</v>
      </c>
      <c r="CW59" s="915">
        <f t="shared" si="102"/>
        <v>0</v>
      </c>
      <c r="CX59" s="915">
        <f t="shared" si="42"/>
        <v>0</v>
      </c>
      <c r="CY59" s="915">
        <f t="shared" si="43"/>
        <v>0</v>
      </c>
      <c r="CZ59" s="915">
        <f t="shared" si="44"/>
        <v>0</v>
      </c>
      <c r="DA59" s="915">
        <f t="shared" si="45"/>
        <v>0</v>
      </c>
      <c r="DB59" s="915">
        <f t="shared" si="46"/>
        <v>0</v>
      </c>
      <c r="DC59" s="915">
        <f t="shared" si="47"/>
        <v>0</v>
      </c>
      <c r="DD59" s="915">
        <f t="shared" si="48"/>
        <v>0</v>
      </c>
      <c r="DE59" s="915">
        <f t="shared" si="49"/>
        <v>0</v>
      </c>
      <c r="DF59" s="915">
        <f t="shared" si="50"/>
        <v>0</v>
      </c>
      <c r="DG59" s="915">
        <f t="shared" si="51"/>
        <v>0</v>
      </c>
      <c r="DH59" s="915">
        <f t="shared" si="103"/>
        <v>0</v>
      </c>
      <c r="DI59" s="915">
        <f t="shared" si="104"/>
        <v>0</v>
      </c>
      <c r="DJ59" s="915">
        <f t="shared" si="105"/>
        <v>0</v>
      </c>
      <c r="DK59" s="915">
        <f t="shared" si="106"/>
        <v>0</v>
      </c>
      <c r="DL59" s="915">
        <f t="shared" si="107"/>
        <v>0</v>
      </c>
      <c r="DM59" s="915">
        <f t="shared" si="108"/>
        <v>0</v>
      </c>
      <c r="DN59" s="915">
        <f t="shared" si="109"/>
        <v>0</v>
      </c>
      <c r="DO59" s="915">
        <f t="shared" si="110"/>
        <v>0</v>
      </c>
      <c r="DP59" s="915">
        <f t="shared" si="111"/>
        <v>0</v>
      </c>
      <c r="DQ59" s="915">
        <f t="shared" si="112"/>
        <v>0</v>
      </c>
      <c r="DR59" s="915">
        <f t="shared" si="52"/>
        <v>0</v>
      </c>
      <c r="DS59" s="915">
        <f t="shared" si="53"/>
        <v>0</v>
      </c>
      <c r="DT59" s="915">
        <f t="shared" si="54"/>
        <v>0</v>
      </c>
      <c r="DU59" s="915">
        <f t="shared" si="55"/>
        <v>0</v>
      </c>
      <c r="DV59" s="915">
        <f t="shared" si="56"/>
        <v>0</v>
      </c>
      <c r="DW59" s="915">
        <f t="shared" si="57"/>
        <v>0</v>
      </c>
      <c r="DX59" s="915">
        <f t="shared" si="58"/>
        <v>0</v>
      </c>
      <c r="DY59" s="915">
        <f t="shared" si="59"/>
        <v>0</v>
      </c>
      <c r="DZ59" s="915">
        <f t="shared" si="60"/>
        <v>0</v>
      </c>
      <c r="EA59" s="915">
        <f t="shared" si="131"/>
        <v>0</v>
      </c>
      <c r="EB59" s="915">
        <f t="shared" si="113"/>
        <v>0</v>
      </c>
      <c r="EC59" s="915">
        <f t="shared" si="114"/>
        <v>0</v>
      </c>
      <c r="ED59" s="915">
        <f t="shared" si="115"/>
        <v>0</v>
      </c>
      <c r="EE59" s="915">
        <f t="shared" si="116"/>
        <v>0</v>
      </c>
      <c r="EF59" s="915">
        <f t="shared" si="117"/>
        <v>0</v>
      </c>
      <c r="EG59" s="915">
        <f t="shared" si="118"/>
        <v>0</v>
      </c>
      <c r="EH59" s="915">
        <f t="shared" si="119"/>
        <v>0</v>
      </c>
      <c r="EI59" s="915">
        <f t="shared" si="120"/>
        <v>0</v>
      </c>
      <c r="EJ59" s="915">
        <f t="shared" si="121"/>
        <v>0</v>
      </c>
      <c r="EK59" s="915">
        <f t="shared" si="122"/>
        <v>0</v>
      </c>
      <c r="EL59" s="915"/>
      <c r="EN59" s="533"/>
      <c r="EQ59" s="534"/>
    </row>
    <row r="60" spans="1:147" ht="14.1" customHeight="1" x14ac:dyDescent="0.2">
      <c r="A60" s="496">
        <v>53</v>
      </c>
      <c r="B60" s="1419"/>
      <c r="C60" s="1420"/>
      <c r="D60" s="264">
        <v>13</v>
      </c>
      <c r="E60" s="264" t="s">
        <v>515</v>
      </c>
      <c r="F60" s="270" t="s">
        <v>2544</v>
      </c>
      <c r="G60" s="271">
        <v>1</v>
      </c>
      <c r="H60" s="803">
        <v>10</v>
      </c>
      <c r="I60" s="800">
        <f t="shared" si="129"/>
        <v>0.6</v>
      </c>
      <c r="J60" s="269">
        <f t="shared" si="130"/>
        <v>10.6</v>
      </c>
      <c r="K60" s="225"/>
      <c r="L60" s="941" t="str">
        <f>TabName13 &amp; " - SOLID"</f>
        <v>Phase 13 - SOLID</v>
      </c>
      <c r="M60" s="942">
        <f>BV6</f>
        <v>10.6</v>
      </c>
      <c r="N60" s="949"/>
      <c r="V60" s="915">
        <f t="shared" si="3"/>
        <v>0</v>
      </c>
      <c r="W60" s="915">
        <f t="shared" si="4"/>
        <v>0</v>
      </c>
      <c r="X60" s="915">
        <f t="shared" si="5"/>
        <v>0</v>
      </c>
      <c r="Y60" s="915">
        <f t="shared" si="6"/>
        <v>0</v>
      </c>
      <c r="Z60" s="915">
        <f t="shared" si="7"/>
        <v>0</v>
      </c>
      <c r="AA60" s="915">
        <f t="shared" si="8"/>
        <v>0</v>
      </c>
      <c r="AB60" s="915">
        <f t="shared" si="9"/>
        <v>0</v>
      </c>
      <c r="AC60" s="915">
        <f t="shared" si="10"/>
        <v>0</v>
      </c>
      <c r="AD60" s="915">
        <f t="shared" si="11"/>
        <v>0</v>
      </c>
      <c r="AE60" s="915">
        <f t="shared" si="12"/>
        <v>0</v>
      </c>
      <c r="AF60" s="915">
        <f t="shared" si="63"/>
        <v>0</v>
      </c>
      <c r="AG60" s="915">
        <f t="shared" si="64"/>
        <v>0</v>
      </c>
      <c r="AH60" s="915">
        <f t="shared" si="65"/>
        <v>0</v>
      </c>
      <c r="AI60" s="915">
        <f t="shared" si="66"/>
        <v>0</v>
      </c>
      <c r="AJ60" s="915">
        <f t="shared" si="67"/>
        <v>0</v>
      </c>
      <c r="AK60" s="915">
        <f t="shared" si="68"/>
        <v>0</v>
      </c>
      <c r="AL60" s="915">
        <f t="shared" si="69"/>
        <v>0</v>
      </c>
      <c r="AM60" s="915">
        <f t="shared" si="70"/>
        <v>0</v>
      </c>
      <c r="AN60" s="915">
        <f t="shared" si="71"/>
        <v>0</v>
      </c>
      <c r="AO60" s="915">
        <f t="shared" si="72"/>
        <v>0</v>
      </c>
      <c r="AP60" s="915">
        <f t="shared" si="13"/>
        <v>0</v>
      </c>
      <c r="AQ60" s="915">
        <f t="shared" si="14"/>
        <v>0</v>
      </c>
      <c r="AR60" s="915">
        <f t="shared" si="15"/>
        <v>0</v>
      </c>
      <c r="AS60" s="915">
        <f t="shared" si="16"/>
        <v>0</v>
      </c>
      <c r="AT60" s="915">
        <f t="shared" si="17"/>
        <v>0</v>
      </c>
      <c r="AU60" s="915">
        <f t="shared" si="18"/>
        <v>0</v>
      </c>
      <c r="AV60" s="915">
        <f t="shared" si="19"/>
        <v>0</v>
      </c>
      <c r="AW60" s="915">
        <f t="shared" si="20"/>
        <v>0</v>
      </c>
      <c r="AX60" s="915">
        <f t="shared" si="21"/>
        <v>0</v>
      </c>
      <c r="AY60" s="915">
        <f t="shared" si="73"/>
        <v>0</v>
      </c>
      <c r="AZ60" s="915">
        <f t="shared" si="74"/>
        <v>0</v>
      </c>
      <c r="BA60" s="915">
        <f t="shared" si="75"/>
        <v>0</v>
      </c>
      <c r="BB60" s="915">
        <f t="shared" si="76"/>
        <v>0</v>
      </c>
      <c r="BC60" s="915">
        <f t="shared" si="77"/>
        <v>0</v>
      </c>
      <c r="BD60" s="915">
        <f t="shared" si="78"/>
        <v>0</v>
      </c>
      <c r="BE60" s="915">
        <f t="shared" si="79"/>
        <v>0</v>
      </c>
      <c r="BF60" s="915">
        <f t="shared" si="80"/>
        <v>0</v>
      </c>
      <c r="BG60" s="915">
        <f t="shared" si="81"/>
        <v>0</v>
      </c>
      <c r="BH60" s="915">
        <f t="shared" si="82"/>
        <v>0</v>
      </c>
      <c r="BI60" s="915">
        <f t="shared" si="83"/>
        <v>0</v>
      </c>
      <c r="BJ60" s="915">
        <f t="shared" si="22"/>
        <v>0</v>
      </c>
      <c r="BK60" s="915">
        <f t="shared" si="23"/>
        <v>0</v>
      </c>
      <c r="BL60" s="915">
        <f t="shared" si="24"/>
        <v>0</v>
      </c>
      <c r="BM60" s="915">
        <f t="shared" si="25"/>
        <v>0</v>
      </c>
      <c r="BN60" s="915">
        <f t="shared" si="26"/>
        <v>0</v>
      </c>
      <c r="BO60" s="915">
        <f t="shared" si="27"/>
        <v>0</v>
      </c>
      <c r="BP60" s="915">
        <f t="shared" si="28"/>
        <v>0</v>
      </c>
      <c r="BQ60" s="915">
        <f t="shared" si="29"/>
        <v>0</v>
      </c>
      <c r="BR60" s="915">
        <f t="shared" si="30"/>
        <v>0</v>
      </c>
      <c r="BS60" s="915">
        <f t="shared" si="31"/>
        <v>0</v>
      </c>
      <c r="BT60" s="915">
        <f t="shared" si="128"/>
        <v>0</v>
      </c>
      <c r="BU60" s="915">
        <f t="shared" si="128"/>
        <v>0</v>
      </c>
      <c r="BV60" s="915">
        <f t="shared" si="85"/>
        <v>10.6</v>
      </c>
      <c r="BW60" s="915">
        <f t="shared" si="86"/>
        <v>0</v>
      </c>
      <c r="BX60" s="915">
        <f t="shared" si="87"/>
        <v>0</v>
      </c>
      <c r="BY60" s="915">
        <f t="shared" si="88"/>
        <v>0</v>
      </c>
      <c r="BZ60" s="915">
        <f t="shared" si="89"/>
        <v>0</v>
      </c>
      <c r="CA60" s="915">
        <f t="shared" si="90"/>
        <v>0</v>
      </c>
      <c r="CB60" s="915">
        <f t="shared" si="91"/>
        <v>0</v>
      </c>
      <c r="CC60" s="915">
        <f t="shared" si="92"/>
        <v>0</v>
      </c>
      <c r="CD60" s="915">
        <f t="shared" si="32"/>
        <v>0</v>
      </c>
      <c r="CE60" s="915">
        <f t="shared" si="33"/>
        <v>0</v>
      </c>
      <c r="CF60" s="915">
        <f t="shared" si="34"/>
        <v>0</v>
      </c>
      <c r="CG60" s="915">
        <f t="shared" si="35"/>
        <v>0</v>
      </c>
      <c r="CH60" s="915">
        <f t="shared" si="36"/>
        <v>0</v>
      </c>
      <c r="CI60" s="915">
        <f t="shared" si="37"/>
        <v>0</v>
      </c>
      <c r="CJ60" s="915">
        <f t="shared" si="38"/>
        <v>0</v>
      </c>
      <c r="CK60" s="915">
        <f t="shared" si="39"/>
        <v>0</v>
      </c>
      <c r="CL60" s="915">
        <f t="shared" si="40"/>
        <v>0</v>
      </c>
      <c r="CM60" s="915">
        <f t="shared" si="41"/>
        <v>0</v>
      </c>
      <c r="CN60" s="915">
        <f t="shared" si="93"/>
        <v>0</v>
      </c>
      <c r="CO60" s="915">
        <f t="shared" si="94"/>
        <v>0</v>
      </c>
      <c r="CP60" s="915">
        <f t="shared" si="95"/>
        <v>0</v>
      </c>
      <c r="CQ60" s="915">
        <f t="shared" si="96"/>
        <v>0</v>
      </c>
      <c r="CR60" s="915">
        <f t="shared" si="97"/>
        <v>0</v>
      </c>
      <c r="CS60" s="915">
        <f t="shared" si="98"/>
        <v>0</v>
      </c>
      <c r="CT60" s="915">
        <f t="shared" si="99"/>
        <v>0</v>
      </c>
      <c r="CU60" s="915">
        <f t="shared" si="100"/>
        <v>0</v>
      </c>
      <c r="CV60" s="915">
        <f t="shared" si="101"/>
        <v>0</v>
      </c>
      <c r="CW60" s="915">
        <f t="shared" si="102"/>
        <v>0</v>
      </c>
      <c r="CX60" s="915">
        <f t="shared" si="42"/>
        <v>0</v>
      </c>
      <c r="CY60" s="915">
        <f t="shared" si="43"/>
        <v>0</v>
      </c>
      <c r="CZ60" s="915">
        <f t="shared" si="44"/>
        <v>0</v>
      </c>
      <c r="DA60" s="915">
        <f t="shared" si="45"/>
        <v>0</v>
      </c>
      <c r="DB60" s="915">
        <f t="shared" si="46"/>
        <v>0</v>
      </c>
      <c r="DC60" s="915">
        <f t="shared" si="47"/>
        <v>0</v>
      </c>
      <c r="DD60" s="915">
        <f t="shared" si="48"/>
        <v>0</v>
      </c>
      <c r="DE60" s="915">
        <f t="shared" si="49"/>
        <v>0</v>
      </c>
      <c r="DF60" s="915">
        <f t="shared" si="50"/>
        <v>0</v>
      </c>
      <c r="DG60" s="915">
        <f t="shared" si="51"/>
        <v>0</v>
      </c>
      <c r="DH60" s="915">
        <f t="shared" si="103"/>
        <v>0</v>
      </c>
      <c r="DI60" s="915">
        <f t="shared" si="104"/>
        <v>0</v>
      </c>
      <c r="DJ60" s="915">
        <f t="shared" si="105"/>
        <v>0</v>
      </c>
      <c r="DK60" s="915">
        <f t="shared" si="106"/>
        <v>0</v>
      </c>
      <c r="DL60" s="915">
        <f t="shared" si="107"/>
        <v>0</v>
      </c>
      <c r="DM60" s="915">
        <f t="shared" si="108"/>
        <v>0</v>
      </c>
      <c r="DN60" s="915">
        <f t="shared" si="109"/>
        <v>0</v>
      </c>
      <c r="DO60" s="915">
        <f t="shared" si="110"/>
        <v>0</v>
      </c>
      <c r="DP60" s="915">
        <f t="shared" si="111"/>
        <v>0</v>
      </c>
      <c r="DQ60" s="915">
        <f t="shared" si="112"/>
        <v>0</v>
      </c>
      <c r="DR60" s="915">
        <f t="shared" si="52"/>
        <v>0</v>
      </c>
      <c r="DS60" s="915">
        <f t="shared" si="53"/>
        <v>0</v>
      </c>
      <c r="DT60" s="915">
        <f t="shared" si="54"/>
        <v>0</v>
      </c>
      <c r="DU60" s="915">
        <f t="shared" si="55"/>
        <v>0</v>
      </c>
      <c r="DV60" s="915">
        <f t="shared" si="56"/>
        <v>0</v>
      </c>
      <c r="DW60" s="915">
        <f t="shared" si="57"/>
        <v>0</v>
      </c>
      <c r="DX60" s="915">
        <f t="shared" si="58"/>
        <v>0</v>
      </c>
      <c r="DY60" s="915">
        <f t="shared" si="59"/>
        <v>0</v>
      </c>
      <c r="DZ60" s="915">
        <f t="shared" si="60"/>
        <v>0</v>
      </c>
      <c r="EA60" s="915">
        <f t="shared" si="131"/>
        <v>0</v>
      </c>
      <c r="EB60" s="915">
        <f t="shared" si="113"/>
        <v>0</v>
      </c>
      <c r="EC60" s="915">
        <f t="shared" si="114"/>
        <v>0</v>
      </c>
      <c r="ED60" s="915">
        <f t="shared" si="115"/>
        <v>0</v>
      </c>
      <c r="EE60" s="915">
        <f t="shared" si="116"/>
        <v>0</v>
      </c>
      <c r="EF60" s="915">
        <f t="shared" si="117"/>
        <v>0</v>
      </c>
      <c r="EG60" s="915">
        <f t="shared" si="118"/>
        <v>0</v>
      </c>
      <c r="EH60" s="915">
        <f t="shared" si="119"/>
        <v>0</v>
      </c>
      <c r="EI60" s="915">
        <f t="shared" si="120"/>
        <v>0</v>
      </c>
      <c r="EJ60" s="915">
        <f t="shared" si="121"/>
        <v>0</v>
      </c>
      <c r="EK60" s="915">
        <f t="shared" si="122"/>
        <v>0</v>
      </c>
      <c r="EL60" s="915"/>
      <c r="EN60" s="533"/>
      <c r="EQ60" s="534"/>
    </row>
    <row r="61" spans="1:147" ht="14.1" customHeight="1" x14ac:dyDescent="0.2">
      <c r="A61" s="1026">
        <v>54</v>
      </c>
      <c r="B61" s="1005"/>
      <c r="C61" s="1008"/>
      <c r="D61" s="138">
        <v>14</v>
      </c>
      <c r="E61" s="138" t="s">
        <v>515</v>
      </c>
      <c r="F61" s="139" t="s">
        <v>2544</v>
      </c>
      <c r="G61" s="91">
        <v>1</v>
      </c>
      <c r="H61" s="1022">
        <v>10</v>
      </c>
      <c r="I61" s="801">
        <f t="shared" si="129"/>
        <v>0.6</v>
      </c>
      <c r="J61" s="1021">
        <f t="shared" si="130"/>
        <v>10.6</v>
      </c>
      <c r="K61" s="225"/>
      <c r="L61" s="941" t="str">
        <f>TabName14 &amp; " - SOLID"</f>
        <v>Phase 14 - SOLID</v>
      </c>
      <c r="M61" s="942">
        <f>BW6</f>
        <v>10.6</v>
      </c>
      <c r="N61" s="949"/>
      <c r="V61" s="915">
        <f t="shared" si="3"/>
        <v>0</v>
      </c>
      <c r="W61" s="915">
        <f t="shared" si="4"/>
        <v>0</v>
      </c>
      <c r="X61" s="915">
        <f t="shared" si="5"/>
        <v>0</v>
      </c>
      <c r="Y61" s="915">
        <f t="shared" si="6"/>
        <v>0</v>
      </c>
      <c r="Z61" s="915">
        <f t="shared" si="7"/>
        <v>0</v>
      </c>
      <c r="AA61" s="915">
        <f t="shared" si="8"/>
        <v>0</v>
      </c>
      <c r="AB61" s="915">
        <f t="shared" si="9"/>
        <v>0</v>
      </c>
      <c r="AC61" s="915">
        <f t="shared" si="10"/>
        <v>0</v>
      </c>
      <c r="AD61" s="915">
        <f t="shared" si="11"/>
        <v>0</v>
      </c>
      <c r="AE61" s="915">
        <f t="shared" si="12"/>
        <v>0</v>
      </c>
      <c r="AF61" s="915">
        <f t="shared" si="63"/>
        <v>0</v>
      </c>
      <c r="AG61" s="915">
        <f t="shared" si="64"/>
        <v>0</v>
      </c>
      <c r="AH61" s="915">
        <f t="shared" si="65"/>
        <v>0</v>
      </c>
      <c r="AI61" s="915">
        <f t="shared" si="66"/>
        <v>0</v>
      </c>
      <c r="AJ61" s="915">
        <f t="shared" si="67"/>
        <v>0</v>
      </c>
      <c r="AK61" s="915">
        <f t="shared" si="68"/>
        <v>0</v>
      </c>
      <c r="AL61" s="915">
        <f t="shared" si="69"/>
        <v>0</v>
      </c>
      <c r="AM61" s="915">
        <f t="shared" si="70"/>
        <v>0</v>
      </c>
      <c r="AN61" s="915">
        <f t="shared" si="71"/>
        <v>0</v>
      </c>
      <c r="AO61" s="915">
        <f t="shared" si="72"/>
        <v>0</v>
      </c>
      <c r="AP61" s="915">
        <f t="shared" si="13"/>
        <v>0</v>
      </c>
      <c r="AQ61" s="915">
        <f t="shared" si="14"/>
        <v>0</v>
      </c>
      <c r="AR61" s="915">
        <f t="shared" si="15"/>
        <v>0</v>
      </c>
      <c r="AS61" s="915">
        <f t="shared" si="16"/>
        <v>0</v>
      </c>
      <c r="AT61" s="915">
        <f t="shared" si="17"/>
        <v>0</v>
      </c>
      <c r="AU61" s="915">
        <f t="shared" si="18"/>
        <v>0</v>
      </c>
      <c r="AV61" s="915">
        <f t="shared" si="19"/>
        <v>0</v>
      </c>
      <c r="AW61" s="915">
        <f t="shared" si="20"/>
        <v>0</v>
      </c>
      <c r="AX61" s="915">
        <f t="shared" si="21"/>
        <v>0</v>
      </c>
      <c r="AY61" s="915">
        <f t="shared" si="73"/>
        <v>0</v>
      </c>
      <c r="AZ61" s="915">
        <f t="shared" si="74"/>
        <v>0</v>
      </c>
      <c r="BA61" s="915">
        <f t="shared" si="75"/>
        <v>0</v>
      </c>
      <c r="BB61" s="915">
        <f t="shared" si="76"/>
        <v>0</v>
      </c>
      <c r="BC61" s="915">
        <f t="shared" si="77"/>
        <v>0</v>
      </c>
      <c r="BD61" s="915">
        <f t="shared" si="78"/>
        <v>0</v>
      </c>
      <c r="BE61" s="915">
        <f t="shared" si="79"/>
        <v>0</v>
      </c>
      <c r="BF61" s="915">
        <f t="shared" si="80"/>
        <v>0</v>
      </c>
      <c r="BG61" s="915">
        <f t="shared" si="81"/>
        <v>0</v>
      </c>
      <c r="BH61" s="915">
        <f t="shared" si="82"/>
        <v>0</v>
      </c>
      <c r="BI61" s="915">
        <f t="shared" si="83"/>
        <v>0</v>
      </c>
      <c r="BJ61" s="915">
        <f t="shared" si="22"/>
        <v>0</v>
      </c>
      <c r="BK61" s="915">
        <f t="shared" si="23"/>
        <v>0</v>
      </c>
      <c r="BL61" s="915">
        <f t="shared" si="24"/>
        <v>0</v>
      </c>
      <c r="BM61" s="915">
        <f t="shared" si="25"/>
        <v>0</v>
      </c>
      <c r="BN61" s="915">
        <f t="shared" si="26"/>
        <v>0</v>
      </c>
      <c r="BO61" s="915">
        <f t="shared" si="27"/>
        <v>0</v>
      </c>
      <c r="BP61" s="915">
        <f t="shared" si="28"/>
        <v>0</v>
      </c>
      <c r="BQ61" s="915">
        <f t="shared" si="29"/>
        <v>0</v>
      </c>
      <c r="BR61" s="915">
        <f t="shared" si="30"/>
        <v>0</v>
      </c>
      <c r="BS61" s="915">
        <f t="shared" si="31"/>
        <v>0</v>
      </c>
      <c r="BT61" s="915">
        <f t="shared" si="128"/>
        <v>0</v>
      </c>
      <c r="BU61" s="915">
        <f t="shared" si="128"/>
        <v>0</v>
      </c>
      <c r="BV61" s="915">
        <f t="shared" si="85"/>
        <v>0</v>
      </c>
      <c r="BW61" s="915">
        <f t="shared" si="86"/>
        <v>10.6</v>
      </c>
      <c r="BX61" s="915">
        <f t="shared" si="87"/>
        <v>0</v>
      </c>
      <c r="BY61" s="915">
        <f t="shared" si="88"/>
        <v>0</v>
      </c>
      <c r="BZ61" s="915">
        <f t="shared" si="89"/>
        <v>0</v>
      </c>
      <c r="CA61" s="915">
        <f t="shared" si="90"/>
        <v>0</v>
      </c>
      <c r="CB61" s="915">
        <f t="shared" si="91"/>
        <v>0</v>
      </c>
      <c r="CC61" s="915">
        <f t="shared" si="92"/>
        <v>0</v>
      </c>
      <c r="CD61" s="915">
        <f t="shared" si="32"/>
        <v>0</v>
      </c>
      <c r="CE61" s="915">
        <f t="shared" si="33"/>
        <v>0</v>
      </c>
      <c r="CF61" s="915">
        <f t="shared" si="34"/>
        <v>0</v>
      </c>
      <c r="CG61" s="915">
        <f t="shared" si="35"/>
        <v>0</v>
      </c>
      <c r="CH61" s="915">
        <f t="shared" si="36"/>
        <v>0</v>
      </c>
      <c r="CI61" s="915">
        <f t="shared" si="37"/>
        <v>0</v>
      </c>
      <c r="CJ61" s="915">
        <f t="shared" si="38"/>
        <v>0</v>
      </c>
      <c r="CK61" s="915">
        <f t="shared" si="39"/>
        <v>0</v>
      </c>
      <c r="CL61" s="915">
        <f t="shared" si="40"/>
        <v>0</v>
      </c>
      <c r="CM61" s="915">
        <f t="shared" si="41"/>
        <v>0</v>
      </c>
      <c r="CN61" s="915">
        <f t="shared" si="93"/>
        <v>0</v>
      </c>
      <c r="CO61" s="915">
        <f t="shared" si="94"/>
        <v>0</v>
      </c>
      <c r="CP61" s="915">
        <f t="shared" si="95"/>
        <v>0</v>
      </c>
      <c r="CQ61" s="915">
        <f t="shared" si="96"/>
        <v>0</v>
      </c>
      <c r="CR61" s="915">
        <f t="shared" si="97"/>
        <v>0</v>
      </c>
      <c r="CS61" s="915">
        <f t="shared" si="98"/>
        <v>0</v>
      </c>
      <c r="CT61" s="915">
        <f t="shared" si="99"/>
        <v>0</v>
      </c>
      <c r="CU61" s="915">
        <f t="shared" si="100"/>
        <v>0</v>
      </c>
      <c r="CV61" s="915">
        <f t="shared" si="101"/>
        <v>0</v>
      </c>
      <c r="CW61" s="915">
        <f t="shared" si="102"/>
        <v>0</v>
      </c>
      <c r="CX61" s="915">
        <f t="shared" si="42"/>
        <v>0</v>
      </c>
      <c r="CY61" s="915">
        <f t="shared" si="43"/>
        <v>0</v>
      </c>
      <c r="CZ61" s="915">
        <f t="shared" si="44"/>
        <v>0</v>
      </c>
      <c r="DA61" s="915">
        <f t="shared" si="45"/>
        <v>0</v>
      </c>
      <c r="DB61" s="915">
        <f t="shared" si="46"/>
        <v>0</v>
      </c>
      <c r="DC61" s="915">
        <f t="shared" si="47"/>
        <v>0</v>
      </c>
      <c r="DD61" s="915">
        <f t="shared" si="48"/>
        <v>0</v>
      </c>
      <c r="DE61" s="915">
        <f t="shared" si="49"/>
        <v>0</v>
      </c>
      <c r="DF61" s="915">
        <f t="shared" si="50"/>
        <v>0</v>
      </c>
      <c r="DG61" s="915">
        <f t="shared" si="51"/>
        <v>0</v>
      </c>
      <c r="DH61" s="915">
        <f t="shared" si="103"/>
        <v>0</v>
      </c>
      <c r="DI61" s="915">
        <f t="shared" si="104"/>
        <v>0</v>
      </c>
      <c r="DJ61" s="915">
        <f t="shared" si="105"/>
        <v>0</v>
      </c>
      <c r="DK61" s="915">
        <f t="shared" si="106"/>
        <v>0</v>
      </c>
      <c r="DL61" s="915">
        <f t="shared" si="107"/>
        <v>0</v>
      </c>
      <c r="DM61" s="915">
        <f t="shared" si="108"/>
        <v>0</v>
      </c>
      <c r="DN61" s="915">
        <f t="shared" si="109"/>
        <v>0</v>
      </c>
      <c r="DO61" s="915">
        <f t="shared" si="110"/>
        <v>0</v>
      </c>
      <c r="DP61" s="915">
        <f t="shared" si="111"/>
        <v>0</v>
      </c>
      <c r="DQ61" s="915">
        <f t="shared" si="112"/>
        <v>0</v>
      </c>
      <c r="DR61" s="915">
        <f t="shared" si="52"/>
        <v>0</v>
      </c>
      <c r="DS61" s="915">
        <f t="shared" si="53"/>
        <v>0</v>
      </c>
      <c r="DT61" s="915">
        <f t="shared" si="54"/>
        <v>0</v>
      </c>
      <c r="DU61" s="915">
        <f t="shared" si="55"/>
        <v>0</v>
      </c>
      <c r="DV61" s="915">
        <f t="shared" si="56"/>
        <v>0</v>
      </c>
      <c r="DW61" s="915">
        <f t="shared" si="57"/>
        <v>0</v>
      </c>
      <c r="DX61" s="915">
        <f t="shared" si="58"/>
        <v>0</v>
      </c>
      <c r="DY61" s="915">
        <f t="shared" si="59"/>
        <v>0</v>
      </c>
      <c r="DZ61" s="915">
        <f t="shared" si="60"/>
        <v>0</v>
      </c>
      <c r="EA61" s="915">
        <f t="shared" si="131"/>
        <v>0</v>
      </c>
      <c r="EB61" s="915">
        <f t="shared" si="113"/>
        <v>0</v>
      </c>
      <c r="EC61" s="915">
        <f t="shared" si="114"/>
        <v>0</v>
      </c>
      <c r="ED61" s="915">
        <f t="shared" si="115"/>
        <v>0</v>
      </c>
      <c r="EE61" s="915">
        <f t="shared" si="116"/>
        <v>0</v>
      </c>
      <c r="EF61" s="915">
        <f t="shared" si="117"/>
        <v>0</v>
      </c>
      <c r="EG61" s="915">
        <f t="shared" si="118"/>
        <v>0</v>
      </c>
      <c r="EH61" s="915">
        <f t="shared" si="119"/>
        <v>0</v>
      </c>
      <c r="EI61" s="915">
        <f t="shared" si="120"/>
        <v>0</v>
      </c>
      <c r="EJ61" s="915">
        <f t="shared" si="121"/>
        <v>0</v>
      </c>
      <c r="EK61" s="915">
        <f t="shared" si="122"/>
        <v>0</v>
      </c>
      <c r="EL61" s="915"/>
      <c r="EN61" s="533"/>
      <c r="EQ61" s="534"/>
    </row>
    <row r="62" spans="1:147" ht="14.1" customHeight="1" x14ac:dyDescent="0.2">
      <c r="A62" s="496">
        <v>55</v>
      </c>
      <c r="B62" s="1419"/>
      <c r="C62" s="1420"/>
      <c r="D62" s="264">
        <v>15</v>
      </c>
      <c r="E62" s="264" t="s">
        <v>515</v>
      </c>
      <c r="F62" s="270" t="s">
        <v>2544</v>
      </c>
      <c r="G62" s="271">
        <v>1</v>
      </c>
      <c r="H62" s="803">
        <v>10</v>
      </c>
      <c r="I62" s="800">
        <f t="shared" si="129"/>
        <v>0.6</v>
      </c>
      <c r="J62" s="269">
        <f t="shared" si="130"/>
        <v>10.6</v>
      </c>
      <c r="K62" s="225"/>
      <c r="L62" s="941" t="str">
        <f>TabName15 &amp; " - SOLID"</f>
        <v>Phase 15 - SOLID</v>
      </c>
      <c r="M62" s="942">
        <f>BX6</f>
        <v>10.6</v>
      </c>
      <c r="N62" s="949"/>
      <c r="V62" s="915">
        <f t="shared" si="3"/>
        <v>0</v>
      </c>
      <c r="W62" s="915">
        <f t="shared" si="4"/>
        <v>0</v>
      </c>
      <c r="X62" s="915">
        <f t="shared" si="5"/>
        <v>0</v>
      </c>
      <c r="Y62" s="915">
        <f t="shared" si="6"/>
        <v>0</v>
      </c>
      <c r="Z62" s="915">
        <f t="shared" si="7"/>
        <v>0</v>
      </c>
      <c r="AA62" s="915">
        <f t="shared" si="8"/>
        <v>0</v>
      </c>
      <c r="AB62" s="915">
        <f t="shared" si="9"/>
        <v>0</v>
      </c>
      <c r="AC62" s="915">
        <f t="shared" si="10"/>
        <v>0</v>
      </c>
      <c r="AD62" s="915">
        <f t="shared" si="11"/>
        <v>0</v>
      </c>
      <c r="AE62" s="915">
        <f t="shared" si="12"/>
        <v>0</v>
      </c>
      <c r="AF62" s="915">
        <f t="shared" si="63"/>
        <v>0</v>
      </c>
      <c r="AG62" s="915">
        <f t="shared" si="64"/>
        <v>0</v>
      </c>
      <c r="AH62" s="915">
        <f t="shared" si="65"/>
        <v>0</v>
      </c>
      <c r="AI62" s="915">
        <f t="shared" si="66"/>
        <v>0</v>
      </c>
      <c r="AJ62" s="915">
        <f t="shared" si="67"/>
        <v>0</v>
      </c>
      <c r="AK62" s="915">
        <f t="shared" si="68"/>
        <v>0</v>
      </c>
      <c r="AL62" s="915">
        <f t="shared" si="69"/>
        <v>0</v>
      </c>
      <c r="AM62" s="915">
        <f t="shared" si="70"/>
        <v>0</v>
      </c>
      <c r="AN62" s="915">
        <f t="shared" si="71"/>
        <v>0</v>
      </c>
      <c r="AO62" s="915">
        <f t="shared" si="72"/>
        <v>0</v>
      </c>
      <c r="AP62" s="915">
        <f t="shared" si="13"/>
        <v>0</v>
      </c>
      <c r="AQ62" s="915">
        <f t="shared" si="14"/>
        <v>0</v>
      </c>
      <c r="AR62" s="915">
        <f t="shared" si="15"/>
        <v>0</v>
      </c>
      <c r="AS62" s="915">
        <f t="shared" si="16"/>
        <v>0</v>
      </c>
      <c r="AT62" s="915">
        <f t="shared" si="17"/>
        <v>0</v>
      </c>
      <c r="AU62" s="915">
        <f t="shared" si="18"/>
        <v>0</v>
      </c>
      <c r="AV62" s="915">
        <f t="shared" si="19"/>
        <v>0</v>
      </c>
      <c r="AW62" s="915">
        <f t="shared" si="20"/>
        <v>0</v>
      </c>
      <c r="AX62" s="915">
        <f t="shared" si="21"/>
        <v>0</v>
      </c>
      <c r="AY62" s="915">
        <f t="shared" si="73"/>
        <v>0</v>
      </c>
      <c r="AZ62" s="915">
        <f t="shared" si="74"/>
        <v>0</v>
      </c>
      <c r="BA62" s="915">
        <f t="shared" si="75"/>
        <v>0</v>
      </c>
      <c r="BB62" s="915">
        <f t="shared" si="76"/>
        <v>0</v>
      </c>
      <c r="BC62" s="915">
        <f t="shared" si="77"/>
        <v>0</v>
      </c>
      <c r="BD62" s="915">
        <f t="shared" si="78"/>
        <v>0</v>
      </c>
      <c r="BE62" s="915">
        <f t="shared" si="79"/>
        <v>0</v>
      </c>
      <c r="BF62" s="915">
        <f t="shared" si="80"/>
        <v>0</v>
      </c>
      <c r="BG62" s="915">
        <f t="shared" si="81"/>
        <v>0</v>
      </c>
      <c r="BH62" s="915">
        <f t="shared" si="82"/>
        <v>0</v>
      </c>
      <c r="BI62" s="915">
        <f t="shared" si="83"/>
        <v>0</v>
      </c>
      <c r="BJ62" s="915">
        <f t="shared" si="22"/>
        <v>0</v>
      </c>
      <c r="BK62" s="915">
        <f t="shared" si="23"/>
        <v>0</v>
      </c>
      <c r="BL62" s="915">
        <f t="shared" si="24"/>
        <v>0</v>
      </c>
      <c r="BM62" s="915">
        <f t="shared" si="25"/>
        <v>0</v>
      </c>
      <c r="BN62" s="915">
        <f t="shared" si="26"/>
        <v>0</v>
      </c>
      <c r="BO62" s="915">
        <f t="shared" si="27"/>
        <v>0</v>
      </c>
      <c r="BP62" s="915">
        <f t="shared" si="28"/>
        <v>0</v>
      </c>
      <c r="BQ62" s="915">
        <f t="shared" si="29"/>
        <v>0</v>
      </c>
      <c r="BR62" s="915">
        <f t="shared" si="30"/>
        <v>0</v>
      </c>
      <c r="BS62" s="915">
        <f t="shared" si="31"/>
        <v>0</v>
      </c>
      <c r="BT62" s="915">
        <f t="shared" si="128"/>
        <v>0</v>
      </c>
      <c r="BU62" s="915">
        <f t="shared" si="128"/>
        <v>0</v>
      </c>
      <c r="BV62" s="915">
        <f t="shared" si="85"/>
        <v>0</v>
      </c>
      <c r="BW62" s="915">
        <f t="shared" si="86"/>
        <v>0</v>
      </c>
      <c r="BX62" s="915">
        <f t="shared" si="87"/>
        <v>10.6</v>
      </c>
      <c r="BY62" s="915">
        <f t="shared" si="88"/>
        <v>0</v>
      </c>
      <c r="BZ62" s="915">
        <f t="shared" si="89"/>
        <v>0</v>
      </c>
      <c r="CA62" s="915">
        <f t="shared" si="90"/>
        <v>0</v>
      </c>
      <c r="CB62" s="915">
        <f t="shared" si="91"/>
        <v>0</v>
      </c>
      <c r="CC62" s="915">
        <f t="shared" si="92"/>
        <v>0</v>
      </c>
      <c r="CD62" s="915">
        <f t="shared" si="32"/>
        <v>0</v>
      </c>
      <c r="CE62" s="915">
        <f t="shared" si="33"/>
        <v>0</v>
      </c>
      <c r="CF62" s="915">
        <f t="shared" si="34"/>
        <v>0</v>
      </c>
      <c r="CG62" s="915">
        <f t="shared" si="35"/>
        <v>0</v>
      </c>
      <c r="CH62" s="915">
        <f t="shared" si="36"/>
        <v>0</v>
      </c>
      <c r="CI62" s="915">
        <f t="shared" si="37"/>
        <v>0</v>
      </c>
      <c r="CJ62" s="915">
        <f t="shared" si="38"/>
        <v>0</v>
      </c>
      <c r="CK62" s="915">
        <f t="shared" si="39"/>
        <v>0</v>
      </c>
      <c r="CL62" s="915">
        <f t="shared" si="40"/>
        <v>0</v>
      </c>
      <c r="CM62" s="915">
        <f t="shared" si="41"/>
        <v>0</v>
      </c>
      <c r="CN62" s="915">
        <f t="shared" si="93"/>
        <v>0</v>
      </c>
      <c r="CO62" s="915">
        <f t="shared" si="94"/>
        <v>0</v>
      </c>
      <c r="CP62" s="915">
        <f t="shared" si="95"/>
        <v>0</v>
      </c>
      <c r="CQ62" s="915">
        <f t="shared" si="96"/>
        <v>0</v>
      </c>
      <c r="CR62" s="915">
        <f t="shared" si="97"/>
        <v>0</v>
      </c>
      <c r="CS62" s="915">
        <f t="shared" si="98"/>
        <v>0</v>
      </c>
      <c r="CT62" s="915">
        <f t="shared" si="99"/>
        <v>0</v>
      </c>
      <c r="CU62" s="915">
        <f t="shared" si="100"/>
        <v>0</v>
      </c>
      <c r="CV62" s="915">
        <f t="shared" si="101"/>
        <v>0</v>
      </c>
      <c r="CW62" s="915">
        <f t="shared" si="102"/>
        <v>0</v>
      </c>
      <c r="CX62" s="915">
        <f t="shared" si="42"/>
        <v>0</v>
      </c>
      <c r="CY62" s="915">
        <f t="shared" si="43"/>
        <v>0</v>
      </c>
      <c r="CZ62" s="915">
        <f t="shared" si="44"/>
        <v>0</v>
      </c>
      <c r="DA62" s="915">
        <f t="shared" si="45"/>
        <v>0</v>
      </c>
      <c r="DB62" s="915">
        <f t="shared" si="46"/>
        <v>0</v>
      </c>
      <c r="DC62" s="915">
        <f t="shared" si="47"/>
        <v>0</v>
      </c>
      <c r="DD62" s="915">
        <f t="shared" si="48"/>
        <v>0</v>
      </c>
      <c r="DE62" s="915">
        <f t="shared" si="49"/>
        <v>0</v>
      </c>
      <c r="DF62" s="915">
        <f t="shared" si="50"/>
        <v>0</v>
      </c>
      <c r="DG62" s="915">
        <f t="shared" si="51"/>
        <v>0</v>
      </c>
      <c r="DH62" s="915">
        <f t="shared" si="103"/>
        <v>0</v>
      </c>
      <c r="DI62" s="915">
        <f t="shared" si="104"/>
        <v>0</v>
      </c>
      <c r="DJ62" s="915">
        <f t="shared" si="105"/>
        <v>0</v>
      </c>
      <c r="DK62" s="915">
        <f t="shared" si="106"/>
        <v>0</v>
      </c>
      <c r="DL62" s="915">
        <f t="shared" si="107"/>
        <v>0</v>
      </c>
      <c r="DM62" s="915">
        <f t="shared" si="108"/>
        <v>0</v>
      </c>
      <c r="DN62" s="915">
        <f t="shared" si="109"/>
        <v>0</v>
      </c>
      <c r="DO62" s="915">
        <f t="shared" si="110"/>
        <v>0</v>
      </c>
      <c r="DP62" s="915">
        <f t="shared" si="111"/>
        <v>0</v>
      </c>
      <c r="DQ62" s="915">
        <f t="shared" si="112"/>
        <v>0</v>
      </c>
      <c r="DR62" s="915">
        <f t="shared" si="52"/>
        <v>0</v>
      </c>
      <c r="DS62" s="915">
        <f t="shared" si="53"/>
        <v>0</v>
      </c>
      <c r="DT62" s="915">
        <f t="shared" si="54"/>
        <v>0</v>
      </c>
      <c r="DU62" s="915">
        <f t="shared" si="55"/>
        <v>0</v>
      </c>
      <c r="DV62" s="915">
        <f t="shared" si="56"/>
        <v>0</v>
      </c>
      <c r="DW62" s="915">
        <f t="shared" si="57"/>
        <v>0</v>
      </c>
      <c r="DX62" s="915">
        <f t="shared" si="58"/>
        <v>0</v>
      </c>
      <c r="DY62" s="915">
        <f t="shared" si="59"/>
        <v>0</v>
      </c>
      <c r="DZ62" s="915">
        <f t="shared" si="60"/>
        <v>0</v>
      </c>
      <c r="EA62" s="915">
        <f t="shared" si="131"/>
        <v>0</v>
      </c>
      <c r="EB62" s="915">
        <f t="shared" si="113"/>
        <v>0</v>
      </c>
      <c r="EC62" s="915">
        <f t="shared" si="114"/>
        <v>0</v>
      </c>
      <c r="ED62" s="915">
        <f t="shared" si="115"/>
        <v>0</v>
      </c>
      <c r="EE62" s="915">
        <f t="shared" si="116"/>
        <v>0</v>
      </c>
      <c r="EF62" s="915">
        <f t="shared" si="117"/>
        <v>0</v>
      </c>
      <c r="EG62" s="915">
        <f t="shared" si="118"/>
        <v>0</v>
      </c>
      <c r="EH62" s="915">
        <f t="shared" si="119"/>
        <v>0</v>
      </c>
      <c r="EI62" s="915">
        <f t="shared" si="120"/>
        <v>0</v>
      </c>
      <c r="EJ62" s="915">
        <f t="shared" si="121"/>
        <v>0</v>
      </c>
      <c r="EK62" s="915">
        <f t="shared" si="122"/>
        <v>0</v>
      </c>
      <c r="EL62" s="915"/>
      <c r="EN62" s="533"/>
      <c r="EQ62" s="534"/>
    </row>
    <row r="63" spans="1:147" ht="14.1" customHeight="1" x14ac:dyDescent="0.2">
      <c r="A63" s="1026">
        <v>56</v>
      </c>
      <c r="B63" s="1005"/>
      <c r="C63" s="1008"/>
      <c r="D63" s="138">
        <v>16</v>
      </c>
      <c r="E63" s="138" t="s">
        <v>515</v>
      </c>
      <c r="F63" s="139" t="s">
        <v>2544</v>
      </c>
      <c r="G63" s="91">
        <v>1</v>
      </c>
      <c r="H63" s="1022">
        <v>10</v>
      </c>
      <c r="I63" s="801">
        <f t="shared" si="129"/>
        <v>0.6</v>
      </c>
      <c r="J63" s="1021">
        <f t="shared" si="130"/>
        <v>10.6</v>
      </c>
      <c r="K63" s="225"/>
      <c r="L63" s="941" t="str">
        <f>TabName16 &amp; " - SOLID"</f>
        <v>Phase 16 - SOLID</v>
      </c>
      <c r="M63" s="942">
        <f>BY6</f>
        <v>10.6</v>
      </c>
      <c r="N63" s="949"/>
      <c r="V63" s="915">
        <f t="shared" si="3"/>
        <v>0</v>
      </c>
      <c r="W63" s="915">
        <f t="shared" si="4"/>
        <v>0</v>
      </c>
      <c r="X63" s="915">
        <f t="shared" si="5"/>
        <v>0</v>
      </c>
      <c r="Y63" s="915">
        <f t="shared" si="6"/>
        <v>0</v>
      </c>
      <c r="Z63" s="915">
        <f t="shared" si="7"/>
        <v>0</v>
      </c>
      <c r="AA63" s="915">
        <f t="shared" si="8"/>
        <v>0</v>
      </c>
      <c r="AB63" s="915">
        <f t="shared" si="9"/>
        <v>0</v>
      </c>
      <c r="AC63" s="915">
        <f t="shared" si="10"/>
        <v>0</v>
      </c>
      <c r="AD63" s="915">
        <f t="shared" si="11"/>
        <v>0</v>
      </c>
      <c r="AE63" s="915">
        <f t="shared" si="12"/>
        <v>0</v>
      </c>
      <c r="AF63" s="915">
        <f t="shared" si="63"/>
        <v>0</v>
      </c>
      <c r="AG63" s="915">
        <f t="shared" si="64"/>
        <v>0</v>
      </c>
      <c r="AH63" s="915">
        <f t="shared" si="65"/>
        <v>0</v>
      </c>
      <c r="AI63" s="915">
        <f t="shared" si="66"/>
        <v>0</v>
      </c>
      <c r="AJ63" s="915">
        <f t="shared" si="67"/>
        <v>0</v>
      </c>
      <c r="AK63" s="915">
        <f t="shared" si="68"/>
        <v>0</v>
      </c>
      <c r="AL63" s="915">
        <f t="shared" si="69"/>
        <v>0</v>
      </c>
      <c r="AM63" s="915">
        <f t="shared" si="70"/>
        <v>0</v>
      </c>
      <c r="AN63" s="915">
        <f t="shared" si="71"/>
        <v>0</v>
      </c>
      <c r="AO63" s="915">
        <f t="shared" si="72"/>
        <v>0</v>
      </c>
      <c r="AP63" s="915">
        <f t="shared" si="13"/>
        <v>0</v>
      </c>
      <c r="AQ63" s="915">
        <f t="shared" si="14"/>
        <v>0</v>
      </c>
      <c r="AR63" s="915">
        <f t="shared" si="15"/>
        <v>0</v>
      </c>
      <c r="AS63" s="915">
        <f t="shared" si="16"/>
        <v>0</v>
      </c>
      <c r="AT63" s="915">
        <f t="shared" si="17"/>
        <v>0</v>
      </c>
      <c r="AU63" s="915">
        <f t="shared" si="18"/>
        <v>0</v>
      </c>
      <c r="AV63" s="915">
        <f t="shared" si="19"/>
        <v>0</v>
      </c>
      <c r="AW63" s="915">
        <f t="shared" si="20"/>
        <v>0</v>
      </c>
      <c r="AX63" s="915">
        <f t="shared" si="21"/>
        <v>0</v>
      </c>
      <c r="AY63" s="915">
        <f t="shared" si="73"/>
        <v>0</v>
      </c>
      <c r="AZ63" s="915">
        <f t="shared" si="74"/>
        <v>0</v>
      </c>
      <c r="BA63" s="915">
        <f t="shared" si="75"/>
        <v>0</v>
      </c>
      <c r="BB63" s="915">
        <f t="shared" si="76"/>
        <v>0</v>
      </c>
      <c r="BC63" s="915">
        <f t="shared" si="77"/>
        <v>0</v>
      </c>
      <c r="BD63" s="915">
        <f t="shared" si="78"/>
        <v>0</v>
      </c>
      <c r="BE63" s="915">
        <f t="shared" si="79"/>
        <v>0</v>
      </c>
      <c r="BF63" s="915">
        <f t="shared" si="80"/>
        <v>0</v>
      </c>
      <c r="BG63" s="915">
        <f t="shared" si="81"/>
        <v>0</v>
      </c>
      <c r="BH63" s="915">
        <f t="shared" si="82"/>
        <v>0</v>
      </c>
      <c r="BI63" s="915">
        <f t="shared" si="83"/>
        <v>0</v>
      </c>
      <c r="BJ63" s="915">
        <f t="shared" si="22"/>
        <v>0</v>
      </c>
      <c r="BK63" s="915">
        <f t="shared" si="23"/>
        <v>0</v>
      </c>
      <c r="BL63" s="915">
        <f t="shared" si="24"/>
        <v>0</v>
      </c>
      <c r="BM63" s="915">
        <f t="shared" si="25"/>
        <v>0</v>
      </c>
      <c r="BN63" s="915">
        <f t="shared" si="26"/>
        <v>0</v>
      </c>
      <c r="BO63" s="915">
        <f t="shared" si="27"/>
        <v>0</v>
      </c>
      <c r="BP63" s="915">
        <f t="shared" si="28"/>
        <v>0</v>
      </c>
      <c r="BQ63" s="915">
        <f t="shared" si="29"/>
        <v>0</v>
      </c>
      <c r="BR63" s="915">
        <f t="shared" si="30"/>
        <v>0</v>
      </c>
      <c r="BS63" s="915">
        <f t="shared" si="31"/>
        <v>0</v>
      </c>
      <c r="BT63" s="915">
        <f t="shared" si="128"/>
        <v>0</v>
      </c>
      <c r="BU63" s="915">
        <f t="shared" si="128"/>
        <v>0</v>
      </c>
      <c r="BV63" s="915">
        <f t="shared" si="85"/>
        <v>0</v>
      </c>
      <c r="BW63" s="915">
        <f t="shared" si="86"/>
        <v>0</v>
      </c>
      <c r="BX63" s="915">
        <f t="shared" si="87"/>
        <v>0</v>
      </c>
      <c r="BY63" s="915">
        <f t="shared" si="88"/>
        <v>10.6</v>
      </c>
      <c r="BZ63" s="915">
        <f t="shared" si="89"/>
        <v>0</v>
      </c>
      <c r="CA63" s="915">
        <f t="shared" si="90"/>
        <v>0</v>
      </c>
      <c r="CB63" s="915">
        <f t="shared" si="91"/>
        <v>0</v>
      </c>
      <c r="CC63" s="915">
        <f t="shared" si="92"/>
        <v>0</v>
      </c>
      <c r="CD63" s="915">
        <f t="shared" si="32"/>
        <v>0</v>
      </c>
      <c r="CE63" s="915">
        <f t="shared" si="33"/>
        <v>0</v>
      </c>
      <c r="CF63" s="915">
        <f t="shared" si="34"/>
        <v>0</v>
      </c>
      <c r="CG63" s="915">
        <f t="shared" si="35"/>
        <v>0</v>
      </c>
      <c r="CH63" s="915">
        <f t="shared" si="36"/>
        <v>0</v>
      </c>
      <c r="CI63" s="915">
        <f t="shared" si="37"/>
        <v>0</v>
      </c>
      <c r="CJ63" s="915">
        <f t="shared" si="38"/>
        <v>0</v>
      </c>
      <c r="CK63" s="915">
        <f t="shared" si="39"/>
        <v>0</v>
      </c>
      <c r="CL63" s="915">
        <f t="shared" si="40"/>
        <v>0</v>
      </c>
      <c r="CM63" s="915">
        <f t="shared" si="41"/>
        <v>0</v>
      </c>
      <c r="CN63" s="915">
        <f t="shared" si="93"/>
        <v>0</v>
      </c>
      <c r="CO63" s="915">
        <f t="shared" si="94"/>
        <v>0</v>
      </c>
      <c r="CP63" s="915">
        <f t="shared" si="95"/>
        <v>0</v>
      </c>
      <c r="CQ63" s="915">
        <f t="shared" si="96"/>
        <v>0</v>
      </c>
      <c r="CR63" s="915">
        <f t="shared" si="97"/>
        <v>0</v>
      </c>
      <c r="CS63" s="915">
        <f t="shared" si="98"/>
        <v>0</v>
      </c>
      <c r="CT63" s="915">
        <f t="shared" si="99"/>
        <v>0</v>
      </c>
      <c r="CU63" s="915">
        <f t="shared" si="100"/>
        <v>0</v>
      </c>
      <c r="CV63" s="915">
        <f t="shared" si="101"/>
        <v>0</v>
      </c>
      <c r="CW63" s="915">
        <f t="shared" si="102"/>
        <v>0</v>
      </c>
      <c r="CX63" s="915">
        <f t="shared" si="42"/>
        <v>0</v>
      </c>
      <c r="CY63" s="915">
        <f t="shared" si="43"/>
        <v>0</v>
      </c>
      <c r="CZ63" s="915">
        <f t="shared" si="44"/>
        <v>0</v>
      </c>
      <c r="DA63" s="915">
        <f t="shared" si="45"/>
        <v>0</v>
      </c>
      <c r="DB63" s="915">
        <f t="shared" si="46"/>
        <v>0</v>
      </c>
      <c r="DC63" s="915">
        <f t="shared" si="47"/>
        <v>0</v>
      </c>
      <c r="DD63" s="915">
        <f t="shared" si="48"/>
        <v>0</v>
      </c>
      <c r="DE63" s="915">
        <f t="shared" si="49"/>
        <v>0</v>
      </c>
      <c r="DF63" s="915">
        <f t="shared" si="50"/>
        <v>0</v>
      </c>
      <c r="DG63" s="915">
        <f t="shared" si="51"/>
        <v>0</v>
      </c>
      <c r="DH63" s="915">
        <f t="shared" si="103"/>
        <v>0</v>
      </c>
      <c r="DI63" s="915">
        <f t="shared" si="104"/>
        <v>0</v>
      </c>
      <c r="DJ63" s="915">
        <f t="shared" si="105"/>
        <v>0</v>
      </c>
      <c r="DK63" s="915">
        <f t="shared" si="106"/>
        <v>0</v>
      </c>
      <c r="DL63" s="915">
        <f t="shared" si="107"/>
        <v>0</v>
      </c>
      <c r="DM63" s="915">
        <f t="shared" si="108"/>
        <v>0</v>
      </c>
      <c r="DN63" s="915">
        <f t="shared" si="109"/>
        <v>0</v>
      </c>
      <c r="DO63" s="915">
        <f t="shared" si="110"/>
        <v>0</v>
      </c>
      <c r="DP63" s="915">
        <f t="shared" si="111"/>
        <v>0</v>
      </c>
      <c r="DQ63" s="915">
        <f t="shared" si="112"/>
        <v>0</v>
      </c>
      <c r="DR63" s="915">
        <f t="shared" si="52"/>
        <v>0</v>
      </c>
      <c r="DS63" s="915">
        <f t="shared" si="53"/>
        <v>0</v>
      </c>
      <c r="DT63" s="915">
        <f t="shared" si="54"/>
        <v>0</v>
      </c>
      <c r="DU63" s="915">
        <f t="shared" si="55"/>
        <v>0</v>
      </c>
      <c r="DV63" s="915">
        <f t="shared" si="56"/>
        <v>0</v>
      </c>
      <c r="DW63" s="915">
        <f t="shared" si="57"/>
        <v>0</v>
      </c>
      <c r="DX63" s="915">
        <f t="shared" si="58"/>
        <v>0</v>
      </c>
      <c r="DY63" s="915">
        <f t="shared" si="59"/>
        <v>0</v>
      </c>
      <c r="DZ63" s="915">
        <f t="shared" si="60"/>
        <v>0</v>
      </c>
      <c r="EA63" s="915">
        <f t="shared" si="131"/>
        <v>0</v>
      </c>
      <c r="EB63" s="915">
        <f t="shared" si="113"/>
        <v>0</v>
      </c>
      <c r="EC63" s="915">
        <f t="shared" si="114"/>
        <v>0</v>
      </c>
      <c r="ED63" s="915">
        <f t="shared" si="115"/>
        <v>0</v>
      </c>
      <c r="EE63" s="915">
        <f t="shared" si="116"/>
        <v>0</v>
      </c>
      <c r="EF63" s="915">
        <f t="shared" si="117"/>
        <v>0</v>
      </c>
      <c r="EG63" s="915">
        <f t="shared" si="118"/>
        <v>0</v>
      </c>
      <c r="EH63" s="915">
        <f t="shared" si="119"/>
        <v>0</v>
      </c>
      <c r="EI63" s="915">
        <f t="shared" si="120"/>
        <v>0</v>
      </c>
      <c r="EJ63" s="915">
        <f t="shared" si="121"/>
        <v>0</v>
      </c>
      <c r="EK63" s="915">
        <f t="shared" si="122"/>
        <v>0</v>
      </c>
      <c r="EL63" s="915"/>
      <c r="EN63" s="533"/>
      <c r="EQ63" s="534"/>
    </row>
    <row r="64" spans="1:147" ht="14.1" customHeight="1" x14ac:dyDescent="0.2">
      <c r="A64" s="496">
        <v>57</v>
      </c>
      <c r="B64" s="1419"/>
      <c r="C64" s="1420"/>
      <c r="D64" s="264">
        <v>17</v>
      </c>
      <c r="E64" s="264" t="s">
        <v>515</v>
      </c>
      <c r="F64" s="270" t="s">
        <v>2544</v>
      </c>
      <c r="G64" s="271">
        <v>1</v>
      </c>
      <c r="H64" s="803">
        <v>10</v>
      </c>
      <c r="I64" s="800">
        <f t="shared" si="129"/>
        <v>0.6</v>
      </c>
      <c r="J64" s="269">
        <f t="shared" si="130"/>
        <v>10.6</v>
      </c>
      <c r="K64" s="225"/>
      <c r="L64" s="941" t="str">
        <f>TabName17 &amp; " - SOLID"</f>
        <v>Phase 17 - SOLID</v>
      </c>
      <c r="M64" s="942">
        <f>BZ6</f>
        <v>10.6</v>
      </c>
      <c r="N64" s="949"/>
      <c r="V64" s="915">
        <f t="shared" si="3"/>
        <v>0</v>
      </c>
      <c r="W64" s="915">
        <f t="shared" si="4"/>
        <v>0</v>
      </c>
      <c r="X64" s="915">
        <f t="shared" si="5"/>
        <v>0</v>
      </c>
      <c r="Y64" s="915">
        <f t="shared" si="6"/>
        <v>0</v>
      </c>
      <c r="Z64" s="915">
        <f t="shared" si="7"/>
        <v>0</v>
      </c>
      <c r="AA64" s="915">
        <f t="shared" si="8"/>
        <v>0</v>
      </c>
      <c r="AB64" s="915">
        <f t="shared" si="9"/>
        <v>0</v>
      </c>
      <c r="AC64" s="915">
        <f t="shared" si="10"/>
        <v>0</v>
      </c>
      <c r="AD64" s="915">
        <f t="shared" si="11"/>
        <v>0</v>
      </c>
      <c r="AE64" s="915">
        <f t="shared" si="12"/>
        <v>0</v>
      </c>
      <c r="AF64" s="915">
        <f t="shared" si="63"/>
        <v>0</v>
      </c>
      <c r="AG64" s="915">
        <f t="shared" si="64"/>
        <v>0</v>
      </c>
      <c r="AH64" s="915">
        <f t="shared" si="65"/>
        <v>0</v>
      </c>
      <c r="AI64" s="915">
        <f t="shared" si="66"/>
        <v>0</v>
      </c>
      <c r="AJ64" s="915">
        <f t="shared" si="67"/>
        <v>0</v>
      </c>
      <c r="AK64" s="915">
        <f t="shared" si="68"/>
        <v>0</v>
      </c>
      <c r="AL64" s="915">
        <f t="shared" si="69"/>
        <v>0</v>
      </c>
      <c r="AM64" s="915">
        <f t="shared" si="70"/>
        <v>0</v>
      </c>
      <c r="AN64" s="915">
        <f t="shared" si="71"/>
        <v>0</v>
      </c>
      <c r="AO64" s="915">
        <f t="shared" si="72"/>
        <v>0</v>
      </c>
      <c r="AP64" s="915">
        <f t="shared" si="13"/>
        <v>0</v>
      </c>
      <c r="AQ64" s="915">
        <f t="shared" si="14"/>
        <v>0</v>
      </c>
      <c r="AR64" s="915">
        <f t="shared" si="15"/>
        <v>0</v>
      </c>
      <c r="AS64" s="915">
        <f t="shared" si="16"/>
        <v>0</v>
      </c>
      <c r="AT64" s="915">
        <f t="shared" si="17"/>
        <v>0</v>
      </c>
      <c r="AU64" s="915">
        <f t="shared" si="18"/>
        <v>0</v>
      </c>
      <c r="AV64" s="915">
        <f t="shared" si="19"/>
        <v>0</v>
      </c>
      <c r="AW64" s="915">
        <f t="shared" si="20"/>
        <v>0</v>
      </c>
      <c r="AX64" s="915">
        <f t="shared" si="21"/>
        <v>0</v>
      </c>
      <c r="AY64" s="915">
        <f t="shared" si="73"/>
        <v>0</v>
      </c>
      <c r="AZ64" s="915">
        <f t="shared" si="74"/>
        <v>0</v>
      </c>
      <c r="BA64" s="915">
        <f t="shared" si="75"/>
        <v>0</v>
      </c>
      <c r="BB64" s="915">
        <f t="shared" si="76"/>
        <v>0</v>
      </c>
      <c r="BC64" s="915">
        <f t="shared" si="77"/>
        <v>0</v>
      </c>
      <c r="BD64" s="915">
        <f t="shared" si="78"/>
        <v>0</v>
      </c>
      <c r="BE64" s="915">
        <f t="shared" si="79"/>
        <v>0</v>
      </c>
      <c r="BF64" s="915">
        <f t="shared" si="80"/>
        <v>0</v>
      </c>
      <c r="BG64" s="915">
        <f t="shared" si="81"/>
        <v>0</v>
      </c>
      <c r="BH64" s="915">
        <f t="shared" si="82"/>
        <v>0</v>
      </c>
      <c r="BI64" s="915">
        <f t="shared" si="83"/>
        <v>0</v>
      </c>
      <c r="BJ64" s="915">
        <f t="shared" si="22"/>
        <v>0</v>
      </c>
      <c r="BK64" s="915">
        <f t="shared" si="23"/>
        <v>0</v>
      </c>
      <c r="BL64" s="915">
        <f t="shared" si="24"/>
        <v>0</v>
      </c>
      <c r="BM64" s="915">
        <f t="shared" si="25"/>
        <v>0</v>
      </c>
      <c r="BN64" s="915">
        <f t="shared" si="26"/>
        <v>0</v>
      </c>
      <c r="BO64" s="915">
        <f t="shared" si="27"/>
        <v>0</v>
      </c>
      <c r="BP64" s="915">
        <f t="shared" si="28"/>
        <v>0</v>
      </c>
      <c r="BQ64" s="915">
        <f t="shared" si="29"/>
        <v>0</v>
      </c>
      <c r="BR64" s="915">
        <f t="shared" si="30"/>
        <v>0</v>
      </c>
      <c r="BS64" s="915">
        <f t="shared" si="31"/>
        <v>0</v>
      </c>
      <c r="BT64" s="915">
        <f t="shared" si="128"/>
        <v>0</v>
      </c>
      <c r="BU64" s="915">
        <f t="shared" si="128"/>
        <v>0</v>
      </c>
      <c r="BV64" s="915">
        <f t="shared" si="85"/>
        <v>0</v>
      </c>
      <c r="BW64" s="915">
        <f t="shared" si="86"/>
        <v>0</v>
      </c>
      <c r="BX64" s="915">
        <f t="shared" si="87"/>
        <v>0</v>
      </c>
      <c r="BY64" s="915">
        <f t="shared" si="88"/>
        <v>0</v>
      </c>
      <c r="BZ64" s="915">
        <f t="shared" si="89"/>
        <v>10.6</v>
      </c>
      <c r="CA64" s="915">
        <f t="shared" si="90"/>
        <v>0</v>
      </c>
      <c r="CB64" s="915">
        <f t="shared" si="91"/>
        <v>0</v>
      </c>
      <c r="CC64" s="915">
        <f t="shared" si="92"/>
        <v>0</v>
      </c>
      <c r="CD64" s="915">
        <f t="shared" si="32"/>
        <v>0</v>
      </c>
      <c r="CE64" s="915">
        <f t="shared" si="33"/>
        <v>0</v>
      </c>
      <c r="CF64" s="915">
        <f t="shared" si="34"/>
        <v>0</v>
      </c>
      <c r="CG64" s="915">
        <f t="shared" si="35"/>
        <v>0</v>
      </c>
      <c r="CH64" s="915">
        <f t="shared" si="36"/>
        <v>0</v>
      </c>
      <c r="CI64" s="915">
        <f t="shared" si="37"/>
        <v>0</v>
      </c>
      <c r="CJ64" s="915">
        <f t="shared" si="38"/>
        <v>0</v>
      </c>
      <c r="CK64" s="915">
        <f t="shared" si="39"/>
        <v>0</v>
      </c>
      <c r="CL64" s="915">
        <f t="shared" si="40"/>
        <v>0</v>
      </c>
      <c r="CM64" s="915">
        <f t="shared" si="41"/>
        <v>0</v>
      </c>
      <c r="CN64" s="915">
        <f t="shared" si="93"/>
        <v>0</v>
      </c>
      <c r="CO64" s="915">
        <f t="shared" si="94"/>
        <v>0</v>
      </c>
      <c r="CP64" s="915">
        <f t="shared" si="95"/>
        <v>0</v>
      </c>
      <c r="CQ64" s="915">
        <f t="shared" si="96"/>
        <v>0</v>
      </c>
      <c r="CR64" s="915">
        <f t="shared" si="97"/>
        <v>0</v>
      </c>
      <c r="CS64" s="915">
        <f t="shared" si="98"/>
        <v>0</v>
      </c>
      <c r="CT64" s="915">
        <f t="shared" si="99"/>
        <v>0</v>
      </c>
      <c r="CU64" s="915">
        <f t="shared" si="100"/>
        <v>0</v>
      </c>
      <c r="CV64" s="915">
        <f t="shared" si="101"/>
        <v>0</v>
      </c>
      <c r="CW64" s="915">
        <f t="shared" si="102"/>
        <v>0</v>
      </c>
      <c r="CX64" s="915">
        <f t="shared" si="42"/>
        <v>0</v>
      </c>
      <c r="CY64" s="915">
        <f t="shared" si="43"/>
        <v>0</v>
      </c>
      <c r="CZ64" s="915">
        <f t="shared" si="44"/>
        <v>0</v>
      </c>
      <c r="DA64" s="915">
        <f t="shared" si="45"/>
        <v>0</v>
      </c>
      <c r="DB64" s="915">
        <f t="shared" si="46"/>
        <v>0</v>
      </c>
      <c r="DC64" s="915">
        <f t="shared" si="47"/>
        <v>0</v>
      </c>
      <c r="DD64" s="915">
        <f t="shared" si="48"/>
        <v>0</v>
      </c>
      <c r="DE64" s="915">
        <f t="shared" si="49"/>
        <v>0</v>
      </c>
      <c r="DF64" s="915">
        <f t="shared" si="50"/>
        <v>0</v>
      </c>
      <c r="DG64" s="915">
        <f t="shared" si="51"/>
        <v>0</v>
      </c>
      <c r="DH64" s="915">
        <f t="shared" si="103"/>
        <v>0</v>
      </c>
      <c r="DI64" s="915">
        <f t="shared" si="104"/>
        <v>0</v>
      </c>
      <c r="DJ64" s="915">
        <f t="shared" si="105"/>
        <v>0</v>
      </c>
      <c r="DK64" s="915">
        <f t="shared" si="106"/>
        <v>0</v>
      </c>
      <c r="DL64" s="915">
        <f t="shared" si="107"/>
        <v>0</v>
      </c>
      <c r="DM64" s="915">
        <f t="shared" si="108"/>
        <v>0</v>
      </c>
      <c r="DN64" s="915">
        <f t="shared" si="109"/>
        <v>0</v>
      </c>
      <c r="DO64" s="915">
        <f t="shared" si="110"/>
        <v>0</v>
      </c>
      <c r="DP64" s="915">
        <f t="shared" si="111"/>
        <v>0</v>
      </c>
      <c r="DQ64" s="915">
        <f t="shared" si="112"/>
        <v>0</v>
      </c>
      <c r="DR64" s="915">
        <f t="shared" si="52"/>
        <v>0</v>
      </c>
      <c r="DS64" s="915">
        <f t="shared" si="53"/>
        <v>0</v>
      </c>
      <c r="DT64" s="915">
        <f t="shared" si="54"/>
        <v>0</v>
      </c>
      <c r="DU64" s="915">
        <f t="shared" si="55"/>
        <v>0</v>
      </c>
      <c r="DV64" s="915">
        <f t="shared" si="56"/>
        <v>0</v>
      </c>
      <c r="DW64" s="915">
        <f t="shared" si="57"/>
        <v>0</v>
      </c>
      <c r="DX64" s="915">
        <f t="shared" si="58"/>
        <v>0</v>
      </c>
      <c r="DY64" s="915">
        <f t="shared" si="59"/>
        <v>0</v>
      </c>
      <c r="DZ64" s="915">
        <f t="shared" si="60"/>
        <v>0</v>
      </c>
      <c r="EA64" s="915">
        <f t="shared" si="131"/>
        <v>0</v>
      </c>
      <c r="EB64" s="915">
        <f t="shared" si="113"/>
        <v>0</v>
      </c>
      <c r="EC64" s="915">
        <f t="shared" si="114"/>
        <v>0</v>
      </c>
      <c r="ED64" s="915">
        <f t="shared" si="115"/>
        <v>0</v>
      </c>
      <c r="EE64" s="915">
        <f t="shared" si="116"/>
        <v>0</v>
      </c>
      <c r="EF64" s="915">
        <f t="shared" si="117"/>
        <v>0</v>
      </c>
      <c r="EG64" s="915">
        <f t="shared" si="118"/>
        <v>0</v>
      </c>
      <c r="EH64" s="915">
        <f t="shared" si="119"/>
        <v>0</v>
      </c>
      <c r="EI64" s="915">
        <f t="shared" si="120"/>
        <v>0</v>
      </c>
      <c r="EJ64" s="915">
        <f t="shared" si="121"/>
        <v>0</v>
      </c>
      <c r="EK64" s="915">
        <f t="shared" si="122"/>
        <v>0</v>
      </c>
      <c r="EL64" s="915"/>
      <c r="EN64" s="533"/>
      <c r="EQ64" s="534"/>
    </row>
    <row r="65" spans="1:147" ht="14.1" customHeight="1" x14ac:dyDescent="0.2">
      <c r="A65" s="1026">
        <v>58</v>
      </c>
      <c r="B65" s="1005"/>
      <c r="C65" s="1008"/>
      <c r="D65" s="138">
        <v>18</v>
      </c>
      <c r="E65" s="138" t="s">
        <v>515</v>
      </c>
      <c r="F65" s="139" t="s">
        <v>2544</v>
      </c>
      <c r="G65" s="91">
        <v>1</v>
      </c>
      <c r="H65" s="1022">
        <v>10</v>
      </c>
      <c r="I65" s="801">
        <f t="shared" si="129"/>
        <v>0.6</v>
      </c>
      <c r="J65" s="1021">
        <f t="shared" si="130"/>
        <v>10.6</v>
      </c>
      <c r="K65" s="225"/>
      <c r="L65" s="941" t="str">
        <f>TabName18 &amp; " - SOLID"</f>
        <v>Phase 18 - SOLID</v>
      </c>
      <c r="M65" s="942">
        <f>CA6</f>
        <v>10.6</v>
      </c>
      <c r="N65" s="949"/>
      <c r="V65" s="915">
        <f t="shared" si="3"/>
        <v>0</v>
      </c>
      <c r="W65" s="915">
        <f t="shared" si="4"/>
        <v>0</v>
      </c>
      <c r="X65" s="915">
        <f t="shared" si="5"/>
        <v>0</v>
      </c>
      <c r="Y65" s="915">
        <f t="shared" si="6"/>
        <v>0</v>
      </c>
      <c r="Z65" s="915">
        <f t="shared" si="7"/>
        <v>0</v>
      </c>
      <c r="AA65" s="915">
        <f t="shared" si="8"/>
        <v>0</v>
      </c>
      <c r="AB65" s="915">
        <f t="shared" si="9"/>
        <v>0</v>
      </c>
      <c r="AC65" s="915">
        <f t="shared" si="10"/>
        <v>0</v>
      </c>
      <c r="AD65" s="915">
        <f t="shared" si="11"/>
        <v>0</v>
      </c>
      <c r="AE65" s="915">
        <f t="shared" si="12"/>
        <v>0</v>
      </c>
      <c r="AF65" s="915">
        <f t="shared" si="63"/>
        <v>0</v>
      </c>
      <c r="AG65" s="915">
        <f t="shared" si="64"/>
        <v>0</v>
      </c>
      <c r="AH65" s="915">
        <f t="shared" si="65"/>
        <v>0</v>
      </c>
      <c r="AI65" s="915">
        <f t="shared" si="66"/>
        <v>0</v>
      </c>
      <c r="AJ65" s="915">
        <f t="shared" si="67"/>
        <v>0</v>
      </c>
      <c r="AK65" s="915">
        <f t="shared" si="68"/>
        <v>0</v>
      </c>
      <c r="AL65" s="915">
        <f t="shared" si="69"/>
        <v>0</v>
      </c>
      <c r="AM65" s="915">
        <f t="shared" si="70"/>
        <v>0</v>
      </c>
      <c r="AN65" s="915">
        <f t="shared" si="71"/>
        <v>0</v>
      </c>
      <c r="AO65" s="915">
        <f t="shared" si="72"/>
        <v>0</v>
      </c>
      <c r="AP65" s="915">
        <f t="shared" si="13"/>
        <v>0</v>
      </c>
      <c r="AQ65" s="915">
        <f t="shared" si="14"/>
        <v>0</v>
      </c>
      <c r="AR65" s="915">
        <f t="shared" si="15"/>
        <v>0</v>
      </c>
      <c r="AS65" s="915">
        <f t="shared" si="16"/>
        <v>0</v>
      </c>
      <c r="AT65" s="915">
        <f t="shared" si="17"/>
        <v>0</v>
      </c>
      <c r="AU65" s="915">
        <f t="shared" si="18"/>
        <v>0</v>
      </c>
      <c r="AV65" s="915">
        <f t="shared" si="19"/>
        <v>0</v>
      </c>
      <c r="AW65" s="915">
        <f t="shared" si="20"/>
        <v>0</v>
      </c>
      <c r="AX65" s="915">
        <f t="shared" si="21"/>
        <v>0</v>
      </c>
      <c r="AY65" s="915">
        <f t="shared" si="73"/>
        <v>0</v>
      </c>
      <c r="AZ65" s="915">
        <f t="shared" si="74"/>
        <v>0</v>
      </c>
      <c r="BA65" s="915">
        <f t="shared" si="75"/>
        <v>0</v>
      </c>
      <c r="BB65" s="915">
        <f t="shared" si="76"/>
        <v>0</v>
      </c>
      <c r="BC65" s="915">
        <f t="shared" si="77"/>
        <v>0</v>
      </c>
      <c r="BD65" s="915">
        <f t="shared" si="78"/>
        <v>0</v>
      </c>
      <c r="BE65" s="915">
        <f t="shared" si="79"/>
        <v>0</v>
      </c>
      <c r="BF65" s="915">
        <f t="shared" si="80"/>
        <v>0</v>
      </c>
      <c r="BG65" s="915">
        <f t="shared" si="81"/>
        <v>0</v>
      </c>
      <c r="BH65" s="915">
        <f t="shared" si="82"/>
        <v>0</v>
      </c>
      <c r="BI65" s="915">
        <f t="shared" si="83"/>
        <v>0</v>
      </c>
      <c r="BJ65" s="915">
        <f t="shared" si="22"/>
        <v>0</v>
      </c>
      <c r="BK65" s="915">
        <f t="shared" si="23"/>
        <v>0</v>
      </c>
      <c r="BL65" s="915">
        <f t="shared" si="24"/>
        <v>0</v>
      </c>
      <c r="BM65" s="915">
        <f t="shared" si="25"/>
        <v>0</v>
      </c>
      <c r="BN65" s="915">
        <f t="shared" si="26"/>
        <v>0</v>
      </c>
      <c r="BO65" s="915">
        <f t="shared" si="27"/>
        <v>0</v>
      </c>
      <c r="BP65" s="915">
        <f t="shared" si="28"/>
        <v>0</v>
      </c>
      <c r="BQ65" s="915">
        <f t="shared" si="29"/>
        <v>0</v>
      </c>
      <c r="BR65" s="915">
        <f t="shared" si="30"/>
        <v>0</v>
      </c>
      <c r="BS65" s="915">
        <f t="shared" si="31"/>
        <v>0</v>
      </c>
      <c r="BT65" s="915">
        <f t="shared" si="128"/>
        <v>0</v>
      </c>
      <c r="BU65" s="915">
        <f t="shared" si="128"/>
        <v>0</v>
      </c>
      <c r="BV65" s="915">
        <f t="shared" si="85"/>
        <v>0</v>
      </c>
      <c r="BW65" s="915">
        <f t="shared" si="86"/>
        <v>0</v>
      </c>
      <c r="BX65" s="915">
        <f t="shared" si="87"/>
        <v>0</v>
      </c>
      <c r="BY65" s="915">
        <f t="shared" si="88"/>
        <v>0</v>
      </c>
      <c r="BZ65" s="915">
        <f t="shared" si="89"/>
        <v>0</v>
      </c>
      <c r="CA65" s="915">
        <f t="shared" si="90"/>
        <v>10.6</v>
      </c>
      <c r="CB65" s="915">
        <f t="shared" si="91"/>
        <v>0</v>
      </c>
      <c r="CC65" s="915">
        <f t="shared" si="92"/>
        <v>0</v>
      </c>
      <c r="CD65" s="915">
        <f t="shared" si="32"/>
        <v>0</v>
      </c>
      <c r="CE65" s="915">
        <f t="shared" si="33"/>
        <v>0</v>
      </c>
      <c r="CF65" s="915">
        <f t="shared" si="34"/>
        <v>0</v>
      </c>
      <c r="CG65" s="915">
        <f t="shared" si="35"/>
        <v>0</v>
      </c>
      <c r="CH65" s="915">
        <f t="shared" si="36"/>
        <v>0</v>
      </c>
      <c r="CI65" s="915">
        <f t="shared" si="37"/>
        <v>0</v>
      </c>
      <c r="CJ65" s="915">
        <f t="shared" si="38"/>
        <v>0</v>
      </c>
      <c r="CK65" s="915">
        <f t="shared" si="39"/>
        <v>0</v>
      </c>
      <c r="CL65" s="915">
        <f t="shared" si="40"/>
        <v>0</v>
      </c>
      <c r="CM65" s="915">
        <f t="shared" si="41"/>
        <v>0</v>
      </c>
      <c r="CN65" s="915">
        <f t="shared" si="93"/>
        <v>0</v>
      </c>
      <c r="CO65" s="915">
        <f t="shared" si="94"/>
        <v>0</v>
      </c>
      <c r="CP65" s="915">
        <f t="shared" si="95"/>
        <v>0</v>
      </c>
      <c r="CQ65" s="915">
        <f t="shared" si="96"/>
        <v>0</v>
      </c>
      <c r="CR65" s="915">
        <f t="shared" si="97"/>
        <v>0</v>
      </c>
      <c r="CS65" s="915">
        <f t="shared" si="98"/>
        <v>0</v>
      </c>
      <c r="CT65" s="915">
        <f t="shared" si="99"/>
        <v>0</v>
      </c>
      <c r="CU65" s="915">
        <f t="shared" si="100"/>
        <v>0</v>
      </c>
      <c r="CV65" s="915">
        <f t="shared" si="101"/>
        <v>0</v>
      </c>
      <c r="CW65" s="915">
        <f t="shared" si="102"/>
        <v>0</v>
      </c>
      <c r="CX65" s="915">
        <f t="shared" si="42"/>
        <v>0</v>
      </c>
      <c r="CY65" s="915">
        <f t="shared" si="43"/>
        <v>0</v>
      </c>
      <c r="CZ65" s="915">
        <f t="shared" si="44"/>
        <v>0</v>
      </c>
      <c r="DA65" s="915">
        <f t="shared" si="45"/>
        <v>0</v>
      </c>
      <c r="DB65" s="915">
        <f t="shared" si="46"/>
        <v>0</v>
      </c>
      <c r="DC65" s="915">
        <f t="shared" si="47"/>
        <v>0</v>
      </c>
      <c r="DD65" s="915">
        <f t="shared" si="48"/>
        <v>0</v>
      </c>
      <c r="DE65" s="915">
        <f t="shared" si="49"/>
        <v>0</v>
      </c>
      <c r="DF65" s="915">
        <f t="shared" si="50"/>
        <v>0</v>
      </c>
      <c r="DG65" s="915">
        <f t="shared" si="51"/>
        <v>0</v>
      </c>
      <c r="DH65" s="915">
        <f t="shared" si="103"/>
        <v>0</v>
      </c>
      <c r="DI65" s="915">
        <f t="shared" si="104"/>
        <v>0</v>
      </c>
      <c r="DJ65" s="915">
        <f t="shared" si="105"/>
        <v>0</v>
      </c>
      <c r="DK65" s="915">
        <f t="shared" si="106"/>
        <v>0</v>
      </c>
      <c r="DL65" s="915">
        <f t="shared" si="107"/>
        <v>0</v>
      </c>
      <c r="DM65" s="915">
        <f t="shared" si="108"/>
        <v>0</v>
      </c>
      <c r="DN65" s="915">
        <f t="shared" si="109"/>
        <v>0</v>
      </c>
      <c r="DO65" s="915">
        <f t="shared" si="110"/>
        <v>0</v>
      </c>
      <c r="DP65" s="915">
        <f t="shared" si="111"/>
        <v>0</v>
      </c>
      <c r="DQ65" s="915">
        <f t="shared" si="112"/>
        <v>0</v>
      </c>
      <c r="DR65" s="915">
        <f t="shared" si="52"/>
        <v>0</v>
      </c>
      <c r="DS65" s="915">
        <f t="shared" si="53"/>
        <v>0</v>
      </c>
      <c r="DT65" s="915">
        <f t="shared" si="54"/>
        <v>0</v>
      </c>
      <c r="DU65" s="915">
        <f t="shared" si="55"/>
        <v>0</v>
      </c>
      <c r="DV65" s="915">
        <f t="shared" si="56"/>
        <v>0</v>
      </c>
      <c r="DW65" s="915">
        <f t="shared" si="57"/>
        <v>0</v>
      </c>
      <c r="DX65" s="915">
        <f t="shared" si="58"/>
        <v>0</v>
      </c>
      <c r="DY65" s="915">
        <f t="shared" si="59"/>
        <v>0</v>
      </c>
      <c r="DZ65" s="915">
        <f t="shared" si="60"/>
        <v>0</v>
      </c>
      <c r="EA65" s="915">
        <f t="shared" si="131"/>
        <v>0</v>
      </c>
      <c r="EB65" s="915">
        <f t="shared" si="113"/>
        <v>0</v>
      </c>
      <c r="EC65" s="915">
        <f t="shared" si="114"/>
        <v>0</v>
      </c>
      <c r="ED65" s="915">
        <f t="shared" si="115"/>
        <v>0</v>
      </c>
      <c r="EE65" s="915">
        <f t="shared" si="116"/>
        <v>0</v>
      </c>
      <c r="EF65" s="915">
        <f t="shared" si="117"/>
        <v>0</v>
      </c>
      <c r="EG65" s="915">
        <f t="shared" si="118"/>
        <v>0</v>
      </c>
      <c r="EH65" s="915">
        <f t="shared" si="119"/>
        <v>0</v>
      </c>
      <c r="EI65" s="915">
        <f t="shared" si="120"/>
        <v>0</v>
      </c>
      <c r="EJ65" s="915">
        <f t="shared" si="121"/>
        <v>0</v>
      </c>
      <c r="EK65" s="915">
        <f t="shared" si="122"/>
        <v>0</v>
      </c>
      <c r="EL65" s="915"/>
      <c r="EN65" s="533"/>
      <c r="EQ65" s="534"/>
    </row>
    <row r="66" spans="1:147" ht="14.1" customHeight="1" x14ac:dyDescent="0.2">
      <c r="A66" s="496">
        <v>59</v>
      </c>
      <c r="B66" s="1419"/>
      <c r="C66" s="1420"/>
      <c r="D66" s="264">
        <v>19</v>
      </c>
      <c r="E66" s="264" t="s">
        <v>515</v>
      </c>
      <c r="F66" s="270" t="s">
        <v>2544</v>
      </c>
      <c r="G66" s="271">
        <v>1</v>
      </c>
      <c r="H66" s="803">
        <v>10</v>
      </c>
      <c r="I66" s="800">
        <f t="shared" si="129"/>
        <v>0.6</v>
      </c>
      <c r="J66" s="269">
        <f t="shared" si="130"/>
        <v>10.6</v>
      </c>
      <c r="K66" s="225"/>
      <c r="L66" s="941" t="str">
        <f>TabName19 &amp; " - SOLID"</f>
        <v>Phase 19 - SOLID</v>
      </c>
      <c r="M66" s="942">
        <f>CB6</f>
        <v>10.6</v>
      </c>
      <c r="N66" s="949"/>
      <c r="V66" s="915">
        <f t="shared" si="3"/>
        <v>0</v>
      </c>
      <c r="W66" s="915">
        <f t="shared" si="4"/>
        <v>0</v>
      </c>
      <c r="X66" s="915">
        <f t="shared" si="5"/>
        <v>0</v>
      </c>
      <c r="Y66" s="915">
        <f t="shared" si="6"/>
        <v>0</v>
      </c>
      <c r="Z66" s="915">
        <f t="shared" si="7"/>
        <v>0</v>
      </c>
      <c r="AA66" s="915">
        <f t="shared" si="8"/>
        <v>0</v>
      </c>
      <c r="AB66" s="915">
        <f t="shared" si="9"/>
        <v>0</v>
      </c>
      <c r="AC66" s="915">
        <f t="shared" si="10"/>
        <v>0</v>
      </c>
      <c r="AD66" s="915">
        <f t="shared" si="11"/>
        <v>0</v>
      </c>
      <c r="AE66" s="915">
        <f t="shared" si="12"/>
        <v>0</v>
      </c>
      <c r="AF66" s="915">
        <f t="shared" si="63"/>
        <v>0</v>
      </c>
      <c r="AG66" s="915">
        <f t="shared" si="64"/>
        <v>0</v>
      </c>
      <c r="AH66" s="915">
        <f t="shared" si="65"/>
        <v>0</v>
      </c>
      <c r="AI66" s="915">
        <f t="shared" si="66"/>
        <v>0</v>
      </c>
      <c r="AJ66" s="915">
        <f t="shared" si="67"/>
        <v>0</v>
      </c>
      <c r="AK66" s="915">
        <f t="shared" si="68"/>
        <v>0</v>
      </c>
      <c r="AL66" s="915">
        <f t="shared" si="69"/>
        <v>0</v>
      </c>
      <c r="AM66" s="915">
        <f t="shared" si="70"/>
        <v>0</v>
      </c>
      <c r="AN66" s="915">
        <f t="shared" si="71"/>
        <v>0</v>
      </c>
      <c r="AO66" s="915">
        <f t="shared" si="72"/>
        <v>0</v>
      </c>
      <c r="AP66" s="915">
        <f t="shared" si="13"/>
        <v>0</v>
      </c>
      <c r="AQ66" s="915">
        <f t="shared" si="14"/>
        <v>0</v>
      </c>
      <c r="AR66" s="915">
        <f t="shared" si="15"/>
        <v>0</v>
      </c>
      <c r="AS66" s="915">
        <f t="shared" si="16"/>
        <v>0</v>
      </c>
      <c r="AT66" s="915">
        <f t="shared" si="17"/>
        <v>0</v>
      </c>
      <c r="AU66" s="915">
        <f t="shared" si="18"/>
        <v>0</v>
      </c>
      <c r="AV66" s="915">
        <f t="shared" si="19"/>
        <v>0</v>
      </c>
      <c r="AW66" s="915">
        <f t="shared" si="20"/>
        <v>0</v>
      </c>
      <c r="AX66" s="915">
        <f t="shared" si="21"/>
        <v>0</v>
      </c>
      <c r="AY66" s="915">
        <f t="shared" si="73"/>
        <v>0</v>
      </c>
      <c r="AZ66" s="915">
        <f t="shared" si="74"/>
        <v>0</v>
      </c>
      <c r="BA66" s="915">
        <f t="shared" si="75"/>
        <v>0</v>
      </c>
      <c r="BB66" s="915">
        <f t="shared" si="76"/>
        <v>0</v>
      </c>
      <c r="BC66" s="915">
        <f t="shared" si="77"/>
        <v>0</v>
      </c>
      <c r="BD66" s="915">
        <f t="shared" si="78"/>
        <v>0</v>
      </c>
      <c r="BE66" s="915">
        <f t="shared" si="79"/>
        <v>0</v>
      </c>
      <c r="BF66" s="915">
        <f t="shared" si="80"/>
        <v>0</v>
      </c>
      <c r="BG66" s="915">
        <f t="shared" si="81"/>
        <v>0</v>
      </c>
      <c r="BH66" s="915">
        <f t="shared" si="82"/>
        <v>0</v>
      </c>
      <c r="BI66" s="915">
        <f t="shared" si="83"/>
        <v>0</v>
      </c>
      <c r="BJ66" s="915">
        <f t="shared" si="22"/>
        <v>0</v>
      </c>
      <c r="BK66" s="915">
        <f t="shared" si="23"/>
        <v>0</v>
      </c>
      <c r="BL66" s="915">
        <f t="shared" si="24"/>
        <v>0</v>
      </c>
      <c r="BM66" s="915">
        <f t="shared" si="25"/>
        <v>0</v>
      </c>
      <c r="BN66" s="915">
        <f t="shared" si="26"/>
        <v>0</v>
      </c>
      <c r="BO66" s="915">
        <f t="shared" si="27"/>
        <v>0</v>
      </c>
      <c r="BP66" s="915">
        <f t="shared" si="28"/>
        <v>0</v>
      </c>
      <c r="BQ66" s="915">
        <f t="shared" si="29"/>
        <v>0</v>
      </c>
      <c r="BR66" s="915">
        <f t="shared" si="30"/>
        <v>0</v>
      </c>
      <c r="BS66" s="915">
        <f t="shared" si="31"/>
        <v>0</v>
      </c>
      <c r="BT66" s="915">
        <f t="shared" si="128"/>
        <v>0</v>
      </c>
      <c r="BU66" s="915">
        <f t="shared" si="128"/>
        <v>0</v>
      </c>
      <c r="BV66" s="915">
        <f t="shared" si="85"/>
        <v>0</v>
      </c>
      <c r="BW66" s="915">
        <f t="shared" si="86"/>
        <v>0</v>
      </c>
      <c r="BX66" s="915">
        <f t="shared" si="87"/>
        <v>0</v>
      </c>
      <c r="BY66" s="915">
        <f t="shared" si="88"/>
        <v>0</v>
      </c>
      <c r="BZ66" s="915">
        <f t="shared" si="89"/>
        <v>0</v>
      </c>
      <c r="CA66" s="915">
        <f t="shared" si="90"/>
        <v>0</v>
      </c>
      <c r="CB66" s="915">
        <f t="shared" si="91"/>
        <v>10.6</v>
      </c>
      <c r="CC66" s="915">
        <f t="shared" si="92"/>
        <v>0</v>
      </c>
      <c r="CD66" s="915">
        <f t="shared" si="32"/>
        <v>0</v>
      </c>
      <c r="CE66" s="915">
        <f t="shared" si="33"/>
        <v>0</v>
      </c>
      <c r="CF66" s="915">
        <f t="shared" si="34"/>
        <v>0</v>
      </c>
      <c r="CG66" s="915">
        <f t="shared" si="35"/>
        <v>0</v>
      </c>
      <c r="CH66" s="915">
        <f t="shared" si="36"/>
        <v>0</v>
      </c>
      <c r="CI66" s="915">
        <f t="shared" si="37"/>
        <v>0</v>
      </c>
      <c r="CJ66" s="915">
        <f t="shared" si="38"/>
        <v>0</v>
      </c>
      <c r="CK66" s="915">
        <f t="shared" si="39"/>
        <v>0</v>
      </c>
      <c r="CL66" s="915">
        <f t="shared" si="40"/>
        <v>0</v>
      </c>
      <c r="CM66" s="915">
        <f t="shared" si="41"/>
        <v>0</v>
      </c>
      <c r="CN66" s="915">
        <f t="shared" si="93"/>
        <v>0</v>
      </c>
      <c r="CO66" s="915">
        <f t="shared" si="94"/>
        <v>0</v>
      </c>
      <c r="CP66" s="915">
        <f t="shared" si="95"/>
        <v>0</v>
      </c>
      <c r="CQ66" s="915">
        <f t="shared" si="96"/>
        <v>0</v>
      </c>
      <c r="CR66" s="915">
        <f t="shared" si="97"/>
        <v>0</v>
      </c>
      <c r="CS66" s="915">
        <f t="shared" si="98"/>
        <v>0</v>
      </c>
      <c r="CT66" s="915">
        <f t="shared" si="99"/>
        <v>0</v>
      </c>
      <c r="CU66" s="915">
        <f t="shared" si="100"/>
        <v>0</v>
      </c>
      <c r="CV66" s="915">
        <f t="shared" si="101"/>
        <v>0</v>
      </c>
      <c r="CW66" s="915">
        <f t="shared" si="102"/>
        <v>0</v>
      </c>
      <c r="CX66" s="915">
        <f t="shared" si="42"/>
        <v>0</v>
      </c>
      <c r="CY66" s="915">
        <f t="shared" si="43"/>
        <v>0</v>
      </c>
      <c r="CZ66" s="915">
        <f t="shared" si="44"/>
        <v>0</v>
      </c>
      <c r="DA66" s="915">
        <f t="shared" si="45"/>
        <v>0</v>
      </c>
      <c r="DB66" s="915">
        <f t="shared" si="46"/>
        <v>0</v>
      </c>
      <c r="DC66" s="915">
        <f t="shared" si="47"/>
        <v>0</v>
      </c>
      <c r="DD66" s="915">
        <f t="shared" si="48"/>
        <v>0</v>
      </c>
      <c r="DE66" s="915">
        <f t="shared" si="49"/>
        <v>0</v>
      </c>
      <c r="DF66" s="915">
        <f t="shared" si="50"/>
        <v>0</v>
      </c>
      <c r="DG66" s="915">
        <f t="shared" si="51"/>
        <v>0</v>
      </c>
      <c r="DH66" s="915">
        <f t="shared" si="103"/>
        <v>0</v>
      </c>
      <c r="DI66" s="915">
        <f t="shared" si="104"/>
        <v>0</v>
      </c>
      <c r="DJ66" s="915">
        <f t="shared" si="105"/>
        <v>0</v>
      </c>
      <c r="DK66" s="915">
        <f t="shared" si="106"/>
        <v>0</v>
      </c>
      <c r="DL66" s="915">
        <f t="shared" si="107"/>
        <v>0</v>
      </c>
      <c r="DM66" s="915">
        <f t="shared" si="108"/>
        <v>0</v>
      </c>
      <c r="DN66" s="915">
        <f t="shared" si="109"/>
        <v>0</v>
      </c>
      <c r="DO66" s="915">
        <f t="shared" si="110"/>
        <v>0</v>
      </c>
      <c r="DP66" s="915">
        <f t="shared" si="111"/>
        <v>0</v>
      </c>
      <c r="DQ66" s="915">
        <f t="shared" si="112"/>
        <v>0</v>
      </c>
      <c r="DR66" s="915">
        <f t="shared" si="52"/>
        <v>0</v>
      </c>
      <c r="DS66" s="915">
        <f t="shared" si="53"/>
        <v>0</v>
      </c>
      <c r="DT66" s="915">
        <f t="shared" si="54"/>
        <v>0</v>
      </c>
      <c r="DU66" s="915">
        <f t="shared" si="55"/>
        <v>0</v>
      </c>
      <c r="DV66" s="915">
        <f t="shared" si="56"/>
        <v>0</v>
      </c>
      <c r="DW66" s="915">
        <f t="shared" si="57"/>
        <v>0</v>
      </c>
      <c r="DX66" s="915">
        <f t="shared" si="58"/>
        <v>0</v>
      </c>
      <c r="DY66" s="915">
        <f t="shared" si="59"/>
        <v>0</v>
      </c>
      <c r="DZ66" s="915">
        <f t="shared" si="60"/>
        <v>0</v>
      </c>
      <c r="EA66" s="915">
        <f t="shared" si="131"/>
        <v>0</v>
      </c>
      <c r="EB66" s="915">
        <f t="shared" si="113"/>
        <v>0</v>
      </c>
      <c r="EC66" s="915">
        <f t="shared" si="114"/>
        <v>0</v>
      </c>
      <c r="ED66" s="915">
        <f t="shared" si="115"/>
        <v>0</v>
      </c>
      <c r="EE66" s="915">
        <f t="shared" si="116"/>
        <v>0</v>
      </c>
      <c r="EF66" s="915">
        <f t="shared" si="117"/>
        <v>0</v>
      </c>
      <c r="EG66" s="915">
        <f t="shared" si="118"/>
        <v>0</v>
      </c>
      <c r="EH66" s="915">
        <f t="shared" si="119"/>
        <v>0</v>
      </c>
      <c r="EI66" s="915">
        <f t="shared" si="120"/>
        <v>0</v>
      </c>
      <c r="EJ66" s="915">
        <f t="shared" si="121"/>
        <v>0</v>
      </c>
      <c r="EK66" s="915">
        <f t="shared" si="122"/>
        <v>0</v>
      </c>
      <c r="EL66" s="915"/>
      <c r="EN66" s="533"/>
      <c r="EQ66" s="534"/>
    </row>
    <row r="67" spans="1:147" ht="14.1" customHeight="1" x14ac:dyDescent="0.2">
      <c r="A67" s="1026">
        <v>60</v>
      </c>
      <c r="B67" s="1005"/>
      <c r="C67" s="1008"/>
      <c r="D67" s="138">
        <v>20</v>
      </c>
      <c r="E67" s="138" t="s">
        <v>515</v>
      </c>
      <c r="F67" s="139" t="s">
        <v>2544</v>
      </c>
      <c r="G67" s="91">
        <v>1</v>
      </c>
      <c r="H67" s="1022">
        <v>10</v>
      </c>
      <c r="I67" s="801">
        <f t="shared" si="129"/>
        <v>0.6</v>
      </c>
      <c r="J67" s="1021">
        <f t="shared" si="130"/>
        <v>10.6</v>
      </c>
      <c r="K67" s="225"/>
      <c r="L67" s="941" t="str">
        <f>TabName20 &amp; " - SOLID"</f>
        <v>Phase 20 - SOLID</v>
      </c>
      <c r="M67" s="942">
        <f>CC6</f>
        <v>10.6</v>
      </c>
      <c r="N67" s="949"/>
      <c r="V67" s="915">
        <f t="shared" si="3"/>
        <v>0</v>
      </c>
      <c r="W67" s="915">
        <f t="shared" si="4"/>
        <v>0</v>
      </c>
      <c r="X67" s="915">
        <f t="shared" si="5"/>
        <v>0</v>
      </c>
      <c r="Y67" s="915">
        <f t="shared" si="6"/>
        <v>0</v>
      </c>
      <c r="Z67" s="915">
        <f t="shared" si="7"/>
        <v>0</v>
      </c>
      <c r="AA67" s="915">
        <f t="shared" si="8"/>
        <v>0</v>
      </c>
      <c r="AB67" s="915">
        <f t="shared" si="9"/>
        <v>0</v>
      </c>
      <c r="AC67" s="915">
        <f t="shared" si="10"/>
        <v>0</v>
      </c>
      <c r="AD67" s="915">
        <f t="shared" si="11"/>
        <v>0</v>
      </c>
      <c r="AE67" s="915">
        <f t="shared" si="12"/>
        <v>0</v>
      </c>
      <c r="AF67" s="915">
        <f t="shared" si="63"/>
        <v>0</v>
      </c>
      <c r="AG67" s="915">
        <f t="shared" si="64"/>
        <v>0</v>
      </c>
      <c r="AH67" s="915">
        <f t="shared" si="65"/>
        <v>0</v>
      </c>
      <c r="AI67" s="915">
        <f t="shared" si="66"/>
        <v>0</v>
      </c>
      <c r="AJ67" s="915">
        <f t="shared" si="67"/>
        <v>0</v>
      </c>
      <c r="AK67" s="915">
        <f t="shared" si="68"/>
        <v>0</v>
      </c>
      <c r="AL67" s="915">
        <f t="shared" si="69"/>
        <v>0</v>
      </c>
      <c r="AM67" s="915">
        <f t="shared" si="70"/>
        <v>0</v>
      </c>
      <c r="AN67" s="915">
        <f t="shared" si="71"/>
        <v>0</v>
      </c>
      <c r="AO67" s="915">
        <f t="shared" si="72"/>
        <v>0</v>
      </c>
      <c r="AP67" s="915">
        <f t="shared" si="13"/>
        <v>0</v>
      </c>
      <c r="AQ67" s="915">
        <f t="shared" si="14"/>
        <v>0</v>
      </c>
      <c r="AR67" s="915">
        <f t="shared" si="15"/>
        <v>0</v>
      </c>
      <c r="AS67" s="915">
        <f t="shared" si="16"/>
        <v>0</v>
      </c>
      <c r="AT67" s="915">
        <f t="shared" si="17"/>
        <v>0</v>
      </c>
      <c r="AU67" s="915">
        <f t="shared" si="18"/>
        <v>0</v>
      </c>
      <c r="AV67" s="915">
        <f t="shared" si="19"/>
        <v>0</v>
      </c>
      <c r="AW67" s="915">
        <f t="shared" si="20"/>
        <v>0</v>
      </c>
      <c r="AX67" s="915">
        <f t="shared" si="21"/>
        <v>0</v>
      </c>
      <c r="AY67" s="915">
        <f t="shared" si="73"/>
        <v>0</v>
      </c>
      <c r="AZ67" s="915">
        <f t="shared" si="74"/>
        <v>0</v>
      </c>
      <c r="BA67" s="915">
        <f t="shared" si="75"/>
        <v>0</v>
      </c>
      <c r="BB67" s="915">
        <f t="shared" si="76"/>
        <v>0</v>
      </c>
      <c r="BC67" s="915">
        <f t="shared" si="77"/>
        <v>0</v>
      </c>
      <c r="BD67" s="915">
        <f t="shared" si="78"/>
        <v>0</v>
      </c>
      <c r="BE67" s="915">
        <f t="shared" si="79"/>
        <v>0</v>
      </c>
      <c r="BF67" s="915">
        <f t="shared" si="80"/>
        <v>0</v>
      </c>
      <c r="BG67" s="915">
        <f t="shared" si="81"/>
        <v>0</v>
      </c>
      <c r="BH67" s="915">
        <f t="shared" si="82"/>
        <v>0</v>
      </c>
      <c r="BI67" s="915">
        <f t="shared" si="83"/>
        <v>0</v>
      </c>
      <c r="BJ67" s="915">
        <f t="shared" si="22"/>
        <v>0</v>
      </c>
      <c r="BK67" s="915">
        <f t="shared" si="23"/>
        <v>0</v>
      </c>
      <c r="BL67" s="915">
        <f t="shared" si="24"/>
        <v>0</v>
      </c>
      <c r="BM67" s="915">
        <f t="shared" si="25"/>
        <v>0</v>
      </c>
      <c r="BN67" s="915">
        <f t="shared" si="26"/>
        <v>0</v>
      </c>
      <c r="BO67" s="915">
        <f t="shared" si="27"/>
        <v>0</v>
      </c>
      <c r="BP67" s="915">
        <f t="shared" si="28"/>
        <v>0</v>
      </c>
      <c r="BQ67" s="915">
        <f t="shared" si="29"/>
        <v>0</v>
      </c>
      <c r="BR67" s="915">
        <f t="shared" si="30"/>
        <v>0</v>
      </c>
      <c r="BS67" s="915">
        <f t="shared" si="31"/>
        <v>0</v>
      </c>
      <c r="BT67" s="915">
        <f t="shared" si="128"/>
        <v>0</v>
      </c>
      <c r="BU67" s="915">
        <f t="shared" si="128"/>
        <v>0</v>
      </c>
      <c r="BV67" s="915">
        <f t="shared" si="85"/>
        <v>0</v>
      </c>
      <c r="BW67" s="915">
        <f t="shared" si="86"/>
        <v>0</v>
      </c>
      <c r="BX67" s="915">
        <f t="shared" si="87"/>
        <v>0</v>
      </c>
      <c r="BY67" s="915">
        <f t="shared" si="88"/>
        <v>0</v>
      </c>
      <c r="BZ67" s="915">
        <f t="shared" si="89"/>
        <v>0</v>
      </c>
      <c r="CA67" s="915">
        <f t="shared" si="90"/>
        <v>0</v>
      </c>
      <c r="CB67" s="915">
        <f t="shared" si="91"/>
        <v>0</v>
      </c>
      <c r="CC67" s="915">
        <f t="shared" si="92"/>
        <v>10.6</v>
      </c>
      <c r="CD67" s="915">
        <f t="shared" si="32"/>
        <v>0</v>
      </c>
      <c r="CE67" s="915">
        <f t="shared" si="33"/>
        <v>0</v>
      </c>
      <c r="CF67" s="915">
        <f t="shared" si="34"/>
        <v>0</v>
      </c>
      <c r="CG67" s="915">
        <f t="shared" si="35"/>
        <v>0</v>
      </c>
      <c r="CH67" s="915">
        <f t="shared" si="36"/>
        <v>0</v>
      </c>
      <c r="CI67" s="915">
        <f t="shared" si="37"/>
        <v>0</v>
      </c>
      <c r="CJ67" s="915">
        <f t="shared" si="38"/>
        <v>0</v>
      </c>
      <c r="CK67" s="915">
        <f t="shared" si="39"/>
        <v>0</v>
      </c>
      <c r="CL67" s="915">
        <f t="shared" si="40"/>
        <v>0</v>
      </c>
      <c r="CM67" s="915">
        <f t="shared" si="41"/>
        <v>0</v>
      </c>
      <c r="CN67" s="915">
        <f t="shared" si="93"/>
        <v>0</v>
      </c>
      <c r="CO67" s="915">
        <f t="shared" si="94"/>
        <v>0</v>
      </c>
      <c r="CP67" s="915">
        <f t="shared" si="95"/>
        <v>0</v>
      </c>
      <c r="CQ67" s="915">
        <f t="shared" si="96"/>
        <v>0</v>
      </c>
      <c r="CR67" s="915">
        <f t="shared" si="97"/>
        <v>0</v>
      </c>
      <c r="CS67" s="915">
        <f t="shared" si="98"/>
        <v>0</v>
      </c>
      <c r="CT67" s="915">
        <f t="shared" si="99"/>
        <v>0</v>
      </c>
      <c r="CU67" s="915">
        <f t="shared" si="100"/>
        <v>0</v>
      </c>
      <c r="CV67" s="915">
        <f t="shared" si="101"/>
        <v>0</v>
      </c>
      <c r="CW67" s="915">
        <f t="shared" si="102"/>
        <v>0</v>
      </c>
      <c r="CX67" s="915">
        <f t="shared" si="42"/>
        <v>0</v>
      </c>
      <c r="CY67" s="915">
        <f t="shared" si="43"/>
        <v>0</v>
      </c>
      <c r="CZ67" s="915">
        <f t="shared" si="44"/>
        <v>0</v>
      </c>
      <c r="DA67" s="915">
        <f t="shared" si="45"/>
        <v>0</v>
      </c>
      <c r="DB67" s="915">
        <f t="shared" si="46"/>
        <v>0</v>
      </c>
      <c r="DC67" s="915">
        <f t="shared" si="47"/>
        <v>0</v>
      </c>
      <c r="DD67" s="915">
        <f t="shared" si="48"/>
        <v>0</v>
      </c>
      <c r="DE67" s="915">
        <f t="shared" si="49"/>
        <v>0</v>
      </c>
      <c r="DF67" s="915">
        <f t="shared" si="50"/>
        <v>0</v>
      </c>
      <c r="DG67" s="915">
        <f t="shared" si="51"/>
        <v>0</v>
      </c>
      <c r="DH67" s="915">
        <f t="shared" si="103"/>
        <v>0</v>
      </c>
      <c r="DI67" s="915">
        <f t="shared" si="104"/>
        <v>0</v>
      </c>
      <c r="DJ67" s="915">
        <f t="shared" si="105"/>
        <v>0</v>
      </c>
      <c r="DK67" s="915">
        <f t="shared" si="106"/>
        <v>0</v>
      </c>
      <c r="DL67" s="915">
        <f t="shared" si="107"/>
        <v>0</v>
      </c>
      <c r="DM67" s="915">
        <f t="shared" si="108"/>
        <v>0</v>
      </c>
      <c r="DN67" s="915">
        <f t="shared" si="109"/>
        <v>0</v>
      </c>
      <c r="DO67" s="915">
        <f t="shared" si="110"/>
        <v>0</v>
      </c>
      <c r="DP67" s="915">
        <f t="shared" si="111"/>
        <v>0</v>
      </c>
      <c r="DQ67" s="915">
        <f t="shared" si="112"/>
        <v>0</v>
      </c>
      <c r="DR67" s="915">
        <f t="shared" si="52"/>
        <v>0</v>
      </c>
      <c r="DS67" s="915">
        <f t="shared" si="53"/>
        <v>0</v>
      </c>
      <c r="DT67" s="915">
        <f t="shared" si="54"/>
        <v>0</v>
      </c>
      <c r="DU67" s="915">
        <f t="shared" si="55"/>
        <v>0</v>
      </c>
      <c r="DV67" s="915">
        <f t="shared" si="56"/>
        <v>0</v>
      </c>
      <c r="DW67" s="915">
        <f t="shared" si="57"/>
        <v>0</v>
      </c>
      <c r="DX67" s="915">
        <f t="shared" si="58"/>
        <v>0</v>
      </c>
      <c r="DY67" s="915">
        <f t="shared" si="59"/>
        <v>0</v>
      </c>
      <c r="DZ67" s="915">
        <f t="shared" si="60"/>
        <v>0</v>
      </c>
      <c r="EA67" s="915">
        <f t="shared" si="131"/>
        <v>0</v>
      </c>
      <c r="EB67" s="915">
        <f t="shared" si="113"/>
        <v>0</v>
      </c>
      <c r="EC67" s="915">
        <f t="shared" si="114"/>
        <v>0</v>
      </c>
      <c r="ED67" s="915">
        <f t="shared" si="115"/>
        <v>0</v>
      </c>
      <c r="EE67" s="915">
        <f t="shared" si="116"/>
        <v>0</v>
      </c>
      <c r="EF67" s="915">
        <f t="shared" si="117"/>
        <v>0</v>
      </c>
      <c r="EG67" s="915">
        <f t="shared" si="118"/>
        <v>0</v>
      </c>
      <c r="EH67" s="915">
        <f t="shared" si="119"/>
        <v>0</v>
      </c>
      <c r="EI67" s="915">
        <f t="shared" si="120"/>
        <v>0</v>
      </c>
      <c r="EJ67" s="915">
        <f t="shared" si="121"/>
        <v>0</v>
      </c>
      <c r="EK67" s="915">
        <f t="shared" si="122"/>
        <v>0</v>
      </c>
      <c r="EL67" s="915"/>
      <c r="EN67" s="533"/>
      <c r="EQ67" s="534"/>
    </row>
    <row r="68" spans="1:147" ht="14.1" customHeight="1" x14ac:dyDescent="0.2">
      <c r="A68" s="496">
        <v>61</v>
      </c>
      <c r="B68" s="1419"/>
      <c r="C68" s="1420"/>
      <c r="D68" s="264">
        <v>1</v>
      </c>
      <c r="E68" s="264" t="s">
        <v>167</v>
      </c>
      <c r="F68" s="270" t="s">
        <v>2544</v>
      </c>
      <c r="G68" s="271">
        <v>1</v>
      </c>
      <c r="H68" s="803">
        <v>10</v>
      </c>
      <c r="I68" s="800">
        <f t="shared" si="129"/>
        <v>0.6</v>
      </c>
      <c r="J68" s="269">
        <f t="shared" si="130"/>
        <v>10.6</v>
      </c>
      <c r="K68" s="225"/>
      <c r="L68" s="941" t="str">
        <f>TabName1 &amp; " - AIR"</f>
        <v>Phase 1 - AIR</v>
      </c>
      <c r="M68" s="942">
        <f>CD6</f>
        <v>10.6</v>
      </c>
      <c r="N68" s="949"/>
      <c r="V68" s="915">
        <f t="shared" si="3"/>
        <v>0</v>
      </c>
      <c r="W68" s="915">
        <f t="shared" si="4"/>
        <v>0</v>
      </c>
      <c r="X68" s="915">
        <f t="shared" si="5"/>
        <v>0</v>
      </c>
      <c r="Y68" s="915">
        <f t="shared" si="6"/>
        <v>0</v>
      </c>
      <c r="Z68" s="915">
        <f t="shared" si="7"/>
        <v>0</v>
      </c>
      <c r="AA68" s="915">
        <f t="shared" si="8"/>
        <v>0</v>
      </c>
      <c r="AB68" s="915">
        <f t="shared" si="9"/>
        <v>0</v>
      </c>
      <c r="AC68" s="915">
        <f t="shared" si="10"/>
        <v>0</v>
      </c>
      <c r="AD68" s="915">
        <f t="shared" si="11"/>
        <v>0</v>
      </c>
      <c r="AE68" s="915">
        <f t="shared" si="12"/>
        <v>0</v>
      </c>
      <c r="AF68" s="915">
        <f t="shared" si="63"/>
        <v>0</v>
      </c>
      <c r="AG68" s="915">
        <f t="shared" si="64"/>
        <v>0</v>
      </c>
      <c r="AH68" s="915">
        <f t="shared" si="65"/>
        <v>0</v>
      </c>
      <c r="AI68" s="915">
        <f t="shared" si="66"/>
        <v>0</v>
      </c>
      <c r="AJ68" s="915">
        <f t="shared" si="67"/>
        <v>0</v>
      </c>
      <c r="AK68" s="915">
        <f t="shared" si="68"/>
        <v>0</v>
      </c>
      <c r="AL68" s="915">
        <f t="shared" si="69"/>
        <v>0</v>
      </c>
      <c r="AM68" s="915">
        <f t="shared" si="70"/>
        <v>0</v>
      </c>
      <c r="AN68" s="915">
        <f t="shared" si="71"/>
        <v>0</v>
      </c>
      <c r="AO68" s="915">
        <f t="shared" si="72"/>
        <v>0</v>
      </c>
      <c r="AP68" s="915">
        <f t="shared" si="13"/>
        <v>0</v>
      </c>
      <c r="AQ68" s="915">
        <f t="shared" si="14"/>
        <v>0</v>
      </c>
      <c r="AR68" s="915">
        <f t="shared" si="15"/>
        <v>0</v>
      </c>
      <c r="AS68" s="915">
        <f t="shared" si="16"/>
        <v>0</v>
      </c>
      <c r="AT68" s="915">
        <f t="shared" si="17"/>
        <v>0</v>
      </c>
      <c r="AU68" s="915">
        <f t="shared" si="18"/>
        <v>0</v>
      </c>
      <c r="AV68" s="915">
        <f t="shared" si="19"/>
        <v>0</v>
      </c>
      <c r="AW68" s="915">
        <f t="shared" si="20"/>
        <v>0</v>
      </c>
      <c r="AX68" s="915">
        <f t="shared" si="21"/>
        <v>0</v>
      </c>
      <c r="AY68" s="915">
        <f t="shared" si="73"/>
        <v>0</v>
      </c>
      <c r="AZ68" s="915">
        <f t="shared" si="74"/>
        <v>0</v>
      </c>
      <c r="BA68" s="915">
        <f t="shared" si="75"/>
        <v>0</v>
      </c>
      <c r="BB68" s="915">
        <f t="shared" si="76"/>
        <v>0</v>
      </c>
      <c r="BC68" s="915">
        <f t="shared" si="77"/>
        <v>0</v>
      </c>
      <c r="BD68" s="915">
        <f t="shared" si="78"/>
        <v>0</v>
      </c>
      <c r="BE68" s="915">
        <f t="shared" si="79"/>
        <v>0</v>
      </c>
      <c r="BF68" s="915">
        <f t="shared" si="80"/>
        <v>0</v>
      </c>
      <c r="BG68" s="915">
        <f t="shared" si="81"/>
        <v>0</v>
      </c>
      <c r="BH68" s="915">
        <f t="shared" si="82"/>
        <v>0</v>
      </c>
      <c r="BI68" s="915">
        <f t="shared" si="83"/>
        <v>0</v>
      </c>
      <c r="BJ68" s="915">
        <f t="shared" si="22"/>
        <v>0</v>
      </c>
      <c r="BK68" s="915">
        <f t="shared" si="23"/>
        <v>0</v>
      </c>
      <c r="BL68" s="915">
        <f t="shared" si="24"/>
        <v>0</v>
      </c>
      <c r="BM68" s="915">
        <f t="shared" si="25"/>
        <v>0</v>
      </c>
      <c r="BN68" s="915">
        <f t="shared" si="26"/>
        <v>0</v>
      </c>
      <c r="BO68" s="915">
        <f t="shared" si="27"/>
        <v>0</v>
      </c>
      <c r="BP68" s="915">
        <f t="shared" si="28"/>
        <v>0</v>
      </c>
      <c r="BQ68" s="915">
        <f t="shared" si="29"/>
        <v>0</v>
      </c>
      <c r="BR68" s="915">
        <f t="shared" si="30"/>
        <v>0</v>
      </c>
      <c r="BS68" s="915">
        <f t="shared" si="31"/>
        <v>0</v>
      </c>
      <c r="BT68" s="915">
        <f t="shared" si="128"/>
        <v>0</v>
      </c>
      <c r="BU68" s="915">
        <f t="shared" si="128"/>
        <v>0</v>
      </c>
      <c r="BV68" s="915">
        <f t="shared" si="85"/>
        <v>0</v>
      </c>
      <c r="BW68" s="915">
        <f t="shared" si="86"/>
        <v>0</v>
      </c>
      <c r="BX68" s="915">
        <f t="shared" si="87"/>
        <v>0</v>
      </c>
      <c r="BY68" s="915">
        <f t="shared" si="88"/>
        <v>0</v>
      </c>
      <c r="BZ68" s="915">
        <f t="shared" si="89"/>
        <v>0</v>
      </c>
      <c r="CA68" s="915">
        <f t="shared" si="90"/>
        <v>0</v>
      </c>
      <c r="CB68" s="915">
        <f t="shared" si="91"/>
        <v>0</v>
      </c>
      <c r="CC68" s="915">
        <f t="shared" si="92"/>
        <v>0</v>
      </c>
      <c r="CD68" s="915">
        <f t="shared" si="32"/>
        <v>10.6</v>
      </c>
      <c r="CE68" s="915">
        <f t="shared" si="33"/>
        <v>0</v>
      </c>
      <c r="CF68" s="915">
        <f t="shared" si="34"/>
        <v>0</v>
      </c>
      <c r="CG68" s="915">
        <f t="shared" si="35"/>
        <v>0</v>
      </c>
      <c r="CH68" s="915">
        <f t="shared" si="36"/>
        <v>0</v>
      </c>
      <c r="CI68" s="915">
        <f t="shared" si="37"/>
        <v>0</v>
      </c>
      <c r="CJ68" s="915">
        <f t="shared" si="38"/>
        <v>0</v>
      </c>
      <c r="CK68" s="915">
        <f t="shared" si="39"/>
        <v>0</v>
      </c>
      <c r="CL68" s="915">
        <f t="shared" si="40"/>
        <v>0</v>
      </c>
      <c r="CM68" s="915">
        <f t="shared" si="41"/>
        <v>0</v>
      </c>
      <c r="CN68" s="915">
        <f t="shared" si="93"/>
        <v>0</v>
      </c>
      <c r="CO68" s="915">
        <f t="shared" si="94"/>
        <v>0</v>
      </c>
      <c r="CP68" s="915">
        <f t="shared" si="95"/>
        <v>0</v>
      </c>
      <c r="CQ68" s="915">
        <f t="shared" si="96"/>
        <v>0</v>
      </c>
      <c r="CR68" s="915">
        <f t="shared" si="97"/>
        <v>0</v>
      </c>
      <c r="CS68" s="915">
        <f t="shared" si="98"/>
        <v>0</v>
      </c>
      <c r="CT68" s="915">
        <f t="shared" si="99"/>
        <v>0</v>
      </c>
      <c r="CU68" s="915">
        <f t="shared" si="100"/>
        <v>0</v>
      </c>
      <c r="CV68" s="915">
        <f t="shared" si="101"/>
        <v>0</v>
      </c>
      <c r="CW68" s="915">
        <f t="shared" si="102"/>
        <v>0</v>
      </c>
      <c r="CX68" s="915">
        <f t="shared" si="42"/>
        <v>0</v>
      </c>
      <c r="CY68" s="915">
        <f t="shared" si="43"/>
        <v>0</v>
      </c>
      <c r="CZ68" s="915">
        <f t="shared" si="44"/>
        <v>0</v>
      </c>
      <c r="DA68" s="915">
        <f t="shared" si="45"/>
        <v>0</v>
      </c>
      <c r="DB68" s="915">
        <f t="shared" si="46"/>
        <v>0</v>
      </c>
      <c r="DC68" s="915">
        <f t="shared" si="47"/>
        <v>0</v>
      </c>
      <c r="DD68" s="915">
        <f t="shared" si="48"/>
        <v>0</v>
      </c>
      <c r="DE68" s="915">
        <f t="shared" si="49"/>
        <v>0</v>
      </c>
      <c r="DF68" s="915">
        <f t="shared" si="50"/>
        <v>0</v>
      </c>
      <c r="DG68" s="915">
        <f t="shared" si="51"/>
        <v>0</v>
      </c>
      <c r="DH68" s="915">
        <f t="shared" si="103"/>
        <v>0</v>
      </c>
      <c r="DI68" s="915">
        <f t="shared" si="104"/>
        <v>0</v>
      </c>
      <c r="DJ68" s="915">
        <f t="shared" si="105"/>
        <v>0</v>
      </c>
      <c r="DK68" s="915">
        <f t="shared" si="106"/>
        <v>0</v>
      </c>
      <c r="DL68" s="915">
        <f t="shared" si="107"/>
        <v>0</v>
      </c>
      <c r="DM68" s="915">
        <f t="shared" si="108"/>
        <v>0</v>
      </c>
      <c r="DN68" s="915">
        <f t="shared" si="109"/>
        <v>0</v>
      </c>
      <c r="DO68" s="915">
        <f t="shared" si="110"/>
        <v>0</v>
      </c>
      <c r="DP68" s="915">
        <f t="shared" si="111"/>
        <v>0</v>
      </c>
      <c r="DQ68" s="915">
        <f t="shared" si="112"/>
        <v>0</v>
      </c>
      <c r="DR68" s="915">
        <f t="shared" si="52"/>
        <v>0</v>
      </c>
      <c r="DS68" s="915">
        <f t="shared" si="53"/>
        <v>0</v>
      </c>
      <c r="DT68" s="915">
        <f t="shared" si="54"/>
        <v>0</v>
      </c>
      <c r="DU68" s="915">
        <f t="shared" si="55"/>
        <v>0</v>
      </c>
      <c r="DV68" s="915">
        <f t="shared" si="56"/>
        <v>0</v>
      </c>
      <c r="DW68" s="915">
        <f t="shared" si="57"/>
        <v>0</v>
      </c>
      <c r="DX68" s="915">
        <f t="shared" si="58"/>
        <v>0</v>
      </c>
      <c r="DY68" s="915">
        <f t="shared" si="59"/>
        <v>0</v>
      </c>
      <c r="DZ68" s="915">
        <f t="shared" si="60"/>
        <v>0</v>
      </c>
      <c r="EA68" s="915">
        <f t="shared" si="131"/>
        <v>0</v>
      </c>
      <c r="EB68" s="915">
        <f t="shared" si="113"/>
        <v>0</v>
      </c>
      <c r="EC68" s="915">
        <f t="shared" si="114"/>
        <v>0</v>
      </c>
      <c r="ED68" s="915">
        <f t="shared" si="115"/>
        <v>0</v>
      </c>
      <c r="EE68" s="915">
        <f t="shared" si="116"/>
        <v>0</v>
      </c>
      <c r="EF68" s="915">
        <f t="shared" si="117"/>
        <v>0</v>
      </c>
      <c r="EG68" s="915">
        <f t="shared" si="118"/>
        <v>0</v>
      </c>
      <c r="EH68" s="915">
        <f t="shared" si="119"/>
        <v>0</v>
      </c>
      <c r="EI68" s="915">
        <f t="shared" si="120"/>
        <v>0</v>
      </c>
      <c r="EJ68" s="915">
        <f t="shared" si="121"/>
        <v>0</v>
      </c>
      <c r="EK68" s="915">
        <f t="shared" si="122"/>
        <v>0</v>
      </c>
      <c r="EL68" s="915"/>
      <c r="EN68" s="533"/>
      <c r="EQ68" s="534"/>
    </row>
    <row r="69" spans="1:147" ht="14.1" customHeight="1" x14ac:dyDescent="0.2">
      <c r="A69" s="1026">
        <v>62</v>
      </c>
      <c r="B69" s="1005"/>
      <c r="C69" s="1008"/>
      <c r="D69" s="138">
        <v>2</v>
      </c>
      <c r="E69" s="138" t="s">
        <v>167</v>
      </c>
      <c r="F69" s="139" t="s">
        <v>2544</v>
      </c>
      <c r="G69" s="91">
        <v>1</v>
      </c>
      <c r="H69" s="1022">
        <v>10</v>
      </c>
      <c r="I69" s="801">
        <f t="shared" si="129"/>
        <v>0.6</v>
      </c>
      <c r="J69" s="1021">
        <f t="shared" si="130"/>
        <v>10.6</v>
      </c>
      <c r="K69" s="225"/>
      <c r="L69" s="941" t="str">
        <f>TabName2 &amp; " - AIR"</f>
        <v>Phase 2 - AIR</v>
      </c>
      <c r="M69" s="942">
        <f>CE6</f>
        <v>10.6</v>
      </c>
      <c r="N69" s="949"/>
      <c r="V69" s="915">
        <f t="shared" si="3"/>
        <v>0</v>
      </c>
      <c r="W69" s="915">
        <f t="shared" si="4"/>
        <v>0</v>
      </c>
      <c r="X69" s="915">
        <f t="shared" si="5"/>
        <v>0</v>
      </c>
      <c r="Y69" s="915">
        <f t="shared" si="6"/>
        <v>0</v>
      </c>
      <c r="Z69" s="915">
        <f t="shared" si="7"/>
        <v>0</v>
      </c>
      <c r="AA69" s="915">
        <f t="shared" si="8"/>
        <v>0</v>
      </c>
      <c r="AB69" s="915">
        <f t="shared" si="9"/>
        <v>0</v>
      </c>
      <c r="AC69" s="915">
        <f t="shared" si="10"/>
        <v>0</v>
      </c>
      <c r="AD69" s="915">
        <f t="shared" si="11"/>
        <v>0</v>
      </c>
      <c r="AE69" s="915">
        <f t="shared" si="12"/>
        <v>0</v>
      </c>
      <c r="AF69" s="915">
        <f t="shared" si="63"/>
        <v>0</v>
      </c>
      <c r="AG69" s="915">
        <f t="shared" si="64"/>
        <v>0</v>
      </c>
      <c r="AH69" s="915">
        <f t="shared" si="65"/>
        <v>0</v>
      </c>
      <c r="AI69" s="915">
        <f t="shared" si="66"/>
        <v>0</v>
      </c>
      <c r="AJ69" s="915">
        <f t="shared" si="67"/>
        <v>0</v>
      </c>
      <c r="AK69" s="915">
        <f t="shared" si="68"/>
        <v>0</v>
      </c>
      <c r="AL69" s="915">
        <f t="shared" si="69"/>
        <v>0</v>
      </c>
      <c r="AM69" s="915">
        <f t="shared" si="70"/>
        <v>0</v>
      </c>
      <c r="AN69" s="915">
        <f t="shared" si="71"/>
        <v>0</v>
      </c>
      <c r="AO69" s="915">
        <f t="shared" si="72"/>
        <v>0</v>
      </c>
      <c r="AP69" s="915">
        <f t="shared" si="13"/>
        <v>0</v>
      </c>
      <c r="AQ69" s="915">
        <f t="shared" si="14"/>
        <v>0</v>
      </c>
      <c r="AR69" s="915">
        <f t="shared" si="15"/>
        <v>0</v>
      </c>
      <c r="AS69" s="915">
        <f t="shared" si="16"/>
        <v>0</v>
      </c>
      <c r="AT69" s="915">
        <f t="shared" si="17"/>
        <v>0</v>
      </c>
      <c r="AU69" s="915">
        <f t="shared" si="18"/>
        <v>0</v>
      </c>
      <c r="AV69" s="915">
        <f t="shared" si="19"/>
        <v>0</v>
      </c>
      <c r="AW69" s="915">
        <f t="shared" si="20"/>
        <v>0</v>
      </c>
      <c r="AX69" s="915">
        <f t="shared" si="21"/>
        <v>0</v>
      </c>
      <c r="AY69" s="915">
        <f t="shared" si="73"/>
        <v>0</v>
      </c>
      <c r="AZ69" s="915">
        <f t="shared" si="74"/>
        <v>0</v>
      </c>
      <c r="BA69" s="915">
        <f t="shared" si="75"/>
        <v>0</v>
      </c>
      <c r="BB69" s="915">
        <f t="shared" si="76"/>
        <v>0</v>
      </c>
      <c r="BC69" s="915">
        <f t="shared" si="77"/>
        <v>0</v>
      </c>
      <c r="BD69" s="915">
        <f t="shared" si="78"/>
        <v>0</v>
      </c>
      <c r="BE69" s="915">
        <f t="shared" si="79"/>
        <v>0</v>
      </c>
      <c r="BF69" s="915">
        <f t="shared" si="80"/>
        <v>0</v>
      </c>
      <c r="BG69" s="915">
        <f t="shared" si="81"/>
        <v>0</v>
      </c>
      <c r="BH69" s="915">
        <f t="shared" si="82"/>
        <v>0</v>
      </c>
      <c r="BI69" s="915">
        <f t="shared" si="83"/>
        <v>0</v>
      </c>
      <c r="BJ69" s="915">
        <f t="shared" si="22"/>
        <v>0</v>
      </c>
      <c r="BK69" s="915">
        <f t="shared" si="23"/>
        <v>0</v>
      </c>
      <c r="BL69" s="915">
        <f t="shared" si="24"/>
        <v>0</v>
      </c>
      <c r="BM69" s="915">
        <f t="shared" si="25"/>
        <v>0</v>
      </c>
      <c r="BN69" s="915">
        <f t="shared" si="26"/>
        <v>0</v>
      </c>
      <c r="BO69" s="915">
        <f t="shared" si="27"/>
        <v>0</v>
      </c>
      <c r="BP69" s="915">
        <f t="shared" si="28"/>
        <v>0</v>
      </c>
      <c r="BQ69" s="915">
        <f t="shared" si="29"/>
        <v>0</v>
      </c>
      <c r="BR69" s="915">
        <f t="shared" si="30"/>
        <v>0</v>
      </c>
      <c r="BS69" s="915">
        <f t="shared" si="31"/>
        <v>0</v>
      </c>
      <c r="BT69" s="915">
        <f t="shared" si="128"/>
        <v>0</v>
      </c>
      <c r="BU69" s="915">
        <f t="shared" si="128"/>
        <v>0</v>
      </c>
      <c r="BV69" s="915">
        <f t="shared" si="85"/>
        <v>0</v>
      </c>
      <c r="BW69" s="915">
        <f t="shared" si="86"/>
        <v>0</v>
      </c>
      <c r="BX69" s="915">
        <f t="shared" si="87"/>
        <v>0</v>
      </c>
      <c r="BY69" s="915">
        <f t="shared" si="88"/>
        <v>0</v>
      </c>
      <c r="BZ69" s="915">
        <f t="shared" si="89"/>
        <v>0</v>
      </c>
      <c r="CA69" s="915">
        <f t="shared" si="90"/>
        <v>0</v>
      </c>
      <c r="CB69" s="915">
        <f t="shared" si="91"/>
        <v>0</v>
      </c>
      <c r="CC69" s="915">
        <f t="shared" si="92"/>
        <v>0</v>
      </c>
      <c r="CD69" s="915">
        <f t="shared" si="32"/>
        <v>0</v>
      </c>
      <c r="CE69" s="915">
        <f t="shared" si="33"/>
        <v>10.6</v>
      </c>
      <c r="CF69" s="915">
        <f t="shared" si="34"/>
        <v>0</v>
      </c>
      <c r="CG69" s="915">
        <f t="shared" si="35"/>
        <v>0</v>
      </c>
      <c r="CH69" s="915">
        <f t="shared" si="36"/>
        <v>0</v>
      </c>
      <c r="CI69" s="915">
        <f t="shared" si="37"/>
        <v>0</v>
      </c>
      <c r="CJ69" s="915">
        <f t="shared" si="38"/>
        <v>0</v>
      </c>
      <c r="CK69" s="915">
        <f t="shared" si="39"/>
        <v>0</v>
      </c>
      <c r="CL69" s="915">
        <f t="shared" si="40"/>
        <v>0</v>
      </c>
      <c r="CM69" s="915">
        <f t="shared" si="41"/>
        <v>0</v>
      </c>
      <c r="CN69" s="915">
        <f t="shared" si="93"/>
        <v>0</v>
      </c>
      <c r="CO69" s="915">
        <f t="shared" si="94"/>
        <v>0</v>
      </c>
      <c r="CP69" s="915">
        <f t="shared" si="95"/>
        <v>0</v>
      </c>
      <c r="CQ69" s="915">
        <f t="shared" si="96"/>
        <v>0</v>
      </c>
      <c r="CR69" s="915">
        <f t="shared" si="97"/>
        <v>0</v>
      </c>
      <c r="CS69" s="915">
        <f t="shared" si="98"/>
        <v>0</v>
      </c>
      <c r="CT69" s="915">
        <f t="shared" si="99"/>
        <v>0</v>
      </c>
      <c r="CU69" s="915">
        <f t="shared" si="100"/>
        <v>0</v>
      </c>
      <c r="CV69" s="915">
        <f t="shared" si="101"/>
        <v>0</v>
      </c>
      <c r="CW69" s="915">
        <f t="shared" si="102"/>
        <v>0</v>
      </c>
      <c r="CX69" s="915">
        <f t="shared" si="42"/>
        <v>0</v>
      </c>
      <c r="CY69" s="915">
        <f t="shared" si="43"/>
        <v>0</v>
      </c>
      <c r="CZ69" s="915">
        <f t="shared" si="44"/>
        <v>0</v>
      </c>
      <c r="DA69" s="915">
        <f t="shared" si="45"/>
        <v>0</v>
      </c>
      <c r="DB69" s="915">
        <f t="shared" si="46"/>
        <v>0</v>
      </c>
      <c r="DC69" s="915">
        <f t="shared" si="47"/>
        <v>0</v>
      </c>
      <c r="DD69" s="915">
        <f t="shared" si="48"/>
        <v>0</v>
      </c>
      <c r="DE69" s="915">
        <f t="shared" si="49"/>
        <v>0</v>
      </c>
      <c r="DF69" s="915">
        <f t="shared" si="50"/>
        <v>0</v>
      </c>
      <c r="DG69" s="915">
        <f t="shared" si="51"/>
        <v>0</v>
      </c>
      <c r="DH69" s="915">
        <f t="shared" si="103"/>
        <v>0</v>
      </c>
      <c r="DI69" s="915">
        <f t="shared" si="104"/>
        <v>0</v>
      </c>
      <c r="DJ69" s="915">
        <f t="shared" si="105"/>
        <v>0</v>
      </c>
      <c r="DK69" s="915">
        <f t="shared" si="106"/>
        <v>0</v>
      </c>
      <c r="DL69" s="915">
        <f t="shared" si="107"/>
        <v>0</v>
      </c>
      <c r="DM69" s="915">
        <f t="shared" si="108"/>
        <v>0</v>
      </c>
      <c r="DN69" s="915">
        <f t="shared" si="109"/>
        <v>0</v>
      </c>
      <c r="DO69" s="915">
        <f t="shared" si="110"/>
        <v>0</v>
      </c>
      <c r="DP69" s="915">
        <f t="shared" si="111"/>
        <v>0</v>
      </c>
      <c r="DQ69" s="915">
        <f t="shared" si="112"/>
        <v>0</v>
      </c>
      <c r="DR69" s="915">
        <f t="shared" si="52"/>
        <v>0</v>
      </c>
      <c r="DS69" s="915">
        <f t="shared" si="53"/>
        <v>0</v>
      </c>
      <c r="DT69" s="915">
        <f t="shared" si="54"/>
        <v>0</v>
      </c>
      <c r="DU69" s="915">
        <f t="shared" si="55"/>
        <v>0</v>
      </c>
      <c r="DV69" s="915">
        <f t="shared" si="56"/>
        <v>0</v>
      </c>
      <c r="DW69" s="915">
        <f t="shared" si="57"/>
        <v>0</v>
      </c>
      <c r="DX69" s="915">
        <f t="shared" si="58"/>
        <v>0</v>
      </c>
      <c r="DY69" s="915">
        <f t="shared" si="59"/>
        <v>0</v>
      </c>
      <c r="DZ69" s="915">
        <f t="shared" si="60"/>
        <v>0</v>
      </c>
      <c r="EA69" s="915">
        <f t="shared" si="131"/>
        <v>0</v>
      </c>
      <c r="EB69" s="915">
        <f t="shared" si="113"/>
        <v>0</v>
      </c>
      <c r="EC69" s="915">
        <f t="shared" si="114"/>
        <v>0</v>
      </c>
      <c r="ED69" s="915">
        <f t="shared" si="115"/>
        <v>0</v>
      </c>
      <c r="EE69" s="915">
        <f t="shared" si="116"/>
        <v>0</v>
      </c>
      <c r="EF69" s="915">
        <f t="shared" si="117"/>
        <v>0</v>
      </c>
      <c r="EG69" s="915">
        <f t="shared" si="118"/>
        <v>0</v>
      </c>
      <c r="EH69" s="915">
        <f t="shared" si="119"/>
        <v>0</v>
      </c>
      <c r="EI69" s="915">
        <f t="shared" si="120"/>
        <v>0</v>
      </c>
      <c r="EJ69" s="915">
        <f t="shared" si="121"/>
        <v>0</v>
      </c>
      <c r="EK69" s="915">
        <f t="shared" si="122"/>
        <v>0</v>
      </c>
      <c r="EL69" s="915"/>
      <c r="EN69" s="533"/>
      <c r="EQ69" s="534"/>
    </row>
    <row r="70" spans="1:147" ht="14.1" customHeight="1" x14ac:dyDescent="0.2">
      <c r="A70" s="496">
        <v>63</v>
      </c>
      <c r="B70" s="1419"/>
      <c r="C70" s="1420"/>
      <c r="D70" s="264">
        <v>3</v>
      </c>
      <c r="E70" s="264" t="s">
        <v>167</v>
      </c>
      <c r="F70" s="270" t="s">
        <v>2544</v>
      </c>
      <c r="G70" s="271">
        <v>1</v>
      </c>
      <c r="H70" s="803">
        <v>10</v>
      </c>
      <c r="I70" s="800">
        <f t="shared" si="129"/>
        <v>0.6</v>
      </c>
      <c r="J70" s="269">
        <f t="shared" si="130"/>
        <v>10.6</v>
      </c>
      <c r="K70" s="225"/>
      <c r="L70" s="941" t="str">
        <f>TabName3 &amp; " - AIR"</f>
        <v>Phase 3 - AIR</v>
      </c>
      <c r="M70" s="942">
        <f>CF6</f>
        <v>10.6</v>
      </c>
      <c r="N70" s="949"/>
      <c r="V70" s="915">
        <f t="shared" si="3"/>
        <v>0</v>
      </c>
      <c r="W70" s="915">
        <f t="shared" si="4"/>
        <v>0</v>
      </c>
      <c r="X70" s="915">
        <f t="shared" si="5"/>
        <v>0</v>
      </c>
      <c r="Y70" s="915">
        <f t="shared" si="6"/>
        <v>0</v>
      </c>
      <c r="Z70" s="915">
        <f t="shared" si="7"/>
        <v>0</v>
      </c>
      <c r="AA70" s="915">
        <f t="shared" si="8"/>
        <v>0</v>
      </c>
      <c r="AB70" s="915">
        <f t="shared" si="9"/>
        <v>0</v>
      </c>
      <c r="AC70" s="915">
        <f t="shared" si="10"/>
        <v>0</v>
      </c>
      <c r="AD70" s="915">
        <f t="shared" si="11"/>
        <v>0</v>
      </c>
      <c r="AE70" s="915">
        <f t="shared" si="12"/>
        <v>0</v>
      </c>
      <c r="AF70" s="915">
        <f t="shared" si="63"/>
        <v>0</v>
      </c>
      <c r="AG70" s="915">
        <f t="shared" si="64"/>
        <v>0</v>
      </c>
      <c r="AH70" s="915">
        <f t="shared" si="65"/>
        <v>0</v>
      </c>
      <c r="AI70" s="915">
        <f t="shared" si="66"/>
        <v>0</v>
      </c>
      <c r="AJ70" s="915">
        <f t="shared" si="67"/>
        <v>0</v>
      </c>
      <c r="AK70" s="915">
        <f t="shared" si="68"/>
        <v>0</v>
      </c>
      <c r="AL70" s="915">
        <f t="shared" si="69"/>
        <v>0</v>
      </c>
      <c r="AM70" s="915">
        <f t="shared" si="70"/>
        <v>0</v>
      </c>
      <c r="AN70" s="915">
        <f t="shared" si="71"/>
        <v>0</v>
      </c>
      <c r="AO70" s="915">
        <f t="shared" si="72"/>
        <v>0</v>
      </c>
      <c r="AP70" s="915">
        <f t="shared" si="13"/>
        <v>0</v>
      </c>
      <c r="AQ70" s="915">
        <f t="shared" si="14"/>
        <v>0</v>
      </c>
      <c r="AR70" s="915">
        <f t="shared" si="15"/>
        <v>0</v>
      </c>
      <c r="AS70" s="915">
        <f t="shared" si="16"/>
        <v>0</v>
      </c>
      <c r="AT70" s="915">
        <f t="shared" si="17"/>
        <v>0</v>
      </c>
      <c r="AU70" s="915">
        <f t="shared" si="18"/>
        <v>0</v>
      </c>
      <c r="AV70" s="915">
        <f t="shared" si="19"/>
        <v>0</v>
      </c>
      <c r="AW70" s="915">
        <f t="shared" si="20"/>
        <v>0</v>
      </c>
      <c r="AX70" s="915">
        <f t="shared" si="21"/>
        <v>0</v>
      </c>
      <c r="AY70" s="915">
        <f t="shared" si="73"/>
        <v>0</v>
      </c>
      <c r="AZ70" s="915">
        <f t="shared" si="74"/>
        <v>0</v>
      </c>
      <c r="BA70" s="915">
        <f t="shared" si="75"/>
        <v>0</v>
      </c>
      <c r="BB70" s="915">
        <f t="shared" si="76"/>
        <v>0</v>
      </c>
      <c r="BC70" s="915">
        <f t="shared" si="77"/>
        <v>0</v>
      </c>
      <c r="BD70" s="915">
        <f t="shared" si="78"/>
        <v>0</v>
      </c>
      <c r="BE70" s="915">
        <f t="shared" si="79"/>
        <v>0</v>
      </c>
      <c r="BF70" s="915">
        <f t="shared" si="80"/>
        <v>0</v>
      </c>
      <c r="BG70" s="915">
        <f t="shared" si="81"/>
        <v>0</v>
      </c>
      <c r="BH70" s="915">
        <f t="shared" si="82"/>
        <v>0</v>
      </c>
      <c r="BI70" s="915">
        <f t="shared" si="83"/>
        <v>0</v>
      </c>
      <c r="BJ70" s="915">
        <f t="shared" si="22"/>
        <v>0</v>
      </c>
      <c r="BK70" s="915">
        <f t="shared" si="23"/>
        <v>0</v>
      </c>
      <c r="BL70" s="915">
        <f t="shared" si="24"/>
        <v>0</v>
      </c>
      <c r="BM70" s="915">
        <f t="shared" si="25"/>
        <v>0</v>
      </c>
      <c r="BN70" s="915">
        <f t="shared" si="26"/>
        <v>0</v>
      </c>
      <c r="BO70" s="915">
        <f t="shared" si="27"/>
        <v>0</v>
      </c>
      <c r="BP70" s="915">
        <f t="shared" si="28"/>
        <v>0</v>
      </c>
      <c r="BQ70" s="915">
        <f t="shared" si="29"/>
        <v>0</v>
      </c>
      <c r="BR70" s="915">
        <f t="shared" si="30"/>
        <v>0</v>
      </c>
      <c r="BS70" s="915">
        <f t="shared" si="31"/>
        <v>0</v>
      </c>
      <c r="BT70" s="915">
        <f t="shared" si="128"/>
        <v>0</v>
      </c>
      <c r="BU70" s="915">
        <f t="shared" si="128"/>
        <v>0</v>
      </c>
      <c r="BV70" s="915">
        <f t="shared" si="85"/>
        <v>0</v>
      </c>
      <c r="BW70" s="915">
        <f t="shared" si="86"/>
        <v>0</v>
      </c>
      <c r="BX70" s="915">
        <f t="shared" si="87"/>
        <v>0</v>
      </c>
      <c r="BY70" s="915">
        <f t="shared" si="88"/>
        <v>0</v>
      </c>
      <c r="BZ70" s="915">
        <f t="shared" si="89"/>
        <v>0</v>
      </c>
      <c r="CA70" s="915">
        <f t="shared" si="90"/>
        <v>0</v>
      </c>
      <c r="CB70" s="915">
        <f t="shared" si="91"/>
        <v>0</v>
      </c>
      <c r="CC70" s="915">
        <f t="shared" si="92"/>
        <v>0</v>
      </c>
      <c r="CD70" s="915">
        <f t="shared" si="32"/>
        <v>0</v>
      </c>
      <c r="CE70" s="915">
        <f t="shared" si="33"/>
        <v>0</v>
      </c>
      <c r="CF70" s="915">
        <f t="shared" si="34"/>
        <v>10.6</v>
      </c>
      <c r="CG70" s="915">
        <f t="shared" si="35"/>
        <v>0</v>
      </c>
      <c r="CH70" s="915">
        <f t="shared" si="36"/>
        <v>0</v>
      </c>
      <c r="CI70" s="915">
        <f t="shared" si="37"/>
        <v>0</v>
      </c>
      <c r="CJ70" s="915">
        <f t="shared" si="38"/>
        <v>0</v>
      </c>
      <c r="CK70" s="915">
        <f t="shared" si="39"/>
        <v>0</v>
      </c>
      <c r="CL70" s="915">
        <f t="shared" si="40"/>
        <v>0</v>
      </c>
      <c r="CM70" s="915">
        <f t="shared" si="41"/>
        <v>0</v>
      </c>
      <c r="CN70" s="915">
        <f t="shared" si="93"/>
        <v>0</v>
      </c>
      <c r="CO70" s="915">
        <f t="shared" si="94"/>
        <v>0</v>
      </c>
      <c r="CP70" s="915">
        <f t="shared" si="95"/>
        <v>0</v>
      </c>
      <c r="CQ70" s="915">
        <f t="shared" si="96"/>
        <v>0</v>
      </c>
      <c r="CR70" s="915">
        <f t="shared" si="97"/>
        <v>0</v>
      </c>
      <c r="CS70" s="915">
        <f t="shared" si="98"/>
        <v>0</v>
      </c>
      <c r="CT70" s="915">
        <f t="shared" si="99"/>
        <v>0</v>
      </c>
      <c r="CU70" s="915">
        <f t="shared" si="100"/>
        <v>0</v>
      </c>
      <c r="CV70" s="915">
        <f t="shared" si="101"/>
        <v>0</v>
      </c>
      <c r="CW70" s="915">
        <f t="shared" si="102"/>
        <v>0</v>
      </c>
      <c r="CX70" s="915">
        <f t="shared" si="42"/>
        <v>0</v>
      </c>
      <c r="CY70" s="915">
        <f t="shared" si="43"/>
        <v>0</v>
      </c>
      <c r="CZ70" s="915">
        <f t="shared" si="44"/>
        <v>0</v>
      </c>
      <c r="DA70" s="915">
        <f t="shared" si="45"/>
        <v>0</v>
      </c>
      <c r="DB70" s="915">
        <f t="shared" si="46"/>
        <v>0</v>
      </c>
      <c r="DC70" s="915">
        <f t="shared" si="47"/>
        <v>0</v>
      </c>
      <c r="DD70" s="915">
        <f t="shared" si="48"/>
        <v>0</v>
      </c>
      <c r="DE70" s="915">
        <f t="shared" si="49"/>
        <v>0</v>
      </c>
      <c r="DF70" s="915">
        <f t="shared" si="50"/>
        <v>0</v>
      </c>
      <c r="DG70" s="915">
        <f t="shared" si="51"/>
        <v>0</v>
      </c>
      <c r="DH70" s="915">
        <f t="shared" si="103"/>
        <v>0</v>
      </c>
      <c r="DI70" s="915">
        <f t="shared" si="104"/>
        <v>0</v>
      </c>
      <c r="DJ70" s="915">
        <f t="shared" si="105"/>
        <v>0</v>
      </c>
      <c r="DK70" s="915">
        <f t="shared" si="106"/>
        <v>0</v>
      </c>
      <c r="DL70" s="915">
        <f t="shared" si="107"/>
        <v>0</v>
      </c>
      <c r="DM70" s="915">
        <f t="shared" si="108"/>
        <v>0</v>
      </c>
      <c r="DN70" s="915">
        <f t="shared" si="109"/>
        <v>0</v>
      </c>
      <c r="DO70" s="915">
        <f t="shared" si="110"/>
        <v>0</v>
      </c>
      <c r="DP70" s="915">
        <f t="shared" si="111"/>
        <v>0</v>
      </c>
      <c r="DQ70" s="915">
        <f t="shared" si="112"/>
        <v>0</v>
      </c>
      <c r="DR70" s="915">
        <f t="shared" si="52"/>
        <v>0</v>
      </c>
      <c r="DS70" s="915">
        <f t="shared" si="53"/>
        <v>0</v>
      </c>
      <c r="DT70" s="915">
        <f t="shared" si="54"/>
        <v>0</v>
      </c>
      <c r="DU70" s="915">
        <f t="shared" si="55"/>
        <v>0</v>
      </c>
      <c r="DV70" s="915">
        <f t="shared" si="56"/>
        <v>0</v>
      </c>
      <c r="DW70" s="915">
        <f t="shared" si="57"/>
        <v>0</v>
      </c>
      <c r="DX70" s="915">
        <f t="shared" si="58"/>
        <v>0</v>
      </c>
      <c r="DY70" s="915">
        <f t="shared" si="59"/>
        <v>0</v>
      </c>
      <c r="DZ70" s="915">
        <f t="shared" si="60"/>
        <v>0</v>
      </c>
      <c r="EA70" s="915">
        <f t="shared" si="131"/>
        <v>0</v>
      </c>
      <c r="EB70" s="915">
        <f t="shared" si="113"/>
        <v>0</v>
      </c>
      <c r="EC70" s="915">
        <f t="shared" si="114"/>
        <v>0</v>
      </c>
      <c r="ED70" s="915">
        <f t="shared" si="115"/>
        <v>0</v>
      </c>
      <c r="EE70" s="915">
        <f t="shared" si="116"/>
        <v>0</v>
      </c>
      <c r="EF70" s="915">
        <f t="shared" si="117"/>
        <v>0</v>
      </c>
      <c r="EG70" s="915">
        <f t="shared" si="118"/>
        <v>0</v>
      </c>
      <c r="EH70" s="915">
        <f t="shared" si="119"/>
        <v>0</v>
      </c>
      <c r="EI70" s="915">
        <f t="shared" si="120"/>
        <v>0</v>
      </c>
      <c r="EJ70" s="915">
        <f t="shared" si="121"/>
        <v>0</v>
      </c>
      <c r="EK70" s="915">
        <f t="shared" si="122"/>
        <v>0</v>
      </c>
      <c r="EL70" s="915"/>
      <c r="EN70" s="533"/>
      <c r="EQ70" s="534"/>
    </row>
    <row r="71" spans="1:147" ht="14.1" customHeight="1" x14ac:dyDescent="0.2">
      <c r="A71" s="1026">
        <v>64</v>
      </c>
      <c r="B71" s="1005"/>
      <c r="C71" s="1008"/>
      <c r="D71" s="138">
        <v>4</v>
      </c>
      <c r="E71" s="138" t="s">
        <v>167</v>
      </c>
      <c r="F71" s="139" t="s">
        <v>2544</v>
      </c>
      <c r="G71" s="91">
        <v>1</v>
      </c>
      <c r="H71" s="1022">
        <v>10</v>
      </c>
      <c r="I71" s="801">
        <f t="shared" si="129"/>
        <v>0.6</v>
      </c>
      <c r="J71" s="1021">
        <f t="shared" si="130"/>
        <v>10.6</v>
      </c>
      <c r="K71" s="225"/>
      <c r="L71" s="941" t="str">
        <f>TabName4 &amp; " - AIR"</f>
        <v>Phase 4 - AIR</v>
      </c>
      <c r="M71" s="942">
        <f>CG6</f>
        <v>10.6</v>
      </c>
      <c r="N71" s="949"/>
      <c r="V71" s="915">
        <f t="shared" si="3"/>
        <v>0</v>
      </c>
      <c r="W71" s="915">
        <f t="shared" si="4"/>
        <v>0</v>
      </c>
      <c r="X71" s="915">
        <f t="shared" si="5"/>
        <v>0</v>
      </c>
      <c r="Y71" s="915">
        <f t="shared" si="6"/>
        <v>0</v>
      </c>
      <c r="Z71" s="915">
        <f t="shared" si="7"/>
        <v>0</v>
      </c>
      <c r="AA71" s="915">
        <f t="shared" si="8"/>
        <v>0</v>
      </c>
      <c r="AB71" s="915">
        <f t="shared" si="9"/>
        <v>0</v>
      </c>
      <c r="AC71" s="915">
        <f t="shared" si="10"/>
        <v>0</v>
      </c>
      <c r="AD71" s="915">
        <f t="shared" si="11"/>
        <v>0</v>
      </c>
      <c r="AE71" s="915">
        <f t="shared" si="12"/>
        <v>0</v>
      </c>
      <c r="AF71" s="915">
        <f t="shared" si="63"/>
        <v>0</v>
      </c>
      <c r="AG71" s="915">
        <f t="shared" si="64"/>
        <v>0</v>
      </c>
      <c r="AH71" s="915">
        <f t="shared" si="65"/>
        <v>0</v>
      </c>
      <c r="AI71" s="915">
        <f t="shared" si="66"/>
        <v>0</v>
      </c>
      <c r="AJ71" s="915">
        <f t="shared" si="67"/>
        <v>0</v>
      </c>
      <c r="AK71" s="915">
        <f t="shared" si="68"/>
        <v>0</v>
      </c>
      <c r="AL71" s="915">
        <f t="shared" si="69"/>
        <v>0</v>
      </c>
      <c r="AM71" s="915">
        <f t="shared" si="70"/>
        <v>0</v>
      </c>
      <c r="AN71" s="915">
        <f t="shared" si="71"/>
        <v>0</v>
      </c>
      <c r="AO71" s="915">
        <f t="shared" si="72"/>
        <v>0</v>
      </c>
      <c r="AP71" s="915">
        <f t="shared" si="13"/>
        <v>0</v>
      </c>
      <c r="AQ71" s="915">
        <f t="shared" si="14"/>
        <v>0</v>
      </c>
      <c r="AR71" s="915">
        <f t="shared" si="15"/>
        <v>0</v>
      </c>
      <c r="AS71" s="915">
        <f t="shared" si="16"/>
        <v>0</v>
      </c>
      <c r="AT71" s="915">
        <f t="shared" si="17"/>
        <v>0</v>
      </c>
      <c r="AU71" s="915">
        <f t="shared" si="18"/>
        <v>0</v>
      </c>
      <c r="AV71" s="915">
        <f t="shared" si="19"/>
        <v>0</v>
      </c>
      <c r="AW71" s="915">
        <f t="shared" si="20"/>
        <v>0</v>
      </c>
      <c r="AX71" s="915">
        <f t="shared" si="21"/>
        <v>0</v>
      </c>
      <c r="AY71" s="915">
        <f t="shared" si="73"/>
        <v>0</v>
      </c>
      <c r="AZ71" s="915">
        <f t="shared" si="74"/>
        <v>0</v>
      </c>
      <c r="BA71" s="915">
        <f t="shared" si="75"/>
        <v>0</v>
      </c>
      <c r="BB71" s="915">
        <f t="shared" si="76"/>
        <v>0</v>
      </c>
      <c r="BC71" s="915">
        <f t="shared" si="77"/>
        <v>0</v>
      </c>
      <c r="BD71" s="915">
        <f t="shared" si="78"/>
        <v>0</v>
      </c>
      <c r="BE71" s="915">
        <f t="shared" si="79"/>
        <v>0</v>
      </c>
      <c r="BF71" s="915">
        <f t="shared" si="80"/>
        <v>0</v>
      </c>
      <c r="BG71" s="915">
        <f t="shared" si="81"/>
        <v>0</v>
      </c>
      <c r="BH71" s="915">
        <f t="shared" si="82"/>
        <v>0</v>
      </c>
      <c r="BI71" s="915">
        <f t="shared" si="83"/>
        <v>0</v>
      </c>
      <c r="BJ71" s="915">
        <f t="shared" si="22"/>
        <v>0</v>
      </c>
      <c r="BK71" s="915">
        <f t="shared" si="23"/>
        <v>0</v>
      </c>
      <c r="BL71" s="915">
        <f t="shared" si="24"/>
        <v>0</v>
      </c>
      <c r="BM71" s="915">
        <f t="shared" si="25"/>
        <v>0</v>
      </c>
      <c r="BN71" s="915">
        <f t="shared" si="26"/>
        <v>0</v>
      </c>
      <c r="BO71" s="915">
        <f t="shared" si="27"/>
        <v>0</v>
      </c>
      <c r="BP71" s="915">
        <f t="shared" si="28"/>
        <v>0</v>
      </c>
      <c r="BQ71" s="915">
        <f t="shared" si="29"/>
        <v>0</v>
      </c>
      <c r="BR71" s="915">
        <f t="shared" si="30"/>
        <v>0</v>
      </c>
      <c r="BS71" s="915">
        <f t="shared" si="31"/>
        <v>0</v>
      </c>
      <c r="BT71" s="915">
        <f t="shared" si="128"/>
        <v>0</v>
      </c>
      <c r="BU71" s="915">
        <f t="shared" si="128"/>
        <v>0</v>
      </c>
      <c r="BV71" s="915">
        <f t="shared" si="85"/>
        <v>0</v>
      </c>
      <c r="BW71" s="915">
        <f t="shared" si="86"/>
        <v>0</v>
      </c>
      <c r="BX71" s="915">
        <f t="shared" si="87"/>
        <v>0</v>
      </c>
      <c r="BY71" s="915">
        <f t="shared" si="88"/>
        <v>0</v>
      </c>
      <c r="BZ71" s="915">
        <f t="shared" si="89"/>
        <v>0</v>
      </c>
      <c r="CA71" s="915">
        <f t="shared" si="90"/>
        <v>0</v>
      </c>
      <c r="CB71" s="915">
        <f t="shared" si="91"/>
        <v>0</v>
      </c>
      <c r="CC71" s="915">
        <f t="shared" si="92"/>
        <v>0</v>
      </c>
      <c r="CD71" s="915">
        <f t="shared" si="32"/>
        <v>0</v>
      </c>
      <c r="CE71" s="915">
        <f t="shared" si="33"/>
        <v>0</v>
      </c>
      <c r="CF71" s="915">
        <f t="shared" si="34"/>
        <v>0</v>
      </c>
      <c r="CG71" s="915">
        <f t="shared" si="35"/>
        <v>10.6</v>
      </c>
      <c r="CH71" s="915">
        <f t="shared" si="36"/>
        <v>0</v>
      </c>
      <c r="CI71" s="915">
        <f t="shared" si="37"/>
        <v>0</v>
      </c>
      <c r="CJ71" s="915">
        <f t="shared" si="38"/>
        <v>0</v>
      </c>
      <c r="CK71" s="915">
        <f t="shared" si="39"/>
        <v>0</v>
      </c>
      <c r="CL71" s="915">
        <f t="shared" si="40"/>
        <v>0</v>
      </c>
      <c r="CM71" s="915">
        <f t="shared" si="41"/>
        <v>0</v>
      </c>
      <c r="CN71" s="915">
        <f t="shared" si="93"/>
        <v>0</v>
      </c>
      <c r="CO71" s="915">
        <f t="shared" si="94"/>
        <v>0</v>
      </c>
      <c r="CP71" s="915">
        <f t="shared" si="95"/>
        <v>0</v>
      </c>
      <c r="CQ71" s="915">
        <f t="shared" si="96"/>
        <v>0</v>
      </c>
      <c r="CR71" s="915">
        <f t="shared" si="97"/>
        <v>0</v>
      </c>
      <c r="CS71" s="915">
        <f t="shared" si="98"/>
        <v>0</v>
      </c>
      <c r="CT71" s="915">
        <f t="shared" si="99"/>
        <v>0</v>
      </c>
      <c r="CU71" s="915">
        <f t="shared" si="100"/>
        <v>0</v>
      </c>
      <c r="CV71" s="915">
        <f t="shared" si="101"/>
        <v>0</v>
      </c>
      <c r="CW71" s="915">
        <f t="shared" si="102"/>
        <v>0</v>
      </c>
      <c r="CX71" s="915">
        <f t="shared" si="42"/>
        <v>0</v>
      </c>
      <c r="CY71" s="915">
        <f t="shared" si="43"/>
        <v>0</v>
      </c>
      <c r="CZ71" s="915">
        <f t="shared" si="44"/>
        <v>0</v>
      </c>
      <c r="DA71" s="915">
        <f t="shared" si="45"/>
        <v>0</v>
      </c>
      <c r="DB71" s="915">
        <f t="shared" si="46"/>
        <v>0</v>
      </c>
      <c r="DC71" s="915">
        <f t="shared" si="47"/>
        <v>0</v>
      </c>
      <c r="DD71" s="915">
        <f t="shared" si="48"/>
        <v>0</v>
      </c>
      <c r="DE71" s="915">
        <f t="shared" si="49"/>
        <v>0</v>
      </c>
      <c r="DF71" s="915">
        <f t="shared" si="50"/>
        <v>0</v>
      </c>
      <c r="DG71" s="915">
        <f t="shared" si="51"/>
        <v>0</v>
      </c>
      <c r="DH71" s="915">
        <f t="shared" si="103"/>
        <v>0</v>
      </c>
      <c r="DI71" s="915">
        <f t="shared" si="104"/>
        <v>0</v>
      </c>
      <c r="DJ71" s="915">
        <f t="shared" si="105"/>
        <v>0</v>
      </c>
      <c r="DK71" s="915">
        <f t="shared" si="106"/>
        <v>0</v>
      </c>
      <c r="DL71" s="915">
        <f t="shared" si="107"/>
        <v>0</v>
      </c>
      <c r="DM71" s="915">
        <f t="shared" si="108"/>
        <v>0</v>
      </c>
      <c r="DN71" s="915">
        <f t="shared" si="109"/>
        <v>0</v>
      </c>
      <c r="DO71" s="915">
        <f t="shared" si="110"/>
        <v>0</v>
      </c>
      <c r="DP71" s="915">
        <f t="shared" si="111"/>
        <v>0</v>
      </c>
      <c r="DQ71" s="915">
        <f t="shared" si="112"/>
        <v>0</v>
      </c>
      <c r="DR71" s="915">
        <f t="shared" si="52"/>
        <v>0</v>
      </c>
      <c r="DS71" s="915">
        <f t="shared" si="53"/>
        <v>0</v>
      </c>
      <c r="DT71" s="915">
        <f t="shared" si="54"/>
        <v>0</v>
      </c>
      <c r="DU71" s="915">
        <f t="shared" si="55"/>
        <v>0</v>
      </c>
      <c r="DV71" s="915">
        <f t="shared" si="56"/>
        <v>0</v>
      </c>
      <c r="DW71" s="915">
        <f t="shared" si="57"/>
        <v>0</v>
      </c>
      <c r="DX71" s="915">
        <f t="shared" si="58"/>
        <v>0</v>
      </c>
      <c r="DY71" s="915">
        <f t="shared" si="59"/>
        <v>0</v>
      </c>
      <c r="DZ71" s="915">
        <f t="shared" si="60"/>
        <v>0</v>
      </c>
      <c r="EA71" s="915">
        <f t="shared" si="131"/>
        <v>0</v>
      </c>
      <c r="EB71" s="915">
        <f t="shared" si="113"/>
        <v>0</v>
      </c>
      <c r="EC71" s="915">
        <f t="shared" si="114"/>
        <v>0</v>
      </c>
      <c r="ED71" s="915">
        <f t="shared" si="115"/>
        <v>0</v>
      </c>
      <c r="EE71" s="915">
        <f t="shared" si="116"/>
        <v>0</v>
      </c>
      <c r="EF71" s="915">
        <f t="shared" si="117"/>
        <v>0</v>
      </c>
      <c r="EG71" s="915">
        <f t="shared" si="118"/>
        <v>0</v>
      </c>
      <c r="EH71" s="915">
        <f t="shared" si="119"/>
        <v>0</v>
      </c>
      <c r="EI71" s="915">
        <f t="shared" si="120"/>
        <v>0</v>
      </c>
      <c r="EJ71" s="915">
        <f t="shared" si="121"/>
        <v>0</v>
      </c>
      <c r="EK71" s="915">
        <f t="shared" si="122"/>
        <v>0</v>
      </c>
      <c r="EL71" s="915"/>
      <c r="EN71" s="533"/>
      <c r="EQ71" s="534"/>
    </row>
    <row r="72" spans="1:147" ht="14.1" customHeight="1" x14ac:dyDescent="0.2">
      <c r="A72" s="496">
        <v>65</v>
      </c>
      <c r="B72" s="1419"/>
      <c r="C72" s="1420"/>
      <c r="D72" s="264">
        <v>5</v>
      </c>
      <c r="E72" s="264" t="s">
        <v>167</v>
      </c>
      <c r="F72" s="270" t="s">
        <v>2544</v>
      </c>
      <c r="G72" s="271">
        <v>1</v>
      </c>
      <c r="H72" s="803">
        <v>10</v>
      </c>
      <c r="I72" s="800">
        <f t="shared" si="129"/>
        <v>0.6</v>
      </c>
      <c r="J72" s="269">
        <f t="shared" si="130"/>
        <v>10.6</v>
      </c>
      <c r="K72" s="225"/>
      <c r="L72" s="941" t="str">
        <f>TabName5 &amp; " - AIR"</f>
        <v>Phase 5 - AIR</v>
      </c>
      <c r="M72" s="942">
        <f>CH6</f>
        <v>10.6</v>
      </c>
      <c r="N72" s="949"/>
      <c r="V72" s="915">
        <f t="shared" ref="V72:V127" si="132">IF(AND($D72=$P$8,$E72=$R$8),$J72,0)</f>
        <v>0</v>
      </c>
      <c r="W72" s="915">
        <f t="shared" ref="W72:W127" si="133">IF(AND($D72=$P$9,$E72=$R$8),$J72,0)</f>
        <v>0</v>
      </c>
      <c r="X72" s="915">
        <f t="shared" ref="X72:X127" si="134">IF(AND($D72=$P$10,$E72=$R$8),$J72,0)</f>
        <v>0</v>
      </c>
      <c r="Y72" s="915">
        <f t="shared" ref="Y72:Y127" si="135">IF(AND($D72=$P$11,$E72=$R$8),$J72,0)</f>
        <v>0</v>
      </c>
      <c r="Z72" s="915">
        <f t="shared" ref="Z72:Z127" si="136">IF(AND($D72=$P$12,$E72=$R$8),$J72,0)</f>
        <v>0</v>
      </c>
      <c r="AA72" s="915">
        <f t="shared" ref="AA72:AA127" si="137">IF(AND($D72=$P$13,$E72=$R$8),$J72,0)</f>
        <v>0</v>
      </c>
      <c r="AB72" s="915">
        <f t="shared" ref="AB72:AB127" si="138">IF(AND($D72=$P$14,$E72=$R$8),$J72,0)</f>
        <v>0</v>
      </c>
      <c r="AC72" s="915">
        <f t="shared" ref="AC72:AC127" si="139">IF(AND($D72=$P$15,$E72=$R$8),$J72,0)</f>
        <v>0</v>
      </c>
      <c r="AD72" s="915">
        <f t="shared" ref="AD72:AD127" si="140">IF(AND($D72=$P$16,$E72=$R$8),$J72,0)</f>
        <v>0</v>
      </c>
      <c r="AE72" s="915">
        <f t="shared" ref="AE72:AE127" si="141">IF(AND($D72=$P$17,$E72=$R$8),$J72,0)</f>
        <v>0</v>
      </c>
      <c r="AF72" s="915">
        <f t="shared" si="63"/>
        <v>0</v>
      </c>
      <c r="AG72" s="915">
        <f t="shared" si="64"/>
        <v>0</v>
      </c>
      <c r="AH72" s="915">
        <f t="shared" si="65"/>
        <v>0</v>
      </c>
      <c r="AI72" s="915">
        <f t="shared" si="66"/>
        <v>0</v>
      </c>
      <c r="AJ72" s="915">
        <f t="shared" si="67"/>
        <v>0</v>
      </c>
      <c r="AK72" s="915">
        <f t="shared" si="68"/>
        <v>0</v>
      </c>
      <c r="AL72" s="915">
        <f t="shared" si="69"/>
        <v>0</v>
      </c>
      <c r="AM72" s="915">
        <f t="shared" si="70"/>
        <v>0</v>
      </c>
      <c r="AN72" s="915">
        <f t="shared" si="71"/>
        <v>0</v>
      </c>
      <c r="AO72" s="915">
        <f t="shared" si="72"/>
        <v>0</v>
      </c>
      <c r="AP72" s="915">
        <f t="shared" ref="AP72:AP127" si="142">IF(AND($D72=$P$8,$E72=$R$9),$J72,0)</f>
        <v>0</v>
      </c>
      <c r="AQ72" s="915">
        <f t="shared" ref="AQ72:AQ127" si="143">IF(AND($D72=$P$9,$E72=$R$9),$J72,0)</f>
        <v>0</v>
      </c>
      <c r="AR72" s="915">
        <f t="shared" ref="AR72:AR127" si="144">IF(AND($D72=$P$10,$E72=$R$9),$J72,0)</f>
        <v>0</v>
      </c>
      <c r="AS72" s="915">
        <f t="shared" ref="AS72:AS127" si="145">IF(AND($D72=$P$11,$E72=$R$9),$J72,0)</f>
        <v>0</v>
      </c>
      <c r="AT72" s="915">
        <f t="shared" ref="AT72:AT127" si="146">IF(AND($D72=$P$12,$E72=$R$9),$J72,0)</f>
        <v>0</v>
      </c>
      <c r="AU72" s="915">
        <f t="shared" ref="AU72:AU127" si="147">IF(AND($D72=$P$13,$E72=$R$9),$J72,0)</f>
        <v>0</v>
      </c>
      <c r="AV72" s="915">
        <f t="shared" ref="AV72:AV127" si="148">IF(AND($D72=$P$14,$E72=$R$9),$J72,0)</f>
        <v>0</v>
      </c>
      <c r="AW72" s="915">
        <f t="shared" ref="AW72:AW127" si="149">IF(AND($D72=$P$15,$E72=$R$9),$J72,0)</f>
        <v>0</v>
      </c>
      <c r="AX72" s="915">
        <f t="shared" ref="AX72:AX127" si="150">IF(AND($D72=$P$16,$E72=$R$9),$J72,0)</f>
        <v>0</v>
      </c>
      <c r="AY72" s="915">
        <f t="shared" si="73"/>
        <v>0</v>
      </c>
      <c r="AZ72" s="915">
        <f t="shared" si="74"/>
        <v>0</v>
      </c>
      <c r="BA72" s="915">
        <f t="shared" si="75"/>
        <v>0</v>
      </c>
      <c r="BB72" s="915">
        <f t="shared" si="76"/>
        <v>0</v>
      </c>
      <c r="BC72" s="915">
        <f t="shared" si="77"/>
        <v>0</v>
      </c>
      <c r="BD72" s="915">
        <f t="shared" si="78"/>
        <v>0</v>
      </c>
      <c r="BE72" s="915">
        <f t="shared" si="79"/>
        <v>0</v>
      </c>
      <c r="BF72" s="915">
        <f t="shared" si="80"/>
        <v>0</v>
      </c>
      <c r="BG72" s="915">
        <f t="shared" si="81"/>
        <v>0</v>
      </c>
      <c r="BH72" s="915">
        <f t="shared" si="82"/>
        <v>0</v>
      </c>
      <c r="BI72" s="915">
        <f t="shared" si="83"/>
        <v>0</v>
      </c>
      <c r="BJ72" s="915">
        <f t="shared" ref="BJ72:BJ127" si="151">IF(AND($D72=$P$8,$E72=$R$10),$J72,0)</f>
        <v>0</v>
      </c>
      <c r="BK72" s="915">
        <f t="shared" ref="BK72:BK127" si="152">IF(AND($D72=$P$9,$E72=$R$10),$J72,0)</f>
        <v>0</v>
      </c>
      <c r="BL72" s="915">
        <f t="shared" ref="BL72:BL127" si="153">IF(AND($D72=$P$10,$E72=$R$10),$J72,0)</f>
        <v>0</v>
      </c>
      <c r="BM72" s="915">
        <f t="shared" ref="BM72:BM127" si="154">IF(AND($D72=$P$11,$E72=$R$10),$J72,0)</f>
        <v>0</v>
      </c>
      <c r="BN72" s="915">
        <f t="shared" ref="BN72:BN127" si="155">IF(AND($D72=$P$12,$E72=$R$10),$J72,0)</f>
        <v>0</v>
      </c>
      <c r="BO72" s="915">
        <f t="shared" ref="BO72:BO127" si="156">IF(AND($D72=$P$13,$E72=$R$10),$J72,0)</f>
        <v>0</v>
      </c>
      <c r="BP72" s="915">
        <f t="shared" ref="BP72:BP127" si="157">IF(AND($D72=$P$14,$E72=$R$10),$J72,0)</f>
        <v>0</v>
      </c>
      <c r="BQ72" s="915">
        <f t="shared" ref="BQ72:BQ127" si="158">IF(AND($D72=$P$15,$E72=$R$10),$J72,0)</f>
        <v>0</v>
      </c>
      <c r="BR72" s="915">
        <f t="shared" ref="BR72:BR127" si="159">IF(AND($D72=$P$16,$E72=$R$10),$J72,0)</f>
        <v>0</v>
      </c>
      <c r="BS72" s="915">
        <f t="shared" ref="BS72:BS127" si="160">IF(AND($D72=$P$17,$E72=$R$10),$J72,0)</f>
        <v>0</v>
      </c>
      <c r="BT72" s="915">
        <f t="shared" si="128"/>
        <v>0</v>
      </c>
      <c r="BU72" s="915">
        <f t="shared" si="128"/>
        <v>0</v>
      </c>
      <c r="BV72" s="915">
        <f t="shared" si="85"/>
        <v>0</v>
      </c>
      <c r="BW72" s="915">
        <f t="shared" si="86"/>
        <v>0</v>
      </c>
      <c r="BX72" s="915">
        <f t="shared" si="87"/>
        <v>0</v>
      </c>
      <c r="BY72" s="915">
        <f t="shared" si="88"/>
        <v>0</v>
      </c>
      <c r="BZ72" s="915">
        <f t="shared" si="89"/>
        <v>0</v>
      </c>
      <c r="CA72" s="915">
        <f t="shared" si="90"/>
        <v>0</v>
      </c>
      <c r="CB72" s="915">
        <f t="shared" si="91"/>
        <v>0</v>
      </c>
      <c r="CC72" s="915">
        <f t="shared" si="92"/>
        <v>0</v>
      </c>
      <c r="CD72" s="915">
        <f t="shared" ref="CD72:CD127" si="161">IF(AND($D72=$P$8,$E72=$R$11),$J72,0)</f>
        <v>0</v>
      </c>
      <c r="CE72" s="915">
        <f t="shared" ref="CE72:CE127" si="162">IF(AND($D72=$P$9,$E72=$R$11),$J72,0)</f>
        <v>0</v>
      </c>
      <c r="CF72" s="915">
        <f t="shared" ref="CF72:CF127" si="163">IF(AND($D72=$P$10,$E72=$R$11),$J72,0)</f>
        <v>0</v>
      </c>
      <c r="CG72" s="915">
        <f t="shared" ref="CG72:CG127" si="164">IF(AND($D72=$P$11,$E72=$R$11),$J72,0)</f>
        <v>0</v>
      </c>
      <c r="CH72" s="915">
        <f t="shared" ref="CH72:CH127" si="165">IF(AND($D72=$P$12,$E72=$R$11),$J72,0)</f>
        <v>10.6</v>
      </c>
      <c r="CI72" s="915">
        <f t="shared" ref="CI72:CI127" si="166">IF(AND($D72=$P$13,$E72=$R$11),$J72,0)</f>
        <v>0</v>
      </c>
      <c r="CJ72" s="915">
        <f t="shared" ref="CJ72:CJ127" si="167">IF(AND($D72=$P$14,$E72=$R$11),$J72,0)</f>
        <v>0</v>
      </c>
      <c r="CK72" s="915">
        <f t="shared" ref="CK72:CK127" si="168">IF(AND($D72=$P$15,$E72=$R$11),$J72,0)</f>
        <v>0</v>
      </c>
      <c r="CL72" s="915">
        <f t="shared" ref="CL72:CL127" si="169">IF(AND($D72=$P$16,$E72=$R$11),$J72,0)</f>
        <v>0</v>
      </c>
      <c r="CM72" s="915">
        <f t="shared" ref="CM72:CM127" si="170">IF(AND($D72=$P$17,$E72=$R$11),$J72,0)</f>
        <v>0</v>
      </c>
      <c r="CN72" s="915">
        <f t="shared" si="93"/>
        <v>0</v>
      </c>
      <c r="CO72" s="915">
        <f t="shared" si="94"/>
        <v>0</v>
      </c>
      <c r="CP72" s="915">
        <f t="shared" si="95"/>
        <v>0</v>
      </c>
      <c r="CQ72" s="915">
        <f t="shared" si="96"/>
        <v>0</v>
      </c>
      <c r="CR72" s="915">
        <f t="shared" si="97"/>
        <v>0</v>
      </c>
      <c r="CS72" s="915">
        <f t="shared" si="98"/>
        <v>0</v>
      </c>
      <c r="CT72" s="915">
        <f t="shared" si="99"/>
        <v>0</v>
      </c>
      <c r="CU72" s="915">
        <f t="shared" si="100"/>
        <v>0</v>
      </c>
      <c r="CV72" s="915">
        <f t="shared" si="101"/>
        <v>0</v>
      </c>
      <c r="CW72" s="915">
        <f t="shared" si="102"/>
        <v>0</v>
      </c>
      <c r="CX72" s="915">
        <f t="shared" ref="CX72:CX127" si="171">IF(AND($D72=$P$8,$E72=$R$12),$J72,0)</f>
        <v>0</v>
      </c>
      <c r="CY72" s="915">
        <f t="shared" ref="CY72:CY127" si="172">IF(AND($D72=$P$9,$E72=$R$12),$J72,0)</f>
        <v>0</v>
      </c>
      <c r="CZ72" s="915">
        <f t="shared" ref="CZ72:CZ127" si="173">IF(AND($D72=$P$10,$E72=$R$12),$J72,0)</f>
        <v>0</v>
      </c>
      <c r="DA72" s="915">
        <f t="shared" ref="DA72:DA127" si="174">IF(AND($D72=$P$11,$E72=$R$12),$J72,0)</f>
        <v>0</v>
      </c>
      <c r="DB72" s="915">
        <f t="shared" ref="DB72:DB127" si="175">IF(AND($D72=$P$12,$E72=$R$12),$J72,0)</f>
        <v>0</v>
      </c>
      <c r="DC72" s="915">
        <f t="shared" ref="DC72:DC127" si="176">IF(AND($D72=$P$13,$E72=$R$12),$J72,0)</f>
        <v>0</v>
      </c>
      <c r="DD72" s="915">
        <f t="shared" ref="DD72:DD127" si="177">IF(AND($D72=$P$14,$E72=$R$12),$J72,0)</f>
        <v>0</v>
      </c>
      <c r="DE72" s="915">
        <f t="shared" ref="DE72:DE127" si="178">IF(AND($D72=$P$15,$E72=$R$12),$J72,0)</f>
        <v>0</v>
      </c>
      <c r="DF72" s="915">
        <f t="shared" ref="DF72:DF127" si="179">IF(AND($D72=$P$16,$E72=$R$12),$J72,0)</f>
        <v>0</v>
      </c>
      <c r="DG72" s="915">
        <f t="shared" ref="DG72:DG127" si="180">IF(AND($D72=$P$17,$E72=$R$12),$J72,0)</f>
        <v>0</v>
      </c>
      <c r="DH72" s="915">
        <f t="shared" si="103"/>
        <v>0</v>
      </c>
      <c r="DI72" s="915">
        <f t="shared" si="104"/>
        <v>0</v>
      </c>
      <c r="DJ72" s="915">
        <f t="shared" si="105"/>
        <v>0</v>
      </c>
      <c r="DK72" s="915">
        <f t="shared" si="106"/>
        <v>0</v>
      </c>
      <c r="DL72" s="915">
        <f t="shared" si="107"/>
        <v>0</v>
      </c>
      <c r="DM72" s="915">
        <f t="shared" si="108"/>
        <v>0</v>
      </c>
      <c r="DN72" s="915">
        <f t="shared" si="109"/>
        <v>0</v>
      </c>
      <c r="DO72" s="915">
        <f t="shared" si="110"/>
        <v>0</v>
      </c>
      <c r="DP72" s="915">
        <f t="shared" si="111"/>
        <v>0</v>
      </c>
      <c r="DQ72" s="915">
        <f t="shared" si="112"/>
        <v>0</v>
      </c>
      <c r="DR72" s="915">
        <f t="shared" ref="DR72:DR127" si="181">IF(AND($D72=$P$8,$E72=$R$13),$J72,0)</f>
        <v>0</v>
      </c>
      <c r="DS72" s="915">
        <f t="shared" ref="DS72:DS127" si="182">IF(AND($D72=$P$9,$E72=$R$13),$J72,0)</f>
        <v>0</v>
      </c>
      <c r="DT72" s="915">
        <f t="shared" ref="DT72:DT127" si="183">IF(AND($D72=$P$10,$E72=$R$13),$J72,0)</f>
        <v>0</v>
      </c>
      <c r="DU72" s="915">
        <f t="shared" ref="DU72:DU127" si="184">IF(AND($D72=$P$11,$E72=$R$13),$J72,0)</f>
        <v>0</v>
      </c>
      <c r="DV72" s="915">
        <f t="shared" ref="DV72:DV127" si="185">IF(AND($D72=$P$12,$E72=$R$13),$J72,0)</f>
        <v>0</v>
      </c>
      <c r="DW72" s="915">
        <f t="shared" ref="DW72:DW127" si="186">IF(AND($D72=$P$13,$E72=$R$13),$J72,0)</f>
        <v>0</v>
      </c>
      <c r="DX72" s="915">
        <f t="shared" ref="DX72:DX127" si="187">IF(AND($D72=$P$14,$E72=$R$13),$J72,0)</f>
        <v>0</v>
      </c>
      <c r="DY72" s="915">
        <f t="shared" ref="DY72:DY127" si="188">IF(AND($D72=$P$15,$E72=$R$13),$J72,0)</f>
        <v>0</v>
      </c>
      <c r="DZ72" s="915">
        <f t="shared" ref="DZ72:DZ127" si="189">IF(AND($D72=$P$16,$E72=$R$13),$J72,0)</f>
        <v>0</v>
      </c>
      <c r="EA72" s="915">
        <f t="shared" si="131"/>
        <v>0</v>
      </c>
      <c r="EB72" s="915">
        <f t="shared" si="113"/>
        <v>0</v>
      </c>
      <c r="EC72" s="915">
        <f t="shared" si="114"/>
        <v>0</v>
      </c>
      <c r="ED72" s="915">
        <f t="shared" si="115"/>
        <v>0</v>
      </c>
      <c r="EE72" s="915">
        <f t="shared" si="116"/>
        <v>0</v>
      </c>
      <c r="EF72" s="915">
        <f t="shared" si="117"/>
        <v>0</v>
      </c>
      <c r="EG72" s="915">
        <f t="shared" si="118"/>
        <v>0</v>
      </c>
      <c r="EH72" s="915">
        <f t="shared" si="119"/>
        <v>0</v>
      </c>
      <c r="EI72" s="915">
        <f t="shared" si="120"/>
        <v>0</v>
      </c>
      <c r="EJ72" s="915">
        <f t="shared" si="121"/>
        <v>0</v>
      </c>
      <c r="EK72" s="915">
        <f t="shared" si="122"/>
        <v>0</v>
      </c>
      <c r="EL72" s="915"/>
      <c r="EN72" s="533"/>
      <c r="EQ72" s="534"/>
    </row>
    <row r="73" spans="1:147" ht="14.1" customHeight="1" x14ac:dyDescent="0.2">
      <c r="A73" s="1026">
        <v>66</v>
      </c>
      <c r="B73" s="1005"/>
      <c r="C73" s="1008"/>
      <c r="D73" s="138">
        <v>6</v>
      </c>
      <c r="E73" s="138" t="s">
        <v>167</v>
      </c>
      <c r="F73" s="139" t="s">
        <v>2544</v>
      </c>
      <c r="G73" s="91">
        <v>1</v>
      </c>
      <c r="H73" s="1022">
        <v>10</v>
      </c>
      <c r="I73" s="801">
        <f t="shared" si="129"/>
        <v>0.6</v>
      </c>
      <c r="J73" s="1021">
        <f t="shared" si="130"/>
        <v>10.6</v>
      </c>
      <c r="K73" s="225"/>
      <c r="L73" s="941" t="str">
        <f>TabName6 &amp; " - AIR"</f>
        <v>Phase 6 - AIR</v>
      </c>
      <c r="M73" s="942">
        <f>CI6</f>
        <v>10.6</v>
      </c>
      <c r="N73" s="949"/>
      <c r="V73" s="915">
        <f t="shared" si="132"/>
        <v>0</v>
      </c>
      <c r="W73" s="915">
        <f t="shared" si="133"/>
        <v>0</v>
      </c>
      <c r="X73" s="915">
        <f t="shared" si="134"/>
        <v>0</v>
      </c>
      <c r="Y73" s="915">
        <f t="shared" si="135"/>
        <v>0</v>
      </c>
      <c r="Z73" s="915">
        <f t="shared" si="136"/>
        <v>0</v>
      </c>
      <c r="AA73" s="915">
        <f t="shared" si="137"/>
        <v>0</v>
      </c>
      <c r="AB73" s="915">
        <f t="shared" si="138"/>
        <v>0</v>
      </c>
      <c r="AC73" s="915">
        <f t="shared" si="139"/>
        <v>0</v>
      </c>
      <c r="AD73" s="915">
        <f t="shared" si="140"/>
        <v>0</v>
      </c>
      <c r="AE73" s="915">
        <f t="shared" si="141"/>
        <v>0</v>
      </c>
      <c r="AF73" s="915">
        <f t="shared" ref="AF73:AF127" si="190">IF(AND($D73=$P$18,$E73=$R$8),$J73,0)</f>
        <v>0</v>
      </c>
      <c r="AG73" s="915">
        <f t="shared" ref="AG73:AG127" si="191">IF(AND($D73=$P$19,$E73=$R$8),$J73,0)</f>
        <v>0</v>
      </c>
      <c r="AH73" s="915">
        <f t="shared" ref="AH73:AH127" si="192">IF(AND($D73=$P$20,$E73=$R$8),$J73,0)</f>
        <v>0</v>
      </c>
      <c r="AI73" s="915">
        <f t="shared" ref="AI73:AI127" si="193">IF(AND($D73=$P$21,$E73=$R$8),$J73,0)</f>
        <v>0</v>
      </c>
      <c r="AJ73" s="915">
        <f t="shared" ref="AJ73:AJ127" si="194">IF(AND($D73=$P$22,$E73=$R$8),$J73,0)</f>
        <v>0</v>
      </c>
      <c r="AK73" s="915">
        <f t="shared" ref="AK73:AK127" si="195">IF(AND($D73=$P$23,$E73=$R$8),$J73,0)</f>
        <v>0</v>
      </c>
      <c r="AL73" s="915">
        <f t="shared" ref="AL73:AL127" si="196">IF(AND($D73=$P$24,$E73=$R$8),$J73,0)</f>
        <v>0</v>
      </c>
      <c r="AM73" s="915">
        <f t="shared" ref="AM73:AM127" si="197">IF(AND($D73=$P$25,$E73=$R$8),$J73,0)</f>
        <v>0</v>
      </c>
      <c r="AN73" s="915">
        <f t="shared" ref="AN73:AN127" si="198">IF(AND($D73=$P$26,$E73=$R$8),$J73,0)</f>
        <v>0</v>
      </c>
      <c r="AO73" s="915">
        <f t="shared" ref="AO73:AO127" si="199">IF(AND($D73=$P$27,$E73=$R$8),$J73,0)</f>
        <v>0</v>
      </c>
      <c r="AP73" s="915">
        <f t="shared" si="142"/>
        <v>0</v>
      </c>
      <c r="AQ73" s="915">
        <f t="shared" si="143"/>
        <v>0</v>
      </c>
      <c r="AR73" s="915">
        <f t="shared" si="144"/>
        <v>0</v>
      </c>
      <c r="AS73" s="915">
        <f t="shared" si="145"/>
        <v>0</v>
      </c>
      <c r="AT73" s="915">
        <f t="shared" si="146"/>
        <v>0</v>
      </c>
      <c r="AU73" s="915">
        <f t="shared" si="147"/>
        <v>0</v>
      </c>
      <c r="AV73" s="915">
        <f t="shared" si="148"/>
        <v>0</v>
      </c>
      <c r="AW73" s="915">
        <f t="shared" si="149"/>
        <v>0</v>
      </c>
      <c r="AX73" s="915">
        <f t="shared" si="150"/>
        <v>0</v>
      </c>
      <c r="AY73" s="915">
        <f t="shared" ref="AY73:AY127" si="200">IF(AND($D73=$P$17,$E73=$R$9),$J73,0)</f>
        <v>0</v>
      </c>
      <c r="AZ73" s="915">
        <f t="shared" ref="AZ73:AZ127" si="201">IF(AND($D73=$P$18,$E73=$R$9),$J73,0)</f>
        <v>0</v>
      </c>
      <c r="BA73" s="915">
        <f t="shared" ref="BA73:BA127" si="202">IF(AND($D73=$P$19,$E73=$R$9),$J73,0)</f>
        <v>0</v>
      </c>
      <c r="BB73" s="915">
        <f t="shared" ref="BB73:BB127" si="203">IF(AND($D73=$P$20,$E73=$R$9),$J73,0)</f>
        <v>0</v>
      </c>
      <c r="BC73" s="915">
        <f t="shared" ref="BC73:BC127" si="204">IF(AND($D73=$P$21,$E73=$R$9),$J73,0)</f>
        <v>0</v>
      </c>
      <c r="BD73" s="915">
        <f t="shared" ref="BD73:BD127" si="205">IF(AND($D73=$P$22,$E73=$R$9),$J73,0)</f>
        <v>0</v>
      </c>
      <c r="BE73" s="915">
        <f t="shared" ref="BE73:BE127" si="206">IF(AND($D73=$P$23,$E73=$R$9),$J73,0)</f>
        <v>0</v>
      </c>
      <c r="BF73" s="915">
        <f t="shared" ref="BF73:BF127" si="207">IF(AND($D73=$P$24,$E73=$R$9),$J73,0)</f>
        <v>0</v>
      </c>
      <c r="BG73" s="915">
        <f t="shared" ref="BG73:BG127" si="208">IF(AND($D73=$P$25,$E73=$R$9),$J73,0)</f>
        <v>0</v>
      </c>
      <c r="BH73" s="915">
        <f t="shared" ref="BH73:BH127" si="209">IF(AND($D73=$P$26,$E73=$R$9),$J73,0)</f>
        <v>0</v>
      </c>
      <c r="BI73" s="915">
        <f t="shared" ref="BI73:BI127" si="210">IF(AND($D73=$P$27,$E73=$R$9),$J73,0)</f>
        <v>0</v>
      </c>
      <c r="BJ73" s="915">
        <f t="shared" si="151"/>
        <v>0</v>
      </c>
      <c r="BK73" s="915">
        <f t="shared" si="152"/>
        <v>0</v>
      </c>
      <c r="BL73" s="915">
        <f t="shared" si="153"/>
        <v>0</v>
      </c>
      <c r="BM73" s="915">
        <f t="shared" si="154"/>
        <v>0</v>
      </c>
      <c r="BN73" s="915">
        <f t="shared" si="155"/>
        <v>0</v>
      </c>
      <c r="BO73" s="915">
        <f t="shared" si="156"/>
        <v>0</v>
      </c>
      <c r="BP73" s="915">
        <f t="shared" si="157"/>
        <v>0</v>
      </c>
      <c r="BQ73" s="915">
        <f t="shared" si="158"/>
        <v>0</v>
      </c>
      <c r="BR73" s="915">
        <f t="shared" si="159"/>
        <v>0</v>
      </c>
      <c r="BS73" s="915">
        <f t="shared" si="160"/>
        <v>0</v>
      </c>
      <c r="BT73" s="915">
        <f t="shared" ref="BT73:BU106" si="211">IF(AND($D73=$P$19,$E73=$R$10),$J73,0)</f>
        <v>0</v>
      </c>
      <c r="BU73" s="915">
        <f t="shared" si="211"/>
        <v>0</v>
      </c>
      <c r="BV73" s="915">
        <f t="shared" ref="BV73:BV106" si="212">IF(AND($D73=$P$20,$E73=$R$10),$J73,0)</f>
        <v>0</v>
      </c>
      <c r="BW73" s="915">
        <f t="shared" ref="BW73:BW106" si="213">IF(AND($D73=$P$21,$E73=$R$10),$J73,0)</f>
        <v>0</v>
      </c>
      <c r="BX73" s="915">
        <f t="shared" ref="BX73:BX106" si="214">IF(AND($D73=$P$22,$E73=$R$10),$J73,0)</f>
        <v>0</v>
      </c>
      <c r="BY73" s="915">
        <f t="shared" ref="BY73:BY106" si="215">IF(AND($D73=$P$23,$E73=$R$10),$J73,0)</f>
        <v>0</v>
      </c>
      <c r="BZ73" s="915">
        <f t="shared" ref="BZ73:BZ106" si="216">IF(AND($D73=$P$24,$E73=$R$10),$J73,0)</f>
        <v>0</v>
      </c>
      <c r="CA73" s="915">
        <f t="shared" ref="CA73:CA106" si="217">IF(AND($D73=$P$25,$E73=$R$10),$J73,0)</f>
        <v>0</v>
      </c>
      <c r="CB73" s="915">
        <f t="shared" ref="CB73:CB106" si="218">IF(AND($D73=$P$26,$E73=$R$10),$J73,0)</f>
        <v>0</v>
      </c>
      <c r="CC73" s="915">
        <f t="shared" ref="CC73:CC106" si="219">IF(AND($D73=$P$27,$E73=$R$10),$J73,0)</f>
        <v>0</v>
      </c>
      <c r="CD73" s="915">
        <f t="shared" si="161"/>
        <v>0</v>
      </c>
      <c r="CE73" s="915">
        <f t="shared" si="162"/>
        <v>0</v>
      </c>
      <c r="CF73" s="915">
        <f t="shared" si="163"/>
        <v>0</v>
      </c>
      <c r="CG73" s="915">
        <f t="shared" si="164"/>
        <v>0</v>
      </c>
      <c r="CH73" s="915">
        <f t="shared" si="165"/>
        <v>0</v>
      </c>
      <c r="CI73" s="915">
        <f t="shared" si="166"/>
        <v>10.6</v>
      </c>
      <c r="CJ73" s="915">
        <f t="shared" si="167"/>
        <v>0</v>
      </c>
      <c r="CK73" s="915">
        <f t="shared" si="168"/>
        <v>0</v>
      </c>
      <c r="CL73" s="915">
        <f t="shared" si="169"/>
        <v>0</v>
      </c>
      <c r="CM73" s="915">
        <f t="shared" si="170"/>
        <v>0</v>
      </c>
      <c r="CN73" s="915">
        <f t="shared" ref="CN73:CN127" si="220">IF(AND($D73=$P$18,$E73=$R$11),$J73,0)</f>
        <v>0</v>
      </c>
      <c r="CO73" s="915">
        <f t="shared" ref="CO73:CO127" si="221">IF(AND($D73=$P$19,$E73=$R$11),$J73,0)</f>
        <v>0</v>
      </c>
      <c r="CP73" s="915">
        <f t="shared" ref="CP73:CP127" si="222">IF(AND($D73=$P$20,$E73=$R$11),$J73,0)</f>
        <v>0</v>
      </c>
      <c r="CQ73" s="915">
        <f t="shared" ref="CQ73:CQ127" si="223">IF(AND($D73=$P$21,$E73=$R$11),$J73,0)</f>
        <v>0</v>
      </c>
      <c r="CR73" s="915">
        <f t="shared" ref="CR73:CR127" si="224">IF(AND($D73=$P$22,$E73=$R$11),$J73,0)</f>
        <v>0</v>
      </c>
      <c r="CS73" s="915">
        <f t="shared" ref="CS73:CS127" si="225">IF(AND($D73=$P$23,$E73=$R$11),$J73,0)</f>
        <v>0</v>
      </c>
      <c r="CT73" s="915">
        <f t="shared" ref="CT73:CT127" si="226">IF(AND($D73=$P$24,$E73=$R$11),$J73,0)</f>
        <v>0</v>
      </c>
      <c r="CU73" s="915">
        <f t="shared" ref="CU73:CU127" si="227">IF(AND($D73=$P$25,$E73=$R$11),$J73,0)</f>
        <v>0</v>
      </c>
      <c r="CV73" s="915">
        <f t="shared" ref="CV73:CV127" si="228">IF(AND($D73=$P$26,$E73=$R$11),$J73,0)</f>
        <v>0</v>
      </c>
      <c r="CW73" s="915">
        <f t="shared" ref="CW73:CW127" si="229">IF(AND($D73=$P$27,$E73=$R$11),$J73,0)</f>
        <v>0</v>
      </c>
      <c r="CX73" s="915">
        <f t="shared" si="171"/>
        <v>0</v>
      </c>
      <c r="CY73" s="915">
        <f t="shared" si="172"/>
        <v>0</v>
      </c>
      <c r="CZ73" s="915">
        <f t="shared" si="173"/>
        <v>0</v>
      </c>
      <c r="DA73" s="915">
        <f t="shared" si="174"/>
        <v>0</v>
      </c>
      <c r="DB73" s="915">
        <f t="shared" si="175"/>
        <v>0</v>
      </c>
      <c r="DC73" s="915">
        <f t="shared" si="176"/>
        <v>0</v>
      </c>
      <c r="DD73" s="915">
        <f t="shared" si="177"/>
        <v>0</v>
      </c>
      <c r="DE73" s="915">
        <f t="shared" si="178"/>
        <v>0</v>
      </c>
      <c r="DF73" s="915">
        <f t="shared" si="179"/>
        <v>0</v>
      </c>
      <c r="DG73" s="915">
        <f t="shared" si="180"/>
        <v>0</v>
      </c>
      <c r="DH73" s="915">
        <f t="shared" ref="DH73:DH109" si="230">IF(AND($D73=$P$18,$E73=$R$12),$J73,0)</f>
        <v>0</v>
      </c>
      <c r="DI73" s="915">
        <f t="shared" ref="DI73:DI109" si="231">IF(AND($D73=$P$19,$E73=$R$12),$J73,0)</f>
        <v>0</v>
      </c>
      <c r="DJ73" s="915">
        <f t="shared" ref="DJ73:DJ109" si="232">IF(AND($D73=$P$20,$E73=$R$12),$J73,0)</f>
        <v>0</v>
      </c>
      <c r="DK73" s="915">
        <f t="shared" ref="DK73:DK109" si="233">IF(AND($D73=$P$21,$E73=$R$12),$J73,0)</f>
        <v>0</v>
      </c>
      <c r="DL73" s="915">
        <f t="shared" ref="DL73:DL109" si="234">IF(AND($D73=$P$22,$E73=$R$12),$J73,0)</f>
        <v>0</v>
      </c>
      <c r="DM73" s="915">
        <f t="shared" ref="DM73:DM109" si="235">IF(AND($D73=$P$23,$E73=$R$12),$J73,0)</f>
        <v>0</v>
      </c>
      <c r="DN73" s="915">
        <f t="shared" ref="DN73:DN109" si="236">IF(AND($D73=$P$24,$E73=$R$12),$J73,0)</f>
        <v>0</v>
      </c>
      <c r="DO73" s="915">
        <f t="shared" ref="DO73:DO109" si="237">IF(AND($D73=$P$25,$E73=$R$12),$J73,0)</f>
        <v>0</v>
      </c>
      <c r="DP73" s="915">
        <f t="shared" ref="DP73:DP109" si="238">IF(AND($D73=$P$26,$E73=$R$12),$J73,0)</f>
        <v>0</v>
      </c>
      <c r="DQ73" s="915">
        <f t="shared" ref="DQ73:DQ109" si="239">IF(AND($D73=$P$27,$E73=$R$12),$J73,0)</f>
        <v>0</v>
      </c>
      <c r="DR73" s="915">
        <f t="shared" si="181"/>
        <v>0</v>
      </c>
      <c r="DS73" s="915">
        <f t="shared" si="182"/>
        <v>0</v>
      </c>
      <c r="DT73" s="915">
        <f t="shared" si="183"/>
        <v>0</v>
      </c>
      <c r="DU73" s="915">
        <f t="shared" si="184"/>
        <v>0</v>
      </c>
      <c r="DV73" s="915">
        <f t="shared" si="185"/>
        <v>0</v>
      </c>
      <c r="DW73" s="915">
        <f t="shared" si="186"/>
        <v>0</v>
      </c>
      <c r="DX73" s="915">
        <f t="shared" si="187"/>
        <v>0</v>
      </c>
      <c r="DY73" s="915">
        <f t="shared" si="188"/>
        <v>0</v>
      </c>
      <c r="DZ73" s="915">
        <f t="shared" si="189"/>
        <v>0</v>
      </c>
      <c r="EA73" s="915">
        <f t="shared" si="131"/>
        <v>0</v>
      </c>
      <c r="EB73" s="915">
        <f t="shared" ref="EB73:EB96" si="240">IF(AND($D73=$P$18,$E73=$R$13),$J73,0)</f>
        <v>0</v>
      </c>
      <c r="EC73" s="915">
        <f t="shared" ref="EC73:EC96" si="241">IF(AND($D73=$P$19,$E73=$R$13),$J73,0)</f>
        <v>0</v>
      </c>
      <c r="ED73" s="915">
        <f t="shared" ref="ED73:ED96" si="242">IF(AND($D73=$P$20,$E73=$R$13),$J73,0)</f>
        <v>0</v>
      </c>
      <c r="EE73" s="915">
        <f t="shared" ref="EE73:EE96" si="243">IF(AND($D73=$P$21,$E73=$R$13),$J73,0)</f>
        <v>0</v>
      </c>
      <c r="EF73" s="915">
        <f t="shared" ref="EF73:EF96" si="244">IF(AND($D73=$P$22,$E73=$R$13),$J73,0)</f>
        <v>0</v>
      </c>
      <c r="EG73" s="915">
        <f t="shared" ref="EG73:EG96" si="245">IF(AND($D73=$P$23,$E73=$R$13),$J73,0)</f>
        <v>0</v>
      </c>
      <c r="EH73" s="915">
        <f t="shared" ref="EH73:EH96" si="246">IF(AND($D73=$P$24,$E73=$R$13),$J73,0)</f>
        <v>0</v>
      </c>
      <c r="EI73" s="915">
        <f t="shared" ref="EI73:EI96" si="247">IF(AND($D73=$P$25,$E73=$R$13),$J73,0)</f>
        <v>0</v>
      </c>
      <c r="EJ73" s="915">
        <f t="shared" ref="EJ73:EJ96" si="248">IF(AND($D73=$P$26,$E73=$R$13),$J73,0)</f>
        <v>0</v>
      </c>
      <c r="EK73" s="915">
        <f t="shared" ref="EK73:EK96" si="249">IF(AND($D73=$P$27,$E73=$R$13),$J73,0)</f>
        <v>0</v>
      </c>
      <c r="EL73" s="915"/>
      <c r="EN73" s="533"/>
      <c r="EQ73" s="534"/>
    </row>
    <row r="74" spans="1:147" ht="14.1" customHeight="1" x14ac:dyDescent="0.2">
      <c r="A74" s="496">
        <v>67</v>
      </c>
      <c r="B74" s="1419"/>
      <c r="C74" s="1420"/>
      <c r="D74" s="264">
        <v>7</v>
      </c>
      <c r="E74" s="264" t="s">
        <v>167</v>
      </c>
      <c r="F74" s="270" t="s">
        <v>2544</v>
      </c>
      <c r="G74" s="271">
        <v>1</v>
      </c>
      <c r="H74" s="803">
        <v>10</v>
      </c>
      <c r="I74" s="800">
        <f t="shared" si="129"/>
        <v>0.6</v>
      </c>
      <c r="J74" s="269">
        <f t="shared" si="130"/>
        <v>10.6</v>
      </c>
      <c r="K74" s="225"/>
      <c r="L74" s="941" t="str">
        <f>TabName7 &amp; " - AIR"</f>
        <v>Phase 7 - AIR</v>
      </c>
      <c r="M74" s="942">
        <f>CJ6</f>
        <v>10.6</v>
      </c>
      <c r="V74" s="915">
        <f t="shared" si="132"/>
        <v>0</v>
      </c>
      <c r="W74" s="915">
        <f t="shared" si="133"/>
        <v>0</v>
      </c>
      <c r="X74" s="915">
        <f t="shared" si="134"/>
        <v>0</v>
      </c>
      <c r="Y74" s="915">
        <f t="shared" si="135"/>
        <v>0</v>
      </c>
      <c r="Z74" s="915">
        <f t="shared" si="136"/>
        <v>0</v>
      </c>
      <c r="AA74" s="915">
        <f t="shared" si="137"/>
        <v>0</v>
      </c>
      <c r="AB74" s="915">
        <f t="shared" si="138"/>
        <v>0</v>
      </c>
      <c r="AC74" s="915">
        <f t="shared" si="139"/>
        <v>0</v>
      </c>
      <c r="AD74" s="915">
        <f t="shared" si="140"/>
        <v>0</v>
      </c>
      <c r="AE74" s="915">
        <f t="shared" si="141"/>
        <v>0</v>
      </c>
      <c r="AF74" s="915">
        <f t="shared" si="190"/>
        <v>0</v>
      </c>
      <c r="AG74" s="915">
        <f t="shared" si="191"/>
        <v>0</v>
      </c>
      <c r="AH74" s="915">
        <f t="shared" si="192"/>
        <v>0</v>
      </c>
      <c r="AI74" s="915">
        <f t="shared" si="193"/>
        <v>0</v>
      </c>
      <c r="AJ74" s="915">
        <f t="shared" si="194"/>
        <v>0</v>
      </c>
      <c r="AK74" s="915">
        <f t="shared" si="195"/>
        <v>0</v>
      </c>
      <c r="AL74" s="915">
        <f t="shared" si="196"/>
        <v>0</v>
      </c>
      <c r="AM74" s="915">
        <f t="shared" si="197"/>
        <v>0</v>
      </c>
      <c r="AN74" s="915">
        <f t="shared" si="198"/>
        <v>0</v>
      </c>
      <c r="AO74" s="915">
        <f t="shared" si="199"/>
        <v>0</v>
      </c>
      <c r="AP74" s="915">
        <f t="shared" si="142"/>
        <v>0</v>
      </c>
      <c r="AQ74" s="915">
        <f t="shared" si="143"/>
        <v>0</v>
      </c>
      <c r="AR74" s="915">
        <f t="shared" si="144"/>
        <v>0</v>
      </c>
      <c r="AS74" s="915">
        <f t="shared" si="145"/>
        <v>0</v>
      </c>
      <c r="AT74" s="915">
        <f t="shared" si="146"/>
        <v>0</v>
      </c>
      <c r="AU74" s="915">
        <f t="shared" si="147"/>
        <v>0</v>
      </c>
      <c r="AV74" s="915">
        <f t="shared" si="148"/>
        <v>0</v>
      </c>
      <c r="AW74" s="915">
        <f t="shared" si="149"/>
        <v>0</v>
      </c>
      <c r="AX74" s="915">
        <f t="shared" si="150"/>
        <v>0</v>
      </c>
      <c r="AY74" s="915">
        <f t="shared" si="200"/>
        <v>0</v>
      </c>
      <c r="AZ74" s="915">
        <f t="shared" si="201"/>
        <v>0</v>
      </c>
      <c r="BA74" s="915">
        <f t="shared" si="202"/>
        <v>0</v>
      </c>
      <c r="BB74" s="915">
        <f t="shared" si="203"/>
        <v>0</v>
      </c>
      <c r="BC74" s="915">
        <f t="shared" si="204"/>
        <v>0</v>
      </c>
      <c r="BD74" s="915">
        <f t="shared" si="205"/>
        <v>0</v>
      </c>
      <c r="BE74" s="915">
        <f t="shared" si="206"/>
        <v>0</v>
      </c>
      <c r="BF74" s="915">
        <f t="shared" si="207"/>
        <v>0</v>
      </c>
      <c r="BG74" s="915">
        <f t="shared" si="208"/>
        <v>0</v>
      </c>
      <c r="BH74" s="915">
        <f t="shared" si="209"/>
        <v>0</v>
      </c>
      <c r="BI74" s="915">
        <f t="shared" si="210"/>
        <v>0</v>
      </c>
      <c r="BJ74" s="915">
        <f t="shared" si="151"/>
        <v>0</v>
      </c>
      <c r="BK74" s="915">
        <f t="shared" si="152"/>
        <v>0</v>
      </c>
      <c r="BL74" s="915">
        <f t="shared" si="153"/>
        <v>0</v>
      </c>
      <c r="BM74" s="915">
        <f t="shared" si="154"/>
        <v>0</v>
      </c>
      <c r="BN74" s="915">
        <f t="shared" si="155"/>
        <v>0</v>
      </c>
      <c r="BO74" s="915">
        <f t="shared" si="156"/>
        <v>0</v>
      </c>
      <c r="BP74" s="915">
        <f t="shared" si="157"/>
        <v>0</v>
      </c>
      <c r="BQ74" s="915">
        <f t="shared" si="158"/>
        <v>0</v>
      </c>
      <c r="BR74" s="915">
        <f t="shared" si="159"/>
        <v>0</v>
      </c>
      <c r="BS74" s="915">
        <f t="shared" si="160"/>
        <v>0</v>
      </c>
      <c r="BT74" s="915">
        <f t="shared" si="211"/>
        <v>0</v>
      </c>
      <c r="BU74" s="915">
        <f t="shared" si="211"/>
        <v>0</v>
      </c>
      <c r="BV74" s="915">
        <f t="shared" si="212"/>
        <v>0</v>
      </c>
      <c r="BW74" s="915">
        <f t="shared" si="213"/>
        <v>0</v>
      </c>
      <c r="BX74" s="915">
        <f t="shared" si="214"/>
        <v>0</v>
      </c>
      <c r="BY74" s="915">
        <f t="shared" si="215"/>
        <v>0</v>
      </c>
      <c r="BZ74" s="915">
        <f t="shared" si="216"/>
        <v>0</v>
      </c>
      <c r="CA74" s="915">
        <f t="shared" si="217"/>
        <v>0</v>
      </c>
      <c r="CB74" s="915">
        <f t="shared" si="218"/>
        <v>0</v>
      </c>
      <c r="CC74" s="915">
        <f t="shared" si="219"/>
        <v>0</v>
      </c>
      <c r="CD74" s="915">
        <f t="shared" si="161"/>
        <v>0</v>
      </c>
      <c r="CE74" s="915">
        <f t="shared" si="162"/>
        <v>0</v>
      </c>
      <c r="CF74" s="915">
        <f t="shared" si="163"/>
        <v>0</v>
      </c>
      <c r="CG74" s="915">
        <f t="shared" si="164"/>
        <v>0</v>
      </c>
      <c r="CH74" s="915">
        <f t="shared" si="165"/>
        <v>0</v>
      </c>
      <c r="CI74" s="915">
        <f t="shared" si="166"/>
        <v>0</v>
      </c>
      <c r="CJ74" s="915">
        <f t="shared" si="167"/>
        <v>10.6</v>
      </c>
      <c r="CK74" s="915">
        <f t="shared" si="168"/>
        <v>0</v>
      </c>
      <c r="CL74" s="915">
        <f t="shared" si="169"/>
        <v>0</v>
      </c>
      <c r="CM74" s="915">
        <f t="shared" si="170"/>
        <v>0</v>
      </c>
      <c r="CN74" s="915">
        <f t="shared" si="220"/>
        <v>0</v>
      </c>
      <c r="CO74" s="915">
        <f t="shared" si="221"/>
        <v>0</v>
      </c>
      <c r="CP74" s="915">
        <f t="shared" si="222"/>
        <v>0</v>
      </c>
      <c r="CQ74" s="915">
        <f t="shared" si="223"/>
        <v>0</v>
      </c>
      <c r="CR74" s="915">
        <f t="shared" si="224"/>
        <v>0</v>
      </c>
      <c r="CS74" s="915">
        <f t="shared" si="225"/>
        <v>0</v>
      </c>
      <c r="CT74" s="915">
        <f t="shared" si="226"/>
        <v>0</v>
      </c>
      <c r="CU74" s="915">
        <f t="shared" si="227"/>
        <v>0</v>
      </c>
      <c r="CV74" s="915">
        <f t="shared" si="228"/>
        <v>0</v>
      </c>
      <c r="CW74" s="915">
        <f t="shared" si="229"/>
        <v>0</v>
      </c>
      <c r="CX74" s="915">
        <f t="shared" si="171"/>
        <v>0</v>
      </c>
      <c r="CY74" s="915">
        <f t="shared" si="172"/>
        <v>0</v>
      </c>
      <c r="CZ74" s="915">
        <f t="shared" si="173"/>
        <v>0</v>
      </c>
      <c r="DA74" s="915">
        <f t="shared" si="174"/>
        <v>0</v>
      </c>
      <c r="DB74" s="915">
        <f t="shared" si="175"/>
        <v>0</v>
      </c>
      <c r="DC74" s="915">
        <f t="shared" si="176"/>
        <v>0</v>
      </c>
      <c r="DD74" s="915">
        <f t="shared" si="177"/>
        <v>0</v>
      </c>
      <c r="DE74" s="915">
        <f t="shared" si="178"/>
        <v>0</v>
      </c>
      <c r="DF74" s="915">
        <f t="shared" si="179"/>
        <v>0</v>
      </c>
      <c r="DG74" s="915">
        <f t="shared" si="180"/>
        <v>0</v>
      </c>
      <c r="DH74" s="915">
        <f t="shared" si="230"/>
        <v>0</v>
      </c>
      <c r="DI74" s="915">
        <f t="shared" si="231"/>
        <v>0</v>
      </c>
      <c r="DJ74" s="915">
        <f t="shared" si="232"/>
        <v>0</v>
      </c>
      <c r="DK74" s="915">
        <f t="shared" si="233"/>
        <v>0</v>
      </c>
      <c r="DL74" s="915">
        <f t="shared" si="234"/>
        <v>0</v>
      </c>
      <c r="DM74" s="915">
        <f t="shared" si="235"/>
        <v>0</v>
      </c>
      <c r="DN74" s="915">
        <f t="shared" si="236"/>
        <v>0</v>
      </c>
      <c r="DO74" s="915">
        <f t="shared" si="237"/>
        <v>0</v>
      </c>
      <c r="DP74" s="915">
        <f t="shared" si="238"/>
        <v>0</v>
      </c>
      <c r="DQ74" s="915">
        <f t="shared" si="239"/>
        <v>0</v>
      </c>
      <c r="DR74" s="915">
        <f t="shared" si="181"/>
        <v>0</v>
      </c>
      <c r="DS74" s="915">
        <f t="shared" si="182"/>
        <v>0</v>
      </c>
      <c r="DT74" s="915">
        <f t="shared" si="183"/>
        <v>0</v>
      </c>
      <c r="DU74" s="915">
        <f t="shared" si="184"/>
        <v>0</v>
      </c>
      <c r="DV74" s="915">
        <f t="shared" si="185"/>
        <v>0</v>
      </c>
      <c r="DW74" s="915">
        <f t="shared" si="186"/>
        <v>0</v>
      </c>
      <c r="DX74" s="915">
        <f t="shared" si="187"/>
        <v>0</v>
      </c>
      <c r="DY74" s="915">
        <f t="shared" si="188"/>
        <v>0</v>
      </c>
      <c r="DZ74" s="915">
        <f t="shared" si="189"/>
        <v>0</v>
      </c>
      <c r="EA74" s="915">
        <f t="shared" si="131"/>
        <v>0</v>
      </c>
      <c r="EB74" s="915">
        <f t="shared" si="240"/>
        <v>0</v>
      </c>
      <c r="EC74" s="915">
        <f t="shared" si="241"/>
        <v>0</v>
      </c>
      <c r="ED74" s="915">
        <f t="shared" si="242"/>
        <v>0</v>
      </c>
      <c r="EE74" s="915">
        <f t="shared" si="243"/>
        <v>0</v>
      </c>
      <c r="EF74" s="915">
        <f t="shared" si="244"/>
        <v>0</v>
      </c>
      <c r="EG74" s="915">
        <f t="shared" si="245"/>
        <v>0</v>
      </c>
      <c r="EH74" s="915">
        <f t="shared" si="246"/>
        <v>0</v>
      </c>
      <c r="EI74" s="915">
        <f t="shared" si="247"/>
        <v>0</v>
      </c>
      <c r="EJ74" s="915">
        <f t="shared" si="248"/>
        <v>0</v>
      </c>
      <c r="EK74" s="915">
        <f t="shared" si="249"/>
        <v>0</v>
      </c>
      <c r="EL74" s="915"/>
      <c r="EN74" s="533"/>
      <c r="EQ74" s="534"/>
    </row>
    <row r="75" spans="1:147" ht="14.1" customHeight="1" x14ac:dyDescent="0.2">
      <c r="A75" s="1026">
        <v>68</v>
      </c>
      <c r="B75" s="1005"/>
      <c r="C75" s="1008"/>
      <c r="D75" s="138">
        <v>8</v>
      </c>
      <c r="E75" s="138" t="s">
        <v>167</v>
      </c>
      <c r="F75" s="139" t="s">
        <v>2544</v>
      </c>
      <c r="G75" s="91">
        <v>1</v>
      </c>
      <c r="H75" s="1022">
        <v>10</v>
      </c>
      <c r="I75" s="801">
        <f t="shared" si="129"/>
        <v>0.6</v>
      </c>
      <c r="J75" s="1021">
        <f t="shared" si="130"/>
        <v>10.6</v>
      </c>
      <c r="K75" s="225"/>
      <c r="L75" s="941" t="str">
        <f>TabName8 &amp; " - AIR"</f>
        <v>Phase 8 - AIR</v>
      </c>
      <c r="M75" s="942">
        <f>CK6</f>
        <v>10.6</v>
      </c>
      <c r="V75" s="915">
        <f t="shared" si="132"/>
        <v>0</v>
      </c>
      <c r="W75" s="915">
        <f t="shared" si="133"/>
        <v>0</v>
      </c>
      <c r="X75" s="915">
        <f t="shared" si="134"/>
        <v>0</v>
      </c>
      <c r="Y75" s="915">
        <f t="shared" si="135"/>
        <v>0</v>
      </c>
      <c r="Z75" s="915">
        <f t="shared" si="136"/>
        <v>0</v>
      </c>
      <c r="AA75" s="915">
        <f t="shared" si="137"/>
        <v>0</v>
      </c>
      <c r="AB75" s="915">
        <f t="shared" si="138"/>
        <v>0</v>
      </c>
      <c r="AC75" s="915">
        <f t="shared" si="139"/>
        <v>0</v>
      </c>
      <c r="AD75" s="915">
        <f t="shared" si="140"/>
        <v>0</v>
      </c>
      <c r="AE75" s="915">
        <f t="shared" si="141"/>
        <v>0</v>
      </c>
      <c r="AF75" s="915">
        <f t="shared" si="190"/>
        <v>0</v>
      </c>
      <c r="AG75" s="915">
        <f t="shared" si="191"/>
        <v>0</v>
      </c>
      <c r="AH75" s="915">
        <f t="shared" si="192"/>
        <v>0</v>
      </c>
      <c r="AI75" s="915">
        <f t="shared" si="193"/>
        <v>0</v>
      </c>
      <c r="AJ75" s="915">
        <f t="shared" si="194"/>
        <v>0</v>
      </c>
      <c r="AK75" s="915">
        <f t="shared" si="195"/>
        <v>0</v>
      </c>
      <c r="AL75" s="915">
        <f t="shared" si="196"/>
        <v>0</v>
      </c>
      <c r="AM75" s="915">
        <f t="shared" si="197"/>
        <v>0</v>
      </c>
      <c r="AN75" s="915">
        <f t="shared" si="198"/>
        <v>0</v>
      </c>
      <c r="AO75" s="915">
        <f t="shared" si="199"/>
        <v>0</v>
      </c>
      <c r="AP75" s="915">
        <f t="shared" si="142"/>
        <v>0</v>
      </c>
      <c r="AQ75" s="915">
        <f t="shared" si="143"/>
        <v>0</v>
      </c>
      <c r="AR75" s="915">
        <f t="shared" si="144"/>
        <v>0</v>
      </c>
      <c r="AS75" s="915">
        <f t="shared" si="145"/>
        <v>0</v>
      </c>
      <c r="AT75" s="915">
        <f t="shared" si="146"/>
        <v>0</v>
      </c>
      <c r="AU75" s="915">
        <f t="shared" si="147"/>
        <v>0</v>
      </c>
      <c r="AV75" s="915">
        <f t="shared" si="148"/>
        <v>0</v>
      </c>
      <c r="AW75" s="915">
        <f t="shared" si="149"/>
        <v>0</v>
      </c>
      <c r="AX75" s="915">
        <f t="shared" si="150"/>
        <v>0</v>
      </c>
      <c r="AY75" s="915">
        <f t="shared" si="200"/>
        <v>0</v>
      </c>
      <c r="AZ75" s="915">
        <f t="shared" si="201"/>
        <v>0</v>
      </c>
      <c r="BA75" s="915">
        <f t="shared" si="202"/>
        <v>0</v>
      </c>
      <c r="BB75" s="915">
        <f t="shared" si="203"/>
        <v>0</v>
      </c>
      <c r="BC75" s="915">
        <f t="shared" si="204"/>
        <v>0</v>
      </c>
      <c r="BD75" s="915">
        <f t="shared" si="205"/>
        <v>0</v>
      </c>
      <c r="BE75" s="915">
        <f t="shared" si="206"/>
        <v>0</v>
      </c>
      <c r="BF75" s="915">
        <f t="shared" si="207"/>
        <v>0</v>
      </c>
      <c r="BG75" s="915">
        <f t="shared" si="208"/>
        <v>0</v>
      </c>
      <c r="BH75" s="915">
        <f t="shared" si="209"/>
        <v>0</v>
      </c>
      <c r="BI75" s="915">
        <f t="shared" si="210"/>
        <v>0</v>
      </c>
      <c r="BJ75" s="915">
        <f t="shared" si="151"/>
        <v>0</v>
      </c>
      <c r="BK75" s="915">
        <f t="shared" si="152"/>
        <v>0</v>
      </c>
      <c r="BL75" s="915">
        <f t="shared" si="153"/>
        <v>0</v>
      </c>
      <c r="BM75" s="915">
        <f t="shared" si="154"/>
        <v>0</v>
      </c>
      <c r="BN75" s="915">
        <f t="shared" si="155"/>
        <v>0</v>
      </c>
      <c r="BO75" s="915">
        <f t="shared" si="156"/>
        <v>0</v>
      </c>
      <c r="BP75" s="915">
        <f t="shared" si="157"/>
        <v>0</v>
      </c>
      <c r="BQ75" s="915">
        <f t="shared" si="158"/>
        <v>0</v>
      </c>
      <c r="BR75" s="915">
        <f t="shared" si="159"/>
        <v>0</v>
      </c>
      <c r="BS75" s="915">
        <f t="shared" si="160"/>
        <v>0</v>
      </c>
      <c r="BT75" s="915">
        <f t="shared" si="211"/>
        <v>0</v>
      </c>
      <c r="BU75" s="915">
        <f t="shared" si="211"/>
        <v>0</v>
      </c>
      <c r="BV75" s="915">
        <f t="shared" si="212"/>
        <v>0</v>
      </c>
      <c r="BW75" s="915">
        <f t="shared" si="213"/>
        <v>0</v>
      </c>
      <c r="BX75" s="915">
        <f t="shared" si="214"/>
        <v>0</v>
      </c>
      <c r="BY75" s="915">
        <f t="shared" si="215"/>
        <v>0</v>
      </c>
      <c r="BZ75" s="915">
        <f t="shared" si="216"/>
        <v>0</v>
      </c>
      <c r="CA75" s="915">
        <f t="shared" si="217"/>
        <v>0</v>
      </c>
      <c r="CB75" s="915">
        <f t="shared" si="218"/>
        <v>0</v>
      </c>
      <c r="CC75" s="915">
        <f t="shared" si="219"/>
        <v>0</v>
      </c>
      <c r="CD75" s="915">
        <f t="shared" si="161"/>
        <v>0</v>
      </c>
      <c r="CE75" s="915">
        <f t="shared" si="162"/>
        <v>0</v>
      </c>
      <c r="CF75" s="915">
        <f t="shared" si="163"/>
        <v>0</v>
      </c>
      <c r="CG75" s="915">
        <f t="shared" si="164"/>
        <v>0</v>
      </c>
      <c r="CH75" s="915">
        <f t="shared" si="165"/>
        <v>0</v>
      </c>
      <c r="CI75" s="915">
        <f t="shared" si="166"/>
        <v>0</v>
      </c>
      <c r="CJ75" s="915">
        <f t="shared" si="167"/>
        <v>0</v>
      </c>
      <c r="CK75" s="915">
        <f t="shared" si="168"/>
        <v>10.6</v>
      </c>
      <c r="CL75" s="915">
        <f t="shared" si="169"/>
        <v>0</v>
      </c>
      <c r="CM75" s="915">
        <f t="shared" si="170"/>
        <v>0</v>
      </c>
      <c r="CN75" s="915">
        <f t="shared" si="220"/>
        <v>0</v>
      </c>
      <c r="CO75" s="915">
        <f t="shared" si="221"/>
        <v>0</v>
      </c>
      <c r="CP75" s="915">
        <f t="shared" si="222"/>
        <v>0</v>
      </c>
      <c r="CQ75" s="915">
        <f t="shared" si="223"/>
        <v>0</v>
      </c>
      <c r="CR75" s="915">
        <f t="shared" si="224"/>
        <v>0</v>
      </c>
      <c r="CS75" s="915">
        <f t="shared" si="225"/>
        <v>0</v>
      </c>
      <c r="CT75" s="915">
        <f t="shared" si="226"/>
        <v>0</v>
      </c>
      <c r="CU75" s="915">
        <f t="shared" si="227"/>
        <v>0</v>
      </c>
      <c r="CV75" s="915">
        <f t="shared" si="228"/>
        <v>0</v>
      </c>
      <c r="CW75" s="915">
        <f t="shared" si="229"/>
        <v>0</v>
      </c>
      <c r="CX75" s="915">
        <f t="shared" si="171"/>
        <v>0</v>
      </c>
      <c r="CY75" s="915">
        <f t="shared" si="172"/>
        <v>0</v>
      </c>
      <c r="CZ75" s="915">
        <f t="shared" si="173"/>
        <v>0</v>
      </c>
      <c r="DA75" s="915">
        <f t="shared" si="174"/>
        <v>0</v>
      </c>
      <c r="DB75" s="915">
        <f t="shared" si="175"/>
        <v>0</v>
      </c>
      <c r="DC75" s="915">
        <f t="shared" si="176"/>
        <v>0</v>
      </c>
      <c r="DD75" s="915">
        <f t="shared" si="177"/>
        <v>0</v>
      </c>
      <c r="DE75" s="915">
        <f t="shared" si="178"/>
        <v>0</v>
      </c>
      <c r="DF75" s="915">
        <f t="shared" si="179"/>
        <v>0</v>
      </c>
      <c r="DG75" s="915">
        <f t="shared" si="180"/>
        <v>0</v>
      </c>
      <c r="DH75" s="915">
        <f t="shared" si="230"/>
        <v>0</v>
      </c>
      <c r="DI75" s="915">
        <f t="shared" si="231"/>
        <v>0</v>
      </c>
      <c r="DJ75" s="915">
        <f t="shared" si="232"/>
        <v>0</v>
      </c>
      <c r="DK75" s="915">
        <f t="shared" si="233"/>
        <v>0</v>
      </c>
      <c r="DL75" s="915">
        <f t="shared" si="234"/>
        <v>0</v>
      </c>
      <c r="DM75" s="915">
        <f t="shared" si="235"/>
        <v>0</v>
      </c>
      <c r="DN75" s="915">
        <f t="shared" si="236"/>
        <v>0</v>
      </c>
      <c r="DO75" s="915">
        <f t="shared" si="237"/>
        <v>0</v>
      </c>
      <c r="DP75" s="915">
        <f t="shared" si="238"/>
        <v>0</v>
      </c>
      <c r="DQ75" s="915">
        <f t="shared" si="239"/>
        <v>0</v>
      </c>
      <c r="DR75" s="915">
        <f t="shared" si="181"/>
        <v>0</v>
      </c>
      <c r="DS75" s="915">
        <f t="shared" si="182"/>
        <v>0</v>
      </c>
      <c r="DT75" s="915">
        <f t="shared" si="183"/>
        <v>0</v>
      </c>
      <c r="DU75" s="915">
        <f t="shared" si="184"/>
        <v>0</v>
      </c>
      <c r="DV75" s="915">
        <f t="shared" si="185"/>
        <v>0</v>
      </c>
      <c r="DW75" s="915">
        <f t="shared" si="186"/>
        <v>0</v>
      </c>
      <c r="DX75" s="915">
        <f t="shared" si="187"/>
        <v>0</v>
      </c>
      <c r="DY75" s="915">
        <f t="shared" si="188"/>
        <v>0</v>
      </c>
      <c r="DZ75" s="915">
        <f t="shared" si="189"/>
        <v>0</v>
      </c>
      <c r="EA75" s="915">
        <f t="shared" si="131"/>
        <v>0</v>
      </c>
      <c r="EB75" s="915">
        <f t="shared" si="240"/>
        <v>0</v>
      </c>
      <c r="EC75" s="915">
        <f t="shared" si="241"/>
        <v>0</v>
      </c>
      <c r="ED75" s="915">
        <f t="shared" si="242"/>
        <v>0</v>
      </c>
      <c r="EE75" s="915">
        <f t="shared" si="243"/>
        <v>0</v>
      </c>
      <c r="EF75" s="915">
        <f t="shared" si="244"/>
        <v>0</v>
      </c>
      <c r="EG75" s="915">
        <f t="shared" si="245"/>
        <v>0</v>
      </c>
      <c r="EH75" s="915">
        <f t="shared" si="246"/>
        <v>0</v>
      </c>
      <c r="EI75" s="915">
        <f t="shared" si="247"/>
        <v>0</v>
      </c>
      <c r="EJ75" s="915">
        <f t="shared" si="248"/>
        <v>0</v>
      </c>
      <c r="EK75" s="915">
        <f t="shared" si="249"/>
        <v>0</v>
      </c>
      <c r="EL75" s="915"/>
      <c r="EN75" s="533"/>
      <c r="EQ75" s="534"/>
    </row>
    <row r="76" spans="1:147" ht="14.1" customHeight="1" x14ac:dyDescent="0.2">
      <c r="A76" s="496">
        <v>69</v>
      </c>
      <c r="B76" s="1419"/>
      <c r="C76" s="1420"/>
      <c r="D76" s="264">
        <v>9</v>
      </c>
      <c r="E76" s="264" t="s">
        <v>167</v>
      </c>
      <c r="F76" s="270" t="s">
        <v>2544</v>
      </c>
      <c r="G76" s="271">
        <v>1</v>
      </c>
      <c r="H76" s="803">
        <v>10</v>
      </c>
      <c r="I76" s="800">
        <f t="shared" si="129"/>
        <v>0.6</v>
      </c>
      <c r="J76" s="269">
        <f t="shared" si="130"/>
        <v>10.6</v>
      </c>
      <c r="K76" s="225"/>
      <c r="L76" s="941" t="str">
        <f>TabName9 &amp; " - AIR"</f>
        <v>Phase 9 - AIR</v>
      </c>
      <c r="M76" s="942">
        <f>CL6</f>
        <v>10.6</v>
      </c>
      <c r="V76" s="915">
        <f t="shared" si="132"/>
        <v>0</v>
      </c>
      <c r="W76" s="915">
        <f t="shared" si="133"/>
        <v>0</v>
      </c>
      <c r="X76" s="915">
        <f t="shared" si="134"/>
        <v>0</v>
      </c>
      <c r="Y76" s="915">
        <f t="shared" si="135"/>
        <v>0</v>
      </c>
      <c r="Z76" s="915">
        <f t="shared" si="136"/>
        <v>0</v>
      </c>
      <c r="AA76" s="915">
        <f t="shared" si="137"/>
        <v>0</v>
      </c>
      <c r="AB76" s="915">
        <f t="shared" si="138"/>
        <v>0</v>
      </c>
      <c r="AC76" s="915">
        <f t="shared" si="139"/>
        <v>0</v>
      </c>
      <c r="AD76" s="915">
        <f t="shared" si="140"/>
        <v>0</v>
      </c>
      <c r="AE76" s="915">
        <f t="shared" si="141"/>
        <v>0</v>
      </c>
      <c r="AF76" s="915">
        <f t="shared" si="190"/>
        <v>0</v>
      </c>
      <c r="AG76" s="915">
        <f t="shared" si="191"/>
        <v>0</v>
      </c>
      <c r="AH76" s="915">
        <f t="shared" si="192"/>
        <v>0</v>
      </c>
      <c r="AI76" s="915">
        <f t="shared" si="193"/>
        <v>0</v>
      </c>
      <c r="AJ76" s="915">
        <f t="shared" si="194"/>
        <v>0</v>
      </c>
      <c r="AK76" s="915">
        <f t="shared" si="195"/>
        <v>0</v>
      </c>
      <c r="AL76" s="915">
        <f t="shared" si="196"/>
        <v>0</v>
      </c>
      <c r="AM76" s="915">
        <f t="shared" si="197"/>
        <v>0</v>
      </c>
      <c r="AN76" s="915">
        <f t="shared" si="198"/>
        <v>0</v>
      </c>
      <c r="AO76" s="915">
        <f t="shared" si="199"/>
        <v>0</v>
      </c>
      <c r="AP76" s="915">
        <f t="shared" si="142"/>
        <v>0</v>
      </c>
      <c r="AQ76" s="915">
        <f t="shared" si="143"/>
        <v>0</v>
      </c>
      <c r="AR76" s="915">
        <f t="shared" si="144"/>
        <v>0</v>
      </c>
      <c r="AS76" s="915">
        <f t="shared" si="145"/>
        <v>0</v>
      </c>
      <c r="AT76" s="915">
        <f t="shared" si="146"/>
        <v>0</v>
      </c>
      <c r="AU76" s="915">
        <f t="shared" si="147"/>
        <v>0</v>
      </c>
      <c r="AV76" s="915">
        <f t="shared" si="148"/>
        <v>0</v>
      </c>
      <c r="AW76" s="915">
        <f t="shared" si="149"/>
        <v>0</v>
      </c>
      <c r="AX76" s="915">
        <f t="shared" si="150"/>
        <v>0</v>
      </c>
      <c r="AY76" s="915">
        <f t="shared" si="200"/>
        <v>0</v>
      </c>
      <c r="AZ76" s="915">
        <f t="shared" si="201"/>
        <v>0</v>
      </c>
      <c r="BA76" s="915">
        <f t="shared" si="202"/>
        <v>0</v>
      </c>
      <c r="BB76" s="915">
        <f t="shared" si="203"/>
        <v>0</v>
      </c>
      <c r="BC76" s="915">
        <f t="shared" si="204"/>
        <v>0</v>
      </c>
      <c r="BD76" s="915">
        <f t="shared" si="205"/>
        <v>0</v>
      </c>
      <c r="BE76" s="915">
        <f t="shared" si="206"/>
        <v>0</v>
      </c>
      <c r="BF76" s="915">
        <f t="shared" si="207"/>
        <v>0</v>
      </c>
      <c r="BG76" s="915">
        <f t="shared" si="208"/>
        <v>0</v>
      </c>
      <c r="BH76" s="915">
        <f t="shared" si="209"/>
        <v>0</v>
      </c>
      <c r="BI76" s="915">
        <f t="shared" si="210"/>
        <v>0</v>
      </c>
      <c r="BJ76" s="915">
        <f t="shared" si="151"/>
        <v>0</v>
      </c>
      <c r="BK76" s="915">
        <f t="shared" si="152"/>
        <v>0</v>
      </c>
      <c r="BL76" s="915">
        <f t="shared" si="153"/>
        <v>0</v>
      </c>
      <c r="BM76" s="915">
        <f t="shared" si="154"/>
        <v>0</v>
      </c>
      <c r="BN76" s="915">
        <f t="shared" si="155"/>
        <v>0</v>
      </c>
      <c r="BO76" s="915">
        <f t="shared" si="156"/>
        <v>0</v>
      </c>
      <c r="BP76" s="915">
        <f t="shared" si="157"/>
        <v>0</v>
      </c>
      <c r="BQ76" s="915">
        <f t="shared" si="158"/>
        <v>0</v>
      </c>
      <c r="BR76" s="915">
        <f t="shared" si="159"/>
        <v>0</v>
      </c>
      <c r="BS76" s="915">
        <f t="shared" si="160"/>
        <v>0</v>
      </c>
      <c r="BT76" s="915">
        <f t="shared" si="211"/>
        <v>0</v>
      </c>
      <c r="BU76" s="915">
        <f t="shared" si="211"/>
        <v>0</v>
      </c>
      <c r="BV76" s="915">
        <f t="shared" si="212"/>
        <v>0</v>
      </c>
      <c r="BW76" s="915">
        <f t="shared" si="213"/>
        <v>0</v>
      </c>
      <c r="BX76" s="915">
        <f t="shared" si="214"/>
        <v>0</v>
      </c>
      <c r="BY76" s="915">
        <f t="shared" si="215"/>
        <v>0</v>
      </c>
      <c r="BZ76" s="915">
        <f t="shared" si="216"/>
        <v>0</v>
      </c>
      <c r="CA76" s="915">
        <f t="shared" si="217"/>
        <v>0</v>
      </c>
      <c r="CB76" s="915">
        <f t="shared" si="218"/>
        <v>0</v>
      </c>
      <c r="CC76" s="915">
        <f t="shared" si="219"/>
        <v>0</v>
      </c>
      <c r="CD76" s="915">
        <f t="shared" si="161"/>
        <v>0</v>
      </c>
      <c r="CE76" s="915">
        <f t="shared" si="162"/>
        <v>0</v>
      </c>
      <c r="CF76" s="915">
        <f t="shared" si="163"/>
        <v>0</v>
      </c>
      <c r="CG76" s="915">
        <f t="shared" si="164"/>
        <v>0</v>
      </c>
      <c r="CH76" s="915">
        <f t="shared" si="165"/>
        <v>0</v>
      </c>
      <c r="CI76" s="915">
        <f t="shared" si="166"/>
        <v>0</v>
      </c>
      <c r="CJ76" s="915">
        <f t="shared" si="167"/>
        <v>0</v>
      </c>
      <c r="CK76" s="915">
        <f t="shared" si="168"/>
        <v>0</v>
      </c>
      <c r="CL76" s="915">
        <f t="shared" si="169"/>
        <v>10.6</v>
      </c>
      <c r="CM76" s="915">
        <f t="shared" si="170"/>
        <v>0</v>
      </c>
      <c r="CN76" s="915">
        <f t="shared" si="220"/>
        <v>0</v>
      </c>
      <c r="CO76" s="915">
        <f t="shared" si="221"/>
        <v>0</v>
      </c>
      <c r="CP76" s="915">
        <f t="shared" si="222"/>
        <v>0</v>
      </c>
      <c r="CQ76" s="915">
        <f t="shared" si="223"/>
        <v>0</v>
      </c>
      <c r="CR76" s="915">
        <f t="shared" si="224"/>
        <v>0</v>
      </c>
      <c r="CS76" s="915">
        <f t="shared" si="225"/>
        <v>0</v>
      </c>
      <c r="CT76" s="915">
        <f t="shared" si="226"/>
        <v>0</v>
      </c>
      <c r="CU76" s="915">
        <f t="shared" si="227"/>
        <v>0</v>
      </c>
      <c r="CV76" s="915">
        <f t="shared" si="228"/>
        <v>0</v>
      </c>
      <c r="CW76" s="915">
        <f t="shared" si="229"/>
        <v>0</v>
      </c>
      <c r="CX76" s="915">
        <f t="shared" si="171"/>
        <v>0</v>
      </c>
      <c r="CY76" s="915">
        <f t="shared" si="172"/>
        <v>0</v>
      </c>
      <c r="CZ76" s="915">
        <f t="shared" si="173"/>
        <v>0</v>
      </c>
      <c r="DA76" s="915">
        <f t="shared" si="174"/>
        <v>0</v>
      </c>
      <c r="DB76" s="915">
        <f t="shared" si="175"/>
        <v>0</v>
      </c>
      <c r="DC76" s="915">
        <f t="shared" si="176"/>
        <v>0</v>
      </c>
      <c r="DD76" s="915">
        <f t="shared" si="177"/>
        <v>0</v>
      </c>
      <c r="DE76" s="915">
        <f t="shared" si="178"/>
        <v>0</v>
      </c>
      <c r="DF76" s="915">
        <f t="shared" si="179"/>
        <v>0</v>
      </c>
      <c r="DG76" s="915">
        <f t="shared" si="180"/>
        <v>0</v>
      </c>
      <c r="DH76" s="915">
        <f t="shared" si="230"/>
        <v>0</v>
      </c>
      <c r="DI76" s="915">
        <f t="shared" si="231"/>
        <v>0</v>
      </c>
      <c r="DJ76" s="915">
        <f t="shared" si="232"/>
        <v>0</v>
      </c>
      <c r="DK76" s="915">
        <f t="shared" si="233"/>
        <v>0</v>
      </c>
      <c r="DL76" s="915">
        <f t="shared" si="234"/>
        <v>0</v>
      </c>
      <c r="DM76" s="915">
        <f t="shared" si="235"/>
        <v>0</v>
      </c>
      <c r="DN76" s="915">
        <f t="shared" si="236"/>
        <v>0</v>
      </c>
      <c r="DO76" s="915">
        <f t="shared" si="237"/>
        <v>0</v>
      </c>
      <c r="DP76" s="915">
        <f t="shared" si="238"/>
        <v>0</v>
      </c>
      <c r="DQ76" s="915">
        <f t="shared" si="239"/>
        <v>0</v>
      </c>
      <c r="DR76" s="915">
        <f t="shared" si="181"/>
        <v>0</v>
      </c>
      <c r="DS76" s="915">
        <f t="shared" si="182"/>
        <v>0</v>
      </c>
      <c r="DT76" s="915">
        <f t="shared" si="183"/>
        <v>0</v>
      </c>
      <c r="DU76" s="915">
        <f t="shared" si="184"/>
        <v>0</v>
      </c>
      <c r="DV76" s="915">
        <f t="shared" si="185"/>
        <v>0</v>
      </c>
      <c r="DW76" s="915">
        <f t="shared" si="186"/>
        <v>0</v>
      </c>
      <c r="DX76" s="915">
        <f t="shared" si="187"/>
        <v>0</v>
      </c>
      <c r="DY76" s="915">
        <f t="shared" si="188"/>
        <v>0</v>
      </c>
      <c r="DZ76" s="915">
        <f t="shared" si="189"/>
        <v>0</v>
      </c>
      <c r="EA76" s="915">
        <f t="shared" si="131"/>
        <v>0</v>
      </c>
      <c r="EB76" s="915">
        <f t="shared" si="240"/>
        <v>0</v>
      </c>
      <c r="EC76" s="915">
        <f t="shared" si="241"/>
        <v>0</v>
      </c>
      <c r="ED76" s="915">
        <f t="shared" si="242"/>
        <v>0</v>
      </c>
      <c r="EE76" s="915">
        <f t="shared" si="243"/>
        <v>0</v>
      </c>
      <c r="EF76" s="915">
        <f t="shared" si="244"/>
        <v>0</v>
      </c>
      <c r="EG76" s="915">
        <f t="shared" si="245"/>
        <v>0</v>
      </c>
      <c r="EH76" s="915">
        <f t="shared" si="246"/>
        <v>0</v>
      </c>
      <c r="EI76" s="915">
        <f t="shared" si="247"/>
        <v>0</v>
      </c>
      <c r="EJ76" s="915">
        <f t="shared" si="248"/>
        <v>0</v>
      </c>
      <c r="EK76" s="915">
        <f t="shared" si="249"/>
        <v>0</v>
      </c>
      <c r="EL76" s="915"/>
      <c r="EN76" s="533"/>
      <c r="EQ76" s="534"/>
    </row>
    <row r="77" spans="1:147" ht="14.1" customHeight="1" x14ac:dyDescent="0.2">
      <c r="A77" s="1026">
        <v>70</v>
      </c>
      <c r="B77" s="1005"/>
      <c r="C77" s="1008"/>
      <c r="D77" s="138">
        <v>10</v>
      </c>
      <c r="E77" s="138" t="s">
        <v>167</v>
      </c>
      <c r="F77" s="139" t="s">
        <v>2544</v>
      </c>
      <c r="G77" s="91">
        <v>1</v>
      </c>
      <c r="H77" s="1022">
        <v>10</v>
      </c>
      <c r="I77" s="801">
        <f t="shared" si="129"/>
        <v>0.6</v>
      </c>
      <c r="J77" s="1021">
        <f t="shared" si="130"/>
        <v>10.6</v>
      </c>
      <c r="K77" s="225"/>
      <c r="L77" s="941" t="str">
        <f>tabname10 &amp; " - AIR"</f>
        <v>Phase 10 - AIR</v>
      </c>
      <c r="M77" s="942">
        <f>CM6</f>
        <v>10.6</v>
      </c>
      <c r="V77" s="915">
        <f t="shared" si="132"/>
        <v>0</v>
      </c>
      <c r="W77" s="915">
        <f t="shared" si="133"/>
        <v>0</v>
      </c>
      <c r="X77" s="915">
        <f t="shared" si="134"/>
        <v>0</v>
      </c>
      <c r="Y77" s="915">
        <f t="shared" si="135"/>
        <v>0</v>
      </c>
      <c r="Z77" s="915">
        <f t="shared" si="136"/>
        <v>0</v>
      </c>
      <c r="AA77" s="915">
        <f t="shared" si="137"/>
        <v>0</v>
      </c>
      <c r="AB77" s="915">
        <f t="shared" si="138"/>
        <v>0</v>
      </c>
      <c r="AC77" s="915">
        <f t="shared" si="139"/>
        <v>0</v>
      </c>
      <c r="AD77" s="915">
        <f t="shared" si="140"/>
        <v>0</v>
      </c>
      <c r="AE77" s="915">
        <f t="shared" si="141"/>
        <v>0</v>
      </c>
      <c r="AF77" s="915">
        <f t="shared" si="190"/>
        <v>0</v>
      </c>
      <c r="AG77" s="915">
        <f t="shared" si="191"/>
        <v>0</v>
      </c>
      <c r="AH77" s="915">
        <f t="shared" si="192"/>
        <v>0</v>
      </c>
      <c r="AI77" s="915">
        <f t="shared" si="193"/>
        <v>0</v>
      </c>
      <c r="AJ77" s="915">
        <f t="shared" si="194"/>
        <v>0</v>
      </c>
      <c r="AK77" s="915">
        <f t="shared" si="195"/>
        <v>0</v>
      </c>
      <c r="AL77" s="915">
        <f t="shared" si="196"/>
        <v>0</v>
      </c>
      <c r="AM77" s="915">
        <f t="shared" si="197"/>
        <v>0</v>
      </c>
      <c r="AN77" s="915">
        <f t="shared" si="198"/>
        <v>0</v>
      </c>
      <c r="AO77" s="915">
        <f t="shared" si="199"/>
        <v>0</v>
      </c>
      <c r="AP77" s="915">
        <f t="shared" si="142"/>
        <v>0</v>
      </c>
      <c r="AQ77" s="915">
        <f t="shared" si="143"/>
        <v>0</v>
      </c>
      <c r="AR77" s="915">
        <f t="shared" si="144"/>
        <v>0</v>
      </c>
      <c r="AS77" s="915">
        <f t="shared" si="145"/>
        <v>0</v>
      </c>
      <c r="AT77" s="915">
        <f t="shared" si="146"/>
        <v>0</v>
      </c>
      <c r="AU77" s="915">
        <f t="shared" si="147"/>
        <v>0</v>
      </c>
      <c r="AV77" s="915">
        <f t="shared" si="148"/>
        <v>0</v>
      </c>
      <c r="AW77" s="915">
        <f t="shared" si="149"/>
        <v>0</v>
      </c>
      <c r="AX77" s="915">
        <f t="shared" si="150"/>
        <v>0</v>
      </c>
      <c r="AY77" s="915">
        <f t="shared" si="200"/>
        <v>0</v>
      </c>
      <c r="AZ77" s="915">
        <f t="shared" si="201"/>
        <v>0</v>
      </c>
      <c r="BA77" s="915">
        <f t="shared" si="202"/>
        <v>0</v>
      </c>
      <c r="BB77" s="915">
        <f t="shared" si="203"/>
        <v>0</v>
      </c>
      <c r="BC77" s="915">
        <f t="shared" si="204"/>
        <v>0</v>
      </c>
      <c r="BD77" s="915">
        <f t="shared" si="205"/>
        <v>0</v>
      </c>
      <c r="BE77" s="915">
        <f t="shared" si="206"/>
        <v>0</v>
      </c>
      <c r="BF77" s="915">
        <f t="shared" si="207"/>
        <v>0</v>
      </c>
      <c r="BG77" s="915">
        <f t="shared" si="208"/>
        <v>0</v>
      </c>
      <c r="BH77" s="915">
        <f t="shared" si="209"/>
        <v>0</v>
      </c>
      <c r="BI77" s="915">
        <f t="shared" si="210"/>
        <v>0</v>
      </c>
      <c r="BJ77" s="915">
        <f t="shared" si="151"/>
        <v>0</v>
      </c>
      <c r="BK77" s="915">
        <f t="shared" si="152"/>
        <v>0</v>
      </c>
      <c r="BL77" s="915">
        <f t="shared" si="153"/>
        <v>0</v>
      </c>
      <c r="BM77" s="915">
        <f t="shared" si="154"/>
        <v>0</v>
      </c>
      <c r="BN77" s="915">
        <f t="shared" si="155"/>
        <v>0</v>
      </c>
      <c r="BO77" s="915">
        <f t="shared" si="156"/>
        <v>0</v>
      </c>
      <c r="BP77" s="915">
        <f t="shared" si="157"/>
        <v>0</v>
      </c>
      <c r="BQ77" s="915">
        <f t="shared" si="158"/>
        <v>0</v>
      </c>
      <c r="BR77" s="915">
        <f t="shared" si="159"/>
        <v>0</v>
      </c>
      <c r="BS77" s="915">
        <f t="shared" si="160"/>
        <v>0</v>
      </c>
      <c r="BT77" s="915">
        <f t="shared" si="211"/>
        <v>0</v>
      </c>
      <c r="BU77" s="915">
        <f t="shared" si="211"/>
        <v>0</v>
      </c>
      <c r="BV77" s="915">
        <f t="shared" si="212"/>
        <v>0</v>
      </c>
      <c r="BW77" s="915">
        <f t="shared" si="213"/>
        <v>0</v>
      </c>
      <c r="BX77" s="915">
        <f t="shared" si="214"/>
        <v>0</v>
      </c>
      <c r="BY77" s="915">
        <f t="shared" si="215"/>
        <v>0</v>
      </c>
      <c r="BZ77" s="915">
        <f t="shared" si="216"/>
        <v>0</v>
      </c>
      <c r="CA77" s="915">
        <f t="shared" si="217"/>
        <v>0</v>
      </c>
      <c r="CB77" s="915">
        <f t="shared" si="218"/>
        <v>0</v>
      </c>
      <c r="CC77" s="915">
        <f t="shared" si="219"/>
        <v>0</v>
      </c>
      <c r="CD77" s="915">
        <f t="shared" si="161"/>
        <v>0</v>
      </c>
      <c r="CE77" s="915">
        <f t="shared" si="162"/>
        <v>0</v>
      </c>
      <c r="CF77" s="915">
        <f t="shared" si="163"/>
        <v>0</v>
      </c>
      <c r="CG77" s="915">
        <f t="shared" si="164"/>
        <v>0</v>
      </c>
      <c r="CH77" s="915">
        <f t="shared" si="165"/>
        <v>0</v>
      </c>
      <c r="CI77" s="915">
        <f t="shared" si="166"/>
        <v>0</v>
      </c>
      <c r="CJ77" s="915">
        <f t="shared" si="167"/>
        <v>0</v>
      </c>
      <c r="CK77" s="915">
        <f t="shared" si="168"/>
        <v>0</v>
      </c>
      <c r="CL77" s="915">
        <f t="shared" si="169"/>
        <v>0</v>
      </c>
      <c r="CM77" s="915">
        <f t="shared" si="170"/>
        <v>10.6</v>
      </c>
      <c r="CN77" s="915">
        <f t="shared" si="220"/>
        <v>0</v>
      </c>
      <c r="CO77" s="915">
        <f t="shared" si="221"/>
        <v>0</v>
      </c>
      <c r="CP77" s="915">
        <f t="shared" si="222"/>
        <v>0</v>
      </c>
      <c r="CQ77" s="915">
        <f t="shared" si="223"/>
        <v>0</v>
      </c>
      <c r="CR77" s="915">
        <f t="shared" si="224"/>
        <v>0</v>
      </c>
      <c r="CS77" s="915">
        <f t="shared" si="225"/>
        <v>0</v>
      </c>
      <c r="CT77" s="915">
        <f t="shared" si="226"/>
        <v>0</v>
      </c>
      <c r="CU77" s="915">
        <f t="shared" si="227"/>
        <v>0</v>
      </c>
      <c r="CV77" s="915">
        <f t="shared" si="228"/>
        <v>0</v>
      </c>
      <c r="CW77" s="915">
        <f t="shared" si="229"/>
        <v>0</v>
      </c>
      <c r="CX77" s="915">
        <f t="shared" si="171"/>
        <v>0</v>
      </c>
      <c r="CY77" s="915">
        <f t="shared" si="172"/>
        <v>0</v>
      </c>
      <c r="CZ77" s="915">
        <f t="shared" si="173"/>
        <v>0</v>
      </c>
      <c r="DA77" s="915">
        <f t="shared" si="174"/>
        <v>0</v>
      </c>
      <c r="DB77" s="915">
        <f t="shared" si="175"/>
        <v>0</v>
      </c>
      <c r="DC77" s="915">
        <f t="shared" si="176"/>
        <v>0</v>
      </c>
      <c r="DD77" s="915">
        <f t="shared" si="177"/>
        <v>0</v>
      </c>
      <c r="DE77" s="915">
        <f t="shared" si="178"/>
        <v>0</v>
      </c>
      <c r="DF77" s="915">
        <f t="shared" si="179"/>
        <v>0</v>
      </c>
      <c r="DG77" s="915">
        <f t="shared" si="180"/>
        <v>0</v>
      </c>
      <c r="DH77" s="915">
        <f t="shared" si="230"/>
        <v>0</v>
      </c>
      <c r="DI77" s="915">
        <f t="shared" si="231"/>
        <v>0</v>
      </c>
      <c r="DJ77" s="915">
        <f t="shared" si="232"/>
        <v>0</v>
      </c>
      <c r="DK77" s="915">
        <f t="shared" si="233"/>
        <v>0</v>
      </c>
      <c r="DL77" s="915">
        <f t="shared" si="234"/>
        <v>0</v>
      </c>
      <c r="DM77" s="915">
        <f t="shared" si="235"/>
        <v>0</v>
      </c>
      <c r="DN77" s="915">
        <f t="shared" si="236"/>
        <v>0</v>
      </c>
      <c r="DO77" s="915">
        <f t="shared" si="237"/>
        <v>0</v>
      </c>
      <c r="DP77" s="915">
        <f t="shared" si="238"/>
        <v>0</v>
      </c>
      <c r="DQ77" s="915">
        <f t="shared" si="239"/>
        <v>0</v>
      </c>
      <c r="DR77" s="915">
        <f t="shared" si="181"/>
        <v>0</v>
      </c>
      <c r="DS77" s="915">
        <f t="shared" si="182"/>
        <v>0</v>
      </c>
      <c r="DT77" s="915">
        <f t="shared" si="183"/>
        <v>0</v>
      </c>
      <c r="DU77" s="915">
        <f t="shared" si="184"/>
        <v>0</v>
      </c>
      <c r="DV77" s="915">
        <f t="shared" si="185"/>
        <v>0</v>
      </c>
      <c r="DW77" s="915">
        <f t="shared" si="186"/>
        <v>0</v>
      </c>
      <c r="DX77" s="915">
        <f t="shared" si="187"/>
        <v>0</v>
      </c>
      <c r="DY77" s="915">
        <f t="shared" si="188"/>
        <v>0</v>
      </c>
      <c r="DZ77" s="915">
        <f t="shared" si="189"/>
        <v>0</v>
      </c>
      <c r="EA77" s="915">
        <f t="shared" si="131"/>
        <v>0</v>
      </c>
      <c r="EB77" s="915">
        <f t="shared" si="240"/>
        <v>0</v>
      </c>
      <c r="EC77" s="915">
        <f t="shared" si="241"/>
        <v>0</v>
      </c>
      <c r="ED77" s="915">
        <f t="shared" si="242"/>
        <v>0</v>
      </c>
      <c r="EE77" s="915">
        <f t="shared" si="243"/>
        <v>0</v>
      </c>
      <c r="EF77" s="915">
        <f t="shared" si="244"/>
        <v>0</v>
      </c>
      <c r="EG77" s="915">
        <f t="shared" si="245"/>
        <v>0</v>
      </c>
      <c r="EH77" s="915">
        <f t="shared" si="246"/>
        <v>0</v>
      </c>
      <c r="EI77" s="915">
        <f t="shared" si="247"/>
        <v>0</v>
      </c>
      <c r="EJ77" s="915">
        <f t="shared" si="248"/>
        <v>0</v>
      </c>
      <c r="EK77" s="915">
        <f t="shared" si="249"/>
        <v>0</v>
      </c>
      <c r="EL77" s="915"/>
      <c r="EN77" s="533"/>
      <c r="EQ77" s="534"/>
    </row>
    <row r="78" spans="1:147" ht="14.1" customHeight="1" x14ac:dyDescent="0.2">
      <c r="A78" s="496">
        <v>71</v>
      </c>
      <c r="B78" s="1419"/>
      <c r="C78" s="1420"/>
      <c r="D78" s="264">
        <v>11</v>
      </c>
      <c r="E78" s="264" t="s">
        <v>167</v>
      </c>
      <c r="F78" s="270" t="s">
        <v>2544</v>
      </c>
      <c r="G78" s="271">
        <v>1</v>
      </c>
      <c r="H78" s="803">
        <v>10</v>
      </c>
      <c r="I78" s="800">
        <f t="shared" si="129"/>
        <v>0.6</v>
      </c>
      <c r="J78" s="269">
        <f t="shared" si="130"/>
        <v>10.6</v>
      </c>
      <c r="K78" s="225"/>
      <c r="L78" s="941" t="str">
        <f>TabName11 &amp; " - AIR"</f>
        <v>Phase 11 - AIR</v>
      </c>
      <c r="M78" s="951">
        <f>CN6</f>
        <v>10.6</v>
      </c>
      <c r="V78" s="915">
        <f t="shared" si="132"/>
        <v>0</v>
      </c>
      <c r="W78" s="915">
        <f t="shared" si="133"/>
        <v>0</v>
      </c>
      <c r="X78" s="915">
        <f t="shared" si="134"/>
        <v>0</v>
      </c>
      <c r="Y78" s="915">
        <f t="shared" si="135"/>
        <v>0</v>
      </c>
      <c r="Z78" s="915">
        <f t="shared" si="136"/>
        <v>0</v>
      </c>
      <c r="AA78" s="915">
        <f t="shared" si="137"/>
        <v>0</v>
      </c>
      <c r="AB78" s="915">
        <f t="shared" si="138"/>
        <v>0</v>
      </c>
      <c r="AC78" s="915">
        <f t="shared" si="139"/>
        <v>0</v>
      </c>
      <c r="AD78" s="915">
        <f t="shared" si="140"/>
        <v>0</v>
      </c>
      <c r="AE78" s="915">
        <f t="shared" si="141"/>
        <v>0</v>
      </c>
      <c r="AF78" s="915">
        <f t="shared" si="190"/>
        <v>0</v>
      </c>
      <c r="AG78" s="915">
        <f t="shared" si="191"/>
        <v>0</v>
      </c>
      <c r="AH78" s="915">
        <f t="shared" si="192"/>
        <v>0</v>
      </c>
      <c r="AI78" s="915">
        <f t="shared" si="193"/>
        <v>0</v>
      </c>
      <c r="AJ78" s="915">
        <f t="shared" si="194"/>
        <v>0</v>
      </c>
      <c r="AK78" s="915">
        <f t="shared" si="195"/>
        <v>0</v>
      </c>
      <c r="AL78" s="915">
        <f t="shared" si="196"/>
        <v>0</v>
      </c>
      <c r="AM78" s="915">
        <f t="shared" si="197"/>
        <v>0</v>
      </c>
      <c r="AN78" s="915">
        <f t="shared" si="198"/>
        <v>0</v>
      </c>
      <c r="AO78" s="915">
        <f t="shared" si="199"/>
        <v>0</v>
      </c>
      <c r="AP78" s="915">
        <f t="shared" si="142"/>
        <v>0</v>
      </c>
      <c r="AQ78" s="915">
        <f t="shared" si="143"/>
        <v>0</v>
      </c>
      <c r="AR78" s="915">
        <f t="shared" si="144"/>
        <v>0</v>
      </c>
      <c r="AS78" s="915">
        <f t="shared" si="145"/>
        <v>0</v>
      </c>
      <c r="AT78" s="915">
        <f t="shared" si="146"/>
        <v>0</v>
      </c>
      <c r="AU78" s="915">
        <f t="shared" si="147"/>
        <v>0</v>
      </c>
      <c r="AV78" s="915">
        <f t="shared" si="148"/>
        <v>0</v>
      </c>
      <c r="AW78" s="915">
        <f t="shared" si="149"/>
        <v>0</v>
      </c>
      <c r="AX78" s="915">
        <f t="shared" si="150"/>
        <v>0</v>
      </c>
      <c r="AY78" s="915">
        <f t="shared" si="200"/>
        <v>0</v>
      </c>
      <c r="AZ78" s="915">
        <f t="shared" si="201"/>
        <v>0</v>
      </c>
      <c r="BA78" s="915">
        <f t="shared" si="202"/>
        <v>0</v>
      </c>
      <c r="BB78" s="915">
        <f t="shared" si="203"/>
        <v>0</v>
      </c>
      <c r="BC78" s="915">
        <f t="shared" si="204"/>
        <v>0</v>
      </c>
      <c r="BD78" s="915">
        <f t="shared" si="205"/>
        <v>0</v>
      </c>
      <c r="BE78" s="915">
        <f t="shared" si="206"/>
        <v>0</v>
      </c>
      <c r="BF78" s="915">
        <f t="shared" si="207"/>
        <v>0</v>
      </c>
      <c r="BG78" s="915">
        <f t="shared" si="208"/>
        <v>0</v>
      </c>
      <c r="BH78" s="915">
        <f t="shared" si="209"/>
        <v>0</v>
      </c>
      <c r="BI78" s="915">
        <f t="shared" si="210"/>
        <v>0</v>
      </c>
      <c r="BJ78" s="915">
        <f t="shared" si="151"/>
        <v>0</v>
      </c>
      <c r="BK78" s="915">
        <f t="shared" si="152"/>
        <v>0</v>
      </c>
      <c r="BL78" s="915">
        <f t="shared" si="153"/>
        <v>0</v>
      </c>
      <c r="BM78" s="915">
        <f t="shared" si="154"/>
        <v>0</v>
      </c>
      <c r="BN78" s="915">
        <f t="shared" si="155"/>
        <v>0</v>
      </c>
      <c r="BO78" s="915">
        <f t="shared" si="156"/>
        <v>0</v>
      </c>
      <c r="BP78" s="915">
        <f t="shared" si="157"/>
        <v>0</v>
      </c>
      <c r="BQ78" s="915">
        <f t="shared" si="158"/>
        <v>0</v>
      </c>
      <c r="BR78" s="915">
        <f t="shared" si="159"/>
        <v>0</v>
      </c>
      <c r="BS78" s="915">
        <f t="shared" si="160"/>
        <v>0</v>
      </c>
      <c r="BT78" s="915">
        <f t="shared" si="211"/>
        <v>0</v>
      </c>
      <c r="BU78" s="915">
        <f t="shared" si="211"/>
        <v>0</v>
      </c>
      <c r="BV78" s="915">
        <f t="shared" si="212"/>
        <v>0</v>
      </c>
      <c r="BW78" s="915">
        <f t="shared" si="213"/>
        <v>0</v>
      </c>
      <c r="BX78" s="915">
        <f t="shared" si="214"/>
        <v>0</v>
      </c>
      <c r="BY78" s="915">
        <f t="shared" si="215"/>
        <v>0</v>
      </c>
      <c r="BZ78" s="915">
        <f t="shared" si="216"/>
        <v>0</v>
      </c>
      <c r="CA78" s="915">
        <f t="shared" si="217"/>
        <v>0</v>
      </c>
      <c r="CB78" s="915">
        <f t="shared" si="218"/>
        <v>0</v>
      </c>
      <c r="CC78" s="915">
        <f t="shared" si="219"/>
        <v>0</v>
      </c>
      <c r="CD78" s="915">
        <f t="shared" si="161"/>
        <v>0</v>
      </c>
      <c r="CE78" s="915">
        <f t="shared" si="162"/>
        <v>0</v>
      </c>
      <c r="CF78" s="915">
        <f t="shared" si="163"/>
        <v>0</v>
      </c>
      <c r="CG78" s="915">
        <f t="shared" si="164"/>
        <v>0</v>
      </c>
      <c r="CH78" s="915">
        <f t="shared" si="165"/>
        <v>0</v>
      </c>
      <c r="CI78" s="915">
        <f t="shared" si="166"/>
        <v>0</v>
      </c>
      <c r="CJ78" s="915">
        <f t="shared" si="167"/>
        <v>0</v>
      </c>
      <c r="CK78" s="915">
        <f t="shared" si="168"/>
        <v>0</v>
      </c>
      <c r="CL78" s="915">
        <f t="shared" si="169"/>
        <v>0</v>
      </c>
      <c r="CM78" s="915">
        <f t="shared" si="170"/>
        <v>0</v>
      </c>
      <c r="CN78" s="915">
        <f t="shared" si="220"/>
        <v>10.6</v>
      </c>
      <c r="CO78" s="915">
        <f t="shared" si="221"/>
        <v>0</v>
      </c>
      <c r="CP78" s="915">
        <f t="shared" si="222"/>
        <v>0</v>
      </c>
      <c r="CQ78" s="915">
        <f t="shared" si="223"/>
        <v>0</v>
      </c>
      <c r="CR78" s="915">
        <f t="shared" si="224"/>
        <v>0</v>
      </c>
      <c r="CS78" s="915">
        <f t="shared" si="225"/>
        <v>0</v>
      </c>
      <c r="CT78" s="915">
        <f t="shared" si="226"/>
        <v>0</v>
      </c>
      <c r="CU78" s="915">
        <f t="shared" si="227"/>
        <v>0</v>
      </c>
      <c r="CV78" s="915">
        <f t="shared" si="228"/>
        <v>0</v>
      </c>
      <c r="CW78" s="915">
        <f t="shared" si="229"/>
        <v>0</v>
      </c>
      <c r="CX78" s="915">
        <f t="shared" si="171"/>
        <v>0</v>
      </c>
      <c r="CY78" s="915">
        <f t="shared" si="172"/>
        <v>0</v>
      </c>
      <c r="CZ78" s="915">
        <f t="shared" si="173"/>
        <v>0</v>
      </c>
      <c r="DA78" s="915">
        <f t="shared" si="174"/>
        <v>0</v>
      </c>
      <c r="DB78" s="915">
        <f t="shared" si="175"/>
        <v>0</v>
      </c>
      <c r="DC78" s="915">
        <f t="shared" si="176"/>
        <v>0</v>
      </c>
      <c r="DD78" s="915">
        <f t="shared" si="177"/>
        <v>0</v>
      </c>
      <c r="DE78" s="915">
        <f t="shared" si="178"/>
        <v>0</v>
      </c>
      <c r="DF78" s="915">
        <f t="shared" si="179"/>
        <v>0</v>
      </c>
      <c r="DG78" s="915">
        <f t="shared" si="180"/>
        <v>0</v>
      </c>
      <c r="DH78" s="915">
        <f t="shared" si="230"/>
        <v>0</v>
      </c>
      <c r="DI78" s="915">
        <f t="shared" si="231"/>
        <v>0</v>
      </c>
      <c r="DJ78" s="915">
        <f t="shared" si="232"/>
        <v>0</v>
      </c>
      <c r="DK78" s="915">
        <f t="shared" si="233"/>
        <v>0</v>
      </c>
      <c r="DL78" s="915">
        <f t="shared" si="234"/>
        <v>0</v>
      </c>
      <c r="DM78" s="915">
        <f t="shared" si="235"/>
        <v>0</v>
      </c>
      <c r="DN78" s="915">
        <f t="shared" si="236"/>
        <v>0</v>
      </c>
      <c r="DO78" s="915">
        <f t="shared" si="237"/>
        <v>0</v>
      </c>
      <c r="DP78" s="915">
        <f t="shared" si="238"/>
        <v>0</v>
      </c>
      <c r="DQ78" s="915">
        <f t="shared" si="239"/>
        <v>0</v>
      </c>
      <c r="DR78" s="915">
        <f t="shared" si="181"/>
        <v>0</v>
      </c>
      <c r="DS78" s="915">
        <f t="shared" si="182"/>
        <v>0</v>
      </c>
      <c r="DT78" s="915">
        <f t="shared" si="183"/>
        <v>0</v>
      </c>
      <c r="DU78" s="915">
        <f t="shared" si="184"/>
        <v>0</v>
      </c>
      <c r="DV78" s="915">
        <f t="shared" si="185"/>
        <v>0</v>
      </c>
      <c r="DW78" s="915">
        <f t="shared" si="186"/>
        <v>0</v>
      </c>
      <c r="DX78" s="915">
        <f t="shared" si="187"/>
        <v>0</v>
      </c>
      <c r="DY78" s="915">
        <f t="shared" si="188"/>
        <v>0</v>
      </c>
      <c r="DZ78" s="915">
        <f t="shared" si="189"/>
        <v>0</v>
      </c>
      <c r="EA78" s="915">
        <f t="shared" si="131"/>
        <v>0</v>
      </c>
      <c r="EB78" s="915">
        <f t="shared" si="240"/>
        <v>0</v>
      </c>
      <c r="EC78" s="915">
        <f t="shared" si="241"/>
        <v>0</v>
      </c>
      <c r="ED78" s="915">
        <f t="shared" si="242"/>
        <v>0</v>
      </c>
      <c r="EE78" s="915">
        <f t="shared" si="243"/>
        <v>0</v>
      </c>
      <c r="EF78" s="915">
        <f t="shared" si="244"/>
        <v>0</v>
      </c>
      <c r="EG78" s="915">
        <f t="shared" si="245"/>
        <v>0</v>
      </c>
      <c r="EH78" s="915">
        <f t="shared" si="246"/>
        <v>0</v>
      </c>
      <c r="EI78" s="915">
        <f t="shared" si="247"/>
        <v>0</v>
      </c>
      <c r="EJ78" s="915">
        <f t="shared" si="248"/>
        <v>0</v>
      </c>
      <c r="EK78" s="915">
        <f t="shared" si="249"/>
        <v>0</v>
      </c>
      <c r="EN78" s="533"/>
      <c r="EQ78" s="534"/>
    </row>
    <row r="79" spans="1:147" ht="14.1" customHeight="1" x14ac:dyDescent="0.2">
      <c r="A79" s="1026">
        <v>72</v>
      </c>
      <c r="B79" s="1005"/>
      <c r="C79" s="1008"/>
      <c r="D79" s="138">
        <v>12</v>
      </c>
      <c r="E79" s="138" t="s">
        <v>167</v>
      </c>
      <c r="F79" s="139" t="s">
        <v>2544</v>
      </c>
      <c r="G79" s="91">
        <v>1</v>
      </c>
      <c r="H79" s="1022">
        <v>10</v>
      </c>
      <c r="I79" s="801">
        <f t="shared" si="129"/>
        <v>0.6</v>
      </c>
      <c r="J79" s="1021">
        <f t="shared" si="130"/>
        <v>10.6</v>
      </c>
      <c r="K79" s="225"/>
      <c r="L79" s="941" t="str">
        <f>TabName12 &amp; " - AIR"</f>
        <v>Phase 12 - AIR</v>
      </c>
      <c r="M79" s="951">
        <f>CO6</f>
        <v>10.6</v>
      </c>
      <c r="V79" s="915">
        <f t="shared" si="132"/>
        <v>0</v>
      </c>
      <c r="W79" s="915">
        <f t="shared" si="133"/>
        <v>0</v>
      </c>
      <c r="X79" s="915">
        <f t="shared" si="134"/>
        <v>0</v>
      </c>
      <c r="Y79" s="915">
        <f t="shared" si="135"/>
        <v>0</v>
      </c>
      <c r="Z79" s="915">
        <f t="shared" si="136"/>
        <v>0</v>
      </c>
      <c r="AA79" s="915">
        <f t="shared" si="137"/>
        <v>0</v>
      </c>
      <c r="AB79" s="915">
        <f t="shared" si="138"/>
        <v>0</v>
      </c>
      <c r="AC79" s="915">
        <f t="shared" si="139"/>
        <v>0</v>
      </c>
      <c r="AD79" s="915">
        <f t="shared" si="140"/>
        <v>0</v>
      </c>
      <c r="AE79" s="915">
        <f t="shared" si="141"/>
        <v>0</v>
      </c>
      <c r="AF79" s="915">
        <f t="shared" si="190"/>
        <v>0</v>
      </c>
      <c r="AG79" s="915">
        <f t="shared" si="191"/>
        <v>0</v>
      </c>
      <c r="AH79" s="915">
        <f t="shared" si="192"/>
        <v>0</v>
      </c>
      <c r="AI79" s="915">
        <f t="shared" si="193"/>
        <v>0</v>
      </c>
      <c r="AJ79" s="915">
        <f t="shared" si="194"/>
        <v>0</v>
      </c>
      <c r="AK79" s="915">
        <f t="shared" si="195"/>
        <v>0</v>
      </c>
      <c r="AL79" s="915">
        <f t="shared" si="196"/>
        <v>0</v>
      </c>
      <c r="AM79" s="915">
        <f t="shared" si="197"/>
        <v>0</v>
      </c>
      <c r="AN79" s="915">
        <f t="shared" si="198"/>
        <v>0</v>
      </c>
      <c r="AO79" s="915">
        <f t="shared" si="199"/>
        <v>0</v>
      </c>
      <c r="AP79" s="915">
        <f t="shared" si="142"/>
        <v>0</v>
      </c>
      <c r="AQ79" s="915">
        <f t="shared" si="143"/>
        <v>0</v>
      </c>
      <c r="AR79" s="915">
        <f t="shared" si="144"/>
        <v>0</v>
      </c>
      <c r="AS79" s="915">
        <f t="shared" si="145"/>
        <v>0</v>
      </c>
      <c r="AT79" s="915">
        <f t="shared" si="146"/>
        <v>0</v>
      </c>
      <c r="AU79" s="915">
        <f t="shared" si="147"/>
        <v>0</v>
      </c>
      <c r="AV79" s="915">
        <f t="shared" si="148"/>
        <v>0</v>
      </c>
      <c r="AW79" s="915">
        <f t="shared" si="149"/>
        <v>0</v>
      </c>
      <c r="AX79" s="915">
        <f t="shared" si="150"/>
        <v>0</v>
      </c>
      <c r="AY79" s="915">
        <f t="shared" si="200"/>
        <v>0</v>
      </c>
      <c r="AZ79" s="915">
        <f t="shared" si="201"/>
        <v>0</v>
      </c>
      <c r="BA79" s="915">
        <f t="shared" si="202"/>
        <v>0</v>
      </c>
      <c r="BB79" s="915">
        <f t="shared" si="203"/>
        <v>0</v>
      </c>
      <c r="BC79" s="915">
        <f t="shared" si="204"/>
        <v>0</v>
      </c>
      <c r="BD79" s="915">
        <f t="shared" si="205"/>
        <v>0</v>
      </c>
      <c r="BE79" s="915">
        <f t="shared" si="206"/>
        <v>0</v>
      </c>
      <c r="BF79" s="915">
        <f t="shared" si="207"/>
        <v>0</v>
      </c>
      <c r="BG79" s="915">
        <f t="shared" si="208"/>
        <v>0</v>
      </c>
      <c r="BH79" s="915">
        <f t="shared" si="209"/>
        <v>0</v>
      </c>
      <c r="BI79" s="915">
        <f t="shared" si="210"/>
        <v>0</v>
      </c>
      <c r="BJ79" s="915">
        <f t="shared" si="151"/>
        <v>0</v>
      </c>
      <c r="BK79" s="915">
        <f t="shared" si="152"/>
        <v>0</v>
      </c>
      <c r="BL79" s="915">
        <f t="shared" si="153"/>
        <v>0</v>
      </c>
      <c r="BM79" s="915">
        <f t="shared" si="154"/>
        <v>0</v>
      </c>
      <c r="BN79" s="915">
        <f t="shared" si="155"/>
        <v>0</v>
      </c>
      <c r="BO79" s="915">
        <f t="shared" si="156"/>
        <v>0</v>
      </c>
      <c r="BP79" s="915">
        <f t="shared" si="157"/>
        <v>0</v>
      </c>
      <c r="BQ79" s="915">
        <f t="shared" si="158"/>
        <v>0</v>
      </c>
      <c r="BR79" s="915">
        <f t="shared" si="159"/>
        <v>0</v>
      </c>
      <c r="BS79" s="915">
        <f t="shared" si="160"/>
        <v>0</v>
      </c>
      <c r="BT79" s="915">
        <f t="shared" si="211"/>
        <v>0</v>
      </c>
      <c r="BU79" s="915">
        <f t="shared" si="211"/>
        <v>0</v>
      </c>
      <c r="BV79" s="915">
        <f t="shared" si="212"/>
        <v>0</v>
      </c>
      <c r="BW79" s="915">
        <f t="shared" si="213"/>
        <v>0</v>
      </c>
      <c r="BX79" s="915">
        <f t="shared" si="214"/>
        <v>0</v>
      </c>
      <c r="BY79" s="915">
        <f t="shared" si="215"/>
        <v>0</v>
      </c>
      <c r="BZ79" s="915">
        <f t="shared" si="216"/>
        <v>0</v>
      </c>
      <c r="CA79" s="915">
        <f t="shared" si="217"/>
        <v>0</v>
      </c>
      <c r="CB79" s="915">
        <f t="shared" si="218"/>
        <v>0</v>
      </c>
      <c r="CC79" s="915">
        <f t="shared" si="219"/>
        <v>0</v>
      </c>
      <c r="CD79" s="915">
        <f t="shared" si="161"/>
        <v>0</v>
      </c>
      <c r="CE79" s="915">
        <f t="shared" si="162"/>
        <v>0</v>
      </c>
      <c r="CF79" s="915">
        <f t="shared" si="163"/>
        <v>0</v>
      </c>
      <c r="CG79" s="915">
        <f t="shared" si="164"/>
        <v>0</v>
      </c>
      <c r="CH79" s="915">
        <f t="shared" si="165"/>
        <v>0</v>
      </c>
      <c r="CI79" s="915">
        <f t="shared" si="166"/>
        <v>0</v>
      </c>
      <c r="CJ79" s="915">
        <f t="shared" si="167"/>
        <v>0</v>
      </c>
      <c r="CK79" s="915">
        <f t="shared" si="168"/>
        <v>0</v>
      </c>
      <c r="CL79" s="915">
        <f t="shared" si="169"/>
        <v>0</v>
      </c>
      <c r="CM79" s="915">
        <f t="shared" si="170"/>
        <v>0</v>
      </c>
      <c r="CN79" s="915">
        <f t="shared" si="220"/>
        <v>0</v>
      </c>
      <c r="CO79" s="915">
        <f t="shared" si="221"/>
        <v>10.6</v>
      </c>
      <c r="CP79" s="915">
        <f t="shared" si="222"/>
        <v>0</v>
      </c>
      <c r="CQ79" s="915">
        <f t="shared" si="223"/>
        <v>0</v>
      </c>
      <c r="CR79" s="915">
        <f t="shared" si="224"/>
        <v>0</v>
      </c>
      <c r="CS79" s="915">
        <f t="shared" si="225"/>
        <v>0</v>
      </c>
      <c r="CT79" s="915">
        <f t="shared" si="226"/>
        <v>0</v>
      </c>
      <c r="CU79" s="915">
        <f t="shared" si="227"/>
        <v>0</v>
      </c>
      <c r="CV79" s="915">
        <f t="shared" si="228"/>
        <v>0</v>
      </c>
      <c r="CW79" s="915">
        <f t="shared" si="229"/>
        <v>0</v>
      </c>
      <c r="CX79" s="915">
        <f t="shared" si="171"/>
        <v>0</v>
      </c>
      <c r="CY79" s="915">
        <f t="shared" si="172"/>
        <v>0</v>
      </c>
      <c r="CZ79" s="915">
        <f t="shared" si="173"/>
        <v>0</v>
      </c>
      <c r="DA79" s="915">
        <f t="shared" si="174"/>
        <v>0</v>
      </c>
      <c r="DB79" s="915">
        <f t="shared" si="175"/>
        <v>0</v>
      </c>
      <c r="DC79" s="915">
        <f t="shared" si="176"/>
        <v>0</v>
      </c>
      <c r="DD79" s="915">
        <f t="shared" si="177"/>
        <v>0</v>
      </c>
      <c r="DE79" s="915">
        <f t="shared" si="178"/>
        <v>0</v>
      </c>
      <c r="DF79" s="915">
        <f t="shared" si="179"/>
        <v>0</v>
      </c>
      <c r="DG79" s="915">
        <f t="shared" si="180"/>
        <v>0</v>
      </c>
      <c r="DH79" s="915">
        <f t="shared" si="230"/>
        <v>0</v>
      </c>
      <c r="DI79" s="915">
        <f t="shared" si="231"/>
        <v>0</v>
      </c>
      <c r="DJ79" s="915">
        <f t="shared" si="232"/>
        <v>0</v>
      </c>
      <c r="DK79" s="915">
        <f t="shared" si="233"/>
        <v>0</v>
      </c>
      <c r="DL79" s="915">
        <f t="shared" si="234"/>
        <v>0</v>
      </c>
      <c r="DM79" s="915">
        <f t="shared" si="235"/>
        <v>0</v>
      </c>
      <c r="DN79" s="915">
        <f t="shared" si="236"/>
        <v>0</v>
      </c>
      <c r="DO79" s="915">
        <f t="shared" si="237"/>
        <v>0</v>
      </c>
      <c r="DP79" s="915">
        <f t="shared" si="238"/>
        <v>0</v>
      </c>
      <c r="DQ79" s="915">
        <f t="shared" si="239"/>
        <v>0</v>
      </c>
      <c r="DR79" s="915">
        <f t="shared" si="181"/>
        <v>0</v>
      </c>
      <c r="DS79" s="915">
        <f t="shared" si="182"/>
        <v>0</v>
      </c>
      <c r="DT79" s="915">
        <f t="shared" si="183"/>
        <v>0</v>
      </c>
      <c r="DU79" s="915">
        <f t="shared" si="184"/>
        <v>0</v>
      </c>
      <c r="DV79" s="915">
        <f t="shared" si="185"/>
        <v>0</v>
      </c>
      <c r="DW79" s="915">
        <f t="shared" si="186"/>
        <v>0</v>
      </c>
      <c r="DX79" s="915">
        <f t="shared" si="187"/>
        <v>0</v>
      </c>
      <c r="DY79" s="915">
        <f t="shared" si="188"/>
        <v>0</v>
      </c>
      <c r="DZ79" s="915">
        <f t="shared" si="189"/>
        <v>0</v>
      </c>
      <c r="EA79" s="915">
        <f t="shared" si="131"/>
        <v>0</v>
      </c>
      <c r="EB79" s="915">
        <f t="shared" si="240"/>
        <v>0</v>
      </c>
      <c r="EC79" s="915">
        <f t="shared" si="241"/>
        <v>0</v>
      </c>
      <c r="ED79" s="915">
        <f t="shared" si="242"/>
        <v>0</v>
      </c>
      <c r="EE79" s="915">
        <f t="shared" si="243"/>
        <v>0</v>
      </c>
      <c r="EF79" s="915">
        <f t="shared" si="244"/>
        <v>0</v>
      </c>
      <c r="EG79" s="915">
        <f t="shared" si="245"/>
        <v>0</v>
      </c>
      <c r="EH79" s="915">
        <f t="shared" si="246"/>
        <v>0</v>
      </c>
      <c r="EI79" s="915">
        <f t="shared" si="247"/>
        <v>0</v>
      </c>
      <c r="EJ79" s="915">
        <f t="shared" si="248"/>
        <v>0</v>
      </c>
      <c r="EK79" s="915">
        <f t="shared" si="249"/>
        <v>0</v>
      </c>
      <c r="EN79" s="533"/>
      <c r="EQ79" s="534"/>
    </row>
    <row r="80" spans="1:147" ht="14.1" customHeight="1" x14ac:dyDescent="0.2">
      <c r="A80" s="496">
        <v>73</v>
      </c>
      <c r="B80" s="1419"/>
      <c r="C80" s="1433"/>
      <c r="D80" s="264">
        <v>13</v>
      </c>
      <c r="E80" s="264" t="s">
        <v>167</v>
      </c>
      <c r="F80" s="270" t="s">
        <v>2544</v>
      </c>
      <c r="G80" s="271">
        <v>1</v>
      </c>
      <c r="H80" s="803">
        <v>10</v>
      </c>
      <c r="I80" s="800">
        <f t="shared" si="129"/>
        <v>0.6</v>
      </c>
      <c r="J80" s="269">
        <f t="shared" si="130"/>
        <v>10.6</v>
      </c>
      <c r="K80" s="225"/>
      <c r="L80" s="941" t="str">
        <f>TabName13 &amp; " - AIR"</f>
        <v>Phase 13 - AIR</v>
      </c>
      <c r="M80" s="951">
        <f>CP6</f>
        <v>10.6</v>
      </c>
      <c r="V80" s="915">
        <f t="shared" si="132"/>
        <v>0</v>
      </c>
      <c r="W80" s="915">
        <f t="shared" si="133"/>
        <v>0</v>
      </c>
      <c r="X80" s="915">
        <f t="shared" si="134"/>
        <v>0</v>
      </c>
      <c r="Y80" s="915">
        <f t="shared" si="135"/>
        <v>0</v>
      </c>
      <c r="Z80" s="915">
        <f t="shared" si="136"/>
        <v>0</v>
      </c>
      <c r="AA80" s="915">
        <f t="shared" si="137"/>
        <v>0</v>
      </c>
      <c r="AB80" s="915">
        <f t="shared" si="138"/>
        <v>0</v>
      </c>
      <c r="AC80" s="915">
        <f t="shared" si="139"/>
        <v>0</v>
      </c>
      <c r="AD80" s="915">
        <f t="shared" si="140"/>
        <v>0</v>
      </c>
      <c r="AE80" s="915">
        <f t="shared" si="141"/>
        <v>0</v>
      </c>
      <c r="AF80" s="915">
        <f t="shared" si="190"/>
        <v>0</v>
      </c>
      <c r="AG80" s="915">
        <f t="shared" si="191"/>
        <v>0</v>
      </c>
      <c r="AH80" s="915">
        <f t="shared" si="192"/>
        <v>0</v>
      </c>
      <c r="AI80" s="915">
        <f t="shared" si="193"/>
        <v>0</v>
      </c>
      <c r="AJ80" s="915">
        <f t="shared" si="194"/>
        <v>0</v>
      </c>
      <c r="AK80" s="915">
        <f t="shared" si="195"/>
        <v>0</v>
      </c>
      <c r="AL80" s="915">
        <f t="shared" si="196"/>
        <v>0</v>
      </c>
      <c r="AM80" s="915">
        <f t="shared" si="197"/>
        <v>0</v>
      </c>
      <c r="AN80" s="915">
        <f t="shared" si="198"/>
        <v>0</v>
      </c>
      <c r="AO80" s="915">
        <f t="shared" si="199"/>
        <v>0</v>
      </c>
      <c r="AP80" s="915">
        <f t="shared" si="142"/>
        <v>0</v>
      </c>
      <c r="AQ80" s="915">
        <f t="shared" si="143"/>
        <v>0</v>
      </c>
      <c r="AR80" s="915">
        <f t="shared" si="144"/>
        <v>0</v>
      </c>
      <c r="AS80" s="915">
        <f t="shared" si="145"/>
        <v>0</v>
      </c>
      <c r="AT80" s="915">
        <f t="shared" si="146"/>
        <v>0</v>
      </c>
      <c r="AU80" s="915">
        <f t="shared" si="147"/>
        <v>0</v>
      </c>
      <c r="AV80" s="915">
        <f t="shared" si="148"/>
        <v>0</v>
      </c>
      <c r="AW80" s="915">
        <f t="shared" si="149"/>
        <v>0</v>
      </c>
      <c r="AX80" s="915">
        <f t="shared" si="150"/>
        <v>0</v>
      </c>
      <c r="AY80" s="915">
        <f t="shared" si="200"/>
        <v>0</v>
      </c>
      <c r="AZ80" s="915">
        <f t="shared" si="201"/>
        <v>0</v>
      </c>
      <c r="BA80" s="915">
        <f t="shared" si="202"/>
        <v>0</v>
      </c>
      <c r="BB80" s="915">
        <f t="shared" si="203"/>
        <v>0</v>
      </c>
      <c r="BC80" s="915">
        <f t="shared" si="204"/>
        <v>0</v>
      </c>
      <c r="BD80" s="915">
        <f t="shared" si="205"/>
        <v>0</v>
      </c>
      <c r="BE80" s="915">
        <f t="shared" si="206"/>
        <v>0</v>
      </c>
      <c r="BF80" s="915">
        <f t="shared" si="207"/>
        <v>0</v>
      </c>
      <c r="BG80" s="915">
        <f t="shared" si="208"/>
        <v>0</v>
      </c>
      <c r="BH80" s="915">
        <f t="shared" si="209"/>
        <v>0</v>
      </c>
      <c r="BI80" s="915">
        <f t="shared" si="210"/>
        <v>0</v>
      </c>
      <c r="BJ80" s="915">
        <f t="shared" si="151"/>
        <v>0</v>
      </c>
      <c r="BK80" s="915">
        <f t="shared" si="152"/>
        <v>0</v>
      </c>
      <c r="BL80" s="915">
        <f t="shared" si="153"/>
        <v>0</v>
      </c>
      <c r="BM80" s="915">
        <f t="shared" si="154"/>
        <v>0</v>
      </c>
      <c r="BN80" s="915">
        <f t="shared" si="155"/>
        <v>0</v>
      </c>
      <c r="BO80" s="915">
        <f t="shared" si="156"/>
        <v>0</v>
      </c>
      <c r="BP80" s="915">
        <f t="shared" si="157"/>
        <v>0</v>
      </c>
      <c r="BQ80" s="915">
        <f t="shared" si="158"/>
        <v>0</v>
      </c>
      <c r="BR80" s="915">
        <f t="shared" si="159"/>
        <v>0</v>
      </c>
      <c r="BS80" s="915">
        <f t="shared" si="160"/>
        <v>0</v>
      </c>
      <c r="BT80" s="915">
        <f t="shared" si="211"/>
        <v>0</v>
      </c>
      <c r="BU80" s="915">
        <f t="shared" si="211"/>
        <v>0</v>
      </c>
      <c r="BV80" s="915">
        <f t="shared" si="212"/>
        <v>0</v>
      </c>
      <c r="BW80" s="915">
        <f t="shared" si="213"/>
        <v>0</v>
      </c>
      <c r="BX80" s="915">
        <f t="shared" si="214"/>
        <v>0</v>
      </c>
      <c r="BY80" s="915">
        <f t="shared" si="215"/>
        <v>0</v>
      </c>
      <c r="BZ80" s="915">
        <f t="shared" si="216"/>
        <v>0</v>
      </c>
      <c r="CA80" s="915">
        <f t="shared" si="217"/>
        <v>0</v>
      </c>
      <c r="CB80" s="915">
        <f t="shared" si="218"/>
        <v>0</v>
      </c>
      <c r="CC80" s="915">
        <f t="shared" si="219"/>
        <v>0</v>
      </c>
      <c r="CD80" s="915">
        <f t="shared" si="161"/>
        <v>0</v>
      </c>
      <c r="CE80" s="915">
        <f t="shared" si="162"/>
        <v>0</v>
      </c>
      <c r="CF80" s="915">
        <f t="shared" si="163"/>
        <v>0</v>
      </c>
      <c r="CG80" s="915">
        <f t="shared" si="164"/>
        <v>0</v>
      </c>
      <c r="CH80" s="915">
        <f t="shared" si="165"/>
        <v>0</v>
      </c>
      <c r="CI80" s="915">
        <f t="shared" si="166"/>
        <v>0</v>
      </c>
      <c r="CJ80" s="915">
        <f t="shared" si="167"/>
        <v>0</v>
      </c>
      <c r="CK80" s="915">
        <f t="shared" si="168"/>
        <v>0</v>
      </c>
      <c r="CL80" s="915">
        <f t="shared" si="169"/>
        <v>0</v>
      </c>
      <c r="CM80" s="915">
        <f t="shared" si="170"/>
        <v>0</v>
      </c>
      <c r="CN80" s="915">
        <f t="shared" si="220"/>
        <v>0</v>
      </c>
      <c r="CO80" s="915">
        <f t="shared" si="221"/>
        <v>0</v>
      </c>
      <c r="CP80" s="915">
        <f t="shared" si="222"/>
        <v>10.6</v>
      </c>
      <c r="CQ80" s="915">
        <f t="shared" si="223"/>
        <v>0</v>
      </c>
      <c r="CR80" s="915">
        <f t="shared" si="224"/>
        <v>0</v>
      </c>
      <c r="CS80" s="915">
        <f t="shared" si="225"/>
        <v>0</v>
      </c>
      <c r="CT80" s="915">
        <f t="shared" si="226"/>
        <v>0</v>
      </c>
      <c r="CU80" s="915">
        <f t="shared" si="227"/>
        <v>0</v>
      </c>
      <c r="CV80" s="915">
        <f t="shared" si="228"/>
        <v>0</v>
      </c>
      <c r="CW80" s="915">
        <f t="shared" si="229"/>
        <v>0</v>
      </c>
      <c r="CX80" s="915">
        <f t="shared" si="171"/>
        <v>0</v>
      </c>
      <c r="CY80" s="915">
        <f t="shared" si="172"/>
        <v>0</v>
      </c>
      <c r="CZ80" s="915">
        <f t="shared" si="173"/>
        <v>0</v>
      </c>
      <c r="DA80" s="915">
        <f t="shared" si="174"/>
        <v>0</v>
      </c>
      <c r="DB80" s="915">
        <f t="shared" si="175"/>
        <v>0</v>
      </c>
      <c r="DC80" s="915">
        <f t="shared" si="176"/>
        <v>0</v>
      </c>
      <c r="DD80" s="915">
        <f t="shared" si="177"/>
        <v>0</v>
      </c>
      <c r="DE80" s="915">
        <f t="shared" si="178"/>
        <v>0</v>
      </c>
      <c r="DF80" s="915">
        <f t="shared" si="179"/>
        <v>0</v>
      </c>
      <c r="DG80" s="915">
        <f t="shared" si="180"/>
        <v>0</v>
      </c>
      <c r="DH80" s="915">
        <f t="shared" si="230"/>
        <v>0</v>
      </c>
      <c r="DI80" s="915">
        <f t="shared" si="231"/>
        <v>0</v>
      </c>
      <c r="DJ80" s="915">
        <f t="shared" si="232"/>
        <v>0</v>
      </c>
      <c r="DK80" s="915">
        <f t="shared" si="233"/>
        <v>0</v>
      </c>
      <c r="DL80" s="915">
        <f t="shared" si="234"/>
        <v>0</v>
      </c>
      <c r="DM80" s="915">
        <f t="shared" si="235"/>
        <v>0</v>
      </c>
      <c r="DN80" s="915">
        <f t="shared" si="236"/>
        <v>0</v>
      </c>
      <c r="DO80" s="915">
        <f t="shared" si="237"/>
        <v>0</v>
      </c>
      <c r="DP80" s="915">
        <f t="shared" si="238"/>
        <v>0</v>
      </c>
      <c r="DQ80" s="915">
        <f t="shared" si="239"/>
        <v>0</v>
      </c>
      <c r="DR80" s="915">
        <f t="shared" si="181"/>
        <v>0</v>
      </c>
      <c r="DS80" s="915">
        <f t="shared" si="182"/>
        <v>0</v>
      </c>
      <c r="DT80" s="915">
        <f t="shared" si="183"/>
        <v>0</v>
      </c>
      <c r="DU80" s="915">
        <f t="shared" si="184"/>
        <v>0</v>
      </c>
      <c r="DV80" s="915">
        <f t="shared" si="185"/>
        <v>0</v>
      </c>
      <c r="DW80" s="915">
        <f t="shared" si="186"/>
        <v>0</v>
      </c>
      <c r="DX80" s="915">
        <f t="shared" si="187"/>
        <v>0</v>
      </c>
      <c r="DY80" s="915">
        <f t="shared" si="188"/>
        <v>0</v>
      </c>
      <c r="DZ80" s="915">
        <f t="shared" si="189"/>
        <v>0</v>
      </c>
      <c r="EA80" s="915">
        <f t="shared" si="131"/>
        <v>0</v>
      </c>
      <c r="EB80" s="915">
        <f t="shared" si="240"/>
        <v>0</v>
      </c>
      <c r="EC80" s="915">
        <f t="shared" si="241"/>
        <v>0</v>
      </c>
      <c r="ED80" s="915">
        <f t="shared" si="242"/>
        <v>0</v>
      </c>
      <c r="EE80" s="915">
        <f t="shared" si="243"/>
        <v>0</v>
      </c>
      <c r="EF80" s="915">
        <f t="shared" si="244"/>
        <v>0</v>
      </c>
      <c r="EG80" s="915">
        <f t="shared" si="245"/>
        <v>0</v>
      </c>
      <c r="EH80" s="915">
        <f t="shared" si="246"/>
        <v>0</v>
      </c>
      <c r="EI80" s="915">
        <f t="shared" si="247"/>
        <v>0</v>
      </c>
      <c r="EJ80" s="915">
        <f t="shared" si="248"/>
        <v>0</v>
      </c>
      <c r="EK80" s="915">
        <f t="shared" si="249"/>
        <v>0</v>
      </c>
      <c r="EN80" s="533"/>
      <c r="EQ80" s="534"/>
    </row>
    <row r="81" spans="1:147" ht="14.1" customHeight="1" x14ac:dyDescent="0.2">
      <c r="A81" s="1026">
        <v>74</v>
      </c>
      <c r="B81" s="1423"/>
      <c r="C81" s="1424"/>
      <c r="D81" s="138">
        <v>14</v>
      </c>
      <c r="E81" s="138" t="s">
        <v>167</v>
      </c>
      <c r="F81" s="139" t="s">
        <v>2544</v>
      </c>
      <c r="G81" s="91">
        <v>1</v>
      </c>
      <c r="H81" s="802">
        <v>10</v>
      </c>
      <c r="I81" s="801">
        <f t="shared" si="129"/>
        <v>0.6</v>
      </c>
      <c r="J81" s="1021">
        <f t="shared" si="130"/>
        <v>10.6</v>
      </c>
      <c r="K81" s="225"/>
      <c r="L81" s="941" t="str">
        <f>TabName14 &amp; " - AIR"</f>
        <v>Phase 14 - AIR</v>
      </c>
      <c r="M81" s="951">
        <f>CQ6</f>
        <v>10.6</v>
      </c>
      <c r="V81" s="915">
        <f t="shared" si="132"/>
        <v>0</v>
      </c>
      <c r="W81" s="915">
        <f t="shared" si="133"/>
        <v>0</v>
      </c>
      <c r="X81" s="915">
        <f t="shared" si="134"/>
        <v>0</v>
      </c>
      <c r="Y81" s="915">
        <f t="shared" si="135"/>
        <v>0</v>
      </c>
      <c r="Z81" s="915">
        <f t="shared" si="136"/>
        <v>0</v>
      </c>
      <c r="AA81" s="915">
        <f t="shared" si="137"/>
        <v>0</v>
      </c>
      <c r="AB81" s="915">
        <f t="shared" si="138"/>
        <v>0</v>
      </c>
      <c r="AC81" s="915">
        <f t="shared" si="139"/>
        <v>0</v>
      </c>
      <c r="AD81" s="915">
        <f t="shared" si="140"/>
        <v>0</v>
      </c>
      <c r="AE81" s="915">
        <f t="shared" si="141"/>
        <v>0</v>
      </c>
      <c r="AF81" s="915">
        <f t="shared" si="190"/>
        <v>0</v>
      </c>
      <c r="AG81" s="915">
        <f t="shared" si="191"/>
        <v>0</v>
      </c>
      <c r="AH81" s="915">
        <f t="shared" si="192"/>
        <v>0</v>
      </c>
      <c r="AI81" s="915">
        <f t="shared" si="193"/>
        <v>0</v>
      </c>
      <c r="AJ81" s="915">
        <f t="shared" si="194"/>
        <v>0</v>
      </c>
      <c r="AK81" s="915">
        <f t="shared" si="195"/>
        <v>0</v>
      </c>
      <c r="AL81" s="915">
        <f t="shared" si="196"/>
        <v>0</v>
      </c>
      <c r="AM81" s="915">
        <f t="shared" si="197"/>
        <v>0</v>
      </c>
      <c r="AN81" s="915">
        <f t="shared" si="198"/>
        <v>0</v>
      </c>
      <c r="AO81" s="915">
        <f t="shared" si="199"/>
        <v>0</v>
      </c>
      <c r="AP81" s="915">
        <f t="shared" si="142"/>
        <v>0</v>
      </c>
      <c r="AQ81" s="915">
        <f t="shared" si="143"/>
        <v>0</v>
      </c>
      <c r="AR81" s="915">
        <f t="shared" si="144"/>
        <v>0</v>
      </c>
      <c r="AS81" s="915">
        <f t="shared" si="145"/>
        <v>0</v>
      </c>
      <c r="AT81" s="915">
        <f t="shared" si="146"/>
        <v>0</v>
      </c>
      <c r="AU81" s="915">
        <f t="shared" si="147"/>
        <v>0</v>
      </c>
      <c r="AV81" s="915">
        <f t="shared" si="148"/>
        <v>0</v>
      </c>
      <c r="AW81" s="915">
        <f t="shared" si="149"/>
        <v>0</v>
      </c>
      <c r="AX81" s="915">
        <f t="shared" si="150"/>
        <v>0</v>
      </c>
      <c r="AY81" s="915">
        <f t="shared" si="200"/>
        <v>0</v>
      </c>
      <c r="AZ81" s="915">
        <f t="shared" si="201"/>
        <v>0</v>
      </c>
      <c r="BA81" s="915">
        <f t="shared" si="202"/>
        <v>0</v>
      </c>
      <c r="BB81" s="915">
        <f t="shared" si="203"/>
        <v>0</v>
      </c>
      <c r="BC81" s="915">
        <f t="shared" si="204"/>
        <v>0</v>
      </c>
      <c r="BD81" s="915">
        <f t="shared" si="205"/>
        <v>0</v>
      </c>
      <c r="BE81" s="915">
        <f t="shared" si="206"/>
        <v>0</v>
      </c>
      <c r="BF81" s="915">
        <f t="shared" si="207"/>
        <v>0</v>
      </c>
      <c r="BG81" s="915">
        <f t="shared" si="208"/>
        <v>0</v>
      </c>
      <c r="BH81" s="915">
        <f t="shared" si="209"/>
        <v>0</v>
      </c>
      <c r="BI81" s="915">
        <f t="shared" si="210"/>
        <v>0</v>
      </c>
      <c r="BJ81" s="915">
        <f t="shared" si="151"/>
        <v>0</v>
      </c>
      <c r="BK81" s="915">
        <f t="shared" si="152"/>
        <v>0</v>
      </c>
      <c r="BL81" s="915">
        <f t="shared" si="153"/>
        <v>0</v>
      </c>
      <c r="BM81" s="915">
        <f t="shared" si="154"/>
        <v>0</v>
      </c>
      <c r="BN81" s="915">
        <f t="shared" si="155"/>
        <v>0</v>
      </c>
      <c r="BO81" s="915">
        <f t="shared" si="156"/>
        <v>0</v>
      </c>
      <c r="BP81" s="915">
        <f t="shared" si="157"/>
        <v>0</v>
      </c>
      <c r="BQ81" s="915">
        <f t="shared" si="158"/>
        <v>0</v>
      </c>
      <c r="BR81" s="915">
        <f t="shared" si="159"/>
        <v>0</v>
      </c>
      <c r="BS81" s="915">
        <f t="shared" si="160"/>
        <v>0</v>
      </c>
      <c r="BT81" s="915">
        <f t="shared" si="211"/>
        <v>0</v>
      </c>
      <c r="BU81" s="915">
        <f t="shared" si="211"/>
        <v>0</v>
      </c>
      <c r="BV81" s="915">
        <f t="shared" si="212"/>
        <v>0</v>
      </c>
      <c r="BW81" s="915">
        <f t="shared" si="213"/>
        <v>0</v>
      </c>
      <c r="BX81" s="915">
        <f t="shared" si="214"/>
        <v>0</v>
      </c>
      <c r="BY81" s="915">
        <f t="shared" si="215"/>
        <v>0</v>
      </c>
      <c r="BZ81" s="915">
        <f t="shared" si="216"/>
        <v>0</v>
      </c>
      <c r="CA81" s="915">
        <f t="shared" si="217"/>
        <v>0</v>
      </c>
      <c r="CB81" s="915">
        <f t="shared" si="218"/>
        <v>0</v>
      </c>
      <c r="CC81" s="915">
        <f t="shared" si="219"/>
        <v>0</v>
      </c>
      <c r="CD81" s="915">
        <f t="shared" si="161"/>
        <v>0</v>
      </c>
      <c r="CE81" s="915">
        <f t="shared" si="162"/>
        <v>0</v>
      </c>
      <c r="CF81" s="915">
        <f t="shared" si="163"/>
        <v>0</v>
      </c>
      <c r="CG81" s="915">
        <f t="shared" si="164"/>
        <v>0</v>
      </c>
      <c r="CH81" s="915">
        <f t="shared" si="165"/>
        <v>0</v>
      </c>
      <c r="CI81" s="915">
        <f t="shared" si="166"/>
        <v>0</v>
      </c>
      <c r="CJ81" s="915">
        <f t="shared" si="167"/>
        <v>0</v>
      </c>
      <c r="CK81" s="915">
        <f t="shared" si="168"/>
        <v>0</v>
      </c>
      <c r="CL81" s="915">
        <f t="shared" si="169"/>
        <v>0</v>
      </c>
      <c r="CM81" s="915">
        <f t="shared" si="170"/>
        <v>0</v>
      </c>
      <c r="CN81" s="915">
        <f t="shared" si="220"/>
        <v>0</v>
      </c>
      <c r="CO81" s="915">
        <f t="shared" si="221"/>
        <v>0</v>
      </c>
      <c r="CP81" s="915">
        <f t="shared" si="222"/>
        <v>0</v>
      </c>
      <c r="CQ81" s="915">
        <f t="shared" si="223"/>
        <v>10.6</v>
      </c>
      <c r="CR81" s="915">
        <f t="shared" si="224"/>
        <v>0</v>
      </c>
      <c r="CS81" s="915">
        <f t="shared" si="225"/>
        <v>0</v>
      </c>
      <c r="CT81" s="915">
        <f t="shared" si="226"/>
        <v>0</v>
      </c>
      <c r="CU81" s="915">
        <f t="shared" si="227"/>
        <v>0</v>
      </c>
      <c r="CV81" s="915">
        <f t="shared" si="228"/>
        <v>0</v>
      </c>
      <c r="CW81" s="915">
        <f t="shared" si="229"/>
        <v>0</v>
      </c>
      <c r="CX81" s="915">
        <f t="shared" si="171"/>
        <v>0</v>
      </c>
      <c r="CY81" s="915">
        <f t="shared" si="172"/>
        <v>0</v>
      </c>
      <c r="CZ81" s="915">
        <f t="shared" si="173"/>
        <v>0</v>
      </c>
      <c r="DA81" s="915">
        <f t="shared" si="174"/>
        <v>0</v>
      </c>
      <c r="DB81" s="915">
        <f t="shared" si="175"/>
        <v>0</v>
      </c>
      <c r="DC81" s="915">
        <f t="shared" si="176"/>
        <v>0</v>
      </c>
      <c r="DD81" s="915">
        <f t="shared" si="177"/>
        <v>0</v>
      </c>
      <c r="DE81" s="915">
        <f t="shared" si="178"/>
        <v>0</v>
      </c>
      <c r="DF81" s="915">
        <f t="shared" si="179"/>
        <v>0</v>
      </c>
      <c r="DG81" s="915">
        <f t="shared" si="180"/>
        <v>0</v>
      </c>
      <c r="DH81" s="915">
        <f t="shared" si="230"/>
        <v>0</v>
      </c>
      <c r="DI81" s="915">
        <f t="shared" si="231"/>
        <v>0</v>
      </c>
      <c r="DJ81" s="915">
        <f t="shared" si="232"/>
        <v>0</v>
      </c>
      <c r="DK81" s="915">
        <f t="shared" si="233"/>
        <v>0</v>
      </c>
      <c r="DL81" s="915">
        <f t="shared" si="234"/>
        <v>0</v>
      </c>
      <c r="DM81" s="915">
        <f t="shared" si="235"/>
        <v>0</v>
      </c>
      <c r="DN81" s="915">
        <f t="shared" si="236"/>
        <v>0</v>
      </c>
      <c r="DO81" s="915">
        <f t="shared" si="237"/>
        <v>0</v>
      </c>
      <c r="DP81" s="915">
        <f t="shared" si="238"/>
        <v>0</v>
      </c>
      <c r="DQ81" s="915">
        <f t="shared" si="239"/>
        <v>0</v>
      </c>
      <c r="DR81" s="915">
        <f t="shared" si="181"/>
        <v>0</v>
      </c>
      <c r="DS81" s="915">
        <f t="shared" si="182"/>
        <v>0</v>
      </c>
      <c r="DT81" s="915">
        <f t="shared" si="183"/>
        <v>0</v>
      </c>
      <c r="DU81" s="915">
        <f t="shared" si="184"/>
        <v>0</v>
      </c>
      <c r="DV81" s="915">
        <f t="shared" si="185"/>
        <v>0</v>
      </c>
      <c r="DW81" s="915">
        <f t="shared" si="186"/>
        <v>0</v>
      </c>
      <c r="DX81" s="915">
        <f t="shared" si="187"/>
        <v>0</v>
      </c>
      <c r="DY81" s="915">
        <f t="shared" si="188"/>
        <v>0</v>
      </c>
      <c r="DZ81" s="915">
        <f t="shared" si="189"/>
        <v>0</v>
      </c>
      <c r="EA81" s="915">
        <f t="shared" si="131"/>
        <v>0</v>
      </c>
      <c r="EB81" s="915">
        <f t="shared" si="240"/>
        <v>0</v>
      </c>
      <c r="EC81" s="915">
        <f t="shared" si="241"/>
        <v>0</v>
      </c>
      <c r="ED81" s="915">
        <f t="shared" si="242"/>
        <v>0</v>
      </c>
      <c r="EE81" s="915">
        <f t="shared" si="243"/>
        <v>0</v>
      </c>
      <c r="EF81" s="915">
        <f t="shared" si="244"/>
        <v>0</v>
      </c>
      <c r="EG81" s="915">
        <f t="shared" si="245"/>
        <v>0</v>
      </c>
      <c r="EH81" s="915">
        <f t="shared" si="246"/>
        <v>0</v>
      </c>
      <c r="EI81" s="915">
        <f t="shared" si="247"/>
        <v>0</v>
      </c>
      <c r="EJ81" s="915">
        <f t="shared" si="248"/>
        <v>0</v>
      </c>
      <c r="EK81" s="915">
        <f t="shared" si="249"/>
        <v>0</v>
      </c>
      <c r="EN81" s="533"/>
      <c r="EQ81" s="534"/>
    </row>
    <row r="82" spans="1:147" ht="14.1" customHeight="1" x14ac:dyDescent="0.2">
      <c r="A82" s="496">
        <v>75</v>
      </c>
      <c r="B82" s="1419"/>
      <c r="C82" s="1420"/>
      <c r="D82" s="264">
        <v>15</v>
      </c>
      <c r="E82" s="264" t="s">
        <v>167</v>
      </c>
      <c r="F82" s="270" t="s">
        <v>2544</v>
      </c>
      <c r="G82" s="271">
        <v>1</v>
      </c>
      <c r="H82" s="803">
        <v>10</v>
      </c>
      <c r="I82" s="800">
        <f t="shared" si="129"/>
        <v>0.6</v>
      </c>
      <c r="J82" s="269">
        <f t="shared" si="130"/>
        <v>10.6</v>
      </c>
      <c r="K82" s="225"/>
      <c r="L82" s="941" t="str">
        <f>TabName15 &amp; " - AIR"</f>
        <v>Phase 15 - AIR</v>
      </c>
      <c r="M82" s="951">
        <f>CR6</f>
        <v>10.6</v>
      </c>
      <c r="V82" s="915">
        <f t="shared" si="132"/>
        <v>0</v>
      </c>
      <c r="W82" s="915">
        <f t="shared" si="133"/>
        <v>0</v>
      </c>
      <c r="X82" s="915">
        <f t="shared" si="134"/>
        <v>0</v>
      </c>
      <c r="Y82" s="915">
        <f t="shared" si="135"/>
        <v>0</v>
      </c>
      <c r="Z82" s="915">
        <f t="shared" si="136"/>
        <v>0</v>
      </c>
      <c r="AA82" s="915">
        <f t="shared" si="137"/>
        <v>0</v>
      </c>
      <c r="AB82" s="915">
        <f t="shared" si="138"/>
        <v>0</v>
      </c>
      <c r="AC82" s="915">
        <f t="shared" si="139"/>
        <v>0</v>
      </c>
      <c r="AD82" s="915">
        <f t="shared" si="140"/>
        <v>0</v>
      </c>
      <c r="AE82" s="915">
        <f t="shared" si="141"/>
        <v>0</v>
      </c>
      <c r="AF82" s="915">
        <f t="shared" si="190"/>
        <v>0</v>
      </c>
      <c r="AG82" s="915">
        <f t="shared" si="191"/>
        <v>0</v>
      </c>
      <c r="AH82" s="915">
        <f t="shared" si="192"/>
        <v>0</v>
      </c>
      <c r="AI82" s="915">
        <f t="shared" si="193"/>
        <v>0</v>
      </c>
      <c r="AJ82" s="915">
        <f t="shared" si="194"/>
        <v>0</v>
      </c>
      <c r="AK82" s="915">
        <f t="shared" si="195"/>
        <v>0</v>
      </c>
      <c r="AL82" s="915">
        <f t="shared" si="196"/>
        <v>0</v>
      </c>
      <c r="AM82" s="915">
        <f t="shared" si="197"/>
        <v>0</v>
      </c>
      <c r="AN82" s="915">
        <f t="shared" si="198"/>
        <v>0</v>
      </c>
      <c r="AO82" s="915">
        <f t="shared" si="199"/>
        <v>0</v>
      </c>
      <c r="AP82" s="915">
        <f t="shared" si="142"/>
        <v>0</v>
      </c>
      <c r="AQ82" s="915">
        <f t="shared" si="143"/>
        <v>0</v>
      </c>
      <c r="AR82" s="915">
        <f t="shared" si="144"/>
        <v>0</v>
      </c>
      <c r="AS82" s="915">
        <f t="shared" si="145"/>
        <v>0</v>
      </c>
      <c r="AT82" s="915">
        <f t="shared" si="146"/>
        <v>0</v>
      </c>
      <c r="AU82" s="915">
        <f t="shared" si="147"/>
        <v>0</v>
      </c>
      <c r="AV82" s="915">
        <f t="shared" si="148"/>
        <v>0</v>
      </c>
      <c r="AW82" s="915">
        <f t="shared" si="149"/>
        <v>0</v>
      </c>
      <c r="AX82" s="915">
        <f t="shared" si="150"/>
        <v>0</v>
      </c>
      <c r="AY82" s="915">
        <f t="shared" si="200"/>
        <v>0</v>
      </c>
      <c r="AZ82" s="915">
        <f t="shared" si="201"/>
        <v>0</v>
      </c>
      <c r="BA82" s="915">
        <f t="shared" si="202"/>
        <v>0</v>
      </c>
      <c r="BB82" s="915">
        <f t="shared" si="203"/>
        <v>0</v>
      </c>
      <c r="BC82" s="915">
        <f t="shared" si="204"/>
        <v>0</v>
      </c>
      <c r="BD82" s="915">
        <f t="shared" si="205"/>
        <v>0</v>
      </c>
      <c r="BE82" s="915">
        <f t="shared" si="206"/>
        <v>0</v>
      </c>
      <c r="BF82" s="915">
        <f t="shared" si="207"/>
        <v>0</v>
      </c>
      <c r="BG82" s="915">
        <f t="shared" si="208"/>
        <v>0</v>
      </c>
      <c r="BH82" s="915">
        <f t="shared" si="209"/>
        <v>0</v>
      </c>
      <c r="BI82" s="915">
        <f t="shared" si="210"/>
        <v>0</v>
      </c>
      <c r="BJ82" s="915">
        <f t="shared" si="151"/>
        <v>0</v>
      </c>
      <c r="BK82" s="915">
        <f t="shared" si="152"/>
        <v>0</v>
      </c>
      <c r="BL82" s="915">
        <f t="shared" si="153"/>
        <v>0</v>
      </c>
      <c r="BM82" s="915">
        <f t="shared" si="154"/>
        <v>0</v>
      </c>
      <c r="BN82" s="915">
        <f t="shared" si="155"/>
        <v>0</v>
      </c>
      <c r="BO82" s="915">
        <f t="shared" si="156"/>
        <v>0</v>
      </c>
      <c r="BP82" s="915">
        <f t="shared" si="157"/>
        <v>0</v>
      </c>
      <c r="BQ82" s="915">
        <f t="shared" si="158"/>
        <v>0</v>
      </c>
      <c r="BR82" s="915">
        <f t="shared" si="159"/>
        <v>0</v>
      </c>
      <c r="BS82" s="915">
        <f t="shared" si="160"/>
        <v>0</v>
      </c>
      <c r="BT82" s="915">
        <f t="shared" si="211"/>
        <v>0</v>
      </c>
      <c r="BU82" s="915">
        <f t="shared" si="211"/>
        <v>0</v>
      </c>
      <c r="BV82" s="915">
        <f t="shared" si="212"/>
        <v>0</v>
      </c>
      <c r="BW82" s="915">
        <f t="shared" si="213"/>
        <v>0</v>
      </c>
      <c r="BX82" s="915">
        <f t="shared" si="214"/>
        <v>0</v>
      </c>
      <c r="BY82" s="915">
        <f t="shared" si="215"/>
        <v>0</v>
      </c>
      <c r="BZ82" s="915">
        <f t="shared" si="216"/>
        <v>0</v>
      </c>
      <c r="CA82" s="915">
        <f t="shared" si="217"/>
        <v>0</v>
      </c>
      <c r="CB82" s="915">
        <f t="shared" si="218"/>
        <v>0</v>
      </c>
      <c r="CC82" s="915">
        <f t="shared" si="219"/>
        <v>0</v>
      </c>
      <c r="CD82" s="915">
        <f t="shared" si="161"/>
        <v>0</v>
      </c>
      <c r="CE82" s="915">
        <f t="shared" si="162"/>
        <v>0</v>
      </c>
      <c r="CF82" s="915">
        <f t="shared" si="163"/>
        <v>0</v>
      </c>
      <c r="CG82" s="915">
        <f t="shared" si="164"/>
        <v>0</v>
      </c>
      <c r="CH82" s="915">
        <f t="shared" si="165"/>
        <v>0</v>
      </c>
      <c r="CI82" s="915">
        <f t="shared" si="166"/>
        <v>0</v>
      </c>
      <c r="CJ82" s="915">
        <f t="shared" si="167"/>
        <v>0</v>
      </c>
      <c r="CK82" s="915">
        <f t="shared" si="168"/>
        <v>0</v>
      </c>
      <c r="CL82" s="915">
        <f t="shared" si="169"/>
        <v>0</v>
      </c>
      <c r="CM82" s="915">
        <f t="shared" si="170"/>
        <v>0</v>
      </c>
      <c r="CN82" s="915">
        <f t="shared" si="220"/>
        <v>0</v>
      </c>
      <c r="CO82" s="915">
        <f t="shared" si="221"/>
        <v>0</v>
      </c>
      <c r="CP82" s="915">
        <f t="shared" si="222"/>
        <v>0</v>
      </c>
      <c r="CQ82" s="915">
        <f t="shared" si="223"/>
        <v>0</v>
      </c>
      <c r="CR82" s="915">
        <f t="shared" si="224"/>
        <v>10.6</v>
      </c>
      <c r="CS82" s="915">
        <f t="shared" si="225"/>
        <v>0</v>
      </c>
      <c r="CT82" s="915">
        <f t="shared" si="226"/>
        <v>0</v>
      </c>
      <c r="CU82" s="915">
        <f t="shared" si="227"/>
        <v>0</v>
      </c>
      <c r="CV82" s="915">
        <f t="shared" si="228"/>
        <v>0</v>
      </c>
      <c r="CW82" s="915">
        <f t="shared" si="229"/>
        <v>0</v>
      </c>
      <c r="CX82" s="915">
        <f t="shared" si="171"/>
        <v>0</v>
      </c>
      <c r="CY82" s="915">
        <f t="shared" si="172"/>
        <v>0</v>
      </c>
      <c r="CZ82" s="915">
        <f t="shared" si="173"/>
        <v>0</v>
      </c>
      <c r="DA82" s="915">
        <f t="shared" si="174"/>
        <v>0</v>
      </c>
      <c r="DB82" s="915">
        <f t="shared" si="175"/>
        <v>0</v>
      </c>
      <c r="DC82" s="915">
        <f t="shared" si="176"/>
        <v>0</v>
      </c>
      <c r="DD82" s="915">
        <f t="shared" si="177"/>
        <v>0</v>
      </c>
      <c r="DE82" s="915">
        <f t="shared" si="178"/>
        <v>0</v>
      </c>
      <c r="DF82" s="915">
        <f t="shared" si="179"/>
        <v>0</v>
      </c>
      <c r="DG82" s="915">
        <f t="shared" si="180"/>
        <v>0</v>
      </c>
      <c r="DH82" s="915">
        <f t="shared" si="230"/>
        <v>0</v>
      </c>
      <c r="DI82" s="915">
        <f t="shared" si="231"/>
        <v>0</v>
      </c>
      <c r="DJ82" s="915">
        <f t="shared" si="232"/>
        <v>0</v>
      </c>
      <c r="DK82" s="915">
        <f t="shared" si="233"/>
        <v>0</v>
      </c>
      <c r="DL82" s="915">
        <f t="shared" si="234"/>
        <v>0</v>
      </c>
      <c r="DM82" s="915">
        <f t="shared" si="235"/>
        <v>0</v>
      </c>
      <c r="DN82" s="915">
        <f t="shared" si="236"/>
        <v>0</v>
      </c>
      <c r="DO82" s="915">
        <f t="shared" si="237"/>
        <v>0</v>
      </c>
      <c r="DP82" s="915">
        <f t="shared" si="238"/>
        <v>0</v>
      </c>
      <c r="DQ82" s="915">
        <f t="shared" si="239"/>
        <v>0</v>
      </c>
      <c r="DR82" s="915">
        <f t="shared" si="181"/>
        <v>0</v>
      </c>
      <c r="DS82" s="915">
        <f t="shared" si="182"/>
        <v>0</v>
      </c>
      <c r="DT82" s="915">
        <f t="shared" si="183"/>
        <v>0</v>
      </c>
      <c r="DU82" s="915">
        <f t="shared" si="184"/>
        <v>0</v>
      </c>
      <c r="DV82" s="915">
        <f t="shared" si="185"/>
        <v>0</v>
      </c>
      <c r="DW82" s="915">
        <f t="shared" si="186"/>
        <v>0</v>
      </c>
      <c r="DX82" s="915">
        <f t="shared" si="187"/>
        <v>0</v>
      </c>
      <c r="DY82" s="915">
        <f t="shared" si="188"/>
        <v>0</v>
      </c>
      <c r="DZ82" s="915">
        <f t="shared" si="189"/>
        <v>0</v>
      </c>
      <c r="EA82" s="915">
        <f t="shared" si="131"/>
        <v>0</v>
      </c>
      <c r="EB82" s="915">
        <f t="shared" si="240"/>
        <v>0</v>
      </c>
      <c r="EC82" s="915">
        <f t="shared" si="241"/>
        <v>0</v>
      </c>
      <c r="ED82" s="915">
        <f t="shared" si="242"/>
        <v>0</v>
      </c>
      <c r="EE82" s="915">
        <f t="shared" si="243"/>
        <v>0</v>
      </c>
      <c r="EF82" s="915">
        <f t="shared" si="244"/>
        <v>0</v>
      </c>
      <c r="EG82" s="915">
        <f t="shared" si="245"/>
        <v>0</v>
      </c>
      <c r="EH82" s="915">
        <f t="shared" si="246"/>
        <v>0</v>
      </c>
      <c r="EI82" s="915">
        <f t="shared" si="247"/>
        <v>0</v>
      </c>
      <c r="EJ82" s="915">
        <f t="shared" si="248"/>
        <v>0</v>
      </c>
      <c r="EK82" s="915">
        <f t="shared" si="249"/>
        <v>0</v>
      </c>
      <c r="EN82" s="533"/>
      <c r="EQ82" s="534"/>
    </row>
    <row r="83" spans="1:147" ht="14.1" customHeight="1" x14ac:dyDescent="0.2">
      <c r="A83" s="1026">
        <v>76</v>
      </c>
      <c r="B83" s="1005"/>
      <c r="C83" s="1008"/>
      <c r="D83" s="138">
        <v>16</v>
      </c>
      <c r="E83" s="138" t="s">
        <v>167</v>
      </c>
      <c r="F83" s="139" t="s">
        <v>2544</v>
      </c>
      <c r="G83" s="91">
        <v>1</v>
      </c>
      <c r="H83" s="1022">
        <v>10</v>
      </c>
      <c r="I83" s="801">
        <f t="shared" si="129"/>
        <v>0.6</v>
      </c>
      <c r="J83" s="1021">
        <f t="shared" si="130"/>
        <v>10.6</v>
      </c>
      <c r="K83" s="225"/>
      <c r="L83" s="941" t="str">
        <f>TabName16 &amp; " - AIR"</f>
        <v>Phase 16 - AIR</v>
      </c>
      <c r="M83" s="951">
        <f>CS6</f>
        <v>10.6</v>
      </c>
      <c r="V83" s="915">
        <f t="shared" si="132"/>
        <v>0</v>
      </c>
      <c r="W83" s="915">
        <f t="shared" si="133"/>
        <v>0</v>
      </c>
      <c r="X83" s="915">
        <f t="shared" si="134"/>
        <v>0</v>
      </c>
      <c r="Y83" s="915">
        <f t="shared" si="135"/>
        <v>0</v>
      </c>
      <c r="Z83" s="915">
        <f t="shared" si="136"/>
        <v>0</v>
      </c>
      <c r="AA83" s="915">
        <f t="shared" si="137"/>
        <v>0</v>
      </c>
      <c r="AB83" s="915">
        <f t="shared" si="138"/>
        <v>0</v>
      </c>
      <c r="AC83" s="915">
        <f t="shared" si="139"/>
        <v>0</v>
      </c>
      <c r="AD83" s="915">
        <f t="shared" si="140"/>
        <v>0</v>
      </c>
      <c r="AE83" s="915">
        <f t="shared" si="141"/>
        <v>0</v>
      </c>
      <c r="AF83" s="915">
        <f t="shared" si="190"/>
        <v>0</v>
      </c>
      <c r="AG83" s="915">
        <f t="shared" si="191"/>
        <v>0</v>
      </c>
      <c r="AH83" s="915">
        <f t="shared" si="192"/>
        <v>0</v>
      </c>
      <c r="AI83" s="915">
        <f t="shared" si="193"/>
        <v>0</v>
      </c>
      <c r="AJ83" s="915">
        <f t="shared" si="194"/>
        <v>0</v>
      </c>
      <c r="AK83" s="915">
        <f t="shared" si="195"/>
        <v>0</v>
      </c>
      <c r="AL83" s="915">
        <f t="shared" si="196"/>
        <v>0</v>
      </c>
      <c r="AM83" s="915">
        <f t="shared" si="197"/>
        <v>0</v>
      </c>
      <c r="AN83" s="915">
        <f t="shared" si="198"/>
        <v>0</v>
      </c>
      <c r="AO83" s="915">
        <f t="shared" si="199"/>
        <v>0</v>
      </c>
      <c r="AP83" s="915">
        <f t="shared" si="142"/>
        <v>0</v>
      </c>
      <c r="AQ83" s="915">
        <f t="shared" si="143"/>
        <v>0</v>
      </c>
      <c r="AR83" s="915">
        <f t="shared" si="144"/>
        <v>0</v>
      </c>
      <c r="AS83" s="915">
        <f t="shared" si="145"/>
        <v>0</v>
      </c>
      <c r="AT83" s="915">
        <f t="shared" si="146"/>
        <v>0</v>
      </c>
      <c r="AU83" s="915">
        <f t="shared" si="147"/>
        <v>0</v>
      </c>
      <c r="AV83" s="915">
        <f t="shared" si="148"/>
        <v>0</v>
      </c>
      <c r="AW83" s="915">
        <f t="shared" si="149"/>
        <v>0</v>
      </c>
      <c r="AX83" s="915">
        <f t="shared" si="150"/>
        <v>0</v>
      </c>
      <c r="AY83" s="915">
        <f t="shared" si="200"/>
        <v>0</v>
      </c>
      <c r="AZ83" s="915">
        <f t="shared" si="201"/>
        <v>0</v>
      </c>
      <c r="BA83" s="915">
        <f t="shared" si="202"/>
        <v>0</v>
      </c>
      <c r="BB83" s="915">
        <f t="shared" si="203"/>
        <v>0</v>
      </c>
      <c r="BC83" s="915">
        <f t="shared" si="204"/>
        <v>0</v>
      </c>
      <c r="BD83" s="915">
        <f t="shared" si="205"/>
        <v>0</v>
      </c>
      <c r="BE83" s="915">
        <f t="shared" si="206"/>
        <v>0</v>
      </c>
      <c r="BF83" s="915">
        <f t="shared" si="207"/>
        <v>0</v>
      </c>
      <c r="BG83" s="915">
        <f t="shared" si="208"/>
        <v>0</v>
      </c>
      <c r="BH83" s="915">
        <f t="shared" si="209"/>
        <v>0</v>
      </c>
      <c r="BI83" s="915">
        <f t="shared" si="210"/>
        <v>0</v>
      </c>
      <c r="BJ83" s="915">
        <f t="shared" si="151"/>
        <v>0</v>
      </c>
      <c r="BK83" s="915">
        <f t="shared" si="152"/>
        <v>0</v>
      </c>
      <c r="BL83" s="915">
        <f t="shared" si="153"/>
        <v>0</v>
      </c>
      <c r="BM83" s="915">
        <f t="shared" si="154"/>
        <v>0</v>
      </c>
      <c r="BN83" s="915">
        <f t="shared" si="155"/>
        <v>0</v>
      </c>
      <c r="BO83" s="915">
        <f t="shared" si="156"/>
        <v>0</v>
      </c>
      <c r="BP83" s="915">
        <f t="shared" si="157"/>
        <v>0</v>
      </c>
      <c r="BQ83" s="915">
        <f t="shared" si="158"/>
        <v>0</v>
      </c>
      <c r="BR83" s="915">
        <f t="shared" si="159"/>
        <v>0</v>
      </c>
      <c r="BS83" s="915">
        <f t="shared" si="160"/>
        <v>0</v>
      </c>
      <c r="BT83" s="915">
        <f t="shared" si="211"/>
        <v>0</v>
      </c>
      <c r="BU83" s="915">
        <f t="shared" si="211"/>
        <v>0</v>
      </c>
      <c r="BV83" s="915">
        <f t="shared" si="212"/>
        <v>0</v>
      </c>
      <c r="BW83" s="915">
        <f t="shared" si="213"/>
        <v>0</v>
      </c>
      <c r="BX83" s="915">
        <f t="shared" si="214"/>
        <v>0</v>
      </c>
      <c r="BY83" s="915">
        <f t="shared" si="215"/>
        <v>0</v>
      </c>
      <c r="BZ83" s="915">
        <f t="shared" si="216"/>
        <v>0</v>
      </c>
      <c r="CA83" s="915">
        <f t="shared" si="217"/>
        <v>0</v>
      </c>
      <c r="CB83" s="915">
        <f t="shared" si="218"/>
        <v>0</v>
      </c>
      <c r="CC83" s="915">
        <f t="shared" si="219"/>
        <v>0</v>
      </c>
      <c r="CD83" s="915">
        <f t="shared" si="161"/>
        <v>0</v>
      </c>
      <c r="CE83" s="915">
        <f t="shared" si="162"/>
        <v>0</v>
      </c>
      <c r="CF83" s="915">
        <f t="shared" si="163"/>
        <v>0</v>
      </c>
      <c r="CG83" s="915">
        <f t="shared" si="164"/>
        <v>0</v>
      </c>
      <c r="CH83" s="915">
        <f t="shared" si="165"/>
        <v>0</v>
      </c>
      <c r="CI83" s="915">
        <f t="shared" si="166"/>
        <v>0</v>
      </c>
      <c r="CJ83" s="915">
        <f t="shared" si="167"/>
        <v>0</v>
      </c>
      <c r="CK83" s="915">
        <f t="shared" si="168"/>
        <v>0</v>
      </c>
      <c r="CL83" s="915">
        <f t="shared" si="169"/>
        <v>0</v>
      </c>
      <c r="CM83" s="915">
        <f t="shared" si="170"/>
        <v>0</v>
      </c>
      <c r="CN83" s="915">
        <f t="shared" si="220"/>
        <v>0</v>
      </c>
      <c r="CO83" s="915">
        <f t="shared" si="221"/>
        <v>0</v>
      </c>
      <c r="CP83" s="915">
        <f t="shared" si="222"/>
        <v>0</v>
      </c>
      <c r="CQ83" s="915">
        <f t="shared" si="223"/>
        <v>0</v>
      </c>
      <c r="CR83" s="915">
        <f t="shared" si="224"/>
        <v>0</v>
      </c>
      <c r="CS83" s="915">
        <f t="shared" si="225"/>
        <v>10.6</v>
      </c>
      <c r="CT83" s="915">
        <f t="shared" si="226"/>
        <v>0</v>
      </c>
      <c r="CU83" s="915">
        <f t="shared" si="227"/>
        <v>0</v>
      </c>
      <c r="CV83" s="915">
        <f t="shared" si="228"/>
        <v>0</v>
      </c>
      <c r="CW83" s="915">
        <f t="shared" si="229"/>
        <v>0</v>
      </c>
      <c r="CX83" s="915">
        <f t="shared" si="171"/>
        <v>0</v>
      </c>
      <c r="CY83" s="915">
        <f t="shared" si="172"/>
        <v>0</v>
      </c>
      <c r="CZ83" s="915">
        <f t="shared" si="173"/>
        <v>0</v>
      </c>
      <c r="DA83" s="915">
        <f t="shared" si="174"/>
        <v>0</v>
      </c>
      <c r="DB83" s="915">
        <f t="shared" si="175"/>
        <v>0</v>
      </c>
      <c r="DC83" s="915">
        <f t="shared" si="176"/>
        <v>0</v>
      </c>
      <c r="DD83" s="915">
        <f t="shared" si="177"/>
        <v>0</v>
      </c>
      <c r="DE83" s="915">
        <f t="shared" si="178"/>
        <v>0</v>
      </c>
      <c r="DF83" s="915">
        <f t="shared" si="179"/>
        <v>0</v>
      </c>
      <c r="DG83" s="915">
        <f t="shared" si="180"/>
        <v>0</v>
      </c>
      <c r="DH83" s="915">
        <f t="shared" si="230"/>
        <v>0</v>
      </c>
      <c r="DI83" s="915">
        <f t="shared" si="231"/>
        <v>0</v>
      </c>
      <c r="DJ83" s="915">
        <f t="shared" si="232"/>
        <v>0</v>
      </c>
      <c r="DK83" s="915">
        <f t="shared" si="233"/>
        <v>0</v>
      </c>
      <c r="DL83" s="915">
        <f t="shared" si="234"/>
        <v>0</v>
      </c>
      <c r="DM83" s="915">
        <f t="shared" si="235"/>
        <v>0</v>
      </c>
      <c r="DN83" s="915">
        <f t="shared" si="236"/>
        <v>0</v>
      </c>
      <c r="DO83" s="915">
        <f t="shared" si="237"/>
        <v>0</v>
      </c>
      <c r="DP83" s="915">
        <f t="shared" si="238"/>
        <v>0</v>
      </c>
      <c r="DQ83" s="915">
        <f t="shared" si="239"/>
        <v>0</v>
      </c>
      <c r="DR83" s="915">
        <f t="shared" si="181"/>
        <v>0</v>
      </c>
      <c r="DS83" s="915">
        <f t="shared" si="182"/>
        <v>0</v>
      </c>
      <c r="DT83" s="915">
        <f t="shared" si="183"/>
        <v>0</v>
      </c>
      <c r="DU83" s="915">
        <f t="shared" si="184"/>
        <v>0</v>
      </c>
      <c r="DV83" s="915">
        <f t="shared" si="185"/>
        <v>0</v>
      </c>
      <c r="DW83" s="915">
        <f t="shared" si="186"/>
        <v>0</v>
      </c>
      <c r="DX83" s="915">
        <f t="shared" si="187"/>
        <v>0</v>
      </c>
      <c r="DY83" s="915">
        <f t="shared" si="188"/>
        <v>0</v>
      </c>
      <c r="DZ83" s="915">
        <f t="shared" si="189"/>
        <v>0</v>
      </c>
      <c r="EA83" s="915">
        <f t="shared" si="131"/>
        <v>0</v>
      </c>
      <c r="EB83" s="915">
        <f t="shared" si="240"/>
        <v>0</v>
      </c>
      <c r="EC83" s="915">
        <f t="shared" si="241"/>
        <v>0</v>
      </c>
      <c r="ED83" s="915">
        <f t="shared" si="242"/>
        <v>0</v>
      </c>
      <c r="EE83" s="915">
        <f t="shared" si="243"/>
        <v>0</v>
      </c>
      <c r="EF83" s="915">
        <f t="shared" si="244"/>
        <v>0</v>
      </c>
      <c r="EG83" s="915">
        <f t="shared" si="245"/>
        <v>0</v>
      </c>
      <c r="EH83" s="915">
        <f t="shared" si="246"/>
        <v>0</v>
      </c>
      <c r="EI83" s="915">
        <f t="shared" si="247"/>
        <v>0</v>
      </c>
      <c r="EJ83" s="915">
        <f t="shared" si="248"/>
        <v>0</v>
      </c>
      <c r="EK83" s="915">
        <f t="shared" si="249"/>
        <v>0</v>
      </c>
      <c r="EN83" s="533"/>
      <c r="EQ83" s="534"/>
    </row>
    <row r="84" spans="1:147" ht="14.1" customHeight="1" x14ac:dyDescent="0.2">
      <c r="A84" s="496">
        <v>77</v>
      </c>
      <c r="B84" s="1419"/>
      <c r="C84" s="1420"/>
      <c r="D84" s="264">
        <v>17</v>
      </c>
      <c r="E84" s="264" t="s">
        <v>167</v>
      </c>
      <c r="F84" s="270" t="s">
        <v>2544</v>
      </c>
      <c r="G84" s="271">
        <v>1</v>
      </c>
      <c r="H84" s="803">
        <v>10</v>
      </c>
      <c r="I84" s="800">
        <f t="shared" si="129"/>
        <v>0.6</v>
      </c>
      <c r="J84" s="269">
        <f t="shared" si="130"/>
        <v>10.6</v>
      </c>
      <c r="K84" s="225"/>
      <c r="L84" s="941" t="str">
        <f>TabName17 &amp; " - AIR"</f>
        <v>Phase 17 - AIR</v>
      </c>
      <c r="M84" s="951">
        <f>CT6</f>
        <v>10.6</v>
      </c>
      <c r="V84" s="915">
        <f t="shared" si="132"/>
        <v>0</v>
      </c>
      <c r="W84" s="915">
        <f t="shared" si="133"/>
        <v>0</v>
      </c>
      <c r="X84" s="915">
        <f t="shared" si="134"/>
        <v>0</v>
      </c>
      <c r="Y84" s="915">
        <f t="shared" si="135"/>
        <v>0</v>
      </c>
      <c r="Z84" s="915">
        <f t="shared" si="136"/>
        <v>0</v>
      </c>
      <c r="AA84" s="915">
        <f t="shared" si="137"/>
        <v>0</v>
      </c>
      <c r="AB84" s="915">
        <f t="shared" si="138"/>
        <v>0</v>
      </c>
      <c r="AC84" s="915">
        <f t="shared" si="139"/>
        <v>0</v>
      </c>
      <c r="AD84" s="915">
        <f t="shared" si="140"/>
        <v>0</v>
      </c>
      <c r="AE84" s="915">
        <f t="shared" si="141"/>
        <v>0</v>
      </c>
      <c r="AF84" s="915">
        <f t="shared" si="190"/>
        <v>0</v>
      </c>
      <c r="AG84" s="915">
        <f t="shared" si="191"/>
        <v>0</v>
      </c>
      <c r="AH84" s="915">
        <f t="shared" si="192"/>
        <v>0</v>
      </c>
      <c r="AI84" s="915">
        <f t="shared" si="193"/>
        <v>0</v>
      </c>
      <c r="AJ84" s="915">
        <f t="shared" si="194"/>
        <v>0</v>
      </c>
      <c r="AK84" s="915">
        <f t="shared" si="195"/>
        <v>0</v>
      </c>
      <c r="AL84" s="915">
        <f t="shared" si="196"/>
        <v>0</v>
      </c>
      <c r="AM84" s="915">
        <f t="shared" si="197"/>
        <v>0</v>
      </c>
      <c r="AN84" s="915">
        <f t="shared" si="198"/>
        <v>0</v>
      </c>
      <c r="AO84" s="915">
        <f t="shared" si="199"/>
        <v>0</v>
      </c>
      <c r="AP84" s="915">
        <f t="shared" si="142"/>
        <v>0</v>
      </c>
      <c r="AQ84" s="915">
        <f t="shared" si="143"/>
        <v>0</v>
      </c>
      <c r="AR84" s="915">
        <f t="shared" si="144"/>
        <v>0</v>
      </c>
      <c r="AS84" s="915">
        <f t="shared" si="145"/>
        <v>0</v>
      </c>
      <c r="AT84" s="915">
        <f t="shared" si="146"/>
        <v>0</v>
      </c>
      <c r="AU84" s="915">
        <f t="shared" si="147"/>
        <v>0</v>
      </c>
      <c r="AV84" s="915">
        <f t="shared" si="148"/>
        <v>0</v>
      </c>
      <c r="AW84" s="915">
        <f t="shared" si="149"/>
        <v>0</v>
      </c>
      <c r="AX84" s="915">
        <f t="shared" si="150"/>
        <v>0</v>
      </c>
      <c r="AY84" s="915">
        <f t="shared" si="200"/>
        <v>0</v>
      </c>
      <c r="AZ84" s="915">
        <f t="shared" si="201"/>
        <v>0</v>
      </c>
      <c r="BA84" s="915">
        <f t="shared" si="202"/>
        <v>0</v>
      </c>
      <c r="BB84" s="915">
        <f t="shared" si="203"/>
        <v>0</v>
      </c>
      <c r="BC84" s="915">
        <f t="shared" si="204"/>
        <v>0</v>
      </c>
      <c r="BD84" s="915">
        <f t="shared" si="205"/>
        <v>0</v>
      </c>
      <c r="BE84" s="915">
        <f t="shared" si="206"/>
        <v>0</v>
      </c>
      <c r="BF84" s="915">
        <f t="shared" si="207"/>
        <v>0</v>
      </c>
      <c r="BG84" s="915">
        <f t="shared" si="208"/>
        <v>0</v>
      </c>
      <c r="BH84" s="915">
        <f t="shared" si="209"/>
        <v>0</v>
      </c>
      <c r="BI84" s="915">
        <f t="shared" si="210"/>
        <v>0</v>
      </c>
      <c r="BJ84" s="915">
        <f t="shared" si="151"/>
        <v>0</v>
      </c>
      <c r="BK84" s="915">
        <f t="shared" si="152"/>
        <v>0</v>
      </c>
      <c r="BL84" s="915">
        <f t="shared" si="153"/>
        <v>0</v>
      </c>
      <c r="BM84" s="915">
        <f t="shared" si="154"/>
        <v>0</v>
      </c>
      <c r="BN84" s="915">
        <f t="shared" si="155"/>
        <v>0</v>
      </c>
      <c r="BO84" s="915">
        <f t="shared" si="156"/>
        <v>0</v>
      </c>
      <c r="BP84" s="915">
        <f t="shared" si="157"/>
        <v>0</v>
      </c>
      <c r="BQ84" s="915">
        <f t="shared" si="158"/>
        <v>0</v>
      </c>
      <c r="BR84" s="915">
        <f t="shared" si="159"/>
        <v>0</v>
      </c>
      <c r="BS84" s="915">
        <f t="shared" si="160"/>
        <v>0</v>
      </c>
      <c r="BT84" s="915">
        <f t="shared" si="211"/>
        <v>0</v>
      </c>
      <c r="BU84" s="915">
        <f t="shared" si="211"/>
        <v>0</v>
      </c>
      <c r="BV84" s="915">
        <f t="shared" si="212"/>
        <v>0</v>
      </c>
      <c r="BW84" s="915">
        <f t="shared" si="213"/>
        <v>0</v>
      </c>
      <c r="BX84" s="915">
        <f t="shared" si="214"/>
        <v>0</v>
      </c>
      <c r="BY84" s="915">
        <f t="shared" si="215"/>
        <v>0</v>
      </c>
      <c r="BZ84" s="915">
        <f t="shared" si="216"/>
        <v>0</v>
      </c>
      <c r="CA84" s="915">
        <f t="shared" si="217"/>
        <v>0</v>
      </c>
      <c r="CB84" s="915">
        <f t="shared" si="218"/>
        <v>0</v>
      </c>
      <c r="CC84" s="915">
        <f t="shared" si="219"/>
        <v>0</v>
      </c>
      <c r="CD84" s="915">
        <f t="shared" si="161"/>
        <v>0</v>
      </c>
      <c r="CE84" s="915">
        <f t="shared" si="162"/>
        <v>0</v>
      </c>
      <c r="CF84" s="915">
        <f t="shared" si="163"/>
        <v>0</v>
      </c>
      <c r="CG84" s="915">
        <f t="shared" si="164"/>
        <v>0</v>
      </c>
      <c r="CH84" s="915">
        <f t="shared" si="165"/>
        <v>0</v>
      </c>
      <c r="CI84" s="915">
        <f t="shared" si="166"/>
        <v>0</v>
      </c>
      <c r="CJ84" s="915">
        <f t="shared" si="167"/>
        <v>0</v>
      </c>
      <c r="CK84" s="915">
        <f t="shared" si="168"/>
        <v>0</v>
      </c>
      <c r="CL84" s="915">
        <f t="shared" si="169"/>
        <v>0</v>
      </c>
      <c r="CM84" s="915">
        <f t="shared" si="170"/>
        <v>0</v>
      </c>
      <c r="CN84" s="915">
        <f t="shared" si="220"/>
        <v>0</v>
      </c>
      <c r="CO84" s="915">
        <f t="shared" si="221"/>
        <v>0</v>
      </c>
      <c r="CP84" s="915">
        <f t="shared" si="222"/>
        <v>0</v>
      </c>
      <c r="CQ84" s="915">
        <f t="shared" si="223"/>
        <v>0</v>
      </c>
      <c r="CR84" s="915">
        <f t="shared" si="224"/>
        <v>0</v>
      </c>
      <c r="CS84" s="915">
        <f t="shared" si="225"/>
        <v>0</v>
      </c>
      <c r="CT84" s="915">
        <f t="shared" si="226"/>
        <v>10.6</v>
      </c>
      <c r="CU84" s="915">
        <f t="shared" si="227"/>
        <v>0</v>
      </c>
      <c r="CV84" s="915">
        <f t="shared" si="228"/>
        <v>0</v>
      </c>
      <c r="CW84" s="915">
        <f t="shared" si="229"/>
        <v>0</v>
      </c>
      <c r="CX84" s="915">
        <f t="shared" si="171"/>
        <v>0</v>
      </c>
      <c r="CY84" s="915">
        <f t="shared" si="172"/>
        <v>0</v>
      </c>
      <c r="CZ84" s="915">
        <f t="shared" si="173"/>
        <v>0</v>
      </c>
      <c r="DA84" s="915">
        <f t="shared" si="174"/>
        <v>0</v>
      </c>
      <c r="DB84" s="915">
        <f t="shared" si="175"/>
        <v>0</v>
      </c>
      <c r="DC84" s="915">
        <f t="shared" si="176"/>
        <v>0</v>
      </c>
      <c r="DD84" s="915">
        <f t="shared" si="177"/>
        <v>0</v>
      </c>
      <c r="DE84" s="915">
        <f t="shared" si="178"/>
        <v>0</v>
      </c>
      <c r="DF84" s="915">
        <f t="shared" si="179"/>
        <v>0</v>
      </c>
      <c r="DG84" s="915">
        <f t="shared" si="180"/>
        <v>0</v>
      </c>
      <c r="DH84" s="915">
        <f t="shared" si="230"/>
        <v>0</v>
      </c>
      <c r="DI84" s="915">
        <f t="shared" si="231"/>
        <v>0</v>
      </c>
      <c r="DJ84" s="915">
        <f t="shared" si="232"/>
        <v>0</v>
      </c>
      <c r="DK84" s="915">
        <f t="shared" si="233"/>
        <v>0</v>
      </c>
      <c r="DL84" s="915">
        <f t="shared" si="234"/>
        <v>0</v>
      </c>
      <c r="DM84" s="915">
        <f t="shared" si="235"/>
        <v>0</v>
      </c>
      <c r="DN84" s="915">
        <f t="shared" si="236"/>
        <v>0</v>
      </c>
      <c r="DO84" s="915">
        <f t="shared" si="237"/>
        <v>0</v>
      </c>
      <c r="DP84" s="915">
        <f t="shared" si="238"/>
        <v>0</v>
      </c>
      <c r="DQ84" s="915">
        <f t="shared" si="239"/>
        <v>0</v>
      </c>
      <c r="DR84" s="915">
        <f t="shared" si="181"/>
        <v>0</v>
      </c>
      <c r="DS84" s="915">
        <f t="shared" si="182"/>
        <v>0</v>
      </c>
      <c r="DT84" s="915">
        <f t="shared" si="183"/>
        <v>0</v>
      </c>
      <c r="DU84" s="915">
        <f t="shared" si="184"/>
        <v>0</v>
      </c>
      <c r="DV84" s="915">
        <f t="shared" si="185"/>
        <v>0</v>
      </c>
      <c r="DW84" s="915">
        <f t="shared" si="186"/>
        <v>0</v>
      </c>
      <c r="DX84" s="915">
        <f t="shared" si="187"/>
        <v>0</v>
      </c>
      <c r="DY84" s="915">
        <f t="shared" si="188"/>
        <v>0</v>
      </c>
      <c r="DZ84" s="915">
        <f t="shared" si="189"/>
        <v>0</v>
      </c>
      <c r="EA84" s="915">
        <f t="shared" si="131"/>
        <v>0</v>
      </c>
      <c r="EB84" s="915">
        <f t="shared" si="240"/>
        <v>0</v>
      </c>
      <c r="EC84" s="915">
        <f t="shared" si="241"/>
        <v>0</v>
      </c>
      <c r="ED84" s="915">
        <f t="shared" si="242"/>
        <v>0</v>
      </c>
      <c r="EE84" s="915">
        <f t="shared" si="243"/>
        <v>0</v>
      </c>
      <c r="EF84" s="915">
        <f t="shared" si="244"/>
        <v>0</v>
      </c>
      <c r="EG84" s="915">
        <f t="shared" si="245"/>
        <v>0</v>
      </c>
      <c r="EH84" s="915">
        <f t="shared" si="246"/>
        <v>0</v>
      </c>
      <c r="EI84" s="915">
        <f t="shared" si="247"/>
        <v>0</v>
      </c>
      <c r="EJ84" s="915">
        <f t="shared" si="248"/>
        <v>0</v>
      </c>
      <c r="EK84" s="915">
        <f t="shared" si="249"/>
        <v>0</v>
      </c>
      <c r="EN84" s="533"/>
      <c r="EQ84" s="534"/>
    </row>
    <row r="85" spans="1:147" ht="14.1" customHeight="1" x14ac:dyDescent="0.2">
      <c r="A85" s="1026">
        <v>78</v>
      </c>
      <c r="B85" s="1005"/>
      <c r="C85" s="1008"/>
      <c r="D85" s="138">
        <v>18</v>
      </c>
      <c r="E85" s="138" t="s">
        <v>167</v>
      </c>
      <c r="F85" s="139" t="s">
        <v>2544</v>
      </c>
      <c r="G85" s="91">
        <v>1</v>
      </c>
      <c r="H85" s="1022">
        <v>10</v>
      </c>
      <c r="I85" s="801">
        <f t="shared" si="129"/>
        <v>0.6</v>
      </c>
      <c r="J85" s="1021">
        <f t="shared" si="130"/>
        <v>10.6</v>
      </c>
      <c r="K85" s="225"/>
      <c r="L85" s="941" t="str">
        <f>TabName18 &amp; " - AIR"</f>
        <v>Phase 18 - AIR</v>
      </c>
      <c r="M85" s="951">
        <f>CU6</f>
        <v>10.6</v>
      </c>
      <c r="V85" s="915">
        <f t="shared" si="132"/>
        <v>0</v>
      </c>
      <c r="W85" s="915">
        <f t="shared" si="133"/>
        <v>0</v>
      </c>
      <c r="X85" s="915">
        <f t="shared" si="134"/>
        <v>0</v>
      </c>
      <c r="Y85" s="915">
        <f t="shared" si="135"/>
        <v>0</v>
      </c>
      <c r="Z85" s="915">
        <f t="shared" si="136"/>
        <v>0</v>
      </c>
      <c r="AA85" s="915">
        <f t="shared" si="137"/>
        <v>0</v>
      </c>
      <c r="AB85" s="915">
        <f t="shared" si="138"/>
        <v>0</v>
      </c>
      <c r="AC85" s="915">
        <f t="shared" si="139"/>
        <v>0</v>
      </c>
      <c r="AD85" s="915">
        <f t="shared" si="140"/>
        <v>0</v>
      </c>
      <c r="AE85" s="915">
        <f t="shared" si="141"/>
        <v>0</v>
      </c>
      <c r="AF85" s="915">
        <f t="shared" si="190"/>
        <v>0</v>
      </c>
      <c r="AG85" s="915">
        <f t="shared" si="191"/>
        <v>0</v>
      </c>
      <c r="AH85" s="915">
        <f t="shared" si="192"/>
        <v>0</v>
      </c>
      <c r="AI85" s="915">
        <f t="shared" si="193"/>
        <v>0</v>
      </c>
      <c r="AJ85" s="915">
        <f t="shared" si="194"/>
        <v>0</v>
      </c>
      <c r="AK85" s="915">
        <f t="shared" si="195"/>
        <v>0</v>
      </c>
      <c r="AL85" s="915">
        <f t="shared" si="196"/>
        <v>0</v>
      </c>
      <c r="AM85" s="915">
        <f t="shared" si="197"/>
        <v>0</v>
      </c>
      <c r="AN85" s="915">
        <f t="shared" si="198"/>
        <v>0</v>
      </c>
      <c r="AO85" s="915">
        <f t="shared" si="199"/>
        <v>0</v>
      </c>
      <c r="AP85" s="915">
        <f t="shared" si="142"/>
        <v>0</v>
      </c>
      <c r="AQ85" s="915">
        <f t="shared" si="143"/>
        <v>0</v>
      </c>
      <c r="AR85" s="915">
        <f t="shared" si="144"/>
        <v>0</v>
      </c>
      <c r="AS85" s="915">
        <f t="shared" si="145"/>
        <v>0</v>
      </c>
      <c r="AT85" s="915">
        <f t="shared" si="146"/>
        <v>0</v>
      </c>
      <c r="AU85" s="915">
        <f t="shared" si="147"/>
        <v>0</v>
      </c>
      <c r="AV85" s="915">
        <f t="shared" si="148"/>
        <v>0</v>
      </c>
      <c r="AW85" s="915">
        <f t="shared" si="149"/>
        <v>0</v>
      </c>
      <c r="AX85" s="915">
        <f t="shared" si="150"/>
        <v>0</v>
      </c>
      <c r="AY85" s="915">
        <f t="shared" si="200"/>
        <v>0</v>
      </c>
      <c r="AZ85" s="915">
        <f t="shared" si="201"/>
        <v>0</v>
      </c>
      <c r="BA85" s="915">
        <f t="shared" si="202"/>
        <v>0</v>
      </c>
      <c r="BB85" s="915">
        <f t="shared" si="203"/>
        <v>0</v>
      </c>
      <c r="BC85" s="915">
        <f t="shared" si="204"/>
        <v>0</v>
      </c>
      <c r="BD85" s="915">
        <f t="shared" si="205"/>
        <v>0</v>
      </c>
      <c r="BE85" s="915">
        <f t="shared" si="206"/>
        <v>0</v>
      </c>
      <c r="BF85" s="915">
        <f t="shared" si="207"/>
        <v>0</v>
      </c>
      <c r="BG85" s="915">
        <f t="shared" si="208"/>
        <v>0</v>
      </c>
      <c r="BH85" s="915">
        <f t="shared" si="209"/>
        <v>0</v>
      </c>
      <c r="BI85" s="915">
        <f t="shared" si="210"/>
        <v>0</v>
      </c>
      <c r="BJ85" s="915">
        <f t="shared" si="151"/>
        <v>0</v>
      </c>
      <c r="BK85" s="915">
        <f t="shared" si="152"/>
        <v>0</v>
      </c>
      <c r="BL85" s="915">
        <f t="shared" si="153"/>
        <v>0</v>
      </c>
      <c r="BM85" s="915">
        <f t="shared" si="154"/>
        <v>0</v>
      </c>
      <c r="BN85" s="915">
        <f t="shared" si="155"/>
        <v>0</v>
      </c>
      <c r="BO85" s="915">
        <f t="shared" si="156"/>
        <v>0</v>
      </c>
      <c r="BP85" s="915">
        <f t="shared" si="157"/>
        <v>0</v>
      </c>
      <c r="BQ85" s="915">
        <f t="shared" si="158"/>
        <v>0</v>
      </c>
      <c r="BR85" s="915">
        <f t="shared" si="159"/>
        <v>0</v>
      </c>
      <c r="BS85" s="915">
        <f t="shared" si="160"/>
        <v>0</v>
      </c>
      <c r="BT85" s="915">
        <f t="shared" si="211"/>
        <v>0</v>
      </c>
      <c r="BU85" s="915">
        <f t="shared" si="211"/>
        <v>0</v>
      </c>
      <c r="BV85" s="915">
        <f t="shared" si="212"/>
        <v>0</v>
      </c>
      <c r="BW85" s="915">
        <f t="shared" si="213"/>
        <v>0</v>
      </c>
      <c r="BX85" s="915">
        <f t="shared" si="214"/>
        <v>0</v>
      </c>
      <c r="BY85" s="915">
        <f t="shared" si="215"/>
        <v>0</v>
      </c>
      <c r="BZ85" s="915">
        <f t="shared" si="216"/>
        <v>0</v>
      </c>
      <c r="CA85" s="915">
        <f t="shared" si="217"/>
        <v>0</v>
      </c>
      <c r="CB85" s="915">
        <f t="shared" si="218"/>
        <v>0</v>
      </c>
      <c r="CC85" s="915">
        <f t="shared" si="219"/>
        <v>0</v>
      </c>
      <c r="CD85" s="915">
        <f t="shared" si="161"/>
        <v>0</v>
      </c>
      <c r="CE85" s="915">
        <f t="shared" si="162"/>
        <v>0</v>
      </c>
      <c r="CF85" s="915">
        <f t="shared" si="163"/>
        <v>0</v>
      </c>
      <c r="CG85" s="915">
        <f t="shared" si="164"/>
        <v>0</v>
      </c>
      <c r="CH85" s="915">
        <f t="shared" si="165"/>
        <v>0</v>
      </c>
      <c r="CI85" s="915">
        <f t="shared" si="166"/>
        <v>0</v>
      </c>
      <c r="CJ85" s="915">
        <f t="shared" si="167"/>
        <v>0</v>
      </c>
      <c r="CK85" s="915">
        <f t="shared" si="168"/>
        <v>0</v>
      </c>
      <c r="CL85" s="915">
        <f t="shared" si="169"/>
        <v>0</v>
      </c>
      <c r="CM85" s="915">
        <f t="shared" si="170"/>
        <v>0</v>
      </c>
      <c r="CN85" s="915">
        <f t="shared" si="220"/>
        <v>0</v>
      </c>
      <c r="CO85" s="915">
        <f t="shared" si="221"/>
        <v>0</v>
      </c>
      <c r="CP85" s="915">
        <f t="shared" si="222"/>
        <v>0</v>
      </c>
      <c r="CQ85" s="915">
        <f t="shared" si="223"/>
        <v>0</v>
      </c>
      <c r="CR85" s="915">
        <f t="shared" si="224"/>
        <v>0</v>
      </c>
      <c r="CS85" s="915">
        <f t="shared" si="225"/>
        <v>0</v>
      </c>
      <c r="CT85" s="915">
        <f t="shared" si="226"/>
        <v>0</v>
      </c>
      <c r="CU85" s="915">
        <f t="shared" si="227"/>
        <v>10.6</v>
      </c>
      <c r="CV85" s="915">
        <f t="shared" si="228"/>
        <v>0</v>
      </c>
      <c r="CW85" s="915">
        <f t="shared" si="229"/>
        <v>0</v>
      </c>
      <c r="CX85" s="915">
        <f t="shared" si="171"/>
        <v>0</v>
      </c>
      <c r="CY85" s="915">
        <f t="shared" si="172"/>
        <v>0</v>
      </c>
      <c r="CZ85" s="915">
        <f t="shared" si="173"/>
        <v>0</v>
      </c>
      <c r="DA85" s="915">
        <f t="shared" si="174"/>
        <v>0</v>
      </c>
      <c r="DB85" s="915">
        <f t="shared" si="175"/>
        <v>0</v>
      </c>
      <c r="DC85" s="915">
        <f t="shared" si="176"/>
        <v>0</v>
      </c>
      <c r="DD85" s="915">
        <f t="shared" si="177"/>
        <v>0</v>
      </c>
      <c r="DE85" s="915">
        <f t="shared" si="178"/>
        <v>0</v>
      </c>
      <c r="DF85" s="915">
        <f t="shared" si="179"/>
        <v>0</v>
      </c>
      <c r="DG85" s="915">
        <f t="shared" si="180"/>
        <v>0</v>
      </c>
      <c r="DH85" s="915">
        <f t="shared" si="230"/>
        <v>0</v>
      </c>
      <c r="DI85" s="915">
        <f t="shared" si="231"/>
        <v>0</v>
      </c>
      <c r="DJ85" s="915">
        <f t="shared" si="232"/>
        <v>0</v>
      </c>
      <c r="DK85" s="915">
        <f t="shared" si="233"/>
        <v>0</v>
      </c>
      <c r="DL85" s="915">
        <f t="shared" si="234"/>
        <v>0</v>
      </c>
      <c r="DM85" s="915">
        <f t="shared" si="235"/>
        <v>0</v>
      </c>
      <c r="DN85" s="915">
        <f t="shared" si="236"/>
        <v>0</v>
      </c>
      <c r="DO85" s="915">
        <f t="shared" si="237"/>
        <v>0</v>
      </c>
      <c r="DP85" s="915">
        <f t="shared" si="238"/>
        <v>0</v>
      </c>
      <c r="DQ85" s="915">
        <f t="shared" si="239"/>
        <v>0</v>
      </c>
      <c r="DR85" s="915">
        <f t="shared" si="181"/>
        <v>0</v>
      </c>
      <c r="DS85" s="915">
        <f t="shared" si="182"/>
        <v>0</v>
      </c>
      <c r="DT85" s="915">
        <f t="shared" si="183"/>
        <v>0</v>
      </c>
      <c r="DU85" s="915">
        <f t="shared" si="184"/>
        <v>0</v>
      </c>
      <c r="DV85" s="915">
        <f t="shared" si="185"/>
        <v>0</v>
      </c>
      <c r="DW85" s="915">
        <f t="shared" si="186"/>
        <v>0</v>
      </c>
      <c r="DX85" s="915">
        <f t="shared" si="187"/>
        <v>0</v>
      </c>
      <c r="DY85" s="915">
        <f t="shared" si="188"/>
        <v>0</v>
      </c>
      <c r="DZ85" s="915">
        <f t="shared" si="189"/>
        <v>0</v>
      </c>
      <c r="EA85" s="915">
        <f t="shared" si="131"/>
        <v>0</v>
      </c>
      <c r="EB85" s="915">
        <f t="shared" si="240"/>
        <v>0</v>
      </c>
      <c r="EC85" s="915">
        <f t="shared" si="241"/>
        <v>0</v>
      </c>
      <c r="ED85" s="915">
        <f t="shared" si="242"/>
        <v>0</v>
      </c>
      <c r="EE85" s="915">
        <f t="shared" si="243"/>
        <v>0</v>
      </c>
      <c r="EF85" s="915">
        <f t="shared" si="244"/>
        <v>0</v>
      </c>
      <c r="EG85" s="915">
        <f t="shared" si="245"/>
        <v>0</v>
      </c>
      <c r="EH85" s="915">
        <f t="shared" si="246"/>
        <v>0</v>
      </c>
      <c r="EI85" s="915">
        <f t="shared" si="247"/>
        <v>0</v>
      </c>
      <c r="EJ85" s="915">
        <f t="shared" si="248"/>
        <v>0</v>
      </c>
      <c r="EK85" s="915">
        <f t="shared" si="249"/>
        <v>0</v>
      </c>
      <c r="EN85" s="533"/>
      <c r="EQ85" s="534"/>
    </row>
    <row r="86" spans="1:147" ht="15.75" customHeight="1" x14ac:dyDescent="0.2">
      <c r="A86" s="496">
        <v>79</v>
      </c>
      <c r="B86" s="1419"/>
      <c r="C86" s="1420"/>
      <c r="D86" s="264">
        <v>19</v>
      </c>
      <c r="E86" s="264" t="s">
        <v>167</v>
      </c>
      <c r="F86" s="270" t="s">
        <v>2544</v>
      </c>
      <c r="G86" s="271">
        <v>1</v>
      </c>
      <c r="H86" s="803">
        <v>10</v>
      </c>
      <c r="I86" s="800">
        <f t="shared" ref="I86:I127" si="250">IF(OR(LEFT(E86,1)="I",LEFT(E86,1)="U"),0,IF(ISTEXT(K86),0,StateTaxLab*G86*H86))</f>
        <v>0.6</v>
      </c>
      <c r="J86" s="269">
        <f t="shared" si="130"/>
        <v>10.6</v>
      </c>
      <c r="K86" s="225"/>
      <c r="L86" s="941" t="str">
        <f>TabName19 &amp; " - AIR"</f>
        <v>Phase 19 - AIR</v>
      </c>
      <c r="M86" s="951">
        <f>CV6</f>
        <v>10.6</v>
      </c>
      <c r="V86" s="915">
        <f t="shared" si="132"/>
        <v>0</v>
      </c>
      <c r="W86" s="915">
        <f t="shared" si="133"/>
        <v>0</v>
      </c>
      <c r="X86" s="915">
        <f t="shared" si="134"/>
        <v>0</v>
      </c>
      <c r="Y86" s="915">
        <f t="shared" si="135"/>
        <v>0</v>
      </c>
      <c r="Z86" s="915">
        <f t="shared" si="136"/>
        <v>0</v>
      </c>
      <c r="AA86" s="915">
        <f t="shared" si="137"/>
        <v>0</v>
      </c>
      <c r="AB86" s="915">
        <f t="shared" si="138"/>
        <v>0</v>
      </c>
      <c r="AC86" s="915">
        <f t="shared" si="139"/>
        <v>0</v>
      </c>
      <c r="AD86" s="915">
        <f t="shared" si="140"/>
        <v>0</v>
      </c>
      <c r="AE86" s="915">
        <f t="shared" si="141"/>
        <v>0</v>
      </c>
      <c r="AF86" s="915">
        <f t="shared" si="190"/>
        <v>0</v>
      </c>
      <c r="AG86" s="915">
        <f t="shared" si="191"/>
        <v>0</v>
      </c>
      <c r="AH86" s="915">
        <f t="shared" si="192"/>
        <v>0</v>
      </c>
      <c r="AI86" s="915">
        <f t="shared" si="193"/>
        <v>0</v>
      </c>
      <c r="AJ86" s="915">
        <f t="shared" si="194"/>
        <v>0</v>
      </c>
      <c r="AK86" s="915">
        <f t="shared" si="195"/>
        <v>0</v>
      </c>
      <c r="AL86" s="915">
        <f t="shared" si="196"/>
        <v>0</v>
      </c>
      <c r="AM86" s="915">
        <f t="shared" si="197"/>
        <v>0</v>
      </c>
      <c r="AN86" s="915">
        <f t="shared" si="198"/>
        <v>0</v>
      </c>
      <c r="AO86" s="915">
        <f t="shared" si="199"/>
        <v>0</v>
      </c>
      <c r="AP86" s="915">
        <f t="shared" si="142"/>
        <v>0</v>
      </c>
      <c r="AQ86" s="915">
        <f t="shared" si="143"/>
        <v>0</v>
      </c>
      <c r="AR86" s="915">
        <f t="shared" si="144"/>
        <v>0</v>
      </c>
      <c r="AS86" s="915">
        <f t="shared" si="145"/>
        <v>0</v>
      </c>
      <c r="AT86" s="915">
        <f t="shared" si="146"/>
        <v>0</v>
      </c>
      <c r="AU86" s="915">
        <f t="shared" si="147"/>
        <v>0</v>
      </c>
      <c r="AV86" s="915">
        <f t="shared" si="148"/>
        <v>0</v>
      </c>
      <c r="AW86" s="915">
        <f t="shared" si="149"/>
        <v>0</v>
      </c>
      <c r="AX86" s="915">
        <f t="shared" si="150"/>
        <v>0</v>
      </c>
      <c r="AY86" s="915">
        <f t="shared" si="200"/>
        <v>0</v>
      </c>
      <c r="AZ86" s="915">
        <f t="shared" si="201"/>
        <v>0</v>
      </c>
      <c r="BA86" s="915">
        <f t="shared" si="202"/>
        <v>0</v>
      </c>
      <c r="BB86" s="915">
        <f t="shared" si="203"/>
        <v>0</v>
      </c>
      <c r="BC86" s="915">
        <f t="shared" si="204"/>
        <v>0</v>
      </c>
      <c r="BD86" s="915">
        <f t="shared" si="205"/>
        <v>0</v>
      </c>
      <c r="BE86" s="915">
        <f t="shared" si="206"/>
        <v>0</v>
      </c>
      <c r="BF86" s="915">
        <f t="shared" si="207"/>
        <v>0</v>
      </c>
      <c r="BG86" s="915">
        <f t="shared" si="208"/>
        <v>0</v>
      </c>
      <c r="BH86" s="915">
        <f t="shared" si="209"/>
        <v>0</v>
      </c>
      <c r="BI86" s="915">
        <f t="shared" si="210"/>
        <v>0</v>
      </c>
      <c r="BJ86" s="915">
        <f t="shared" si="151"/>
        <v>0</v>
      </c>
      <c r="BK86" s="915">
        <f t="shared" si="152"/>
        <v>0</v>
      </c>
      <c r="BL86" s="915">
        <f t="shared" si="153"/>
        <v>0</v>
      </c>
      <c r="BM86" s="915">
        <f t="shared" si="154"/>
        <v>0</v>
      </c>
      <c r="BN86" s="915">
        <f t="shared" si="155"/>
        <v>0</v>
      </c>
      <c r="BO86" s="915">
        <f t="shared" si="156"/>
        <v>0</v>
      </c>
      <c r="BP86" s="915">
        <f t="shared" si="157"/>
        <v>0</v>
      </c>
      <c r="BQ86" s="915">
        <f t="shared" si="158"/>
        <v>0</v>
      </c>
      <c r="BR86" s="915">
        <f t="shared" si="159"/>
        <v>0</v>
      </c>
      <c r="BS86" s="915">
        <f t="shared" si="160"/>
        <v>0</v>
      </c>
      <c r="BT86" s="915">
        <f t="shared" si="211"/>
        <v>0</v>
      </c>
      <c r="BU86" s="915">
        <f t="shared" si="211"/>
        <v>0</v>
      </c>
      <c r="BV86" s="915">
        <f t="shared" si="212"/>
        <v>0</v>
      </c>
      <c r="BW86" s="915">
        <f t="shared" si="213"/>
        <v>0</v>
      </c>
      <c r="BX86" s="915">
        <f t="shared" si="214"/>
        <v>0</v>
      </c>
      <c r="BY86" s="915">
        <f t="shared" si="215"/>
        <v>0</v>
      </c>
      <c r="BZ86" s="915">
        <f t="shared" si="216"/>
        <v>0</v>
      </c>
      <c r="CA86" s="915">
        <f t="shared" si="217"/>
        <v>0</v>
      </c>
      <c r="CB86" s="915">
        <f t="shared" si="218"/>
        <v>0</v>
      </c>
      <c r="CC86" s="915">
        <f t="shared" si="219"/>
        <v>0</v>
      </c>
      <c r="CD86" s="915">
        <f t="shared" si="161"/>
        <v>0</v>
      </c>
      <c r="CE86" s="915">
        <f t="shared" si="162"/>
        <v>0</v>
      </c>
      <c r="CF86" s="915">
        <f t="shared" si="163"/>
        <v>0</v>
      </c>
      <c r="CG86" s="915">
        <f t="shared" si="164"/>
        <v>0</v>
      </c>
      <c r="CH86" s="915">
        <f t="shared" si="165"/>
        <v>0</v>
      </c>
      <c r="CI86" s="915">
        <f t="shared" si="166"/>
        <v>0</v>
      </c>
      <c r="CJ86" s="915">
        <f t="shared" si="167"/>
        <v>0</v>
      </c>
      <c r="CK86" s="915">
        <f t="shared" si="168"/>
        <v>0</v>
      </c>
      <c r="CL86" s="915">
        <f t="shared" si="169"/>
        <v>0</v>
      </c>
      <c r="CM86" s="915">
        <f t="shared" si="170"/>
        <v>0</v>
      </c>
      <c r="CN86" s="915">
        <f t="shared" si="220"/>
        <v>0</v>
      </c>
      <c r="CO86" s="915">
        <f t="shared" si="221"/>
        <v>0</v>
      </c>
      <c r="CP86" s="915">
        <f t="shared" si="222"/>
        <v>0</v>
      </c>
      <c r="CQ86" s="915">
        <f t="shared" si="223"/>
        <v>0</v>
      </c>
      <c r="CR86" s="915">
        <f t="shared" si="224"/>
        <v>0</v>
      </c>
      <c r="CS86" s="915">
        <f t="shared" si="225"/>
        <v>0</v>
      </c>
      <c r="CT86" s="915">
        <f t="shared" si="226"/>
        <v>0</v>
      </c>
      <c r="CU86" s="915">
        <f t="shared" si="227"/>
        <v>0</v>
      </c>
      <c r="CV86" s="915">
        <f t="shared" si="228"/>
        <v>10.6</v>
      </c>
      <c r="CW86" s="915">
        <f t="shared" si="229"/>
        <v>0</v>
      </c>
      <c r="CX86" s="915">
        <f t="shared" si="171"/>
        <v>0</v>
      </c>
      <c r="CY86" s="915">
        <f t="shared" si="172"/>
        <v>0</v>
      </c>
      <c r="CZ86" s="915">
        <f t="shared" si="173"/>
        <v>0</v>
      </c>
      <c r="DA86" s="915">
        <f t="shared" si="174"/>
        <v>0</v>
      </c>
      <c r="DB86" s="915">
        <f t="shared" si="175"/>
        <v>0</v>
      </c>
      <c r="DC86" s="915">
        <f t="shared" si="176"/>
        <v>0</v>
      </c>
      <c r="DD86" s="915">
        <f t="shared" si="177"/>
        <v>0</v>
      </c>
      <c r="DE86" s="915">
        <f t="shared" si="178"/>
        <v>0</v>
      </c>
      <c r="DF86" s="915">
        <f t="shared" si="179"/>
        <v>0</v>
      </c>
      <c r="DG86" s="915">
        <f t="shared" si="180"/>
        <v>0</v>
      </c>
      <c r="DH86" s="915">
        <f t="shared" si="230"/>
        <v>0</v>
      </c>
      <c r="DI86" s="915">
        <f t="shared" si="231"/>
        <v>0</v>
      </c>
      <c r="DJ86" s="915">
        <f t="shared" si="232"/>
        <v>0</v>
      </c>
      <c r="DK86" s="915">
        <f t="shared" si="233"/>
        <v>0</v>
      </c>
      <c r="DL86" s="915">
        <f t="shared" si="234"/>
        <v>0</v>
      </c>
      <c r="DM86" s="915">
        <f t="shared" si="235"/>
        <v>0</v>
      </c>
      <c r="DN86" s="915">
        <f t="shared" si="236"/>
        <v>0</v>
      </c>
      <c r="DO86" s="915">
        <f t="shared" si="237"/>
        <v>0</v>
      </c>
      <c r="DP86" s="915">
        <f t="shared" si="238"/>
        <v>0</v>
      </c>
      <c r="DQ86" s="915">
        <f t="shared" si="239"/>
        <v>0</v>
      </c>
      <c r="DR86" s="915">
        <f t="shared" si="181"/>
        <v>0</v>
      </c>
      <c r="DS86" s="915">
        <f t="shared" si="182"/>
        <v>0</v>
      </c>
      <c r="DT86" s="915">
        <f t="shared" si="183"/>
        <v>0</v>
      </c>
      <c r="DU86" s="915">
        <f t="shared" si="184"/>
        <v>0</v>
      </c>
      <c r="DV86" s="915">
        <f t="shared" si="185"/>
        <v>0</v>
      </c>
      <c r="DW86" s="915">
        <f t="shared" si="186"/>
        <v>0</v>
      </c>
      <c r="DX86" s="915">
        <f t="shared" si="187"/>
        <v>0</v>
      </c>
      <c r="DY86" s="915">
        <f t="shared" si="188"/>
        <v>0</v>
      </c>
      <c r="DZ86" s="915">
        <f t="shared" si="189"/>
        <v>0</v>
      </c>
      <c r="EA86" s="915">
        <f t="shared" si="131"/>
        <v>0</v>
      </c>
      <c r="EB86" s="915">
        <f t="shared" si="240"/>
        <v>0</v>
      </c>
      <c r="EC86" s="915">
        <f t="shared" si="241"/>
        <v>0</v>
      </c>
      <c r="ED86" s="915">
        <f t="shared" si="242"/>
        <v>0</v>
      </c>
      <c r="EE86" s="915">
        <f t="shared" si="243"/>
        <v>0</v>
      </c>
      <c r="EF86" s="915">
        <f t="shared" si="244"/>
        <v>0</v>
      </c>
      <c r="EG86" s="915">
        <f t="shared" si="245"/>
        <v>0</v>
      </c>
      <c r="EH86" s="915">
        <f t="shared" si="246"/>
        <v>0</v>
      </c>
      <c r="EI86" s="915">
        <f t="shared" si="247"/>
        <v>0</v>
      </c>
      <c r="EJ86" s="915">
        <f t="shared" si="248"/>
        <v>0</v>
      </c>
      <c r="EK86" s="915">
        <f t="shared" si="249"/>
        <v>0</v>
      </c>
      <c r="EN86" s="533"/>
      <c r="EQ86" s="534"/>
    </row>
    <row r="87" spans="1:147" ht="15.75" customHeight="1" x14ac:dyDescent="0.2">
      <c r="A87" s="1026">
        <v>80</v>
      </c>
      <c r="B87" s="1005"/>
      <c r="C87" s="1008"/>
      <c r="D87" s="138">
        <v>20</v>
      </c>
      <c r="E87" s="138" t="s">
        <v>167</v>
      </c>
      <c r="F87" s="139" t="s">
        <v>2544</v>
      </c>
      <c r="G87" s="91">
        <v>1</v>
      </c>
      <c r="H87" s="802">
        <v>10</v>
      </c>
      <c r="I87" s="801">
        <f t="shared" si="250"/>
        <v>0.6</v>
      </c>
      <c r="J87" s="1021">
        <f t="shared" si="130"/>
        <v>10.6</v>
      </c>
      <c r="K87" s="225"/>
      <c r="L87" s="941" t="str">
        <f>TabName20 &amp; " - AIR"</f>
        <v>Phase 20 - AIR</v>
      </c>
      <c r="M87" s="951">
        <f>CW6</f>
        <v>10.6</v>
      </c>
      <c r="V87" s="915">
        <f t="shared" si="132"/>
        <v>0</v>
      </c>
      <c r="W87" s="915">
        <f t="shared" si="133"/>
        <v>0</v>
      </c>
      <c r="X87" s="915">
        <f t="shared" si="134"/>
        <v>0</v>
      </c>
      <c r="Y87" s="915">
        <f t="shared" si="135"/>
        <v>0</v>
      </c>
      <c r="Z87" s="915">
        <f t="shared" si="136"/>
        <v>0</v>
      </c>
      <c r="AA87" s="915">
        <f t="shared" si="137"/>
        <v>0</v>
      </c>
      <c r="AB87" s="915">
        <f t="shared" si="138"/>
        <v>0</v>
      </c>
      <c r="AC87" s="915">
        <f t="shared" si="139"/>
        <v>0</v>
      </c>
      <c r="AD87" s="915">
        <f t="shared" si="140"/>
        <v>0</v>
      </c>
      <c r="AE87" s="915">
        <f t="shared" si="141"/>
        <v>0</v>
      </c>
      <c r="AF87" s="915">
        <f t="shared" si="190"/>
        <v>0</v>
      </c>
      <c r="AG87" s="915">
        <f t="shared" si="191"/>
        <v>0</v>
      </c>
      <c r="AH87" s="915">
        <f t="shared" si="192"/>
        <v>0</v>
      </c>
      <c r="AI87" s="915">
        <f t="shared" si="193"/>
        <v>0</v>
      </c>
      <c r="AJ87" s="915">
        <f t="shared" si="194"/>
        <v>0</v>
      </c>
      <c r="AK87" s="915">
        <f t="shared" si="195"/>
        <v>0</v>
      </c>
      <c r="AL87" s="915">
        <f t="shared" si="196"/>
        <v>0</v>
      </c>
      <c r="AM87" s="915">
        <f t="shared" si="197"/>
        <v>0</v>
      </c>
      <c r="AN87" s="915">
        <f t="shared" si="198"/>
        <v>0</v>
      </c>
      <c r="AO87" s="915">
        <f t="shared" si="199"/>
        <v>0</v>
      </c>
      <c r="AP87" s="915">
        <f t="shared" si="142"/>
        <v>0</v>
      </c>
      <c r="AQ87" s="915">
        <f t="shared" si="143"/>
        <v>0</v>
      </c>
      <c r="AR87" s="915">
        <f t="shared" si="144"/>
        <v>0</v>
      </c>
      <c r="AS87" s="915">
        <f t="shared" si="145"/>
        <v>0</v>
      </c>
      <c r="AT87" s="915">
        <f t="shared" si="146"/>
        <v>0</v>
      </c>
      <c r="AU87" s="915">
        <f t="shared" si="147"/>
        <v>0</v>
      </c>
      <c r="AV87" s="915">
        <f t="shared" si="148"/>
        <v>0</v>
      </c>
      <c r="AW87" s="915">
        <f t="shared" si="149"/>
        <v>0</v>
      </c>
      <c r="AX87" s="915">
        <f t="shared" si="150"/>
        <v>0</v>
      </c>
      <c r="AY87" s="915">
        <f t="shared" si="200"/>
        <v>0</v>
      </c>
      <c r="AZ87" s="915">
        <f t="shared" si="201"/>
        <v>0</v>
      </c>
      <c r="BA87" s="915">
        <f t="shared" si="202"/>
        <v>0</v>
      </c>
      <c r="BB87" s="915">
        <f t="shared" si="203"/>
        <v>0</v>
      </c>
      <c r="BC87" s="915">
        <f t="shared" si="204"/>
        <v>0</v>
      </c>
      <c r="BD87" s="915">
        <f t="shared" si="205"/>
        <v>0</v>
      </c>
      <c r="BE87" s="915">
        <f t="shared" si="206"/>
        <v>0</v>
      </c>
      <c r="BF87" s="915">
        <f t="shared" si="207"/>
        <v>0</v>
      </c>
      <c r="BG87" s="915">
        <f t="shared" si="208"/>
        <v>0</v>
      </c>
      <c r="BH87" s="915">
        <f t="shared" si="209"/>
        <v>0</v>
      </c>
      <c r="BI87" s="915">
        <f t="shared" si="210"/>
        <v>0</v>
      </c>
      <c r="BJ87" s="915">
        <f t="shared" si="151"/>
        <v>0</v>
      </c>
      <c r="BK87" s="915">
        <f t="shared" si="152"/>
        <v>0</v>
      </c>
      <c r="BL87" s="915">
        <f t="shared" si="153"/>
        <v>0</v>
      </c>
      <c r="BM87" s="915">
        <f t="shared" si="154"/>
        <v>0</v>
      </c>
      <c r="BN87" s="915">
        <f t="shared" si="155"/>
        <v>0</v>
      </c>
      <c r="BO87" s="915">
        <f t="shared" si="156"/>
        <v>0</v>
      </c>
      <c r="BP87" s="915">
        <f t="shared" si="157"/>
        <v>0</v>
      </c>
      <c r="BQ87" s="915">
        <f t="shared" si="158"/>
        <v>0</v>
      </c>
      <c r="BR87" s="915">
        <f t="shared" si="159"/>
        <v>0</v>
      </c>
      <c r="BS87" s="915">
        <f t="shared" si="160"/>
        <v>0</v>
      </c>
      <c r="BT87" s="915">
        <f t="shared" si="211"/>
        <v>0</v>
      </c>
      <c r="BU87" s="915">
        <f t="shared" si="211"/>
        <v>0</v>
      </c>
      <c r="BV87" s="915">
        <f t="shared" si="212"/>
        <v>0</v>
      </c>
      <c r="BW87" s="915">
        <f t="shared" si="213"/>
        <v>0</v>
      </c>
      <c r="BX87" s="915">
        <f t="shared" si="214"/>
        <v>0</v>
      </c>
      <c r="BY87" s="915">
        <f t="shared" si="215"/>
        <v>0</v>
      </c>
      <c r="BZ87" s="915">
        <f t="shared" si="216"/>
        <v>0</v>
      </c>
      <c r="CA87" s="915">
        <f t="shared" si="217"/>
        <v>0</v>
      </c>
      <c r="CB87" s="915">
        <f t="shared" si="218"/>
        <v>0</v>
      </c>
      <c r="CC87" s="915">
        <f t="shared" si="219"/>
        <v>0</v>
      </c>
      <c r="CD87" s="915">
        <f t="shared" si="161"/>
        <v>0</v>
      </c>
      <c r="CE87" s="915">
        <f t="shared" si="162"/>
        <v>0</v>
      </c>
      <c r="CF87" s="915">
        <f t="shared" si="163"/>
        <v>0</v>
      </c>
      <c r="CG87" s="915">
        <f t="shared" si="164"/>
        <v>0</v>
      </c>
      <c r="CH87" s="915">
        <f t="shared" si="165"/>
        <v>0</v>
      </c>
      <c r="CI87" s="915">
        <f t="shared" si="166"/>
        <v>0</v>
      </c>
      <c r="CJ87" s="915">
        <f t="shared" si="167"/>
        <v>0</v>
      </c>
      <c r="CK87" s="915">
        <f t="shared" si="168"/>
        <v>0</v>
      </c>
      <c r="CL87" s="915">
        <f t="shared" si="169"/>
        <v>0</v>
      </c>
      <c r="CM87" s="915">
        <f t="shared" si="170"/>
        <v>0</v>
      </c>
      <c r="CN87" s="915">
        <f t="shared" si="220"/>
        <v>0</v>
      </c>
      <c r="CO87" s="915">
        <f t="shared" si="221"/>
        <v>0</v>
      </c>
      <c r="CP87" s="915">
        <f t="shared" si="222"/>
        <v>0</v>
      </c>
      <c r="CQ87" s="915">
        <f t="shared" si="223"/>
        <v>0</v>
      </c>
      <c r="CR87" s="915">
        <f t="shared" si="224"/>
        <v>0</v>
      </c>
      <c r="CS87" s="915">
        <f t="shared" si="225"/>
        <v>0</v>
      </c>
      <c r="CT87" s="915">
        <f t="shared" si="226"/>
        <v>0</v>
      </c>
      <c r="CU87" s="915">
        <f t="shared" si="227"/>
        <v>0</v>
      </c>
      <c r="CV87" s="915">
        <f t="shared" si="228"/>
        <v>0</v>
      </c>
      <c r="CW87" s="915">
        <f t="shared" si="229"/>
        <v>10.6</v>
      </c>
      <c r="CX87" s="915">
        <f t="shared" si="171"/>
        <v>0</v>
      </c>
      <c r="CY87" s="915">
        <f t="shared" si="172"/>
        <v>0</v>
      </c>
      <c r="CZ87" s="915">
        <f t="shared" si="173"/>
        <v>0</v>
      </c>
      <c r="DA87" s="915">
        <f t="shared" si="174"/>
        <v>0</v>
      </c>
      <c r="DB87" s="915">
        <f t="shared" si="175"/>
        <v>0</v>
      </c>
      <c r="DC87" s="915">
        <f t="shared" si="176"/>
        <v>0</v>
      </c>
      <c r="DD87" s="915">
        <f t="shared" si="177"/>
        <v>0</v>
      </c>
      <c r="DE87" s="915">
        <f t="shared" si="178"/>
        <v>0</v>
      </c>
      <c r="DF87" s="915">
        <f t="shared" si="179"/>
        <v>0</v>
      </c>
      <c r="DG87" s="915">
        <f t="shared" si="180"/>
        <v>0</v>
      </c>
      <c r="DH87" s="915">
        <f t="shared" si="230"/>
        <v>0</v>
      </c>
      <c r="DI87" s="915">
        <f t="shared" si="231"/>
        <v>0</v>
      </c>
      <c r="DJ87" s="915">
        <f t="shared" si="232"/>
        <v>0</v>
      </c>
      <c r="DK87" s="915">
        <f t="shared" si="233"/>
        <v>0</v>
      </c>
      <c r="DL87" s="915">
        <f t="shared" si="234"/>
        <v>0</v>
      </c>
      <c r="DM87" s="915">
        <f t="shared" si="235"/>
        <v>0</v>
      </c>
      <c r="DN87" s="915">
        <f t="shared" si="236"/>
        <v>0</v>
      </c>
      <c r="DO87" s="915">
        <f t="shared" si="237"/>
        <v>0</v>
      </c>
      <c r="DP87" s="915">
        <f t="shared" si="238"/>
        <v>0</v>
      </c>
      <c r="DQ87" s="915">
        <f t="shared" si="239"/>
        <v>0</v>
      </c>
      <c r="DR87" s="915">
        <f t="shared" si="181"/>
        <v>0</v>
      </c>
      <c r="DS87" s="915">
        <f t="shared" si="182"/>
        <v>0</v>
      </c>
      <c r="DT87" s="915">
        <f t="shared" si="183"/>
        <v>0</v>
      </c>
      <c r="DU87" s="915">
        <f t="shared" si="184"/>
        <v>0</v>
      </c>
      <c r="DV87" s="915">
        <f t="shared" si="185"/>
        <v>0</v>
      </c>
      <c r="DW87" s="915">
        <f t="shared" si="186"/>
        <v>0</v>
      </c>
      <c r="DX87" s="915">
        <f t="shared" si="187"/>
        <v>0</v>
      </c>
      <c r="DY87" s="915">
        <f t="shared" si="188"/>
        <v>0</v>
      </c>
      <c r="DZ87" s="915">
        <f t="shared" si="189"/>
        <v>0</v>
      </c>
      <c r="EA87" s="915">
        <f t="shared" si="131"/>
        <v>0</v>
      </c>
      <c r="EB87" s="915">
        <f t="shared" si="240"/>
        <v>0</v>
      </c>
      <c r="EC87" s="915">
        <f t="shared" si="241"/>
        <v>0</v>
      </c>
      <c r="ED87" s="915">
        <f t="shared" si="242"/>
        <v>0</v>
      </c>
      <c r="EE87" s="915">
        <f t="shared" si="243"/>
        <v>0</v>
      </c>
      <c r="EF87" s="915">
        <f t="shared" si="244"/>
        <v>0</v>
      </c>
      <c r="EG87" s="915">
        <f t="shared" si="245"/>
        <v>0</v>
      </c>
      <c r="EH87" s="915">
        <f t="shared" si="246"/>
        <v>0</v>
      </c>
      <c r="EI87" s="915">
        <f t="shared" si="247"/>
        <v>0</v>
      </c>
      <c r="EJ87" s="915">
        <f t="shared" si="248"/>
        <v>0</v>
      </c>
      <c r="EK87" s="915">
        <f t="shared" si="249"/>
        <v>0</v>
      </c>
      <c r="EN87" s="533"/>
      <c r="EQ87" s="534"/>
    </row>
    <row r="88" spans="1:147" ht="15.75" customHeight="1" x14ac:dyDescent="0.2">
      <c r="A88" s="496">
        <v>81</v>
      </c>
      <c r="B88" s="1419"/>
      <c r="C88" s="1420"/>
      <c r="D88" s="264">
        <v>1</v>
      </c>
      <c r="E88" s="264" t="s">
        <v>1246</v>
      </c>
      <c r="F88" s="270" t="s">
        <v>2544</v>
      </c>
      <c r="G88" s="271">
        <v>1</v>
      </c>
      <c r="H88" s="803">
        <v>10</v>
      </c>
      <c r="I88" s="800">
        <f t="shared" si="250"/>
        <v>0</v>
      </c>
      <c r="J88" s="269">
        <f t="shared" si="130"/>
        <v>10</v>
      </c>
      <c r="K88" s="225"/>
      <c r="L88" s="941" t="str">
        <f>TabName1 &amp; " - ISoil"</f>
        <v>Phase 1 - ISoil</v>
      </c>
      <c r="M88" s="942">
        <f>CX6</f>
        <v>10</v>
      </c>
      <c r="V88" s="915">
        <f t="shared" si="132"/>
        <v>0</v>
      </c>
      <c r="W88" s="915">
        <f t="shared" si="133"/>
        <v>0</v>
      </c>
      <c r="X88" s="915">
        <f t="shared" si="134"/>
        <v>0</v>
      </c>
      <c r="Y88" s="915">
        <f t="shared" si="135"/>
        <v>0</v>
      </c>
      <c r="Z88" s="915">
        <f t="shared" si="136"/>
        <v>0</v>
      </c>
      <c r="AA88" s="915">
        <f t="shared" si="137"/>
        <v>0</v>
      </c>
      <c r="AB88" s="915">
        <f t="shared" si="138"/>
        <v>0</v>
      </c>
      <c r="AC88" s="915">
        <f t="shared" si="139"/>
        <v>0</v>
      </c>
      <c r="AD88" s="915">
        <f t="shared" si="140"/>
        <v>0</v>
      </c>
      <c r="AE88" s="915">
        <f t="shared" si="141"/>
        <v>0</v>
      </c>
      <c r="AF88" s="915">
        <f t="shared" si="190"/>
        <v>0</v>
      </c>
      <c r="AG88" s="915">
        <f t="shared" si="191"/>
        <v>0</v>
      </c>
      <c r="AH88" s="915">
        <f t="shared" si="192"/>
        <v>0</v>
      </c>
      <c r="AI88" s="915">
        <f t="shared" si="193"/>
        <v>0</v>
      </c>
      <c r="AJ88" s="915">
        <f t="shared" si="194"/>
        <v>0</v>
      </c>
      <c r="AK88" s="915">
        <f t="shared" si="195"/>
        <v>0</v>
      </c>
      <c r="AL88" s="915">
        <f t="shared" si="196"/>
        <v>0</v>
      </c>
      <c r="AM88" s="915">
        <f t="shared" si="197"/>
        <v>0</v>
      </c>
      <c r="AN88" s="915">
        <f t="shared" si="198"/>
        <v>0</v>
      </c>
      <c r="AO88" s="915">
        <f t="shared" si="199"/>
        <v>0</v>
      </c>
      <c r="AP88" s="915">
        <f t="shared" si="142"/>
        <v>0</v>
      </c>
      <c r="AQ88" s="915">
        <f t="shared" si="143"/>
        <v>0</v>
      </c>
      <c r="AR88" s="915">
        <f t="shared" si="144"/>
        <v>0</v>
      </c>
      <c r="AS88" s="915">
        <f t="shared" si="145"/>
        <v>0</v>
      </c>
      <c r="AT88" s="915">
        <f t="shared" si="146"/>
        <v>0</v>
      </c>
      <c r="AU88" s="915">
        <f t="shared" si="147"/>
        <v>0</v>
      </c>
      <c r="AV88" s="915">
        <f t="shared" si="148"/>
        <v>0</v>
      </c>
      <c r="AW88" s="915">
        <f t="shared" si="149"/>
        <v>0</v>
      </c>
      <c r="AX88" s="915">
        <f t="shared" si="150"/>
        <v>0</v>
      </c>
      <c r="AY88" s="915">
        <f t="shared" si="200"/>
        <v>0</v>
      </c>
      <c r="AZ88" s="915">
        <f t="shared" si="201"/>
        <v>0</v>
      </c>
      <c r="BA88" s="915">
        <f t="shared" si="202"/>
        <v>0</v>
      </c>
      <c r="BB88" s="915">
        <f t="shared" si="203"/>
        <v>0</v>
      </c>
      <c r="BC88" s="915">
        <f t="shared" si="204"/>
        <v>0</v>
      </c>
      <c r="BD88" s="915">
        <f t="shared" si="205"/>
        <v>0</v>
      </c>
      <c r="BE88" s="915">
        <f t="shared" si="206"/>
        <v>0</v>
      </c>
      <c r="BF88" s="915">
        <f t="shared" si="207"/>
        <v>0</v>
      </c>
      <c r="BG88" s="915">
        <f t="shared" si="208"/>
        <v>0</v>
      </c>
      <c r="BH88" s="915">
        <f t="shared" si="209"/>
        <v>0</v>
      </c>
      <c r="BI88" s="915">
        <f t="shared" si="210"/>
        <v>0</v>
      </c>
      <c r="BJ88" s="915">
        <f t="shared" si="151"/>
        <v>0</v>
      </c>
      <c r="BK88" s="915">
        <f t="shared" si="152"/>
        <v>0</v>
      </c>
      <c r="BL88" s="915">
        <f t="shared" si="153"/>
        <v>0</v>
      </c>
      <c r="BM88" s="915">
        <f t="shared" si="154"/>
        <v>0</v>
      </c>
      <c r="BN88" s="915">
        <f t="shared" si="155"/>
        <v>0</v>
      </c>
      <c r="BO88" s="915">
        <f t="shared" si="156"/>
        <v>0</v>
      </c>
      <c r="BP88" s="915">
        <f t="shared" si="157"/>
        <v>0</v>
      </c>
      <c r="BQ88" s="915">
        <f t="shared" si="158"/>
        <v>0</v>
      </c>
      <c r="BR88" s="915">
        <f t="shared" si="159"/>
        <v>0</v>
      </c>
      <c r="BS88" s="915">
        <f t="shared" si="160"/>
        <v>0</v>
      </c>
      <c r="BT88" s="915">
        <f t="shared" si="211"/>
        <v>0</v>
      </c>
      <c r="BU88" s="915">
        <f t="shared" si="211"/>
        <v>0</v>
      </c>
      <c r="BV88" s="915">
        <f t="shared" si="212"/>
        <v>0</v>
      </c>
      <c r="BW88" s="915">
        <f t="shared" si="213"/>
        <v>0</v>
      </c>
      <c r="BX88" s="915">
        <f t="shared" si="214"/>
        <v>0</v>
      </c>
      <c r="BY88" s="915">
        <f t="shared" si="215"/>
        <v>0</v>
      </c>
      <c r="BZ88" s="915">
        <f t="shared" si="216"/>
        <v>0</v>
      </c>
      <c r="CA88" s="915">
        <f t="shared" si="217"/>
        <v>0</v>
      </c>
      <c r="CB88" s="915">
        <f t="shared" si="218"/>
        <v>0</v>
      </c>
      <c r="CC88" s="915">
        <f t="shared" si="219"/>
        <v>0</v>
      </c>
      <c r="CD88" s="915">
        <f t="shared" si="161"/>
        <v>0</v>
      </c>
      <c r="CE88" s="915">
        <f t="shared" si="162"/>
        <v>0</v>
      </c>
      <c r="CF88" s="915">
        <f t="shared" si="163"/>
        <v>0</v>
      </c>
      <c r="CG88" s="915">
        <f t="shared" si="164"/>
        <v>0</v>
      </c>
      <c r="CH88" s="915">
        <f t="shared" si="165"/>
        <v>0</v>
      </c>
      <c r="CI88" s="915">
        <f t="shared" si="166"/>
        <v>0</v>
      </c>
      <c r="CJ88" s="915">
        <f t="shared" si="167"/>
        <v>0</v>
      </c>
      <c r="CK88" s="915">
        <f t="shared" si="168"/>
        <v>0</v>
      </c>
      <c r="CL88" s="915">
        <f t="shared" si="169"/>
        <v>0</v>
      </c>
      <c r="CM88" s="915">
        <f t="shared" si="170"/>
        <v>0</v>
      </c>
      <c r="CN88" s="915">
        <f t="shared" si="220"/>
        <v>0</v>
      </c>
      <c r="CO88" s="915">
        <f t="shared" si="221"/>
        <v>0</v>
      </c>
      <c r="CP88" s="915">
        <f t="shared" si="222"/>
        <v>0</v>
      </c>
      <c r="CQ88" s="915">
        <f t="shared" si="223"/>
        <v>0</v>
      </c>
      <c r="CR88" s="915">
        <f t="shared" si="224"/>
        <v>0</v>
      </c>
      <c r="CS88" s="915">
        <f t="shared" si="225"/>
        <v>0</v>
      </c>
      <c r="CT88" s="915">
        <f t="shared" si="226"/>
        <v>0</v>
      </c>
      <c r="CU88" s="915">
        <f t="shared" si="227"/>
        <v>0</v>
      </c>
      <c r="CV88" s="915">
        <f t="shared" si="228"/>
        <v>0</v>
      </c>
      <c r="CW88" s="915">
        <f t="shared" si="229"/>
        <v>0</v>
      </c>
      <c r="CX88" s="915">
        <f t="shared" si="171"/>
        <v>10</v>
      </c>
      <c r="CY88" s="915">
        <f t="shared" si="172"/>
        <v>0</v>
      </c>
      <c r="CZ88" s="915">
        <f t="shared" si="173"/>
        <v>0</v>
      </c>
      <c r="DA88" s="915">
        <f t="shared" si="174"/>
        <v>0</v>
      </c>
      <c r="DB88" s="915">
        <f t="shared" si="175"/>
        <v>0</v>
      </c>
      <c r="DC88" s="915">
        <f t="shared" si="176"/>
        <v>0</v>
      </c>
      <c r="DD88" s="915">
        <f t="shared" si="177"/>
        <v>0</v>
      </c>
      <c r="DE88" s="915">
        <f t="shared" si="178"/>
        <v>0</v>
      </c>
      <c r="DF88" s="915">
        <f t="shared" si="179"/>
        <v>0</v>
      </c>
      <c r="DG88" s="915">
        <f t="shared" si="180"/>
        <v>0</v>
      </c>
      <c r="DH88" s="915">
        <f t="shared" si="230"/>
        <v>0</v>
      </c>
      <c r="DI88" s="915">
        <f t="shared" si="231"/>
        <v>0</v>
      </c>
      <c r="DJ88" s="915">
        <f t="shared" si="232"/>
        <v>0</v>
      </c>
      <c r="DK88" s="915">
        <f t="shared" si="233"/>
        <v>0</v>
      </c>
      <c r="DL88" s="915">
        <f t="shared" si="234"/>
        <v>0</v>
      </c>
      <c r="DM88" s="915">
        <f t="shared" si="235"/>
        <v>0</v>
      </c>
      <c r="DN88" s="915">
        <f t="shared" si="236"/>
        <v>0</v>
      </c>
      <c r="DO88" s="915">
        <f t="shared" si="237"/>
        <v>0</v>
      </c>
      <c r="DP88" s="915">
        <f t="shared" si="238"/>
        <v>0</v>
      </c>
      <c r="DQ88" s="915">
        <f t="shared" si="239"/>
        <v>0</v>
      </c>
      <c r="DR88" s="915">
        <f t="shared" si="181"/>
        <v>0</v>
      </c>
      <c r="DS88" s="915">
        <f t="shared" si="182"/>
        <v>0</v>
      </c>
      <c r="DT88" s="915">
        <f t="shared" si="183"/>
        <v>0</v>
      </c>
      <c r="DU88" s="915">
        <f t="shared" si="184"/>
        <v>0</v>
      </c>
      <c r="DV88" s="915">
        <f t="shared" si="185"/>
        <v>0</v>
      </c>
      <c r="DW88" s="915">
        <f t="shared" si="186"/>
        <v>0</v>
      </c>
      <c r="DX88" s="915">
        <f t="shared" si="187"/>
        <v>0</v>
      </c>
      <c r="DY88" s="915">
        <f t="shared" si="188"/>
        <v>0</v>
      </c>
      <c r="DZ88" s="915">
        <f t="shared" si="189"/>
        <v>0</v>
      </c>
      <c r="EA88" s="915">
        <f t="shared" si="131"/>
        <v>0</v>
      </c>
      <c r="EB88" s="915">
        <f t="shared" si="240"/>
        <v>0</v>
      </c>
      <c r="EC88" s="915">
        <f t="shared" si="241"/>
        <v>0</v>
      </c>
      <c r="ED88" s="915">
        <f t="shared" si="242"/>
        <v>0</v>
      </c>
      <c r="EE88" s="915">
        <f t="shared" si="243"/>
        <v>0</v>
      </c>
      <c r="EF88" s="915">
        <f t="shared" si="244"/>
        <v>0</v>
      </c>
      <c r="EG88" s="915">
        <f t="shared" si="245"/>
        <v>0</v>
      </c>
      <c r="EH88" s="915">
        <f t="shared" si="246"/>
        <v>0</v>
      </c>
      <c r="EI88" s="915">
        <f t="shared" si="247"/>
        <v>0</v>
      </c>
      <c r="EJ88" s="915">
        <f t="shared" si="248"/>
        <v>0</v>
      </c>
      <c r="EK88" s="915">
        <f t="shared" si="249"/>
        <v>0</v>
      </c>
      <c r="EN88" s="533"/>
      <c r="EQ88" s="534"/>
    </row>
    <row r="89" spans="1:147" ht="15.75" customHeight="1" x14ac:dyDescent="0.2">
      <c r="A89" s="1026">
        <v>82</v>
      </c>
      <c r="B89" s="1005"/>
      <c r="C89" s="1008"/>
      <c r="D89" s="138">
        <v>2</v>
      </c>
      <c r="E89" s="138" t="s">
        <v>1246</v>
      </c>
      <c r="F89" s="139" t="s">
        <v>2544</v>
      </c>
      <c r="G89" s="91">
        <v>1</v>
      </c>
      <c r="H89" s="1022">
        <v>10</v>
      </c>
      <c r="I89" s="801">
        <f t="shared" si="250"/>
        <v>0</v>
      </c>
      <c r="J89" s="1021">
        <f t="shared" si="130"/>
        <v>10</v>
      </c>
      <c r="K89" s="225"/>
      <c r="L89" s="941" t="str">
        <f>TabName2 &amp; " - ISoil"</f>
        <v>Phase 2 - ISoil</v>
      </c>
      <c r="M89" s="942">
        <f>CY6</f>
        <v>10</v>
      </c>
      <c r="V89" s="915">
        <f t="shared" si="132"/>
        <v>0</v>
      </c>
      <c r="W89" s="915">
        <f t="shared" si="133"/>
        <v>0</v>
      </c>
      <c r="X89" s="915">
        <f t="shared" si="134"/>
        <v>0</v>
      </c>
      <c r="Y89" s="915">
        <f t="shared" si="135"/>
        <v>0</v>
      </c>
      <c r="Z89" s="915">
        <f t="shared" si="136"/>
        <v>0</v>
      </c>
      <c r="AA89" s="915">
        <f t="shared" si="137"/>
        <v>0</v>
      </c>
      <c r="AB89" s="915">
        <f t="shared" si="138"/>
        <v>0</v>
      </c>
      <c r="AC89" s="915">
        <f t="shared" si="139"/>
        <v>0</v>
      </c>
      <c r="AD89" s="915">
        <f t="shared" si="140"/>
        <v>0</v>
      </c>
      <c r="AE89" s="915">
        <f t="shared" si="141"/>
        <v>0</v>
      </c>
      <c r="AF89" s="915">
        <f t="shared" si="190"/>
        <v>0</v>
      </c>
      <c r="AG89" s="915">
        <f t="shared" si="191"/>
        <v>0</v>
      </c>
      <c r="AH89" s="915">
        <f t="shared" si="192"/>
        <v>0</v>
      </c>
      <c r="AI89" s="915">
        <f t="shared" si="193"/>
        <v>0</v>
      </c>
      <c r="AJ89" s="915">
        <f t="shared" si="194"/>
        <v>0</v>
      </c>
      <c r="AK89" s="915">
        <f t="shared" si="195"/>
        <v>0</v>
      </c>
      <c r="AL89" s="915">
        <f t="shared" si="196"/>
        <v>0</v>
      </c>
      <c r="AM89" s="915">
        <f t="shared" si="197"/>
        <v>0</v>
      </c>
      <c r="AN89" s="915">
        <f t="shared" si="198"/>
        <v>0</v>
      </c>
      <c r="AO89" s="915">
        <f t="shared" si="199"/>
        <v>0</v>
      </c>
      <c r="AP89" s="915">
        <f t="shared" si="142"/>
        <v>0</v>
      </c>
      <c r="AQ89" s="915">
        <f t="shared" si="143"/>
        <v>0</v>
      </c>
      <c r="AR89" s="915">
        <f t="shared" si="144"/>
        <v>0</v>
      </c>
      <c r="AS89" s="915">
        <f t="shared" si="145"/>
        <v>0</v>
      </c>
      <c r="AT89" s="915">
        <f t="shared" si="146"/>
        <v>0</v>
      </c>
      <c r="AU89" s="915">
        <f t="shared" si="147"/>
        <v>0</v>
      </c>
      <c r="AV89" s="915">
        <f t="shared" si="148"/>
        <v>0</v>
      </c>
      <c r="AW89" s="915">
        <f t="shared" si="149"/>
        <v>0</v>
      </c>
      <c r="AX89" s="915">
        <f t="shared" si="150"/>
        <v>0</v>
      </c>
      <c r="AY89" s="915">
        <f t="shared" si="200"/>
        <v>0</v>
      </c>
      <c r="AZ89" s="915">
        <f t="shared" si="201"/>
        <v>0</v>
      </c>
      <c r="BA89" s="915">
        <f t="shared" si="202"/>
        <v>0</v>
      </c>
      <c r="BB89" s="915">
        <f t="shared" si="203"/>
        <v>0</v>
      </c>
      <c r="BC89" s="915">
        <f t="shared" si="204"/>
        <v>0</v>
      </c>
      <c r="BD89" s="915">
        <f t="shared" si="205"/>
        <v>0</v>
      </c>
      <c r="BE89" s="915">
        <f t="shared" si="206"/>
        <v>0</v>
      </c>
      <c r="BF89" s="915">
        <f t="shared" si="207"/>
        <v>0</v>
      </c>
      <c r="BG89" s="915">
        <f t="shared" si="208"/>
        <v>0</v>
      </c>
      <c r="BH89" s="915">
        <f t="shared" si="209"/>
        <v>0</v>
      </c>
      <c r="BI89" s="915">
        <f t="shared" si="210"/>
        <v>0</v>
      </c>
      <c r="BJ89" s="915">
        <f t="shared" si="151"/>
        <v>0</v>
      </c>
      <c r="BK89" s="915">
        <f t="shared" si="152"/>
        <v>0</v>
      </c>
      <c r="BL89" s="915">
        <f t="shared" si="153"/>
        <v>0</v>
      </c>
      <c r="BM89" s="915">
        <f t="shared" si="154"/>
        <v>0</v>
      </c>
      <c r="BN89" s="915">
        <f t="shared" si="155"/>
        <v>0</v>
      </c>
      <c r="BO89" s="915">
        <f t="shared" si="156"/>
        <v>0</v>
      </c>
      <c r="BP89" s="915">
        <f t="shared" si="157"/>
        <v>0</v>
      </c>
      <c r="BQ89" s="915">
        <f t="shared" si="158"/>
        <v>0</v>
      </c>
      <c r="BR89" s="915">
        <f t="shared" si="159"/>
        <v>0</v>
      </c>
      <c r="BS89" s="915">
        <f t="shared" si="160"/>
        <v>0</v>
      </c>
      <c r="BT89" s="915">
        <f t="shared" si="211"/>
        <v>0</v>
      </c>
      <c r="BU89" s="915">
        <f t="shared" si="211"/>
        <v>0</v>
      </c>
      <c r="BV89" s="915">
        <f t="shared" si="212"/>
        <v>0</v>
      </c>
      <c r="BW89" s="915">
        <f t="shared" si="213"/>
        <v>0</v>
      </c>
      <c r="BX89" s="915">
        <f t="shared" si="214"/>
        <v>0</v>
      </c>
      <c r="BY89" s="915">
        <f t="shared" si="215"/>
        <v>0</v>
      </c>
      <c r="BZ89" s="915">
        <f t="shared" si="216"/>
        <v>0</v>
      </c>
      <c r="CA89" s="915">
        <f t="shared" si="217"/>
        <v>0</v>
      </c>
      <c r="CB89" s="915">
        <f t="shared" si="218"/>
        <v>0</v>
      </c>
      <c r="CC89" s="915">
        <f t="shared" si="219"/>
        <v>0</v>
      </c>
      <c r="CD89" s="915">
        <f t="shared" si="161"/>
        <v>0</v>
      </c>
      <c r="CE89" s="915">
        <f t="shared" si="162"/>
        <v>0</v>
      </c>
      <c r="CF89" s="915">
        <f t="shared" si="163"/>
        <v>0</v>
      </c>
      <c r="CG89" s="915">
        <f t="shared" si="164"/>
        <v>0</v>
      </c>
      <c r="CH89" s="915">
        <f t="shared" si="165"/>
        <v>0</v>
      </c>
      <c r="CI89" s="915">
        <f t="shared" si="166"/>
        <v>0</v>
      </c>
      <c r="CJ89" s="915">
        <f t="shared" si="167"/>
        <v>0</v>
      </c>
      <c r="CK89" s="915">
        <f t="shared" si="168"/>
        <v>0</v>
      </c>
      <c r="CL89" s="915">
        <f t="shared" si="169"/>
        <v>0</v>
      </c>
      <c r="CM89" s="915">
        <f t="shared" si="170"/>
        <v>0</v>
      </c>
      <c r="CN89" s="915">
        <f t="shared" si="220"/>
        <v>0</v>
      </c>
      <c r="CO89" s="915">
        <f t="shared" si="221"/>
        <v>0</v>
      </c>
      <c r="CP89" s="915">
        <f t="shared" si="222"/>
        <v>0</v>
      </c>
      <c r="CQ89" s="915">
        <f t="shared" si="223"/>
        <v>0</v>
      </c>
      <c r="CR89" s="915">
        <f t="shared" si="224"/>
        <v>0</v>
      </c>
      <c r="CS89" s="915">
        <f t="shared" si="225"/>
        <v>0</v>
      </c>
      <c r="CT89" s="915">
        <f t="shared" si="226"/>
        <v>0</v>
      </c>
      <c r="CU89" s="915">
        <f t="shared" si="227"/>
        <v>0</v>
      </c>
      <c r="CV89" s="915">
        <f t="shared" si="228"/>
        <v>0</v>
      </c>
      <c r="CW89" s="915">
        <f t="shared" si="229"/>
        <v>0</v>
      </c>
      <c r="CX89" s="915">
        <f t="shared" si="171"/>
        <v>0</v>
      </c>
      <c r="CY89" s="915">
        <f t="shared" si="172"/>
        <v>10</v>
      </c>
      <c r="CZ89" s="915">
        <f t="shared" si="173"/>
        <v>0</v>
      </c>
      <c r="DA89" s="915">
        <f t="shared" si="174"/>
        <v>0</v>
      </c>
      <c r="DB89" s="915">
        <f t="shared" si="175"/>
        <v>0</v>
      </c>
      <c r="DC89" s="915">
        <f t="shared" si="176"/>
        <v>0</v>
      </c>
      <c r="DD89" s="915">
        <f t="shared" si="177"/>
        <v>0</v>
      </c>
      <c r="DE89" s="915">
        <f t="shared" si="178"/>
        <v>0</v>
      </c>
      <c r="DF89" s="915">
        <f t="shared" si="179"/>
        <v>0</v>
      </c>
      <c r="DG89" s="915">
        <f t="shared" si="180"/>
        <v>0</v>
      </c>
      <c r="DH89" s="915">
        <f t="shared" si="230"/>
        <v>0</v>
      </c>
      <c r="DI89" s="915">
        <f t="shared" si="231"/>
        <v>0</v>
      </c>
      <c r="DJ89" s="915">
        <f t="shared" si="232"/>
        <v>0</v>
      </c>
      <c r="DK89" s="915">
        <f t="shared" si="233"/>
        <v>0</v>
      </c>
      <c r="DL89" s="915">
        <f t="shared" si="234"/>
        <v>0</v>
      </c>
      <c r="DM89" s="915">
        <f t="shared" si="235"/>
        <v>0</v>
      </c>
      <c r="DN89" s="915">
        <f t="shared" si="236"/>
        <v>0</v>
      </c>
      <c r="DO89" s="915">
        <f t="shared" si="237"/>
        <v>0</v>
      </c>
      <c r="DP89" s="915">
        <f t="shared" si="238"/>
        <v>0</v>
      </c>
      <c r="DQ89" s="915">
        <f t="shared" si="239"/>
        <v>0</v>
      </c>
      <c r="DR89" s="915">
        <f t="shared" si="181"/>
        <v>0</v>
      </c>
      <c r="DS89" s="915">
        <f t="shared" si="182"/>
        <v>0</v>
      </c>
      <c r="DT89" s="915">
        <f t="shared" si="183"/>
        <v>0</v>
      </c>
      <c r="DU89" s="915">
        <f t="shared" si="184"/>
        <v>0</v>
      </c>
      <c r="DV89" s="915">
        <f t="shared" si="185"/>
        <v>0</v>
      </c>
      <c r="DW89" s="915">
        <f t="shared" si="186"/>
        <v>0</v>
      </c>
      <c r="DX89" s="915">
        <f t="shared" si="187"/>
        <v>0</v>
      </c>
      <c r="DY89" s="915">
        <f t="shared" si="188"/>
        <v>0</v>
      </c>
      <c r="DZ89" s="915">
        <f t="shared" si="189"/>
        <v>0</v>
      </c>
      <c r="EA89" s="915">
        <f t="shared" si="131"/>
        <v>0</v>
      </c>
      <c r="EB89" s="915">
        <f t="shared" si="240"/>
        <v>0</v>
      </c>
      <c r="EC89" s="915">
        <f t="shared" si="241"/>
        <v>0</v>
      </c>
      <c r="ED89" s="915">
        <f t="shared" si="242"/>
        <v>0</v>
      </c>
      <c r="EE89" s="915">
        <f t="shared" si="243"/>
        <v>0</v>
      </c>
      <c r="EF89" s="915">
        <f t="shared" si="244"/>
        <v>0</v>
      </c>
      <c r="EG89" s="915">
        <f t="shared" si="245"/>
        <v>0</v>
      </c>
      <c r="EH89" s="915">
        <f t="shared" si="246"/>
        <v>0</v>
      </c>
      <c r="EI89" s="915">
        <f t="shared" si="247"/>
        <v>0</v>
      </c>
      <c r="EJ89" s="915">
        <f t="shared" si="248"/>
        <v>0</v>
      </c>
      <c r="EK89" s="915">
        <f t="shared" si="249"/>
        <v>0</v>
      </c>
      <c r="EN89" s="533"/>
      <c r="EQ89" s="534"/>
    </row>
    <row r="90" spans="1:147" ht="12.75" customHeight="1" x14ac:dyDescent="0.2">
      <c r="A90" s="496">
        <v>83</v>
      </c>
      <c r="B90" s="1419"/>
      <c r="C90" s="1420"/>
      <c r="D90" s="264">
        <v>3</v>
      </c>
      <c r="E90" s="264" t="s">
        <v>1246</v>
      </c>
      <c r="F90" s="270" t="s">
        <v>2544</v>
      </c>
      <c r="G90" s="271">
        <v>1</v>
      </c>
      <c r="H90" s="803">
        <v>10</v>
      </c>
      <c r="I90" s="800">
        <f t="shared" si="250"/>
        <v>0</v>
      </c>
      <c r="J90" s="269">
        <f t="shared" si="130"/>
        <v>10</v>
      </c>
      <c r="K90" s="225"/>
      <c r="L90" s="941" t="str">
        <f>TabName3 &amp; " - ISoil"</f>
        <v>Phase 3 - ISoil</v>
      </c>
      <c r="M90" s="942">
        <f>CZ6</f>
        <v>10</v>
      </c>
      <c r="V90" s="915">
        <f t="shared" si="132"/>
        <v>0</v>
      </c>
      <c r="W90" s="915">
        <f t="shared" si="133"/>
        <v>0</v>
      </c>
      <c r="X90" s="915">
        <f t="shared" si="134"/>
        <v>0</v>
      </c>
      <c r="Y90" s="915">
        <f t="shared" si="135"/>
        <v>0</v>
      </c>
      <c r="Z90" s="915">
        <f t="shared" si="136"/>
        <v>0</v>
      </c>
      <c r="AA90" s="915">
        <f t="shared" si="137"/>
        <v>0</v>
      </c>
      <c r="AB90" s="915">
        <f t="shared" si="138"/>
        <v>0</v>
      </c>
      <c r="AC90" s="915">
        <f t="shared" si="139"/>
        <v>0</v>
      </c>
      <c r="AD90" s="915">
        <f t="shared" si="140"/>
        <v>0</v>
      </c>
      <c r="AE90" s="915">
        <f t="shared" si="141"/>
        <v>0</v>
      </c>
      <c r="AF90" s="915">
        <f t="shared" si="190"/>
        <v>0</v>
      </c>
      <c r="AG90" s="915">
        <f t="shared" si="191"/>
        <v>0</v>
      </c>
      <c r="AH90" s="915">
        <f t="shared" si="192"/>
        <v>0</v>
      </c>
      <c r="AI90" s="915">
        <f t="shared" si="193"/>
        <v>0</v>
      </c>
      <c r="AJ90" s="915">
        <f t="shared" si="194"/>
        <v>0</v>
      </c>
      <c r="AK90" s="915">
        <f t="shared" si="195"/>
        <v>0</v>
      </c>
      <c r="AL90" s="915">
        <f t="shared" si="196"/>
        <v>0</v>
      </c>
      <c r="AM90" s="915">
        <f t="shared" si="197"/>
        <v>0</v>
      </c>
      <c r="AN90" s="915">
        <f t="shared" si="198"/>
        <v>0</v>
      </c>
      <c r="AO90" s="915">
        <f t="shared" si="199"/>
        <v>0</v>
      </c>
      <c r="AP90" s="915">
        <f t="shared" si="142"/>
        <v>0</v>
      </c>
      <c r="AQ90" s="915">
        <f t="shared" si="143"/>
        <v>0</v>
      </c>
      <c r="AR90" s="915">
        <f t="shared" si="144"/>
        <v>0</v>
      </c>
      <c r="AS90" s="915">
        <f t="shared" si="145"/>
        <v>0</v>
      </c>
      <c r="AT90" s="915">
        <f t="shared" si="146"/>
        <v>0</v>
      </c>
      <c r="AU90" s="915">
        <f t="shared" si="147"/>
        <v>0</v>
      </c>
      <c r="AV90" s="915">
        <f t="shared" si="148"/>
        <v>0</v>
      </c>
      <c r="AW90" s="915">
        <f t="shared" si="149"/>
        <v>0</v>
      </c>
      <c r="AX90" s="915">
        <f t="shared" si="150"/>
        <v>0</v>
      </c>
      <c r="AY90" s="915">
        <f t="shared" si="200"/>
        <v>0</v>
      </c>
      <c r="AZ90" s="915">
        <f t="shared" si="201"/>
        <v>0</v>
      </c>
      <c r="BA90" s="915">
        <f t="shared" si="202"/>
        <v>0</v>
      </c>
      <c r="BB90" s="915">
        <f t="shared" si="203"/>
        <v>0</v>
      </c>
      <c r="BC90" s="915">
        <f t="shared" si="204"/>
        <v>0</v>
      </c>
      <c r="BD90" s="915">
        <f t="shared" si="205"/>
        <v>0</v>
      </c>
      <c r="BE90" s="915">
        <f t="shared" si="206"/>
        <v>0</v>
      </c>
      <c r="BF90" s="915">
        <f t="shared" si="207"/>
        <v>0</v>
      </c>
      <c r="BG90" s="915">
        <f t="shared" si="208"/>
        <v>0</v>
      </c>
      <c r="BH90" s="915">
        <f t="shared" si="209"/>
        <v>0</v>
      </c>
      <c r="BI90" s="915">
        <f t="shared" si="210"/>
        <v>0</v>
      </c>
      <c r="BJ90" s="915">
        <f t="shared" si="151"/>
        <v>0</v>
      </c>
      <c r="BK90" s="915">
        <f t="shared" si="152"/>
        <v>0</v>
      </c>
      <c r="BL90" s="915">
        <f t="shared" si="153"/>
        <v>0</v>
      </c>
      <c r="BM90" s="915">
        <f t="shared" si="154"/>
        <v>0</v>
      </c>
      <c r="BN90" s="915">
        <f t="shared" si="155"/>
        <v>0</v>
      </c>
      <c r="BO90" s="915">
        <f t="shared" si="156"/>
        <v>0</v>
      </c>
      <c r="BP90" s="915">
        <f t="shared" si="157"/>
        <v>0</v>
      </c>
      <c r="BQ90" s="915">
        <f t="shared" si="158"/>
        <v>0</v>
      </c>
      <c r="BR90" s="915">
        <f t="shared" si="159"/>
        <v>0</v>
      </c>
      <c r="BS90" s="915">
        <f t="shared" si="160"/>
        <v>0</v>
      </c>
      <c r="BT90" s="915">
        <f t="shared" si="211"/>
        <v>0</v>
      </c>
      <c r="BU90" s="915">
        <f t="shared" si="211"/>
        <v>0</v>
      </c>
      <c r="BV90" s="915">
        <f t="shared" si="212"/>
        <v>0</v>
      </c>
      <c r="BW90" s="915">
        <f t="shared" si="213"/>
        <v>0</v>
      </c>
      <c r="BX90" s="915">
        <f t="shared" si="214"/>
        <v>0</v>
      </c>
      <c r="BY90" s="915">
        <f t="shared" si="215"/>
        <v>0</v>
      </c>
      <c r="BZ90" s="915">
        <f t="shared" si="216"/>
        <v>0</v>
      </c>
      <c r="CA90" s="915">
        <f t="shared" si="217"/>
        <v>0</v>
      </c>
      <c r="CB90" s="915">
        <f t="shared" si="218"/>
        <v>0</v>
      </c>
      <c r="CC90" s="915">
        <f t="shared" si="219"/>
        <v>0</v>
      </c>
      <c r="CD90" s="915">
        <f t="shared" si="161"/>
        <v>0</v>
      </c>
      <c r="CE90" s="915">
        <f t="shared" si="162"/>
        <v>0</v>
      </c>
      <c r="CF90" s="915">
        <f t="shared" si="163"/>
        <v>0</v>
      </c>
      <c r="CG90" s="915">
        <f t="shared" si="164"/>
        <v>0</v>
      </c>
      <c r="CH90" s="915">
        <f t="shared" si="165"/>
        <v>0</v>
      </c>
      <c r="CI90" s="915">
        <f t="shared" si="166"/>
        <v>0</v>
      </c>
      <c r="CJ90" s="915">
        <f t="shared" si="167"/>
        <v>0</v>
      </c>
      <c r="CK90" s="915">
        <f t="shared" si="168"/>
        <v>0</v>
      </c>
      <c r="CL90" s="915">
        <f t="shared" si="169"/>
        <v>0</v>
      </c>
      <c r="CM90" s="915">
        <f t="shared" si="170"/>
        <v>0</v>
      </c>
      <c r="CN90" s="915">
        <f t="shared" si="220"/>
        <v>0</v>
      </c>
      <c r="CO90" s="915">
        <f t="shared" si="221"/>
        <v>0</v>
      </c>
      <c r="CP90" s="915">
        <f t="shared" si="222"/>
        <v>0</v>
      </c>
      <c r="CQ90" s="915">
        <f t="shared" si="223"/>
        <v>0</v>
      </c>
      <c r="CR90" s="915">
        <f t="shared" si="224"/>
        <v>0</v>
      </c>
      <c r="CS90" s="915">
        <f t="shared" si="225"/>
        <v>0</v>
      </c>
      <c r="CT90" s="915">
        <f t="shared" si="226"/>
        <v>0</v>
      </c>
      <c r="CU90" s="915">
        <f t="shared" si="227"/>
        <v>0</v>
      </c>
      <c r="CV90" s="915">
        <f t="shared" si="228"/>
        <v>0</v>
      </c>
      <c r="CW90" s="915">
        <f t="shared" si="229"/>
        <v>0</v>
      </c>
      <c r="CX90" s="915">
        <f t="shared" si="171"/>
        <v>0</v>
      </c>
      <c r="CY90" s="915">
        <f t="shared" si="172"/>
        <v>0</v>
      </c>
      <c r="CZ90" s="915">
        <f t="shared" si="173"/>
        <v>10</v>
      </c>
      <c r="DA90" s="915">
        <f t="shared" si="174"/>
        <v>0</v>
      </c>
      <c r="DB90" s="915">
        <f t="shared" si="175"/>
        <v>0</v>
      </c>
      <c r="DC90" s="915">
        <f t="shared" si="176"/>
        <v>0</v>
      </c>
      <c r="DD90" s="915">
        <f t="shared" si="177"/>
        <v>0</v>
      </c>
      <c r="DE90" s="915">
        <f t="shared" si="178"/>
        <v>0</v>
      </c>
      <c r="DF90" s="915">
        <f t="shared" si="179"/>
        <v>0</v>
      </c>
      <c r="DG90" s="915">
        <f t="shared" si="180"/>
        <v>0</v>
      </c>
      <c r="DH90" s="915">
        <f t="shared" si="230"/>
        <v>0</v>
      </c>
      <c r="DI90" s="915">
        <f t="shared" si="231"/>
        <v>0</v>
      </c>
      <c r="DJ90" s="915">
        <f t="shared" si="232"/>
        <v>0</v>
      </c>
      <c r="DK90" s="915">
        <f t="shared" si="233"/>
        <v>0</v>
      </c>
      <c r="DL90" s="915">
        <f t="shared" si="234"/>
        <v>0</v>
      </c>
      <c r="DM90" s="915">
        <f t="shared" si="235"/>
        <v>0</v>
      </c>
      <c r="DN90" s="915">
        <f t="shared" si="236"/>
        <v>0</v>
      </c>
      <c r="DO90" s="915">
        <f t="shared" si="237"/>
        <v>0</v>
      </c>
      <c r="DP90" s="915">
        <f t="shared" si="238"/>
        <v>0</v>
      </c>
      <c r="DQ90" s="915">
        <f t="shared" si="239"/>
        <v>0</v>
      </c>
      <c r="DR90" s="915">
        <f t="shared" si="181"/>
        <v>0</v>
      </c>
      <c r="DS90" s="915">
        <f t="shared" si="182"/>
        <v>0</v>
      </c>
      <c r="DT90" s="915">
        <f t="shared" si="183"/>
        <v>0</v>
      </c>
      <c r="DU90" s="915">
        <f t="shared" si="184"/>
        <v>0</v>
      </c>
      <c r="DV90" s="915">
        <f t="shared" si="185"/>
        <v>0</v>
      </c>
      <c r="DW90" s="915">
        <f t="shared" si="186"/>
        <v>0</v>
      </c>
      <c r="DX90" s="915">
        <f t="shared" si="187"/>
        <v>0</v>
      </c>
      <c r="DY90" s="915">
        <f t="shared" si="188"/>
        <v>0</v>
      </c>
      <c r="DZ90" s="915">
        <f t="shared" si="189"/>
        <v>0</v>
      </c>
      <c r="EA90" s="915">
        <f t="shared" si="131"/>
        <v>0</v>
      </c>
      <c r="EB90" s="915">
        <f t="shared" si="240"/>
        <v>0</v>
      </c>
      <c r="EC90" s="915">
        <f t="shared" si="241"/>
        <v>0</v>
      </c>
      <c r="ED90" s="915">
        <f t="shared" si="242"/>
        <v>0</v>
      </c>
      <c r="EE90" s="915">
        <f t="shared" si="243"/>
        <v>0</v>
      </c>
      <c r="EF90" s="915">
        <f t="shared" si="244"/>
        <v>0</v>
      </c>
      <c r="EG90" s="915">
        <f t="shared" si="245"/>
        <v>0</v>
      </c>
      <c r="EH90" s="915">
        <f t="shared" si="246"/>
        <v>0</v>
      </c>
      <c r="EI90" s="915">
        <f t="shared" si="247"/>
        <v>0</v>
      </c>
      <c r="EJ90" s="915">
        <f t="shared" si="248"/>
        <v>0</v>
      </c>
      <c r="EK90" s="915">
        <f t="shared" si="249"/>
        <v>0</v>
      </c>
      <c r="EN90" s="533"/>
      <c r="EQ90" s="534"/>
    </row>
    <row r="91" spans="1:147" ht="15.75" customHeight="1" x14ac:dyDescent="0.2">
      <c r="A91" s="1026">
        <v>84</v>
      </c>
      <c r="B91" s="1005"/>
      <c r="C91" s="1008"/>
      <c r="D91" s="138">
        <v>4</v>
      </c>
      <c r="E91" s="138" t="s">
        <v>1246</v>
      </c>
      <c r="F91" s="139" t="s">
        <v>2544</v>
      </c>
      <c r="G91" s="91">
        <v>1</v>
      </c>
      <c r="H91" s="1022">
        <v>10</v>
      </c>
      <c r="I91" s="801">
        <f t="shared" si="250"/>
        <v>0</v>
      </c>
      <c r="J91" s="1021">
        <f t="shared" si="130"/>
        <v>10</v>
      </c>
      <c r="K91" s="225"/>
      <c r="L91" s="941" t="str">
        <f>TabName4 &amp; " - ISoil"</f>
        <v>Phase 4 - ISoil</v>
      </c>
      <c r="M91" s="942">
        <f>DA6</f>
        <v>10</v>
      </c>
      <c r="V91" s="915">
        <f t="shared" si="132"/>
        <v>0</v>
      </c>
      <c r="W91" s="915">
        <f t="shared" si="133"/>
        <v>0</v>
      </c>
      <c r="X91" s="915">
        <f t="shared" si="134"/>
        <v>0</v>
      </c>
      <c r="Y91" s="915">
        <f t="shared" si="135"/>
        <v>0</v>
      </c>
      <c r="Z91" s="915">
        <f t="shared" si="136"/>
        <v>0</v>
      </c>
      <c r="AA91" s="915">
        <f t="shared" si="137"/>
        <v>0</v>
      </c>
      <c r="AB91" s="915">
        <f t="shared" si="138"/>
        <v>0</v>
      </c>
      <c r="AC91" s="915">
        <f t="shared" si="139"/>
        <v>0</v>
      </c>
      <c r="AD91" s="915">
        <f t="shared" si="140"/>
        <v>0</v>
      </c>
      <c r="AE91" s="915">
        <f t="shared" si="141"/>
        <v>0</v>
      </c>
      <c r="AF91" s="915">
        <f t="shared" si="190"/>
        <v>0</v>
      </c>
      <c r="AG91" s="915">
        <f t="shared" si="191"/>
        <v>0</v>
      </c>
      <c r="AH91" s="915">
        <f t="shared" si="192"/>
        <v>0</v>
      </c>
      <c r="AI91" s="915">
        <f t="shared" si="193"/>
        <v>0</v>
      </c>
      <c r="AJ91" s="915">
        <f t="shared" si="194"/>
        <v>0</v>
      </c>
      <c r="AK91" s="915">
        <f t="shared" si="195"/>
        <v>0</v>
      </c>
      <c r="AL91" s="915">
        <f t="shared" si="196"/>
        <v>0</v>
      </c>
      <c r="AM91" s="915">
        <f t="shared" si="197"/>
        <v>0</v>
      </c>
      <c r="AN91" s="915">
        <f t="shared" si="198"/>
        <v>0</v>
      </c>
      <c r="AO91" s="915">
        <f t="shared" si="199"/>
        <v>0</v>
      </c>
      <c r="AP91" s="915">
        <f t="shared" si="142"/>
        <v>0</v>
      </c>
      <c r="AQ91" s="915">
        <f t="shared" si="143"/>
        <v>0</v>
      </c>
      <c r="AR91" s="915">
        <f t="shared" si="144"/>
        <v>0</v>
      </c>
      <c r="AS91" s="915">
        <f t="shared" si="145"/>
        <v>0</v>
      </c>
      <c r="AT91" s="915">
        <f t="shared" si="146"/>
        <v>0</v>
      </c>
      <c r="AU91" s="915">
        <f t="shared" si="147"/>
        <v>0</v>
      </c>
      <c r="AV91" s="915">
        <f t="shared" si="148"/>
        <v>0</v>
      </c>
      <c r="AW91" s="915">
        <f t="shared" si="149"/>
        <v>0</v>
      </c>
      <c r="AX91" s="915">
        <f t="shared" si="150"/>
        <v>0</v>
      </c>
      <c r="AY91" s="915">
        <f t="shared" si="200"/>
        <v>0</v>
      </c>
      <c r="AZ91" s="915">
        <f t="shared" si="201"/>
        <v>0</v>
      </c>
      <c r="BA91" s="915">
        <f t="shared" si="202"/>
        <v>0</v>
      </c>
      <c r="BB91" s="915">
        <f t="shared" si="203"/>
        <v>0</v>
      </c>
      <c r="BC91" s="915">
        <f t="shared" si="204"/>
        <v>0</v>
      </c>
      <c r="BD91" s="915">
        <f t="shared" si="205"/>
        <v>0</v>
      </c>
      <c r="BE91" s="915">
        <f t="shared" si="206"/>
        <v>0</v>
      </c>
      <c r="BF91" s="915">
        <f t="shared" si="207"/>
        <v>0</v>
      </c>
      <c r="BG91" s="915">
        <f t="shared" si="208"/>
        <v>0</v>
      </c>
      <c r="BH91" s="915">
        <f t="shared" si="209"/>
        <v>0</v>
      </c>
      <c r="BI91" s="915">
        <f t="shared" si="210"/>
        <v>0</v>
      </c>
      <c r="BJ91" s="915">
        <f t="shared" si="151"/>
        <v>0</v>
      </c>
      <c r="BK91" s="915">
        <f t="shared" si="152"/>
        <v>0</v>
      </c>
      <c r="BL91" s="915">
        <f t="shared" si="153"/>
        <v>0</v>
      </c>
      <c r="BM91" s="915">
        <f t="shared" si="154"/>
        <v>0</v>
      </c>
      <c r="BN91" s="915">
        <f t="shared" si="155"/>
        <v>0</v>
      </c>
      <c r="BO91" s="915">
        <f t="shared" si="156"/>
        <v>0</v>
      </c>
      <c r="BP91" s="915">
        <f t="shared" si="157"/>
        <v>0</v>
      </c>
      <c r="BQ91" s="915">
        <f t="shared" si="158"/>
        <v>0</v>
      </c>
      <c r="BR91" s="915">
        <f t="shared" si="159"/>
        <v>0</v>
      </c>
      <c r="BS91" s="915">
        <f t="shared" si="160"/>
        <v>0</v>
      </c>
      <c r="BT91" s="915">
        <f t="shared" si="211"/>
        <v>0</v>
      </c>
      <c r="BU91" s="915">
        <f t="shared" si="211"/>
        <v>0</v>
      </c>
      <c r="BV91" s="915">
        <f t="shared" si="212"/>
        <v>0</v>
      </c>
      <c r="BW91" s="915">
        <f t="shared" si="213"/>
        <v>0</v>
      </c>
      <c r="BX91" s="915">
        <f t="shared" si="214"/>
        <v>0</v>
      </c>
      <c r="BY91" s="915">
        <f t="shared" si="215"/>
        <v>0</v>
      </c>
      <c r="BZ91" s="915">
        <f t="shared" si="216"/>
        <v>0</v>
      </c>
      <c r="CA91" s="915">
        <f t="shared" si="217"/>
        <v>0</v>
      </c>
      <c r="CB91" s="915">
        <f t="shared" si="218"/>
        <v>0</v>
      </c>
      <c r="CC91" s="915">
        <f t="shared" si="219"/>
        <v>0</v>
      </c>
      <c r="CD91" s="915">
        <f t="shared" si="161"/>
        <v>0</v>
      </c>
      <c r="CE91" s="915">
        <f t="shared" si="162"/>
        <v>0</v>
      </c>
      <c r="CF91" s="915">
        <f t="shared" si="163"/>
        <v>0</v>
      </c>
      <c r="CG91" s="915">
        <f t="shared" si="164"/>
        <v>0</v>
      </c>
      <c r="CH91" s="915">
        <f t="shared" si="165"/>
        <v>0</v>
      </c>
      <c r="CI91" s="915">
        <f t="shared" si="166"/>
        <v>0</v>
      </c>
      <c r="CJ91" s="915">
        <f t="shared" si="167"/>
        <v>0</v>
      </c>
      <c r="CK91" s="915">
        <f t="shared" si="168"/>
        <v>0</v>
      </c>
      <c r="CL91" s="915">
        <f t="shared" si="169"/>
        <v>0</v>
      </c>
      <c r="CM91" s="915">
        <f t="shared" si="170"/>
        <v>0</v>
      </c>
      <c r="CN91" s="915">
        <f t="shared" si="220"/>
        <v>0</v>
      </c>
      <c r="CO91" s="915">
        <f t="shared" si="221"/>
        <v>0</v>
      </c>
      <c r="CP91" s="915">
        <f t="shared" si="222"/>
        <v>0</v>
      </c>
      <c r="CQ91" s="915">
        <f t="shared" si="223"/>
        <v>0</v>
      </c>
      <c r="CR91" s="915">
        <f t="shared" si="224"/>
        <v>0</v>
      </c>
      <c r="CS91" s="915">
        <f t="shared" si="225"/>
        <v>0</v>
      </c>
      <c r="CT91" s="915">
        <f t="shared" si="226"/>
        <v>0</v>
      </c>
      <c r="CU91" s="915">
        <f t="shared" si="227"/>
        <v>0</v>
      </c>
      <c r="CV91" s="915">
        <f t="shared" si="228"/>
        <v>0</v>
      </c>
      <c r="CW91" s="915">
        <f t="shared" si="229"/>
        <v>0</v>
      </c>
      <c r="CX91" s="915">
        <f t="shared" si="171"/>
        <v>0</v>
      </c>
      <c r="CY91" s="915">
        <f t="shared" si="172"/>
        <v>0</v>
      </c>
      <c r="CZ91" s="915">
        <f t="shared" si="173"/>
        <v>0</v>
      </c>
      <c r="DA91" s="915">
        <f t="shared" si="174"/>
        <v>10</v>
      </c>
      <c r="DB91" s="915">
        <f t="shared" si="175"/>
        <v>0</v>
      </c>
      <c r="DC91" s="915">
        <f t="shared" si="176"/>
        <v>0</v>
      </c>
      <c r="DD91" s="915">
        <f t="shared" si="177"/>
        <v>0</v>
      </c>
      <c r="DE91" s="915">
        <f t="shared" si="178"/>
        <v>0</v>
      </c>
      <c r="DF91" s="915">
        <f t="shared" si="179"/>
        <v>0</v>
      </c>
      <c r="DG91" s="915">
        <f t="shared" si="180"/>
        <v>0</v>
      </c>
      <c r="DH91" s="915">
        <f t="shared" si="230"/>
        <v>0</v>
      </c>
      <c r="DI91" s="915">
        <f t="shared" si="231"/>
        <v>0</v>
      </c>
      <c r="DJ91" s="915">
        <f t="shared" si="232"/>
        <v>0</v>
      </c>
      <c r="DK91" s="915">
        <f t="shared" si="233"/>
        <v>0</v>
      </c>
      <c r="DL91" s="915">
        <f t="shared" si="234"/>
        <v>0</v>
      </c>
      <c r="DM91" s="915">
        <f t="shared" si="235"/>
        <v>0</v>
      </c>
      <c r="DN91" s="915">
        <f t="shared" si="236"/>
        <v>0</v>
      </c>
      <c r="DO91" s="915">
        <f t="shared" si="237"/>
        <v>0</v>
      </c>
      <c r="DP91" s="915">
        <f t="shared" si="238"/>
        <v>0</v>
      </c>
      <c r="DQ91" s="915">
        <f t="shared" si="239"/>
        <v>0</v>
      </c>
      <c r="DR91" s="915">
        <f t="shared" si="181"/>
        <v>0</v>
      </c>
      <c r="DS91" s="915">
        <f t="shared" si="182"/>
        <v>0</v>
      </c>
      <c r="DT91" s="915">
        <f t="shared" si="183"/>
        <v>0</v>
      </c>
      <c r="DU91" s="915">
        <f t="shared" si="184"/>
        <v>0</v>
      </c>
      <c r="DV91" s="915">
        <f t="shared" si="185"/>
        <v>0</v>
      </c>
      <c r="DW91" s="915">
        <f t="shared" si="186"/>
        <v>0</v>
      </c>
      <c r="DX91" s="915">
        <f t="shared" si="187"/>
        <v>0</v>
      </c>
      <c r="DY91" s="915">
        <f t="shared" si="188"/>
        <v>0</v>
      </c>
      <c r="DZ91" s="915">
        <f t="shared" si="189"/>
        <v>0</v>
      </c>
      <c r="EA91" s="915">
        <f t="shared" si="131"/>
        <v>0</v>
      </c>
      <c r="EB91" s="915">
        <f t="shared" si="240"/>
        <v>0</v>
      </c>
      <c r="EC91" s="915">
        <f t="shared" si="241"/>
        <v>0</v>
      </c>
      <c r="ED91" s="915">
        <f t="shared" si="242"/>
        <v>0</v>
      </c>
      <c r="EE91" s="915">
        <f t="shared" si="243"/>
        <v>0</v>
      </c>
      <c r="EF91" s="915">
        <f t="shared" si="244"/>
        <v>0</v>
      </c>
      <c r="EG91" s="915">
        <f t="shared" si="245"/>
        <v>0</v>
      </c>
      <c r="EH91" s="915">
        <f t="shared" si="246"/>
        <v>0</v>
      </c>
      <c r="EI91" s="915">
        <f t="shared" si="247"/>
        <v>0</v>
      </c>
      <c r="EJ91" s="915">
        <f t="shared" si="248"/>
        <v>0</v>
      </c>
      <c r="EK91" s="915">
        <f t="shared" si="249"/>
        <v>0</v>
      </c>
      <c r="EN91" s="533"/>
      <c r="EQ91" s="534"/>
    </row>
    <row r="92" spans="1:147" ht="12.75" customHeight="1" x14ac:dyDescent="0.2">
      <c r="A92" s="496">
        <v>85</v>
      </c>
      <c r="B92" s="1419"/>
      <c r="C92" s="1420"/>
      <c r="D92" s="264">
        <v>5</v>
      </c>
      <c r="E92" s="264" t="s">
        <v>1246</v>
      </c>
      <c r="F92" s="270" t="s">
        <v>2544</v>
      </c>
      <c r="G92" s="271">
        <v>1</v>
      </c>
      <c r="H92" s="803">
        <v>10</v>
      </c>
      <c r="I92" s="800">
        <f t="shared" si="250"/>
        <v>0</v>
      </c>
      <c r="J92" s="269">
        <f t="shared" si="130"/>
        <v>10</v>
      </c>
      <c r="K92" s="225"/>
      <c r="L92" s="941" t="str">
        <f>TabName5 &amp; " - ISoil"</f>
        <v>Phase 5 - ISoil</v>
      </c>
      <c r="M92" s="942">
        <f>DB6</f>
        <v>10</v>
      </c>
      <c r="V92" s="915">
        <f t="shared" si="132"/>
        <v>0</v>
      </c>
      <c r="W92" s="915">
        <f t="shared" si="133"/>
        <v>0</v>
      </c>
      <c r="X92" s="915">
        <f t="shared" si="134"/>
        <v>0</v>
      </c>
      <c r="Y92" s="915">
        <f t="shared" si="135"/>
        <v>0</v>
      </c>
      <c r="Z92" s="915">
        <f t="shared" si="136"/>
        <v>0</v>
      </c>
      <c r="AA92" s="915">
        <f t="shared" si="137"/>
        <v>0</v>
      </c>
      <c r="AB92" s="915">
        <f t="shared" si="138"/>
        <v>0</v>
      </c>
      <c r="AC92" s="915">
        <f t="shared" si="139"/>
        <v>0</v>
      </c>
      <c r="AD92" s="915">
        <f t="shared" si="140"/>
        <v>0</v>
      </c>
      <c r="AE92" s="915">
        <f t="shared" si="141"/>
        <v>0</v>
      </c>
      <c r="AF92" s="915">
        <f t="shared" si="190"/>
        <v>0</v>
      </c>
      <c r="AG92" s="915">
        <f t="shared" si="191"/>
        <v>0</v>
      </c>
      <c r="AH92" s="915">
        <f t="shared" si="192"/>
        <v>0</v>
      </c>
      <c r="AI92" s="915">
        <f t="shared" si="193"/>
        <v>0</v>
      </c>
      <c r="AJ92" s="915">
        <f t="shared" si="194"/>
        <v>0</v>
      </c>
      <c r="AK92" s="915">
        <f t="shared" si="195"/>
        <v>0</v>
      </c>
      <c r="AL92" s="915">
        <f t="shared" si="196"/>
        <v>0</v>
      </c>
      <c r="AM92" s="915">
        <f t="shared" si="197"/>
        <v>0</v>
      </c>
      <c r="AN92" s="915">
        <f t="shared" si="198"/>
        <v>0</v>
      </c>
      <c r="AO92" s="915">
        <f t="shared" si="199"/>
        <v>0</v>
      </c>
      <c r="AP92" s="915">
        <f t="shared" si="142"/>
        <v>0</v>
      </c>
      <c r="AQ92" s="915">
        <f t="shared" si="143"/>
        <v>0</v>
      </c>
      <c r="AR92" s="915">
        <f t="shared" si="144"/>
        <v>0</v>
      </c>
      <c r="AS92" s="915">
        <f t="shared" si="145"/>
        <v>0</v>
      </c>
      <c r="AT92" s="915">
        <f t="shared" si="146"/>
        <v>0</v>
      </c>
      <c r="AU92" s="915">
        <f t="shared" si="147"/>
        <v>0</v>
      </c>
      <c r="AV92" s="915">
        <f t="shared" si="148"/>
        <v>0</v>
      </c>
      <c r="AW92" s="915">
        <f t="shared" si="149"/>
        <v>0</v>
      </c>
      <c r="AX92" s="915">
        <f t="shared" si="150"/>
        <v>0</v>
      </c>
      <c r="AY92" s="915">
        <f t="shared" si="200"/>
        <v>0</v>
      </c>
      <c r="AZ92" s="915">
        <f t="shared" si="201"/>
        <v>0</v>
      </c>
      <c r="BA92" s="915">
        <f t="shared" si="202"/>
        <v>0</v>
      </c>
      <c r="BB92" s="915">
        <f t="shared" si="203"/>
        <v>0</v>
      </c>
      <c r="BC92" s="915">
        <f t="shared" si="204"/>
        <v>0</v>
      </c>
      <c r="BD92" s="915">
        <f t="shared" si="205"/>
        <v>0</v>
      </c>
      <c r="BE92" s="915">
        <f t="shared" si="206"/>
        <v>0</v>
      </c>
      <c r="BF92" s="915">
        <f t="shared" si="207"/>
        <v>0</v>
      </c>
      <c r="BG92" s="915">
        <f t="shared" si="208"/>
        <v>0</v>
      </c>
      <c r="BH92" s="915">
        <f t="shared" si="209"/>
        <v>0</v>
      </c>
      <c r="BI92" s="915">
        <f t="shared" si="210"/>
        <v>0</v>
      </c>
      <c r="BJ92" s="915">
        <f t="shared" si="151"/>
        <v>0</v>
      </c>
      <c r="BK92" s="915">
        <f t="shared" si="152"/>
        <v>0</v>
      </c>
      <c r="BL92" s="915">
        <f t="shared" si="153"/>
        <v>0</v>
      </c>
      <c r="BM92" s="915">
        <f t="shared" si="154"/>
        <v>0</v>
      </c>
      <c r="BN92" s="915">
        <f t="shared" si="155"/>
        <v>0</v>
      </c>
      <c r="BO92" s="915">
        <f t="shared" si="156"/>
        <v>0</v>
      </c>
      <c r="BP92" s="915">
        <f t="shared" si="157"/>
        <v>0</v>
      </c>
      <c r="BQ92" s="915">
        <f t="shared" si="158"/>
        <v>0</v>
      </c>
      <c r="BR92" s="915">
        <f t="shared" si="159"/>
        <v>0</v>
      </c>
      <c r="BS92" s="915">
        <f t="shared" si="160"/>
        <v>0</v>
      </c>
      <c r="BT92" s="915">
        <f t="shared" si="211"/>
        <v>0</v>
      </c>
      <c r="BU92" s="915">
        <f t="shared" si="211"/>
        <v>0</v>
      </c>
      <c r="BV92" s="915">
        <f t="shared" si="212"/>
        <v>0</v>
      </c>
      <c r="BW92" s="915">
        <f t="shared" si="213"/>
        <v>0</v>
      </c>
      <c r="BX92" s="915">
        <f t="shared" si="214"/>
        <v>0</v>
      </c>
      <c r="BY92" s="915">
        <f t="shared" si="215"/>
        <v>0</v>
      </c>
      <c r="BZ92" s="915">
        <f t="shared" si="216"/>
        <v>0</v>
      </c>
      <c r="CA92" s="915">
        <f t="shared" si="217"/>
        <v>0</v>
      </c>
      <c r="CB92" s="915">
        <f t="shared" si="218"/>
        <v>0</v>
      </c>
      <c r="CC92" s="915">
        <f t="shared" si="219"/>
        <v>0</v>
      </c>
      <c r="CD92" s="915">
        <f t="shared" si="161"/>
        <v>0</v>
      </c>
      <c r="CE92" s="915">
        <f t="shared" si="162"/>
        <v>0</v>
      </c>
      <c r="CF92" s="915">
        <f t="shared" si="163"/>
        <v>0</v>
      </c>
      <c r="CG92" s="915">
        <f t="shared" si="164"/>
        <v>0</v>
      </c>
      <c r="CH92" s="915">
        <f t="shared" si="165"/>
        <v>0</v>
      </c>
      <c r="CI92" s="915">
        <f t="shared" si="166"/>
        <v>0</v>
      </c>
      <c r="CJ92" s="915">
        <f t="shared" si="167"/>
        <v>0</v>
      </c>
      <c r="CK92" s="915">
        <f t="shared" si="168"/>
        <v>0</v>
      </c>
      <c r="CL92" s="915">
        <f t="shared" si="169"/>
        <v>0</v>
      </c>
      <c r="CM92" s="915">
        <f t="shared" si="170"/>
        <v>0</v>
      </c>
      <c r="CN92" s="915">
        <f t="shared" si="220"/>
        <v>0</v>
      </c>
      <c r="CO92" s="915">
        <f t="shared" si="221"/>
        <v>0</v>
      </c>
      <c r="CP92" s="915">
        <f t="shared" si="222"/>
        <v>0</v>
      </c>
      <c r="CQ92" s="915">
        <f t="shared" si="223"/>
        <v>0</v>
      </c>
      <c r="CR92" s="915">
        <f t="shared" si="224"/>
        <v>0</v>
      </c>
      <c r="CS92" s="915">
        <f t="shared" si="225"/>
        <v>0</v>
      </c>
      <c r="CT92" s="915">
        <f t="shared" si="226"/>
        <v>0</v>
      </c>
      <c r="CU92" s="915">
        <f t="shared" si="227"/>
        <v>0</v>
      </c>
      <c r="CV92" s="915">
        <f t="shared" si="228"/>
        <v>0</v>
      </c>
      <c r="CW92" s="915">
        <f t="shared" si="229"/>
        <v>0</v>
      </c>
      <c r="CX92" s="915">
        <f t="shared" si="171"/>
        <v>0</v>
      </c>
      <c r="CY92" s="915">
        <f t="shared" si="172"/>
        <v>0</v>
      </c>
      <c r="CZ92" s="915">
        <f t="shared" si="173"/>
        <v>0</v>
      </c>
      <c r="DA92" s="915">
        <f t="shared" si="174"/>
        <v>0</v>
      </c>
      <c r="DB92" s="915">
        <f t="shared" si="175"/>
        <v>10</v>
      </c>
      <c r="DC92" s="915">
        <f t="shared" si="176"/>
        <v>0</v>
      </c>
      <c r="DD92" s="915">
        <f t="shared" si="177"/>
        <v>0</v>
      </c>
      <c r="DE92" s="915">
        <f t="shared" si="178"/>
        <v>0</v>
      </c>
      <c r="DF92" s="915">
        <f t="shared" si="179"/>
        <v>0</v>
      </c>
      <c r="DG92" s="915">
        <f t="shared" si="180"/>
        <v>0</v>
      </c>
      <c r="DH92" s="915">
        <f t="shared" si="230"/>
        <v>0</v>
      </c>
      <c r="DI92" s="915">
        <f t="shared" si="231"/>
        <v>0</v>
      </c>
      <c r="DJ92" s="915">
        <f t="shared" si="232"/>
        <v>0</v>
      </c>
      <c r="DK92" s="915">
        <f t="shared" si="233"/>
        <v>0</v>
      </c>
      <c r="DL92" s="915">
        <f t="shared" si="234"/>
        <v>0</v>
      </c>
      <c r="DM92" s="915">
        <f t="shared" si="235"/>
        <v>0</v>
      </c>
      <c r="DN92" s="915">
        <f t="shared" si="236"/>
        <v>0</v>
      </c>
      <c r="DO92" s="915">
        <f t="shared" si="237"/>
        <v>0</v>
      </c>
      <c r="DP92" s="915">
        <f t="shared" si="238"/>
        <v>0</v>
      </c>
      <c r="DQ92" s="915">
        <f t="shared" si="239"/>
        <v>0</v>
      </c>
      <c r="DR92" s="915">
        <f t="shared" si="181"/>
        <v>0</v>
      </c>
      <c r="DS92" s="915">
        <f t="shared" si="182"/>
        <v>0</v>
      </c>
      <c r="DT92" s="915">
        <f t="shared" si="183"/>
        <v>0</v>
      </c>
      <c r="DU92" s="915">
        <f t="shared" si="184"/>
        <v>0</v>
      </c>
      <c r="DV92" s="915">
        <f t="shared" si="185"/>
        <v>0</v>
      </c>
      <c r="DW92" s="915">
        <f t="shared" si="186"/>
        <v>0</v>
      </c>
      <c r="DX92" s="915">
        <f t="shared" si="187"/>
        <v>0</v>
      </c>
      <c r="DY92" s="915">
        <f t="shared" si="188"/>
        <v>0</v>
      </c>
      <c r="DZ92" s="915">
        <f t="shared" si="189"/>
        <v>0</v>
      </c>
      <c r="EA92" s="915">
        <f t="shared" si="131"/>
        <v>0</v>
      </c>
      <c r="EB92" s="915">
        <f t="shared" si="240"/>
        <v>0</v>
      </c>
      <c r="EC92" s="915">
        <f t="shared" si="241"/>
        <v>0</v>
      </c>
      <c r="ED92" s="915">
        <f t="shared" si="242"/>
        <v>0</v>
      </c>
      <c r="EE92" s="915">
        <f t="shared" si="243"/>
        <v>0</v>
      </c>
      <c r="EF92" s="915">
        <f t="shared" si="244"/>
        <v>0</v>
      </c>
      <c r="EG92" s="915">
        <f t="shared" si="245"/>
        <v>0</v>
      </c>
      <c r="EH92" s="915">
        <f t="shared" si="246"/>
        <v>0</v>
      </c>
      <c r="EI92" s="915">
        <f t="shared" si="247"/>
        <v>0</v>
      </c>
      <c r="EJ92" s="915">
        <f t="shared" si="248"/>
        <v>0</v>
      </c>
      <c r="EK92" s="915">
        <f t="shared" si="249"/>
        <v>0</v>
      </c>
      <c r="EN92" s="533"/>
      <c r="EQ92" s="534"/>
    </row>
    <row r="93" spans="1:147" ht="15.75" customHeight="1" x14ac:dyDescent="0.2">
      <c r="A93" s="1026">
        <v>86</v>
      </c>
      <c r="B93" s="1005"/>
      <c r="C93" s="1008"/>
      <c r="D93" s="138">
        <v>6</v>
      </c>
      <c r="E93" s="138" t="s">
        <v>1246</v>
      </c>
      <c r="F93" s="139" t="s">
        <v>2544</v>
      </c>
      <c r="G93" s="91">
        <v>1</v>
      </c>
      <c r="H93" s="1022">
        <v>10</v>
      </c>
      <c r="I93" s="801">
        <f t="shared" si="250"/>
        <v>0</v>
      </c>
      <c r="J93" s="1021">
        <f t="shared" si="130"/>
        <v>10</v>
      </c>
      <c r="K93" s="225"/>
      <c r="L93" s="941" t="str">
        <f>TabName6 &amp; " - ISoil"</f>
        <v>Phase 6 - ISoil</v>
      </c>
      <c r="M93" s="942">
        <f>DC6</f>
        <v>10</v>
      </c>
      <c r="V93" s="915">
        <f t="shared" si="132"/>
        <v>0</v>
      </c>
      <c r="W93" s="915">
        <f t="shared" si="133"/>
        <v>0</v>
      </c>
      <c r="X93" s="915">
        <f t="shared" si="134"/>
        <v>0</v>
      </c>
      <c r="Y93" s="915">
        <f t="shared" si="135"/>
        <v>0</v>
      </c>
      <c r="Z93" s="915">
        <f t="shared" si="136"/>
        <v>0</v>
      </c>
      <c r="AA93" s="915">
        <f t="shared" si="137"/>
        <v>0</v>
      </c>
      <c r="AB93" s="915">
        <f t="shared" si="138"/>
        <v>0</v>
      </c>
      <c r="AC93" s="915">
        <f t="shared" si="139"/>
        <v>0</v>
      </c>
      <c r="AD93" s="915">
        <f t="shared" si="140"/>
        <v>0</v>
      </c>
      <c r="AE93" s="915">
        <f t="shared" si="141"/>
        <v>0</v>
      </c>
      <c r="AF93" s="915">
        <f t="shared" si="190"/>
        <v>0</v>
      </c>
      <c r="AG93" s="915">
        <f t="shared" si="191"/>
        <v>0</v>
      </c>
      <c r="AH93" s="915">
        <f t="shared" si="192"/>
        <v>0</v>
      </c>
      <c r="AI93" s="915">
        <f t="shared" si="193"/>
        <v>0</v>
      </c>
      <c r="AJ93" s="915">
        <f t="shared" si="194"/>
        <v>0</v>
      </c>
      <c r="AK93" s="915">
        <f t="shared" si="195"/>
        <v>0</v>
      </c>
      <c r="AL93" s="915">
        <f t="shared" si="196"/>
        <v>0</v>
      </c>
      <c r="AM93" s="915">
        <f t="shared" si="197"/>
        <v>0</v>
      </c>
      <c r="AN93" s="915">
        <f t="shared" si="198"/>
        <v>0</v>
      </c>
      <c r="AO93" s="915">
        <f t="shared" si="199"/>
        <v>0</v>
      </c>
      <c r="AP93" s="915">
        <f t="shared" si="142"/>
        <v>0</v>
      </c>
      <c r="AQ93" s="915">
        <f t="shared" si="143"/>
        <v>0</v>
      </c>
      <c r="AR93" s="915">
        <f t="shared" si="144"/>
        <v>0</v>
      </c>
      <c r="AS93" s="915">
        <f t="shared" si="145"/>
        <v>0</v>
      </c>
      <c r="AT93" s="915">
        <f t="shared" si="146"/>
        <v>0</v>
      </c>
      <c r="AU93" s="915">
        <f t="shared" si="147"/>
        <v>0</v>
      </c>
      <c r="AV93" s="915">
        <f t="shared" si="148"/>
        <v>0</v>
      </c>
      <c r="AW93" s="915">
        <f t="shared" si="149"/>
        <v>0</v>
      </c>
      <c r="AX93" s="915">
        <f t="shared" si="150"/>
        <v>0</v>
      </c>
      <c r="AY93" s="915">
        <f t="shared" si="200"/>
        <v>0</v>
      </c>
      <c r="AZ93" s="915">
        <f t="shared" si="201"/>
        <v>0</v>
      </c>
      <c r="BA93" s="915">
        <f t="shared" si="202"/>
        <v>0</v>
      </c>
      <c r="BB93" s="915">
        <f t="shared" si="203"/>
        <v>0</v>
      </c>
      <c r="BC93" s="915">
        <f t="shared" si="204"/>
        <v>0</v>
      </c>
      <c r="BD93" s="915">
        <f t="shared" si="205"/>
        <v>0</v>
      </c>
      <c r="BE93" s="915">
        <f t="shared" si="206"/>
        <v>0</v>
      </c>
      <c r="BF93" s="915">
        <f t="shared" si="207"/>
        <v>0</v>
      </c>
      <c r="BG93" s="915">
        <f t="shared" si="208"/>
        <v>0</v>
      </c>
      <c r="BH93" s="915">
        <f t="shared" si="209"/>
        <v>0</v>
      </c>
      <c r="BI93" s="915">
        <f t="shared" si="210"/>
        <v>0</v>
      </c>
      <c r="BJ93" s="915">
        <f t="shared" si="151"/>
        <v>0</v>
      </c>
      <c r="BK93" s="915">
        <f t="shared" si="152"/>
        <v>0</v>
      </c>
      <c r="BL93" s="915">
        <f t="shared" si="153"/>
        <v>0</v>
      </c>
      <c r="BM93" s="915">
        <f t="shared" si="154"/>
        <v>0</v>
      </c>
      <c r="BN93" s="915">
        <f t="shared" si="155"/>
        <v>0</v>
      </c>
      <c r="BO93" s="915">
        <f t="shared" si="156"/>
        <v>0</v>
      </c>
      <c r="BP93" s="915">
        <f t="shared" si="157"/>
        <v>0</v>
      </c>
      <c r="BQ93" s="915">
        <f t="shared" si="158"/>
        <v>0</v>
      </c>
      <c r="BR93" s="915">
        <f t="shared" si="159"/>
        <v>0</v>
      </c>
      <c r="BS93" s="915">
        <f t="shared" si="160"/>
        <v>0</v>
      </c>
      <c r="BT93" s="915">
        <f t="shared" si="211"/>
        <v>0</v>
      </c>
      <c r="BU93" s="915">
        <f t="shared" si="211"/>
        <v>0</v>
      </c>
      <c r="BV93" s="915">
        <f t="shared" si="212"/>
        <v>0</v>
      </c>
      <c r="BW93" s="915">
        <f t="shared" si="213"/>
        <v>0</v>
      </c>
      <c r="BX93" s="915">
        <f t="shared" si="214"/>
        <v>0</v>
      </c>
      <c r="BY93" s="915">
        <f t="shared" si="215"/>
        <v>0</v>
      </c>
      <c r="BZ93" s="915">
        <f t="shared" si="216"/>
        <v>0</v>
      </c>
      <c r="CA93" s="915">
        <f t="shared" si="217"/>
        <v>0</v>
      </c>
      <c r="CB93" s="915">
        <f t="shared" si="218"/>
        <v>0</v>
      </c>
      <c r="CC93" s="915">
        <f t="shared" si="219"/>
        <v>0</v>
      </c>
      <c r="CD93" s="915">
        <f t="shared" si="161"/>
        <v>0</v>
      </c>
      <c r="CE93" s="915">
        <f t="shared" si="162"/>
        <v>0</v>
      </c>
      <c r="CF93" s="915">
        <f t="shared" si="163"/>
        <v>0</v>
      </c>
      <c r="CG93" s="915">
        <f t="shared" si="164"/>
        <v>0</v>
      </c>
      <c r="CH93" s="915">
        <f t="shared" si="165"/>
        <v>0</v>
      </c>
      <c r="CI93" s="915">
        <f t="shared" si="166"/>
        <v>0</v>
      </c>
      <c r="CJ93" s="915">
        <f t="shared" si="167"/>
        <v>0</v>
      </c>
      <c r="CK93" s="915">
        <f t="shared" si="168"/>
        <v>0</v>
      </c>
      <c r="CL93" s="915">
        <f t="shared" si="169"/>
        <v>0</v>
      </c>
      <c r="CM93" s="915">
        <f t="shared" si="170"/>
        <v>0</v>
      </c>
      <c r="CN93" s="915">
        <f t="shared" si="220"/>
        <v>0</v>
      </c>
      <c r="CO93" s="915">
        <f t="shared" si="221"/>
        <v>0</v>
      </c>
      <c r="CP93" s="915">
        <f t="shared" si="222"/>
        <v>0</v>
      </c>
      <c r="CQ93" s="915">
        <f t="shared" si="223"/>
        <v>0</v>
      </c>
      <c r="CR93" s="915">
        <f t="shared" si="224"/>
        <v>0</v>
      </c>
      <c r="CS93" s="915">
        <f t="shared" si="225"/>
        <v>0</v>
      </c>
      <c r="CT93" s="915">
        <f t="shared" si="226"/>
        <v>0</v>
      </c>
      <c r="CU93" s="915">
        <f t="shared" si="227"/>
        <v>0</v>
      </c>
      <c r="CV93" s="915">
        <f t="shared" si="228"/>
        <v>0</v>
      </c>
      <c r="CW93" s="915">
        <f t="shared" si="229"/>
        <v>0</v>
      </c>
      <c r="CX93" s="915">
        <f t="shared" si="171"/>
        <v>0</v>
      </c>
      <c r="CY93" s="915">
        <f t="shared" si="172"/>
        <v>0</v>
      </c>
      <c r="CZ93" s="915">
        <f t="shared" si="173"/>
        <v>0</v>
      </c>
      <c r="DA93" s="915">
        <f t="shared" si="174"/>
        <v>0</v>
      </c>
      <c r="DB93" s="915">
        <f t="shared" si="175"/>
        <v>0</v>
      </c>
      <c r="DC93" s="915">
        <f t="shared" si="176"/>
        <v>10</v>
      </c>
      <c r="DD93" s="915">
        <f t="shared" si="177"/>
        <v>0</v>
      </c>
      <c r="DE93" s="915">
        <f t="shared" si="178"/>
        <v>0</v>
      </c>
      <c r="DF93" s="915">
        <f t="shared" si="179"/>
        <v>0</v>
      </c>
      <c r="DG93" s="915">
        <f t="shared" si="180"/>
        <v>0</v>
      </c>
      <c r="DH93" s="915">
        <f t="shared" si="230"/>
        <v>0</v>
      </c>
      <c r="DI93" s="915">
        <f t="shared" si="231"/>
        <v>0</v>
      </c>
      <c r="DJ93" s="915">
        <f t="shared" si="232"/>
        <v>0</v>
      </c>
      <c r="DK93" s="915">
        <f t="shared" si="233"/>
        <v>0</v>
      </c>
      <c r="DL93" s="915">
        <f t="shared" si="234"/>
        <v>0</v>
      </c>
      <c r="DM93" s="915">
        <f t="shared" si="235"/>
        <v>0</v>
      </c>
      <c r="DN93" s="915">
        <f t="shared" si="236"/>
        <v>0</v>
      </c>
      <c r="DO93" s="915">
        <f t="shared" si="237"/>
        <v>0</v>
      </c>
      <c r="DP93" s="915">
        <f t="shared" si="238"/>
        <v>0</v>
      </c>
      <c r="DQ93" s="915">
        <f t="shared" si="239"/>
        <v>0</v>
      </c>
      <c r="DR93" s="915">
        <f t="shared" si="181"/>
        <v>0</v>
      </c>
      <c r="DS93" s="915">
        <f t="shared" si="182"/>
        <v>0</v>
      </c>
      <c r="DT93" s="915">
        <f t="shared" si="183"/>
        <v>0</v>
      </c>
      <c r="DU93" s="915">
        <f t="shared" si="184"/>
        <v>0</v>
      </c>
      <c r="DV93" s="915">
        <f t="shared" si="185"/>
        <v>0</v>
      </c>
      <c r="DW93" s="915">
        <f t="shared" si="186"/>
        <v>0</v>
      </c>
      <c r="DX93" s="915">
        <f t="shared" si="187"/>
        <v>0</v>
      </c>
      <c r="DY93" s="915">
        <f t="shared" si="188"/>
        <v>0</v>
      </c>
      <c r="DZ93" s="915">
        <f t="shared" si="189"/>
        <v>0</v>
      </c>
      <c r="EA93" s="915">
        <f t="shared" si="131"/>
        <v>0</v>
      </c>
      <c r="EB93" s="915">
        <f t="shared" si="240"/>
        <v>0</v>
      </c>
      <c r="EC93" s="915">
        <f t="shared" si="241"/>
        <v>0</v>
      </c>
      <c r="ED93" s="915">
        <f t="shared" si="242"/>
        <v>0</v>
      </c>
      <c r="EE93" s="915">
        <f t="shared" si="243"/>
        <v>0</v>
      </c>
      <c r="EF93" s="915">
        <f t="shared" si="244"/>
        <v>0</v>
      </c>
      <c r="EG93" s="915">
        <f t="shared" si="245"/>
        <v>0</v>
      </c>
      <c r="EH93" s="915">
        <f t="shared" si="246"/>
        <v>0</v>
      </c>
      <c r="EI93" s="915">
        <f t="shared" si="247"/>
        <v>0</v>
      </c>
      <c r="EJ93" s="915">
        <f t="shared" si="248"/>
        <v>0</v>
      </c>
      <c r="EK93" s="915">
        <f t="shared" si="249"/>
        <v>0</v>
      </c>
      <c r="EN93" s="533"/>
      <c r="EQ93" s="534"/>
    </row>
    <row r="94" spans="1:147" ht="12.75" customHeight="1" x14ac:dyDescent="0.2">
      <c r="A94" s="496">
        <v>87</v>
      </c>
      <c r="B94" s="1419"/>
      <c r="C94" s="1420"/>
      <c r="D94" s="264">
        <v>7</v>
      </c>
      <c r="E94" s="264" t="s">
        <v>1246</v>
      </c>
      <c r="F94" s="270" t="s">
        <v>2544</v>
      </c>
      <c r="G94" s="271">
        <v>1</v>
      </c>
      <c r="H94" s="803">
        <v>10</v>
      </c>
      <c r="I94" s="800">
        <f t="shared" si="250"/>
        <v>0</v>
      </c>
      <c r="J94" s="269">
        <f t="shared" si="130"/>
        <v>10</v>
      </c>
      <c r="K94" s="225"/>
      <c r="L94" s="941" t="str">
        <f>TabName7 &amp; " - ISoil"</f>
        <v>Phase 7 - ISoil</v>
      </c>
      <c r="M94" s="942">
        <f>DD6</f>
        <v>10</v>
      </c>
      <c r="V94" s="915">
        <f t="shared" si="132"/>
        <v>0</v>
      </c>
      <c r="W94" s="915">
        <f t="shared" si="133"/>
        <v>0</v>
      </c>
      <c r="X94" s="915">
        <f t="shared" si="134"/>
        <v>0</v>
      </c>
      <c r="Y94" s="915">
        <f t="shared" si="135"/>
        <v>0</v>
      </c>
      <c r="Z94" s="915">
        <f t="shared" si="136"/>
        <v>0</v>
      </c>
      <c r="AA94" s="915">
        <f t="shared" si="137"/>
        <v>0</v>
      </c>
      <c r="AB94" s="915">
        <f t="shared" si="138"/>
        <v>0</v>
      </c>
      <c r="AC94" s="915">
        <f t="shared" si="139"/>
        <v>0</v>
      </c>
      <c r="AD94" s="915">
        <f t="shared" si="140"/>
        <v>0</v>
      </c>
      <c r="AE94" s="915">
        <f t="shared" si="141"/>
        <v>0</v>
      </c>
      <c r="AF94" s="915">
        <f t="shared" si="190"/>
        <v>0</v>
      </c>
      <c r="AG94" s="915">
        <f t="shared" si="191"/>
        <v>0</v>
      </c>
      <c r="AH94" s="915">
        <f t="shared" si="192"/>
        <v>0</v>
      </c>
      <c r="AI94" s="915">
        <f t="shared" si="193"/>
        <v>0</v>
      </c>
      <c r="AJ94" s="915">
        <f t="shared" si="194"/>
        <v>0</v>
      </c>
      <c r="AK94" s="915">
        <f t="shared" si="195"/>
        <v>0</v>
      </c>
      <c r="AL94" s="915">
        <f t="shared" si="196"/>
        <v>0</v>
      </c>
      <c r="AM94" s="915">
        <f t="shared" si="197"/>
        <v>0</v>
      </c>
      <c r="AN94" s="915">
        <f t="shared" si="198"/>
        <v>0</v>
      </c>
      <c r="AO94" s="915">
        <f t="shared" si="199"/>
        <v>0</v>
      </c>
      <c r="AP94" s="915">
        <f t="shared" si="142"/>
        <v>0</v>
      </c>
      <c r="AQ94" s="915">
        <f t="shared" si="143"/>
        <v>0</v>
      </c>
      <c r="AR94" s="915">
        <f t="shared" si="144"/>
        <v>0</v>
      </c>
      <c r="AS94" s="915">
        <f t="shared" si="145"/>
        <v>0</v>
      </c>
      <c r="AT94" s="915">
        <f t="shared" si="146"/>
        <v>0</v>
      </c>
      <c r="AU94" s="915">
        <f t="shared" si="147"/>
        <v>0</v>
      </c>
      <c r="AV94" s="915">
        <f t="shared" si="148"/>
        <v>0</v>
      </c>
      <c r="AW94" s="915">
        <f t="shared" si="149"/>
        <v>0</v>
      </c>
      <c r="AX94" s="915">
        <f t="shared" si="150"/>
        <v>0</v>
      </c>
      <c r="AY94" s="915">
        <f t="shared" si="200"/>
        <v>0</v>
      </c>
      <c r="AZ94" s="915">
        <f t="shared" si="201"/>
        <v>0</v>
      </c>
      <c r="BA94" s="915">
        <f t="shared" si="202"/>
        <v>0</v>
      </c>
      <c r="BB94" s="915">
        <f t="shared" si="203"/>
        <v>0</v>
      </c>
      <c r="BC94" s="915">
        <f t="shared" si="204"/>
        <v>0</v>
      </c>
      <c r="BD94" s="915">
        <f t="shared" si="205"/>
        <v>0</v>
      </c>
      <c r="BE94" s="915">
        <f t="shared" si="206"/>
        <v>0</v>
      </c>
      <c r="BF94" s="915">
        <f t="shared" si="207"/>
        <v>0</v>
      </c>
      <c r="BG94" s="915">
        <f t="shared" si="208"/>
        <v>0</v>
      </c>
      <c r="BH94" s="915">
        <f t="shared" si="209"/>
        <v>0</v>
      </c>
      <c r="BI94" s="915">
        <f t="shared" si="210"/>
        <v>0</v>
      </c>
      <c r="BJ94" s="915">
        <f t="shared" si="151"/>
        <v>0</v>
      </c>
      <c r="BK94" s="915">
        <f t="shared" si="152"/>
        <v>0</v>
      </c>
      <c r="BL94" s="915">
        <f t="shared" si="153"/>
        <v>0</v>
      </c>
      <c r="BM94" s="915">
        <f t="shared" si="154"/>
        <v>0</v>
      </c>
      <c r="BN94" s="915">
        <f t="shared" si="155"/>
        <v>0</v>
      </c>
      <c r="BO94" s="915">
        <f t="shared" si="156"/>
        <v>0</v>
      </c>
      <c r="BP94" s="915">
        <f t="shared" si="157"/>
        <v>0</v>
      </c>
      <c r="BQ94" s="915">
        <f t="shared" si="158"/>
        <v>0</v>
      </c>
      <c r="BR94" s="915">
        <f t="shared" si="159"/>
        <v>0</v>
      </c>
      <c r="BS94" s="915">
        <f t="shared" si="160"/>
        <v>0</v>
      </c>
      <c r="BT94" s="915">
        <f t="shared" si="211"/>
        <v>0</v>
      </c>
      <c r="BU94" s="915">
        <f t="shared" si="211"/>
        <v>0</v>
      </c>
      <c r="BV94" s="915">
        <f t="shared" si="212"/>
        <v>0</v>
      </c>
      <c r="BW94" s="915">
        <f t="shared" si="213"/>
        <v>0</v>
      </c>
      <c r="BX94" s="915">
        <f t="shared" si="214"/>
        <v>0</v>
      </c>
      <c r="BY94" s="915">
        <f t="shared" si="215"/>
        <v>0</v>
      </c>
      <c r="BZ94" s="915">
        <f t="shared" si="216"/>
        <v>0</v>
      </c>
      <c r="CA94" s="915">
        <f t="shared" si="217"/>
        <v>0</v>
      </c>
      <c r="CB94" s="915">
        <f t="shared" si="218"/>
        <v>0</v>
      </c>
      <c r="CC94" s="915">
        <f t="shared" si="219"/>
        <v>0</v>
      </c>
      <c r="CD94" s="915">
        <f t="shared" si="161"/>
        <v>0</v>
      </c>
      <c r="CE94" s="915">
        <f t="shared" si="162"/>
        <v>0</v>
      </c>
      <c r="CF94" s="915">
        <f t="shared" si="163"/>
        <v>0</v>
      </c>
      <c r="CG94" s="915">
        <f t="shared" si="164"/>
        <v>0</v>
      </c>
      <c r="CH94" s="915">
        <f t="shared" si="165"/>
        <v>0</v>
      </c>
      <c r="CI94" s="915">
        <f t="shared" si="166"/>
        <v>0</v>
      </c>
      <c r="CJ94" s="915">
        <f t="shared" si="167"/>
        <v>0</v>
      </c>
      <c r="CK94" s="915">
        <f t="shared" si="168"/>
        <v>0</v>
      </c>
      <c r="CL94" s="915">
        <f t="shared" si="169"/>
        <v>0</v>
      </c>
      <c r="CM94" s="915">
        <f t="shared" si="170"/>
        <v>0</v>
      </c>
      <c r="CN94" s="915">
        <f t="shared" si="220"/>
        <v>0</v>
      </c>
      <c r="CO94" s="915">
        <f t="shared" si="221"/>
        <v>0</v>
      </c>
      <c r="CP94" s="915">
        <f t="shared" si="222"/>
        <v>0</v>
      </c>
      <c r="CQ94" s="915">
        <f t="shared" si="223"/>
        <v>0</v>
      </c>
      <c r="CR94" s="915">
        <f t="shared" si="224"/>
        <v>0</v>
      </c>
      <c r="CS94" s="915">
        <f t="shared" si="225"/>
        <v>0</v>
      </c>
      <c r="CT94" s="915">
        <f t="shared" si="226"/>
        <v>0</v>
      </c>
      <c r="CU94" s="915">
        <f t="shared" si="227"/>
        <v>0</v>
      </c>
      <c r="CV94" s="915">
        <f t="shared" si="228"/>
        <v>0</v>
      </c>
      <c r="CW94" s="915">
        <f t="shared" si="229"/>
        <v>0</v>
      </c>
      <c r="CX94" s="915">
        <f t="shared" si="171"/>
        <v>0</v>
      </c>
      <c r="CY94" s="915">
        <f t="shared" si="172"/>
        <v>0</v>
      </c>
      <c r="CZ94" s="915">
        <f t="shared" si="173"/>
        <v>0</v>
      </c>
      <c r="DA94" s="915">
        <f t="shared" si="174"/>
        <v>0</v>
      </c>
      <c r="DB94" s="915">
        <f t="shared" si="175"/>
        <v>0</v>
      </c>
      <c r="DC94" s="915">
        <f t="shared" si="176"/>
        <v>0</v>
      </c>
      <c r="DD94" s="915">
        <f t="shared" si="177"/>
        <v>10</v>
      </c>
      <c r="DE94" s="915">
        <f t="shared" si="178"/>
        <v>0</v>
      </c>
      <c r="DF94" s="915">
        <f t="shared" si="179"/>
        <v>0</v>
      </c>
      <c r="DG94" s="915">
        <f t="shared" si="180"/>
        <v>0</v>
      </c>
      <c r="DH94" s="915">
        <f t="shared" si="230"/>
        <v>0</v>
      </c>
      <c r="DI94" s="915">
        <f t="shared" si="231"/>
        <v>0</v>
      </c>
      <c r="DJ94" s="915">
        <f t="shared" si="232"/>
        <v>0</v>
      </c>
      <c r="DK94" s="915">
        <f t="shared" si="233"/>
        <v>0</v>
      </c>
      <c r="DL94" s="915">
        <f t="shared" si="234"/>
        <v>0</v>
      </c>
      <c r="DM94" s="915">
        <f t="shared" si="235"/>
        <v>0</v>
      </c>
      <c r="DN94" s="915">
        <f t="shared" si="236"/>
        <v>0</v>
      </c>
      <c r="DO94" s="915">
        <f t="shared" si="237"/>
        <v>0</v>
      </c>
      <c r="DP94" s="915">
        <f t="shared" si="238"/>
        <v>0</v>
      </c>
      <c r="DQ94" s="915">
        <f t="shared" si="239"/>
        <v>0</v>
      </c>
      <c r="DR94" s="915">
        <f t="shared" si="181"/>
        <v>0</v>
      </c>
      <c r="DS94" s="915">
        <f t="shared" si="182"/>
        <v>0</v>
      </c>
      <c r="DT94" s="915">
        <f t="shared" si="183"/>
        <v>0</v>
      </c>
      <c r="DU94" s="915">
        <f t="shared" si="184"/>
        <v>0</v>
      </c>
      <c r="DV94" s="915">
        <f t="shared" si="185"/>
        <v>0</v>
      </c>
      <c r="DW94" s="915">
        <f t="shared" si="186"/>
        <v>0</v>
      </c>
      <c r="DX94" s="915">
        <f t="shared" si="187"/>
        <v>0</v>
      </c>
      <c r="DY94" s="915">
        <f t="shared" si="188"/>
        <v>0</v>
      </c>
      <c r="DZ94" s="915">
        <f t="shared" si="189"/>
        <v>0</v>
      </c>
      <c r="EA94" s="915">
        <f t="shared" si="131"/>
        <v>0</v>
      </c>
      <c r="EB94" s="915">
        <f t="shared" si="240"/>
        <v>0</v>
      </c>
      <c r="EC94" s="915">
        <f t="shared" si="241"/>
        <v>0</v>
      </c>
      <c r="ED94" s="915">
        <f t="shared" si="242"/>
        <v>0</v>
      </c>
      <c r="EE94" s="915">
        <f t="shared" si="243"/>
        <v>0</v>
      </c>
      <c r="EF94" s="915">
        <f t="shared" si="244"/>
        <v>0</v>
      </c>
      <c r="EG94" s="915">
        <f t="shared" si="245"/>
        <v>0</v>
      </c>
      <c r="EH94" s="915">
        <f t="shared" si="246"/>
        <v>0</v>
      </c>
      <c r="EI94" s="915">
        <f t="shared" si="247"/>
        <v>0</v>
      </c>
      <c r="EJ94" s="915">
        <f t="shared" si="248"/>
        <v>0</v>
      </c>
      <c r="EK94" s="915">
        <f t="shared" si="249"/>
        <v>0</v>
      </c>
      <c r="EN94" s="533"/>
      <c r="EQ94" s="534"/>
    </row>
    <row r="95" spans="1:147" ht="15.75" customHeight="1" x14ac:dyDescent="0.2">
      <c r="A95" s="1026">
        <v>88</v>
      </c>
      <c r="B95" s="1005"/>
      <c r="C95" s="1008"/>
      <c r="D95" s="138">
        <v>8</v>
      </c>
      <c r="E95" s="138" t="s">
        <v>1246</v>
      </c>
      <c r="F95" s="139" t="s">
        <v>2544</v>
      </c>
      <c r="G95" s="91">
        <v>1</v>
      </c>
      <c r="H95" s="802">
        <v>10</v>
      </c>
      <c r="I95" s="801">
        <f t="shared" si="250"/>
        <v>0</v>
      </c>
      <c r="J95" s="1021">
        <f t="shared" si="130"/>
        <v>10</v>
      </c>
      <c r="K95" s="225"/>
      <c r="L95" s="941" t="str">
        <f>TabName8 &amp; " - ISoil"</f>
        <v>Phase 8 - ISoil</v>
      </c>
      <c r="M95" s="942">
        <f>DE6</f>
        <v>10</v>
      </c>
      <c r="V95" s="915">
        <f t="shared" si="132"/>
        <v>0</v>
      </c>
      <c r="W95" s="915">
        <f t="shared" si="133"/>
        <v>0</v>
      </c>
      <c r="X95" s="915">
        <f t="shared" si="134"/>
        <v>0</v>
      </c>
      <c r="Y95" s="915">
        <f t="shared" si="135"/>
        <v>0</v>
      </c>
      <c r="Z95" s="915">
        <f t="shared" si="136"/>
        <v>0</v>
      </c>
      <c r="AA95" s="915">
        <f t="shared" si="137"/>
        <v>0</v>
      </c>
      <c r="AB95" s="915">
        <f t="shared" si="138"/>
        <v>0</v>
      </c>
      <c r="AC95" s="915">
        <f t="shared" si="139"/>
        <v>0</v>
      </c>
      <c r="AD95" s="915">
        <f t="shared" si="140"/>
        <v>0</v>
      </c>
      <c r="AE95" s="915">
        <f t="shared" si="141"/>
        <v>0</v>
      </c>
      <c r="AF95" s="915">
        <f t="shared" si="190"/>
        <v>0</v>
      </c>
      <c r="AG95" s="915">
        <f t="shared" si="191"/>
        <v>0</v>
      </c>
      <c r="AH95" s="915">
        <f t="shared" si="192"/>
        <v>0</v>
      </c>
      <c r="AI95" s="915">
        <f t="shared" si="193"/>
        <v>0</v>
      </c>
      <c r="AJ95" s="915">
        <f t="shared" si="194"/>
        <v>0</v>
      </c>
      <c r="AK95" s="915">
        <f t="shared" si="195"/>
        <v>0</v>
      </c>
      <c r="AL95" s="915">
        <f t="shared" si="196"/>
        <v>0</v>
      </c>
      <c r="AM95" s="915">
        <f t="shared" si="197"/>
        <v>0</v>
      </c>
      <c r="AN95" s="915">
        <f t="shared" si="198"/>
        <v>0</v>
      </c>
      <c r="AO95" s="915">
        <f t="shared" si="199"/>
        <v>0</v>
      </c>
      <c r="AP95" s="915">
        <f t="shared" si="142"/>
        <v>0</v>
      </c>
      <c r="AQ95" s="915">
        <f t="shared" si="143"/>
        <v>0</v>
      </c>
      <c r="AR95" s="915">
        <f t="shared" si="144"/>
        <v>0</v>
      </c>
      <c r="AS95" s="915">
        <f t="shared" si="145"/>
        <v>0</v>
      </c>
      <c r="AT95" s="915">
        <f t="shared" si="146"/>
        <v>0</v>
      </c>
      <c r="AU95" s="915">
        <f t="shared" si="147"/>
        <v>0</v>
      </c>
      <c r="AV95" s="915">
        <f t="shared" si="148"/>
        <v>0</v>
      </c>
      <c r="AW95" s="915">
        <f t="shared" si="149"/>
        <v>0</v>
      </c>
      <c r="AX95" s="915">
        <f t="shared" si="150"/>
        <v>0</v>
      </c>
      <c r="AY95" s="915">
        <f t="shared" si="200"/>
        <v>0</v>
      </c>
      <c r="AZ95" s="915">
        <f t="shared" si="201"/>
        <v>0</v>
      </c>
      <c r="BA95" s="915">
        <f t="shared" si="202"/>
        <v>0</v>
      </c>
      <c r="BB95" s="915">
        <f t="shared" si="203"/>
        <v>0</v>
      </c>
      <c r="BC95" s="915">
        <f t="shared" si="204"/>
        <v>0</v>
      </c>
      <c r="BD95" s="915">
        <f t="shared" si="205"/>
        <v>0</v>
      </c>
      <c r="BE95" s="915">
        <f t="shared" si="206"/>
        <v>0</v>
      </c>
      <c r="BF95" s="915">
        <f t="shared" si="207"/>
        <v>0</v>
      </c>
      <c r="BG95" s="915">
        <f t="shared" si="208"/>
        <v>0</v>
      </c>
      <c r="BH95" s="915">
        <f t="shared" si="209"/>
        <v>0</v>
      </c>
      <c r="BI95" s="915">
        <f t="shared" si="210"/>
        <v>0</v>
      </c>
      <c r="BJ95" s="915">
        <f t="shared" si="151"/>
        <v>0</v>
      </c>
      <c r="BK95" s="915">
        <f t="shared" si="152"/>
        <v>0</v>
      </c>
      <c r="BL95" s="915">
        <f t="shared" si="153"/>
        <v>0</v>
      </c>
      <c r="BM95" s="915">
        <f t="shared" si="154"/>
        <v>0</v>
      </c>
      <c r="BN95" s="915">
        <f t="shared" si="155"/>
        <v>0</v>
      </c>
      <c r="BO95" s="915">
        <f t="shared" si="156"/>
        <v>0</v>
      </c>
      <c r="BP95" s="915">
        <f t="shared" si="157"/>
        <v>0</v>
      </c>
      <c r="BQ95" s="915">
        <f t="shared" si="158"/>
        <v>0</v>
      </c>
      <c r="BR95" s="915">
        <f t="shared" si="159"/>
        <v>0</v>
      </c>
      <c r="BS95" s="915">
        <f t="shared" si="160"/>
        <v>0</v>
      </c>
      <c r="BT95" s="915">
        <f t="shared" si="211"/>
        <v>0</v>
      </c>
      <c r="BU95" s="915">
        <f t="shared" si="211"/>
        <v>0</v>
      </c>
      <c r="BV95" s="915">
        <f t="shared" si="212"/>
        <v>0</v>
      </c>
      <c r="BW95" s="915">
        <f t="shared" si="213"/>
        <v>0</v>
      </c>
      <c r="BX95" s="915">
        <f t="shared" si="214"/>
        <v>0</v>
      </c>
      <c r="BY95" s="915">
        <f t="shared" si="215"/>
        <v>0</v>
      </c>
      <c r="BZ95" s="915">
        <f t="shared" si="216"/>
        <v>0</v>
      </c>
      <c r="CA95" s="915">
        <f t="shared" si="217"/>
        <v>0</v>
      </c>
      <c r="CB95" s="915">
        <f t="shared" si="218"/>
        <v>0</v>
      </c>
      <c r="CC95" s="915">
        <f t="shared" si="219"/>
        <v>0</v>
      </c>
      <c r="CD95" s="915">
        <f t="shared" si="161"/>
        <v>0</v>
      </c>
      <c r="CE95" s="915">
        <f t="shared" si="162"/>
        <v>0</v>
      </c>
      <c r="CF95" s="915">
        <f t="shared" si="163"/>
        <v>0</v>
      </c>
      <c r="CG95" s="915">
        <f t="shared" si="164"/>
        <v>0</v>
      </c>
      <c r="CH95" s="915">
        <f t="shared" si="165"/>
        <v>0</v>
      </c>
      <c r="CI95" s="915">
        <f t="shared" si="166"/>
        <v>0</v>
      </c>
      <c r="CJ95" s="915">
        <f t="shared" si="167"/>
        <v>0</v>
      </c>
      <c r="CK95" s="915">
        <f t="shared" si="168"/>
        <v>0</v>
      </c>
      <c r="CL95" s="915">
        <f t="shared" si="169"/>
        <v>0</v>
      </c>
      <c r="CM95" s="915">
        <f t="shared" si="170"/>
        <v>0</v>
      </c>
      <c r="CN95" s="915">
        <f t="shared" si="220"/>
        <v>0</v>
      </c>
      <c r="CO95" s="915">
        <f t="shared" si="221"/>
        <v>0</v>
      </c>
      <c r="CP95" s="915">
        <f t="shared" si="222"/>
        <v>0</v>
      </c>
      <c r="CQ95" s="915">
        <f t="shared" si="223"/>
        <v>0</v>
      </c>
      <c r="CR95" s="915">
        <f t="shared" si="224"/>
        <v>0</v>
      </c>
      <c r="CS95" s="915">
        <f t="shared" si="225"/>
        <v>0</v>
      </c>
      <c r="CT95" s="915">
        <f t="shared" si="226"/>
        <v>0</v>
      </c>
      <c r="CU95" s="915">
        <f t="shared" si="227"/>
        <v>0</v>
      </c>
      <c r="CV95" s="915">
        <f t="shared" si="228"/>
        <v>0</v>
      </c>
      <c r="CW95" s="915">
        <f t="shared" si="229"/>
        <v>0</v>
      </c>
      <c r="CX95" s="915">
        <f t="shared" si="171"/>
        <v>0</v>
      </c>
      <c r="CY95" s="915">
        <f t="shared" si="172"/>
        <v>0</v>
      </c>
      <c r="CZ95" s="915">
        <f t="shared" si="173"/>
        <v>0</v>
      </c>
      <c r="DA95" s="915">
        <f t="shared" si="174"/>
        <v>0</v>
      </c>
      <c r="DB95" s="915">
        <f t="shared" si="175"/>
        <v>0</v>
      </c>
      <c r="DC95" s="915">
        <f t="shared" si="176"/>
        <v>0</v>
      </c>
      <c r="DD95" s="915">
        <f t="shared" si="177"/>
        <v>0</v>
      </c>
      <c r="DE95" s="915">
        <f t="shared" si="178"/>
        <v>10</v>
      </c>
      <c r="DF95" s="915">
        <f t="shared" si="179"/>
        <v>0</v>
      </c>
      <c r="DG95" s="915">
        <f t="shared" si="180"/>
        <v>0</v>
      </c>
      <c r="DH95" s="915">
        <f t="shared" si="230"/>
        <v>0</v>
      </c>
      <c r="DI95" s="915">
        <f t="shared" si="231"/>
        <v>0</v>
      </c>
      <c r="DJ95" s="915">
        <f t="shared" si="232"/>
        <v>0</v>
      </c>
      <c r="DK95" s="915">
        <f t="shared" si="233"/>
        <v>0</v>
      </c>
      <c r="DL95" s="915">
        <f t="shared" si="234"/>
        <v>0</v>
      </c>
      <c r="DM95" s="915">
        <f t="shared" si="235"/>
        <v>0</v>
      </c>
      <c r="DN95" s="915">
        <f t="shared" si="236"/>
        <v>0</v>
      </c>
      <c r="DO95" s="915">
        <f t="shared" si="237"/>
        <v>0</v>
      </c>
      <c r="DP95" s="915">
        <f t="shared" si="238"/>
        <v>0</v>
      </c>
      <c r="DQ95" s="915">
        <f t="shared" si="239"/>
        <v>0</v>
      </c>
      <c r="DR95" s="915">
        <f t="shared" si="181"/>
        <v>0</v>
      </c>
      <c r="DS95" s="915">
        <f t="shared" si="182"/>
        <v>0</v>
      </c>
      <c r="DT95" s="915">
        <f t="shared" si="183"/>
        <v>0</v>
      </c>
      <c r="DU95" s="915">
        <f t="shared" si="184"/>
        <v>0</v>
      </c>
      <c r="DV95" s="915">
        <f t="shared" si="185"/>
        <v>0</v>
      </c>
      <c r="DW95" s="915">
        <f t="shared" si="186"/>
        <v>0</v>
      </c>
      <c r="DX95" s="915">
        <f t="shared" si="187"/>
        <v>0</v>
      </c>
      <c r="DY95" s="915">
        <f t="shared" si="188"/>
        <v>0</v>
      </c>
      <c r="DZ95" s="915">
        <f t="shared" si="189"/>
        <v>0</v>
      </c>
      <c r="EA95" s="915">
        <f t="shared" si="131"/>
        <v>0</v>
      </c>
      <c r="EB95" s="915">
        <f t="shared" si="240"/>
        <v>0</v>
      </c>
      <c r="EC95" s="915">
        <f t="shared" si="241"/>
        <v>0</v>
      </c>
      <c r="ED95" s="915">
        <f t="shared" si="242"/>
        <v>0</v>
      </c>
      <c r="EE95" s="915">
        <f t="shared" si="243"/>
        <v>0</v>
      </c>
      <c r="EF95" s="915">
        <f t="shared" si="244"/>
        <v>0</v>
      </c>
      <c r="EG95" s="915">
        <f t="shared" si="245"/>
        <v>0</v>
      </c>
      <c r="EH95" s="915">
        <f t="shared" si="246"/>
        <v>0</v>
      </c>
      <c r="EI95" s="915">
        <f t="shared" si="247"/>
        <v>0</v>
      </c>
      <c r="EJ95" s="915">
        <f t="shared" si="248"/>
        <v>0</v>
      </c>
      <c r="EK95" s="915">
        <f t="shared" si="249"/>
        <v>0</v>
      </c>
      <c r="EN95" s="533"/>
      <c r="EQ95" s="534"/>
    </row>
    <row r="96" spans="1:147" ht="13.5" customHeight="1" x14ac:dyDescent="0.2">
      <c r="A96" s="496">
        <v>89</v>
      </c>
      <c r="B96" s="1419"/>
      <c r="C96" s="1420"/>
      <c r="D96" s="264">
        <v>9</v>
      </c>
      <c r="E96" s="264" t="s">
        <v>1246</v>
      </c>
      <c r="F96" s="270" t="s">
        <v>2544</v>
      </c>
      <c r="G96" s="271">
        <v>1</v>
      </c>
      <c r="H96" s="803">
        <v>10</v>
      </c>
      <c r="I96" s="800">
        <f t="shared" si="250"/>
        <v>0</v>
      </c>
      <c r="J96" s="269">
        <f t="shared" si="130"/>
        <v>10</v>
      </c>
      <c r="K96" s="225"/>
      <c r="L96" s="941" t="str">
        <f>TabName9 &amp; " - ISoil"</f>
        <v>Phase 9 - ISoil</v>
      </c>
      <c r="M96" s="942">
        <f>DF6</f>
        <v>10</v>
      </c>
      <c r="V96" s="915">
        <f t="shared" si="132"/>
        <v>0</v>
      </c>
      <c r="W96" s="915">
        <f t="shared" si="133"/>
        <v>0</v>
      </c>
      <c r="X96" s="915">
        <f t="shared" si="134"/>
        <v>0</v>
      </c>
      <c r="Y96" s="915">
        <f t="shared" si="135"/>
        <v>0</v>
      </c>
      <c r="Z96" s="915">
        <f t="shared" si="136"/>
        <v>0</v>
      </c>
      <c r="AA96" s="915">
        <f t="shared" si="137"/>
        <v>0</v>
      </c>
      <c r="AB96" s="915">
        <f t="shared" si="138"/>
        <v>0</v>
      </c>
      <c r="AC96" s="915">
        <f t="shared" si="139"/>
        <v>0</v>
      </c>
      <c r="AD96" s="915">
        <f t="shared" si="140"/>
        <v>0</v>
      </c>
      <c r="AE96" s="915">
        <f t="shared" si="141"/>
        <v>0</v>
      </c>
      <c r="AF96" s="915">
        <f t="shared" si="190"/>
        <v>0</v>
      </c>
      <c r="AG96" s="915">
        <f t="shared" si="191"/>
        <v>0</v>
      </c>
      <c r="AH96" s="915">
        <f t="shared" si="192"/>
        <v>0</v>
      </c>
      <c r="AI96" s="915">
        <f t="shared" si="193"/>
        <v>0</v>
      </c>
      <c r="AJ96" s="915">
        <f t="shared" si="194"/>
        <v>0</v>
      </c>
      <c r="AK96" s="915">
        <f t="shared" si="195"/>
        <v>0</v>
      </c>
      <c r="AL96" s="915">
        <f t="shared" si="196"/>
        <v>0</v>
      </c>
      <c r="AM96" s="915">
        <f t="shared" si="197"/>
        <v>0</v>
      </c>
      <c r="AN96" s="915">
        <f t="shared" si="198"/>
        <v>0</v>
      </c>
      <c r="AO96" s="915">
        <f t="shared" si="199"/>
        <v>0</v>
      </c>
      <c r="AP96" s="915">
        <f t="shared" si="142"/>
        <v>0</v>
      </c>
      <c r="AQ96" s="915">
        <f t="shared" si="143"/>
        <v>0</v>
      </c>
      <c r="AR96" s="915">
        <f t="shared" si="144"/>
        <v>0</v>
      </c>
      <c r="AS96" s="915">
        <f t="shared" si="145"/>
        <v>0</v>
      </c>
      <c r="AT96" s="915">
        <f t="shared" si="146"/>
        <v>0</v>
      </c>
      <c r="AU96" s="915">
        <f t="shared" si="147"/>
        <v>0</v>
      </c>
      <c r="AV96" s="915">
        <f t="shared" si="148"/>
        <v>0</v>
      </c>
      <c r="AW96" s="915">
        <f t="shared" si="149"/>
        <v>0</v>
      </c>
      <c r="AX96" s="915">
        <f t="shared" si="150"/>
        <v>0</v>
      </c>
      <c r="AY96" s="915">
        <f t="shared" si="200"/>
        <v>0</v>
      </c>
      <c r="AZ96" s="915">
        <f t="shared" si="201"/>
        <v>0</v>
      </c>
      <c r="BA96" s="915">
        <f t="shared" si="202"/>
        <v>0</v>
      </c>
      <c r="BB96" s="915">
        <f t="shared" si="203"/>
        <v>0</v>
      </c>
      <c r="BC96" s="915">
        <f t="shared" si="204"/>
        <v>0</v>
      </c>
      <c r="BD96" s="915">
        <f t="shared" si="205"/>
        <v>0</v>
      </c>
      <c r="BE96" s="915">
        <f t="shared" si="206"/>
        <v>0</v>
      </c>
      <c r="BF96" s="915">
        <f t="shared" si="207"/>
        <v>0</v>
      </c>
      <c r="BG96" s="915">
        <f t="shared" si="208"/>
        <v>0</v>
      </c>
      <c r="BH96" s="915">
        <f t="shared" si="209"/>
        <v>0</v>
      </c>
      <c r="BI96" s="915">
        <f t="shared" si="210"/>
        <v>0</v>
      </c>
      <c r="BJ96" s="915">
        <f t="shared" si="151"/>
        <v>0</v>
      </c>
      <c r="BK96" s="915">
        <f t="shared" si="152"/>
        <v>0</v>
      </c>
      <c r="BL96" s="915">
        <f t="shared" si="153"/>
        <v>0</v>
      </c>
      <c r="BM96" s="915">
        <f t="shared" si="154"/>
        <v>0</v>
      </c>
      <c r="BN96" s="915">
        <f t="shared" si="155"/>
        <v>0</v>
      </c>
      <c r="BO96" s="915">
        <f t="shared" si="156"/>
        <v>0</v>
      </c>
      <c r="BP96" s="915">
        <f t="shared" si="157"/>
        <v>0</v>
      </c>
      <c r="BQ96" s="915">
        <f t="shared" si="158"/>
        <v>0</v>
      </c>
      <c r="BR96" s="915">
        <f t="shared" si="159"/>
        <v>0</v>
      </c>
      <c r="BS96" s="915">
        <f t="shared" si="160"/>
        <v>0</v>
      </c>
      <c r="BT96" s="915">
        <f t="shared" si="211"/>
        <v>0</v>
      </c>
      <c r="BU96" s="915">
        <f t="shared" si="211"/>
        <v>0</v>
      </c>
      <c r="BV96" s="915">
        <f t="shared" si="212"/>
        <v>0</v>
      </c>
      <c r="BW96" s="915">
        <f t="shared" si="213"/>
        <v>0</v>
      </c>
      <c r="BX96" s="915">
        <f t="shared" si="214"/>
        <v>0</v>
      </c>
      <c r="BY96" s="915">
        <f t="shared" si="215"/>
        <v>0</v>
      </c>
      <c r="BZ96" s="915">
        <f t="shared" si="216"/>
        <v>0</v>
      </c>
      <c r="CA96" s="915">
        <f t="shared" si="217"/>
        <v>0</v>
      </c>
      <c r="CB96" s="915">
        <f t="shared" si="218"/>
        <v>0</v>
      </c>
      <c r="CC96" s="915">
        <f t="shared" si="219"/>
        <v>0</v>
      </c>
      <c r="CD96" s="915">
        <f t="shared" si="161"/>
        <v>0</v>
      </c>
      <c r="CE96" s="915">
        <f t="shared" si="162"/>
        <v>0</v>
      </c>
      <c r="CF96" s="915">
        <f t="shared" si="163"/>
        <v>0</v>
      </c>
      <c r="CG96" s="915">
        <f t="shared" si="164"/>
        <v>0</v>
      </c>
      <c r="CH96" s="915">
        <f t="shared" si="165"/>
        <v>0</v>
      </c>
      <c r="CI96" s="915">
        <f t="shared" si="166"/>
        <v>0</v>
      </c>
      <c r="CJ96" s="915">
        <f t="shared" si="167"/>
        <v>0</v>
      </c>
      <c r="CK96" s="915">
        <f t="shared" si="168"/>
        <v>0</v>
      </c>
      <c r="CL96" s="915">
        <f t="shared" si="169"/>
        <v>0</v>
      </c>
      <c r="CM96" s="915">
        <f t="shared" si="170"/>
        <v>0</v>
      </c>
      <c r="CN96" s="915">
        <f t="shared" si="220"/>
        <v>0</v>
      </c>
      <c r="CO96" s="915">
        <f t="shared" si="221"/>
        <v>0</v>
      </c>
      <c r="CP96" s="915">
        <f t="shared" si="222"/>
        <v>0</v>
      </c>
      <c r="CQ96" s="915">
        <f t="shared" si="223"/>
        <v>0</v>
      </c>
      <c r="CR96" s="915">
        <f t="shared" si="224"/>
        <v>0</v>
      </c>
      <c r="CS96" s="915">
        <f t="shared" si="225"/>
        <v>0</v>
      </c>
      <c r="CT96" s="915">
        <f t="shared" si="226"/>
        <v>0</v>
      </c>
      <c r="CU96" s="915">
        <f t="shared" si="227"/>
        <v>0</v>
      </c>
      <c r="CV96" s="915">
        <f t="shared" si="228"/>
        <v>0</v>
      </c>
      <c r="CW96" s="915">
        <f t="shared" si="229"/>
        <v>0</v>
      </c>
      <c r="CX96" s="915">
        <f t="shared" si="171"/>
        <v>0</v>
      </c>
      <c r="CY96" s="915">
        <f t="shared" si="172"/>
        <v>0</v>
      </c>
      <c r="CZ96" s="915">
        <f t="shared" si="173"/>
        <v>0</v>
      </c>
      <c r="DA96" s="915">
        <f t="shared" si="174"/>
        <v>0</v>
      </c>
      <c r="DB96" s="915">
        <f t="shared" si="175"/>
        <v>0</v>
      </c>
      <c r="DC96" s="915">
        <f t="shared" si="176"/>
        <v>0</v>
      </c>
      <c r="DD96" s="915">
        <f t="shared" si="177"/>
        <v>0</v>
      </c>
      <c r="DE96" s="915">
        <f t="shared" si="178"/>
        <v>0</v>
      </c>
      <c r="DF96" s="915">
        <f t="shared" si="179"/>
        <v>10</v>
      </c>
      <c r="DG96" s="915">
        <f t="shared" si="180"/>
        <v>0</v>
      </c>
      <c r="DH96" s="915">
        <f t="shared" si="230"/>
        <v>0</v>
      </c>
      <c r="DI96" s="915">
        <f t="shared" si="231"/>
        <v>0</v>
      </c>
      <c r="DJ96" s="915">
        <f t="shared" si="232"/>
        <v>0</v>
      </c>
      <c r="DK96" s="915">
        <f t="shared" si="233"/>
        <v>0</v>
      </c>
      <c r="DL96" s="915">
        <f t="shared" si="234"/>
        <v>0</v>
      </c>
      <c r="DM96" s="915">
        <f t="shared" si="235"/>
        <v>0</v>
      </c>
      <c r="DN96" s="915">
        <f t="shared" si="236"/>
        <v>0</v>
      </c>
      <c r="DO96" s="915">
        <f t="shared" si="237"/>
        <v>0</v>
      </c>
      <c r="DP96" s="915">
        <f t="shared" si="238"/>
        <v>0</v>
      </c>
      <c r="DQ96" s="915">
        <f t="shared" si="239"/>
        <v>0</v>
      </c>
      <c r="DR96" s="915">
        <f t="shared" si="181"/>
        <v>0</v>
      </c>
      <c r="DS96" s="915">
        <f t="shared" si="182"/>
        <v>0</v>
      </c>
      <c r="DT96" s="915">
        <f t="shared" si="183"/>
        <v>0</v>
      </c>
      <c r="DU96" s="915">
        <f t="shared" si="184"/>
        <v>0</v>
      </c>
      <c r="DV96" s="915">
        <f t="shared" si="185"/>
        <v>0</v>
      </c>
      <c r="DW96" s="915">
        <f t="shared" si="186"/>
        <v>0</v>
      </c>
      <c r="DX96" s="915">
        <f t="shared" si="187"/>
        <v>0</v>
      </c>
      <c r="DY96" s="915">
        <f t="shared" si="188"/>
        <v>0</v>
      </c>
      <c r="DZ96" s="915">
        <f t="shared" si="189"/>
        <v>0</v>
      </c>
      <c r="EA96" s="915">
        <f t="shared" si="131"/>
        <v>0</v>
      </c>
      <c r="EB96" s="915">
        <f t="shared" si="240"/>
        <v>0</v>
      </c>
      <c r="EC96" s="915">
        <f t="shared" si="241"/>
        <v>0</v>
      </c>
      <c r="ED96" s="915">
        <f t="shared" si="242"/>
        <v>0</v>
      </c>
      <c r="EE96" s="915">
        <f t="shared" si="243"/>
        <v>0</v>
      </c>
      <c r="EF96" s="915">
        <f t="shared" si="244"/>
        <v>0</v>
      </c>
      <c r="EG96" s="915">
        <f t="shared" si="245"/>
        <v>0</v>
      </c>
      <c r="EH96" s="915">
        <f t="shared" si="246"/>
        <v>0</v>
      </c>
      <c r="EI96" s="915">
        <f t="shared" si="247"/>
        <v>0</v>
      </c>
      <c r="EJ96" s="915">
        <f t="shared" si="248"/>
        <v>0</v>
      </c>
      <c r="EK96" s="915">
        <f t="shared" si="249"/>
        <v>0</v>
      </c>
      <c r="EN96" s="533"/>
      <c r="EQ96" s="534"/>
    </row>
    <row r="97" spans="1:147" ht="15.75" customHeight="1" x14ac:dyDescent="0.2">
      <c r="A97" s="1026">
        <v>90</v>
      </c>
      <c r="B97" s="1005"/>
      <c r="C97" s="1008"/>
      <c r="D97" s="138">
        <v>10</v>
      </c>
      <c r="E97" s="138" t="s">
        <v>1246</v>
      </c>
      <c r="F97" s="139" t="s">
        <v>2544</v>
      </c>
      <c r="G97" s="91">
        <v>1</v>
      </c>
      <c r="H97" s="1022">
        <v>10</v>
      </c>
      <c r="I97" s="801">
        <f t="shared" si="250"/>
        <v>0</v>
      </c>
      <c r="J97" s="1021">
        <f t="shared" si="130"/>
        <v>10</v>
      </c>
      <c r="K97" s="225"/>
      <c r="L97" s="941" t="str">
        <f>tabname10 &amp; " - ISoil"</f>
        <v>Phase 10 - ISoil</v>
      </c>
      <c r="M97" s="942">
        <f>DG6</f>
        <v>10</v>
      </c>
      <c r="V97" s="915">
        <f t="shared" si="132"/>
        <v>0</v>
      </c>
      <c r="W97" s="915">
        <f t="shared" si="133"/>
        <v>0</v>
      </c>
      <c r="X97" s="915">
        <f t="shared" si="134"/>
        <v>0</v>
      </c>
      <c r="Y97" s="915">
        <f t="shared" si="135"/>
        <v>0</v>
      </c>
      <c r="Z97" s="915">
        <f t="shared" si="136"/>
        <v>0</v>
      </c>
      <c r="AA97" s="915">
        <f t="shared" si="137"/>
        <v>0</v>
      </c>
      <c r="AB97" s="915">
        <f t="shared" si="138"/>
        <v>0</v>
      </c>
      <c r="AC97" s="915">
        <f t="shared" si="139"/>
        <v>0</v>
      </c>
      <c r="AD97" s="915">
        <f t="shared" si="140"/>
        <v>0</v>
      </c>
      <c r="AE97" s="915">
        <f t="shared" si="141"/>
        <v>0</v>
      </c>
      <c r="AF97" s="915">
        <f t="shared" si="190"/>
        <v>0</v>
      </c>
      <c r="AG97" s="915">
        <f t="shared" si="191"/>
        <v>0</v>
      </c>
      <c r="AH97" s="915">
        <f t="shared" si="192"/>
        <v>0</v>
      </c>
      <c r="AI97" s="915">
        <f t="shared" si="193"/>
        <v>0</v>
      </c>
      <c r="AJ97" s="915">
        <f t="shared" si="194"/>
        <v>0</v>
      </c>
      <c r="AK97" s="915">
        <f t="shared" si="195"/>
        <v>0</v>
      </c>
      <c r="AL97" s="915">
        <f t="shared" si="196"/>
        <v>0</v>
      </c>
      <c r="AM97" s="915">
        <f t="shared" si="197"/>
        <v>0</v>
      </c>
      <c r="AN97" s="915">
        <f t="shared" si="198"/>
        <v>0</v>
      </c>
      <c r="AO97" s="915">
        <f t="shared" si="199"/>
        <v>0</v>
      </c>
      <c r="AP97" s="915">
        <f t="shared" si="142"/>
        <v>0</v>
      </c>
      <c r="AQ97" s="915">
        <f t="shared" si="143"/>
        <v>0</v>
      </c>
      <c r="AR97" s="915">
        <f t="shared" si="144"/>
        <v>0</v>
      </c>
      <c r="AS97" s="915">
        <f t="shared" si="145"/>
        <v>0</v>
      </c>
      <c r="AT97" s="915">
        <f t="shared" si="146"/>
        <v>0</v>
      </c>
      <c r="AU97" s="915">
        <f t="shared" si="147"/>
        <v>0</v>
      </c>
      <c r="AV97" s="915">
        <f t="shared" si="148"/>
        <v>0</v>
      </c>
      <c r="AW97" s="915">
        <f t="shared" si="149"/>
        <v>0</v>
      </c>
      <c r="AX97" s="915">
        <f t="shared" si="150"/>
        <v>0</v>
      </c>
      <c r="AY97" s="915">
        <f t="shared" si="200"/>
        <v>0</v>
      </c>
      <c r="AZ97" s="915">
        <f t="shared" si="201"/>
        <v>0</v>
      </c>
      <c r="BA97" s="915">
        <f t="shared" si="202"/>
        <v>0</v>
      </c>
      <c r="BB97" s="915">
        <f t="shared" si="203"/>
        <v>0</v>
      </c>
      <c r="BC97" s="915">
        <f t="shared" si="204"/>
        <v>0</v>
      </c>
      <c r="BD97" s="915">
        <f t="shared" si="205"/>
        <v>0</v>
      </c>
      <c r="BE97" s="915">
        <f t="shared" si="206"/>
        <v>0</v>
      </c>
      <c r="BF97" s="915">
        <f t="shared" si="207"/>
        <v>0</v>
      </c>
      <c r="BG97" s="915">
        <f t="shared" si="208"/>
        <v>0</v>
      </c>
      <c r="BH97" s="915">
        <f t="shared" si="209"/>
        <v>0</v>
      </c>
      <c r="BI97" s="915">
        <f t="shared" si="210"/>
        <v>0</v>
      </c>
      <c r="BJ97" s="915">
        <f t="shared" si="151"/>
        <v>0</v>
      </c>
      <c r="BK97" s="915">
        <f t="shared" si="152"/>
        <v>0</v>
      </c>
      <c r="BL97" s="915">
        <f t="shared" si="153"/>
        <v>0</v>
      </c>
      <c r="BM97" s="915">
        <f t="shared" si="154"/>
        <v>0</v>
      </c>
      <c r="BN97" s="915">
        <f t="shared" si="155"/>
        <v>0</v>
      </c>
      <c r="BO97" s="915">
        <f t="shared" si="156"/>
        <v>0</v>
      </c>
      <c r="BP97" s="915">
        <f t="shared" si="157"/>
        <v>0</v>
      </c>
      <c r="BQ97" s="915">
        <f t="shared" si="158"/>
        <v>0</v>
      </c>
      <c r="BR97" s="915">
        <f t="shared" si="159"/>
        <v>0</v>
      </c>
      <c r="BS97" s="915">
        <f t="shared" si="160"/>
        <v>0</v>
      </c>
      <c r="BT97" s="915">
        <f t="shared" si="211"/>
        <v>0</v>
      </c>
      <c r="BU97" s="915">
        <f t="shared" si="211"/>
        <v>0</v>
      </c>
      <c r="BV97" s="915">
        <f t="shared" si="212"/>
        <v>0</v>
      </c>
      <c r="BW97" s="915">
        <f t="shared" si="213"/>
        <v>0</v>
      </c>
      <c r="BX97" s="915">
        <f t="shared" si="214"/>
        <v>0</v>
      </c>
      <c r="BY97" s="915">
        <f t="shared" si="215"/>
        <v>0</v>
      </c>
      <c r="BZ97" s="915">
        <f t="shared" si="216"/>
        <v>0</v>
      </c>
      <c r="CA97" s="915">
        <f t="shared" si="217"/>
        <v>0</v>
      </c>
      <c r="CB97" s="915">
        <f t="shared" si="218"/>
        <v>0</v>
      </c>
      <c r="CC97" s="915">
        <f t="shared" si="219"/>
        <v>0</v>
      </c>
      <c r="CD97" s="915">
        <f t="shared" si="161"/>
        <v>0</v>
      </c>
      <c r="CE97" s="915">
        <f t="shared" si="162"/>
        <v>0</v>
      </c>
      <c r="CF97" s="915">
        <f t="shared" si="163"/>
        <v>0</v>
      </c>
      <c r="CG97" s="915">
        <f t="shared" si="164"/>
        <v>0</v>
      </c>
      <c r="CH97" s="915">
        <f t="shared" si="165"/>
        <v>0</v>
      </c>
      <c r="CI97" s="915">
        <f t="shared" si="166"/>
        <v>0</v>
      </c>
      <c r="CJ97" s="915">
        <f t="shared" si="167"/>
        <v>0</v>
      </c>
      <c r="CK97" s="915">
        <f t="shared" si="168"/>
        <v>0</v>
      </c>
      <c r="CL97" s="915">
        <f t="shared" si="169"/>
        <v>0</v>
      </c>
      <c r="CM97" s="915">
        <f t="shared" si="170"/>
        <v>0</v>
      </c>
      <c r="CN97" s="915">
        <f t="shared" si="220"/>
        <v>0</v>
      </c>
      <c r="CO97" s="915">
        <f t="shared" si="221"/>
        <v>0</v>
      </c>
      <c r="CP97" s="915">
        <f t="shared" si="222"/>
        <v>0</v>
      </c>
      <c r="CQ97" s="915">
        <f t="shared" si="223"/>
        <v>0</v>
      </c>
      <c r="CR97" s="915">
        <f t="shared" si="224"/>
        <v>0</v>
      </c>
      <c r="CS97" s="915">
        <f t="shared" si="225"/>
        <v>0</v>
      </c>
      <c r="CT97" s="915">
        <f t="shared" si="226"/>
        <v>0</v>
      </c>
      <c r="CU97" s="915">
        <f t="shared" si="227"/>
        <v>0</v>
      </c>
      <c r="CV97" s="915">
        <f t="shared" si="228"/>
        <v>0</v>
      </c>
      <c r="CW97" s="915">
        <f t="shared" si="229"/>
        <v>0</v>
      </c>
      <c r="CX97" s="915">
        <f t="shared" si="171"/>
        <v>0</v>
      </c>
      <c r="CY97" s="915">
        <f t="shared" si="172"/>
        <v>0</v>
      </c>
      <c r="CZ97" s="915">
        <f t="shared" si="173"/>
        <v>0</v>
      </c>
      <c r="DA97" s="915">
        <f t="shared" si="174"/>
        <v>0</v>
      </c>
      <c r="DB97" s="915">
        <f t="shared" si="175"/>
        <v>0</v>
      </c>
      <c r="DC97" s="915">
        <f t="shared" si="176"/>
        <v>0</v>
      </c>
      <c r="DD97" s="915">
        <f t="shared" si="177"/>
        <v>0</v>
      </c>
      <c r="DE97" s="915">
        <f t="shared" si="178"/>
        <v>0</v>
      </c>
      <c r="DF97" s="915">
        <f t="shared" si="179"/>
        <v>0</v>
      </c>
      <c r="DG97" s="915">
        <f t="shared" si="180"/>
        <v>10</v>
      </c>
      <c r="DH97" s="915">
        <f t="shared" si="230"/>
        <v>0</v>
      </c>
      <c r="DI97" s="915">
        <f t="shared" si="231"/>
        <v>0</v>
      </c>
      <c r="DJ97" s="915">
        <f t="shared" si="232"/>
        <v>0</v>
      </c>
      <c r="DK97" s="915">
        <f t="shared" si="233"/>
        <v>0</v>
      </c>
      <c r="DL97" s="915">
        <f t="shared" si="234"/>
        <v>0</v>
      </c>
      <c r="DM97" s="915">
        <f t="shared" si="235"/>
        <v>0</v>
      </c>
      <c r="DN97" s="915">
        <f t="shared" si="236"/>
        <v>0</v>
      </c>
      <c r="DO97" s="915">
        <f t="shared" si="237"/>
        <v>0</v>
      </c>
      <c r="DP97" s="915">
        <f t="shared" si="238"/>
        <v>0</v>
      </c>
      <c r="DQ97" s="915">
        <f t="shared" si="239"/>
        <v>0</v>
      </c>
      <c r="DR97" s="915">
        <f t="shared" si="181"/>
        <v>0</v>
      </c>
      <c r="DS97" s="915">
        <f t="shared" si="182"/>
        <v>0</v>
      </c>
      <c r="DT97" s="915">
        <f t="shared" si="183"/>
        <v>0</v>
      </c>
      <c r="DU97" s="915">
        <f t="shared" si="184"/>
        <v>0</v>
      </c>
      <c r="DV97" s="915">
        <f t="shared" si="185"/>
        <v>0</v>
      </c>
      <c r="DW97" s="915">
        <f t="shared" si="186"/>
        <v>0</v>
      </c>
      <c r="DX97" s="915">
        <f t="shared" si="187"/>
        <v>0</v>
      </c>
      <c r="DY97" s="915">
        <f t="shared" si="188"/>
        <v>0</v>
      </c>
      <c r="DZ97" s="915">
        <f t="shared" si="189"/>
        <v>0</v>
      </c>
      <c r="EA97" s="915">
        <f t="shared" si="131"/>
        <v>0</v>
      </c>
      <c r="EB97" s="915">
        <f>IF(AND($D97=$P$18,$E97=$R$13),$J97,0)</f>
        <v>0</v>
      </c>
      <c r="EC97" s="915">
        <f>IF(AND($D97=$P$19,$E97=$R$13),$J97,0)</f>
        <v>0</v>
      </c>
      <c r="ED97" s="915">
        <f>IF(AND($D97=$P$20,$E97=$R$13),$J97,0)</f>
        <v>0</v>
      </c>
      <c r="EE97" s="915">
        <f>IF(AND($D97=$P$21,$E97=$R$13),$J97,0)</f>
        <v>0</v>
      </c>
      <c r="EF97" s="915">
        <f>IF(AND($D97=$P$22,$E97=$R$13),$J97,0)</f>
        <v>0</v>
      </c>
      <c r="EG97" s="915">
        <f>IF(AND($D97=$P$23,$E97=$R$13),$J97,0)</f>
        <v>0</v>
      </c>
      <c r="EH97" s="915">
        <f>IF(AND($D97=$P$24,$E97=$R$13),$J97,0)</f>
        <v>0</v>
      </c>
      <c r="EI97" s="915">
        <f>IF(AND($D97=$P$25,$E97=$R$13),$J97,0)</f>
        <v>0</v>
      </c>
      <c r="EJ97" s="915">
        <f>IF(AND($D97=$P$26,$E97=$R$13),$J97,0)</f>
        <v>0</v>
      </c>
      <c r="EK97" s="915">
        <f>IF(AND($D97=$P$27,$E97=$R$13),$J97,0)</f>
        <v>0</v>
      </c>
      <c r="EN97" s="533"/>
      <c r="EQ97" s="534"/>
    </row>
    <row r="98" spans="1:147" ht="15" customHeight="1" x14ac:dyDescent="0.2">
      <c r="A98" s="496">
        <v>91</v>
      </c>
      <c r="B98" s="1419"/>
      <c r="C98" s="1420"/>
      <c r="D98" s="264">
        <v>11</v>
      </c>
      <c r="E98" s="264" t="s">
        <v>1246</v>
      </c>
      <c r="F98" s="270" t="s">
        <v>2544</v>
      </c>
      <c r="G98" s="271">
        <v>1</v>
      </c>
      <c r="H98" s="803">
        <v>10</v>
      </c>
      <c r="I98" s="800">
        <f t="shared" si="250"/>
        <v>0</v>
      </c>
      <c r="J98" s="269">
        <f t="shared" ref="J98:J109" si="251">(G98*H98)+I98</f>
        <v>10</v>
      </c>
      <c r="K98" s="225"/>
      <c r="L98" s="941" t="str">
        <f>TabName11 &amp; " - ISoil"</f>
        <v>Phase 11 - ISoil</v>
      </c>
      <c r="M98" s="951">
        <f>DH6</f>
        <v>10</v>
      </c>
      <c r="V98" s="915">
        <f t="shared" si="132"/>
        <v>0</v>
      </c>
      <c r="W98" s="915">
        <f t="shared" si="133"/>
        <v>0</v>
      </c>
      <c r="X98" s="915">
        <f t="shared" si="134"/>
        <v>0</v>
      </c>
      <c r="Y98" s="915">
        <f t="shared" si="135"/>
        <v>0</v>
      </c>
      <c r="Z98" s="915">
        <f t="shared" si="136"/>
        <v>0</v>
      </c>
      <c r="AA98" s="915">
        <f t="shared" si="137"/>
        <v>0</v>
      </c>
      <c r="AB98" s="915">
        <f t="shared" si="138"/>
        <v>0</v>
      </c>
      <c r="AC98" s="915">
        <f t="shared" si="139"/>
        <v>0</v>
      </c>
      <c r="AD98" s="915">
        <f t="shared" si="140"/>
        <v>0</v>
      </c>
      <c r="AE98" s="915">
        <f t="shared" si="141"/>
        <v>0</v>
      </c>
      <c r="AF98" s="915">
        <f t="shared" si="190"/>
        <v>0</v>
      </c>
      <c r="AG98" s="915">
        <f t="shared" si="191"/>
        <v>0</v>
      </c>
      <c r="AH98" s="915">
        <f t="shared" si="192"/>
        <v>0</v>
      </c>
      <c r="AI98" s="915">
        <f t="shared" si="193"/>
        <v>0</v>
      </c>
      <c r="AJ98" s="915">
        <f t="shared" si="194"/>
        <v>0</v>
      </c>
      <c r="AK98" s="915">
        <f t="shared" si="195"/>
        <v>0</v>
      </c>
      <c r="AL98" s="915">
        <f t="shared" si="196"/>
        <v>0</v>
      </c>
      <c r="AM98" s="915">
        <f t="shared" si="197"/>
        <v>0</v>
      </c>
      <c r="AN98" s="915">
        <f t="shared" si="198"/>
        <v>0</v>
      </c>
      <c r="AO98" s="915">
        <f t="shared" si="199"/>
        <v>0</v>
      </c>
      <c r="AP98" s="915">
        <f t="shared" si="142"/>
        <v>0</v>
      </c>
      <c r="AQ98" s="915">
        <f t="shared" si="143"/>
        <v>0</v>
      </c>
      <c r="AR98" s="915">
        <f t="shared" si="144"/>
        <v>0</v>
      </c>
      <c r="AS98" s="915">
        <f t="shared" si="145"/>
        <v>0</v>
      </c>
      <c r="AT98" s="915">
        <f t="shared" si="146"/>
        <v>0</v>
      </c>
      <c r="AU98" s="915">
        <f t="shared" si="147"/>
        <v>0</v>
      </c>
      <c r="AV98" s="915">
        <f t="shared" si="148"/>
        <v>0</v>
      </c>
      <c r="AW98" s="915">
        <f t="shared" si="149"/>
        <v>0</v>
      </c>
      <c r="AX98" s="915">
        <f t="shared" si="150"/>
        <v>0</v>
      </c>
      <c r="AY98" s="915">
        <f t="shared" si="200"/>
        <v>0</v>
      </c>
      <c r="AZ98" s="915">
        <f t="shared" si="201"/>
        <v>0</v>
      </c>
      <c r="BA98" s="915">
        <f t="shared" si="202"/>
        <v>0</v>
      </c>
      <c r="BB98" s="915">
        <f t="shared" si="203"/>
        <v>0</v>
      </c>
      <c r="BC98" s="915">
        <f t="shared" si="204"/>
        <v>0</v>
      </c>
      <c r="BD98" s="915">
        <f t="shared" si="205"/>
        <v>0</v>
      </c>
      <c r="BE98" s="915">
        <f t="shared" si="206"/>
        <v>0</v>
      </c>
      <c r="BF98" s="915">
        <f t="shared" si="207"/>
        <v>0</v>
      </c>
      <c r="BG98" s="915">
        <f t="shared" si="208"/>
        <v>0</v>
      </c>
      <c r="BH98" s="915">
        <f t="shared" si="209"/>
        <v>0</v>
      </c>
      <c r="BI98" s="915">
        <f t="shared" si="210"/>
        <v>0</v>
      </c>
      <c r="BJ98" s="915">
        <f t="shared" si="151"/>
        <v>0</v>
      </c>
      <c r="BK98" s="915">
        <f t="shared" si="152"/>
        <v>0</v>
      </c>
      <c r="BL98" s="915">
        <f t="shared" si="153"/>
        <v>0</v>
      </c>
      <c r="BM98" s="915">
        <f t="shared" si="154"/>
        <v>0</v>
      </c>
      <c r="BN98" s="915">
        <f t="shared" si="155"/>
        <v>0</v>
      </c>
      <c r="BO98" s="915">
        <f t="shared" si="156"/>
        <v>0</v>
      </c>
      <c r="BP98" s="915">
        <f t="shared" si="157"/>
        <v>0</v>
      </c>
      <c r="BQ98" s="915">
        <f t="shared" si="158"/>
        <v>0</v>
      </c>
      <c r="BR98" s="915">
        <f t="shared" si="159"/>
        <v>0</v>
      </c>
      <c r="BS98" s="915">
        <f t="shared" si="160"/>
        <v>0</v>
      </c>
      <c r="BT98" s="915">
        <f t="shared" si="211"/>
        <v>0</v>
      </c>
      <c r="BU98" s="915">
        <f t="shared" si="211"/>
        <v>0</v>
      </c>
      <c r="BV98" s="915">
        <f t="shared" si="212"/>
        <v>0</v>
      </c>
      <c r="BW98" s="915">
        <f t="shared" si="213"/>
        <v>0</v>
      </c>
      <c r="BX98" s="915">
        <f t="shared" si="214"/>
        <v>0</v>
      </c>
      <c r="BY98" s="915">
        <f t="shared" si="215"/>
        <v>0</v>
      </c>
      <c r="BZ98" s="915">
        <f t="shared" si="216"/>
        <v>0</v>
      </c>
      <c r="CA98" s="915">
        <f t="shared" si="217"/>
        <v>0</v>
      </c>
      <c r="CB98" s="915">
        <f t="shared" si="218"/>
        <v>0</v>
      </c>
      <c r="CC98" s="915">
        <f t="shared" si="219"/>
        <v>0</v>
      </c>
      <c r="CD98" s="915">
        <f t="shared" si="161"/>
        <v>0</v>
      </c>
      <c r="CE98" s="915">
        <f t="shared" si="162"/>
        <v>0</v>
      </c>
      <c r="CF98" s="915">
        <f t="shared" si="163"/>
        <v>0</v>
      </c>
      <c r="CG98" s="915">
        <f t="shared" si="164"/>
        <v>0</v>
      </c>
      <c r="CH98" s="915">
        <f t="shared" si="165"/>
        <v>0</v>
      </c>
      <c r="CI98" s="915">
        <f t="shared" si="166"/>
        <v>0</v>
      </c>
      <c r="CJ98" s="915">
        <f t="shared" si="167"/>
        <v>0</v>
      </c>
      <c r="CK98" s="915">
        <f t="shared" si="168"/>
        <v>0</v>
      </c>
      <c r="CL98" s="915">
        <f t="shared" si="169"/>
        <v>0</v>
      </c>
      <c r="CM98" s="915">
        <f t="shared" si="170"/>
        <v>0</v>
      </c>
      <c r="CN98" s="915">
        <f t="shared" si="220"/>
        <v>0</v>
      </c>
      <c r="CO98" s="915">
        <f t="shared" si="221"/>
        <v>0</v>
      </c>
      <c r="CP98" s="915">
        <f t="shared" si="222"/>
        <v>0</v>
      </c>
      <c r="CQ98" s="915">
        <f t="shared" si="223"/>
        <v>0</v>
      </c>
      <c r="CR98" s="915">
        <f t="shared" si="224"/>
        <v>0</v>
      </c>
      <c r="CS98" s="915">
        <f t="shared" si="225"/>
        <v>0</v>
      </c>
      <c r="CT98" s="915">
        <f t="shared" si="226"/>
        <v>0</v>
      </c>
      <c r="CU98" s="915">
        <f t="shared" si="227"/>
        <v>0</v>
      </c>
      <c r="CV98" s="915">
        <f t="shared" si="228"/>
        <v>0</v>
      </c>
      <c r="CW98" s="915">
        <f t="shared" si="229"/>
        <v>0</v>
      </c>
      <c r="CX98" s="915">
        <f t="shared" si="171"/>
        <v>0</v>
      </c>
      <c r="CY98" s="915">
        <f t="shared" si="172"/>
        <v>0</v>
      </c>
      <c r="CZ98" s="915">
        <f t="shared" si="173"/>
        <v>0</v>
      </c>
      <c r="DA98" s="915">
        <f t="shared" si="174"/>
        <v>0</v>
      </c>
      <c r="DB98" s="915">
        <f t="shared" si="175"/>
        <v>0</v>
      </c>
      <c r="DC98" s="915">
        <f t="shared" si="176"/>
        <v>0</v>
      </c>
      <c r="DD98" s="915">
        <f t="shared" si="177"/>
        <v>0</v>
      </c>
      <c r="DE98" s="915">
        <f t="shared" si="178"/>
        <v>0</v>
      </c>
      <c r="DF98" s="915">
        <f t="shared" si="179"/>
        <v>0</v>
      </c>
      <c r="DG98" s="915">
        <f t="shared" si="180"/>
        <v>0</v>
      </c>
      <c r="DH98" s="915">
        <f t="shared" si="230"/>
        <v>10</v>
      </c>
      <c r="DI98" s="915">
        <f t="shared" si="231"/>
        <v>0</v>
      </c>
      <c r="DJ98" s="915">
        <f t="shared" si="232"/>
        <v>0</v>
      </c>
      <c r="DK98" s="915">
        <f t="shared" si="233"/>
        <v>0</v>
      </c>
      <c r="DL98" s="915">
        <f t="shared" si="234"/>
        <v>0</v>
      </c>
      <c r="DM98" s="915">
        <f t="shared" si="235"/>
        <v>0</v>
      </c>
      <c r="DN98" s="915">
        <f t="shared" si="236"/>
        <v>0</v>
      </c>
      <c r="DO98" s="915">
        <f t="shared" si="237"/>
        <v>0</v>
      </c>
      <c r="DP98" s="915">
        <f t="shared" si="238"/>
        <v>0</v>
      </c>
      <c r="DQ98" s="915">
        <f t="shared" si="239"/>
        <v>0</v>
      </c>
      <c r="DR98" s="915">
        <f t="shared" si="181"/>
        <v>0</v>
      </c>
      <c r="DS98" s="915">
        <f t="shared" si="182"/>
        <v>0</v>
      </c>
      <c r="DT98" s="915">
        <f t="shared" si="183"/>
        <v>0</v>
      </c>
      <c r="DU98" s="915">
        <f t="shared" si="184"/>
        <v>0</v>
      </c>
      <c r="DV98" s="915">
        <f t="shared" si="185"/>
        <v>0</v>
      </c>
      <c r="DW98" s="915">
        <f t="shared" si="186"/>
        <v>0</v>
      </c>
      <c r="DX98" s="915">
        <f t="shared" si="187"/>
        <v>0</v>
      </c>
      <c r="DY98" s="915">
        <f t="shared" si="188"/>
        <v>0</v>
      </c>
      <c r="DZ98" s="915">
        <f t="shared" si="189"/>
        <v>0</v>
      </c>
      <c r="EA98" s="915">
        <f t="shared" si="131"/>
        <v>0</v>
      </c>
      <c r="EB98" s="915">
        <f t="shared" ref="EB98:EB111" si="252">IF(AND($D98=$P$18,$E98=$R$13),$J98,0)</f>
        <v>0</v>
      </c>
      <c r="EC98" s="915">
        <f t="shared" ref="EC98:EC111" si="253">IF(AND($D98=$P$19,$E98=$R$13),$J98,0)</f>
        <v>0</v>
      </c>
      <c r="ED98" s="915">
        <f t="shared" ref="ED98:ED111" si="254">IF(AND($D98=$P$20,$E98=$R$13),$J98,0)</f>
        <v>0</v>
      </c>
      <c r="EE98" s="915">
        <f t="shared" ref="EE98:EE111" si="255">IF(AND($D98=$P$21,$E98=$R$13),$J98,0)</f>
        <v>0</v>
      </c>
      <c r="EF98" s="915">
        <f t="shared" ref="EF98:EF111" si="256">IF(AND($D98=$P$22,$E98=$R$13),$J98,0)</f>
        <v>0</v>
      </c>
      <c r="EG98" s="915">
        <f t="shared" ref="EG98:EG111" si="257">IF(AND($D98=$P$23,$E98=$R$13),$J98,0)</f>
        <v>0</v>
      </c>
      <c r="EH98" s="915">
        <f t="shared" ref="EH98:EH111" si="258">IF(AND($D98=$P$24,$E98=$R$13),$J98,0)</f>
        <v>0</v>
      </c>
      <c r="EI98" s="915">
        <f t="shared" ref="EI98:EI111" si="259">IF(AND($D98=$P$25,$E98=$R$13),$J98,0)</f>
        <v>0</v>
      </c>
      <c r="EJ98" s="915">
        <f t="shared" ref="EJ98:EJ111" si="260">IF(AND($D98=$P$26,$E98=$R$13),$J98,0)</f>
        <v>0</v>
      </c>
      <c r="EK98" s="915">
        <f t="shared" ref="EK98:EK111" si="261">IF(AND($D98=$P$27,$E98=$R$13),$J98,0)</f>
        <v>0</v>
      </c>
      <c r="EN98" s="533"/>
      <c r="EQ98" s="534"/>
    </row>
    <row r="99" spans="1:147" ht="13.5" customHeight="1" x14ac:dyDescent="0.2">
      <c r="A99" s="1026">
        <v>92</v>
      </c>
      <c r="B99" s="1005"/>
      <c r="C99" s="1008"/>
      <c r="D99" s="138">
        <v>12</v>
      </c>
      <c r="E99" s="138" t="s">
        <v>1246</v>
      </c>
      <c r="F99" s="139" t="s">
        <v>2544</v>
      </c>
      <c r="G99" s="91">
        <v>1</v>
      </c>
      <c r="H99" s="1022">
        <v>10</v>
      </c>
      <c r="I99" s="801">
        <f t="shared" si="250"/>
        <v>0</v>
      </c>
      <c r="J99" s="1021">
        <f t="shared" si="251"/>
        <v>10</v>
      </c>
      <c r="K99" s="225"/>
      <c r="L99" s="941" t="str">
        <f>TabName12 &amp; " - ISoil"</f>
        <v>Phase 12 - ISoil</v>
      </c>
      <c r="M99" s="951">
        <f>DI6</f>
        <v>10</v>
      </c>
      <c r="V99" s="915">
        <f t="shared" si="132"/>
        <v>0</v>
      </c>
      <c r="W99" s="915">
        <f t="shared" si="133"/>
        <v>0</v>
      </c>
      <c r="X99" s="915">
        <f t="shared" si="134"/>
        <v>0</v>
      </c>
      <c r="Y99" s="915">
        <f t="shared" si="135"/>
        <v>0</v>
      </c>
      <c r="Z99" s="915">
        <f t="shared" si="136"/>
        <v>0</v>
      </c>
      <c r="AA99" s="915">
        <f t="shared" si="137"/>
        <v>0</v>
      </c>
      <c r="AB99" s="915">
        <f t="shared" si="138"/>
        <v>0</v>
      </c>
      <c r="AC99" s="915">
        <f t="shared" si="139"/>
        <v>0</v>
      </c>
      <c r="AD99" s="915">
        <f t="shared" si="140"/>
        <v>0</v>
      </c>
      <c r="AE99" s="915">
        <f t="shared" si="141"/>
        <v>0</v>
      </c>
      <c r="AF99" s="915">
        <f t="shared" si="190"/>
        <v>0</v>
      </c>
      <c r="AG99" s="915">
        <f t="shared" si="191"/>
        <v>0</v>
      </c>
      <c r="AH99" s="915">
        <f t="shared" si="192"/>
        <v>0</v>
      </c>
      <c r="AI99" s="915">
        <f t="shared" si="193"/>
        <v>0</v>
      </c>
      <c r="AJ99" s="915">
        <f t="shared" si="194"/>
        <v>0</v>
      </c>
      <c r="AK99" s="915">
        <f t="shared" si="195"/>
        <v>0</v>
      </c>
      <c r="AL99" s="915">
        <f t="shared" si="196"/>
        <v>0</v>
      </c>
      <c r="AM99" s="915">
        <f t="shared" si="197"/>
        <v>0</v>
      </c>
      <c r="AN99" s="915">
        <f t="shared" si="198"/>
        <v>0</v>
      </c>
      <c r="AO99" s="915">
        <f t="shared" si="199"/>
        <v>0</v>
      </c>
      <c r="AP99" s="915">
        <f t="shared" si="142"/>
        <v>0</v>
      </c>
      <c r="AQ99" s="915">
        <f t="shared" si="143"/>
        <v>0</v>
      </c>
      <c r="AR99" s="915">
        <f t="shared" si="144"/>
        <v>0</v>
      </c>
      <c r="AS99" s="915">
        <f t="shared" si="145"/>
        <v>0</v>
      </c>
      <c r="AT99" s="915">
        <f t="shared" si="146"/>
        <v>0</v>
      </c>
      <c r="AU99" s="915">
        <f t="shared" si="147"/>
        <v>0</v>
      </c>
      <c r="AV99" s="915">
        <f t="shared" si="148"/>
        <v>0</v>
      </c>
      <c r="AW99" s="915">
        <f t="shared" si="149"/>
        <v>0</v>
      </c>
      <c r="AX99" s="915">
        <f t="shared" si="150"/>
        <v>0</v>
      </c>
      <c r="AY99" s="915">
        <f t="shared" si="200"/>
        <v>0</v>
      </c>
      <c r="AZ99" s="915">
        <f t="shared" si="201"/>
        <v>0</v>
      </c>
      <c r="BA99" s="915">
        <f t="shared" si="202"/>
        <v>0</v>
      </c>
      <c r="BB99" s="915">
        <f t="shared" si="203"/>
        <v>0</v>
      </c>
      <c r="BC99" s="915">
        <f t="shared" si="204"/>
        <v>0</v>
      </c>
      <c r="BD99" s="915">
        <f t="shared" si="205"/>
        <v>0</v>
      </c>
      <c r="BE99" s="915">
        <f t="shared" si="206"/>
        <v>0</v>
      </c>
      <c r="BF99" s="915">
        <f t="shared" si="207"/>
        <v>0</v>
      </c>
      <c r="BG99" s="915">
        <f t="shared" si="208"/>
        <v>0</v>
      </c>
      <c r="BH99" s="915">
        <f t="shared" si="209"/>
        <v>0</v>
      </c>
      <c r="BI99" s="915">
        <f t="shared" si="210"/>
        <v>0</v>
      </c>
      <c r="BJ99" s="915">
        <f t="shared" si="151"/>
        <v>0</v>
      </c>
      <c r="BK99" s="915">
        <f t="shared" si="152"/>
        <v>0</v>
      </c>
      <c r="BL99" s="915">
        <f t="shared" si="153"/>
        <v>0</v>
      </c>
      <c r="BM99" s="915">
        <f t="shared" si="154"/>
        <v>0</v>
      </c>
      <c r="BN99" s="915">
        <f t="shared" si="155"/>
        <v>0</v>
      </c>
      <c r="BO99" s="915">
        <f t="shared" si="156"/>
        <v>0</v>
      </c>
      <c r="BP99" s="915">
        <f t="shared" si="157"/>
        <v>0</v>
      </c>
      <c r="BQ99" s="915">
        <f t="shared" si="158"/>
        <v>0</v>
      </c>
      <c r="BR99" s="915">
        <f t="shared" si="159"/>
        <v>0</v>
      </c>
      <c r="BS99" s="915">
        <f t="shared" si="160"/>
        <v>0</v>
      </c>
      <c r="BT99" s="915">
        <f t="shared" si="211"/>
        <v>0</v>
      </c>
      <c r="BU99" s="915">
        <f t="shared" si="211"/>
        <v>0</v>
      </c>
      <c r="BV99" s="915">
        <f t="shared" si="212"/>
        <v>0</v>
      </c>
      <c r="BW99" s="915">
        <f t="shared" si="213"/>
        <v>0</v>
      </c>
      <c r="BX99" s="915">
        <f t="shared" si="214"/>
        <v>0</v>
      </c>
      <c r="BY99" s="915">
        <f t="shared" si="215"/>
        <v>0</v>
      </c>
      <c r="BZ99" s="915">
        <f t="shared" si="216"/>
        <v>0</v>
      </c>
      <c r="CA99" s="915">
        <f t="shared" si="217"/>
        <v>0</v>
      </c>
      <c r="CB99" s="915">
        <f t="shared" si="218"/>
        <v>0</v>
      </c>
      <c r="CC99" s="915">
        <f t="shared" si="219"/>
        <v>0</v>
      </c>
      <c r="CD99" s="915">
        <f t="shared" si="161"/>
        <v>0</v>
      </c>
      <c r="CE99" s="915">
        <f t="shared" si="162"/>
        <v>0</v>
      </c>
      <c r="CF99" s="915">
        <f t="shared" si="163"/>
        <v>0</v>
      </c>
      <c r="CG99" s="915">
        <f t="shared" si="164"/>
        <v>0</v>
      </c>
      <c r="CH99" s="915">
        <f t="shared" si="165"/>
        <v>0</v>
      </c>
      <c r="CI99" s="915">
        <f t="shared" si="166"/>
        <v>0</v>
      </c>
      <c r="CJ99" s="915">
        <f t="shared" si="167"/>
        <v>0</v>
      </c>
      <c r="CK99" s="915">
        <f t="shared" si="168"/>
        <v>0</v>
      </c>
      <c r="CL99" s="915">
        <f t="shared" si="169"/>
        <v>0</v>
      </c>
      <c r="CM99" s="915">
        <f t="shared" si="170"/>
        <v>0</v>
      </c>
      <c r="CN99" s="915">
        <f t="shared" si="220"/>
        <v>0</v>
      </c>
      <c r="CO99" s="915">
        <f t="shared" si="221"/>
        <v>0</v>
      </c>
      <c r="CP99" s="915">
        <f t="shared" si="222"/>
        <v>0</v>
      </c>
      <c r="CQ99" s="915">
        <f t="shared" si="223"/>
        <v>0</v>
      </c>
      <c r="CR99" s="915">
        <f t="shared" si="224"/>
        <v>0</v>
      </c>
      <c r="CS99" s="915">
        <f t="shared" si="225"/>
        <v>0</v>
      </c>
      <c r="CT99" s="915">
        <f t="shared" si="226"/>
        <v>0</v>
      </c>
      <c r="CU99" s="915">
        <f t="shared" si="227"/>
        <v>0</v>
      </c>
      <c r="CV99" s="915">
        <f t="shared" si="228"/>
        <v>0</v>
      </c>
      <c r="CW99" s="915">
        <f t="shared" si="229"/>
        <v>0</v>
      </c>
      <c r="CX99" s="915">
        <f t="shared" si="171"/>
        <v>0</v>
      </c>
      <c r="CY99" s="915">
        <f t="shared" si="172"/>
        <v>0</v>
      </c>
      <c r="CZ99" s="915">
        <f t="shared" si="173"/>
        <v>0</v>
      </c>
      <c r="DA99" s="915">
        <f t="shared" si="174"/>
        <v>0</v>
      </c>
      <c r="DB99" s="915">
        <f t="shared" si="175"/>
        <v>0</v>
      </c>
      <c r="DC99" s="915">
        <f t="shared" si="176"/>
        <v>0</v>
      </c>
      <c r="DD99" s="915">
        <f t="shared" si="177"/>
        <v>0</v>
      </c>
      <c r="DE99" s="915">
        <f t="shared" si="178"/>
        <v>0</v>
      </c>
      <c r="DF99" s="915">
        <f t="shared" si="179"/>
        <v>0</v>
      </c>
      <c r="DG99" s="915">
        <f t="shared" si="180"/>
        <v>0</v>
      </c>
      <c r="DH99" s="915">
        <f t="shared" si="230"/>
        <v>0</v>
      </c>
      <c r="DI99" s="915">
        <f t="shared" si="231"/>
        <v>10</v>
      </c>
      <c r="DJ99" s="915">
        <f t="shared" si="232"/>
        <v>0</v>
      </c>
      <c r="DK99" s="915">
        <f t="shared" si="233"/>
        <v>0</v>
      </c>
      <c r="DL99" s="915">
        <f t="shared" si="234"/>
        <v>0</v>
      </c>
      <c r="DM99" s="915">
        <f t="shared" si="235"/>
        <v>0</v>
      </c>
      <c r="DN99" s="915">
        <f t="shared" si="236"/>
        <v>0</v>
      </c>
      <c r="DO99" s="915">
        <f t="shared" si="237"/>
        <v>0</v>
      </c>
      <c r="DP99" s="915">
        <f t="shared" si="238"/>
        <v>0</v>
      </c>
      <c r="DQ99" s="915">
        <f t="shared" si="239"/>
        <v>0</v>
      </c>
      <c r="DR99" s="915">
        <f t="shared" si="181"/>
        <v>0</v>
      </c>
      <c r="DS99" s="915">
        <f t="shared" si="182"/>
        <v>0</v>
      </c>
      <c r="DT99" s="915">
        <f t="shared" si="183"/>
        <v>0</v>
      </c>
      <c r="DU99" s="915">
        <f t="shared" si="184"/>
        <v>0</v>
      </c>
      <c r="DV99" s="915">
        <f t="shared" si="185"/>
        <v>0</v>
      </c>
      <c r="DW99" s="915">
        <f t="shared" si="186"/>
        <v>0</v>
      </c>
      <c r="DX99" s="915">
        <f t="shared" si="187"/>
        <v>0</v>
      </c>
      <c r="DY99" s="915">
        <f t="shared" si="188"/>
        <v>0</v>
      </c>
      <c r="DZ99" s="915">
        <f t="shared" si="189"/>
        <v>0</v>
      </c>
      <c r="EA99" s="915">
        <f t="shared" si="131"/>
        <v>0</v>
      </c>
      <c r="EB99" s="915">
        <f t="shared" si="252"/>
        <v>0</v>
      </c>
      <c r="EC99" s="915">
        <f t="shared" si="253"/>
        <v>0</v>
      </c>
      <c r="ED99" s="915">
        <f t="shared" si="254"/>
        <v>0</v>
      </c>
      <c r="EE99" s="915">
        <f t="shared" si="255"/>
        <v>0</v>
      </c>
      <c r="EF99" s="915">
        <f t="shared" si="256"/>
        <v>0</v>
      </c>
      <c r="EG99" s="915">
        <f t="shared" si="257"/>
        <v>0</v>
      </c>
      <c r="EH99" s="915">
        <f t="shared" si="258"/>
        <v>0</v>
      </c>
      <c r="EI99" s="915">
        <f t="shared" si="259"/>
        <v>0</v>
      </c>
      <c r="EJ99" s="915">
        <f t="shared" si="260"/>
        <v>0</v>
      </c>
      <c r="EK99" s="915">
        <f t="shared" si="261"/>
        <v>0</v>
      </c>
      <c r="EN99" s="533"/>
      <c r="EQ99" s="534"/>
    </row>
    <row r="100" spans="1:147" ht="15.75" customHeight="1" x14ac:dyDescent="0.2">
      <c r="A100" s="496">
        <v>93</v>
      </c>
      <c r="B100" s="1419"/>
      <c r="C100" s="1420"/>
      <c r="D100" s="264">
        <v>13</v>
      </c>
      <c r="E100" s="264" t="s">
        <v>1246</v>
      </c>
      <c r="F100" s="270" t="s">
        <v>2544</v>
      </c>
      <c r="G100" s="271">
        <v>1</v>
      </c>
      <c r="H100" s="803">
        <v>10</v>
      </c>
      <c r="I100" s="800">
        <f t="shared" si="250"/>
        <v>0</v>
      </c>
      <c r="J100" s="269">
        <f t="shared" si="251"/>
        <v>10</v>
      </c>
      <c r="K100" s="225"/>
      <c r="L100" s="941" t="str">
        <f>TabName13 &amp; " - ISoil"</f>
        <v>Phase 13 - ISoil</v>
      </c>
      <c r="M100" s="951">
        <f>DJ6</f>
        <v>10</v>
      </c>
      <c r="V100" s="915">
        <f t="shared" si="132"/>
        <v>0</v>
      </c>
      <c r="W100" s="915">
        <f t="shared" si="133"/>
        <v>0</v>
      </c>
      <c r="X100" s="915">
        <f t="shared" si="134"/>
        <v>0</v>
      </c>
      <c r="Y100" s="915">
        <f t="shared" si="135"/>
        <v>0</v>
      </c>
      <c r="Z100" s="915">
        <f t="shared" si="136"/>
        <v>0</v>
      </c>
      <c r="AA100" s="915">
        <f t="shared" si="137"/>
        <v>0</v>
      </c>
      <c r="AB100" s="915">
        <f t="shared" si="138"/>
        <v>0</v>
      </c>
      <c r="AC100" s="915">
        <f t="shared" si="139"/>
        <v>0</v>
      </c>
      <c r="AD100" s="915">
        <f t="shared" si="140"/>
        <v>0</v>
      </c>
      <c r="AE100" s="915">
        <f t="shared" si="141"/>
        <v>0</v>
      </c>
      <c r="AF100" s="915">
        <f t="shared" si="190"/>
        <v>0</v>
      </c>
      <c r="AG100" s="915">
        <f t="shared" si="191"/>
        <v>0</v>
      </c>
      <c r="AH100" s="915">
        <f t="shared" si="192"/>
        <v>0</v>
      </c>
      <c r="AI100" s="915">
        <f t="shared" si="193"/>
        <v>0</v>
      </c>
      <c r="AJ100" s="915">
        <f t="shared" si="194"/>
        <v>0</v>
      </c>
      <c r="AK100" s="915">
        <f t="shared" si="195"/>
        <v>0</v>
      </c>
      <c r="AL100" s="915">
        <f t="shared" si="196"/>
        <v>0</v>
      </c>
      <c r="AM100" s="915">
        <f t="shared" si="197"/>
        <v>0</v>
      </c>
      <c r="AN100" s="915">
        <f t="shared" si="198"/>
        <v>0</v>
      </c>
      <c r="AO100" s="915">
        <f t="shared" si="199"/>
        <v>0</v>
      </c>
      <c r="AP100" s="915">
        <f t="shared" si="142"/>
        <v>0</v>
      </c>
      <c r="AQ100" s="915">
        <f t="shared" si="143"/>
        <v>0</v>
      </c>
      <c r="AR100" s="915">
        <f t="shared" si="144"/>
        <v>0</v>
      </c>
      <c r="AS100" s="915">
        <f t="shared" si="145"/>
        <v>0</v>
      </c>
      <c r="AT100" s="915">
        <f t="shared" si="146"/>
        <v>0</v>
      </c>
      <c r="AU100" s="915">
        <f t="shared" si="147"/>
        <v>0</v>
      </c>
      <c r="AV100" s="915">
        <f t="shared" si="148"/>
        <v>0</v>
      </c>
      <c r="AW100" s="915">
        <f t="shared" si="149"/>
        <v>0</v>
      </c>
      <c r="AX100" s="915">
        <f t="shared" si="150"/>
        <v>0</v>
      </c>
      <c r="AY100" s="915">
        <f t="shared" si="200"/>
        <v>0</v>
      </c>
      <c r="AZ100" s="915">
        <f t="shared" si="201"/>
        <v>0</v>
      </c>
      <c r="BA100" s="915">
        <f t="shared" si="202"/>
        <v>0</v>
      </c>
      <c r="BB100" s="915">
        <f t="shared" si="203"/>
        <v>0</v>
      </c>
      <c r="BC100" s="915">
        <f t="shared" si="204"/>
        <v>0</v>
      </c>
      <c r="BD100" s="915">
        <f t="shared" si="205"/>
        <v>0</v>
      </c>
      <c r="BE100" s="915">
        <f t="shared" si="206"/>
        <v>0</v>
      </c>
      <c r="BF100" s="915">
        <f t="shared" si="207"/>
        <v>0</v>
      </c>
      <c r="BG100" s="915">
        <f t="shared" si="208"/>
        <v>0</v>
      </c>
      <c r="BH100" s="915">
        <f t="shared" si="209"/>
        <v>0</v>
      </c>
      <c r="BI100" s="915">
        <f t="shared" si="210"/>
        <v>0</v>
      </c>
      <c r="BJ100" s="915">
        <f t="shared" si="151"/>
        <v>0</v>
      </c>
      <c r="BK100" s="915">
        <f t="shared" si="152"/>
        <v>0</v>
      </c>
      <c r="BL100" s="915">
        <f t="shared" si="153"/>
        <v>0</v>
      </c>
      <c r="BM100" s="915">
        <f t="shared" si="154"/>
        <v>0</v>
      </c>
      <c r="BN100" s="915">
        <f t="shared" si="155"/>
        <v>0</v>
      </c>
      <c r="BO100" s="915">
        <f t="shared" si="156"/>
        <v>0</v>
      </c>
      <c r="BP100" s="915">
        <f t="shared" si="157"/>
        <v>0</v>
      </c>
      <c r="BQ100" s="915">
        <f t="shared" si="158"/>
        <v>0</v>
      </c>
      <c r="BR100" s="915">
        <f t="shared" si="159"/>
        <v>0</v>
      </c>
      <c r="BS100" s="915">
        <f t="shared" si="160"/>
        <v>0</v>
      </c>
      <c r="BT100" s="915">
        <f t="shared" si="211"/>
        <v>0</v>
      </c>
      <c r="BU100" s="915">
        <f t="shared" si="211"/>
        <v>0</v>
      </c>
      <c r="BV100" s="915">
        <f t="shared" si="212"/>
        <v>0</v>
      </c>
      <c r="BW100" s="915">
        <f t="shared" si="213"/>
        <v>0</v>
      </c>
      <c r="BX100" s="915">
        <f t="shared" si="214"/>
        <v>0</v>
      </c>
      <c r="BY100" s="915">
        <f t="shared" si="215"/>
        <v>0</v>
      </c>
      <c r="BZ100" s="915">
        <f t="shared" si="216"/>
        <v>0</v>
      </c>
      <c r="CA100" s="915">
        <f t="shared" si="217"/>
        <v>0</v>
      </c>
      <c r="CB100" s="915">
        <f t="shared" si="218"/>
        <v>0</v>
      </c>
      <c r="CC100" s="915">
        <f t="shared" si="219"/>
        <v>0</v>
      </c>
      <c r="CD100" s="915">
        <f t="shared" si="161"/>
        <v>0</v>
      </c>
      <c r="CE100" s="915">
        <f t="shared" si="162"/>
        <v>0</v>
      </c>
      <c r="CF100" s="915">
        <f t="shared" si="163"/>
        <v>0</v>
      </c>
      <c r="CG100" s="915">
        <f t="shared" si="164"/>
        <v>0</v>
      </c>
      <c r="CH100" s="915">
        <f t="shared" si="165"/>
        <v>0</v>
      </c>
      <c r="CI100" s="915">
        <f t="shared" si="166"/>
        <v>0</v>
      </c>
      <c r="CJ100" s="915">
        <f t="shared" si="167"/>
        <v>0</v>
      </c>
      <c r="CK100" s="915">
        <f t="shared" si="168"/>
        <v>0</v>
      </c>
      <c r="CL100" s="915">
        <f t="shared" si="169"/>
        <v>0</v>
      </c>
      <c r="CM100" s="915">
        <f t="shared" si="170"/>
        <v>0</v>
      </c>
      <c r="CN100" s="915">
        <f t="shared" si="220"/>
        <v>0</v>
      </c>
      <c r="CO100" s="915">
        <f t="shared" si="221"/>
        <v>0</v>
      </c>
      <c r="CP100" s="915">
        <f t="shared" si="222"/>
        <v>0</v>
      </c>
      <c r="CQ100" s="915">
        <f t="shared" si="223"/>
        <v>0</v>
      </c>
      <c r="CR100" s="915">
        <f t="shared" si="224"/>
        <v>0</v>
      </c>
      <c r="CS100" s="915">
        <f t="shared" si="225"/>
        <v>0</v>
      </c>
      <c r="CT100" s="915">
        <f t="shared" si="226"/>
        <v>0</v>
      </c>
      <c r="CU100" s="915">
        <f t="shared" si="227"/>
        <v>0</v>
      </c>
      <c r="CV100" s="915">
        <f t="shared" si="228"/>
        <v>0</v>
      </c>
      <c r="CW100" s="915">
        <f t="shared" si="229"/>
        <v>0</v>
      </c>
      <c r="CX100" s="915">
        <f t="shared" si="171"/>
        <v>0</v>
      </c>
      <c r="CY100" s="915">
        <f t="shared" si="172"/>
        <v>0</v>
      </c>
      <c r="CZ100" s="915">
        <f t="shared" si="173"/>
        <v>0</v>
      </c>
      <c r="DA100" s="915">
        <f t="shared" si="174"/>
        <v>0</v>
      </c>
      <c r="DB100" s="915">
        <f t="shared" si="175"/>
        <v>0</v>
      </c>
      <c r="DC100" s="915">
        <f t="shared" si="176"/>
        <v>0</v>
      </c>
      <c r="DD100" s="915">
        <f t="shared" si="177"/>
        <v>0</v>
      </c>
      <c r="DE100" s="915">
        <f t="shared" si="178"/>
        <v>0</v>
      </c>
      <c r="DF100" s="915">
        <f t="shared" si="179"/>
        <v>0</v>
      </c>
      <c r="DG100" s="915">
        <f t="shared" si="180"/>
        <v>0</v>
      </c>
      <c r="DH100" s="915">
        <f t="shared" si="230"/>
        <v>0</v>
      </c>
      <c r="DI100" s="915">
        <f t="shared" si="231"/>
        <v>0</v>
      </c>
      <c r="DJ100" s="915">
        <f t="shared" si="232"/>
        <v>10</v>
      </c>
      <c r="DK100" s="915">
        <f t="shared" si="233"/>
        <v>0</v>
      </c>
      <c r="DL100" s="915">
        <f t="shared" si="234"/>
        <v>0</v>
      </c>
      <c r="DM100" s="915">
        <f t="shared" si="235"/>
        <v>0</v>
      </c>
      <c r="DN100" s="915">
        <f t="shared" si="236"/>
        <v>0</v>
      </c>
      <c r="DO100" s="915">
        <f t="shared" si="237"/>
        <v>0</v>
      </c>
      <c r="DP100" s="915">
        <f t="shared" si="238"/>
        <v>0</v>
      </c>
      <c r="DQ100" s="915">
        <f t="shared" si="239"/>
        <v>0</v>
      </c>
      <c r="DR100" s="915">
        <f t="shared" si="181"/>
        <v>0</v>
      </c>
      <c r="DS100" s="915">
        <f t="shared" si="182"/>
        <v>0</v>
      </c>
      <c r="DT100" s="915">
        <f t="shared" si="183"/>
        <v>0</v>
      </c>
      <c r="DU100" s="915">
        <f t="shared" si="184"/>
        <v>0</v>
      </c>
      <c r="DV100" s="915">
        <f t="shared" si="185"/>
        <v>0</v>
      </c>
      <c r="DW100" s="915">
        <f t="shared" si="186"/>
        <v>0</v>
      </c>
      <c r="DX100" s="915">
        <f t="shared" si="187"/>
        <v>0</v>
      </c>
      <c r="DY100" s="915">
        <f t="shared" si="188"/>
        <v>0</v>
      </c>
      <c r="DZ100" s="915">
        <f t="shared" si="189"/>
        <v>0</v>
      </c>
      <c r="EA100" s="915">
        <f t="shared" si="131"/>
        <v>0</v>
      </c>
      <c r="EB100" s="915">
        <f t="shared" si="252"/>
        <v>0</v>
      </c>
      <c r="EC100" s="915">
        <f t="shared" si="253"/>
        <v>0</v>
      </c>
      <c r="ED100" s="915">
        <f t="shared" si="254"/>
        <v>0</v>
      </c>
      <c r="EE100" s="915">
        <f t="shared" si="255"/>
        <v>0</v>
      </c>
      <c r="EF100" s="915">
        <f t="shared" si="256"/>
        <v>0</v>
      </c>
      <c r="EG100" s="915">
        <f t="shared" si="257"/>
        <v>0</v>
      </c>
      <c r="EH100" s="915">
        <f t="shared" si="258"/>
        <v>0</v>
      </c>
      <c r="EI100" s="915">
        <f t="shared" si="259"/>
        <v>0</v>
      </c>
      <c r="EJ100" s="915">
        <f t="shared" si="260"/>
        <v>0</v>
      </c>
      <c r="EK100" s="915">
        <f t="shared" si="261"/>
        <v>0</v>
      </c>
      <c r="EN100" s="533"/>
      <c r="EQ100" s="534"/>
    </row>
    <row r="101" spans="1:147" ht="13.5" customHeight="1" x14ac:dyDescent="0.2">
      <c r="A101" s="1026">
        <v>94</v>
      </c>
      <c r="B101" s="1005"/>
      <c r="C101" s="1008"/>
      <c r="D101" s="138">
        <v>14</v>
      </c>
      <c r="E101" s="138" t="s">
        <v>1246</v>
      </c>
      <c r="F101" s="139" t="s">
        <v>2544</v>
      </c>
      <c r="G101" s="91">
        <v>1</v>
      </c>
      <c r="H101" s="802">
        <v>10</v>
      </c>
      <c r="I101" s="801">
        <f t="shared" si="250"/>
        <v>0</v>
      </c>
      <c r="J101" s="1021">
        <f t="shared" si="251"/>
        <v>10</v>
      </c>
      <c r="K101" s="225"/>
      <c r="L101" s="941" t="str">
        <f>TabName14 &amp; " - ISoil"</f>
        <v>Phase 14 - ISoil</v>
      </c>
      <c r="M101" s="951">
        <f>DK6</f>
        <v>10</v>
      </c>
      <c r="V101" s="915">
        <f t="shared" si="132"/>
        <v>0</v>
      </c>
      <c r="W101" s="915">
        <f t="shared" si="133"/>
        <v>0</v>
      </c>
      <c r="X101" s="915">
        <f t="shared" si="134"/>
        <v>0</v>
      </c>
      <c r="Y101" s="915">
        <f t="shared" si="135"/>
        <v>0</v>
      </c>
      <c r="Z101" s="915">
        <f t="shared" si="136"/>
        <v>0</v>
      </c>
      <c r="AA101" s="915">
        <f t="shared" si="137"/>
        <v>0</v>
      </c>
      <c r="AB101" s="915">
        <f t="shared" si="138"/>
        <v>0</v>
      </c>
      <c r="AC101" s="915">
        <f t="shared" si="139"/>
        <v>0</v>
      </c>
      <c r="AD101" s="915">
        <f t="shared" si="140"/>
        <v>0</v>
      </c>
      <c r="AE101" s="915">
        <f t="shared" si="141"/>
        <v>0</v>
      </c>
      <c r="AF101" s="915">
        <f t="shared" si="190"/>
        <v>0</v>
      </c>
      <c r="AG101" s="915">
        <f t="shared" si="191"/>
        <v>0</v>
      </c>
      <c r="AH101" s="915">
        <f t="shared" si="192"/>
        <v>0</v>
      </c>
      <c r="AI101" s="915">
        <f t="shared" si="193"/>
        <v>0</v>
      </c>
      <c r="AJ101" s="915">
        <f t="shared" si="194"/>
        <v>0</v>
      </c>
      <c r="AK101" s="915">
        <f t="shared" si="195"/>
        <v>0</v>
      </c>
      <c r="AL101" s="915">
        <f t="shared" si="196"/>
        <v>0</v>
      </c>
      <c r="AM101" s="915">
        <f t="shared" si="197"/>
        <v>0</v>
      </c>
      <c r="AN101" s="915">
        <f t="shared" si="198"/>
        <v>0</v>
      </c>
      <c r="AO101" s="915">
        <f t="shared" si="199"/>
        <v>0</v>
      </c>
      <c r="AP101" s="915">
        <f t="shared" si="142"/>
        <v>0</v>
      </c>
      <c r="AQ101" s="915">
        <f t="shared" si="143"/>
        <v>0</v>
      </c>
      <c r="AR101" s="915">
        <f t="shared" si="144"/>
        <v>0</v>
      </c>
      <c r="AS101" s="915">
        <f t="shared" si="145"/>
        <v>0</v>
      </c>
      <c r="AT101" s="915">
        <f t="shared" si="146"/>
        <v>0</v>
      </c>
      <c r="AU101" s="915">
        <f t="shared" si="147"/>
        <v>0</v>
      </c>
      <c r="AV101" s="915">
        <f t="shared" si="148"/>
        <v>0</v>
      </c>
      <c r="AW101" s="915">
        <f t="shared" si="149"/>
        <v>0</v>
      </c>
      <c r="AX101" s="915">
        <f t="shared" si="150"/>
        <v>0</v>
      </c>
      <c r="AY101" s="915">
        <f t="shared" si="200"/>
        <v>0</v>
      </c>
      <c r="AZ101" s="915">
        <f t="shared" si="201"/>
        <v>0</v>
      </c>
      <c r="BA101" s="915">
        <f t="shared" si="202"/>
        <v>0</v>
      </c>
      <c r="BB101" s="915">
        <f t="shared" si="203"/>
        <v>0</v>
      </c>
      <c r="BC101" s="915">
        <f t="shared" si="204"/>
        <v>0</v>
      </c>
      <c r="BD101" s="915">
        <f t="shared" si="205"/>
        <v>0</v>
      </c>
      <c r="BE101" s="915">
        <f t="shared" si="206"/>
        <v>0</v>
      </c>
      <c r="BF101" s="915">
        <f t="shared" si="207"/>
        <v>0</v>
      </c>
      <c r="BG101" s="915">
        <f t="shared" si="208"/>
        <v>0</v>
      </c>
      <c r="BH101" s="915">
        <f t="shared" si="209"/>
        <v>0</v>
      </c>
      <c r="BI101" s="915">
        <f t="shared" si="210"/>
        <v>0</v>
      </c>
      <c r="BJ101" s="915">
        <f t="shared" si="151"/>
        <v>0</v>
      </c>
      <c r="BK101" s="915">
        <f t="shared" si="152"/>
        <v>0</v>
      </c>
      <c r="BL101" s="915">
        <f t="shared" si="153"/>
        <v>0</v>
      </c>
      <c r="BM101" s="915">
        <f t="shared" si="154"/>
        <v>0</v>
      </c>
      <c r="BN101" s="915">
        <f t="shared" si="155"/>
        <v>0</v>
      </c>
      <c r="BO101" s="915">
        <f t="shared" si="156"/>
        <v>0</v>
      </c>
      <c r="BP101" s="915">
        <f t="shared" si="157"/>
        <v>0</v>
      </c>
      <c r="BQ101" s="915">
        <f t="shared" si="158"/>
        <v>0</v>
      </c>
      <c r="BR101" s="915">
        <f t="shared" si="159"/>
        <v>0</v>
      </c>
      <c r="BS101" s="915">
        <f t="shared" si="160"/>
        <v>0</v>
      </c>
      <c r="BT101" s="915">
        <f t="shared" si="211"/>
        <v>0</v>
      </c>
      <c r="BU101" s="915">
        <f t="shared" si="211"/>
        <v>0</v>
      </c>
      <c r="BV101" s="915">
        <f t="shared" si="212"/>
        <v>0</v>
      </c>
      <c r="BW101" s="915">
        <f t="shared" si="213"/>
        <v>0</v>
      </c>
      <c r="BX101" s="915">
        <f t="shared" si="214"/>
        <v>0</v>
      </c>
      <c r="BY101" s="915">
        <f t="shared" si="215"/>
        <v>0</v>
      </c>
      <c r="BZ101" s="915">
        <f t="shared" si="216"/>
        <v>0</v>
      </c>
      <c r="CA101" s="915">
        <f t="shared" si="217"/>
        <v>0</v>
      </c>
      <c r="CB101" s="915">
        <f t="shared" si="218"/>
        <v>0</v>
      </c>
      <c r="CC101" s="915">
        <f t="shared" si="219"/>
        <v>0</v>
      </c>
      <c r="CD101" s="915">
        <f t="shared" si="161"/>
        <v>0</v>
      </c>
      <c r="CE101" s="915">
        <f t="shared" si="162"/>
        <v>0</v>
      </c>
      <c r="CF101" s="915">
        <f t="shared" si="163"/>
        <v>0</v>
      </c>
      <c r="CG101" s="915">
        <f t="shared" si="164"/>
        <v>0</v>
      </c>
      <c r="CH101" s="915">
        <f t="shared" si="165"/>
        <v>0</v>
      </c>
      <c r="CI101" s="915">
        <f t="shared" si="166"/>
        <v>0</v>
      </c>
      <c r="CJ101" s="915">
        <f t="shared" si="167"/>
        <v>0</v>
      </c>
      <c r="CK101" s="915">
        <f t="shared" si="168"/>
        <v>0</v>
      </c>
      <c r="CL101" s="915">
        <f t="shared" si="169"/>
        <v>0</v>
      </c>
      <c r="CM101" s="915">
        <f t="shared" si="170"/>
        <v>0</v>
      </c>
      <c r="CN101" s="915">
        <f t="shared" si="220"/>
        <v>0</v>
      </c>
      <c r="CO101" s="915">
        <f t="shared" si="221"/>
        <v>0</v>
      </c>
      <c r="CP101" s="915">
        <f t="shared" si="222"/>
        <v>0</v>
      </c>
      <c r="CQ101" s="915">
        <f t="shared" si="223"/>
        <v>0</v>
      </c>
      <c r="CR101" s="915">
        <f t="shared" si="224"/>
        <v>0</v>
      </c>
      <c r="CS101" s="915">
        <f t="shared" si="225"/>
        <v>0</v>
      </c>
      <c r="CT101" s="915">
        <f t="shared" si="226"/>
        <v>0</v>
      </c>
      <c r="CU101" s="915">
        <f t="shared" si="227"/>
        <v>0</v>
      </c>
      <c r="CV101" s="915">
        <f t="shared" si="228"/>
        <v>0</v>
      </c>
      <c r="CW101" s="915">
        <f t="shared" si="229"/>
        <v>0</v>
      </c>
      <c r="CX101" s="915">
        <f t="shared" si="171"/>
        <v>0</v>
      </c>
      <c r="CY101" s="915">
        <f t="shared" si="172"/>
        <v>0</v>
      </c>
      <c r="CZ101" s="915">
        <f t="shared" si="173"/>
        <v>0</v>
      </c>
      <c r="DA101" s="915">
        <f t="shared" si="174"/>
        <v>0</v>
      </c>
      <c r="DB101" s="915">
        <f t="shared" si="175"/>
        <v>0</v>
      </c>
      <c r="DC101" s="915">
        <f t="shared" si="176"/>
        <v>0</v>
      </c>
      <c r="DD101" s="915">
        <f t="shared" si="177"/>
        <v>0</v>
      </c>
      <c r="DE101" s="915">
        <f t="shared" si="178"/>
        <v>0</v>
      </c>
      <c r="DF101" s="915">
        <f t="shared" si="179"/>
        <v>0</v>
      </c>
      <c r="DG101" s="915">
        <f t="shared" si="180"/>
        <v>0</v>
      </c>
      <c r="DH101" s="915">
        <f t="shared" si="230"/>
        <v>0</v>
      </c>
      <c r="DI101" s="915">
        <f t="shared" si="231"/>
        <v>0</v>
      </c>
      <c r="DJ101" s="915">
        <f t="shared" si="232"/>
        <v>0</v>
      </c>
      <c r="DK101" s="915">
        <f t="shared" si="233"/>
        <v>10</v>
      </c>
      <c r="DL101" s="915">
        <f t="shared" si="234"/>
        <v>0</v>
      </c>
      <c r="DM101" s="915">
        <f t="shared" si="235"/>
        <v>0</v>
      </c>
      <c r="DN101" s="915">
        <f t="shared" si="236"/>
        <v>0</v>
      </c>
      <c r="DO101" s="915">
        <f t="shared" si="237"/>
        <v>0</v>
      </c>
      <c r="DP101" s="915">
        <f t="shared" si="238"/>
        <v>0</v>
      </c>
      <c r="DQ101" s="915">
        <f t="shared" si="239"/>
        <v>0</v>
      </c>
      <c r="DR101" s="915">
        <f t="shared" si="181"/>
        <v>0</v>
      </c>
      <c r="DS101" s="915">
        <f t="shared" si="182"/>
        <v>0</v>
      </c>
      <c r="DT101" s="915">
        <f t="shared" si="183"/>
        <v>0</v>
      </c>
      <c r="DU101" s="915">
        <f t="shared" si="184"/>
        <v>0</v>
      </c>
      <c r="DV101" s="915">
        <f t="shared" si="185"/>
        <v>0</v>
      </c>
      <c r="DW101" s="915">
        <f t="shared" si="186"/>
        <v>0</v>
      </c>
      <c r="DX101" s="915">
        <f t="shared" si="187"/>
        <v>0</v>
      </c>
      <c r="DY101" s="915">
        <f t="shared" si="188"/>
        <v>0</v>
      </c>
      <c r="DZ101" s="915">
        <f t="shared" si="189"/>
        <v>0</v>
      </c>
      <c r="EA101" s="915">
        <f t="shared" si="131"/>
        <v>0</v>
      </c>
      <c r="EB101" s="915">
        <f t="shared" si="252"/>
        <v>0</v>
      </c>
      <c r="EC101" s="915">
        <f t="shared" si="253"/>
        <v>0</v>
      </c>
      <c r="ED101" s="915">
        <f t="shared" si="254"/>
        <v>0</v>
      </c>
      <c r="EE101" s="915">
        <f t="shared" si="255"/>
        <v>0</v>
      </c>
      <c r="EF101" s="915">
        <f t="shared" si="256"/>
        <v>0</v>
      </c>
      <c r="EG101" s="915">
        <f t="shared" si="257"/>
        <v>0</v>
      </c>
      <c r="EH101" s="915">
        <f t="shared" si="258"/>
        <v>0</v>
      </c>
      <c r="EI101" s="915">
        <f t="shared" si="259"/>
        <v>0</v>
      </c>
      <c r="EJ101" s="915">
        <f t="shared" si="260"/>
        <v>0</v>
      </c>
      <c r="EK101" s="915">
        <f t="shared" si="261"/>
        <v>0</v>
      </c>
      <c r="EN101" s="533"/>
      <c r="EQ101" s="534"/>
    </row>
    <row r="102" spans="1:147" ht="14.1" customHeight="1" x14ac:dyDescent="0.2">
      <c r="A102" s="496">
        <v>95</v>
      </c>
      <c r="B102" s="1419"/>
      <c r="C102" s="1420"/>
      <c r="D102" s="264">
        <v>15</v>
      </c>
      <c r="E102" s="264" t="s">
        <v>1246</v>
      </c>
      <c r="F102" s="270" t="s">
        <v>2544</v>
      </c>
      <c r="G102" s="271">
        <v>1</v>
      </c>
      <c r="H102" s="803">
        <v>10</v>
      </c>
      <c r="I102" s="800">
        <f t="shared" si="250"/>
        <v>0</v>
      </c>
      <c r="J102" s="269">
        <f t="shared" si="251"/>
        <v>10</v>
      </c>
      <c r="K102" s="225"/>
      <c r="L102" s="941" t="str">
        <f>TabName15 &amp; " - ISoil"</f>
        <v>Phase 15 - ISoil</v>
      </c>
      <c r="M102" s="951">
        <f>DL6</f>
        <v>10</v>
      </c>
      <c r="V102" s="915">
        <f t="shared" si="132"/>
        <v>0</v>
      </c>
      <c r="W102" s="915">
        <f t="shared" si="133"/>
        <v>0</v>
      </c>
      <c r="X102" s="915">
        <f t="shared" si="134"/>
        <v>0</v>
      </c>
      <c r="Y102" s="915">
        <f t="shared" si="135"/>
        <v>0</v>
      </c>
      <c r="Z102" s="915">
        <f t="shared" si="136"/>
        <v>0</v>
      </c>
      <c r="AA102" s="915">
        <f t="shared" si="137"/>
        <v>0</v>
      </c>
      <c r="AB102" s="915">
        <f t="shared" si="138"/>
        <v>0</v>
      </c>
      <c r="AC102" s="915">
        <f t="shared" si="139"/>
        <v>0</v>
      </c>
      <c r="AD102" s="915">
        <f t="shared" si="140"/>
        <v>0</v>
      </c>
      <c r="AE102" s="915">
        <f t="shared" si="141"/>
        <v>0</v>
      </c>
      <c r="AF102" s="915">
        <f t="shared" si="190"/>
        <v>0</v>
      </c>
      <c r="AG102" s="915">
        <f t="shared" si="191"/>
        <v>0</v>
      </c>
      <c r="AH102" s="915">
        <f t="shared" si="192"/>
        <v>0</v>
      </c>
      <c r="AI102" s="915">
        <f t="shared" si="193"/>
        <v>0</v>
      </c>
      <c r="AJ102" s="915">
        <f t="shared" si="194"/>
        <v>0</v>
      </c>
      <c r="AK102" s="915">
        <f t="shared" si="195"/>
        <v>0</v>
      </c>
      <c r="AL102" s="915">
        <f t="shared" si="196"/>
        <v>0</v>
      </c>
      <c r="AM102" s="915">
        <f t="shared" si="197"/>
        <v>0</v>
      </c>
      <c r="AN102" s="915">
        <f t="shared" si="198"/>
        <v>0</v>
      </c>
      <c r="AO102" s="915">
        <f t="shared" si="199"/>
        <v>0</v>
      </c>
      <c r="AP102" s="915">
        <f t="shared" si="142"/>
        <v>0</v>
      </c>
      <c r="AQ102" s="915">
        <f t="shared" si="143"/>
        <v>0</v>
      </c>
      <c r="AR102" s="915">
        <f t="shared" si="144"/>
        <v>0</v>
      </c>
      <c r="AS102" s="915">
        <f t="shared" si="145"/>
        <v>0</v>
      </c>
      <c r="AT102" s="915">
        <f t="shared" si="146"/>
        <v>0</v>
      </c>
      <c r="AU102" s="915">
        <f t="shared" si="147"/>
        <v>0</v>
      </c>
      <c r="AV102" s="915">
        <f t="shared" si="148"/>
        <v>0</v>
      </c>
      <c r="AW102" s="915">
        <f t="shared" si="149"/>
        <v>0</v>
      </c>
      <c r="AX102" s="915">
        <f t="shared" si="150"/>
        <v>0</v>
      </c>
      <c r="AY102" s="915">
        <f t="shared" si="200"/>
        <v>0</v>
      </c>
      <c r="AZ102" s="915">
        <f t="shared" si="201"/>
        <v>0</v>
      </c>
      <c r="BA102" s="915">
        <f t="shared" si="202"/>
        <v>0</v>
      </c>
      <c r="BB102" s="915">
        <f t="shared" si="203"/>
        <v>0</v>
      </c>
      <c r="BC102" s="915">
        <f t="shared" si="204"/>
        <v>0</v>
      </c>
      <c r="BD102" s="915">
        <f t="shared" si="205"/>
        <v>0</v>
      </c>
      <c r="BE102" s="915">
        <f t="shared" si="206"/>
        <v>0</v>
      </c>
      <c r="BF102" s="915">
        <f t="shared" si="207"/>
        <v>0</v>
      </c>
      <c r="BG102" s="915">
        <f t="shared" si="208"/>
        <v>0</v>
      </c>
      <c r="BH102" s="915">
        <f t="shared" si="209"/>
        <v>0</v>
      </c>
      <c r="BI102" s="915">
        <f t="shared" si="210"/>
        <v>0</v>
      </c>
      <c r="BJ102" s="915">
        <f t="shared" si="151"/>
        <v>0</v>
      </c>
      <c r="BK102" s="915">
        <f t="shared" si="152"/>
        <v>0</v>
      </c>
      <c r="BL102" s="915">
        <f t="shared" si="153"/>
        <v>0</v>
      </c>
      <c r="BM102" s="915">
        <f t="shared" si="154"/>
        <v>0</v>
      </c>
      <c r="BN102" s="915">
        <f t="shared" si="155"/>
        <v>0</v>
      </c>
      <c r="BO102" s="915">
        <f t="shared" si="156"/>
        <v>0</v>
      </c>
      <c r="BP102" s="915">
        <f t="shared" si="157"/>
        <v>0</v>
      </c>
      <c r="BQ102" s="915">
        <f t="shared" si="158"/>
        <v>0</v>
      </c>
      <c r="BR102" s="915">
        <f t="shared" si="159"/>
        <v>0</v>
      </c>
      <c r="BS102" s="915">
        <f t="shared" si="160"/>
        <v>0</v>
      </c>
      <c r="BT102" s="915">
        <f t="shared" si="211"/>
        <v>0</v>
      </c>
      <c r="BU102" s="915">
        <f t="shared" si="211"/>
        <v>0</v>
      </c>
      <c r="BV102" s="915">
        <f t="shared" si="212"/>
        <v>0</v>
      </c>
      <c r="BW102" s="915">
        <f t="shared" si="213"/>
        <v>0</v>
      </c>
      <c r="BX102" s="915">
        <f t="shared" si="214"/>
        <v>0</v>
      </c>
      <c r="BY102" s="915">
        <f t="shared" si="215"/>
        <v>0</v>
      </c>
      <c r="BZ102" s="915">
        <f t="shared" si="216"/>
        <v>0</v>
      </c>
      <c r="CA102" s="915">
        <f t="shared" si="217"/>
        <v>0</v>
      </c>
      <c r="CB102" s="915">
        <f t="shared" si="218"/>
        <v>0</v>
      </c>
      <c r="CC102" s="915">
        <f t="shared" si="219"/>
        <v>0</v>
      </c>
      <c r="CD102" s="915">
        <f t="shared" si="161"/>
        <v>0</v>
      </c>
      <c r="CE102" s="915">
        <f t="shared" si="162"/>
        <v>0</v>
      </c>
      <c r="CF102" s="915">
        <f t="shared" si="163"/>
        <v>0</v>
      </c>
      <c r="CG102" s="915">
        <f t="shared" si="164"/>
        <v>0</v>
      </c>
      <c r="CH102" s="915">
        <f t="shared" si="165"/>
        <v>0</v>
      </c>
      <c r="CI102" s="915">
        <f t="shared" si="166"/>
        <v>0</v>
      </c>
      <c r="CJ102" s="915">
        <f t="shared" si="167"/>
        <v>0</v>
      </c>
      <c r="CK102" s="915">
        <f t="shared" si="168"/>
        <v>0</v>
      </c>
      <c r="CL102" s="915">
        <f t="shared" si="169"/>
        <v>0</v>
      </c>
      <c r="CM102" s="915">
        <f t="shared" si="170"/>
        <v>0</v>
      </c>
      <c r="CN102" s="915">
        <f t="shared" si="220"/>
        <v>0</v>
      </c>
      <c r="CO102" s="915">
        <f t="shared" si="221"/>
        <v>0</v>
      </c>
      <c r="CP102" s="915">
        <f t="shared" si="222"/>
        <v>0</v>
      </c>
      <c r="CQ102" s="915">
        <f t="shared" si="223"/>
        <v>0</v>
      </c>
      <c r="CR102" s="915">
        <f t="shared" si="224"/>
        <v>0</v>
      </c>
      <c r="CS102" s="915">
        <f t="shared" si="225"/>
        <v>0</v>
      </c>
      <c r="CT102" s="915">
        <f t="shared" si="226"/>
        <v>0</v>
      </c>
      <c r="CU102" s="915">
        <f t="shared" si="227"/>
        <v>0</v>
      </c>
      <c r="CV102" s="915">
        <f t="shared" si="228"/>
        <v>0</v>
      </c>
      <c r="CW102" s="915">
        <f t="shared" si="229"/>
        <v>0</v>
      </c>
      <c r="CX102" s="915">
        <f t="shared" si="171"/>
        <v>0</v>
      </c>
      <c r="CY102" s="915">
        <f t="shared" si="172"/>
        <v>0</v>
      </c>
      <c r="CZ102" s="915">
        <f t="shared" si="173"/>
        <v>0</v>
      </c>
      <c r="DA102" s="915">
        <f t="shared" si="174"/>
        <v>0</v>
      </c>
      <c r="DB102" s="915">
        <f t="shared" si="175"/>
        <v>0</v>
      </c>
      <c r="DC102" s="915">
        <f t="shared" si="176"/>
        <v>0</v>
      </c>
      <c r="DD102" s="915">
        <f t="shared" si="177"/>
        <v>0</v>
      </c>
      <c r="DE102" s="915">
        <f t="shared" si="178"/>
        <v>0</v>
      </c>
      <c r="DF102" s="915">
        <f t="shared" si="179"/>
        <v>0</v>
      </c>
      <c r="DG102" s="915">
        <f t="shared" si="180"/>
        <v>0</v>
      </c>
      <c r="DH102" s="915">
        <f t="shared" si="230"/>
        <v>0</v>
      </c>
      <c r="DI102" s="915">
        <f t="shared" si="231"/>
        <v>0</v>
      </c>
      <c r="DJ102" s="915">
        <f t="shared" si="232"/>
        <v>0</v>
      </c>
      <c r="DK102" s="915">
        <f t="shared" si="233"/>
        <v>0</v>
      </c>
      <c r="DL102" s="915">
        <f t="shared" si="234"/>
        <v>10</v>
      </c>
      <c r="DM102" s="915">
        <f t="shared" si="235"/>
        <v>0</v>
      </c>
      <c r="DN102" s="915">
        <f t="shared" si="236"/>
        <v>0</v>
      </c>
      <c r="DO102" s="915">
        <f t="shared" si="237"/>
        <v>0</v>
      </c>
      <c r="DP102" s="915">
        <f t="shared" si="238"/>
        <v>0</v>
      </c>
      <c r="DQ102" s="915">
        <f t="shared" si="239"/>
        <v>0</v>
      </c>
      <c r="DR102" s="915">
        <f t="shared" si="181"/>
        <v>0</v>
      </c>
      <c r="DS102" s="915">
        <f t="shared" si="182"/>
        <v>0</v>
      </c>
      <c r="DT102" s="915">
        <f t="shared" si="183"/>
        <v>0</v>
      </c>
      <c r="DU102" s="915">
        <f t="shared" si="184"/>
        <v>0</v>
      </c>
      <c r="DV102" s="915">
        <f t="shared" si="185"/>
        <v>0</v>
      </c>
      <c r="DW102" s="915">
        <f t="shared" si="186"/>
        <v>0</v>
      </c>
      <c r="DX102" s="915">
        <f t="shared" si="187"/>
        <v>0</v>
      </c>
      <c r="DY102" s="915">
        <f t="shared" si="188"/>
        <v>0</v>
      </c>
      <c r="DZ102" s="915">
        <f t="shared" si="189"/>
        <v>0</v>
      </c>
      <c r="EA102" s="915">
        <f t="shared" si="131"/>
        <v>0</v>
      </c>
      <c r="EB102" s="915">
        <f t="shared" si="252"/>
        <v>0</v>
      </c>
      <c r="EC102" s="915">
        <f t="shared" si="253"/>
        <v>0</v>
      </c>
      <c r="ED102" s="915">
        <f t="shared" si="254"/>
        <v>0</v>
      </c>
      <c r="EE102" s="915">
        <f t="shared" si="255"/>
        <v>0</v>
      </c>
      <c r="EF102" s="915">
        <f t="shared" si="256"/>
        <v>0</v>
      </c>
      <c r="EG102" s="915">
        <f t="shared" si="257"/>
        <v>0</v>
      </c>
      <c r="EH102" s="915">
        <f t="shared" si="258"/>
        <v>0</v>
      </c>
      <c r="EI102" s="915">
        <f t="shared" si="259"/>
        <v>0</v>
      </c>
      <c r="EJ102" s="915">
        <f t="shared" si="260"/>
        <v>0</v>
      </c>
      <c r="EK102" s="915">
        <f t="shared" si="261"/>
        <v>0</v>
      </c>
      <c r="EN102" s="533"/>
      <c r="EQ102" s="534"/>
    </row>
    <row r="103" spans="1:147" ht="14.1" customHeight="1" x14ac:dyDescent="0.2">
      <c r="A103" s="1026">
        <v>96</v>
      </c>
      <c r="B103" s="1005"/>
      <c r="C103" s="1008"/>
      <c r="D103" s="138">
        <v>16</v>
      </c>
      <c r="E103" s="138" t="s">
        <v>1246</v>
      </c>
      <c r="F103" s="139" t="s">
        <v>2544</v>
      </c>
      <c r="G103" s="91">
        <v>1</v>
      </c>
      <c r="H103" s="1022">
        <v>10</v>
      </c>
      <c r="I103" s="801">
        <f t="shared" si="250"/>
        <v>0</v>
      </c>
      <c r="J103" s="1021">
        <f t="shared" si="251"/>
        <v>10</v>
      </c>
      <c r="K103" s="225"/>
      <c r="L103" s="941" t="str">
        <f>TabName16 &amp; " - ISoil"</f>
        <v>Phase 16 - ISoil</v>
      </c>
      <c r="M103" s="951">
        <f>DM6</f>
        <v>10</v>
      </c>
      <c r="V103" s="915">
        <f t="shared" si="132"/>
        <v>0</v>
      </c>
      <c r="W103" s="915">
        <f t="shared" si="133"/>
        <v>0</v>
      </c>
      <c r="X103" s="915">
        <f t="shared" si="134"/>
        <v>0</v>
      </c>
      <c r="Y103" s="915">
        <f t="shared" si="135"/>
        <v>0</v>
      </c>
      <c r="Z103" s="915">
        <f t="shared" si="136"/>
        <v>0</v>
      </c>
      <c r="AA103" s="915">
        <f t="shared" si="137"/>
        <v>0</v>
      </c>
      <c r="AB103" s="915">
        <f t="shared" si="138"/>
        <v>0</v>
      </c>
      <c r="AC103" s="915">
        <f t="shared" si="139"/>
        <v>0</v>
      </c>
      <c r="AD103" s="915">
        <f t="shared" si="140"/>
        <v>0</v>
      </c>
      <c r="AE103" s="915">
        <f t="shared" si="141"/>
        <v>0</v>
      </c>
      <c r="AF103" s="915">
        <f t="shared" si="190"/>
        <v>0</v>
      </c>
      <c r="AG103" s="915">
        <f t="shared" si="191"/>
        <v>0</v>
      </c>
      <c r="AH103" s="915">
        <f t="shared" si="192"/>
        <v>0</v>
      </c>
      <c r="AI103" s="915">
        <f t="shared" si="193"/>
        <v>0</v>
      </c>
      <c r="AJ103" s="915">
        <f t="shared" si="194"/>
        <v>0</v>
      </c>
      <c r="AK103" s="915">
        <f t="shared" si="195"/>
        <v>0</v>
      </c>
      <c r="AL103" s="915">
        <f t="shared" si="196"/>
        <v>0</v>
      </c>
      <c r="AM103" s="915">
        <f t="shared" si="197"/>
        <v>0</v>
      </c>
      <c r="AN103" s="915">
        <f t="shared" si="198"/>
        <v>0</v>
      </c>
      <c r="AO103" s="915">
        <f t="shared" si="199"/>
        <v>0</v>
      </c>
      <c r="AP103" s="915">
        <f t="shared" si="142"/>
        <v>0</v>
      </c>
      <c r="AQ103" s="915">
        <f t="shared" si="143"/>
        <v>0</v>
      </c>
      <c r="AR103" s="915">
        <f t="shared" si="144"/>
        <v>0</v>
      </c>
      <c r="AS103" s="915">
        <f t="shared" si="145"/>
        <v>0</v>
      </c>
      <c r="AT103" s="915">
        <f t="shared" si="146"/>
        <v>0</v>
      </c>
      <c r="AU103" s="915">
        <f t="shared" si="147"/>
        <v>0</v>
      </c>
      <c r="AV103" s="915">
        <f t="shared" si="148"/>
        <v>0</v>
      </c>
      <c r="AW103" s="915">
        <f t="shared" si="149"/>
        <v>0</v>
      </c>
      <c r="AX103" s="915">
        <f t="shared" si="150"/>
        <v>0</v>
      </c>
      <c r="AY103" s="915">
        <f t="shared" si="200"/>
        <v>0</v>
      </c>
      <c r="AZ103" s="915">
        <f t="shared" si="201"/>
        <v>0</v>
      </c>
      <c r="BA103" s="915">
        <f t="shared" si="202"/>
        <v>0</v>
      </c>
      <c r="BB103" s="915">
        <f t="shared" si="203"/>
        <v>0</v>
      </c>
      <c r="BC103" s="915">
        <f t="shared" si="204"/>
        <v>0</v>
      </c>
      <c r="BD103" s="915">
        <f t="shared" si="205"/>
        <v>0</v>
      </c>
      <c r="BE103" s="915">
        <f t="shared" si="206"/>
        <v>0</v>
      </c>
      <c r="BF103" s="915">
        <f t="shared" si="207"/>
        <v>0</v>
      </c>
      <c r="BG103" s="915">
        <f t="shared" si="208"/>
        <v>0</v>
      </c>
      <c r="BH103" s="915">
        <f t="shared" si="209"/>
        <v>0</v>
      </c>
      <c r="BI103" s="915">
        <f t="shared" si="210"/>
        <v>0</v>
      </c>
      <c r="BJ103" s="915">
        <f t="shared" si="151"/>
        <v>0</v>
      </c>
      <c r="BK103" s="915">
        <f t="shared" si="152"/>
        <v>0</v>
      </c>
      <c r="BL103" s="915">
        <f t="shared" si="153"/>
        <v>0</v>
      </c>
      <c r="BM103" s="915">
        <f t="shared" si="154"/>
        <v>0</v>
      </c>
      <c r="BN103" s="915">
        <f t="shared" si="155"/>
        <v>0</v>
      </c>
      <c r="BO103" s="915">
        <f t="shared" si="156"/>
        <v>0</v>
      </c>
      <c r="BP103" s="915">
        <f t="shared" si="157"/>
        <v>0</v>
      </c>
      <c r="BQ103" s="915">
        <f t="shared" si="158"/>
        <v>0</v>
      </c>
      <c r="BR103" s="915">
        <f t="shared" si="159"/>
        <v>0</v>
      </c>
      <c r="BS103" s="915">
        <f t="shared" si="160"/>
        <v>0</v>
      </c>
      <c r="BT103" s="915">
        <f t="shared" si="211"/>
        <v>0</v>
      </c>
      <c r="BU103" s="915">
        <f t="shared" si="211"/>
        <v>0</v>
      </c>
      <c r="BV103" s="915">
        <f t="shared" si="212"/>
        <v>0</v>
      </c>
      <c r="BW103" s="915">
        <f t="shared" si="213"/>
        <v>0</v>
      </c>
      <c r="BX103" s="915">
        <f t="shared" si="214"/>
        <v>0</v>
      </c>
      <c r="BY103" s="915">
        <f t="shared" si="215"/>
        <v>0</v>
      </c>
      <c r="BZ103" s="915">
        <f t="shared" si="216"/>
        <v>0</v>
      </c>
      <c r="CA103" s="915">
        <f t="shared" si="217"/>
        <v>0</v>
      </c>
      <c r="CB103" s="915">
        <f t="shared" si="218"/>
        <v>0</v>
      </c>
      <c r="CC103" s="915">
        <f t="shared" si="219"/>
        <v>0</v>
      </c>
      <c r="CD103" s="915">
        <f t="shared" si="161"/>
        <v>0</v>
      </c>
      <c r="CE103" s="915">
        <f t="shared" si="162"/>
        <v>0</v>
      </c>
      <c r="CF103" s="915">
        <f t="shared" si="163"/>
        <v>0</v>
      </c>
      <c r="CG103" s="915">
        <f t="shared" si="164"/>
        <v>0</v>
      </c>
      <c r="CH103" s="915">
        <f t="shared" si="165"/>
        <v>0</v>
      </c>
      <c r="CI103" s="915">
        <f t="shared" si="166"/>
        <v>0</v>
      </c>
      <c r="CJ103" s="915">
        <f t="shared" si="167"/>
        <v>0</v>
      </c>
      <c r="CK103" s="915">
        <f t="shared" si="168"/>
        <v>0</v>
      </c>
      <c r="CL103" s="915">
        <f t="shared" si="169"/>
        <v>0</v>
      </c>
      <c r="CM103" s="915">
        <f t="shared" si="170"/>
        <v>0</v>
      </c>
      <c r="CN103" s="915">
        <f t="shared" si="220"/>
        <v>0</v>
      </c>
      <c r="CO103" s="915">
        <f t="shared" si="221"/>
        <v>0</v>
      </c>
      <c r="CP103" s="915">
        <f t="shared" si="222"/>
        <v>0</v>
      </c>
      <c r="CQ103" s="915">
        <f t="shared" si="223"/>
        <v>0</v>
      </c>
      <c r="CR103" s="915">
        <f t="shared" si="224"/>
        <v>0</v>
      </c>
      <c r="CS103" s="915">
        <f t="shared" si="225"/>
        <v>0</v>
      </c>
      <c r="CT103" s="915">
        <f t="shared" si="226"/>
        <v>0</v>
      </c>
      <c r="CU103" s="915">
        <f t="shared" si="227"/>
        <v>0</v>
      </c>
      <c r="CV103" s="915">
        <f t="shared" si="228"/>
        <v>0</v>
      </c>
      <c r="CW103" s="915">
        <f t="shared" si="229"/>
        <v>0</v>
      </c>
      <c r="CX103" s="915">
        <f t="shared" si="171"/>
        <v>0</v>
      </c>
      <c r="CY103" s="915">
        <f t="shared" si="172"/>
        <v>0</v>
      </c>
      <c r="CZ103" s="915">
        <f t="shared" si="173"/>
        <v>0</v>
      </c>
      <c r="DA103" s="915">
        <f t="shared" si="174"/>
        <v>0</v>
      </c>
      <c r="DB103" s="915">
        <f t="shared" si="175"/>
        <v>0</v>
      </c>
      <c r="DC103" s="915">
        <f t="shared" si="176"/>
        <v>0</v>
      </c>
      <c r="DD103" s="915">
        <f t="shared" si="177"/>
        <v>0</v>
      </c>
      <c r="DE103" s="915">
        <f t="shared" si="178"/>
        <v>0</v>
      </c>
      <c r="DF103" s="915">
        <f t="shared" si="179"/>
        <v>0</v>
      </c>
      <c r="DG103" s="915">
        <f t="shared" si="180"/>
        <v>0</v>
      </c>
      <c r="DH103" s="915">
        <f t="shared" si="230"/>
        <v>0</v>
      </c>
      <c r="DI103" s="915">
        <f t="shared" si="231"/>
        <v>0</v>
      </c>
      <c r="DJ103" s="915">
        <f t="shared" si="232"/>
        <v>0</v>
      </c>
      <c r="DK103" s="915">
        <f t="shared" si="233"/>
        <v>0</v>
      </c>
      <c r="DL103" s="915">
        <f t="shared" si="234"/>
        <v>0</v>
      </c>
      <c r="DM103" s="915">
        <f t="shared" si="235"/>
        <v>10</v>
      </c>
      <c r="DN103" s="915">
        <f t="shared" si="236"/>
        <v>0</v>
      </c>
      <c r="DO103" s="915">
        <f t="shared" si="237"/>
        <v>0</v>
      </c>
      <c r="DP103" s="915">
        <f t="shared" si="238"/>
        <v>0</v>
      </c>
      <c r="DQ103" s="915">
        <f t="shared" si="239"/>
        <v>0</v>
      </c>
      <c r="DR103" s="915">
        <f t="shared" si="181"/>
        <v>0</v>
      </c>
      <c r="DS103" s="915">
        <f t="shared" si="182"/>
        <v>0</v>
      </c>
      <c r="DT103" s="915">
        <f t="shared" si="183"/>
        <v>0</v>
      </c>
      <c r="DU103" s="915">
        <f t="shared" si="184"/>
        <v>0</v>
      </c>
      <c r="DV103" s="915">
        <f t="shared" si="185"/>
        <v>0</v>
      </c>
      <c r="DW103" s="915">
        <f t="shared" si="186"/>
        <v>0</v>
      </c>
      <c r="DX103" s="915">
        <f t="shared" si="187"/>
        <v>0</v>
      </c>
      <c r="DY103" s="915">
        <f t="shared" si="188"/>
        <v>0</v>
      </c>
      <c r="DZ103" s="915">
        <f t="shared" si="189"/>
        <v>0</v>
      </c>
      <c r="EA103" s="915">
        <f t="shared" si="131"/>
        <v>0</v>
      </c>
      <c r="EB103" s="915">
        <f t="shared" si="252"/>
        <v>0</v>
      </c>
      <c r="EC103" s="915">
        <f t="shared" si="253"/>
        <v>0</v>
      </c>
      <c r="ED103" s="915">
        <f t="shared" si="254"/>
        <v>0</v>
      </c>
      <c r="EE103" s="915">
        <f t="shared" si="255"/>
        <v>0</v>
      </c>
      <c r="EF103" s="915">
        <f t="shared" si="256"/>
        <v>0</v>
      </c>
      <c r="EG103" s="915">
        <f t="shared" si="257"/>
        <v>0</v>
      </c>
      <c r="EH103" s="915">
        <f t="shared" si="258"/>
        <v>0</v>
      </c>
      <c r="EI103" s="915">
        <f t="shared" si="259"/>
        <v>0</v>
      </c>
      <c r="EJ103" s="915">
        <f t="shared" si="260"/>
        <v>0</v>
      </c>
      <c r="EK103" s="915">
        <f t="shared" si="261"/>
        <v>0</v>
      </c>
      <c r="EN103" s="533"/>
      <c r="EQ103" s="534"/>
    </row>
    <row r="104" spans="1:147" ht="13.5" customHeight="1" x14ac:dyDescent="0.2">
      <c r="A104" s="496">
        <v>97</v>
      </c>
      <c r="B104" s="1419"/>
      <c r="C104" s="1420"/>
      <c r="D104" s="264">
        <v>17</v>
      </c>
      <c r="E104" s="264" t="s">
        <v>1246</v>
      </c>
      <c r="F104" s="270" t="s">
        <v>2544</v>
      </c>
      <c r="G104" s="271">
        <v>1</v>
      </c>
      <c r="H104" s="803">
        <v>10</v>
      </c>
      <c r="I104" s="800">
        <f t="shared" si="250"/>
        <v>0</v>
      </c>
      <c r="J104" s="269">
        <f t="shared" si="251"/>
        <v>10</v>
      </c>
      <c r="K104" s="225"/>
      <c r="L104" s="941" t="str">
        <f>TabName17 &amp; " - ISoil"</f>
        <v>Phase 17 - ISoil</v>
      </c>
      <c r="M104" s="951">
        <f>DN6</f>
        <v>10</v>
      </c>
      <c r="V104" s="915">
        <f t="shared" si="132"/>
        <v>0</v>
      </c>
      <c r="W104" s="915">
        <f t="shared" si="133"/>
        <v>0</v>
      </c>
      <c r="X104" s="915">
        <f t="shared" si="134"/>
        <v>0</v>
      </c>
      <c r="Y104" s="915">
        <f t="shared" si="135"/>
        <v>0</v>
      </c>
      <c r="Z104" s="915">
        <f t="shared" si="136"/>
        <v>0</v>
      </c>
      <c r="AA104" s="915">
        <f t="shared" si="137"/>
        <v>0</v>
      </c>
      <c r="AB104" s="915">
        <f t="shared" si="138"/>
        <v>0</v>
      </c>
      <c r="AC104" s="915">
        <f t="shared" si="139"/>
        <v>0</v>
      </c>
      <c r="AD104" s="915">
        <f t="shared" si="140"/>
        <v>0</v>
      </c>
      <c r="AE104" s="915">
        <f t="shared" si="141"/>
        <v>0</v>
      </c>
      <c r="AF104" s="915">
        <f t="shared" si="190"/>
        <v>0</v>
      </c>
      <c r="AG104" s="915">
        <f t="shared" si="191"/>
        <v>0</v>
      </c>
      <c r="AH104" s="915">
        <f t="shared" si="192"/>
        <v>0</v>
      </c>
      <c r="AI104" s="915">
        <f t="shared" si="193"/>
        <v>0</v>
      </c>
      <c r="AJ104" s="915">
        <f t="shared" si="194"/>
        <v>0</v>
      </c>
      <c r="AK104" s="915">
        <f t="shared" si="195"/>
        <v>0</v>
      </c>
      <c r="AL104" s="915">
        <f t="shared" si="196"/>
        <v>0</v>
      </c>
      <c r="AM104" s="915">
        <f t="shared" si="197"/>
        <v>0</v>
      </c>
      <c r="AN104" s="915">
        <f t="shared" si="198"/>
        <v>0</v>
      </c>
      <c r="AO104" s="915">
        <f t="shared" si="199"/>
        <v>0</v>
      </c>
      <c r="AP104" s="915">
        <f t="shared" si="142"/>
        <v>0</v>
      </c>
      <c r="AQ104" s="915">
        <f t="shared" si="143"/>
        <v>0</v>
      </c>
      <c r="AR104" s="915">
        <f t="shared" si="144"/>
        <v>0</v>
      </c>
      <c r="AS104" s="915">
        <f t="shared" si="145"/>
        <v>0</v>
      </c>
      <c r="AT104" s="915">
        <f t="shared" si="146"/>
        <v>0</v>
      </c>
      <c r="AU104" s="915">
        <f t="shared" si="147"/>
        <v>0</v>
      </c>
      <c r="AV104" s="915">
        <f t="shared" si="148"/>
        <v>0</v>
      </c>
      <c r="AW104" s="915">
        <f t="shared" si="149"/>
        <v>0</v>
      </c>
      <c r="AX104" s="915">
        <f t="shared" si="150"/>
        <v>0</v>
      </c>
      <c r="AY104" s="915">
        <f t="shared" si="200"/>
        <v>0</v>
      </c>
      <c r="AZ104" s="915">
        <f t="shared" si="201"/>
        <v>0</v>
      </c>
      <c r="BA104" s="915">
        <f t="shared" si="202"/>
        <v>0</v>
      </c>
      <c r="BB104" s="915">
        <f t="shared" si="203"/>
        <v>0</v>
      </c>
      <c r="BC104" s="915">
        <f t="shared" si="204"/>
        <v>0</v>
      </c>
      <c r="BD104" s="915">
        <f t="shared" si="205"/>
        <v>0</v>
      </c>
      <c r="BE104" s="915">
        <f t="shared" si="206"/>
        <v>0</v>
      </c>
      <c r="BF104" s="915">
        <f t="shared" si="207"/>
        <v>0</v>
      </c>
      <c r="BG104" s="915">
        <f t="shared" si="208"/>
        <v>0</v>
      </c>
      <c r="BH104" s="915">
        <f t="shared" si="209"/>
        <v>0</v>
      </c>
      <c r="BI104" s="915">
        <f t="shared" si="210"/>
        <v>0</v>
      </c>
      <c r="BJ104" s="915">
        <f t="shared" si="151"/>
        <v>0</v>
      </c>
      <c r="BK104" s="915">
        <f t="shared" si="152"/>
        <v>0</v>
      </c>
      <c r="BL104" s="915">
        <f t="shared" si="153"/>
        <v>0</v>
      </c>
      <c r="BM104" s="915">
        <f t="shared" si="154"/>
        <v>0</v>
      </c>
      <c r="BN104" s="915">
        <f t="shared" si="155"/>
        <v>0</v>
      </c>
      <c r="BO104" s="915">
        <f t="shared" si="156"/>
        <v>0</v>
      </c>
      <c r="BP104" s="915">
        <f t="shared" si="157"/>
        <v>0</v>
      </c>
      <c r="BQ104" s="915">
        <f t="shared" si="158"/>
        <v>0</v>
      </c>
      <c r="BR104" s="915">
        <f t="shared" si="159"/>
        <v>0</v>
      </c>
      <c r="BS104" s="915">
        <f t="shared" si="160"/>
        <v>0</v>
      </c>
      <c r="BT104" s="915">
        <f t="shared" si="211"/>
        <v>0</v>
      </c>
      <c r="BU104" s="915">
        <f t="shared" si="211"/>
        <v>0</v>
      </c>
      <c r="BV104" s="915">
        <f t="shared" si="212"/>
        <v>0</v>
      </c>
      <c r="BW104" s="915">
        <f t="shared" si="213"/>
        <v>0</v>
      </c>
      <c r="BX104" s="915">
        <f t="shared" si="214"/>
        <v>0</v>
      </c>
      <c r="BY104" s="915">
        <f t="shared" si="215"/>
        <v>0</v>
      </c>
      <c r="BZ104" s="915">
        <f t="shared" si="216"/>
        <v>0</v>
      </c>
      <c r="CA104" s="915">
        <f t="shared" si="217"/>
        <v>0</v>
      </c>
      <c r="CB104" s="915">
        <f t="shared" si="218"/>
        <v>0</v>
      </c>
      <c r="CC104" s="915">
        <f t="shared" si="219"/>
        <v>0</v>
      </c>
      <c r="CD104" s="915">
        <f t="shared" si="161"/>
        <v>0</v>
      </c>
      <c r="CE104" s="915">
        <f t="shared" si="162"/>
        <v>0</v>
      </c>
      <c r="CF104" s="915">
        <f t="shared" si="163"/>
        <v>0</v>
      </c>
      <c r="CG104" s="915">
        <f t="shared" si="164"/>
        <v>0</v>
      </c>
      <c r="CH104" s="915">
        <f t="shared" si="165"/>
        <v>0</v>
      </c>
      <c r="CI104" s="915">
        <f t="shared" si="166"/>
        <v>0</v>
      </c>
      <c r="CJ104" s="915">
        <f t="shared" si="167"/>
        <v>0</v>
      </c>
      <c r="CK104" s="915">
        <f t="shared" si="168"/>
        <v>0</v>
      </c>
      <c r="CL104" s="915">
        <f t="shared" si="169"/>
        <v>0</v>
      </c>
      <c r="CM104" s="915">
        <f t="shared" si="170"/>
        <v>0</v>
      </c>
      <c r="CN104" s="915">
        <f t="shared" si="220"/>
        <v>0</v>
      </c>
      <c r="CO104" s="915">
        <f t="shared" si="221"/>
        <v>0</v>
      </c>
      <c r="CP104" s="915">
        <f t="shared" si="222"/>
        <v>0</v>
      </c>
      <c r="CQ104" s="915">
        <f t="shared" si="223"/>
        <v>0</v>
      </c>
      <c r="CR104" s="915">
        <f t="shared" si="224"/>
        <v>0</v>
      </c>
      <c r="CS104" s="915">
        <f t="shared" si="225"/>
        <v>0</v>
      </c>
      <c r="CT104" s="915">
        <f t="shared" si="226"/>
        <v>0</v>
      </c>
      <c r="CU104" s="915">
        <f t="shared" si="227"/>
        <v>0</v>
      </c>
      <c r="CV104" s="915">
        <f t="shared" si="228"/>
        <v>0</v>
      </c>
      <c r="CW104" s="915">
        <f t="shared" si="229"/>
        <v>0</v>
      </c>
      <c r="CX104" s="915">
        <f t="shared" si="171"/>
        <v>0</v>
      </c>
      <c r="CY104" s="915">
        <f t="shared" si="172"/>
        <v>0</v>
      </c>
      <c r="CZ104" s="915">
        <f t="shared" si="173"/>
        <v>0</v>
      </c>
      <c r="DA104" s="915">
        <f t="shared" si="174"/>
        <v>0</v>
      </c>
      <c r="DB104" s="915">
        <f t="shared" si="175"/>
        <v>0</v>
      </c>
      <c r="DC104" s="915">
        <f t="shared" si="176"/>
        <v>0</v>
      </c>
      <c r="DD104" s="915">
        <f t="shared" si="177"/>
        <v>0</v>
      </c>
      <c r="DE104" s="915">
        <f t="shared" si="178"/>
        <v>0</v>
      </c>
      <c r="DF104" s="915">
        <f t="shared" si="179"/>
        <v>0</v>
      </c>
      <c r="DG104" s="915">
        <f t="shared" si="180"/>
        <v>0</v>
      </c>
      <c r="DH104" s="915">
        <f t="shared" si="230"/>
        <v>0</v>
      </c>
      <c r="DI104" s="915">
        <f t="shared" si="231"/>
        <v>0</v>
      </c>
      <c r="DJ104" s="915">
        <f t="shared" si="232"/>
        <v>0</v>
      </c>
      <c r="DK104" s="915">
        <f t="shared" si="233"/>
        <v>0</v>
      </c>
      <c r="DL104" s="915">
        <f t="shared" si="234"/>
        <v>0</v>
      </c>
      <c r="DM104" s="915">
        <f t="shared" si="235"/>
        <v>0</v>
      </c>
      <c r="DN104" s="915">
        <f t="shared" si="236"/>
        <v>10</v>
      </c>
      <c r="DO104" s="915">
        <f t="shared" si="237"/>
        <v>0</v>
      </c>
      <c r="DP104" s="915">
        <f t="shared" si="238"/>
        <v>0</v>
      </c>
      <c r="DQ104" s="915">
        <f t="shared" si="239"/>
        <v>0</v>
      </c>
      <c r="DR104" s="915">
        <f t="shared" si="181"/>
        <v>0</v>
      </c>
      <c r="DS104" s="915">
        <f t="shared" si="182"/>
        <v>0</v>
      </c>
      <c r="DT104" s="915">
        <f t="shared" si="183"/>
        <v>0</v>
      </c>
      <c r="DU104" s="915">
        <f t="shared" si="184"/>
        <v>0</v>
      </c>
      <c r="DV104" s="915">
        <f t="shared" si="185"/>
        <v>0</v>
      </c>
      <c r="DW104" s="915">
        <f t="shared" si="186"/>
        <v>0</v>
      </c>
      <c r="DX104" s="915">
        <f t="shared" si="187"/>
        <v>0</v>
      </c>
      <c r="DY104" s="915">
        <f t="shared" si="188"/>
        <v>0</v>
      </c>
      <c r="DZ104" s="915">
        <f t="shared" si="189"/>
        <v>0</v>
      </c>
      <c r="EA104" s="915">
        <f t="shared" si="131"/>
        <v>0</v>
      </c>
      <c r="EB104" s="915">
        <f t="shared" si="252"/>
        <v>0</v>
      </c>
      <c r="EC104" s="915">
        <f t="shared" si="253"/>
        <v>0</v>
      </c>
      <c r="ED104" s="915">
        <f t="shared" si="254"/>
        <v>0</v>
      </c>
      <c r="EE104" s="915">
        <f t="shared" si="255"/>
        <v>0</v>
      </c>
      <c r="EF104" s="915">
        <f t="shared" si="256"/>
        <v>0</v>
      </c>
      <c r="EG104" s="915">
        <f t="shared" si="257"/>
        <v>0</v>
      </c>
      <c r="EH104" s="915">
        <f t="shared" si="258"/>
        <v>0</v>
      </c>
      <c r="EI104" s="915">
        <f t="shared" si="259"/>
        <v>0</v>
      </c>
      <c r="EJ104" s="915">
        <f t="shared" si="260"/>
        <v>0</v>
      </c>
      <c r="EK104" s="915">
        <f t="shared" si="261"/>
        <v>0</v>
      </c>
      <c r="EN104" s="533"/>
      <c r="EQ104" s="534"/>
    </row>
    <row r="105" spans="1:147" ht="14.1" customHeight="1" x14ac:dyDescent="0.2">
      <c r="A105" s="1026">
        <v>98</v>
      </c>
      <c r="B105" s="1005"/>
      <c r="C105" s="1008"/>
      <c r="D105" s="138">
        <v>18</v>
      </c>
      <c r="E105" s="138" t="s">
        <v>1246</v>
      </c>
      <c r="F105" s="139" t="s">
        <v>2544</v>
      </c>
      <c r="G105" s="91">
        <v>1</v>
      </c>
      <c r="H105" s="1022">
        <v>10</v>
      </c>
      <c r="I105" s="801">
        <f t="shared" si="250"/>
        <v>0</v>
      </c>
      <c r="J105" s="1021">
        <f t="shared" si="251"/>
        <v>10</v>
      </c>
      <c r="K105" s="225"/>
      <c r="L105" s="941" t="str">
        <f>TabName18 &amp; " - ISoil"</f>
        <v>Phase 18 - ISoil</v>
      </c>
      <c r="M105" s="951">
        <f>DO6</f>
        <v>10</v>
      </c>
      <c r="V105" s="915">
        <f t="shared" si="132"/>
        <v>0</v>
      </c>
      <c r="W105" s="915">
        <f t="shared" si="133"/>
        <v>0</v>
      </c>
      <c r="X105" s="915">
        <f t="shared" si="134"/>
        <v>0</v>
      </c>
      <c r="Y105" s="915">
        <f t="shared" si="135"/>
        <v>0</v>
      </c>
      <c r="Z105" s="915">
        <f t="shared" si="136"/>
        <v>0</v>
      </c>
      <c r="AA105" s="915">
        <f t="shared" si="137"/>
        <v>0</v>
      </c>
      <c r="AB105" s="915">
        <f t="shared" si="138"/>
        <v>0</v>
      </c>
      <c r="AC105" s="915">
        <f t="shared" si="139"/>
        <v>0</v>
      </c>
      <c r="AD105" s="915">
        <f t="shared" si="140"/>
        <v>0</v>
      </c>
      <c r="AE105" s="915">
        <f t="shared" si="141"/>
        <v>0</v>
      </c>
      <c r="AF105" s="915">
        <f t="shared" si="190"/>
        <v>0</v>
      </c>
      <c r="AG105" s="915">
        <f t="shared" si="191"/>
        <v>0</v>
      </c>
      <c r="AH105" s="915">
        <f t="shared" si="192"/>
        <v>0</v>
      </c>
      <c r="AI105" s="915">
        <f t="shared" si="193"/>
        <v>0</v>
      </c>
      <c r="AJ105" s="915">
        <f t="shared" si="194"/>
        <v>0</v>
      </c>
      <c r="AK105" s="915">
        <f t="shared" si="195"/>
        <v>0</v>
      </c>
      <c r="AL105" s="915">
        <f t="shared" si="196"/>
        <v>0</v>
      </c>
      <c r="AM105" s="915">
        <f t="shared" si="197"/>
        <v>0</v>
      </c>
      <c r="AN105" s="915">
        <f t="shared" si="198"/>
        <v>0</v>
      </c>
      <c r="AO105" s="915">
        <f t="shared" si="199"/>
        <v>0</v>
      </c>
      <c r="AP105" s="915">
        <f t="shared" si="142"/>
        <v>0</v>
      </c>
      <c r="AQ105" s="915">
        <f t="shared" si="143"/>
        <v>0</v>
      </c>
      <c r="AR105" s="915">
        <f t="shared" si="144"/>
        <v>0</v>
      </c>
      <c r="AS105" s="915">
        <f t="shared" si="145"/>
        <v>0</v>
      </c>
      <c r="AT105" s="915">
        <f t="shared" si="146"/>
        <v>0</v>
      </c>
      <c r="AU105" s="915">
        <f t="shared" si="147"/>
        <v>0</v>
      </c>
      <c r="AV105" s="915">
        <f t="shared" si="148"/>
        <v>0</v>
      </c>
      <c r="AW105" s="915">
        <f t="shared" si="149"/>
        <v>0</v>
      </c>
      <c r="AX105" s="915">
        <f t="shared" si="150"/>
        <v>0</v>
      </c>
      <c r="AY105" s="915">
        <f t="shared" si="200"/>
        <v>0</v>
      </c>
      <c r="AZ105" s="915">
        <f t="shared" si="201"/>
        <v>0</v>
      </c>
      <c r="BA105" s="915">
        <f t="shared" si="202"/>
        <v>0</v>
      </c>
      <c r="BB105" s="915">
        <f t="shared" si="203"/>
        <v>0</v>
      </c>
      <c r="BC105" s="915">
        <f t="shared" si="204"/>
        <v>0</v>
      </c>
      <c r="BD105" s="915">
        <f t="shared" si="205"/>
        <v>0</v>
      </c>
      <c r="BE105" s="915">
        <f t="shared" si="206"/>
        <v>0</v>
      </c>
      <c r="BF105" s="915">
        <f t="shared" si="207"/>
        <v>0</v>
      </c>
      <c r="BG105" s="915">
        <f t="shared" si="208"/>
        <v>0</v>
      </c>
      <c r="BH105" s="915">
        <f t="shared" si="209"/>
        <v>0</v>
      </c>
      <c r="BI105" s="915">
        <f t="shared" si="210"/>
        <v>0</v>
      </c>
      <c r="BJ105" s="915">
        <f t="shared" si="151"/>
        <v>0</v>
      </c>
      <c r="BK105" s="915">
        <f t="shared" si="152"/>
        <v>0</v>
      </c>
      <c r="BL105" s="915">
        <f t="shared" si="153"/>
        <v>0</v>
      </c>
      <c r="BM105" s="915">
        <f t="shared" si="154"/>
        <v>0</v>
      </c>
      <c r="BN105" s="915">
        <f t="shared" si="155"/>
        <v>0</v>
      </c>
      <c r="BO105" s="915">
        <f t="shared" si="156"/>
        <v>0</v>
      </c>
      <c r="BP105" s="915">
        <f t="shared" si="157"/>
        <v>0</v>
      </c>
      <c r="BQ105" s="915">
        <f t="shared" si="158"/>
        <v>0</v>
      </c>
      <c r="BR105" s="915">
        <f t="shared" si="159"/>
        <v>0</v>
      </c>
      <c r="BS105" s="915">
        <f t="shared" si="160"/>
        <v>0</v>
      </c>
      <c r="BT105" s="915">
        <f t="shared" si="211"/>
        <v>0</v>
      </c>
      <c r="BU105" s="915">
        <f t="shared" si="211"/>
        <v>0</v>
      </c>
      <c r="BV105" s="915">
        <f t="shared" si="212"/>
        <v>0</v>
      </c>
      <c r="BW105" s="915">
        <f t="shared" si="213"/>
        <v>0</v>
      </c>
      <c r="BX105" s="915">
        <f t="shared" si="214"/>
        <v>0</v>
      </c>
      <c r="BY105" s="915">
        <f t="shared" si="215"/>
        <v>0</v>
      </c>
      <c r="BZ105" s="915">
        <f t="shared" si="216"/>
        <v>0</v>
      </c>
      <c r="CA105" s="915">
        <f t="shared" si="217"/>
        <v>0</v>
      </c>
      <c r="CB105" s="915">
        <f t="shared" si="218"/>
        <v>0</v>
      </c>
      <c r="CC105" s="915">
        <f t="shared" si="219"/>
        <v>0</v>
      </c>
      <c r="CD105" s="915">
        <f t="shared" si="161"/>
        <v>0</v>
      </c>
      <c r="CE105" s="915">
        <f t="shared" si="162"/>
        <v>0</v>
      </c>
      <c r="CF105" s="915">
        <f t="shared" si="163"/>
        <v>0</v>
      </c>
      <c r="CG105" s="915">
        <f t="shared" si="164"/>
        <v>0</v>
      </c>
      <c r="CH105" s="915">
        <f t="shared" si="165"/>
        <v>0</v>
      </c>
      <c r="CI105" s="915">
        <f t="shared" si="166"/>
        <v>0</v>
      </c>
      <c r="CJ105" s="915">
        <f t="shared" si="167"/>
        <v>0</v>
      </c>
      <c r="CK105" s="915">
        <f t="shared" si="168"/>
        <v>0</v>
      </c>
      <c r="CL105" s="915">
        <f t="shared" si="169"/>
        <v>0</v>
      </c>
      <c r="CM105" s="915">
        <f t="shared" si="170"/>
        <v>0</v>
      </c>
      <c r="CN105" s="915">
        <f t="shared" si="220"/>
        <v>0</v>
      </c>
      <c r="CO105" s="915">
        <f t="shared" si="221"/>
        <v>0</v>
      </c>
      <c r="CP105" s="915">
        <f t="shared" si="222"/>
        <v>0</v>
      </c>
      <c r="CQ105" s="915">
        <f t="shared" si="223"/>
        <v>0</v>
      </c>
      <c r="CR105" s="915">
        <f t="shared" si="224"/>
        <v>0</v>
      </c>
      <c r="CS105" s="915">
        <f t="shared" si="225"/>
        <v>0</v>
      </c>
      <c r="CT105" s="915">
        <f t="shared" si="226"/>
        <v>0</v>
      </c>
      <c r="CU105" s="915">
        <f t="shared" si="227"/>
        <v>0</v>
      </c>
      <c r="CV105" s="915">
        <f t="shared" si="228"/>
        <v>0</v>
      </c>
      <c r="CW105" s="915">
        <f t="shared" si="229"/>
        <v>0</v>
      </c>
      <c r="CX105" s="915">
        <f t="shared" si="171"/>
        <v>0</v>
      </c>
      <c r="CY105" s="915">
        <f t="shared" si="172"/>
        <v>0</v>
      </c>
      <c r="CZ105" s="915">
        <f t="shared" si="173"/>
        <v>0</v>
      </c>
      <c r="DA105" s="915">
        <f t="shared" si="174"/>
        <v>0</v>
      </c>
      <c r="DB105" s="915">
        <f t="shared" si="175"/>
        <v>0</v>
      </c>
      <c r="DC105" s="915">
        <f t="shared" si="176"/>
        <v>0</v>
      </c>
      <c r="DD105" s="915">
        <f t="shared" si="177"/>
        <v>0</v>
      </c>
      <c r="DE105" s="915">
        <f t="shared" si="178"/>
        <v>0</v>
      </c>
      <c r="DF105" s="915">
        <f t="shared" si="179"/>
        <v>0</v>
      </c>
      <c r="DG105" s="915">
        <f t="shared" si="180"/>
        <v>0</v>
      </c>
      <c r="DH105" s="915">
        <f t="shared" si="230"/>
        <v>0</v>
      </c>
      <c r="DI105" s="915">
        <f t="shared" si="231"/>
        <v>0</v>
      </c>
      <c r="DJ105" s="915">
        <f t="shared" si="232"/>
        <v>0</v>
      </c>
      <c r="DK105" s="915">
        <f t="shared" si="233"/>
        <v>0</v>
      </c>
      <c r="DL105" s="915">
        <f t="shared" si="234"/>
        <v>0</v>
      </c>
      <c r="DM105" s="915">
        <f t="shared" si="235"/>
        <v>0</v>
      </c>
      <c r="DN105" s="915">
        <f t="shared" si="236"/>
        <v>0</v>
      </c>
      <c r="DO105" s="915">
        <f t="shared" si="237"/>
        <v>10</v>
      </c>
      <c r="DP105" s="915">
        <f t="shared" si="238"/>
        <v>0</v>
      </c>
      <c r="DQ105" s="915">
        <f t="shared" si="239"/>
        <v>0</v>
      </c>
      <c r="DR105" s="915">
        <f t="shared" si="181"/>
        <v>0</v>
      </c>
      <c r="DS105" s="915">
        <f t="shared" si="182"/>
        <v>0</v>
      </c>
      <c r="DT105" s="915">
        <f t="shared" si="183"/>
        <v>0</v>
      </c>
      <c r="DU105" s="915">
        <f t="shared" si="184"/>
        <v>0</v>
      </c>
      <c r="DV105" s="915">
        <f t="shared" si="185"/>
        <v>0</v>
      </c>
      <c r="DW105" s="915">
        <f t="shared" si="186"/>
        <v>0</v>
      </c>
      <c r="DX105" s="915">
        <f t="shared" si="187"/>
        <v>0</v>
      </c>
      <c r="DY105" s="915">
        <f t="shared" si="188"/>
        <v>0</v>
      </c>
      <c r="DZ105" s="915">
        <f t="shared" si="189"/>
        <v>0</v>
      </c>
      <c r="EA105" s="915">
        <f t="shared" si="131"/>
        <v>0</v>
      </c>
      <c r="EB105" s="915">
        <f t="shared" si="252"/>
        <v>0</v>
      </c>
      <c r="EC105" s="915">
        <f t="shared" si="253"/>
        <v>0</v>
      </c>
      <c r="ED105" s="915">
        <f t="shared" si="254"/>
        <v>0</v>
      </c>
      <c r="EE105" s="915">
        <f t="shared" si="255"/>
        <v>0</v>
      </c>
      <c r="EF105" s="915">
        <f t="shared" si="256"/>
        <v>0</v>
      </c>
      <c r="EG105" s="915">
        <f t="shared" si="257"/>
        <v>0</v>
      </c>
      <c r="EH105" s="915">
        <f t="shared" si="258"/>
        <v>0</v>
      </c>
      <c r="EI105" s="915">
        <f t="shared" si="259"/>
        <v>0</v>
      </c>
      <c r="EJ105" s="915">
        <f t="shared" si="260"/>
        <v>0</v>
      </c>
      <c r="EK105" s="915">
        <f t="shared" si="261"/>
        <v>0</v>
      </c>
      <c r="EN105" s="533"/>
      <c r="EQ105" s="534"/>
    </row>
    <row r="106" spans="1:147" ht="14.1" customHeight="1" x14ac:dyDescent="0.2">
      <c r="A106" s="496">
        <v>99</v>
      </c>
      <c r="B106" s="1419"/>
      <c r="C106" s="1420"/>
      <c r="D106" s="264">
        <v>19</v>
      </c>
      <c r="E106" s="264" t="s">
        <v>1246</v>
      </c>
      <c r="F106" s="270" t="s">
        <v>2544</v>
      </c>
      <c r="G106" s="271">
        <v>1</v>
      </c>
      <c r="H106" s="803">
        <v>10</v>
      </c>
      <c r="I106" s="800">
        <f t="shared" si="250"/>
        <v>0</v>
      </c>
      <c r="J106" s="269">
        <f t="shared" si="251"/>
        <v>10</v>
      </c>
      <c r="K106" s="225"/>
      <c r="L106" s="941" t="str">
        <f>TabName19 &amp; " - ISoil"</f>
        <v>Phase 19 - ISoil</v>
      </c>
      <c r="M106" s="951">
        <f>DP6</f>
        <v>10</v>
      </c>
      <c r="V106" s="915">
        <f t="shared" si="132"/>
        <v>0</v>
      </c>
      <c r="W106" s="915">
        <f t="shared" si="133"/>
        <v>0</v>
      </c>
      <c r="X106" s="915">
        <f t="shared" si="134"/>
        <v>0</v>
      </c>
      <c r="Y106" s="915">
        <f t="shared" si="135"/>
        <v>0</v>
      </c>
      <c r="Z106" s="915">
        <f t="shared" si="136"/>
        <v>0</v>
      </c>
      <c r="AA106" s="915">
        <f t="shared" si="137"/>
        <v>0</v>
      </c>
      <c r="AB106" s="915">
        <f t="shared" si="138"/>
        <v>0</v>
      </c>
      <c r="AC106" s="915">
        <f t="shared" si="139"/>
        <v>0</v>
      </c>
      <c r="AD106" s="915">
        <f t="shared" si="140"/>
        <v>0</v>
      </c>
      <c r="AE106" s="915">
        <f t="shared" si="141"/>
        <v>0</v>
      </c>
      <c r="AF106" s="915">
        <f t="shared" si="190"/>
        <v>0</v>
      </c>
      <c r="AG106" s="915">
        <f t="shared" si="191"/>
        <v>0</v>
      </c>
      <c r="AH106" s="915">
        <f t="shared" si="192"/>
        <v>0</v>
      </c>
      <c r="AI106" s="915">
        <f t="shared" si="193"/>
        <v>0</v>
      </c>
      <c r="AJ106" s="915">
        <f t="shared" si="194"/>
        <v>0</v>
      </c>
      <c r="AK106" s="915">
        <f t="shared" si="195"/>
        <v>0</v>
      </c>
      <c r="AL106" s="915">
        <f t="shared" si="196"/>
        <v>0</v>
      </c>
      <c r="AM106" s="915">
        <f t="shared" si="197"/>
        <v>0</v>
      </c>
      <c r="AN106" s="915">
        <f t="shared" si="198"/>
        <v>0</v>
      </c>
      <c r="AO106" s="915">
        <f t="shared" si="199"/>
        <v>0</v>
      </c>
      <c r="AP106" s="915">
        <f t="shared" si="142"/>
        <v>0</v>
      </c>
      <c r="AQ106" s="915">
        <f t="shared" si="143"/>
        <v>0</v>
      </c>
      <c r="AR106" s="915">
        <f t="shared" si="144"/>
        <v>0</v>
      </c>
      <c r="AS106" s="915">
        <f t="shared" si="145"/>
        <v>0</v>
      </c>
      <c r="AT106" s="915">
        <f t="shared" si="146"/>
        <v>0</v>
      </c>
      <c r="AU106" s="915">
        <f t="shared" si="147"/>
        <v>0</v>
      </c>
      <c r="AV106" s="915">
        <f t="shared" si="148"/>
        <v>0</v>
      </c>
      <c r="AW106" s="915">
        <f t="shared" si="149"/>
        <v>0</v>
      </c>
      <c r="AX106" s="915">
        <f t="shared" si="150"/>
        <v>0</v>
      </c>
      <c r="AY106" s="915">
        <f t="shared" si="200"/>
        <v>0</v>
      </c>
      <c r="AZ106" s="915">
        <f t="shared" si="201"/>
        <v>0</v>
      </c>
      <c r="BA106" s="915">
        <f t="shared" si="202"/>
        <v>0</v>
      </c>
      <c r="BB106" s="915">
        <f t="shared" si="203"/>
        <v>0</v>
      </c>
      <c r="BC106" s="915">
        <f t="shared" si="204"/>
        <v>0</v>
      </c>
      <c r="BD106" s="915">
        <f t="shared" si="205"/>
        <v>0</v>
      </c>
      <c r="BE106" s="915">
        <f t="shared" si="206"/>
        <v>0</v>
      </c>
      <c r="BF106" s="915">
        <f t="shared" si="207"/>
        <v>0</v>
      </c>
      <c r="BG106" s="915">
        <f t="shared" si="208"/>
        <v>0</v>
      </c>
      <c r="BH106" s="915">
        <f t="shared" si="209"/>
        <v>0</v>
      </c>
      <c r="BI106" s="915">
        <f t="shared" si="210"/>
        <v>0</v>
      </c>
      <c r="BJ106" s="915">
        <f t="shared" si="151"/>
        <v>0</v>
      </c>
      <c r="BK106" s="915">
        <f t="shared" si="152"/>
        <v>0</v>
      </c>
      <c r="BL106" s="915">
        <f t="shared" si="153"/>
        <v>0</v>
      </c>
      <c r="BM106" s="915">
        <f t="shared" si="154"/>
        <v>0</v>
      </c>
      <c r="BN106" s="915">
        <f t="shared" si="155"/>
        <v>0</v>
      </c>
      <c r="BO106" s="915">
        <f t="shared" si="156"/>
        <v>0</v>
      </c>
      <c r="BP106" s="915">
        <f t="shared" si="157"/>
        <v>0</v>
      </c>
      <c r="BQ106" s="915">
        <f t="shared" si="158"/>
        <v>0</v>
      </c>
      <c r="BR106" s="915">
        <f t="shared" si="159"/>
        <v>0</v>
      </c>
      <c r="BS106" s="915">
        <f t="shared" si="160"/>
        <v>0</v>
      </c>
      <c r="BT106" s="915">
        <f t="shared" si="211"/>
        <v>0</v>
      </c>
      <c r="BU106" s="915">
        <f t="shared" si="211"/>
        <v>0</v>
      </c>
      <c r="BV106" s="915">
        <f t="shared" si="212"/>
        <v>0</v>
      </c>
      <c r="BW106" s="915">
        <f t="shared" si="213"/>
        <v>0</v>
      </c>
      <c r="BX106" s="915">
        <f t="shared" si="214"/>
        <v>0</v>
      </c>
      <c r="BY106" s="915">
        <f t="shared" si="215"/>
        <v>0</v>
      </c>
      <c r="BZ106" s="915">
        <f t="shared" si="216"/>
        <v>0</v>
      </c>
      <c r="CA106" s="915">
        <f t="shared" si="217"/>
        <v>0</v>
      </c>
      <c r="CB106" s="915">
        <f t="shared" si="218"/>
        <v>0</v>
      </c>
      <c r="CC106" s="915">
        <f t="shared" si="219"/>
        <v>0</v>
      </c>
      <c r="CD106" s="915">
        <f t="shared" si="161"/>
        <v>0</v>
      </c>
      <c r="CE106" s="915">
        <f t="shared" si="162"/>
        <v>0</v>
      </c>
      <c r="CF106" s="915">
        <f t="shared" si="163"/>
        <v>0</v>
      </c>
      <c r="CG106" s="915">
        <f t="shared" si="164"/>
        <v>0</v>
      </c>
      <c r="CH106" s="915">
        <f t="shared" si="165"/>
        <v>0</v>
      </c>
      <c r="CI106" s="915">
        <f t="shared" si="166"/>
        <v>0</v>
      </c>
      <c r="CJ106" s="915">
        <f t="shared" si="167"/>
        <v>0</v>
      </c>
      <c r="CK106" s="915">
        <f t="shared" si="168"/>
        <v>0</v>
      </c>
      <c r="CL106" s="915">
        <f t="shared" si="169"/>
        <v>0</v>
      </c>
      <c r="CM106" s="915">
        <f t="shared" si="170"/>
        <v>0</v>
      </c>
      <c r="CN106" s="915">
        <f t="shared" si="220"/>
        <v>0</v>
      </c>
      <c r="CO106" s="915">
        <f t="shared" si="221"/>
        <v>0</v>
      </c>
      <c r="CP106" s="915">
        <f t="shared" si="222"/>
        <v>0</v>
      </c>
      <c r="CQ106" s="915">
        <f t="shared" si="223"/>
        <v>0</v>
      </c>
      <c r="CR106" s="915">
        <f t="shared" si="224"/>
        <v>0</v>
      </c>
      <c r="CS106" s="915">
        <f t="shared" si="225"/>
        <v>0</v>
      </c>
      <c r="CT106" s="915">
        <f t="shared" si="226"/>
        <v>0</v>
      </c>
      <c r="CU106" s="915">
        <f t="shared" si="227"/>
        <v>0</v>
      </c>
      <c r="CV106" s="915">
        <f t="shared" si="228"/>
        <v>0</v>
      </c>
      <c r="CW106" s="915">
        <f t="shared" si="229"/>
        <v>0</v>
      </c>
      <c r="CX106" s="915">
        <f t="shared" si="171"/>
        <v>0</v>
      </c>
      <c r="CY106" s="915">
        <f t="shared" si="172"/>
        <v>0</v>
      </c>
      <c r="CZ106" s="915">
        <f t="shared" si="173"/>
        <v>0</v>
      </c>
      <c r="DA106" s="915">
        <f t="shared" si="174"/>
        <v>0</v>
      </c>
      <c r="DB106" s="915">
        <f t="shared" si="175"/>
        <v>0</v>
      </c>
      <c r="DC106" s="915">
        <f t="shared" si="176"/>
        <v>0</v>
      </c>
      <c r="DD106" s="915">
        <f t="shared" si="177"/>
        <v>0</v>
      </c>
      <c r="DE106" s="915">
        <f t="shared" si="178"/>
        <v>0</v>
      </c>
      <c r="DF106" s="915">
        <f t="shared" si="179"/>
        <v>0</v>
      </c>
      <c r="DG106" s="915">
        <f t="shared" si="180"/>
        <v>0</v>
      </c>
      <c r="DH106" s="915">
        <f t="shared" si="230"/>
        <v>0</v>
      </c>
      <c r="DI106" s="915">
        <f t="shared" si="231"/>
        <v>0</v>
      </c>
      <c r="DJ106" s="915">
        <f t="shared" si="232"/>
        <v>0</v>
      </c>
      <c r="DK106" s="915">
        <f t="shared" si="233"/>
        <v>0</v>
      </c>
      <c r="DL106" s="915">
        <f t="shared" si="234"/>
        <v>0</v>
      </c>
      <c r="DM106" s="915">
        <f t="shared" si="235"/>
        <v>0</v>
      </c>
      <c r="DN106" s="915">
        <f t="shared" si="236"/>
        <v>0</v>
      </c>
      <c r="DO106" s="915">
        <f t="shared" si="237"/>
        <v>0</v>
      </c>
      <c r="DP106" s="915">
        <f t="shared" si="238"/>
        <v>10</v>
      </c>
      <c r="DQ106" s="915">
        <f t="shared" si="239"/>
        <v>0</v>
      </c>
      <c r="DR106" s="915">
        <f t="shared" si="181"/>
        <v>0</v>
      </c>
      <c r="DS106" s="915">
        <f t="shared" si="182"/>
        <v>0</v>
      </c>
      <c r="DT106" s="915">
        <f t="shared" si="183"/>
        <v>0</v>
      </c>
      <c r="DU106" s="915">
        <f t="shared" si="184"/>
        <v>0</v>
      </c>
      <c r="DV106" s="915">
        <f t="shared" si="185"/>
        <v>0</v>
      </c>
      <c r="DW106" s="915">
        <f t="shared" si="186"/>
        <v>0</v>
      </c>
      <c r="DX106" s="915">
        <f t="shared" si="187"/>
        <v>0</v>
      </c>
      <c r="DY106" s="915">
        <f t="shared" si="188"/>
        <v>0</v>
      </c>
      <c r="DZ106" s="915">
        <f t="shared" si="189"/>
        <v>0</v>
      </c>
      <c r="EA106" s="915">
        <f t="shared" si="131"/>
        <v>0</v>
      </c>
      <c r="EB106" s="915">
        <f t="shared" si="252"/>
        <v>0</v>
      </c>
      <c r="EC106" s="915">
        <f t="shared" si="253"/>
        <v>0</v>
      </c>
      <c r="ED106" s="915">
        <f t="shared" si="254"/>
        <v>0</v>
      </c>
      <c r="EE106" s="915">
        <f t="shared" si="255"/>
        <v>0</v>
      </c>
      <c r="EF106" s="915">
        <f t="shared" si="256"/>
        <v>0</v>
      </c>
      <c r="EG106" s="915">
        <f t="shared" si="257"/>
        <v>0</v>
      </c>
      <c r="EH106" s="915">
        <f t="shared" si="258"/>
        <v>0</v>
      </c>
      <c r="EI106" s="915">
        <f t="shared" si="259"/>
        <v>0</v>
      </c>
      <c r="EJ106" s="915">
        <f t="shared" si="260"/>
        <v>0</v>
      </c>
      <c r="EK106" s="915">
        <f t="shared" si="261"/>
        <v>0</v>
      </c>
      <c r="EN106" s="533"/>
      <c r="EQ106" s="534"/>
    </row>
    <row r="107" spans="1:147" ht="14.1" customHeight="1" x14ac:dyDescent="0.2">
      <c r="A107" s="1026">
        <v>100</v>
      </c>
      <c r="B107" s="1005"/>
      <c r="C107" s="1008"/>
      <c r="D107" s="138">
        <v>20</v>
      </c>
      <c r="E107" s="138" t="s">
        <v>1246</v>
      </c>
      <c r="F107" s="139" t="s">
        <v>2544</v>
      </c>
      <c r="G107" s="91">
        <v>1</v>
      </c>
      <c r="H107" s="1022">
        <v>10</v>
      </c>
      <c r="I107" s="801">
        <f t="shared" si="250"/>
        <v>0</v>
      </c>
      <c r="J107" s="1021">
        <f t="shared" si="251"/>
        <v>10</v>
      </c>
      <c r="K107" s="225"/>
      <c r="L107" s="941" t="str">
        <f>TabName20 &amp; " - ISoil"</f>
        <v>Phase 20 - ISoil</v>
      </c>
      <c r="M107" s="951">
        <f>DQ6</f>
        <v>10</v>
      </c>
      <c r="V107" s="915">
        <f t="shared" si="132"/>
        <v>0</v>
      </c>
      <c r="W107" s="915">
        <f t="shared" si="133"/>
        <v>0</v>
      </c>
      <c r="X107" s="915">
        <f t="shared" si="134"/>
        <v>0</v>
      </c>
      <c r="Y107" s="915">
        <f t="shared" si="135"/>
        <v>0</v>
      </c>
      <c r="Z107" s="915">
        <f t="shared" si="136"/>
        <v>0</v>
      </c>
      <c r="AA107" s="915">
        <f t="shared" si="137"/>
        <v>0</v>
      </c>
      <c r="AB107" s="915">
        <f t="shared" si="138"/>
        <v>0</v>
      </c>
      <c r="AC107" s="915">
        <f t="shared" si="139"/>
        <v>0</v>
      </c>
      <c r="AD107" s="915">
        <f t="shared" si="140"/>
        <v>0</v>
      </c>
      <c r="AE107" s="915">
        <f t="shared" si="141"/>
        <v>0</v>
      </c>
      <c r="AF107" s="915">
        <f t="shared" si="190"/>
        <v>0</v>
      </c>
      <c r="AG107" s="915">
        <f t="shared" si="191"/>
        <v>0</v>
      </c>
      <c r="AH107" s="915">
        <f t="shared" si="192"/>
        <v>0</v>
      </c>
      <c r="AI107" s="915">
        <f t="shared" si="193"/>
        <v>0</v>
      </c>
      <c r="AJ107" s="915">
        <f t="shared" si="194"/>
        <v>0</v>
      </c>
      <c r="AK107" s="915">
        <f t="shared" si="195"/>
        <v>0</v>
      </c>
      <c r="AL107" s="915">
        <f t="shared" si="196"/>
        <v>0</v>
      </c>
      <c r="AM107" s="915">
        <f t="shared" si="197"/>
        <v>0</v>
      </c>
      <c r="AN107" s="915">
        <f t="shared" si="198"/>
        <v>0</v>
      </c>
      <c r="AO107" s="915">
        <f t="shared" si="199"/>
        <v>0</v>
      </c>
      <c r="AP107" s="915">
        <f t="shared" si="142"/>
        <v>0</v>
      </c>
      <c r="AQ107" s="915">
        <f t="shared" si="143"/>
        <v>0</v>
      </c>
      <c r="AR107" s="915">
        <f t="shared" si="144"/>
        <v>0</v>
      </c>
      <c r="AS107" s="915">
        <f t="shared" si="145"/>
        <v>0</v>
      </c>
      <c r="AT107" s="915">
        <f t="shared" si="146"/>
        <v>0</v>
      </c>
      <c r="AU107" s="915">
        <f t="shared" si="147"/>
        <v>0</v>
      </c>
      <c r="AV107" s="915">
        <f t="shared" si="148"/>
        <v>0</v>
      </c>
      <c r="AW107" s="915">
        <f t="shared" si="149"/>
        <v>0</v>
      </c>
      <c r="AX107" s="915">
        <f t="shared" si="150"/>
        <v>0</v>
      </c>
      <c r="AY107" s="915">
        <f t="shared" si="200"/>
        <v>0</v>
      </c>
      <c r="AZ107" s="915">
        <f t="shared" si="201"/>
        <v>0</v>
      </c>
      <c r="BA107" s="915">
        <f t="shared" si="202"/>
        <v>0</v>
      </c>
      <c r="BB107" s="915">
        <f t="shared" si="203"/>
        <v>0</v>
      </c>
      <c r="BC107" s="915">
        <f t="shared" si="204"/>
        <v>0</v>
      </c>
      <c r="BD107" s="915">
        <f t="shared" si="205"/>
        <v>0</v>
      </c>
      <c r="BE107" s="915">
        <f t="shared" si="206"/>
        <v>0</v>
      </c>
      <c r="BF107" s="915">
        <f t="shared" si="207"/>
        <v>0</v>
      </c>
      <c r="BG107" s="915">
        <f t="shared" si="208"/>
        <v>0</v>
      </c>
      <c r="BH107" s="915">
        <f t="shared" si="209"/>
        <v>0</v>
      </c>
      <c r="BI107" s="915">
        <f t="shared" si="210"/>
        <v>0</v>
      </c>
      <c r="BJ107" s="915">
        <f t="shared" si="151"/>
        <v>0</v>
      </c>
      <c r="BK107" s="915">
        <f t="shared" si="152"/>
        <v>0</v>
      </c>
      <c r="BL107" s="915">
        <f t="shared" si="153"/>
        <v>0</v>
      </c>
      <c r="BM107" s="915">
        <f t="shared" si="154"/>
        <v>0</v>
      </c>
      <c r="BN107" s="915">
        <f t="shared" si="155"/>
        <v>0</v>
      </c>
      <c r="BO107" s="915">
        <f t="shared" si="156"/>
        <v>0</v>
      </c>
      <c r="BP107" s="915">
        <f t="shared" si="157"/>
        <v>0</v>
      </c>
      <c r="BQ107" s="915">
        <f t="shared" si="158"/>
        <v>0</v>
      </c>
      <c r="BR107" s="915">
        <f t="shared" si="159"/>
        <v>0</v>
      </c>
      <c r="BS107" s="915">
        <f t="shared" si="160"/>
        <v>0</v>
      </c>
      <c r="BT107" s="915">
        <f>IF(AND($D107=$P$19,$E107=$R$10),$J107,0)</f>
        <v>0</v>
      </c>
      <c r="BU107" s="915">
        <f>IF(AND($D107=$P$19,$E107=$R$10),$J107,0)</f>
        <v>0</v>
      </c>
      <c r="BV107" s="915">
        <f>IF(AND($D107=$P$20,$E107=$R$10),$J107,0)</f>
        <v>0</v>
      </c>
      <c r="BW107" s="915">
        <f>IF(AND($D107=$P$21,$E107=$R$10),$J107,0)</f>
        <v>0</v>
      </c>
      <c r="BX107" s="915">
        <f>IF(AND($D107=$P$22,$E107=$R$10),$J107,0)</f>
        <v>0</v>
      </c>
      <c r="BY107" s="915">
        <f>IF(AND($D107=$P$23,$E107=$R$10),$J107,0)</f>
        <v>0</v>
      </c>
      <c r="BZ107" s="915">
        <f>IF(AND($D107=$P$24,$E107=$R$10),$J107,0)</f>
        <v>0</v>
      </c>
      <c r="CA107" s="915">
        <f>IF(AND($D107=$P$25,$E107=$R$10),$J107,0)</f>
        <v>0</v>
      </c>
      <c r="CB107" s="915">
        <f>IF(AND($D107=$P$26,$E107=$R$10),$J107,0)</f>
        <v>0</v>
      </c>
      <c r="CC107" s="915">
        <f>IF(AND($D107=$P$27,$E107=$R$10),$J107,0)</f>
        <v>0</v>
      </c>
      <c r="CD107" s="915">
        <f t="shared" si="161"/>
        <v>0</v>
      </c>
      <c r="CE107" s="915">
        <f t="shared" si="162"/>
        <v>0</v>
      </c>
      <c r="CF107" s="915">
        <f t="shared" si="163"/>
        <v>0</v>
      </c>
      <c r="CG107" s="915">
        <f t="shared" si="164"/>
        <v>0</v>
      </c>
      <c r="CH107" s="915">
        <f t="shared" si="165"/>
        <v>0</v>
      </c>
      <c r="CI107" s="915">
        <f t="shared" si="166"/>
        <v>0</v>
      </c>
      <c r="CJ107" s="915">
        <f t="shared" si="167"/>
        <v>0</v>
      </c>
      <c r="CK107" s="915">
        <f t="shared" si="168"/>
        <v>0</v>
      </c>
      <c r="CL107" s="915">
        <f t="shared" si="169"/>
        <v>0</v>
      </c>
      <c r="CM107" s="915">
        <f t="shared" si="170"/>
        <v>0</v>
      </c>
      <c r="CN107" s="915">
        <f t="shared" si="220"/>
        <v>0</v>
      </c>
      <c r="CO107" s="915">
        <f t="shared" si="221"/>
        <v>0</v>
      </c>
      <c r="CP107" s="915">
        <f t="shared" si="222"/>
        <v>0</v>
      </c>
      <c r="CQ107" s="915">
        <f t="shared" si="223"/>
        <v>0</v>
      </c>
      <c r="CR107" s="915">
        <f t="shared" si="224"/>
        <v>0</v>
      </c>
      <c r="CS107" s="915">
        <f t="shared" si="225"/>
        <v>0</v>
      </c>
      <c r="CT107" s="915">
        <f t="shared" si="226"/>
        <v>0</v>
      </c>
      <c r="CU107" s="915">
        <f t="shared" si="227"/>
        <v>0</v>
      </c>
      <c r="CV107" s="915">
        <f t="shared" si="228"/>
        <v>0</v>
      </c>
      <c r="CW107" s="915">
        <f t="shared" si="229"/>
        <v>0</v>
      </c>
      <c r="CX107" s="915">
        <f t="shared" si="171"/>
        <v>0</v>
      </c>
      <c r="CY107" s="915">
        <f t="shared" si="172"/>
        <v>0</v>
      </c>
      <c r="CZ107" s="915">
        <f t="shared" si="173"/>
        <v>0</v>
      </c>
      <c r="DA107" s="915">
        <f t="shared" si="174"/>
        <v>0</v>
      </c>
      <c r="DB107" s="915">
        <f t="shared" si="175"/>
        <v>0</v>
      </c>
      <c r="DC107" s="915">
        <f t="shared" si="176"/>
        <v>0</v>
      </c>
      <c r="DD107" s="915">
        <f t="shared" si="177"/>
        <v>0</v>
      </c>
      <c r="DE107" s="915">
        <f t="shared" si="178"/>
        <v>0</v>
      </c>
      <c r="DF107" s="915">
        <f t="shared" si="179"/>
        <v>0</v>
      </c>
      <c r="DG107" s="915">
        <f t="shared" si="180"/>
        <v>0</v>
      </c>
      <c r="DH107" s="915">
        <f t="shared" si="230"/>
        <v>0</v>
      </c>
      <c r="DI107" s="915">
        <f t="shared" si="231"/>
        <v>0</v>
      </c>
      <c r="DJ107" s="915">
        <f t="shared" si="232"/>
        <v>0</v>
      </c>
      <c r="DK107" s="915">
        <f t="shared" si="233"/>
        <v>0</v>
      </c>
      <c r="DL107" s="915">
        <f t="shared" si="234"/>
        <v>0</v>
      </c>
      <c r="DM107" s="915">
        <f t="shared" si="235"/>
        <v>0</v>
      </c>
      <c r="DN107" s="915">
        <f t="shared" si="236"/>
        <v>0</v>
      </c>
      <c r="DO107" s="915">
        <f t="shared" si="237"/>
        <v>0</v>
      </c>
      <c r="DP107" s="915">
        <f t="shared" si="238"/>
        <v>0</v>
      </c>
      <c r="DQ107" s="915">
        <f t="shared" si="239"/>
        <v>10</v>
      </c>
      <c r="DR107" s="915">
        <f t="shared" si="181"/>
        <v>0</v>
      </c>
      <c r="DS107" s="915">
        <f t="shared" si="182"/>
        <v>0</v>
      </c>
      <c r="DT107" s="915">
        <f t="shared" si="183"/>
        <v>0</v>
      </c>
      <c r="DU107" s="915">
        <f t="shared" si="184"/>
        <v>0</v>
      </c>
      <c r="DV107" s="915">
        <f t="shared" si="185"/>
        <v>0</v>
      </c>
      <c r="DW107" s="915">
        <f t="shared" si="186"/>
        <v>0</v>
      </c>
      <c r="DX107" s="915">
        <f t="shared" si="187"/>
        <v>0</v>
      </c>
      <c r="DY107" s="915">
        <f t="shared" si="188"/>
        <v>0</v>
      </c>
      <c r="DZ107" s="915">
        <f t="shared" si="189"/>
        <v>0</v>
      </c>
      <c r="EA107" s="915">
        <f t="shared" si="131"/>
        <v>0</v>
      </c>
      <c r="EB107" s="915">
        <f t="shared" si="252"/>
        <v>0</v>
      </c>
      <c r="EC107" s="915">
        <f t="shared" si="253"/>
        <v>0</v>
      </c>
      <c r="ED107" s="915">
        <f t="shared" si="254"/>
        <v>0</v>
      </c>
      <c r="EE107" s="915">
        <f t="shared" si="255"/>
        <v>0</v>
      </c>
      <c r="EF107" s="915">
        <f t="shared" si="256"/>
        <v>0</v>
      </c>
      <c r="EG107" s="915">
        <f t="shared" si="257"/>
        <v>0</v>
      </c>
      <c r="EH107" s="915">
        <f t="shared" si="258"/>
        <v>0</v>
      </c>
      <c r="EI107" s="915">
        <f t="shared" si="259"/>
        <v>0</v>
      </c>
      <c r="EJ107" s="915">
        <f t="shared" si="260"/>
        <v>0</v>
      </c>
      <c r="EK107" s="915">
        <f t="shared" si="261"/>
        <v>0</v>
      </c>
      <c r="EN107" s="533"/>
      <c r="EQ107" s="534"/>
    </row>
    <row r="108" spans="1:147" ht="14.1" customHeight="1" x14ac:dyDescent="0.2">
      <c r="A108" s="496">
        <v>101</v>
      </c>
      <c r="B108" s="1419"/>
      <c r="C108" s="1420"/>
      <c r="D108" s="264">
        <v>1</v>
      </c>
      <c r="E108" s="264" t="s">
        <v>1247</v>
      </c>
      <c r="F108" s="270" t="s">
        <v>2544</v>
      </c>
      <c r="G108" s="271">
        <v>1</v>
      </c>
      <c r="H108" s="803">
        <v>10</v>
      </c>
      <c r="I108" s="800">
        <f t="shared" si="250"/>
        <v>0</v>
      </c>
      <c r="J108" s="269">
        <f t="shared" si="251"/>
        <v>10</v>
      </c>
      <c r="K108" s="225"/>
      <c r="L108" s="941" t="str">
        <f>TabName1 &amp; " - IChem"</f>
        <v>Phase 1 - IChem</v>
      </c>
      <c r="M108" s="942">
        <f>DR6</f>
        <v>10</v>
      </c>
      <c r="V108" s="915">
        <f t="shared" si="132"/>
        <v>0</v>
      </c>
      <c r="W108" s="915">
        <f t="shared" si="133"/>
        <v>0</v>
      </c>
      <c r="X108" s="915">
        <f t="shared" si="134"/>
        <v>0</v>
      </c>
      <c r="Y108" s="915">
        <f t="shared" si="135"/>
        <v>0</v>
      </c>
      <c r="Z108" s="915">
        <f t="shared" si="136"/>
        <v>0</v>
      </c>
      <c r="AA108" s="915">
        <f t="shared" si="137"/>
        <v>0</v>
      </c>
      <c r="AB108" s="915">
        <f t="shared" si="138"/>
        <v>0</v>
      </c>
      <c r="AC108" s="915">
        <f t="shared" si="139"/>
        <v>0</v>
      </c>
      <c r="AD108" s="915">
        <f t="shared" si="140"/>
        <v>0</v>
      </c>
      <c r="AE108" s="915">
        <f t="shared" si="141"/>
        <v>0</v>
      </c>
      <c r="AF108" s="915">
        <f t="shared" si="190"/>
        <v>0</v>
      </c>
      <c r="AG108" s="915">
        <f t="shared" si="191"/>
        <v>0</v>
      </c>
      <c r="AH108" s="915">
        <f t="shared" si="192"/>
        <v>0</v>
      </c>
      <c r="AI108" s="915">
        <f t="shared" si="193"/>
        <v>0</v>
      </c>
      <c r="AJ108" s="915">
        <f t="shared" si="194"/>
        <v>0</v>
      </c>
      <c r="AK108" s="915">
        <f t="shared" si="195"/>
        <v>0</v>
      </c>
      <c r="AL108" s="915">
        <f t="shared" si="196"/>
        <v>0</v>
      </c>
      <c r="AM108" s="915">
        <f t="shared" si="197"/>
        <v>0</v>
      </c>
      <c r="AN108" s="915">
        <f t="shared" si="198"/>
        <v>0</v>
      </c>
      <c r="AO108" s="915">
        <f t="shared" si="199"/>
        <v>0</v>
      </c>
      <c r="AP108" s="915">
        <f t="shared" si="142"/>
        <v>0</v>
      </c>
      <c r="AQ108" s="915">
        <f t="shared" si="143"/>
        <v>0</v>
      </c>
      <c r="AR108" s="915">
        <f t="shared" si="144"/>
        <v>0</v>
      </c>
      <c r="AS108" s="915">
        <f t="shared" si="145"/>
        <v>0</v>
      </c>
      <c r="AT108" s="915">
        <f t="shared" si="146"/>
        <v>0</v>
      </c>
      <c r="AU108" s="915">
        <f t="shared" si="147"/>
        <v>0</v>
      </c>
      <c r="AV108" s="915">
        <f t="shared" si="148"/>
        <v>0</v>
      </c>
      <c r="AW108" s="915">
        <f t="shared" si="149"/>
        <v>0</v>
      </c>
      <c r="AX108" s="915">
        <f t="shared" si="150"/>
        <v>0</v>
      </c>
      <c r="AY108" s="915">
        <f t="shared" si="200"/>
        <v>0</v>
      </c>
      <c r="AZ108" s="915">
        <f t="shared" si="201"/>
        <v>0</v>
      </c>
      <c r="BA108" s="915">
        <f t="shared" si="202"/>
        <v>0</v>
      </c>
      <c r="BB108" s="915">
        <f t="shared" si="203"/>
        <v>0</v>
      </c>
      <c r="BC108" s="915">
        <f t="shared" si="204"/>
        <v>0</v>
      </c>
      <c r="BD108" s="915">
        <f t="shared" si="205"/>
        <v>0</v>
      </c>
      <c r="BE108" s="915">
        <f t="shared" si="206"/>
        <v>0</v>
      </c>
      <c r="BF108" s="915">
        <f t="shared" si="207"/>
        <v>0</v>
      </c>
      <c r="BG108" s="915">
        <f t="shared" si="208"/>
        <v>0</v>
      </c>
      <c r="BH108" s="915">
        <f t="shared" si="209"/>
        <v>0</v>
      </c>
      <c r="BI108" s="915">
        <f t="shared" si="210"/>
        <v>0</v>
      </c>
      <c r="BJ108" s="915">
        <f t="shared" si="151"/>
        <v>0</v>
      </c>
      <c r="BK108" s="915">
        <f t="shared" si="152"/>
        <v>0</v>
      </c>
      <c r="BL108" s="915">
        <f t="shared" si="153"/>
        <v>0</v>
      </c>
      <c r="BM108" s="915">
        <f t="shared" si="154"/>
        <v>0</v>
      </c>
      <c r="BN108" s="915">
        <f t="shared" si="155"/>
        <v>0</v>
      </c>
      <c r="BO108" s="915">
        <f t="shared" si="156"/>
        <v>0</v>
      </c>
      <c r="BP108" s="915">
        <f t="shared" si="157"/>
        <v>0</v>
      </c>
      <c r="BQ108" s="915">
        <f t="shared" si="158"/>
        <v>0</v>
      </c>
      <c r="BR108" s="915">
        <f t="shared" si="159"/>
        <v>0</v>
      </c>
      <c r="BS108" s="915">
        <f t="shared" si="160"/>
        <v>0</v>
      </c>
      <c r="BT108" s="915">
        <f t="shared" ref="BT108:BU127" si="262">IF(AND($D108=$P$19,$E108=$R$10),$J108,0)</f>
        <v>0</v>
      </c>
      <c r="BU108" s="915">
        <f t="shared" si="262"/>
        <v>0</v>
      </c>
      <c r="BV108" s="915">
        <f t="shared" ref="BV108:BV127" si="263">IF(AND($D108=$P$20,$E108=$R$10),$J108,0)</f>
        <v>0</v>
      </c>
      <c r="BW108" s="915">
        <f t="shared" ref="BW108:BW127" si="264">IF(AND($D108=$P$21,$E108=$R$10),$J108,0)</f>
        <v>0</v>
      </c>
      <c r="BX108" s="915">
        <f t="shared" ref="BX108:BX127" si="265">IF(AND($D108=$P$22,$E108=$R$10),$J108,0)</f>
        <v>0</v>
      </c>
      <c r="BY108" s="915">
        <f t="shared" ref="BY108:BY127" si="266">IF(AND($D108=$P$23,$E108=$R$10),$J108,0)</f>
        <v>0</v>
      </c>
      <c r="BZ108" s="915">
        <f t="shared" ref="BZ108:BZ127" si="267">IF(AND($D108=$P$24,$E108=$R$10),$J108,0)</f>
        <v>0</v>
      </c>
      <c r="CA108" s="915">
        <f t="shared" ref="CA108:CA127" si="268">IF(AND($D108=$P$25,$E108=$R$10),$J108,0)</f>
        <v>0</v>
      </c>
      <c r="CB108" s="915">
        <f t="shared" ref="CB108:CB127" si="269">IF(AND($D108=$P$26,$E108=$R$10),$J108,0)</f>
        <v>0</v>
      </c>
      <c r="CC108" s="915">
        <f t="shared" ref="CC108:CC127" si="270">IF(AND($D108=$P$27,$E108=$R$10),$J108,0)</f>
        <v>0</v>
      </c>
      <c r="CD108" s="915">
        <f t="shared" si="161"/>
        <v>0</v>
      </c>
      <c r="CE108" s="915">
        <f t="shared" si="162"/>
        <v>0</v>
      </c>
      <c r="CF108" s="915">
        <f t="shared" si="163"/>
        <v>0</v>
      </c>
      <c r="CG108" s="915">
        <f t="shared" si="164"/>
        <v>0</v>
      </c>
      <c r="CH108" s="915">
        <f t="shared" si="165"/>
        <v>0</v>
      </c>
      <c r="CI108" s="915">
        <f t="shared" si="166"/>
        <v>0</v>
      </c>
      <c r="CJ108" s="915">
        <f t="shared" si="167"/>
        <v>0</v>
      </c>
      <c r="CK108" s="915">
        <f t="shared" si="168"/>
        <v>0</v>
      </c>
      <c r="CL108" s="915">
        <f t="shared" si="169"/>
        <v>0</v>
      </c>
      <c r="CM108" s="915">
        <f t="shared" si="170"/>
        <v>0</v>
      </c>
      <c r="CN108" s="915">
        <f t="shared" si="220"/>
        <v>0</v>
      </c>
      <c r="CO108" s="915">
        <f t="shared" si="221"/>
        <v>0</v>
      </c>
      <c r="CP108" s="915">
        <f t="shared" si="222"/>
        <v>0</v>
      </c>
      <c r="CQ108" s="915">
        <f t="shared" si="223"/>
        <v>0</v>
      </c>
      <c r="CR108" s="915">
        <f t="shared" si="224"/>
        <v>0</v>
      </c>
      <c r="CS108" s="915">
        <f t="shared" si="225"/>
        <v>0</v>
      </c>
      <c r="CT108" s="915">
        <f t="shared" si="226"/>
        <v>0</v>
      </c>
      <c r="CU108" s="915">
        <f t="shared" si="227"/>
        <v>0</v>
      </c>
      <c r="CV108" s="915">
        <f t="shared" si="228"/>
        <v>0</v>
      </c>
      <c r="CW108" s="915">
        <f t="shared" si="229"/>
        <v>0</v>
      </c>
      <c r="CX108" s="915">
        <f t="shared" si="171"/>
        <v>0</v>
      </c>
      <c r="CY108" s="915">
        <f t="shared" si="172"/>
        <v>0</v>
      </c>
      <c r="CZ108" s="915">
        <f t="shared" si="173"/>
        <v>0</v>
      </c>
      <c r="DA108" s="915">
        <f t="shared" si="174"/>
        <v>0</v>
      </c>
      <c r="DB108" s="915">
        <f t="shared" si="175"/>
        <v>0</v>
      </c>
      <c r="DC108" s="915">
        <f t="shared" si="176"/>
        <v>0</v>
      </c>
      <c r="DD108" s="915">
        <f t="shared" si="177"/>
        <v>0</v>
      </c>
      <c r="DE108" s="915">
        <f t="shared" si="178"/>
        <v>0</v>
      </c>
      <c r="DF108" s="915">
        <f t="shared" si="179"/>
        <v>0</v>
      </c>
      <c r="DG108" s="915">
        <f t="shared" si="180"/>
        <v>0</v>
      </c>
      <c r="DH108" s="915">
        <f t="shared" si="230"/>
        <v>0</v>
      </c>
      <c r="DI108" s="915">
        <f t="shared" si="231"/>
        <v>0</v>
      </c>
      <c r="DJ108" s="915">
        <f t="shared" si="232"/>
        <v>0</v>
      </c>
      <c r="DK108" s="915">
        <f t="shared" si="233"/>
        <v>0</v>
      </c>
      <c r="DL108" s="915">
        <f t="shared" si="234"/>
        <v>0</v>
      </c>
      <c r="DM108" s="915">
        <f t="shared" si="235"/>
        <v>0</v>
      </c>
      <c r="DN108" s="915">
        <f t="shared" si="236"/>
        <v>0</v>
      </c>
      <c r="DO108" s="915">
        <f t="shared" si="237"/>
        <v>0</v>
      </c>
      <c r="DP108" s="915">
        <f t="shared" si="238"/>
        <v>0</v>
      </c>
      <c r="DQ108" s="915">
        <f t="shared" si="239"/>
        <v>0</v>
      </c>
      <c r="DR108" s="915">
        <f t="shared" si="181"/>
        <v>10</v>
      </c>
      <c r="DS108" s="915">
        <f t="shared" si="182"/>
        <v>0</v>
      </c>
      <c r="DT108" s="915">
        <f t="shared" si="183"/>
        <v>0</v>
      </c>
      <c r="DU108" s="915">
        <f t="shared" si="184"/>
        <v>0</v>
      </c>
      <c r="DV108" s="915">
        <f t="shared" si="185"/>
        <v>0</v>
      </c>
      <c r="DW108" s="915">
        <f t="shared" si="186"/>
        <v>0</v>
      </c>
      <c r="DX108" s="915">
        <f t="shared" si="187"/>
        <v>0</v>
      </c>
      <c r="DY108" s="915">
        <f t="shared" si="188"/>
        <v>0</v>
      </c>
      <c r="DZ108" s="915">
        <f t="shared" si="189"/>
        <v>0</v>
      </c>
      <c r="EA108" s="915">
        <f t="shared" si="131"/>
        <v>0</v>
      </c>
      <c r="EB108" s="915">
        <f t="shared" si="252"/>
        <v>0</v>
      </c>
      <c r="EC108" s="915">
        <f t="shared" si="253"/>
        <v>0</v>
      </c>
      <c r="ED108" s="915">
        <f t="shared" si="254"/>
        <v>0</v>
      </c>
      <c r="EE108" s="915">
        <f t="shared" si="255"/>
        <v>0</v>
      </c>
      <c r="EF108" s="915">
        <f t="shared" si="256"/>
        <v>0</v>
      </c>
      <c r="EG108" s="915">
        <f t="shared" si="257"/>
        <v>0</v>
      </c>
      <c r="EH108" s="915">
        <f t="shared" si="258"/>
        <v>0</v>
      </c>
      <c r="EI108" s="915">
        <f t="shared" si="259"/>
        <v>0</v>
      </c>
      <c r="EJ108" s="915">
        <f t="shared" si="260"/>
        <v>0</v>
      </c>
      <c r="EK108" s="915">
        <f t="shared" si="261"/>
        <v>0</v>
      </c>
      <c r="EN108" s="533"/>
      <c r="EQ108" s="534"/>
    </row>
    <row r="109" spans="1:147" ht="14.1" customHeight="1" x14ac:dyDescent="0.2">
      <c r="A109" s="1026">
        <v>102</v>
      </c>
      <c r="B109" s="1453"/>
      <c r="C109" s="1454"/>
      <c r="D109" s="1020">
        <v>2</v>
      </c>
      <c r="E109" s="1020" t="s">
        <v>1247</v>
      </c>
      <c r="F109" s="1024" t="s">
        <v>2544</v>
      </c>
      <c r="G109" s="1025">
        <v>1</v>
      </c>
      <c r="H109" s="1022">
        <v>10</v>
      </c>
      <c r="I109" s="801">
        <f t="shared" si="250"/>
        <v>0</v>
      </c>
      <c r="J109" s="1021">
        <f t="shared" si="251"/>
        <v>10</v>
      </c>
      <c r="K109" s="225"/>
      <c r="L109" s="941" t="str">
        <f>TabName2 &amp; " - IChem"</f>
        <v>Phase 2 - IChem</v>
      </c>
      <c r="M109" s="942">
        <f>DS6</f>
        <v>10</v>
      </c>
      <c r="V109" s="915">
        <f t="shared" si="132"/>
        <v>0</v>
      </c>
      <c r="W109" s="915">
        <f t="shared" si="133"/>
        <v>0</v>
      </c>
      <c r="X109" s="915">
        <f t="shared" si="134"/>
        <v>0</v>
      </c>
      <c r="Y109" s="915">
        <f t="shared" si="135"/>
        <v>0</v>
      </c>
      <c r="Z109" s="915">
        <f t="shared" si="136"/>
        <v>0</v>
      </c>
      <c r="AA109" s="915">
        <f t="shared" si="137"/>
        <v>0</v>
      </c>
      <c r="AB109" s="915">
        <f t="shared" si="138"/>
        <v>0</v>
      </c>
      <c r="AC109" s="915">
        <f t="shared" si="139"/>
        <v>0</v>
      </c>
      <c r="AD109" s="915">
        <f t="shared" si="140"/>
        <v>0</v>
      </c>
      <c r="AE109" s="915">
        <f t="shared" si="141"/>
        <v>0</v>
      </c>
      <c r="AF109" s="915">
        <f t="shared" si="190"/>
        <v>0</v>
      </c>
      <c r="AG109" s="915">
        <f t="shared" si="191"/>
        <v>0</v>
      </c>
      <c r="AH109" s="915">
        <f t="shared" si="192"/>
        <v>0</v>
      </c>
      <c r="AI109" s="915">
        <f t="shared" si="193"/>
        <v>0</v>
      </c>
      <c r="AJ109" s="915">
        <f t="shared" si="194"/>
        <v>0</v>
      </c>
      <c r="AK109" s="915">
        <f t="shared" si="195"/>
        <v>0</v>
      </c>
      <c r="AL109" s="915">
        <f t="shared" si="196"/>
        <v>0</v>
      </c>
      <c r="AM109" s="915">
        <f t="shared" si="197"/>
        <v>0</v>
      </c>
      <c r="AN109" s="915">
        <f t="shared" si="198"/>
        <v>0</v>
      </c>
      <c r="AO109" s="915">
        <f t="shared" si="199"/>
        <v>0</v>
      </c>
      <c r="AP109" s="915">
        <f t="shared" si="142"/>
        <v>0</v>
      </c>
      <c r="AQ109" s="915">
        <f t="shared" si="143"/>
        <v>0</v>
      </c>
      <c r="AR109" s="915">
        <f t="shared" si="144"/>
        <v>0</v>
      </c>
      <c r="AS109" s="915">
        <f t="shared" si="145"/>
        <v>0</v>
      </c>
      <c r="AT109" s="915">
        <f t="shared" si="146"/>
        <v>0</v>
      </c>
      <c r="AU109" s="915">
        <f t="shared" si="147"/>
        <v>0</v>
      </c>
      <c r="AV109" s="915">
        <f t="shared" si="148"/>
        <v>0</v>
      </c>
      <c r="AW109" s="915">
        <f t="shared" si="149"/>
        <v>0</v>
      </c>
      <c r="AX109" s="915">
        <f t="shared" si="150"/>
        <v>0</v>
      </c>
      <c r="AY109" s="915">
        <f t="shared" si="200"/>
        <v>0</v>
      </c>
      <c r="AZ109" s="915">
        <f t="shared" si="201"/>
        <v>0</v>
      </c>
      <c r="BA109" s="915">
        <f t="shared" si="202"/>
        <v>0</v>
      </c>
      <c r="BB109" s="915">
        <f t="shared" si="203"/>
        <v>0</v>
      </c>
      <c r="BC109" s="915">
        <f t="shared" si="204"/>
        <v>0</v>
      </c>
      <c r="BD109" s="915">
        <f t="shared" si="205"/>
        <v>0</v>
      </c>
      <c r="BE109" s="915">
        <f t="shared" si="206"/>
        <v>0</v>
      </c>
      <c r="BF109" s="915">
        <f t="shared" si="207"/>
        <v>0</v>
      </c>
      <c r="BG109" s="915">
        <f t="shared" si="208"/>
        <v>0</v>
      </c>
      <c r="BH109" s="915">
        <f t="shared" si="209"/>
        <v>0</v>
      </c>
      <c r="BI109" s="915">
        <f t="shared" si="210"/>
        <v>0</v>
      </c>
      <c r="BJ109" s="915">
        <f t="shared" si="151"/>
        <v>0</v>
      </c>
      <c r="BK109" s="915">
        <f t="shared" si="152"/>
        <v>0</v>
      </c>
      <c r="BL109" s="915">
        <f t="shared" si="153"/>
        <v>0</v>
      </c>
      <c r="BM109" s="915">
        <f t="shared" si="154"/>
        <v>0</v>
      </c>
      <c r="BN109" s="915">
        <f t="shared" si="155"/>
        <v>0</v>
      </c>
      <c r="BO109" s="915">
        <f t="shared" si="156"/>
        <v>0</v>
      </c>
      <c r="BP109" s="915">
        <f t="shared" si="157"/>
        <v>0</v>
      </c>
      <c r="BQ109" s="915">
        <f t="shared" si="158"/>
        <v>0</v>
      </c>
      <c r="BR109" s="915">
        <f t="shared" si="159"/>
        <v>0</v>
      </c>
      <c r="BS109" s="915">
        <f t="shared" si="160"/>
        <v>0</v>
      </c>
      <c r="BT109" s="915">
        <f t="shared" si="262"/>
        <v>0</v>
      </c>
      <c r="BU109" s="915">
        <f t="shared" si="262"/>
        <v>0</v>
      </c>
      <c r="BV109" s="915">
        <f t="shared" si="263"/>
        <v>0</v>
      </c>
      <c r="BW109" s="915">
        <f t="shared" si="264"/>
        <v>0</v>
      </c>
      <c r="BX109" s="915">
        <f t="shared" si="265"/>
        <v>0</v>
      </c>
      <c r="BY109" s="915">
        <f t="shared" si="266"/>
        <v>0</v>
      </c>
      <c r="BZ109" s="915">
        <f t="shared" si="267"/>
        <v>0</v>
      </c>
      <c r="CA109" s="915">
        <f t="shared" si="268"/>
        <v>0</v>
      </c>
      <c r="CB109" s="915">
        <f t="shared" si="269"/>
        <v>0</v>
      </c>
      <c r="CC109" s="915">
        <f t="shared" si="270"/>
        <v>0</v>
      </c>
      <c r="CD109" s="915">
        <f t="shared" si="161"/>
        <v>0</v>
      </c>
      <c r="CE109" s="915">
        <f t="shared" si="162"/>
        <v>0</v>
      </c>
      <c r="CF109" s="915">
        <f t="shared" si="163"/>
        <v>0</v>
      </c>
      <c r="CG109" s="915">
        <f t="shared" si="164"/>
        <v>0</v>
      </c>
      <c r="CH109" s="915">
        <f t="shared" si="165"/>
        <v>0</v>
      </c>
      <c r="CI109" s="915">
        <f t="shared" si="166"/>
        <v>0</v>
      </c>
      <c r="CJ109" s="915">
        <f t="shared" si="167"/>
        <v>0</v>
      </c>
      <c r="CK109" s="915">
        <f t="shared" si="168"/>
        <v>0</v>
      </c>
      <c r="CL109" s="915">
        <f t="shared" si="169"/>
        <v>0</v>
      </c>
      <c r="CM109" s="915">
        <f t="shared" si="170"/>
        <v>0</v>
      </c>
      <c r="CN109" s="915">
        <f t="shared" si="220"/>
        <v>0</v>
      </c>
      <c r="CO109" s="915">
        <f t="shared" si="221"/>
        <v>0</v>
      </c>
      <c r="CP109" s="915">
        <f t="shared" si="222"/>
        <v>0</v>
      </c>
      <c r="CQ109" s="915">
        <f t="shared" si="223"/>
        <v>0</v>
      </c>
      <c r="CR109" s="915">
        <f t="shared" si="224"/>
        <v>0</v>
      </c>
      <c r="CS109" s="915">
        <f t="shared" si="225"/>
        <v>0</v>
      </c>
      <c r="CT109" s="915">
        <f t="shared" si="226"/>
        <v>0</v>
      </c>
      <c r="CU109" s="915">
        <f t="shared" si="227"/>
        <v>0</v>
      </c>
      <c r="CV109" s="915">
        <f t="shared" si="228"/>
        <v>0</v>
      </c>
      <c r="CW109" s="915">
        <f t="shared" si="229"/>
        <v>0</v>
      </c>
      <c r="CX109" s="915">
        <f t="shared" si="171"/>
        <v>0</v>
      </c>
      <c r="CY109" s="915">
        <f t="shared" si="172"/>
        <v>0</v>
      </c>
      <c r="CZ109" s="915">
        <f t="shared" si="173"/>
        <v>0</v>
      </c>
      <c r="DA109" s="915">
        <f t="shared" si="174"/>
        <v>0</v>
      </c>
      <c r="DB109" s="915">
        <f t="shared" si="175"/>
        <v>0</v>
      </c>
      <c r="DC109" s="915">
        <f t="shared" si="176"/>
        <v>0</v>
      </c>
      <c r="DD109" s="915">
        <f t="shared" si="177"/>
        <v>0</v>
      </c>
      <c r="DE109" s="915">
        <f t="shared" si="178"/>
        <v>0</v>
      </c>
      <c r="DF109" s="915">
        <f t="shared" si="179"/>
        <v>0</v>
      </c>
      <c r="DG109" s="915">
        <f t="shared" si="180"/>
        <v>0</v>
      </c>
      <c r="DH109" s="915">
        <f t="shared" si="230"/>
        <v>0</v>
      </c>
      <c r="DI109" s="915">
        <f t="shared" si="231"/>
        <v>0</v>
      </c>
      <c r="DJ109" s="915">
        <f t="shared" si="232"/>
        <v>0</v>
      </c>
      <c r="DK109" s="915">
        <f t="shared" si="233"/>
        <v>0</v>
      </c>
      <c r="DL109" s="915">
        <f t="shared" si="234"/>
        <v>0</v>
      </c>
      <c r="DM109" s="915">
        <f t="shared" si="235"/>
        <v>0</v>
      </c>
      <c r="DN109" s="915">
        <f t="shared" si="236"/>
        <v>0</v>
      </c>
      <c r="DO109" s="915">
        <f t="shared" si="237"/>
        <v>0</v>
      </c>
      <c r="DP109" s="915">
        <f t="shared" si="238"/>
        <v>0</v>
      </c>
      <c r="DQ109" s="915">
        <f t="shared" si="239"/>
        <v>0</v>
      </c>
      <c r="DR109" s="915">
        <f t="shared" si="181"/>
        <v>0</v>
      </c>
      <c r="DS109" s="915">
        <f t="shared" si="182"/>
        <v>10</v>
      </c>
      <c r="DT109" s="915">
        <f t="shared" si="183"/>
        <v>0</v>
      </c>
      <c r="DU109" s="915">
        <f t="shared" si="184"/>
        <v>0</v>
      </c>
      <c r="DV109" s="915">
        <f t="shared" si="185"/>
        <v>0</v>
      </c>
      <c r="DW109" s="915">
        <f t="shared" si="186"/>
        <v>0</v>
      </c>
      <c r="DX109" s="915">
        <f t="shared" si="187"/>
        <v>0</v>
      </c>
      <c r="DY109" s="915">
        <f t="shared" si="188"/>
        <v>0</v>
      </c>
      <c r="DZ109" s="915">
        <f t="shared" si="189"/>
        <v>0</v>
      </c>
      <c r="EA109" s="915">
        <f t="shared" si="131"/>
        <v>0</v>
      </c>
      <c r="EB109" s="915">
        <f t="shared" si="252"/>
        <v>0</v>
      </c>
      <c r="EC109" s="915">
        <f t="shared" si="253"/>
        <v>0</v>
      </c>
      <c r="ED109" s="915">
        <f t="shared" si="254"/>
        <v>0</v>
      </c>
      <c r="EE109" s="915">
        <f t="shared" si="255"/>
        <v>0</v>
      </c>
      <c r="EF109" s="915">
        <f t="shared" si="256"/>
        <v>0</v>
      </c>
      <c r="EG109" s="915">
        <f t="shared" si="257"/>
        <v>0</v>
      </c>
      <c r="EH109" s="915">
        <f t="shared" si="258"/>
        <v>0</v>
      </c>
      <c r="EI109" s="915">
        <f t="shared" si="259"/>
        <v>0</v>
      </c>
      <c r="EJ109" s="915">
        <f t="shared" si="260"/>
        <v>0</v>
      </c>
      <c r="EK109" s="915">
        <f t="shared" si="261"/>
        <v>0</v>
      </c>
      <c r="EN109" s="533"/>
      <c r="EQ109" s="534"/>
    </row>
    <row r="110" spans="1:147" ht="14.1" customHeight="1" x14ac:dyDescent="0.2">
      <c r="A110" s="496">
        <v>103</v>
      </c>
      <c r="B110" s="1419"/>
      <c r="C110" s="1420"/>
      <c r="D110" s="264">
        <v>3</v>
      </c>
      <c r="E110" s="264" t="s">
        <v>1247</v>
      </c>
      <c r="F110" s="270" t="s">
        <v>2544</v>
      </c>
      <c r="G110" s="271">
        <v>1</v>
      </c>
      <c r="H110" s="803">
        <v>10</v>
      </c>
      <c r="I110" s="800">
        <f t="shared" si="250"/>
        <v>0</v>
      </c>
      <c r="J110" s="269">
        <f t="shared" ref="J110:J127" si="271">(G110*H110)+I110</f>
        <v>10</v>
      </c>
      <c r="K110" s="225"/>
      <c r="L110" s="941" t="str">
        <f>TabName3 &amp; " - IChem"</f>
        <v>Phase 3 - IChem</v>
      </c>
      <c r="M110" s="942">
        <f>DT6</f>
        <v>10</v>
      </c>
      <c r="V110" s="915">
        <f t="shared" si="132"/>
        <v>0</v>
      </c>
      <c r="W110" s="915">
        <f t="shared" si="133"/>
        <v>0</v>
      </c>
      <c r="X110" s="915">
        <f t="shared" si="134"/>
        <v>0</v>
      </c>
      <c r="Y110" s="915">
        <f t="shared" si="135"/>
        <v>0</v>
      </c>
      <c r="Z110" s="915">
        <f t="shared" si="136"/>
        <v>0</v>
      </c>
      <c r="AA110" s="915">
        <f t="shared" si="137"/>
        <v>0</v>
      </c>
      <c r="AB110" s="915">
        <f t="shared" si="138"/>
        <v>0</v>
      </c>
      <c r="AC110" s="915">
        <f t="shared" si="139"/>
        <v>0</v>
      </c>
      <c r="AD110" s="915">
        <f t="shared" si="140"/>
        <v>0</v>
      </c>
      <c r="AE110" s="915">
        <f t="shared" si="141"/>
        <v>0</v>
      </c>
      <c r="AF110" s="915">
        <f t="shared" si="190"/>
        <v>0</v>
      </c>
      <c r="AG110" s="915">
        <f t="shared" si="191"/>
        <v>0</v>
      </c>
      <c r="AH110" s="915">
        <f t="shared" si="192"/>
        <v>0</v>
      </c>
      <c r="AI110" s="915">
        <f t="shared" si="193"/>
        <v>0</v>
      </c>
      <c r="AJ110" s="915">
        <f t="shared" si="194"/>
        <v>0</v>
      </c>
      <c r="AK110" s="915">
        <f t="shared" si="195"/>
        <v>0</v>
      </c>
      <c r="AL110" s="915">
        <f t="shared" si="196"/>
        <v>0</v>
      </c>
      <c r="AM110" s="915">
        <f t="shared" si="197"/>
        <v>0</v>
      </c>
      <c r="AN110" s="915">
        <f t="shared" si="198"/>
        <v>0</v>
      </c>
      <c r="AO110" s="915">
        <f t="shared" si="199"/>
        <v>0</v>
      </c>
      <c r="AP110" s="915">
        <f t="shared" si="142"/>
        <v>0</v>
      </c>
      <c r="AQ110" s="915">
        <f t="shared" si="143"/>
        <v>0</v>
      </c>
      <c r="AR110" s="915">
        <f t="shared" si="144"/>
        <v>0</v>
      </c>
      <c r="AS110" s="915">
        <f t="shared" si="145"/>
        <v>0</v>
      </c>
      <c r="AT110" s="915">
        <f t="shared" si="146"/>
        <v>0</v>
      </c>
      <c r="AU110" s="915">
        <f t="shared" si="147"/>
        <v>0</v>
      </c>
      <c r="AV110" s="915">
        <f t="shared" si="148"/>
        <v>0</v>
      </c>
      <c r="AW110" s="915">
        <f t="shared" si="149"/>
        <v>0</v>
      </c>
      <c r="AX110" s="915">
        <f t="shared" si="150"/>
        <v>0</v>
      </c>
      <c r="AY110" s="915">
        <f t="shared" si="200"/>
        <v>0</v>
      </c>
      <c r="AZ110" s="915">
        <f t="shared" si="201"/>
        <v>0</v>
      </c>
      <c r="BA110" s="915">
        <f t="shared" si="202"/>
        <v>0</v>
      </c>
      <c r="BB110" s="915">
        <f t="shared" si="203"/>
        <v>0</v>
      </c>
      <c r="BC110" s="915">
        <f t="shared" si="204"/>
        <v>0</v>
      </c>
      <c r="BD110" s="915">
        <f t="shared" si="205"/>
        <v>0</v>
      </c>
      <c r="BE110" s="915">
        <f t="shared" si="206"/>
        <v>0</v>
      </c>
      <c r="BF110" s="915">
        <f t="shared" si="207"/>
        <v>0</v>
      </c>
      <c r="BG110" s="915">
        <f t="shared" si="208"/>
        <v>0</v>
      </c>
      <c r="BH110" s="915">
        <f t="shared" si="209"/>
        <v>0</v>
      </c>
      <c r="BI110" s="915">
        <f t="shared" si="210"/>
        <v>0</v>
      </c>
      <c r="BJ110" s="915">
        <f t="shared" si="151"/>
        <v>0</v>
      </c>
      <c r="BK110" s="915">
        <f t="shared" si="152"/>
        <v>0</v>
      </c>
      <c r="BL110" s="915">
        <f t="shared" si="153"/>
        <v>0</v>
      </c>
      <c r="BM110" s="915">
        <f t="shared" si="154"/>
        <v>0</v>
      </c>
      <c r="BN110" s="915">
        <f t="shared" si="155"/>
        <v>0</v>
      </c>
      <c r="BO110" s="915">
        <f t="shared" si="156"/>
        <v>0</v>
      </c>
      <c r="BP110" s="915">
        <f t="shared" si="157"/>
        <v>0</v>
      </c>
      <c r="BQ110" s="915">
        <f t="shared" si="158"/>
        <v>0</v>
      </c>
      <c r="BR110" s="915">
        <f t="shared" si="159"/>
        <v>0</v>
      </c>
      <c r="BS110" s="915">
        <f t="shared" si="160"/>
        <v>0</v>
      </c>
      <c r="BT110" s="915">
        <f t="shared" si="262"/>
        <v>0</v>
      </c>
      <c r="BU110" s="915">
        <f t="shared" si="262"/>
        <v>0</v>
      </c>
      <c r="BV110" s="915">
        <f t="shared" si="263"/>
        <v>0</v>
      </c>
      <c r="BW110" s="915">
        <f t="shared" si="264"/>
        <v>0</v>
      </c>
      <c r="BX110" s="915">
        <f t="shared" si="265"/>
        <v>0</v>
      </c>
      <c r="BY110" s="915">
        <f t="shared" si="266"/>
        <v>0</v>
      </c>
      <c r="BZ110" s="915">
        <f t="shared" si="267"/>
        <v>0</v>
      </c>
      <c r="CA110" s="915">
        <f t="shared" si="268"/>
        <v>0</v>
      </c>
      <c r="CB110" s="915">
        <f t="shared" si="269"/>
        <v>0</v>
      </c>
      <c r="CC110" s="915">
        <f t="shared" si="270"/>
        <v>0</v>
      </c>
      <c r="CD110" s="915">
        <f t="shared" si="161"/>
        <v>0</v>
      </c>
      <c r="CE110" s="915">
        <f t="shared" si="162"/>
        <v>0</v>
      </c>
      <c r="CF110" s="915">
        <f t="shared" si="163"/>
        <v>0</v>
      </c>
      <c r="CG110" s="915">
        <f t="shared" si="164"/>
        <v>0</v>
      </c>
      <c r="CH110" s="915">
        <f t="shared" si="165"/>
        <v>0</v>
      </c>
      <c r="CI110" s="915">
        <f t="shared" si="166"/>
        <v>0</v>
      </c>
      <c r="CJ110" s="915">
        <f t="shared" si="167"/>
        <v>0</v>
      </c>
      <c r="CK110" s="915">
        <f t="shared" si="168"/>
        <v>0</v>
      </c>
      <c r="CL110" s="915">
        <f t="shared" si="169"/>
        <v>0</v>
      </c>
      <c r="CM110" s="915">
        <f t="shared" si="170"/>
        <v>0</v>
      </c>
      <c r="CN110" s="915">
        <f t="shared" si="220"/>
        <v>0</v>
      </c>
      <c r="CO110" s="915">
        <f t="shared" si="221"/>
        <v>0</v>
      </c>
      <c r="CP110" s="915">
        <f t="shared" si="222"/>
        <v>0</v>
      </c>
      <c r="CQ110" s="915">
        <f t="shared" si="223"/>
        <v>0</v>
      </c>
      <c r="CR110" s="915">
        <f t="shared" si="224"/>
        <v>0</v>
      </c>
      <c r="CS110" s="915">
        <f t="shared" si="225"/>
        <v>0</v>
      </c>
      <c r="CT110" s="915">
        <f t="shared" si="226"/>
        <v>0</v>
      </c>
      <c r="CU110" s="915">
        <f t="shared" si="227"/>
        <v>0</v>
      </c>
      <c r="CV110" s="915">
        <f t="shared" si="228"/>
        <v>0</v>
      </c>
      <c r="CW110" s="915">
        <f t="shared" si="229"/>
        <v>0</v>
      </c>
      <c r="CX110" s="915">
        <f t="shared" si="171"/>
        <v>0</v>
      </c>
      <c r="CY110" s="915">
        <f t="shared" si="172"/>
        <v>0</v>
      </c>
      <c r="CZ110" s="915">
        <f t="shared" si="173"/>
        <v>0</v>
      </c>
      <c r="DA110" s="915">
        <f t="shared" si="174"/>
        <v>0</v>
      </c>
      <c r="DB110" s="915">
        <f t="shared" si="175"/>
        <v>0</v>
      </c>
      <c r="DC110" s="915">
        <f t="shared" si="176"/>
        <v>0</v>
      </c>
      <c r="DD110" s="915">
        <f t="shared" si="177"/>
        <v>0</v>
      </c>
      <c r="DE110" s="915">
        <f t="shared" si="178"/>
        <v>0</v>
      </c>
      <c r="DF110" s="915">
        <f t="shared" si="179"/>
        <v>0</v>
      </c>
      <c r="DG110" s="915">
        <f t="shared" si="180"/>
        <v>0</v>
      </c>
      <c r="DH110" s="915">
        <f>IF(AND($D110=$P$18,$E110=$R$12),$J110,0)</f>
        <v>0</v>
      </c>
      <c r="DI110" s="915">
        <f>IF(AND($D110=$P$19,$E110=$R$12),$J110,0)</f>
        <v>0</v>
      </c>
      <c r="DJ110" s="915">
        <f>IF(AND($D110=$P$20,$E110=$R$12),$J110,0)</f>
        <v>0</v>
      </c>
      <c r="DK110" s="915">
        <f>IF(AND($D110=$P$21,$E110=$R$12),$J110,0)</f>
        <v>0</v>
      </c>
      <c r="DL110" s="915">
        <f>IF(AND($D110=$P$22,$E110=$R$12),$J110,0)</f>
        <v>0</v>
      </c>
      <c r="DM110" s="915">
        <f>IF(AND($D110=$P$23,$E110=$R$12),$J110,0)</f>
        <v>0</v>
      </c>
      <c r="DN110" s="915">
        <f>IF(AND($D110=$P$24,$E110=$R$12),$J110,0)</f>
        <v>0</v>
      </c>
      <c r="DO110" s="915">
        <f>IF(AND($D110=$P$25,$E110=$R$12),$J110,0)</f>
        <v>0</v>
      </c>
      <c r="DP110" s="915">
        <f>IF(AND($D110=$P$26,$E110=$R$12),$J110,0)</f>
        <v>0</v>
      </c>
      <c r="DQ110" s="915">
        <f>IF(AND($D110=$P$27,$E110=$R$12),$J110,0)</f>
        <v>0</v>
      </c>
      <c r="DR110" s="915">
        <f t="shared" si="181"/>
        <v>0</v>
      </c>
      <c r="DS110" s="915">
        <f t="shared" si="182"/>
        <v>0</v>
      </c>
      <c r="DT110" s="915">
        <f t="shared" si="183"/>
        <v>10</v>
      </c>
      <c r="DU110" s="915">
        <f t="shared" si="184"/>
        <v>0</v>
      </c>
      <c r="DV110" s="915">
        <f t="shared" si="185"/>
        <v>0</v>
      </c>
      <c r="DW110" s="915">
        <f t="shared" si="186"/>
        <v>0</v>
      </c>
      <c r="DX110" s="915">
        <f t="shared" si="187"/>
        <v>0</v>
      </c>
      <c r="DY110" s="915">
        <f t="shared" si="188"/>
        <v>0</v>
      </c>
      <c r="DZ110" s="915">
        <f t="shared" si="189"/>
        <v>0</v>
      </c>
      <c r="EA110" s="915">
        <f t="shared" si="131"/>
        <v>0</v>
      </c>
      <c r="EB110" s="915">
        <f t="shared" si="252"/>
        <v>0</v>
      </c>
      <c r="EC110" s="915">
        <f t="shared" si="253"/>
        <v>0</v>
      </c>
      <c r="ED110" s="915">
        <f t="shared" si="254"/>
        <v>0</v>
      </c>
      <c r="EE110" s="915">
        <f t="shared" si="255"/>
        <v>0</v>
      </c>
      <c r="EF110" s="915">
        <f t="shared" si="256"/>
        <v>0</v>
      </c>
      <c r="EG110" s="915">
        <f t="shared" si="257"/>
        <v>0</v>
      </c>
      <c r="EH110" s="915">
        <f t="shared" si="258"/>
        <v>0</v>
      </c>
      <c r="EI110" s="915">
        <f t="shared" si="259"/>
        <v>0</v>
      </c>
      <c r="EJ110" s="915">
        <f t="shared" si="260"/>
        <v>0</v>
      </c>
      <c r="EK110" s="915">
        <f t="shared" si="261"/>
        <v>0</v>
      </c>
      <c r="EN110" s="533"/>
      <c r="EQ110" s="534"/>
    </row>
    <row r="111" spans="1:147" ht="14.1" customHeight="1" x14ac:dyDescent="0.2">
      <c r="A111" s="1026">
        <v>104</v>
      </c>
      <c r="B111" s="1023"/>
      <c r="C111" s="1028"/>
      <c r="D111" s="1020">
        <v>4</v>
      </c>
      <c r="E111" s="1020" t="s">
        <v>1247</v>
      </c>
      <c r="F111" s="1024" t="s">
        <v>2544</v>
      </c>
      <c r="G111" s="1025">
        <v>1</v>
      </c>
      <c r="H111" s="1022">
        <v>10</v>
      </c>
      <c r="I111" s="801">
        <f t="shared" si="250"/>
        <v>0</v>
      </c>
      <c r="J111" s="1021">
        <f t="shared" si="271"/>
        <v>10</v>
      </c>
      <c r="K111" s="225"/>
      <c r="L111" s="941" t="str">
        <f>TabName4 &amp; " - IChem"</f>
        <v>Phase 4 - IChem</v>
      </c>
      <c r="M111" s="942">
        <f>DU6</f>
        <v>10</v>
      </c>
      <c r="V111" s="915">
        <f t="shared" si="132"/>
        <v>0</v>
      </c>
      <c r="W111" s="915">
        <f t="shared" si="133"/>
        <v>0</v>
      </c>
      <c r="X111" s="915">
        <f t="shared" si="134"/>
        <v>0</v>
      </c>
      <c r="Y111" s="915">
        <f t="shared" si="135"/>
        <v>0</v>
      </c>
      <c r="Z111" s="915">
        <f t="shared" si="136"/>
        <v>0</v>
      </c>
      <c r="AA111" s="915">
        <f t="shared" si="137"/>
        <v>0</v>
      </c>
      <c r="AB111" s="915">
        <f t="shared" si="138"/>
        <v>0</v>
      </c>
      <c r="AC111" s="915">
        <f t="shared" si="139"/>
        <v>0</v>
      </c>
      <c r="AD111" s="915">
        <f t="shared" si="140"/>
        <v>0</v>
      </c>
      <c r="AE111" s="915">
        <f t="shared" si="141"/>
        <v>0</v>
      </c>
      <c r="AF111" s="915">
        <f t="shared" si="190"/>
        <v>0</v>
      </c>
      <c r="AG111" s="915">
        <f t="shared" si="191"/>
        <v>0</v>
      </c>
      <c r="AH111" s="915">
        <f t="shared" si="192"/>
        <v>0</v>
      </c>
      <c r="AI111" s="915">
        <f t="shared" si="193"/>
        <v>0</v>
      </c>
      <c r="AJ111" s="915">
        <f t="shared" si="194"/>
        <v>0</v>
      </c>
      <c r="AK111" s="915">
        <f t="shared" si="195"/>
        <v>0</v>
      </c>
      <c r="AL111" s="915">
        <f t="shared" si="196"/>
        <v>0</v>
      </c>
      <c r="AM111" s="915">
        <f t="shared" si="197"/>
        <v>0</v>
      </c>
      <c r="AN111" s="915">
        <f t="shared" si="198"/>
        <v>0</v>
      </c>
      <c r="AO111" s="915">
        <f t="shared" si="199"/>
        <v>0</v>
      </c>
      <c r="AP111" s="915">
        <f t="shared" si="142"/>
        <v>0</v>
      </c>
      <c r="AQ111" s="915">
        <f t="shared" si="143"/>
        <v>0</v>
      </c>
      <c r="AR111" s="915">
        <f t="shared" si="144"/>
        <v>0</v>
      </c>
      <c r="AS111" s="915">
        <f t="shared" si="145"/>
        <v>0</v>
      </c>
      <c r="AT111" s="915">
        <f t="shared" si="146"/>
        <v>0</v>
      </c>
      <c r="AU111" s="915">
        <f t="shared" si="147"/>
        <v>0</v>
      </c>
      <c r="AV111" s="915">
        <f t="shared" si="148"/>
        <v>0</v>
      </c>
      <c r="AW111" s="915">
        <f t="shared" si="149"/>
        <v>0</v>
      </c>
      <c r="AX111" s="915">
        <f t="shared" si="150"/>
        <v>0</v>
      </c>
      <c r="AY111" s="915">
        <f t="shared" si="200"/>
        <v>0</v>
      </c>
      <c r="AZ111" s="915">
        <f t="shared" si="201"/>
        <v>0</v>
      </c>
      <c r="BA111" s="915">
        <f t="shared" si="202"/>
        <v>0</v>
      </c>
      <c r="BB111" s="915">
        <f t="shared" si="203"/>
        <v>0</v>
      </c>
      <c r="BC111" s="915">
        <f t="shared" si="204"/>
        <v>0</v>
      </c>
      <c r="BD111" s="915">
        <f t="shared" si="205"/>
        <v>0</v>
      </c>
      <c r="BE111" s="915">
        <f t="shared" si="206"/>
        <v>0</v>
      </c>
      <c r="BF111" s="915">
        <f t="shared" si="207"/>
        <v>0</v>
      </c>
      <c r="BG111" s="915">
        <f t="shared" si="208"/>
        <v>0</v>
      </c>
      <c r="BH111" s="915">
        <f t="shared" si="209"/>
        <v>0</v>
      </c>
      <c r="BI111" s="915">
        <f t="shared" si="210"/>
        <v>0</v>
      </c>
      <c r="BJ111" s="915">
        <f t="shared" si="151"/>
        <v>0</v>
      </c>
      <c r="BK111" s="915">
        <f t="shared" si="152"/>
        <v>0</v>
      </c>
      <c r="BL111" s="915">
        <f t="shared" si="153"/>
        <v>0</v>
      </c>
      <c r="BM111" s="915">
        <f t="shared" si="154"/>
        <v>0</v>
      </c>
      <c r="BN111" s="915">
        <f t="shared" si="155"/>
        <v>0</v>
      </c>
      <c r="BO111" s="915">
        <f t="shared" si="156"/>
        <v>0</v>
      </c>
      <c r="BP111" s="915">
        <f t="shared" si="157"/>
        <v>0</v>
      </c>
      <c r="BQ111" s="915">
        <f t="shared" si="158"/>
        <v>0</v>
      </c>
      <c r="BR111" s="915">
        <f t="shared" si="159"/>
        <v>0</v>
      </c>
      <c r="BS111" s="915">
        <f t="shared" si="160"/>
        <v>0</v>
      </c>
      <c r="BT111" s="915">
        <f t="shared" si="262"/>
        <v>0</v>
      </c>
      <c r="BU111" s="915">
        <f t="shared" si="262"/>
        <v>0</v>
      </c>
      <c r="BV111" s="915">
        <f t="shared" si="263"/>
        <v>0</v>
      </c>
      <c r="BW111" s="915">
        <f t="shared" si="264"/>
        <v>0</v>
      </c>
      <c r="BX111" s="915">
        <f t="shared" si="265"/>
        <v>0</v>
      </c>
      <c r="BY111" s="915">
        <f t="shared" si="266"/>
        <v>0</v>
      </c>
      <c r="BZ111" s="915">
        <f t="shared" si="267"/>
        <v>0</v>
      </c>
      <c r="CA111" s="915">
        <f t="shared" si="268"/>
        <v>0</v>
      </c>
      <c r="CB111" s="915">
        <f t="shared" si="269"/>
        <v>0</v>
      </c>
      <c r="CC111" s="915">
        <f t="shared" si="270"/>
        <v>0</v>
      </c>
      <c r="CD111" s="915">
        <f t="shared" si="161"/>
        <v>0</v>
      </c>
      <c r="CE111" s="915">
        <f t="shared" si="162"/>
        <v>0</v>
      </c>
      <c r="CF111" s="915">
        <f t="shared" si="163"/>
        <v>0</v>
      </c>
      <c r="CG111" s="915">
        <f t="shared" si="164"/>
        <v>0</v>
      </c>
      <c r="CH111" s="915">
        <f t="shared" si="165"/>
        <v>0</v>
      </c>
      <c r="CI111" s="915">
        <f t="shared" si="166"/>
        <v>0</v>
      </c>
      <c r="CJ111" s="915">
        <f t="shared" si="167"/>
        <v>0</v>
      </c>
      <c r="CK111" s="915">
        <f t="shared" si="168"/>
        <v>0</v>
      </c>
      <c r="CL111" s="915">
        <f t="shared" si="169"/>
        <v>0</v>
      </c>
      <c r="CM111" s="915">
        <f t="shared" si="170"/>
        <v>0</v>
      </c>
      <c r="CN111" s="915">
        <f t="shared" si="220"/>
        <v>0</v>
      </c>
      <c r="CO111" s="915">
        <f t="shared" si="221"/>
        <v>0</v>
      </c>
      <c r="CP111" s="915">
        <f t="shared" si="222"/>
        <v>0</v>
      </c>
      <c r="CQ111" s="915">
        <f t="shared" si="223"/>
        <v>0</v>
      </c>
      <c r="CR111" s="915">
        <f t="shared" si="224"/>
        <v>0</v>
      </c>
      <c r="CS111" s="915">
        <f t="shared" si="225"/>
        <v>0</v>
      </c>
      <c r="CT111" s="915">
        <f t="shared" si="226"/>
        <v>0</v>
      </c>
      <c r="CU111" s="915">
        <f t="shared" si="227"/>
        <v>0</v>
      </c>
      <c r="CV111" s="915">
        <f t="shared" si="228"/>
        <v>0</v>
      </c>
      <c r="CW111" s="915">
        <f t="shared" si="229"/>
        <v>0</v>
      </c>
      <c r="CX111" s="915">
        <f t="shared" si="171"/>
        <v>0</v>
      </c>
      <c r="CY111" s="915">
        <f t="shared" si="172"/>
        <v>0</v>
      </c>
      <c r="CZ111" s="915">
        <f t="shared" si="173"/>
        <v>0</v>
      </c>
      <c r="DA111" s="915">
        <f t="shared" si="174"/>
        <v>0</v>
      </c>
      <c r="DB111" s="915">
        <f t="shared" si="175"/>
        <v>0</v>
      </c>
      <c r="DC111" s="915">
        <f t="shared" si="176"/>
        <v>0</v>
      </c>
      <c r="DD111" s="915">
        <f t="shared" si="177"/>
        <v>0</v>
      </c>
      <c r="DE111" s="915">
        <f t="shared" si="178"/>
        <v>0</v>
      </c>
      <c r="DF111" s="915">
        <f t="shared" si="179"/>
        <v>0</v>
      </c>
      <c r="DG111" s="915">
        <f t="shared" si="180"/>
        <v>0</v>
      </c>
      <c r="DH111" s="915">
        <f t="shared" ref="DH111:DH127" si="272">IF(AND($D111=$P$18,$E111=$R$12),$J111,0)</f>
        <v>0</v>
      </c>
      <c r="DI111" s="915">
        <f t="shared" ref="DI111:DI127" si="273">IF(AND($D111=$P$19,$E111=$R$12),$J111,0)</f>
        <v>0</v>
      </c>
      <c r="DJ111" s="915">
        <f t="shared" ref="DJ111:DJ127" si="274">IF(AND($D111=$P$20,$E111=$R$12),$J111,0)</f>
        <v>0</v>
      </c>
      <c r="DK111" s="915">
        <f t="shared" ref="DK111:DK127" si="275">IF(AND($D111=$P$21,$E111=$R$12),$J111,0)</f>
        <v>0</v>
      </c>
      <c r="DL111" s="915">
        <f t="shared" ref="DL111:DL127" si="276">IF(AND($D111=$P$22,$E111=$R$12),$J111,0)</f>
        <v>0</v>
      </c>
      <c r="DM111" s="915">
        <f t="shared" ref="DM111:DM127" si="277">IF(AND($D111=$P$23,$E111=$R$12),$J111,0)</f>
        <v>0</v>
      </c>
      <c r="DN111" s="915">
        <f t="shared" ref="DN111:DN127" si="278">IF(AND($D111=$P$24,$E111=$R$12),$J111,0)</f>
        <v>0</v>
      </c>
      <c r="DO111" s="915">
        <f t="shared" ref="DO111:DO127" si="279">IF(AND($D111=$P$25,$E111=$R$12),$J111,0)</f>
        <v>0</v>
      </c>
      <c r="DP111" s="915">
        <f t="shared" ref="DP111:DP127" si="280">IF(AND($D111=$P$26,$E111=$R$12),$J111,0)</f>
        <v>0</v>
      </c>
      <c r="DQ111" s="915">
        <f t="shared" ref="DQ111:DQ127" si="281">IF(AND($D111=$P$27,$E111=$R$12),$J111,0)</f>
        <v>0</v>
      </c>
      <c r="DR111" s="915">
        <f t="shared" si="181"/>
        <v>0</v>
      </c>
      <c r="DS111" s="915">
        <f t="shared" si="182"/>
        <v>0</v>
      </c>
      <c r="DT111" s="915">
        <f t="shared" si="183"/>
        <v>0</v>
      </c>
      <c r="DU111" s="915">
        <f t="shared" si="184"/>
        <v>10</v>
      </c>
      <c r="DV111" s="915">
        <f t="shared" si="185"/>
        <v>0</v>
      </c>
      <c r="DW111" s="915">
        <f t="shared" si="186"/>
        <v>0</v>
      </c>
      <c r="DX111" s="915">
        <f t="shared" si="187"/>
        <v>0</v>
      </c>
      <c r="DY111" s="915">
        <f t="shared" si="188"/>
        <v>0</v>
      </c>
      <c r="DZ111" s="915">
        <f t="shared" si="189"/>
        <v>0</v>
      </c>
      <c r="EA111" s="915">
        <f t="shared" si="131"/>
        <v>0</v>
      </c>
      <c r="EB111" s="915">
        <f t="shared" si="252"/>
        <v>0</v>
      </c>
      <c r="EC111" s="915">
        <f t="shared" si="253"/>
        <v>0</v>
      </c>
      <c r="ED111" s="915">
        <f t="shared" si="254"/>
        <v>0</v>
      </c>
      <c r="EE111" s="915">
        <f t="shared" si="255"/>
        <v>0</v>
      </c>
      <c r="EF111" s="915">
        <f t="shared" si="256"/>
        <v>0</v>
      </c>
      <c r="EG111" s="915">
        <f t="shared" si="257"/>
        <v>0</v>
      </c>
      <c r="EH111" s="915">
        <f t="shared" si="258"/>
        <v>0</v>
      </c>
      <c r="EI111" s="915">
        <f t="shared" si="259"/>
        <v>0</v>
      </c>
      <c r="EJ111" s="915">
        <f t="shared" si="260"/>
        <v>0</v>
      </c>
      <c r="EK111" s="915">
        <f t="shared" si="261"/>
        <v>0</v>
      </c>
      <c r="EN111" s="533"/>
      <c r="EQ111" s="534"/>
    </row>
    <row r="112" spans="1:147" ht="14.1" customHeight="1" x14ac:dyDescent="0.2">
      <c r="A112" s="496">
        <v>105</v>
      </c>
      <c r="B112" s="1006"/>
      <c r="C112" s="1007"/>
      <c r="D112" s="264">
        <v>5</v>
      </c>
      <c r="E112" s="264" t="s">
        <v>1247</v>
      </c>
      <c r="F112" s="270" t="s">
        <v>2544</v>
      </c>
      <c r="G112" s="271">
        <v>1</v>
      </c>
      <c r="H112" s="803">
        <v>10</v>
      </c>
      <c r="I112" s="800">
        <f t="shared" si="250"/>
        <v>0</v>
      </c>
      <c r="J112" s="269">
        <f t="shared" si="271"/>
        <v>10</v>
      </c>
      <c r="K112" s="225"/>
      <c r="L112" s="941" t="str">
        <f>TabName5 &amp; " - IChem"</f>
        <v>Phase 5 - IChem</v>
      </c>
      <c r="M112" s="942">
        <f>DV6</f>
        <v>10</v>
      </c>
      <c r="V112" s="915">
        <f t="shared" si="132"/>
        <v>0</v>
      </c>
      <c r="W112" s="915">
        <f t="shared" si="133"/>
        <v>0</v>
      </c>
      <c r="X112" s="915">
        <f t="shared" si="134"/>
        <v>0</v>
      </c>
      <c r="Y112" s="915">
        <f t="shared" si="135"/>
        <v>0</v>
      </c>
      <c r="Z112" s="915">
        <f t="shared" si="136"/>
        <v>0</v>
      </c>
      <c r="AA112" s="915">
        <f t="shared" si="137"/>
        <v>0</v>
      </c>
      <c r="AB112" s="915">
        <f t="shared" si="138"/>
        <v>0</v>
      </c>
      <c r="AC112" s="915">
        <f t="shared" si="139"/>
        <v>0</v>
      </c>
      <c r="AD112" s="915">
        <f t="shared" si="140"/>
        <v>0</v>
      </c>
      <c r="AE112" s="915">
        <f t="shared" si="141"/>
        <v>0</v>
      </c>
      <c r="AF112" s="915">
        <f t="shared" si="190"/>
        <v>0</v>
      </c>
      <c r="AG112" s="915">
        <f t="shared" si="191"/>
        <v>0</v>
      </c>
      <c r="AH112" s="915">
        <f t="shared" si="192"/>
        <v>0</v>
      </c>
      <c r="AI112" s="915">
        <f t="shared" si="193"/>
        <v>0</v>
      </c>
      <c r="AJ112" s="915">
        <f t="shared" si="194"/>
        <v>0</v>
      </c>
      <c r="AK112" s="915">
        <f t="shared" si="195"/>
        <v>0</v>
      </c>
      <c r="AL112" s="915">
        <f t="shared" si="196"/>
        <v>0</v>
      </c>
      <c r="AM112" s="915">
        <f t="shared" si="197"/>
        <v>0</v>
      </c>
      <c r="AN112" s="915">
        <f t="shared" si="198"/>
        <v>0</v>
      </c>
      <c r="AO112" s="915">
        <f t="shared" si="199"/>
        <v>0</v>
      </c>
      <c r="AP112" s="915">
        <f t="shared" si="142"/>
        <v>0</v>
      </c>
      <c r="AQ112" s="915">
        <f t="shared" si="143"/>
        <v>0</v>
      </c>
      <c r="AR112" s="915">
        <f t="shared" si="144"/>
        <v>0</v>
      </c>
      <c r="AS112" s="915">
        <f t="shared" si="145"/>
        <v>0</v>
      </c>
      <c r="AT112" s="915">
        <f t="shared" si="146"/>
        <v>0</v>
      </c>
      <c r="AU112" s="915">
        <f t="shared" si="147"/>
        <v>0</v>
      </c>
      <c r="AV112" s="915">
        <f t="shared" si="148"/>
        <v>0</v>
      </c>
      <c r="AW112" s="915">
        <f t="shared" si="149"/>
        <v>0</v>
      </c>
      <c r="AX112" s="915">
        <f t="shared" si="150"/>
        <v>0</v>
      </c>
      <c r="AY112" s="915">
        <f t="shared" si="200"/>
        <v>0</v>
      </c>
      <c r="AZ112" s="915">
        <f t="shared" si="201"/>
        <v>0</v>
      </c>
      <c r="BA112" s="915">
        <f t="shared" si="202"/>
        <v>0</v>
      </c>
      <c r="BB112" s="915">
        <f t="shared" si="203"/>
        <v>0</v>
      </c>
      <c r="BC112" s="915">
        <f t="shared" si="204"/>
        <v>0</v>
      </c>
      <c r="BD112" s="915">
        <f t="shared" si="205"/>
        <v>0</v>
      </c>
      <c r="BE112" s="915">
        <f t="shared" si="206"/>
        <v>0</v>
      </c>
      <c r="BF112" s="915">
        <f t="shared" si="207"/>
        <v>0</v>
      </c>
      <c r="BG112" s="915">
        <f t="shared" si="208"/>
        <v>0</v>
      </c>
      <c r="BH112" s="915">
        <f t="shared" si="209"/>
        <v>0</v>
      </c>
      <c r="BI112" s="915">
        <f t="shared" si="210"/>
        <v>0</v>
      </c>
      <c r="BJ112" s="915">
        <f t="shared" si="151"/>
        <v>0</v>
      </c>
      <c r="BK112" s="915">
        <f t="shared" si="152"/>
        <v>0</v>
      </c>
      <c r="BL112" s="915">
        <f t="shared" si="153"/>
        <v>0</v>
      </c>
      <c r="BM112" s="915">
        <f t="shared" si="154"/>
        <v>0</v>
      </c>
      <c r="BN112" s="915">
        <f t="shared" si="155"/>
        <v>0</v>
      </c>
      <c r="BO112" s="915">
        <f t="shared" si="156"/>
        <v>0</v>
      </c>
      <c r="BP112" s="915">
        <f t="shared" si="157"/>
        <v>0</v>
      </c>
      <c r="BQ112" s="915">
        <f t="shared" si="158"/>
        <v>0</v>
      </c>
      <c r="BR112" s="915">
        <f t="shared" si="159"/>
        <v>0</v>
      </c>
      <c r="BS112" s="915">
        <f t="shared" si="160"/>
        <v>0</v>
      </c>
      <c r="BT112" s="915">
        <f t="shared" si="262"/>
        <v>0</v>
      </c>
      <c r="BU112" s="915">
        <f t="shared" si="262"/>
        <v>0</v>
      </c>
      <c r="BV112" s="915">
        <f t="shared" si="263"/>
        <v>0</v>
      </c>
      <c r="BW112" s="915">
        <f t="shared" si="264"/>
        <v>0</v>
      </c>
      <c r="BX112" s="915">
        <f t="shared" si="265"/>
        <v>0</v>
      </c>
      <c r="BY112" s="915">
        <f t="shared" si="266"/>
        <v>0</v>
      </c>
      <c r="BZ112" s="915">
        <f t="shared" si="267"/>
        <v>0</v>
      </c>
      <c r="CA112" s="915">
        <f t="shared" si="268"/>
        <v>0</v>
      </c>
      <c r="CB112" s="915">
        <f t="shared" si="269"/>
        <v>0</v>
      </c>
      <c r="CC112" s="915">
        <f t="shared" si="270"/>
        <v>0</v>
      </c>
      <c r="CD112" s="915">
        <f t="shared" si="161"/>
        <v>0</v>
      </c>
      <c r="CE112" s="915">
        <f t="shared" si="162"/>
        <v>0</v>
      </c>
      <c r="CF112" s="915">
        <f t="shared" si="163"/>
        <v>0</v>
      </c>
      <c r="CG112" s="915">
        <f t="shared" si="164"/>
        <v>0</v>
      </c>
      <c r="CH112" s="915">
        <f t="shared" si="165"/>
        <v>0</v>
      </c>
      <c r="CI112" s="915">
        <f t="shared" si="166"/>
        <v>0</v>
      </c>
      <c r="CJ112" s="915">
        <f t="shared" si="167"/>
        <v>0</v>
      </c>
      <c r="CK112" s="915">
        <f t="shared" si="168"/>
        <v>0</v>
      </c>
      <c r="CL112" s="915">
        <f t="shared" si="169"/>
        <v>0</v>
      </c>
      <c r="CM112" s="915">
        <f t="shared" si="170"/>
        <v>0</v>
      </c>
      <c r="CN112" s="915">
        <f t="shared" si="220"/>
        <v>0</v>
      </c>
      <c r="CO112" s="915">
        <f t="shared" si="221"/>
        <v>0</v>
      </c>
      <c r="CP112" s="915">
        <f t="shared" si="222"/>
        <v>0</v>
      </c>
      <c r="CQ112" s="915">
        <f t="shared" si="223"/>
        <v>0</v>
      </c>
      <c r="CR112" s="915">
        <f t="shared" si="224"/>
        <v>0</v>
      </c>
      <c r="CS112" s="915">
        <f t="shared" si="225"/>
        <v>0</v>
      </c>
      <c r="CT112" s="915">
        <f t="shared" si="226"/>
        <v>0</v>
      </c>
      <c r="CU112" s="915">
        <f t="shared" si="227"/>
        <v>0</v>
      </c>
      <c r="CV112" s="915">
        <f t="shared" si="228"/>
        <v>0</v>
      </c>
      <c r="CW112" s="915">
        <f t="shared" si="229"/>
        <v>0</v>
      </c>
      <c r="CX112" s="915">
        <f t="shared" si="171"/>
        <v>0</v>
      </c>
      <c r="CY112" s="915">
        <f t="shared" si="172"/>
        <v>0</v>
      </c>
      <c r="CZ112" s="915">
        <f t="shared" si="173"/>
        <v>0</v>
      </c>
      <c r="DA112" s="915">
        <f t="shared" si="174"/>
        <v>0</v>
      </c>
      <c r="DB112" s="915">
        <f t="shared" si="175"/>
        <v>0</v>
      </c>
      <c r="DC112" s="915">
        <f t="shared" si="176"/>
        <v>0</v>
      </c>
      <c r="DD112" s="915">
        <f t="shared" si="177"/>
        <v>0</v>
      </c>
      <c r="DE112" s="915">
        <f t="shared" si="178"/>
        <v>0</v>
      </c>
      <c r="DF112" s="915">
        <f t="shared" si="179"/>
        <v>0</v>
      </c>
      <c r="DG112" s="915">
        <f t="shared" si="180"/>
        <v>0</v>
      </c>
      <c r="DH112" s="915">
        <f t="shared" si="272"/>
        <v>0</v>
      </c>
      <c r="DI112" s="915">
        <f t="shared" si="273"/>
        <v>0</v>
      </c>
      <c r="DJ112" s="915">
        <f t="shared" si="274"/>
        <v>0</v>
      </c>
      <c r="DK112" s="915">
        <f t="shared" si="275"/>
        <v>0</v>
      </c>
      <c r="DL112" s="915">
        <f t="shared" si="276"/>
        <v>0</v>
      </c>
      <c r="DM112" s="915">
        <f t="shared" si="277"/>
        <v>0</v>
      </c>
      <c r="DN112" s="915">
        <f t="shared" si="278"/>
        <v>0</v>
      </c>
      <c r="DO112" s="915">
        <f t="shared" si="279"/>
        <v>0</v>
      </c>
      <c r="DP112" s="915">
        <f t="shared" si="280"/>
        <v>0</v>
      </c>
      <c r="DQ112" s="915">
        <f t="shared" si="281"/>
        <v>0</v>
      </c>
      <c r="DR112" s="915">
        <f t="shared" si="181"/>
        <v>0</v>
      </c>
      <c r="DS112" s="915">
        <f t="shared" si="182"/>
        <v>0</v>
      </c>
      <c r="DT112" s="915">
        <f t="shared" si="183"/>
        <v>0</v>
      </c>
      <c r="DU112" s="915">
        <f t="shared" si="184"/>
        <v>0</v>
      </c>
      <c r="DV112" s="915">
        <f t="shared" si="185"/>
        <v>10</v>
      </c>
      <c r="DW112" s="915">
        <f t="shared" si="186"/>
        <v>0</v>
      </c>
      <c r="DX112" s="915">
        <f t="shared" si="187"/>
        <v>0</v>
      </c>
      <c r="DY112" s="915">
        <f t="shared" si="188"/>
        <v>0</v>
      </c>
      <c r="DZ112" s="915">
        <f t="shared" si="189"/>
        <v>0</v>
      </c>
      <c r="EA112" s="915">
        <f t="shared" si="131"/>
        <v>0</v>
      </c>
      <c r="EB112" s="915">
        <f>IF(AND($D112=$P$18,$E112=$R$13),$J112,0)</f>
        <v>0</v>
      </c>
      <c r="EC112" s="915">
        <f>IF(AND($D112=$P$19,$E112=$R$13),$J112,0)</f>
        <v>0</v>
      </c>
      <c r="ED112" s="915">
        <f>IF(AND($D112=$P$20,$E112=$R$13),$J112,0)</f>
        <v>0</v>
      </c>
      <c r="EE112" s="915">
        <f>IF(AND($D112=$P$21,$E112=$R$13),$J112,0)</f>
        <v>0</v>
      </c>
      <c r="EF112" s="915">
        <f>IF(AND($D112=$P$22,$E112=$R$13),$J112,0)</f>
        <v>0</v>
      </c>
      <c r="EG112" s="915">
        <f>IF(AND($D112=$P$23,$E112=$R$13),$J112,0)</f>
        <v>0</v>
      </c>
      <c r="EH112" s="915">
        <f>IF(AND($D112=$P$24,$E112=$R$13),$J112,0)</f>
        <v>0</v>
      </c>
      <c r="EI112" s="915">
        <f>IF(AND($D112=$P$25,$E112=$R$13),$J112,0)</f>
        <v>0</v>
      </c>
      <c r="EJ112" s="915">
        <f>IF(AND($D112=$P$26,$E112=$R$13),$J112,0)</f>
        <v>0</v>
      </c>
      <c r="EK112" s="915">
        <f>IF(AND($D112=$P$27,$E112=$R$13),$J112,0)</f>
        <v>0</v>
      </c>
      <c r="EN112" s="533"/>
      <c r="EQ112" s="534"/>
    </row>
    <row r="113" spans="1:147" ht="14.1" customHeight="1" x14ac:dyDescent="0.2">
      <c r="A113" s="1026">
        <v>106</v>
      </c>
      <c r="B113" s="1023"/>
      <c r="C113" s="1028"/>
      <c r="D113" s="1020">
        <v>6</v>
      </c>
      <c r="E113" s="1020" t="s">
        <v>1247</v>
      </c>
      <c r="F113" s="1024" t="s">
        <v>2544</v>
      </c>
      <c r="G113" s="1025">
        <v>1</v>
      </c>
      <c r="H113" s="1022">
        <v>10</v>
      </c>
      <c r="I113" s="801">
        <f t="shared" si="250"/>
        <v>0</v>
      </c>
      <c r="J113" s="1021">
        <f t="shared" si="271"/>
        <v>10</v>
      </c>
      <c r="K113" s="225"/>
      <c r="L113" s="941" t="str">
        <f>TabName6 &amp; " - IChem"</f>
        <v>Phase 6 - IChem</v>
      </c>
      <c r="M113" s="942">
        <f>DW6</f>
        <v>10</v>
      </c>
      <c r="V113" s="915">
        <f t="shared" si="132"/>
        <v>0</v>
      </c>
      <c r="W113" s="915">
        <f t="shared" si="133"/>
        <v>0</v>
      </c>
      <c r="X113" s="915">
        <f t="shared" si="134"/>
        <v>0</v>
      </c>
      <c r="Y113" s="915">
        <f t="shared" si="135"/>
        <v>0</v>
      </c>
      <c r="Z113" s="915">
        <f t="shared" si="136"/>
        <v>0</v>
      </c>
      <c r="AA113" s="915">
        <f t="shared" si="137"/>
        <v>0</v>
      </c>
      <c r="AB113" s="915">
        <f t="shared" si="138"/>
        <v>0</v>
      </c>
      <c r="AC113" s="915">
        <f t="shared" si="139"/>
        <v>0</v>
      </c>
      <c r="AD113" s="915">
        <f t="shared" si="140"/>
        <v>0</v>
      </c>
      <c r="AE113" s="915">
        <f t="shared" si="141"/>
        <v>0</v>
      </c>
      <c r="AF113" s="915">
        <f t="shared" si="190"/>
        <v>0</v>
      </c>
      <c r="AG113" s="915">
        <f t="shared" si="191"/>
        <v>0</v>
      </c>
      <c r="AH113" s="915">
        <f t="shared" si="192"/>
        <v>0</v>
      </c>
      <c r="AI113" s="915">
        <f t="shared" si="193"/>
        <v>0</v>
      </c>
      <c r="AJ113" s="915">
        <f t="shared" si="194"/>
        <v>0</v>
      </c>
      <c r="AK113" s="915">
        <f t="shared" si="195"/>
        <v>0</v>
      </c>
      <c r="AL113" s="915">
        <f t="shared" si="196"/>
        <v>0</v>
      </c>
      <c r="AM113" s="915">
        <f t="shared" si="197"/>
        <v>0</v>
      </c>
      <c r="AN113" s="915">
        <f t="shared" si="198"/>
        <v>0</v>
      </c>
      <c r="AO113" s="915">
        <f t="shared" si="199"/>
        <v>0</v>
      </c>
      <c r="AP113" s="915">
        <f t="shared" si="142"/>
        <v>0</v>
      </c>
      <c r="AQ113" s="915">
        <f t="shared" si="143"/>
        <v>0</v>
      </c>
      <c r="AR113" s="915">
        <f t="shared" si="144"/>
        <v>0</v>
      </c>
      <c r="AS113" s="915">
        <f t="shared" si="145"/>
        <v>0</v>
      </c>
      <c r="AT113" s="915">
        <f t="shared" si="146"/>
        <v>0</v>
      </c>
      <c r="AU113" s="915">
        <f t="shared" si="147"/>
        <v>0</v>
      </c>
      <c r="AV113" s="915">
        <f t="shared" si="148"/>
        <v>0</v>
      </c>
      <c r="AW113" s="915">
        <f t="shared" si="149"/>
        <v>0</v>
      </c>
      <c r="AX113" s="915">
        <f t="shared" si="150"/>
        <v>0</v>
      </c>
      <c r="AY113" s="915">
        <f t="shared" si="200"/>
        <v>0</v>
      </c>
      <c r="AZ113" s="915">
        <f t="shared" si="201"/>
        <v>0</v>
      </c>
      <c r="BA113" s="915">
        <f t="shared" si="202"/>
        <v>0</v>
      </c>
      <c r="BB113" s="915">
        <f t="shared" si="203"/>
        <v>0</v>
      </c>
      <c r="BC113" s="915">
        <f t="shared" si="204"/>
        <v>0</v>
      </c>
      <c r="BD113" s="915">
        <f t="shared" si="205"/>
        <v>0</v>
      </c>
      <c r="BE113" s="915">
        <f t="shared" si="206"/>
        <v>0</v>
      </c>
      <c r="BF113" s="915">
        <f t="shared" si="207"/>
        <v>0</v>
      </c>
      <c r="BG113" s="915">
        <f t="shared" si="208"/>
        <v>0</v>
      </c>
      <c r="BH113" s="915">
        <f t="shared" si="209"/>
        <v>0</v>
      </c>
      <c r="BI113" s="915">
        <f t="shared" si="210"/>
        <v>0</v>
      </c>
      <c r="BJ113" s="915">
        <f t="shared" si="151"/>
        <v>0</v>
      </c>
      <c r="BK113" s="915">
        <f t="shared" si="152"/>
        <v>0</v>
      </c>
      <c r="BL113" s="915">
        <f t="shared" si="153"/>
        <v>0</v>
      </c>
      <c r="BM113" s="915">
        <f t="shared" si="154"/>
        <v>0</v>
      </c>
      <c r="BN113" s="915">
        <f t="shared" si="155"/>
        <v>0</v>
      </c>
      <c r="BO113" s="915">
        <f t="shared" si="156"/>
        <v>0</v>
      </c>
      <c r="BP113" s="915">
        <f t="shared" si="157"/>
        <v>0</v>
      </c>
      <c r="BQ113" s="915">
        <f t="shared" si="158"/>
        <v>0</v>
      </c>
      <c r="BR113" s="915">
        <f t="shared" si="159"/>
        <v>0</v>
      </c>
      <c r="BS113" s="915">
        <f t="shared" si="160"/>
        <v>0</v>
      </c>
      <c r="BT113" s="915">
        <f t="shared" si="262"/>
        <v>0</v>
      </c>
      <c r="BU113" s="915">
        <f t="shared" si="262"/>
        <v>0</v>
      </c>
      <c r="BV113" s="915">
        <f t="shared" si="263"/>
        <v>0</v>
      </c>
      <c r="BW113" s="915">
        <f t="shared" si="264"/>
        <v>0</v>
      </c>
      <c r="BX113" s="915">
        <f t="shared" si="265"/>
        <v>0</v>
      </c>
      <c r="BY113" s="915">
        <f t="shared" si="266"/>
        <v>0</v>
      </c>
      <c r="BZ113" s="915">
        <f t="shared" si="267"/>
        <v>0</v>
      </c>
      <c r="CA113" s="915">
        <f t="shared" si="268"/>
        <v>0</v>
      </c>
      <c r="CB113" s="915">
        <f t="shared" si="269"/>
        <v>0</v>
      </c>
      <c r="CC113" s="915">
        <f t="shared" si="270"/>
        <v>0</v>
      </c>
      <c r="CD113" s="915">
        <f t="shared" si="161"/>
        <v>0</v>
      </c>
      <c r="CE113" s="915">
        <f t="shared" si="162"/>
        <v>0</v>
      </c>
      <c r="CF113" s="915">
        <f t="shared" si="163"/>
        <v>0</v>
      </c>
      <c r="CG113" s="915">
        <f t="shared" si="164"/>
        <v>0</v>
      </c>
      <c r="CH113" s="915">
        <f t="shared" si="165"/>
        <v>0</v>
      </c>
      <c r="CI113" s="915">
        <f t="shared" si="166"/>
        <v>0</v>
      </c>
      <c r="CJ113" s="915">
        <f t="shared" si="167"/>
        <v>0</v>
      </c>
      <c r="CK113" s="915">
        <f t="shared" si="168"/>
        <v>0</v>
      </c>
      <c r="CL113" s="915">
        <f t="shared" si="169"/>
        <v>0</v>
      </c>
      <c r="CM113" s="915">
        <f t="shared" si="170"/>
        <v>0</v>
      </c>
      <c r="CN113" s="915">
        <f t="shared" si="220"/>
        <v>0</v>
      </c>
      <c r="CO113" s="915">
        <f t="shared" si="221"/>
        <v>0</v>
      </c>
      <c r="CP113" s="915">
        <f t="shared" si="222"/>
        <v>0</v>
      </c>
      <c r="CQ113" s="915">
        <f t="shared" si="223"/>
        <v>0</v>
      </c>
      <c r="CR113" s="915">
        <f t="shared" si="224"/>
        <v>0</v>
      </c>
      <c r="CS113" s="915">
        <f t="shared" si="225"/>
        <v>0</v>
      </c>
      <c r="CT113" s="915">
        <f t="shared" si="226"/>
        <v>0</v>
      </c>
      <c r="CU113" s="915">
        <f t="shared" si="227"/>
        <v>0</v>
      </c>
      <c r="CV113" s="915">
        <f t="shared" si="228"/>
        <v>0</v>
      </c>
      <c r="CW113" s="915">
        <f t="shared" si="229"/>
        <v>0</v>
      </c>
      <c r="CX113" s="915">
        <f t="shared" si="171"/>
        <v>0</v>
      </c>
      <c r="CY113" s="915">
        <f t="shared" si="172"/>
        <v>0</v>
      </c>
      <c r="CZ113" s="915">
        <f t="shared" si="173"/>
        <v>0</v>
      </c>
      <c r="DA113" s="915">
        <f t="shared" si="174"/>
        <v>0</v>
      </c>
      <c r="DB113" s="915">
        <f t="shared" si="175"/>
        <v>0</v>
      </c>
      <c r="DC113" s="915">
        <f t="shared" si="176"/>
        <v>0</v>
      </c>
      <c r="DD113" s="915">
        <f t="shared" si="177"/>
        <v>0</v>
      </c>
      <c r="DE113" s="915">
        <f t="shared" si="178"/>
        <v>0</v>
      </c>
      <c r="DF113" s="915">
        <f t="shared" si="179"/>
        <v>0</v>
      </c>
      <c r="DG113" s="915">
        <f t="shared" si="180"/>
        <v>0</v>
      </c>
      <c r="DH113" s="915">
        <f t="shared" si="272"/>
        <v>0</v>
      </c>
      <c r="DI113" s="915">
        <f t="shared" si="273"/>
        <v>0</v>
      </c>
      <c r="DJ113" s="915">
        <f t="shared" si="274"/>
        <v>0</v>
      </c>
      <c r="DK113" s="915">
        <f t="shared" si="275"/>
        <v>0</v>
      </c>
      <c r="DL113" s="915">
        <f t="shared" si="276"/>
        <v>0</v>
      </c>
      <c r="DM113" s="915">
        <f t="shared" si="277"/>
        <v>0</v>
      </c>
      <c r="DN113" s="915">
        <f t="shared" si="278"/>
        <v>0</v>
      </c>
      <c r="DO113" s="915">
        <f t="shared" si="279"/>
        <v>0</v>
      </c>
      <c r="DP113" s="915">
        <f t="shared" si="280"/>
        <v>0</v>
      </c>
      <c r="DQ113" s="915">
        <f t="shared" si="281"/>
        <v>0</v>
      </c>
      <c r="DR113" s="915">
        <f t="shared" si="181"/>
        <v>0</v>
      </c>
      <c r="DS113" s="915">
        <f t="shared" si="182"/>
        <v>0</v>
      </c>
      <c r="DT113" s="915">
        <f t="shared" si="183"/>
        <v>0</v>
      </c>
      <c r="DU113" s="915">
        <f t="shared" si="184"/>
        <v>0</v>
      </c>
      <c r="DV113" s="915">
        <f t="shared" si="185"/>
        <v>0</v>
      </c>
      <c r="DW113" s="915">
        <f t="shared" si="186"/>
        <v>10</v>
      </c>
      <c r="DX113" s="915">
        <f t="shared" si="187"/>
        <v>0</v>
      </c>
      <c r="DY113" s="915">
        <f t="shared" si="188"/>
        <v>0</v>
      </c>
      <c r="DZ113" s="915">
        <f t="shared" si="189"/>
        <v>0</v>
      </c>
      <c r="EA113" s="915">
        <f t="shared" si="131"/>
        <v>0</v>
      </c>
      <c r="EB113" s="915">
        <f t="shared" ref="EB113:EB123" si="282">IF(AND($D113=$P$18,$E113=$R$13),$J113,0)</f>
        <v>0</v>
      </c>
      <c r="EC113" s="915">
        <f t="shared" ref="EC113:EC123" si="283">IF(AND($D113=$P$19,$E113=$R$13),$J113,0)</f>
        <v>0</v>
      </c>
      <c r="ED113" s="915">
        <f t="shared" ref="ED113:ED123" si="284">IF(AND($D113=$P$20,$E113=$R$13),$J113,0)</f>
        <v>0</v>
      </c>
      <c r="EE113" s="915">
        <f t="shared" ref="EE113:EE123" si="285">IF(AND($D113=$P$21,$E113=$R$13),$J113,0)</f>
        <v>0</v>
      </c>
      <c r="EF113" s="915">
        <f t="shared" ref="EF113:EF123" si="286">IF(AND($D113=$P$22,$E113=$R$13),$J113,0)</f>
        <v>0</v>
      </c>
      <c r="EG113" s="915">
        <f t="shared" ref="EG113:EG123" si="287">IF(AND($D113=$P$23,$E113=$R$13),$J113,0)</f>
        <v>0</v>
      </c>
      <c r="EH113" s="915">
        <f t="shared" ref="EH113:EH123" si="288">IF(AND($D113=$P$24,$E113=$R$13),$J113,0)</f>
        <v>0</v>
      </c>
      <c r="EI113" s="915">
        <f t="shared" ref="EI113:EI123" si="289">IF(AND($D113=$P$25,$E113=$R$13),$J113,0)</f>
        <v>0</v>
      </c>
      <c r="EJ113" s="915">
        <f t="shared" ref="EJ113:EJ123" si="290">IF(AND($D113=$P$26,$E113=$R$13),$J113,0)</f>
        <v>0</v>
      </c>
      <c r="EK113" s="915">
        <f t="shared" ref="EK113:EK123" si="291">IF(AND($D113=$P$27,$E113=$R$13),$J113,0)</f>
        <v>0</v>
      </c>
      <c r="EN113" s="533"/>
      <c r="EQ113" s="534"/>
    </row>
    <row r="114" spans="1:147" ht="14.1" customHeight="1" x14ac:dyDescent="0.2">
      <c r="A114" s="496">
        <v>107</v>
      </c>
      <c r="B114" s="1006"/>
      <c r="C114" s="1007"/>
      <c r="D114" s="264">
        <v>7</v>
      </c>
      <c r="E114" s="264" t="s">
        <v>1247</v>
      </c>
      <c r="F114" s="270" t="s">
        <v>2544</v>
      </c>
      <c r="G114" s="271">
        <v>1</v>
      </c>
      <c r="H114" s="803">
        <v>10</v>
      </c>
      <c r="I114" s="800">
        <f t="shared" si="250"/>
        <v>0</v>
      </c>
      <c r="J114" s="269">
        <f t="shared" si="271"/>
        <v>10</v>
      </c>
      <c r="K114" s="225"/>
      <c r="L114" s="941" t="str">
        <f>TabName7 &amp; " - IChem"</f>
        <v>Phase 7 - IChem</v>
      </c>
      <c r="M114" s="942">
        <f>DX6</f>
        <v>10</v>
      </c>
      <c r="V114" s="915">
        <f t="shared" si="132"/>
        <v>0</v>
      </c>
      <c r="W114" s="915">
        <f t="shared" si="133"/>
        <v>0</v>
      </c>
      <c r="X114" s="915">
        <f t="shared" si="134"/>
        <v>0</v>
      </c>
      <c r="Y114" s="915">
        <f t="shared" si="135"/>
        <v>0</v>
      </c>
      <c r="Z114" s="915">
        <f t="shared" si="136"/>
        <v>0</v>
      </c>
      <c r="AA114" s="915">
        <f t="shared" si="137"/>
        <v>0</v>
      </c>
      <c r="AB114" s="915">
        <f t="shared" si="138"/>
        <v>0</v>
      </c>
      <c r="AC114" s="915">
        <f t="shared" si="139"/>
        <v>0</v>
      </c>
      <c r="AD114" s="915">
        <f t="shared" si="140"/>
        <v>0</v>
      </c>
      <c r="AE114" s="915">
        <f t="shared" si="141"/>
        <v>0</v>
      </c>
      <c r="AF114" s="915">
        <f t="shared" si="190"/>
        <v>0</v>
      </c>
      <c r="AG114" s="915">
        <f t="shared" si="191"/>
        <v>0</v>
      </c>
      <c r="AH114" s="915">
        <f t="shared" si="192"/>
        <v>0</v>
      </c>
      <c r="AI114" s="915">
        <f t="shared" si="193"/>
        <v>0</v>
      </c>
      <c r="AJ114" s="915">
        <f t="shared" si="194"/>
        <v>0</v>
      </c>
      <c r="AK114" s="915">
        <f t="shared" si="195"/>
        <v>0</v>
      </c>
      <c r="AL114" s="915">
        <f t="shared" si="196"/>
        <v>0</v>
      </c>
      <c r="AM114" s="915">
        <f t="shared" si="197"/>
        <v>0</v>
      </c>
      <c r="AN114" s="915">
        <f t="shared" si="198"/>
        <v>0</v>
      </c>
      <c r="AO114" s="915">
        <f t="shared" si="199"/>
        <v>0</v>
      </c>
      <c r="AP114" s="915">
        <f t="shared" si="142"/>
        <v>0</v>
      </c>
      <c r="AQ114" s="915">
        <f t="shared" si="143"/>
        <v>0</v>
      </c>
      <c r="AR114" s="915">
        <f t="shared" si="144"/>
        <v>0</v>
      </c>
      <c r="AS114" s="915">
        <f t="shared" si="145"/>
        <v>0</v>
      </c>
      <c r="AT114" s="915">
        <f t="shared" si="146"/>
        <v>0</v>
      </c>
      <c r="AU114" s="915">
        <f t="shared" si="147"/>
        <v>0</v>
      </c>
      <c r="AV114" s="915">
        <f t="shared" si="148"/>
        <v>0</v>
      </c>
      <c r="AW114" s="915">
        <f t="shared" si="149"/>
        <v>0</v>
      </c>
      <c r="AX114" s="915">
        <f t="shared" si="150"/>
        <v>0</v>
      </c>
      <c r="AY114" s="915">
        <f t="shared" si="200"/>
        <v>0</v>
      </c>
      <c r="AZ114" s="915">
        <f t="shared" si="201"/>
        <v>0</v>
      </c>
      <c r="BA114" s="915">
        <f t="shared" si="202"/>
        <v>0</v>
      </c>
      <c r="BB114" s="915">
        <f t="shared" si="203"/>
        <v>0</v>
      </c>
      <c r="BC114" s="915">
        <f t="shared" si="204"/>
        <v>0</v>
      </c>
      <c r="BD114" s="915">
        <f t="shared" si="205"/>
        <v>0</v>
      </c>
      <c r="BE114" s="915">
        <f t="shared" si="206"/>
        <v>0</v>
      </c>
      <c r="BF114" s="915">
        <f t="shared" si="207"/>
        <v>0</v>
      </c>
      <c r="BG114" s="915">
        <f t="shared" si="208"/>
        <v>0</v>
      </c>
      <c r="BH114" s="915">
        <f t="shared" si="209"/>
        <v>0</v>
      </c>
      <c r="BI114" s="915">
        <f t="shared" si="210"/>
        <v>0</v>
      </c>
      <c r="BJ114" s="915">
        <f t="shared" si="151"/>
        <v>0</v>
      </c>
      <c r="BK114" s="915">
        <f t="shared" si="152"/>
        <v>0</v>
      </c>
      <c r="BL114" s="915">
        <f t="shared" si="153"/>
        <v>0</v>
      </c>
      <c r="BM114" s="915">
        <f t="shared" si="154"/>
        <v>0</v>
      </c>
      <c r="BN114" s="915">
        <f t="shared" si="155"/>
        <v>0</v>
      </c>
      <c r="BO114" s="915">
        <f t="shared" si="156"/>
        <v>0</v>
      </c>
      <c r="BP114" s="915">
        <f t="shared" si="157"/>
        <v>0</v>
      </c>
      <c r="BQ114" s="915">
        <f t="shared" si="158"/>
        <v>0</v>
      </c>
      <c r="BR114" s="915">
        <f t="shared" si="159"/>
        <v>0</v>
      </c>
      <c r="BS114" s="915">
        <f t="shared" si="160"/>
        <v>0</v>
      </c>
      <c r="BT114" s="915">
        <f t="shared" si="262"/>
        <v>0</v>
      </c>
      <c r="BU114" s="915">
        <f t="shared" si="262"/>
        <v>0</v>
      </c>
      <c r="BV114" s="915">
        <f t="shared" si="263"/>
        <v>0</v>
      </c>
      <c r="BW114" s="915">
        <f t="shared" si="264"/>
        <v>0</v>
      </c>
      <c r="BX114" s="915">
        <f t="shared" si="265"/>
        <v>0</v>
      </c>
      <c r="BY114" s="915">
        <f t="shared" si="266"/>
        <v>0</v>
      </c>
      <c r="BZ114" s="915">
        <f t="shared" si="267"/>
        <v>0</v>
      </c>
      <c r="CA114" s="915">
        <f t="shared" si="268"/>
        <v>0</v>
      </c>
      <c r="CB114" s="915">
        <f t="shared" si="269"/>
        <v>0</v>
      </c>
      <c r="CC114" s="915">
        <f t="shared" si="270"/>
        <v>0</v>
      </c>
      <c r="CD114" s="915">
        <f t="shared" si="161"/>
        <v>0</v>
      </c>
      <c r="CE114" s="915">
        <f t="shared" si="162"/>
        <v>0</v>
      </c>
      <c r="CF114" s="915">
        <f t="shared" si="163"/>
        <v>0</v>
      </c>
      <c r="CG114" s="915">
        <f t="shared" si="164"/>
        <v>0</v>
      </c>
      <c r="CH114" s="915">
        <f t="shared" si="165"/>
        <v>0</v>
      </c>
      <c r="CI114" s="915">
        <f t="shared" si="166"/>
        <v>0</v>
      </c>
      <c r="CJ114" s="915">
        <f t="shared" si="167"/>
        <v>0</v>
      </c>
      <c r="CK114" s="915">
        <f t="shared" si="168"/>
        <v>0</v>
      </c>
      <c r="CL114" s="915">
        <f t="shared" si="169"/>
        <v>0</v>
      </c>
      <c r="CM114" s="915">
        <f t="shared" si="170"/>
        <v>0</v>
      </c>
      <c r="CN114" s="915">
        <f t="shared" si="220"/>
        <v>0</v>
      </c>
      <c r="CO114" s="915">
        <f t="shared" si="221"/>
        <v>0</v>
      </c>
      <c r="CP114" s="915">
        <f t="shared" si="222"/>
        <v>0</v>
      </c>
      <c r="CQ114" s="915">
        <f t="shared" si="223"/>
        <v>0</v>
      </c>
      <c r="CR114" s="915">
        <f t="shared" si="224"/>
        <v>0</v>
      </c>
      <c r="CS114" s="915">
        <f t="shared" si="225"/>
        <v>0</v>
      </c>
      <c r="CT114" s="915">
        <f t="shared" si="226"/>
        <v>0</v>
      </c>
      <c r="CU114" s="915">
        <f t="shared" si="227"/>
        <v>0</v>
      </c>
      <c r="CV114" s="915">
        <f t="shared" si="228"/>
        <v>0</v>
      </c>
      <c r="CW114" s="915">
        <f t="shared" si="229"/>
        <v>0</v>
      </c>
      <c r="CX114" s="915">
        <f t="shared" si="171"/>
        <v>0</v>
      </c>
      <c r="CY114" s="915">
        <f t="shared" si="172"/>
        <v>0</v>
      </c>
      <c r="CZ114" s="915">
        <f t="shared" si="173"/>
        <v>0</v>
      </c>
      <c r="DA114" s="915">
        <f t="shared" si="174"/>
        <v>0</v>
      </c>
      <c r="DB114" s="915">
        <f t="shared" si="175"/>
        <v>0</v>
      </c>
      <c r="DC114" s="915">
        <f t="shared" si="176"/>
        <v>0</v>
      </c>
      <c r="DD114" s="915">
        <f t="shared" si="177"/>
        <v>0</v>
      </c>
      <c r="DE114" s="915">
        <f t="shared" si="178"/>
        <v>0</v>
      </c>
      <c r="DF114" s="915">
        <f t="shared" si="179"/>
        <v>0</v>
      </c>
      <c r="DG114" s="915">
        <f t="shared" si="180"/>
        <v>0</v>
      </c>
      <c r="DH114" s="915">
        <f t="shared" si="272"/>
        <v>0</v>
      </c>
      <c r="DI114" s="915">
        <f t="shared" si="273"/>
        <v>0</v>
      </c>
      <c r="DJ114" s="915">
        <f t="shared" si="274"/>
        <v>0</v>
      </c>
      <c r="DK114" s="915">
        <f t="shared" si="275"/>
        <v>0</v>
      </c>
      <c r="DL114" s="915">
        <f t="shared" si="276"/>
        <v>0</v>
      </c>
      <c r="DM114" s="915">
        <f t="shared" si="277"/>
        <v>0</v>
      </c>
      <c r="DN114" s="915">
        <f t="shared" si="278"/>
        <v>0</v>
      </c>
      <c r="DO114" s="915">
        <f t="shared" si="279"/>
        <v>0</v>
      </c>
      <c r="DP114" s="915">
        <f t="shared" si="280"/>
        <v>0</v>
      </c>
      <c r="DQ114" s="915">
        <f t="shared" si="281"/>
        <v>0</v>
      </c>
      <c r="DR114" s="915">
        <f t="shared" si="181"/>
        <v>0</v>
      </c>
      <c r="DS114" s="915">
        <f t="shared" si="182"/>
        <v>0</v>
      </c>
      <c r="DT114" s="915">
        <f t="shared" si="183"/>
        <v>0</v>
      </c>
      <c r="DU114" s="915">
        <f t="shared" si="184"/>
        <v>0</v>
      </c>
      <c r="DV114" s="915">
        <f t="shared" si="185"/>
        <v>0</v>
      </c>
      <c r="DW114" s="915">
        <f t="shared" si="186"/>
        <v>0</v>
      </c>
      <c r="DX114" s="915">
        <f t="shared" si="187"/>
        <v>10</v>
      </c>
      <c r="DY114" s="915">
        <f t="shared" si="188"/>
        <v>0</v>
      </c>
      <c r="DZ114" s="915">
        <f t="shared" si="189"/>
        <v>0</v>
      </c>
      <c r="EA114" s="915">
        <f t="shared" si="131"/>
        <v>0</v>
      </c>
      <c r="EB114" s="915">
        <f t="shared" si="282"/>
        <v>0</v>
      </c>
      <c r="EC114" s="915">
        <f t="shared" si="283"/>
        <v>0</v>
      </c>
      <c r="ED114" s="915">
        <f t="shared" si="284"/>
        <v>0</v>
      </c>
      <c r="EE114" s="915">
        <f t="shared" si="285"/>
        <v>0</v>
      </c>
      <c r="EF114" s="915">
        <f t="shared" si="286"/>
        <v>0</v>
      </c>
      <c r="EG114" s="915">
        <f t="shared" si="287"/>
        <v>0</v>
      </c>
      <c r="EH114" s="915">
        <f t="shared" si="288"/>
        <v>0</v>
      </c>
      <c r="EI114" s="915">
        <f t="shared" si="289"/>
        <v>0</v>
      </c>
      <c r="EJ114" s="915">
        <f t="shared" si="290"/>
        <v>0</v>
      </c>
      <c r="EK114" s="915">
        <f t="shared" si="291"/>
        <v>0</v>
      </c>
      <c r="EN114" s="533"/>
      <c r="EQ114" s="534"/>
    </row>
    <row r="115" spans="1:147" ht="14.1" customHeight="1" x14ac:dyDescent="0.2">
      <c r="A115" s="1026">
        <v>108</v>
      </c>
      <c r="B115" s="1023"/>
      <c r="C115" s="1028"/>
      <c r="D115" s="1020">
        <v>8</v>
      </c>
      <c r="E115" s="1020" t="s">
        <v>1247</v>
      </c>
      <c r="F115" s="1024" t="s">
        <v>2544</v>
      </c>
      <c r="G115" s="1025">
        <v>1</v>
      </c>
      <c r="H115" s="1022">
        <v>10</v>
      </c>
      <c r="I115" s="801">
        <f t="shared" si="250"/>
        <v>0</v>
      </c>
      <c r="J115" s="1021">
        <f t="shared" si="271"/>
        <v>10</v>
      </c>
      <c r="K115" s="225"/>
      <c r="L115" s="941" t="str">
        <f>TabName8 &amp; " - IChem"</f>
        <v>Phase 8 - IChem</v>
      </c>
      <c r="M115" s="942">
        <f>DY6</f>
        <v>10</v>
      </c>
      <c r="V115" s="915">
        <f t="shared" si="132"/>
        <v>0</v>
      </c>
      <c r="W115" s="915">
        <f t="shared" si="133"/>
        <v>0</v>
      </c>
      <c r="X115" s="915">
        <f t="shared" si="134"/>
        <v>0</v>
      </c>
      <c r="Y115" s="915">
        <f t="shared" si="135"/>
        <v>0</v>
      </c>
      <c r="Z115" s="915">
        <f t="shared" si="136"/>
        <v>0</v>
      </c>
      <c r="AA115" s="915">
        <f t="shared" si="137"/>
        <v>0</v>
      </c>
      <c r="AB115" s="915">
        <f t="shared" si="138"/>
        <v>0</v>
      </c>
      <c r="AC115" s="915">
        <f t="shared" si="139"/>
        <v>0</v>
      </c>
      <c r="AD115" s="915">
        <f t="shared" si="140"/>
        <v>0</v>
      </c>
      <c r="AE115" s="915">
        <f t="shared" si="141"/>
        <v>0</v>
      </c>
      <c r="AF115" s="915">
        <f t="shared" si="190"/>
        <v>0</v>
      </c>
      <c r="AG115" s="915">
        <f t="shared" si="191"/>
        <v>0</v>
      </c>
      <c r="AH115" s="915">
        <f t="shared" si="192"/>
        <v>0</v>
      </c>
      <c r="AI115" s="915">
        <f t="shared" si="193"/>
        <v>0</v>
      </c>
      <c r="AJ115" s="915">
        <f t="shared" si="194"/>
        <v>0</v>
      </c>
      <c r="AK115" s="915">
        <f t="shared" si="195"/>
        <v>0</v>
      </c>
      <c r="AL115" s="915">
        <f t="shared" si="196"/>
        <v>0</v>
      </c>
      <c r="AM115" s="915">
        <f t="shared" si="197"/>
        <v>0</v>
      </c>
      <c r="AN115" s="915">
        <f t="shared" si="198"/>
        <v>0</v>
      </c>
      <c r="AO115" s="915">
        <f t="shared" si="199"/>
        <v>0</v>
      </c>
      <c r="AP115" s="915">
        <f t="shared" si="142"/>
        <v>0</v>
      </c>
      <c r="AQ115" s="915">
        <f t="shared" si="143"/>
        <v>0</v>
      </c>
      <c r="AR115" s="915">
        <f t="shared" si="144"/>
        <v>0</v>
      </c>
      <c r="AS115" s="915">
        <f t="shared" si="145"/>
        <v>0</v>
      </c>
      <c r="AT115" s="915">
        <f t="shared" si="146"/>
        <v>0</v>
      </c>
      <c r="AU115" s="915">
        <f t="shared" si="147"/>
        <v>0</v>
      </c>
      <c r="AV115" s="915">
        <f t="shared" si="148"/>
        <v>0</v>
      </c>
      <c r="AW115" s="915">
        <f t="shared" si="149"/>
        <v>0</v>
      </c>
      <c r="AX115" s="915">
        <f t="shared" si="150"/>
        <v>0</v>
      </c>
      <c r="AY115" s="915">
        <f t="shared" si="200"/>
        <v>0</v>
      </c>
      <c r="AZ115" s="915">
        <f t="shared" si="201"/>
        <v>0</v>
      </c>
      <c r="BA115" s="915">
        <f t="shared" si="202"/>
        <v>0</v>
      </c>
      <c r="BB115" s="915">
        <f t="shared" si="203"/>
        <v>0</v>
      </c>
      <c r="BC115" s="915">
        <f t="shared" si="204"/>
        <v>0</v>
      </c>
      <c r="BD115" s="915">
        <f t="shared" si="205"/>
        <v>0</v>
      </c>
      <c r="BE115" s="915">
        <f t="shared" si="206"/>
        <v>0</v>
      </c>
      <c r="BF115" s="915">
        <f t="shared" si="207"/>
        <v>0</v>
      </c>
      <c r="BG115" s="915">
        <f t="shared" si="208"/>
        <v>0</v>
      </c>
      <c r="BH115" s="915">
        <f t="shared" si="209"/>
        <v>0</v>
      </c>
      <c r="BI115" s="915">
        <f t="shared" si="210"/>
        <v>0</v>
      </c>
      <c r="BJ115" s="915">
        <f t="shared" si="151"/>
        <v>0</v>
      </c>
      <c r="BK115" s="915">
        <f t="shared" si="152"/>
        <v>0</v>
      </c>
      <c r="BL115" s="915">
        <f t="shared" si="153"/>
        <v>0</v>
      </c>
      <c r="BM115" s="915">
        <f t="shared" si="154"/>
        <v>0</v>
      </c>
      <c r="BN115" s="915">
        <f t="shared" si="155"/>
        <v>0</v>
      </c>
      <c r="BO115" s="915">
        <f t="shared" si="156"/>
        <v>0</v>
      </c>
      <c r="BP115" s="915">
        <f t="shared" si="157"/>
        <v>0</v>
      </c>
      <c r="BQ115" s="915">
        <f t="shared" si="158"/>
        <v>0</v>
      </c>
      <c r="BR115" s="915">
        <f t="shared" si="159"/>
        <v>0</v>
      </c>
      <c r="BS115" s="915">
        <f t="shared" si="160"/>
        <v>0</v>
      </c>
      <c r="BT115" s="915">
        <f t="shared" si="262"/>
        <v>0</v>
      </c>
      <c r="BU115" s="915">
        <f t="shared" si="262"/>
        <v>0</v>
      </c>
      <c r="BV115" s="915">
        <f t="shared" si="263"/>
        <v>0</v>
      </c>
      <c r="BW115" s="915">
        <f t="shared" si="264"/>
        <v>0</v>
      </c>
      <c r="BX115" s="915">
        <f t="shared" si="265"/>
        <v>0</v>
      </c>
      <c r="BY115" s="915">
        <f t="shared" si="266"/>
        <v>0</v>
      </c>
      <c r="BZ115" s="915">
        <f t="shared" si="267"/>
        <v>0</v>
      </c>
      <c r="CA115" s="915">
        <f t="shared" si="268"/>
        <v>0</v>
      </c>
      <c r="CB115" s="915">
        <f t="shared" si="269"/>
        <v>0</v>
      </c>
      <c r="CC115" s="915">
        <f t="shared" si="270"/>
        <v>0</v>
      </c>
      <c r="CD115" s="915">
        <f t="shared" si="161"/>
        <v>0</v>
      </c>
      <c r="CE115" s="915">
        <f t="shared" si="162"/>
        <v>0</v>
      </c>
      <c r="CF115" s="915">
        <f t="shared" si="163"/>
        <v>0</v>
      </c>
      <c r="CG115" s="915">
        <f t="shared" si="164"/>
        <v>0</v>
      </c>
      <c r="CH115" s="915">
        <f t="shared" si="165"/>
        <v>0</v>
      </c>
      <c r="CI115" s="915">
        <f t="shared" si="166"/>
        <v>0</v>
      </c>
      <c r="CJ115" s="915">
        <f t="shared" si="167"/>
        <v>0</v>
      </c>
      <c r="CK115" s="915">
        <f t="shared" si="168"/>
        <v>0</v>
      </c>
      <c r="CL115" s="915">
        <f t="shared" si="169"/>
        <v>0</v>
      </c>
      <c r="CM115" s="915">
        <f t="shared" si="170"/>
        <v>0</v>
      </c>
      <c r="CN115" s="915">
        <f t="shared" si="220"/>
        <v>0</v>
      </c>
      <c r="CO115" s="915">
        <f t="shared" si="221"/>
        <v>0</v>
      </c>
      <c r="CP115" s="915">
        <f t="shared" si="222"/>
        <v>0</v>
      </c>
      <c r="CQ115" s="915">
        <f t="shared" si="223"/>
        <v>0</v>
      </c>
      <c r="CR115" s="915">
        <f t="shared" si="224"/>
        <v>0</v>
      </c>
      <c r="CS115" s="915">
        <f t="shared" si="225"/>
        <v>0</v>
      </c>
      <c r="CT115" s="915">
        <f t="shared" si="226"/>
        <v>0</v>
      </c>
      <c r="CU115" s="915">
        <f t="shared" si="227"/>
        <v>0</v>
      </c>
      <c r="CV115" s="915">
        <f t="shared" si="228"/>
        <v>0</v>
      </c>
      <c r="CW115" s="915">
        <f t="shared" si="229"/>
        <v>0</v>
      </c>
      <c r="CX115" s="915">
        <f t="shared" si="171"/>
        <v>0</v>
      </c>
      <c r="CY115" s="915">
        <f t="shared" si="172"/>
        <v>0</v>
      </c>
      <c r="CZ115" s="915">
        <f t="shared" si="173"/>
        <v>0</v>
      </c>
      <c r="DA115" s="915">
        <f t="shared" si="174"/>
        <v>0</v>
      </c>
      <c r="DB115" s="915">
        <f t="shared" si="175"/>
        <v>0</v>
      </c>
      <c r="DC115" s="915">
        <f t="shared" si="176"/>
        <v>0</v>
      </c>
      <c r="DD115" s="915">
        <f t="shared" si="177"/>
        <v>0</v>
      </c>
      <c r="DE115" s="915">
        <f t="shared" si="178"/>
        <v>0</v>
      </c>
      <c r="DF115" s="915">
        <f t="shared" si="179"/>
        <v>0</v>
      </c>
      <c r="DG115" s="915">
        <f t="shared" si="180"/>
        <v>0</v>
      </c>
      <c r="DH115" s="915">
        <f t="shared" si="272"/>
        <v>0</v>
      </c>
      <c r="DI115" s="915">
        <f t="shared" si="273"/>
        <v>0</v>
      </c>
      <c r="DJ115" s="915">
        <f t="shared" si="274"/>
        <v>0</v>
      </c>
      <c r="DK115" s="915">
        <f t="shared" si="275"/>
        <v>0</v>
      </c>
      <c r="DL115" s="915">
        <f t="shared" si="276"/>
        <v>0</v>
      </c>
      <c r="DM115" s="915">
        <f t="shared" si="277"/>
        <v>0</v>
      </c>
      <c r="DN115" s="915">
        <f t="shared" si="278"/>
        <v>0</v>
      </c>
      <c r="DO115" s="915">
        <f t="shared" si="279"/>
        <v>0</v>
      </c>
      <c r="DP115" s="915">
        <f t="shared" si="280"/>
        <v>0</v>
      </c>
      <c r="DQ115" s="915">
        <f t="shared" si="281"/>
        <v>0</v>
      </c>
      <c r="DR115" s="915">
        <f t="shared" si="181"/>
        <v>0</v>
      </c>
      <c r="DS115" s="915">
        <f t="shared" si="182"/>
        <v>0</v>
      </c>
      <c r="DT115" s="915">
        <f t="shared" si="183"/>
        <v>0</v>
      </c>
      <c r="DU115" s="915">
        <f t="shared" si="184"/>
        <v>0</v>
      </c>
      <c r="DV115" s="915">
        <f t="shared" si="185"/>
        <v>0</v>
      </c>
      <c r="DW115" s="915">
        <f t="shared" si="186"/>
        <v>0</v>
      </c>
      <c r="DX115" s="915">
        <f t="shared" si="187"/>
        <v>0</v>
      </c>
      <c r="DY115" s="915">
        <f t="shared" si="188"/>
        <v>10</v>
      </c>
      <c r="DZ115" s="915">
        <f t="shared" si="189"/>
        <v>0</v>
      </c>
      <c r="EA115" s="915">
        <f t="shared" si="131"/>
        <v>0</v>
      </c>
      <c r="EB115" s="915">
        <f t="shared" si="282"/>
        <v>0</v>
      </c>
      <c r="EC115" s="915">
        <f t="shared" si="283"/>
        <v>0</v>
      </c>
      <c r="ED115" s="915">
        <f t="shared" si="284"/>
        <v>0</v>
      </c>
      <c r="EE115" s="915">
        <f t="shared" si="285"/>
        <v>0</v>
      </c>
      <c r="EF115" s="915">
        <f t="shared" si="286"/>
        <v>0</v>
      </c>
      <c r="EG115" s="915">
        <f t="shared" si="287"/>
        <v>0</v>
      </c>
      <c r="EH115" s="915">
        <f t="shared" si="288"/>
        <v>0</v>
      </c>
      <c r="EI115" s="915">
        <f t="shared" si="289"/>
        <v>0</v>
      </c>
      <c r="EJ115" s="915">
        <f t="shared" si="290"/>
        <v>0</v>
      </c>
      <c r="EK115" s="915">
        <f t="shared" si="291"/>
        <v>0</v>
      </c>
      <c r="EN115" s="533"/>
      <c r="EQ115" s="534"/>
    </row>
    <row r="116" spans="1:147" ht="14.1" customHeight="1" x14ac:dyDescent="0.2">
      <c r="A116" s="496">
        <v>109</v>
      </c>
      <c r="B116" s="1006"/>
      <c r="C116" s="1007"/>
      <c r="D116" s="264">
        <v>9</v>
      </c>
      <c r="E116" s="264" t="s">
        <v>1247</v>
      </c>
      <c r="F116" s="270" t="s">
        <v>2544</v>
      </c>
      <c r="G116" s="271">
        <v>1</v>
      </c>
      <c r="H116" s="803">
        <v>10</v>
      </c>
      <c r="I116" s="800">
        <f t="shared" si="250"/>
        <v>0</v>
      </c>
      <c r="J116" s="269">
        <f t="shared" si="271"/>
        <v>10</v>
      </c>
      <c r="K116" s="225"/>
      <c r="L116" s="941" t="str">
        <f>TabName9 &amp; " - IChem"</f>
        <v>Phase 9 - IChem</v>
      </c>
      <c r="M116" s="942">
        <f>DZ6</f>
        <v>10</v>
      </c>
      <c r="V116" s="915">
        <f t="shared" si="132"/>
        <v>0</v>
      </c>
      <c r="W116" s="915">
        <f t="shared" si="133"/>
        <v>0</v>
      </c>
      <c r="X116" s="915">
        <f t="shared" si="134"/>
        <v>0</v>
      </c>
      <c r="Y116" s="915">
        <f t="shared" si="135"/>
        <v>0</v>
      </c>
      <c r="Z116" s="915">
        <f t="shared" si="136"/>
        <v>0</v>
      </c>
      <c r="AA116" s="915">
        <f t="shared" si="137"/>
        <v>0</v>
      </c>
      <c r="AB116" s="915">
        <f t="shared" si="138"/>
        <v>0</v>
      </c>
      <c r="AC116" s="915">
        <f t="shared" si="139"/>
        <v>0</v>
      </c>
      <c r="AD116" s="915">
        <f t="shared" si="140"/>
        <v>0</v>
      </c>
      <c r="AE116" s="915">
        <f t="shared" si="141"/>
        <v>0</v>
      </c>
      <c r="AF116" s="915">
        <f t="shared" si="190"/>
        <v>0</v>
      </c>
      <c r="AG116" s="915">
        <f t="shared" si="191"/>
        <v>0</v>
      </c>
      <c r="AH116" s="915">
        <f t="shared" si="192"/>
        <v>0</v>
      </c>
      <c r="AI116" s="915">
        <f t="shared" si="193"/>
        <v>0</v>
      </c>
      <c r="AJ116" s="915">
        <f t="shared" si="194"/>
        <v>0</v>
      </c>
      <c r="AK116" s="915">
        <f t="shared" si="195"/>
        <v>0</v>
      </c>
      <c r="AL116" s="915">
        <f t="shared" si="196"/>
        <v>0</v>
      </c>
      <c r="AM116" s="915">
        <f t="shared" si="197"/>
        <v>0</v>
      </c>
      <c r="AN116" s="915">
        <f t="shared" si="198"/>
        <v>0</v>
      </c>
      <c r="AO116" s="915">
        <f t="shared" si="199"/>
        <v>0</v>
      </c>
      <c r="AP116" s="915">
        <f t="shared" si="142"/>
        <v>0</v>
      </c>
      <c r="AQ116" s="915">
        <f t="shared" si="143"/>
        <v>0</v>
      </c>
      <c r="AR116" s="915">
        <f t="shared" si="144"/>
        <v>0</v>
      </c>
      <c r="AS116" s="915">
        <f t="shared" si="145"/>
        <v>0</v>
      </c>
      <c r="AT116" s="915">
        <f t="shared" si="146"/>
        <v>0</v>
      </c>
      <c r="AU116" s="915">
        <f t="shared" si="147"/>
        <v>0</v>
      </c>
      <c r="AV116" s="915">
        <f t="shared" si="148"/>
        <v>0</v>
      </c>
      <c r="AW116" s="915">
        <f t="shared" si="149"/>
        <v>0</v>
      </c>
      <c r="AX116" s="915">
        <f t="shared" si="150"/>
        <v>0</v>
      </c>
      <c r="AY116" s="915">
        <f t="shared" si="200"/>
        <v>0</v>
      </c>
      <c r="AZ116" s="915">
        <f t="shared" si="201"/>
        <v>0</v>
      </c>
      <c r="BA116" s="915">
        <f t="shared" si="202"/>
        <v>0</v>
      </c>
      <c r="BB116" s="915">
        <f t="shared" si="203"/>
        <v>0</v>
      </c>
      <c r="BC116" s="915">
        <f t="shared" si="204"/>
        <v>0</v>
      </c>
      <c r="BD116" s="915">
        <f t="shared" si="205"/>
        <v>0</v>
      </c>
      <c r="BE116" s="915">
        <f t="shared" si="206"/>
        <v>0</v>
      </c>
      <c r="BF116" s="915">
        <f t="shared" si="207"/>
        <v>0</v>
      </c>
      <c r="BG116" s="915">
        <f t="shared" si="208"/>
        <v>0</v>
      </c>
      <c r="BH116" s="915">
        <f t="shared" si="209"/>
        <v>0</v>
      </c>
      <c r="BI116" s="915">
        <f t="shared" si="210"/>
        <v>0</v>
      </c>
      <c r="BJ116" s="915">
        <f t="shared" si="151"/>
        <v>0</v>
      </c>
      <c r="BK116" s="915">
        <f t="shared" si="152"/>
        <v>0</v>
      </c>
      <c r="BL116" s="915">
        <f t="shared" si="153"/>
        <v>0</v>
      </c>
      <c r="BM116" s="915">
        <f t="shared" si="154"/>
        <v>0</v>
      </c>
      <c r="BN116" s="915">
        <f t="shared" si="155"/>
        <v>0</v>
      </c>
      <c r="BO116" s="915">
        <f t="shared" si="156"/>
        <v>0</v>
      </c>
      <c r="BP116" s="915">
        <f t="shared" si="157"/>
        <v>0</v>
      </c>
      <c r="BQ116" s="915">
        <f t="shared" si="158"/>
        <v>0</v>
      </c>
      <c r="BR116" s="915">
        <f t="shared" si="159"/>
        <v>0</v>
      </c>
      <c r="BS116" s="915">
        <f t="shared" si="160"/>
        <v>0</v>
      </c>
      <c r="BT116" s="915">
        <f t="shared" si="262"/>
        <v>0</v>
      </c>
      <c r="BU116" s="915">
        <f t="shared" si="262"/>
        <v>0</v>
      </c>
      <c r="BV116" s="915">
        <f t="shared" si="263"/>
        <v>0</v>
      </c>
      <c r="BW116" s="915">
        <f t="shared" si="264"/>
        <v>0</v>
      </c>
      <c r="BX116" s="915">
        <f t="shared" si="265"/>
        <v>0</v>
      </c>
      <c r="BY116" s="915">
        <f t="shared" si="266"/>
        <v>0</v>
      </c>
      <c r="BZ116" s="915">
        <f t="shared" si="267"/>
        <v>0</v>
      </c>
      <c r="CA116" s="915">
        <f t="shared" si="268"/>
        <v>0</v>
      </c>
      <c r="CB116" s="915">
        <f t="shared" si="269"/>
        <v>0</v>
      </c>
      <c r="CC116" s="915">
        <f t="shared" si="270"/>
        <v>0</v>
      </c>
      <c r="CD116" s="915">
        <f t="shared" si="161"/>
        <v>0</v>
      </c>
      <c r="CE116" s="915">
        <f t="shared" si="162"/>
        <v>0</v>
      </c>
      <c r="CF116" s="915">
        <f t="shared" si="163"/>
        <v>0</v>
      </c>
      <c r="CG116" s="915">
        <f t="shared" si="164"/>
        <v>0</v>
      </c>
      <c r="CH116" s="915">
        <f t="shared" si="165"/>
        <v>0</v>
      </c>
      <c r="CI116" s="915">
        <f t="shared" si="166"/>
        <v>0</v>
      </c>
      <c r="CJ116" s="915">
        <f t="shared" si="167"/>
        <v>0</v>
      </c>
      <c r="CK116" s="915">
        <f t="shared" si="168"/>
        <v>0</v>
      </c>
      <c r="CL116" s="915">
        <f t="shared" si="169"/>
        <v>0</v>
      </c>
      <c r="CM116" s="915">
        <f t="shared" si="170"/>
        <v>0</v>
      </c>
      <c r="CN116" s="915">
        <f t="shared" si="220"/>
        <v>0</v>
      </c>
      <c r="CO116" s="915">
        <f t="shared" si="221"/>
        <v>0</v>
      </c>
      <c r="CP116" s="915">
        <f t="shared" si="222"/>
        <v>0</v>
      </c>
      <c r="CQ116" s="915">
        <f t="shared" si="223"/>
        <v>0</v>
      </c>
      <c r="CR116" s="915">
        <f t="shared" si="224"/>
        <v>0</v>
      </c>
      <c r="CS116" s="915">
        <f t="shared" si="225"/>
        <v>0</v>
      </c>
      <c r="CT116" s="915">
        <f t="shared" si="226"/>
        <v>0</v>
      </c>
      <c r="CU116" s="915">
        <f t="shared" si="227"/>
        <v>0</v>
      </c>
      <c r="CV116" s="915">
        <f t="shared" si="228"/>
        <v>0</v>
      </c>
      <c r="CW116" s="915">
        <f t="shared" si="229"/>
        <v>0</v>
      </c>
      <c r="CX116" s="915">
        <f t="shared" si="171"/>
        <v>0</v>
      </c>
      <c r="CY116" s="915">
        <f t="shared" si="172"/>
        <v>0</v>
      </c>
      <c r="CZ116" s="915">
        <f t="shared" si="173"/>
        <v>0</v>
      </c>
      <c r="DA116" s="915">
        <f t="shared" si="174"/>
        <v>0</v>
      </c>
      <c r="DB116" s="915">
        <f t="shared" si="175"/>
        <v>0</v>
      </c>
      <c r="DC116" s="915">
        <f t="shared" si="176"/>
        <v>0</v>
      </c>
      <c r="DD116" s="915">
        <f t="shared" si="177"/>
        <v>0</v>
      </c>
      <c r="DE116" s="915">
        <f t="shared" si="178"/>
        <v>0</v>
      </c>
      <c r="DF116" s="915">
        <f t="shared" si="179"/>
        <v>0</v>
      </c>
      <c r="DG116" s="915">
        <f t="shared" si="180"/>
        <v>0</v>
      </c>
      <c r="DH116" s="915">
        <f t="shared" si="272"/>
        <v>0</v>
      </c>
      <c r="DI116" s="915">
        <f t="shared" si="273"/>
        <v>0</v>
      </c>
      <c r="DJ116" s="915">
        <f t="shared" si="274"/>
        <v>0</v>
      </c>
      <c r="DK116" s="915">
        <f t="shared" si="275"/>
        <v>0</v>
      </c>
      <c r="DL116" s="915">
        <f t="shared" si="276"/>
        <v>0</v>
      </c>
      <c r="DM116" s="915">
        <f t="shared" si="277"/>
        <v>0</v>
      </c>
      <c r="DN116" s="915">
        <f t="shared" si="278"/>
        <v>0</v>
      </c>
      <c r="DO116" s="915">
        <f t="shared" si="279"/>
        <v>0</v>
      </c>
      <c r="DP116" s="915">
        <f t="shared" si="280"/>
        <v>0</v>
      </c>
      <c r="DQ116" s="915">
        <f t="shared" si="281"/>
        <v>0</v>
      </c>
      <c r="DR116" s="915">
        <f t="shared" si="181"/>
        <v>0</v>
      </c>
      <c r="DS116" s="915">
        <f t="shared" si="182"/>
        <v>0</v>
      </c>
      <c r="DT116" s="915">
        <f t="shared" si="183"/>
        <v>0</v>
      </c>
      <c r="DU116" s="915">
        <f t="shared" si="184"/>
        <v>0</v>
      </c>
      <c r="DV116" s="915">
        <f t="shared" si="185"/>
        <v>0</v>
      </c>
      <c r="DW116" s="915">
        <f t="shared" si="186"/>
        <v>0</v>
      </c>
      <c r="DX116" s="915">
        <f t="shared" si="187"/>
        <v>0</v>
      </c>
      <c r="DY116" s="915">
        <f t="shared" si="188"/>
        <v>0</v>
      </c>
      <c r="DZ116" s="915">
        <f t="shared" si="189"/>
        <v>10</v>
      </c>
      <c r="EA116" s="915">
        <f t="shared" si="131"/>
        <v>0</v>
      </c>
      <c r="EB116" s="915">
        <f t="shared" si="282"/>
        <v>0</v>
      </c>
      <c r="EC116" s="915">
        <f t="shared" si="283"/>
        <v>0</v>
      </c>
      <c r="ED116" s="915">
        <f t="shared" si="284"/>
        <v>0</v>
      </c>
      <c r="EE116" s="915">
        <f t="shared" si="285"/>
        <v>0</v>
      </c>
      <c r="EF116" s="915">
        <f t="shared" si="286"/>
        <v>0</v>
      </c>
      <c r="EG116" s="915">
        <f t="shared" si="287"/>
        <v>0</v>
      </c>
      <c r="EH116" s="915">
        <f t="shared" si="288"/>
        <v>0</v>
      </c>
      <c r="EI116" s="915">
        <f t="shared" si="289"/>
        <v>0</v>
      </c>
      <c r="EJ116" s="915">
        <f t="shared" si="290"/>
        <v>0</v>
      </c>
      <c r="EK116" s="915">
        <f t="shared" si="291"/>
        <v>0</v>
      </c>
      <c r="EN116" s="533"/>
      <c r="EQ116" s="534"/>
    </row>
    <row r="117" spans="1:147" ht="14.1" customHeight="1" x14ac:dyDescent="0.2">
      <c r="A117" s="1026">
        <v>110</v>
      </c>
      <c r="B117" s="1023"/>
      <c r="C117" s="1028"/>
      <c r="D117" s="1020">
        <v>10</v>
      </c>
      <c r="E117" s="1020" t="s">
        <v>1247</v>
      </c>
      <c r="F117" s="1024" t="s">
        <v>2544</v>
      </c>
      <c r="G117" s="1025">
        <v>1</v>
      </c>
      <c r="H117" s="1022">
        <v>10</v>
      </c>
      <c r="I117" s="801">
        <f t="shared" si="250"/>
        <v>0</v>
      </c>
      <c r="J117" s="1021">
        <f t="shared" si="271"/>
        <v>10</v>
      </c>
      <c r="K117" s="225"/>
      <c r="L117" s="941" t="str">
        <f>tabname10 &amp; " - IChem"</f>
        <v>Phase 10 - IChem</v>
      </c>
      <c r="M117" s="942">
        <f>EA6</f>
        <v>10</v>
      </c>
      <c r="V117" s="915">
        <f t="shared" si="132"/>
        <v>0</v>
      </c>
      <c r="W117" s="915">
        <f t="shared" si="133"/>
        <v>0</v>
      </c>
      <c r="X117" s="915">
        <f t="shared" si="134"/>
        <v>0</v>
      </c>
      <c r="Y117" s="915">
        <f t="shared" si="135"/>
        <v>0</v>
      </c>
      <c r="Z117" s="915">
        <f t="shared" si="136"/>
        <v>0</v>
      </c>
      <c r="AA117" s="915">
        <f t="shared" si="137"/>
        <v>0</v>
      </c>
      <c r="AB117" s="915">
        <f t="shared" si="138"/>
        <v>0</v>
      </c>
      <c r="AC117" s="915">
        <f t="shared" si="139"/>
        <v>0</v>
      </c>
      <c r="AD117" s="915">
        <f t="shared" si="140"/>
        <v>0</v>
      </c>
      <c r="AE117" s="915">
        <f t="shared" si="141"/>
        <v>0</v>
      </c>
      <c r="AF117" s="915">
        <f t="shared" si="190"/>
        <v>0</v>
      </c>
      <c r="AG117" s="915">
        <f t="shared" si="191"/>
        <v>0</v>
      </c>
      <c r="AH117" s="915">
        <f t="shared" si="192"/>
        <v>0</v>
      </c>
      <c r="AI117" s="915">
        <f t="shared" si="193"/>
        <v>0</v>
      </c>
      <c r="AJ117" s="915">
        <f t="shared" si="194"/>
        <v>0</v>
      </c>
      <c r="AK117" s="915">
        <f t="shared" si="195"/>
        <v>0</v>
      </c>
      <c r="AL117" s="915">
        <f t="shared" si="196"/>
        <v>0</v>
      </c>
      <c r="AM117" s="915">
        <f t="shared" si="197"/>
        <v>0</v>
      </c>
      <c r="AN117" s="915">
        <f t="shared" si="198"/>
        <v>0</v>
      </c>
      <c r="AO117" s="915">
        <f t="shared" si="199"/>
        <v>0</v>
      </c>
      <c r="AP117" s="915">
        <f t="shared" si="142"/>
        <v>0</v>
      </c>
      <c r="AQ117" s="915">
        <f t="shared" si="143"/>
        <v>0</v>
      </c>
      <c r="AR117" s="915">
        <f t="shared" si="144"/>
        <v>0</v>
      </c>
      <c r="AS117" s="915">
        <f t="shared" si="145"/>
        <v>0</v>
      </c>
      <c r="AT117" s="915">
        <f t="shared" si="146"/>
        <v>0</v>
      </c>
      <c r="AU117" s="915">
        <f t="shared" si="147"/>
        <v>0</v>
      </c>
      <c r="AV117" s="915">
        <f t="shared" si="148"/>
        <v>0</v>
      </c>
      <c r="AW117" s="915">
        <f t="shared" si="149"/>
        <v>0</v>
      </c>
      <c r="AX117" s="915">
        <f t="shared" si="150"/>
        <v>0</v>
      </c>
      <c r="AY117" s="915">
        <f t="shared" si="200"/>
        <v>0</v>
      </c>
      <c r="AZ117" s="915">
        <f t="shared" si="201"/>
        <v>0</v>
      </c>
      <c r="BA117" s="915">
        <f t="shared" si="202"/>
        <v>0</v>
      </c>
      <c r="BB117" s="915">
        <f t="shared" si="203"/>
        <v>0</v>
      </c>
      <c r="BC117" s="915">
        <f t="shared" si="204"/>
        <v>0</v>
      </c>
      <c r="BD117" s="915">
        <f t="shared" si="205"/>
        <v>0</v>
      </c>
      <c r="BE117" s="915">
        <f t="shared" si="206"/>
        <v>0</v>
      </c>
      <c r="BF117" s="915">
        <f t="shared" si="207"/>
        <v>0</v>
      </c>
      <c r="BG117" s="915">
        <f t="shared" si="208"/>
        <v>0</v>
      </c>
      <c r="BH117" s="915">
        <f t="shared" si="209"/>
        <v>0</v>
      </c>
      <c r="BI117" s="915">
        <f t="shared" si="210"/>
        <v>0</v>
      </c>
      <c r="BJ117" s="915">
        <f t="shared" si="151"/>
        <v>0</v>
      </c>
      <c r="BK117" s="915">
        <f t="shared" si="152"/>
        <v>0</v>
      </c>
      <c r="BL117" s="915">
        <f t="shared" si="153"/>
        <v>0</v>
      </c>
      <c r="BM117" s="915">
        <f t="shared" si="154"/>
        <v>0</v>
      </c>
      <c r="BN117" s="915">
        <f t="shared" si="155"/>
        <v>0</v>
      </c>
      <c r="BO117" s="915">
        <f t="shared" si="156"/>
        <v>0</v>
      </c>
      <c r="BP117" s="915">
        <f t="shared" si="157"/>
        <v>0</v>
      </c>
      <c r="BQ117" s="915">
        <f t="shared" si="158"/>
        <v>0</v>
      </c>
      <c r="BR117" s="915">
        <f t="shared" si="159"/>
        <v>0</v>
      </c>
      <c r="BS117" s="915">
        <f t="shared" si="160"/>
        <v>0</v>
      </c>
      <c r="BT117" s="915">
        <f t="shared" si="262"/>
        <v>0</v>
      </c>
      <c r="BU117" s="915">
        <f t="shared" si="262"/>
        <v>0</v>
      </c>
      <c r="BV117" s="915">
        <f t="shared" si="263"/>
        <v>0</v>
      </c>
      <c r="BW117" s="915">
        <f t="shared" si="264"/>
        <v>0</v>
      </c>
      <c r="BX117" s="915">
        <f t="shared" si="265"/>
        <v>0</v>
      </c>
      <c r="BY117" s="915">
        <f t="shared" si="266"/>
        <v>0</v>
      </c>
      <c r="BZ117" s="915">
        <f t="shared" si="267"/>
        <v>0</v>
      </c>
      <c r="CA117" s="915">
        <f t="shared" si="268"/>
        <v>0</v>
      </c>
      <c r="CB117" s="915">
        <f t="shared" si="269"/>
        <v>0</v>
      </c>
      <c r="CC117" s="915">
        <f t="shared" si="270"/>
        <v>0</v>
      </c>
      <c r="CD117" s="915">
        <f t="shared" si="161"/>
        <v>0</v>
      </c>
      <c r="CE117" s="915">
        <f t="shared" si="162"/>
        <v>0</v>
      </c>
      <c r="CF117" s="915">
        <f t="shared" si="163"/>
        <v>0</v>
      </c>
      <c r="CG117" s="915">
        <f t="shared" si="164"/>
        <v>0</v>
      </c>
      <c r="CH117" s="915">
        <f t="shared" si="165"/>
        <v>0</v>
      </c>
      <c r="CI117" s="915">
        <f t="shared" si="166"/>
        <v>0</v>
      </c>
      <c r="CJ117" s="915">
        <f t="shared" si="167"/>
        <v>0</v>
      </c>
      <c r="CK117" s="915">
        <f t="shared" si="168"/>
        <v>0</v>
      </c>
      <c r="CL117" s="915">
        <f t="shared" si="169"/>
        <v>0</v>
      </c>
      <c r="CM117" s="915">
        <f t="shared" si="170"/>
        <v>0</v>
      </c>
      <c r="CN117" s="915">
        <f t="shared" si="220"/>
        <v>0</v>
      </c>
      <c r="CO117" s="915">
        <f t="shared" si="221"/>
        <v>0</v>
      </c>
      <c r="CP117" s="915">
        <f t="shared" si="222"/>
        <v>0</v>
      </c>
      <c r="CQ117" s="915">
        <f t="shared" si="223"/>
        <v>0</v>
      </c>
      <c r="CR117" s="915">
        <f t="shared" si="224"/>
        <v>0</v>
      </c>
      <c r="CS117" s="915">
        <f t="shared" si="225"/>
        <v>0</v>
      </c>
      <c r="CT117" s="915">
        <f t="shared" si="226"/>
        <v>0</v>
      </c>
      <c r="CU117" s="915">
        <f t="shared" si="227"/>
        <v>0</v>
      </c>
      <c r="CV117" s="915">
        <f t="shared" si="228"/>
        <v>0</v>
      </c>
      <c r="CW117" s="915">
        <f t="shared" si="229"/>
        <v>0</v>
      </c>
      <c r="CX117" s="915">
        <f t="shared" si="171"/>
        <v>0</v>
      </c>
      <c r="CY117" s="915">
        <f t="shared" si="172"/>
        <v>0</v>
      </c>
      <c r="CZ117" s="915">
        <f t="shared" si="173"/>
        <v>0</v>
      </c>
      <c r="DA117" s="915">
        <f t="shared" si="174"/>
        <v>0</v>
      </c>
      <c r="DB117" s="915">
        <f t="shared" si="175"/>
        <v>0</v>
      </c>
      <c r="DC117" s="915">
        <f t="shared" si="176"/>
        <v>0</v>
      </c>
      <c r="DD117" s="915">
        <f t="shared" si="177"/>
        <v>0</v>
      </c>
      <c r="DE117" s="915">
        <f t="shared" si="178"/>
        <v>0</v>
      </c>
      <c r="DF117" s="915">
        <f t="shared" si="179"/>
        <v>0</v>
      </c>
      <c r="DG117" s="915">
        <f t="shared" si="180"/>
        <v>0</v>
      </c>
      <c r="DH117" s="915">
        <f t="shared" si="272"/>
        <v>0</v>
      </c>
      <c r="DI117" s="915">
        <f t="shared" si="273"/>
        <v>0</v>
      </c>
      <c r="DJ117" s="915">
        <f t="shared" si="274"/>
        <v>0</v>
      </c>
      <c r="DK117" s="915">
        <f t="shared" si="275"/>
        <v>0</v>
      </c>
      <c r="DL117" s="915">
        <f t="shared" si="276"/>
        <v>0</v>
      </c>
      <c r="DM117" s="915">
        <f t="shared" si="277"/>
        <v>0</v>
      </c>
      <c r="DN117" s="915">
        <f t="shared" si="278"/>
        <v>0</v>
      </c>
      <c r="DO117" s="915">
        <f t="shared" si="279"/>
        <v>0</v>
      </c>
      <c r="DP117" s="915">
        <f t="shared" si="280"/>
        <v>0</v>
      </c>
      <c r="DQ117" s="915">
        <f t="shared" si="281"/>
        <v>0</v>
      </c>
      <c r="DR117" s="915">
        <f t="shared" si="181"/>
        <v>0</v>
      </c>
      <c r="DS117" s="915">
        <f t="shared" si="182"/>
        <v>0</v>
      </c>
      <c r="DT117" s="915">
        <f t="shared" si="183"/>
        <v>0</v>
      </c>
      <c r="DU117" s="915">
        <f t="shared" si="184"/>
        <v>0</v>
      </c>
      <c r="DV117" s="915">
        <f t="shared" si="185"/>
        <v>0</v>
      </c>
      <c r="DW117" s="915">
        <f t="shared" si="186"/>
        <v>0</v>
      </c>
      <c r="DX117" s="915">
        <f t="shared" si="187"/>
        <v>0</v>
      </c>
      <c r="DY117" s="915">
        <f t="shared" si="188"/>
        <v>0</v>
      </c>
      <c r="DZ117" s="915">
        <f t="shared" si="189"/>
        <v>0</v>
      </c>
      <c r="EA117" s="915">
        <f t="shared" si="131"/>
        <v>10</v>
      </c>
      <c r="EB117" s="915">
        <f t="shared" si="282"/>
        <v>0</v>
      </c>
      <c r="EC117" s="915">
        <f t="shared" si="283"/>
        <v>0</v>
      </c>
      <c r="ED117" s="915">
        <f t="shared" si="284"/>
        <v>0</v>
      </c>
      <c r="EE117" s="915">
        <f t="shared" si="285"/>
        <v>0</v>
      </c>
      <c r="EF117" s="915">
        <f t="shared" si="286"/>
        <v>0</v>
      </c>
      <c r="EG117" s="915">
        <f t="shared" si="287"/>
        <v>0</v>
      </c>
      <c r="EH117" s="915">
        <f t="shared" si="288"/>
        <v>0</v>
      </c>
      <c r="EI117" s="915">
        <f t="shared" si="289"/>
        <v>0</v>
      </c>
      <c r="EJ117" s="915">
        <f t="shared" si="290"/>
        <v>0</v>
      </c>
      <c r="EK117" s="915">
        <f t="shared" si="291"/>
        <v>0</v>
      </c>
      <c r="EN117" s="533"/>
      <c r="EQ117" s="534"/>
    </row>
    <row r="118" spans="1:147" ht="14.1" customHeight="1" x14ac:dyDescent="0.2">
      <c r="A118" s="496">
        <v>111</v>
      </c>
      <c r="B118" s="1006"/>
      <c r="C118" s="1007"/>
      <c r="D118" s="264">
        <v>11</v>
      </c>
      <c r="E118" s="264" t="s">
        <v>1247</v>
      </c>
      <c r="F118" s="270" t="s">
        <v>2544</v>
      </c>
      <c r="G118" s="271">
        <v>1</v>
      </c>
      <c r="H118" s="803">
        <v>10</v>
      </c>
      <c r="I118" s="800">
        <f t="shared" si="250"/>
        <v>0</v>
      </c>
      <c r="J118" s="269">
        <f t="shared" si="271"/>
        <v>10</v>
      </c>
      <c r="K118" s="225"/>
      <c r="L118" s="941" t="str">
        <f>TabName11 &amp; " - IChem"</f>
        <v>Phase 11 - IChem</v>
      </c>
      <c r="M118" s="951">
        <f>EB6</f>
        <v>10</v>
      </c>
      <c r="V118" s="915">
        <f t="shared" si="132"/>
        <v>0</v>
      </c>
      <c r="W118" s="915">
        <f t="shared" si="133"/>
        <v>0</v>
      </c>
      <c r="X118" s="915">
        <f t="shared" si="134"/>
        <v>0</v>
      </c>
      <c r="Y118" s="915">
        <f t="shared" si="135"/>
        <v>0</v>
      </c>
      <c r="Z118" s="915">
        <f t="shared" si="136"/>
        <v>0</v>
      </c>
      <c r="AA118" s="915">
        <f t="shared" si="137"/>
        <v>0</v>
      </c>
      <c r="AB118" s="915">
        <f t="shared" si="138"/>
        <v>0</v>
      </c>
      <c r="AC118" s="915">
        <f t="shared" si="139"/>
        <v>0</v>
      </c>
      <c r="AD118" s="915">
        <f t="shared" si="140"/>
        <v>0</v>
      </c>
      <c r="AE118" s="915">
        <f t="shared" si="141"/>
        <v>0</v>
      </c>
      <c r="AF118" s="915">
        <f t="shared" si="190"/>
        <v>0</v>
      </c>
      <c r="AG118" s="915">
        <f t="shared" si="191"/>
        <v>0</v>
      </c>
      <c r="AH118" s="915">
        <f t="shared" si="192"/>
        <v>0</v>
      </c>
      <c r="AI118" s="915">
        <f t="shared" si="193"/>
        <v>0</v>
      </c>
      <c r="AJ118" s="915">
        <f t="shared" si="194"/>
        <v>0</v>
      </c>
      <c r="AK118" s="915">
        <f t="shared" si="195"/>
        <v>0</v>
      </c>
      <c r="AL118" s="915">
        <f t="shared" si="196"/>
        <v>0</v>
      </c>
      <c r="AM118" s="915">
        <f t="shared" si="197"/>
        <v>0</v>
      </c>
      <c r="AN118" s="915">
        <f t="shared" si="198"/>
        <v>0</v>
      </c>
      <c r="AO118" s="915">
        <f t="shared" si="199"/>
        <v>0</v>
      </c>
      <c r="AP118" s="915">
        <f t="shared" si="142"/>
        <v>0</v>
      </c>
      <c r="AQ118" s="915">
        <f t="shared" si="143"/>
        <v>0</v>
      </c>
      <c r="AR118" s="915">
        <f t="shared" si="144"/>
        <v>0</v>
      </c>
      <c r="AS118" s="915">
        <f t="shared" si="145"/>
        <v>0</v>
      </c>
      <c r="AT118" s="915">
        <f t="shared" si="146"/>
        <v>0</v>
      </c>
      <c r="AU118" s="915">
        <f t="shared" si="147"/>
        <v>0</v>
      </c>
      <c r="AV118" s="915">
        <f t="shared" si="148"/>
        <v>0</v>
      </c>
      <c r="AW118" s="915">
        <f t="shared" si="149"/>
        <v>0</v>
      </c>
      <c r="AX118" s="915">
        <f t="shared" si="150"/>
        <v>0</v>
      </c>
      <c r="AY118" s="915">
        <f t="shared" si="200"/>
        <v>0</v>
      </c>
      <c r="AZ118" s="915">
        <f t="shared" si="201"/>
        <v>0</v>
      </c>
      <c r="BA118" s="915">
        <f t="shared" si="202"/>
        <v>0</v>
      </c>
      <c r="BB118" s="915">
        <f t="shared" si="203"/>
        <v>0</v>
      </c>
      <c r="BC118" s="915">
        <f t="shared" si="204"/>
        <v>0</v>
      </c>
      <c r="BD118" s="915">
        <f t="shared" si="205"/>
        <v>0</v>
      </c>
      <c r="BE118" s="915">
        <f t="shared" si="206"/>
        <v>0</v>
      </c>
      <c r="BF118" s="915">
        <f t="shared" si="207"/>
        <v>0</v>
      </c>
      <c r="BG118" s="915">
        <f t="shared" si="208"/>
        <v>0</v>
      </c>
      <c r="BH118" s="915">
        <f t="shared" si="209"/>
        <v>0</v>
      </c>
      <c r="BI118" s="915">
        <f t="shared" si="210"/>
        <v>0</v>
      </c>
      <c r="BJ118" s="915">
        <f t="shared" si="151"/>
        <v>0</v>
      </c>
      <c r="BK118" s="915">
        <f t="shared" si="152"/>
        <v>0</v>
      </c>
      <c r="BL118" s="915">
        <f t="shared" si="153"/>
        <v>0</v>
      </c>
      <c r="BM118" s="915">
        <f t="shared" si="154"/>
        <v>0</v>
      </c>
      <c r="BN118" s="915">
        <f t="shared" si="155"/>
        <v>0</v>
      </c>
      <c r="BO118" s="915">
        <f t="shared" si="156"/>
        <v>0</v>
      </c>
      <c r="BP118" s="915">
        <f t="shared" si="157"/>
        <v>0</v>
      </c>
      <c r="BQ118" s="915">
        <f t="shared" si="158"/>
        <v>0</v>
      </c>
      <c r="BR118" s="915">
        <f t="shared" si="159"/>
        <v>0</v>
      </c>
      <c r="BS118" s="915">
        <f t="shared" si="160"/>
        <v>0</v>
      </c>
      <c r="BT118" s="915">
        <f t="shared" si="262"/>
        <v>0</v>
      </c>
      <c r="BU118" s="915">
        <f t="shared" si="262"/>
        <v>0</v>
      </c>
      <c r="BV118" s="915">
        <f t="shared" si="263"/>
        <v>0</v>
      </c>
      <c r="BW118" s="915">
        <f t="shared" si="264"/>
        <v>0</v>
      </c>
      <c r="BX118" s="915">
        <f t="shared" si="265"/>
        <v>0</v>
      </c>
      <c r="BY118" s="915">
        <f t="shared" si="266"/>
        <v>0</v>
      </c>
      <c r="BZ118" s="915">
        <f t="shared" si="267"/>
        <v>0</v>
      </c>
      <c r="CA118" s="915">
        <f t="shared" si="268"/>
        <v>0</v>
      </c>
      <c r="CB118" s="915">
        <f t="shared" si="269"/>
        <v>0</v>
      </c>
      <c r="CC118" s="915">
        <f t="shared" si="270"/>
        <v>0</v>
      </c>
      <c r="CD118" s="915">
        <f t="shared" si="161"/>
        <v>0</v>
      </c>
      <c r="CE118" s="915">
        <f t="shared" si="162"/>
        <v>0</v>
      </c>
      <c r="CF118" s="915">
        <f t="shared" si="163"/>
        <v>0</v>
      </c>
      <c r="CG118" s="915">
        <f t="shared" si="164"/>
        <v>0</v>
      </c>
      <c r="CH118" s="915">
        <f t="shared" si="165"/>
        <v>0</v>
      </c>
      <c r="CI118" s="915">
        <f t="shared" si="166"/>
        <v>0</v>
      </c>
      <c r="CJ118" s="915">
        <f t="shared" si="167"/>
        <v>0</v>
      </c>
      <c r="CK118" s="915">
        <f t="shared" si="168"/>
        <v>0</v>
      </c>
      <c r="CL118" s="915">
        <f t="shared" si="169"/>
        <v>0</v>
      </c>
      <c r="CM118" s="915">
        <f t="shared" si="170"/>
        <v>0</v>
      </c>
      <c r="CN118" s="915">
        <f t="shared" si="220"/>
        <v>0</v>
      </c>
      <c r="CO118" s="915">
        <f t="shared" si="221"/>
        <v>0</v>
      </c>
      <c r="CP118" s="915">
        <f t="shared" si="222"/>
        <v>0</v>
      </c>
      <c r="CQ118" s="915">
        <f t="shared" si="223"/>
        <v>0</v>
      </c>
      <c r="CR118" s="915">
        <f t="shared" si="224"/>
        <v>0</v>
      </c>
      <c r="CS118" s="915">
        <f t="shared" si="225"/>
        <v>0</v>
      </c>
      <c r="CT118" s="915">
        <f t="shared" si="226"/>
        <v>0</v>
      </c>
      <c r="CU118" s="915">
        <f t="shared" si="227"/>
        <v>0</v>
      </c>
      <c r="CV118" s="915">
        <f t="shared" si="228"/>
        <v>0</v>
      </c>
      <c r="CW118" s="915">
        <f t="shared" si="229"/>
        <v>0</v>
      </c>
      <c r="CX118" s="915">
        <f t="shared" si="171"/>
        <v>0</v>
      </c>
      <c r="CY118" s="915">
        <f t="shared" si="172"/>
        <v>0</v>
      </c>
      <c r="CZ118" s="915">
        <f t="shared" si="173"/>
        <v>0</v>
      </c>
      <c r="DA118" s="915">
        <f t="shared" si="174"/>
        <v>0</v>
      </c>
      <c r="DB118" s="915">
        <f t="shared" si="175"/>
        <v>0</v>
      </c>
      <c r="DC118" s="915">
        <f t="shared" si="176"/>
        <v>0</v>
      </c>
      <c r="DD118" s="915">
        <f t="shared" si="177"/>
        <v>0</v>
      </c>
      <c r="DE118" s="915">
        <f t="shared" si="178"/>
        <v>0</v>
      </c>
      <c r="DF118" s="915">
        <f t="shared" si="179"/>
        <v>0</v>
      </c>
      <c r="DG118" s="915">
        <f t="shared" si="180"/>
        <v>0</v>
      </c>
      <c r="DH118" s="915">
        <f t="shared" si="272"/>
        <v>0</v>
      </c>
      <c r="DI118" s="915">
        <f t="shared" si="273"/>
        <v>0</v>
      </c>
      <c r="DJ118" s="915">
        <f t="shared" si="274"/>
        <v>0</v>
      </c>
      <c r="DK118" s="915">
        <f t="shared" si="275"/>
        <v>0</v>
      </c>
      <c r="DL118" s="915">
        <f t="shared" si="276"/>
        <v>0</v>
      </c>
      <c r="DM118" s="915">
        <f t="shared" si="277"/>
        <v>0</v>
      </c>
      <c r="DN118" s="915">
        <f t="shared" si="278"/>
        <v>0</v>
      </c>
      <c r="DO118" s="915">
        <f t="shared" si="279"/>
        <v>0</v>
      </c>
      <c r="DP118" s="915">
        <f t="shared" si="280"/>
        <v>0</v>
      </c>
      <c r="DQ118" s="915">
        <f t="shared" si="281"/>
        <v>0</v>
      </c>
      <c r="DR118" s="915">
        <f t="shared" si="181"/>
        <v>0</v>
      </c>
      <c r="DS118" s="915">
        <f t="shared" si="182"/>
        <v>0</v>
      </c>
      <c r="DT118" s="915">
        <f t="shared" si="183"/>
        <v>0</v>
      </c>
      <c r="DU118" s="915">
        <f t="shared" si="184"/>
        <v>0</v>
      </c>
      <c r="DV118" s="915">
        <f t="shared" si="185"/>
        <v>0</v>
      </c>
      <c r="DW118" s="915">
        <f t="shared" si="186"/>
        <v>0</v>
      </c>
      <c r="DX118" s="915">
        <f t="shared" si="187"/>
        <v>0</v>
      </c>
      <c r="DY118" s="915">
        <f t="shared" si="188"/>
        <v>0</v>
      </c>
      <c r="DZ118" s="915">
        <f t="shared" si="189"/>
        <v>0</v>
      </c>
      <c r="EA118" s="915">
        <f t="shared" si="131"/>
        <v>0</v>
      </c>
      <c r="EB118" s="915">
        <f t="shared" si="282"/>
        <v>10</v>
      </c>
      <c r="EC118" s="915">
        <f t="shared" si="283"/>
        <v>0</v>
      </c>
      <c r="ED118" s="915">
        <f t="shared" si="284"/>
        <v>0</v>
      </c>
      <c r="EE118" s="915">
        <f t="shared" si="285"/>
        <v>0</v>
      </c>
      <c r="EF118" s="915">
        <f t="shared" si="286"/>
        <v>0</v>
      </c>
      <c r="EG118" s="915">
        <f t="shared" si="287"/>
        <v>0</v>
      </c>
      <c r="EH118" s="915">
        <f t="shared" si="288"/>
        <v>0</v>
      </c>
      <c r="EI118" s="915">
        <f t="shared" si="289"/>
        <v>0</v>
      </c>
      <c r="EJ118" s="915">
        <f t="shared" si="290"/>
        <v>0</v>
      </c>
      <c r="EK118" s="915">
        <f t="shared" si="291"/>
        <v>0</v>
      </c>
      <c r="EN118" s="533"/>
      <c r="EQ118" s="534"/>
    </row>
    <row r="119" spans="1:147" ht="14.1" customHeight="1" x14ac:dyDescent="0.2">
      <c r="A119" s="1026">
        <v>112</v>
      </c>
      <c r="B119" s="1023"/>
      <c r="C119" s="1028"/>
      <c r="D119" s="1020">
        <v>12</v>
      </c>
      <c r="E119" s="1020" t="s">
        <v>1247</v>
      </c>
      <c r="F119" s="1024" t="s">
        <v>2544</v>
      </c>
      <c r="G119" s="1025">
        <v>1</v>
      </c>
      <c r="H119" s="1022">
        <v>10</v>
      </c>
      <c r="I119" s="801">
        <f t="shared" si="250"/>
        <v>0</v>
      </c>
      <c r="J119" s="1021">
        <f t="shared" si="271"/>
        <v>10</v>
      </c>
      <c r="K119" s="225"/>
      <c r="L119" s="941" t="str">
        <f>TabName12 &amp; " - IChem"</f>
        <v>Phase 12 - IChem</v>
      </c>
      <c r="M119" s="951">
        <f>EC6</f>
        <v>10</v>
      </c>
      <c r="V119" s="915">
        <f t="shared" si="132"/>
        <v>0</v>
      </c>
      <c r="W119" s="915">
        <f t="shared" si="133"/>
        <v>0</v>
      </c>
      <c r="X119" s="915">
        <f t="shared" si="134"/>
        <v>0</v>
      </c>
      <c r="Y119" s="915">
        <f t="shared" si="135"/>
        <v>0</v>
      </c>
      <c r="Z119" s="915">
        <f t="shared" si="136"/>
        <v>0</v>
      </c>
      <c r="AA119" s="915">
        <f t="shared" si="137"/>
        <v>0</v>
      </c>
      <c r="AB119" s="915">
        <f t="shared" si="138"/>
        <v>0</v>
      </c>
      <c r="AC119" s="915">
        <f t="shared" si="139"/>
        <v>0</v>
      </c>
      <c r="AD119" s="915">
        <f t="shared" si="140"/>
        <v>0</v>
      </c>
      <c r="AE119" s="915">
        <f t="shared" si="141"/>
        <v>0</v>
      </c>
      <c r="AF119" s="915">
        <f t="shared" si="190"/>
        <v>0</v>
      </c>
      <c r="AG119" s="915">
        <f t="shared" si="191"/>
        <v>0</v>
      </c>
      <c r="AH119" s="915">
        <f t="shared" si="192"/>
        <v>0</v>
      </c>
      <c r="AI119" s="915">
        <f t="shared" si="193"/>
        <v>0</v>
      </c>
      <c r="AJ119" s="915">
        <f t="shared" si="194"/>
        <v>0</v>
      </c>
      <c r="AK119" s="915">
        <f t="shared" si="195"/>
        <v>0</v>
      </c>
      <c r="AL119" s="915">
        <f t="shared" si="196"/>
        <v>0</v>
      </c>
      <c r="AM119" s="915">
        <f t="shared" si="197"/>
        <v>0</v>
      </c>
      <c r="AN119" s="915">
        <f t="shared" si="198"/>
        <v>0</v>
      </c>
      <c r="AO119" s="915">
        <f t="shared" si="199"/>
        <v>0</v>
      </c>
      <c r="AP119" s="915">
        <f t="shared" si="142"/>
        <v>0</v>
      </c>
      <c r="AQ119" s="915">
        <f t="shared" si="143"/>
        <v>0</v>
      </c>
      <c r="AR119" s="915">
        <f t="shared" si="144"/>
        <v>0</v>
      </c>
      <c r="AS119" s="915">
        <f t="shared" si="145"/>
        <v>0</v>
      </c>
      <c r="AT119" s="915">
        <f t="shared" si="146"/>
        <v>0</v>
      </c>
      <c r="AU119" s="915">
        <f t="shared" si="147"/>
        <v>0</v>
      </c>
      <c r="AV119" s="915">
        <f t="shared" si="148"/>
        <v>0</v>
      </c>
      <c r="AW119" s="915">
        <f t="shared" si="149"/>
        <v>0</v>
      </c>
      <c r="AX119" s="915">
        <f t="shared" si="150"/>
        <v>0</v>
      </c>
      <c r="AY119" s="915">
        <f t="shared" si="200"/>
        <v>0</v>
      </c>
      <c r="AZ119" s="915">
        <f t="shared" si="201"/>
        <v>0</v>
      </c>
      <c r="BA119" s="915">
        <f t="shared" si="202"/>
        <v>0</v>
      </c>
      <c r="BB119" s="915">
        <f t="shared" si="203"/>
        <v>0</v>
      </c>
      <c r="BC119" s="915">
        <f t="shared" si="204"/>
        <v>0</v>
      </c>
      <c r="BD119" s="915">
        <f t="shared" si="205"/>
        <v>0</v>
      </c>
      <c r="BE119" s="915">
        <f t="shared" si="206"/>
        <v>0</v>
      </c>
      <c r="BF119" s="915">
        <f t="shared" si="207"/>
        <v>0</v>
      </c>
      <c r="BG119" s="915">
        <f t="shared" si="208"/>
        <v>0</v>
      </c>
      <c r="BH119" s="915">
        <f t="shared" si="209"/>
        <v>0</v>
      </c>
      <c r="BI119" s="915">
        <f t="shared" si="210"/>
        <v>0</v>
      </c>
      <c r="BJ119" s="915">
        <f t="shared" si="151"/>
        <v>0</v>
      </c>
      <c r="BK119" s="915">
        <f t="shared" si="152"/>
        <v>0</v>
      </c>
      <c r="BL119" s="915">
        <f t="shared" si="153"/>
        <v>0</v>
      </c>
      <c r="BM119" s="915">
        <f t="shared" si="154"/>
        <v>0</v>
      </c>
      <c r="BN119" s="915">
        <f t="shared" si="155"/>
        <v>0</v>
      </c>
      <c r="BO119" s="915">
        <f t="shared" si="156"/>
        <v>0</v>
      </c>
      <c r="BP119" s="915">
        <f t="shared" si="157"/>
        <v>0</v>
      </c>
      <c r="BQ119" s="915">
        <f t="shared" si="158"/>
        <v>0</v>
      </c>
      <c r="BR119" s="915">
        <f t="shared" si="159"/>
        <v>0</v>
      </c>
      <c r="BS119" s="915">
        <f t="shared" si="160"/>
        <v>0</v>
      </c>
      <c r="BT119" s="915">
        <f t="shared" si="262"/>
        <v>0</v>
      </c>
      <c r="BU119" s="915">
        <f t="shared" si="262"/>
        <v>0</v>
      </c>
      <c r="BV119" s="915">
        <f t="shared" si="263"/>
        <v>0</v>
      </c>
      <c r="BW119" s="915">
        <f t="shared" si="264"/>
        <v>0</v>
      </c>
      <c r="BX119" s="915">
        <f t="shared" si="265"/>
        <v>0</v>
      </c>
      <c r="BY119" s="915">
        <f t="shared" si="266"/>
        <v>0</v>
      </c>
      <c r="BZ119" s="915">
        <f t="shared" si="267"/>
        <v>0</v>
      </c>
      <c r="CA119" s="915">
        <f t="shared" si="268"/>
        <v>0</v>
      </c>
      <c r="CB119" s="915">
        <f t="shared" si="269"/>
        <v>0</v>
      </c>
      <c r="CC119" s="915">
        <f t="shared" si="270"/>
        <v>0</v>
      </c>
      <c r="CD119" s="915">
        <f t="shared" si="161"/>
        <v>0</v>
      </c>
      <c r="CE119" s="915">
        <f t="shared" si="162"/>
        <v>0</v>
      </c>
      <c r="CF119" s="915">
        <f t="shared" si="163"/>
        <v>0</v>
      </c>
      <c r="CG119" s="915">
        <f t="shared" si="164"/>
        <v>0</v>
      </c>
      <c r="CH119" s="915">
        <f t="shared" si="165"/>
        <v>0</v>
      </c>
      <c r="CI119" s="915">
        <f t="shared" si="166"/>
        <v>0</v>
      </c>
      <c r="CJ119" s="915">
        <f t="shared" si="167"/>
        <v>0</v>
      </c>
      <c r="CK119" s="915">
        <f t="shared" si="168"/>
        <v>0</v>
      </c>
      <c r="CL119" s="915">
        <f t="shared" si="169"/>
        <v>0</v>
      </c>
      <c r="CM119" s="915">
        <f t="shared" si="170"/>
        <v>0</v>
      </c>
      <c r="CN119" s="915">
        <f t="shared" si="220"/>
        <v>0</v>
      </c>
      <c r="CO119" s="915">
        <f t="shared" si="221"/>
        <v>0</v>
      </c>
      <c r="CP119" s="915">
        <f t="shared" si="222"/>
        <v>0</v>
      </c>
      <c r="CQ119" s="915">
        <f t="shared" si="223"/>
        <v>0</v>
      </c>
      <c r="CR119" s="915">
        <f t="shared" si="224"/>
        <v>0</v>
      </c>
      <c r="CS119" s="915">
        <f t="shared" si="225"/>
        <v>0</v>
      </c>
      <c r="CT119" s="915">
        <f t="shared" si="226"/>
        <v>0</v>
      </c>
      <c r="CU119" s="915">
        <f t="shared" si="227"/>
        <v>0</v>
      </c>
      <c r="CV119" s="915">
        <f t="shared" si="228"/>
        <v>0</v>
      </c>
      <c r="CW119" s="915">
        <f t="shared" si="229"/>
        <v>0</v>
      </c>
      <c r="CX119" s="915">
        <f t="shared" si="171"/>
        <v>0</v>
      </c>
      <c r="CY119" s="915">
        <f t="shared" si="172"/>
        <v>0</v>
      </c>
      <c r="CZ119" s="915">
        <f t="shared" si="173"/>
        <v>0</v>
      </c>
      <c r="DA119" s="915">
        <f t="shared" si="174"/>
        <v>0</v>
      </c>
      <c r="DB119" s="915">
        <f t="shared" si="175"/>
        <v>0</v>
      </c>
      <c r="DC119" s="915">
        <f t="shared" si="176"/>
        <v>0</v>
      </c>
      <c r="DD119" s="915">
        <f t="shared" si="177"/>
        <v>0</v>
      </c>
      <c r="DE119" s="915">
        <f t="shared" si="178"/>
        <v>0</v>
      </c>
      <c r="DF119" s="915">
        <f t="shared" si="179"/>
        <v>0</v>
      </c>
      <c r="DG119" s="915">
        <f t="shared" si="180"/>
        <v>0</v>
      </c>
      <c r="DH119" s="915">
        <f t="shared" si="272"/>
        <v>0</v>
      </c>
      <c r="DI119" s="915">
        <f t="shared" si="273"/>
        <v>0</v>
      </c>
      <c r="DJ119" s="915">
        <f t="shared" si="274"/>
        <v>0</v>
      </c>
      <c r="DK119" s="915">
        <f t="shared" si="275"/>
        <v>0</v>
      </c>
      <c r="DL119" s="915">
        <f t="shared" si="276"/>
        <v>0</v>
      </c>
      <c r="DM119" s="915">
        <f t="shared" si="277"/>
        <v>0</v>
      </c>
      <c r="DN119" s="915">
        <f t="shared" si="278"/>
        <v>0</v>
      </c>
      <c r="DO119" s="915">
        <f t="shared" si="279"/>
        <v>0</v>
      </c>
      <c r="DP119" s="915">
        <f t="shared" si="280"/>
        <v>0</v>
      </c>
      <c r="DQ119" s="915">
        <f t="shared" si="281"/>
        <v>0</v>
      </c>
      <c r="DR119" s="915">
        <f t="shared" si="181"/>
        <v>0</v>
      </c>
      <c r="DS119" s="915">
        <f t="shared" si="182"/>
        <v>0</v>
      </c>
      <c r="DT119" s="915">
        <f t="shared" si="183"/>
        <v>0</v>
      </c>
      <c r="DU119" s="915">
        <f t="shared" si="184"/>
        <v>0</v>
      </c>
      <c r="DV119" s="915">
        <f t="shared" si="185"/>
        <v>0</v>
      </c>
      <c r="DW119" s="915">
        <f t="shared" si="186"/>
        <v>0</v>
      </c>
      <c r="DX119" s="915">
        <f t="shared" si="187"/>
        <v>0</v>
      </c>
      <c r="DY119" s="915">
        <f t="shared" si="188"/>
        <v>0</v>
      </c>
      <c r="DZ119" s="915">
        <f t="shared" si="189"/>
        <v>0</v>
      </c>
      <c r="EA119" s="915">
        <f t="shared" si="131"/>
        <v>0</v>
      </c>
      <c r="EB119" s="915">
        <f t="shared" si="282"/>
        <v>0</v>
      </c>
      <c r="EC119" s="915">
        <f t="shared" si="283"/>
        <v>10</v>
      </c>
      <c r="ED119" s="915">
        <f t="shared" si="284"/>
        <v>0</v>
      </c>
      <c r="EE119" s="915">
        <f t="shared" si="285"/>
        <v>0</v>
      </c>
      <c r="EF119" s="915">
        <f t="shared" si="286"/>
        <v>0</v>
      </c>
      <c r="EG119" s="915">
        <f t="shared" si="287"/>
        <v>0</v>
      </c>
      <c r="EH119" s="915">
        <f t="shared" si="288"/>
        <v>0</v>
      </c>
      <c r="EI119" s="915">
        <f t="shared" si="289"/>
        <v>0</v>
      </c>
      <c r="EJ119" s="915">
        <f t="shared" si="290"/>
        <v>0</v>
      </c>
      <c r="EK119" s="915">
        <f t="shared" si="291"/>
        <v>0</v>
      </c>
      <c r="EN119" s="533"/>
      <c r="EQ119" s="534"/>
    </row>
    <row r="120" spans="1:147" ht="14.1" customHeight="1" x14ac:dyDescent="0.2">
      <c r="A120" s="496">
        <v>113</v>
      </c>
      <c r="B120" s="1006"/>
      <c r="C120" s="1007"/>
      <c r="D120" s="264">
        <v>13</v>
      </c>
      <c r="E120" s="264" t="s">
        <v>1247</v>
      </c>
      <c r="F120" s="270" t="s">
        <v>2544</v>
      </c>
      <c r="G120" s="271">
        <v>1</v>
      </c>
      <c r="H120" s="803">
        <v>10</v>
      </c>
      <c r="I120" s="800">
        <f t="shared" si="250"/>
        <v>0</v>
      </c>
      <c r="J120" s="269">
        <f t="shared" si="271"/>
        <v>10</v>
      </c>
      <c r="K120" s="225"/>
      <c r="L120" s="941" t="str">
        <f>TabName13 &amp; " - IChem"</f>
        <v>Phase 13 - IChem</v>
      </c>
      <c r="M120" s="951">
        <f>ED6</f>
        <v>10</v>
      </c>
      <c r="V120" s="915">
        <f t="shared" si="132"/>
        <v>0</v>
      </c>
      <c r="W120" s="915">
        <f t="shared" si="133"/>
        <v>0</v>
      </c>
      <c r="X120" s="915">
        <f t="shared" si="134"/>
        <v>0</v>
      </c>
      <c r="Y120" s="915">
        <f t="shared" si="135"/>
        <v>0</v>
      </c>
      <c r="Z120" s="915">
        <f t="shared" si="136"/>
        <v>0</v>
      </c>
      <c r="AA120" s="915">
        <f t="shared" si="137"/>
        <v>0</v>
      </c>
      <c r="AB120" s="915">
        <f t="shared" si="138"/>
        <v>0</v>
      </c>
      <c r="AC120" s="915">
        <f t="shared" si="139"/>
        <v>0</v>
      </c>
      <c r="AD120" s="915">
        <f t="shared" si="140"/>
        <v>0</v>
      </c>
      <c r="AE120" s="915">
        <f t="shared" si="141"/>
        <v>0</v>
      </c>
      <c r="AF120" s="915">
        <f t="shared" si="190"/>
        <v>0</v>
      </c>
      <c r="AG120" s="915">
        <f t="shared" si="191"/>
        <v>0</v>
      </c>
      <c r="AH120" s="915">
        <f t="shared" si="192"/>
        <v>0</v>
      </c>
      <c r="AI120" s="915">
        <f t="shared" si="193"/>
        <v>0</v>
      </c>
      <c r="AJ120" s="915">
        <f t="shared" si="194"/>
        <v>0</v>
      </c>
      <c r="AK120" s="915">
        <f t="shared" si="195"/>
        <v>0</v>
      </c>
      <c r="AL120" s="915">
        <f t="shared" si="196"/>
        <v>0</v>
      </c>
      <c r="AM120" s="915">
        <f t="shared" si="197"/>
        <v>0</v>
      </c>
      <c r="AN120" s="915">
        <f t="shared" si="198"/>
        <v>0</v>
      </c>
      <c r="AO120" s="915">
        <f t="shared" si="199"/>
        <v>0</v>
      </c>
      <c r="AP120" s="915">
        <f t="shared" si="142"/>
        <v>0</v>
      </c>
      <c r="AQ120" s="915">
        <f t="shared" si="143"/>
        <v>0</v>
      </c>
      <c r="AR120" s="915">
        <f t="shared" si="144"/>
        <v>0</v>
      </c>
      <c r="AS120" s="915">
        <f t="shared" si="145"/>
        <v>0</v>
      </c>
      <c r="AT120" s="915">
        <f t="shared" si="146"/>
        <v>0</v>
      </c>
      <c r="AU120" s="915">
        <f t="shared" si="147"/>
        <v>0</v>
      </c>
      <c r="AV120" s="915">
        <f t="shared" si="148"/>
        <v>0</v>
      </c>
      <c r="AW120" s="915">
        <f t="shared" si="149"/>
        <v>0</v>
      </c>
      <c r="AX120" s="915">
        <f t="shared" si="150"/>
        <v>0</v>
      </c>
      <c r="AY120" s="915">
        <f t="shared" si="200"/>
        <v>0</v>
      </c>
      <c r="AZ120" s="915">
        <f t="shared" si="201"/>
        <v>0</v>
      </c>
      <c r="BA120" s="915">
        <f t="shared" si="202"/>
        <v>0</v>
      </c>
      <c r="BB120" s="915">
        <f t="shared" si="203"/>
        <v>0</v>
      </c>
      <c r="BC120" s="915">
        <f t="shared" si="204"/>
        <v>0</v>
      </c>
      <c r="BD120" s="915">
        <f t="shared" si="205"/>
        <v>0</v>
      </c>
      <c r="BE120" s="915">
        <f t="shared" si="206"/>
        <v>0</v>
      </c>
      <c r="BF120" s="915">
        <f t="shared" si="207"/>
        <v>0</v>
      </c>
      <c r="BG120" s="915">
        <f t="shared" si="208"/>
        <v>0</v>
      </c>
      <c r="BH120" s="915">
        <f t="shared" si="209"/>
        <v>0</v>
      </c>
      <c r="BI120" s="915">
        <f t="shared" si="210"/>
        <v>0</v>
      </c>
      <c r="BJ120" s="915">
        <f t="shared" si="151"/>
        <v>0</v>
      </c>
      <c r="BK120" s="915">
        <f t="shared" si="152"/>
        <v>0</v>
      </c>
      <c r="BL120" s="915">
        <f t="shared" si="153"/>
        <v>0</v>
      </c>
      <c r="BM120" s="915">
        <f t="shared" si="154"/>
        <v>0</v>
      </c>
      <c r="BN120" s="915">
        <f t="shared" si="155"/>
        <v>0</v>
      </c>
      <c r="BO120" s="915">
        <f t="shared" si="156"/>
        <v>0</v>
      </c>
      <c r="BP120" s="915">
        <f t="shared" si="157"/>
        <v>0</v>
      </c>
      <c r="BQ120" s="915">
        <f t="shared" si="158"/>
        <v>0</v>
      </c>
      <c r="BR120" s="915">
        <f t="shared" si="159"/>
        <v>0</v>
      </c>
      <c r="BS120" s="915">
        <f t="shared" si="160"/>
        <v>0</v>
      </c>
      <c r="BT120" s="915">
        <f t="shared" si="262"/>
        <v>0</v>
      </c>
      <c r="BU120" s="915">
        <f t="shared" si="262"/>
        <v>0</v>
      </c>
      <c r="BV120" s="915">
        <f t="shared" si="263"/>
        <v>0</v>
      </c>
      <c r="BW120" s="915">
        <f t="shared" si="264"/>
        <v>0</v>
      </c>
      <c r="BX120" s="915">
        <f t="shared" si="265"/>
        <v>0</v>
      </c>
      <c r="BY120" s="915">
        <f t="shared" si="266"/>
        <v>0</v>
      </c>
      <c r="BZ120" s="915">
        <f t="shared" si="267"/>
        <v>0</v>
      </c>
      <c r="CA120" s="915">
        <f t="shared" si="268"/>
        <v>0</v>
      </c>
      <c r="CB120" s="915">
        <f t="shared" si="269"/>
        <v>0</v>
      </c>
      <c r="CC120" s="915">
        <f t="shared" si="270"/>
        <v>0</v>
      </c>
      <c r="CD120" s="915">
        <f t="shared" si="161"/>
        <v>0</v>
      </c>
      <c r="CE120" s="915">
        <f t="shared" si="162"/>
        <v>0</v>
      </c>
      <c r="CF120" s="915">
        <f t="shared" si="163"/>
        <v>0</v>
      </c>
      <c r="CG120" s="915">
        <f t="shared" si="164"/>
        <v>0</v>
      </c>
      <c r="CH120" s="915">
        <f t="shared" si="165"/>
        <v>0</v>
      </c>
      <c r="CI120" s="915">
        <f t="shared" si="166"/>
        <v>0</v>
      </c>
      <c r="CJ120" s="915">
        <f t="shared" si="167"/>
        <v>0</v>
      </c>
      <c r="CK120" s="915">
        <f t="shared" si="168"/>
        <v>0</v>
      </c>
      <c r="CL120" s="915">
        <f t="shared" si="169"/>
        <v>0</v>
      </c>
      <c r="CM120" s="915">
        <f t="shared" si="170"/>
        <v>0</v>
      </c>
      <c r="CN120" s="915">
        <f t="shared" si="220"/>
        <v>0</v>
      </c>
      <c r="CO120" s="915">
        <f t="shared" si="221"/>
        <v>0</v>
      </c>
      <c r="CP120" s="915">
        <f t="shared" si="222"/>
        <v>0</v>
      </c>
      <c r="CQ120" s="915">
        <f t="shared" si="223"/>
        <v>0</v>
      </c>
      <c r="CR120" s="915">
        <f t="shared" si="224"/>
        <v>0</v>
      </c>
      <c r="CS120" s="915">
        <f t="shared" si="225"/>
        <v>0</v>
      </c>
      <c r="CT120" s="915">
        <f t="shared" si="226"/>
        <v>0</v>
      </c>
      <c r="CU120" s="915">
        <f t="shared" si="227"/>
        <v>0</v>
      </c>
      <c r="CV120" s="915">
        <f t="shared" si="228"/>
        <v>0</v>
      </c>
      <c r="CW120" s="915">
        <f t="shared" si="229"/>
        <v>0</v>
      </c>
      <c r="CX120" s="915">
        <f t="shared" si="171"/>
        <v>0</v>
      </c>
      <c r="CY120" s="915">
        <f t="shared" si="172"/>
        <v>0</v>
      </c>
      <c r="CZ120" s="915">
        <f t="shared" si="173"/>
        <v>0</v>
      </c>
      <c r="DA120" s="915">
        <f t="shared" si="174"/>
        <v>0</v>
      </c>
      <c r="DB120" s="915">
        <f t="shared" si="175"/>
        <v>0</v>
      </c>
      <c r="DC120" s="915">
        <f t="shared" si="176"/>
        <v>0</v>
      </c>
      <c r="DD120" s="915">
        <f t="shared" si="177"/>
        <v>0</v>
      </c>
      <c r="DE120" s="915">
        <f t="shared" si="178"/>
        <v>0</v>
      </c>
      <c r="DF120" s="915">
        <f t="shared" si="179"/>
        <v>0</v>
      </c>
      <c r="DG120" s="915">
        <f t="shared" si="180"/>
        <v>0</v>
      </c>
      <c r="DH120" s="915">
        <f t="shared" si="272"/>
        <v>0</v>
      </c>
      <c r="DI120" s="915">
        <f t="shared" si="273"/>
        <v>0</v>
      </c>
      <c r="DJ120" s="915">
        <f t="shared" si="274"/>
        <v>0</v>
      </c>
      <c r="DK120" s="915">
        <f t="shared" si="275"/>
        <v>0</v>
      </c>
      <c r="DL120" s="915">
        <f t="shared" si="276"/>
        <v>0</v>
      </c>
      <c r="DM120" s="915">
        <f t="shared" si="277"/>
        <v>0</v>
      </c>
      <c r="DN120" s="915">
        <f t="shared" si="278"/>
        <v>0</v>
      </c>
      <c r="DO120" s="915">
        <f t="shared" si="279"/>
        <v>0</v>
      </c>
      <c r="DP120" s="915">
        <f t="shared" si="280"/>
        <v>0</v>
      </c>
      <c r="DQ120" s="915">
        <f t="shared" si="281"/>
        <v>0</v>
      </c>
      <c r="DR120" s="915">
        <f t="shared" si="181"/>
        <v>0</v>
      </c>
      <c r="DS120" s="915">
        <f t="shared" si="182"/>
        <v>0</v>
      </c>
      <c r="DT120" s="915">
        <f t="shared" si="183"/>
        <v>0</v>
      </c>
      <c r="DU120" s="915">
        <f t="shared" si="184"/>
        <v>0</v>
      </c>
      <c r="DV120" s="915">
        <f t="shared" si="185"/>
        <v>0</v>
      </c>
      <c r="DW120" s="915">
        <f t="shared" si="186"/>
        <v>0</v>
      </c>
      <c r="DX120" s="915">
        <f t="shared" si="187"/>
        <v>0</v>
      </c>
      <c r="DY120" s="915">
        <f t="shared" si="188"/>
        <v>0</v>
      </c>
      <c r="DZ120" s="915">
        <f t="shared" si="189"/>
        <v>0</v>
      </c>
      <c r="EA120" s="915">
        <f t="shared" si="131"/>
        <v>0</v>
      </c>
      <c r="EB120" s="915">
        <f t="shared" si="282"/>
        <v>0</v>
      </c>
      <c r="EC120" s="915">
        <f t="shared" si="283"/>
        <v>0</v>
      </c>
      <c r="ED120" s="915">
        <f t="shared" si="284"/>
        <v>10</v>
      </c>
      <c r="EE120" s="915">
        <f t="shared" si="285"/>
        <v>0</v>
      </c>
      <c r="EF120" s="915">
        <f t="shared" si="286"/>
        <v>0</v>
      </c>
      <c r="EG120" s="915">
        <f t="shared" si="287"/>
        <v>0</v>
      </c>
      <c r="EH120" s="915">
        <f t="shared" si="288"/>
        <v>0</v>
      </c>
      <c r="EI120" s="915">
        <f t="shared" si="289"/>
        <v>0</v>
      </c>
      <c r="EJ120" s="915">
        <f t="shared" si="290"/>
        <v>0</v>
      </c>
      <c r="EK120" s="915">
        <f t="shared" si="291"/>
        <v>0</v>
      </c>
      <c r="EN120" s="533"/>
      <c r="EQ120" s="534"/>
    </row>
    <row r="121" spans="1:147" ht="14.1" customHeight="1" x14ac:dyDescent="0.2">
      <c r="A121" s="1026">
        <v>114</v>
      </c>
      <c r="B121" s="1023"/>
      <c r="C121" s="1028"/>
      <c r="D121" s="1020">
        <v>14</v>
      </c>
      <c r="E121" s="1020" t="s">
        <v>1247</v>
      </c>
      <c r="F121" s="1024" t="s">
        <v>2544</v>
      </c>
      <c r="G121" s="1025">
        <v>1</v>
      </c>
      <c r="H121" s="1022">
        <v>10</v>
      </c>
      <c r="I121" s="801">
        <f t="shared" si="250"/>
        <v>0</v>
      </c>
      <c r="J121" s="1021">
        <f t="shared" si="271"/>
        <v>10</v>
      </c>
      <c r="K121" s="225"/>
      <c r="L121" s="941" t="str">
        <f>TabName14 &amp; " - IChem"</f>
        <v>Phase 14 - IChem</v>
      </c>
      <c r="M121" s="951">
        <f>EE6</f>
        <v>10</v>
      </c>
      <c r="V121" s="915">
        <f t="shared" si="132"/>
        <v>0</v>
      </c>
      <c r="W121" s="915">
        <f t="shared" si="133"/>
        <v>0</v>
      </c>
      <c r="X121" s="915">
        <f t="shared" si="134"/>
        <v>0</v>
      </c>
      <c r="Y121" s="915">
        <f t="shared" si="135"/>
        <v>0</v>
      </c>
      <c r="Z121" s="915">
        <f t="shared" si="136"/>
        <v>0</v>
      </c>
      <c r="AA121" s="915">
        <f t="shared" si="137"/>
        <v>0</v>
      </c>
      <c r="AB121" s="915">
        <f t="shared" si="138"/>
        <v>0</v>
      </c>
      <c r="AC121" s="915">
        <f t="shared" si="139"/>
        <v>0</v>
      </c>
      <c r="AD121" s="915">
        <f t="shared" si="140"/>
        <v>0</v>
      </c>
      <c r="AE121" s="915">
        <f t="shared" si="141"/>
        <v>0</v>
      </c>
      <c r="AF121" s="915">
        <f t="shared" si="190"/>
        <v>0</v>
      </c>
      <c r="AG121" s="915">
        <f t="shared" si="191"/>
        <v>0</v>
      </c>
      <c r="AH121" s="915">
        <f t="shared" si="192"/>
        <v>0</v>
      </c>
      <c r="AI121" s="915">
        <f t="shared" si="193"/>
        <v>0</v>
      </c>
      <c r="AJ121" s="915">
        <f t="shared" si="194"/>
        <v>0</v>
      </c>
      <c r="AK121" s="915">
        <f t="shared" si="195"/>
        <v>0</v>
      </c>
      <c r="AL121" s="915">
        <f t="shared" si="196"/>
        <v>0</v>
      </c>
      <c r="AM121" s="915">
        <f t="shared" si="197"/>
        <v>0</v>
      </c>
      <c r="AN121" s="915">
        <f t="shared" si="198"/>
        <v>0</v>
      </c>
      <c r="AO121" s="915">
        <f t="shared" si="199"/>
        <v>0</v>
      </c>
      <c r="AP121" s="915">
        <f t="shared" si="142"/>
        <v>0</v>
      </c>
      <c r="AQ121" s="915">
        <f t="shared" si="143"/>
        <v>0</v>
      </c>
      <c r="AR121" s="915">
        <f t="shared" si="144"/>
        <v>0</v>
      </c>
      <c r="AS121" s="915">
        <f t="shared" si="145"/>
        <v>0</v>
      </c>
      <c r="AT121" s="915">
        <f t="shared" si="146"/>
        <v>0</v>
      </c>
      <c r="AU121" s="915">
        <f t="shared" si="147"/>
        <v>0</v>
      </c>
      <c r="AV121" s="915">
        <f t="shared" si="148"/>
        <v>0</v>
      </c>
      <c r="AW121" s="915">
        <f t="shared" si="149"/>
        <v>0</v>
      </c>
      <c r="AX121" s="915">
        <f t="shared" si="150"/>
        <v>0</v>
      </c>
      <c r="AY121" s="915">
        <f t="shared" si="200"/>
        <v>0</v>
      </c>
      <c r="AZ121" s="915">
        <f t="shared" si="201"/>
        <v>0</v>
      </c>
      <c r="BA121" s="915">
        <f t="shared" si="202"/>
        <v>0</v>
      </c>
      <c r="BB121" s="915">
        <f t="shared" si="203"/>
        <v>0</v>
      </c>
      <c r="BC121" s="915">
        <f t="shared" si="204"/>
        <v>0</v>
      </c>
      <c r="BD121" s="915">
        <f t="shared" si="205"/>
        <v>0</v>
      </c>
      <c r="BE121" s="915">
        <f t="shared" si="206"/>
        <v>0</v>
      </c>
      <c r="BF121" s="915">
        <f t="shared" si="207"/>
        <v>0</v>
      </c>
      <c r="BG121" s="915">
        <f t="shared" si="208"/>
        <v>0</v>
      </c>
      <c r="BH121" s="915">
        <f t="shared" si="209"/>
        <v>0</v>
      </c>
      <c r="BI121" s="915">
        <f t="shared" si="210"/>
        <v>0</v>
      </c>
      <c r="BJ121" s="915">
        <f t="shared" si="151"/>
        <v>0</v>
      </c>
      <c r="BK121" s="915">
        <f t="shared" si="152"/>
        <v>0</v>
      </c>
      <c r="BL121" s="915">
        <f t="shared" si="153"/>
        <v>0</v>
      </c>
      <c r="BM121" s="915">
        <f t="shared" si="154"/>
        <v>0</v>
      </c>
      <c r="BN121" s="915">
        <f t="shared" si="155"/>
        <v>0</v>
      </c>
      <c r="BO121" s="915">
        <f t="shared" si="156"/>
        <v>0</v>
      </c>
      <c r="BP121" s="915">
        <f t="shared" si="157"/>
        <v>0</v>
      </c>
      <c r="BQ121" s="915">
        <f t="shared" si="158"/>
        <v>0</v>
      </c>
      <c r="BR121" s="915">
        <f t="shared" si="159"/>
        <v>0</v>
      </c>
      <c r="BS121" s="915">
        <f t="shared" si="160"/>
        <v>0</v>
      </c>
      <c r="BT121" s="915">
        <f t="shared" si="262"/>
        <v>0</v>
      </c>
      <c r="BU121" s="915">
        <f t="shared" si="262"/>
        <v>0</v>
      </c>
      <c r="BV121" s="915">
        <f t="shared" si="263"/>
        <v>0</v>
      </c>
      <c r="BW121" s="915">
        <f t="shared" si="264"/>
        <v>0</v>
      </c>
      <c r="BX121" s="915">
        <f t="shared" si="265"/>
        <v>0</v>
      </c>
      <c r="BY121" s="915">
        <f t="shared" si="266"/>
        <v>0</v>
      </c>
      <c r="BZ121" s="915">
        <f t="shared" si="267"/>
        <v>0</v>
      </c>
      <c r="CA121" s="915">
        <f t="shared" si="268"/>
        <v>0</v>
      </c>
      <c r="CB121" s="915">
        <f t="shared" si="269"/>
        <v>0</v>
      </c>
      <c r="CC121" s="915">
        <f t="shared" si="270"/>
        <v>0</v>
      </c>
      <c r="CD121" s="915">
        <f t="shared" si="161"/>
        <v>0</v>
      </c>
      <c r="CE121" s="915">
        <f t="shared" si="162"/>
        <v>0</v>
      </c>
      <c r="CF121" s="915">
        <f t="shared" si="163"/>
        <v>0</v>
      </c>
      <c r="CG121" s="915">
        <f t="shared" si="164"/>
        <v>0</v>
      </c>
      <c r="CH121" s="915">
        <f t="shared" si="165"/>
        <v>0</v>
      </c>
      <c r="CI121" s="915">
        <f t="shared" si="166"/>
        <v>0</v>
      </c>
      <c r="CJ121" s="915">
        <f t="shared" si="167"/>
        <v>0</v>
      </c>
      <c r="CK121" s="915">
        <f t="shared" si="168"/>
        <v>0</v>
      </c>
      <c r="CL121" s="915">
        <f t="shared" si="169"/>
        <v>0</v>
      </c>
      <c r="CM121" s="915">
        <f t="shared" si="170"/>
        <v>0</v>
      </c>
      <c r="CN121" s="915">
        <f t="shared" si="220"/>
        <v>0</v>
      </c>
      <c r="CO121" s="915">
        <f t="shared" si="221"/>
        <v>0</v>
      </c>
      <c r="CP121" s="915">
        <f t="shared" si="222"/>
        <v>0</v>
      </c>
      <c r="CQ121" s="915">
        <f t="shared" si="223"/>
        <v>0</v>
      </c>
      <c r="CR121" s="915">
        <f t="shared" si="224"/>
        <v>0</v>
      </c>
      <c r="CS121" s="915">
        <f t="shared" si="225"/>
        <v>0</v>
      </c>
      <c r="CT121" s="915">
        <f t="shared" si="226"/>
        <v>0</v>
      </c>
      <c r="CU121" s="915">
        <f t="shared" si="227"/>
        <v>0</v>
      </c>
      <c r="CV121" s="915">
        <f t="shared" si="228"/>
        <v>0</v>
      </c>
      <c r="CW121" s="915">
        <f t="shared" si="229"/>
        <v>0</v>
      </c>
      <c r="CX121" s="915">
        <f t="shared" si="171"/>
        <v>0</v>
      </c>
      <c r="CY121" s="915">
        <f t="shared" si="172"/>
        <v>0</v>
      </c>
      <c r="CZ121" s="915">
        <f t="shared" si="173"/>
        <v>0</v>
      </c>
      <c r="DA121" s="915">
        <f t="shared" si="174"/>
        <v>0</v>
      </c>
      <c r="DB121" s="915">
        <f t="shared" si="175"/>
        <v>0</v>
      </c>
      <c r="DC121" s="915">
        <f t="shared" si="176"/>
        <v>0</v>
      </c>
      <c r="DD121" s="915">
        <f t="shared" si="177"/>
        <v>0</v>
      </c>
      <c r="DE121" s="915">
        <f t="shared" si="178"/>
        <v>0</v>
      </c>
      <c r="DF121" s="915">
        <f t="shared" si="179"/>
        <v>0</v>
      </c>
      <c r="DG121" s="915">
        <f t="shared" si="180"/>
        <v>0</v>
      </c>
      <c r="DH121" s="915">
        <f t="shared" si="272"/>
        <v>0</v>
      </c>
      <c r="DI121" s="915">
        <f t="shared" si="273"/>
        <v>0</v>
      </c>
      <c r="DJ121" s="915">
        <f t="shared" si="274"/>
        <v>0</v>
      </c>
      <c r="DK121" s="915">
        <f t="shared" si="275"/>
        <v>0</v>
      </c>
      <c r="DL121" s="915">
        <f t="shared" si="276"/>
        <v>0</v>
      </c>
      <c r="DM121" s="915">
        <f t="shared" si="277"/>
        <v>0</v>
      </c>
      <c r="DN121" s="915">
        <f t="shared" si="278"/>
        <v>0</v>
      </c>
      <c r="DO121" s="915">
        <f t="shared" si="279"/>
        <v>0</v>
      </c>
      <c r="DP121" s="915">
        <f t="shared" si="280"/>
        <v>0</v>
      </c>
      <c r="DQ121" s="915">
        <f t="shared" si="281"/>
        <v>0</v>
      </c>
      <c r="DR121" s="915">
        <f t="shared" si="181"/>
        <v>0</v>
      </c>
      <c r="DS121" s="915">
        <f t="shared" si="182"/>
        <v>0</v>
      </c>
      <c r="DT121" s="915">
        <f t="shared" si="183"/>
        <v>0</v>
      </c>
      <c r="DU121" s="915">
        <f t="shared" si="184"/>
        <v>0</v>
      </c>
      <c r="DV121" s="915">
        <f t="shared" si="185"/>
        <v>0</v>
      </c>
      <c r="DW121" s="915">
        <f t="shared" si="186"/>
        <v>0</v>
      </c>
      <c r="DX121" s="915">
        <f t="shared" si="187"/>
        <v>0</v>
      </c>
      <c r="DY121" s="915">
        <f t="shared" si="188"/>
        <v>0</v>
      </c>
      <c r="DZ121" s="915">
        <f t="shared" si="189"/>
        <v>0</v>
      </c>
      <c r="EA121" s="915">
        <f t="shared" si="131"/>
        <v>0</v>
      </c>
      <c r="EB121" s="915">
        <f t="shared" si="282"/>
        <v>0</v>
      </c>
      <c r="EC121" s="915">
        <f t="shared" si="283"/>
        <v>0</v>
      </c>
      <c r="ED121" s="915">
        <f t="shared" si="284"/>
        <v>0</v>
      </c>
      <c r="EE121" s="915">
        <f t="shared" si="285"/>
        <v>10</v>
      </c>
      <c r="EF121" s="915">
        <f t="shared" si="286"/>
        <v>0</v>
      </c>
      <c r="EG121" s="915">
        <f t="shared" si="287"/>
        <v>0</v>
      </c>
      <c r="EH121" s="915">
        <f t="shared" si="288"/>
        <v>0</v>
      </c>
      <c r="EI121" s="915">
        <f t="shared" si="289"/>
        <v>0</v>
      </c>
      <c r="EJ121" s="915">
        <f t="shared" si="290"/>
        <v>0</v>
      </c>
      <c r="EK121" s="915">
        <f t="shared" si="291"/>
        <v>0</v>
      </c>
      <c r="EN121" s="533"/>
      <c r="EQ121" s="534"/>
    </row>
    <row r="122" spans="1:147" ht="14.1" customHeight="1" x14ac:dyDescent="0.2">
      <c r="A122" s="496">
        <v>115</v>
      </c>
      <c r="B122" s="1006"/>
      <c r="C122" s="1007"/>
      <c r="D122" s="264">
        <v>15</v>
      </c>
      <c r="E122" s="264" t="s">
        <v>1247</v>
      </c>
      <c r="F122" s="270" t="s">
        <v>2544</v>
      </c>
      <c r="G122" s="271">
        <v>1</v>
      </c>
      <c r="H122" s="803">
        <v>10</v>
      </c>
      <c r="I122" s="800">
        <f t="shared" si="250"/>
        <v>0</v>
      </c>
      <c r="J122" s="269">
        <f t="shared" si="271"/>
        <v>10</v>
      </c>
      <c r="K122" s="225"/>
      <c r="L122" s="941" t="str">
        <f>TabName15 &amp; " - IChem"</f>
        <v>Phase 15 - IChem</v>
      </c>
      <c r="M122" s="951">
        <f>EF6</f>
        <v>10</v>
      </c>
      <c r="V122" s="915">
        <f t="shared" si="132"/>
        <v>0</v>
      </c>
      <c r="W122" s="915">
        <f t="shared" si="133"/>
        <v>0</v>
      </c>
      <c r="X122" s="915">
        <f t="shared" si="134"/>
        <v>0</v>
      </c>
      <c r="Y122" s="915">
        <f t="shared" si="135"/>
        <v>0</v>
      </c>
      <c r="Z122" s="915">
        <f t="shared" si="136"/>
        <v>0</v>
      </c>
      <c r="AA122" s="915">
        <f t="shared" si="137"/>
        <v>0</v>
      </c>
      <c r="AB122" s="915">
        <f t="shared" si="138"/>
        <v>0</v>
      </c>
      <c r="AC122" s="915">
        <f t="shared" si="139"/>
        <v>0</v>
      </c>
      <c r="AD122" s="915">
        <f t="shared" si="140"/>
        <v>0</v>
      </c>
      <c r="AE122" s="915">
        <f t="shared" si="141"/>
        <v>0</v>
      </c>
      <c r="AF122" s="915">
        <f t="shared" si="190"/>
        <v>0</v>
      </c>
      <c r="AG122" s="915">
        <f t="shared" si="191"/>
        <v>0</v>
      </c>
      <c r="AH122" s="915">
        <f t="shared" si="192"/>
        <v>0</v>
      </c>
      <c r="AI122" s="915">
        <f t="shared" si="193"/>
        <v>0</v>
      </c>
      <c r="AJ122" s="915">
        <f t="shared" si="194"/>
        <v>0</v>
      </c>
      <c r="AK122" s="915">
        <f t="shared" si="195"/>
        <v>0</v>
      </c>
      <c r="AL122" s="915">
        <f t="shared" si="196"/>
        <v>0</v>
      </c>
      <c r="AM122" s="915">
        <f t="shared" si="197"/>
        <v>0</v>
      </c>
      <c r="AN122" s="915">
        <f t="shared" si="198"/>
        <v>0</v>
      </c>
      <c r="AO122" s="915">
        <f t="shared" si="199"/>
        <v>0</v>
      </c>
      <c r="AP122" s="915">
        <f t="shared" si="142"/>
        <v>0</v>
      </c>
      <c r="AQ122" s="915">
        <f t="shared" si="143"/>
        <v>0</v>
      </c>
      <c r="AR122" s="915">
        <f t="shared" si="144"/>
        <v>0</v>
      </c>
      <c r="AS122" s="915">
        <f t="shared" si="145"/>
        <v>0</v>
      </c>
      <c r="AT122" s="915">
        <f t="shared" si="146"/>
        <v>0</v>
      </c>
      <c r="AU122" s="915">
        <f t="shared" si="147"/>
        <v>0</v>
      </c>
      <c r="AV122" s="915">
        <f t="shared" si="148"/>
        <v>0</v>
      </c>
      <c r="AW122" s="915">
        <f t="shared" si="149"/>
        <v>0</v>
      </c>
      <c r="AX122" s="915">
        <f t="shared" si="150"/>
        <v>0</v>
      </c>
      <c r="AY122" s="915">
        <f t="shared" si="200"/>
        <v>0</v>
      </c>
      <c r="AZ122" s="915">
        <f t="shared" si="201"/>
        <v>0</v>
      </c>
      <c r="BA122" s="915">
        <f t="shared" si="202"/>
        <v>0</v>
      </c>
      <c r="BB122" s="915">
        <f t="shared" si="203"/>
        <v>0</v>
      </c>
      <c r="BC122" s="915">
        <f t="shared" si="204"/>
        <v>0</v>
      </c>
      <c r="BD122" s="915">
        <f t="shared" si="205"/>
        <v>0</v>
      </c>
      <c r="BE122" s="915">
        <f t="shared" si="206"/>
        <v>0</v>
      </c>
      <c r="BF122" s="915">
        <f t="shared" si="207"/>
        <v>0</v>
      </c>
      <c r="BG122" s="915">
        <f t="shared" si="208"/>
        <v>0</v>
      </c>
      <c r="BH122" s="915">
        <f t="shared" si="209"/>
        <v>0</v>
      </c>
      <c r="BI122" s="915">
        <f t="shared" si="210"/>
        <v>0</v>
      </c>
      <c r="BJ122" s="915">
        <f t="shared" si="151"/>
        <v>0</v>
      </c>
      <c r="BK122" s="915">
        <f t="shared" si="152"/>
        <v>0</v>
      </c>
      <c r="BL122" s="915">
        <f t="shared" si="153"/>
        <v>0</v>
      </c>
      <c r="BM122" s="915">
        <f t="shared" si="154"/>
        <v>0</v>
      </c>
      <c r="BN122" s="915">
        <f t="shared" si="155"/>
        <v>0</v>
      </c>
      <c r="BO122" s="915">
        <f t="shared" si="156"/>
        <v>0</v>
      </c>
      <c r="BP122" s="915">
        <f t="shared" si="157"/>
        <v>0</v>
      </c>
      <c r="BQ122" s="915">
        <f t="shared" si="158"/>
        <v>0</v>
      </c>
      <c r="BR122" s="915">
        <f t="shared" si="159"/>
        <v>0</v>
      </c>
      <c r="BS122" s="915">
        <f t="shared" si="160"/>
        <v>0</v>
      </c>
      <c r="BT122" s="915">
        <f t="shared" si="262"/>
        <v>0</v>
      </c>
      <c r="BU122" s="915">
        <f t="shared" si="262"/>
        <v>0</v>
      </c>
      <c r="BV122" s="915">
        <f t="shared" si="263"/>
        <v>0</v>
      </c>
      <c r="BW122" s="915">
        <f t="shared" si="264"/>
        <v>0</v>
      </c>
      <c r="BX122" s="915">
        <f t="shared" si="265"/>
        <v>0</v>
      </c>
      <c r="BY122" s="915">
        <f t="shared" si="266"/>
        <v>0</v>
      </c>
      <c r="BZ122" s="915">
        <f t="shared" si="267"/>
        <v>0</v>
      </c>
      <c r="CA122" s="915">
        <f t="shared" si="268"/>
        <v>0</v>
      </c>
      <c r="CB122" s="915">
        <f t="shared" si="269"/>
        <v>0</v>
      </c>
      <c r="CC122" s="915">
        <f t="shared" si="270"/>
        <v>0</v>
      </c>
      <c r="CD122" s="915">
        <f t="shared" si="161"/>
        <v>0</v>
      </c>
      <c r="CE122" s="915">
        <f t="shared" si="162"/>
        <v>0</v>
      </c>
      <c r="CF122" s="915">
        <f t="shared" si="163"/>
        <v>0</v>
      </c>
      <c r="CG122" s="915">
        <f t="shared" si="164"/>
        <v>0</v>
      </c>
      <c r="CH122" s="915">
        <f t="shared" si="165"/>
        <v>0</v>
      </c>
      <c r="CI122" s="915">
        <f t="shared" si="166"/>
        <v>0</v>
      </c>
      <c r="CJ122" s="915">
        <f t="shared" si="167"/>
        <v>0</v>
      </c>
      <c r="CK122" s="915">
        <f t="shared" si="168"/>
        <v>0</v>
      </c>
      <c r="CL122" s="915">
        <f t="shared" si="169"/>
        <v>0</v>
      </c>
      <c r="CM122" s="915">
        <f t="shared" si="170"/>
        <v>0</v>
      </c>
      <c r="CN122" s="915">
        <f t="shared" si="220"/>
        <v>0</v>
      </c>
      <c r="CO122" s="915">
        <f t="shared" si="221"/>
        <v>0</v>
      </c>
      <c r="CP122" s="915">
        <f t="shared" si="222"/>
        <v>0</v>
      </c>
      <c r="CQ122" s="915">
        <f t="shared" si="223"/>
        <v>0</v>
      </c>
      <c r="CR122" s="915">
        <f t="shared" si="224"/>
        <v>0</v>
      </c>
      <c r="CS122" s="915">
        <f t="shared" si="225"/>
        <v>0</v>
      </c>
      <c r="CT122" s="915">
        <f t="shared" si="226"/>
        <v>0</v>
      </c>
      <c r="CU122" s="915">
        <f t="shared" si="227"/>
        <v>0</v>
      </c>
      <c r="CV122" s="915">
        <f t="shared" si="228"/>
        <v>0</v>
      </c>
      <c r="CW122" s="915">
        <f t="shared" si="229"/>
        <v>0</v>
      </c>
      <c r="CX122" s="915">
        <f t="shared" si="171"/>
        <v>0</v>
      </c>
      <c r="CY122" s="915">
        <f t="shared" si="172"/>
        <v>0</v>
      </c>
      <c r="CZ122" s="915">
        <f t="shared" si="173"/>
        <v>0</v>
      </c>
      <c r="DA122" s="915">
        <f t="shared" si="174"/>
        <v>0</v>
      </c>
      <c r="DB122" s="915">
        <f t="shared" si="175"/>
        <v>0</v>
      </c>
      <c r="DC122" s="915">
        <f t="shared" si="176"/>
        <v>0</v>
      </c>
      <c r="DD122" s="915">
        <f t="shared" si="177"/>
        <v>0</v>
      </c>
      <c r="DE122" s="915">
        <f t="shared" si="178"/>
        <v>0</v>
      </c>
      <c r="DF122" s="915">
        <f t="shared" si="179"/>
        <v>0</v>
      </c>
      <c r="DG122" s="915">
        <f t="shared" si="180"/>
        <v>0</v>
      </c>
      <c r="DH122" s="915">
        <f t="shared" si="272"/>
        <v>0</v>
      </c>
      <c r="DI122" s="915">
        <f t="shared" si="273"/>
        <v>0</v>
      </c>
      <c r="DJ122" s="915">
        <f t="shared" si="274"/>
        <v>0</v>
      </c>
      <c r="DK122" s="915">
        <f t="shared" si="275"/>
        <v>0</v>
      </c>
      <c r="DL122" s="915">
        <f t="shared" si="276"/>
        <v>0</v>
      </c>
      <c r="DM122" s="915">
        <f t="shared" si="277"/>
        <v>0</v>
      </c>
      <c r="DN122" s="915">
        <f t="shared" si="278"/>
        <v>0</v>
      </c>
      <c r="DO122" s="915">
        <f t="shared" si="279"/>
        <v>0</v>
      </c>
      <c r="DP122" s="915">
        <f t="shared" si="280"/>
        <v>0</v>
      </c>
      <c r="DQ122" s="915">
        <f t="shared" si="281"/>
        <v>0</v>
      </c>
      <c r="DR122" s="915">
        <f t="shared" si="181"/>
        <v>0</v>
      </c>
      <c r="DS122" s="915">
        <f t="shared" si="182"/>
        <v>0</v>
      </c>
      <c r="DT122" s="915">
        <f t="shared" si="183"/>
        <v>0</v>
      </c>
      <c r="DU122" s="915">
        <f t="shared" si="184"/>
        <v>0</v>
      </c>
      <c r="DV122" s="915">
        <f t="shared" si="185"/>
        <v>0</v>
      </c>
      <c r="DW122" s="915">
        <f t="shared" si="186"/>
        <v>0</v>
      </c>
      <c r="DX122" s="915">
        <f t="shared" si="187"/>
        <v>0</v>
      </c>
      <c r="DY122" s="915">
        <f t="shared" si="188"/>
        <v>0</v>
      </c>
      <c r="DZ122" s="915">
        <f t="shared" si="189"/>
        <v>0</v>
      </c>
      <c r="EA122" s="915">
        <f t="shared" ref="EA122:EA127" si="292">IF(AND($D122=$P$17,$E122=$R$13),$J122,0)</f>
        <v>0</v>
      </c>
      <c r="EB122" s="915">
        <f t="shared" si="282"/>
        <v>0</v>
      </c>
      <c r="EC122" s="915">
        <f t="shared" si="283"/>
        <v>0</v>
      </c>
      <c r="ED122" s="915">
        <f t="shared" si="284"/>
        <v>0</v>
      </c>
      <c r="EE122" s="915">
        <f t="shared" si="285"/>
        <v>0</v>
      </c>
      <c r="EF122" s="915">
        <f t="shared" si="286"/>
        <v>10</v>
      </c>
      <c r="EG122" s="915">
        <f t="shared" si="287"/>
        <v>0</v>
      </c>
      <c r="EH122" s="915">
        <f t="shared" si="288"/>
        <v>0</v>
      </c>
      <c r="EI122" s="915">
        <f t="shared" si="289"/>
        <v>0</v>
      </c>
      <c r="EJ122" s="915">
        <f t="shared" si="290"/>
        <v>0</v>
      </c>
      <c r="EK122" s="915">
        <f t="shared" si="291"/>
        <v>0</v>
      </c>
      <c r="EN122" s="533"/>
      <c r="EQ122" s="534"/>
    </row>
    <row r="123" spans="1:147" ht="14.1" customHeight="1" x14ac:dyDescent="0.2">
      <c r="A123" s="1026">
        <v>116</v>
      </c>
      <c r="B123" s="1023"/>
      <c r="C123" s="1028"/>
      <c r="D123" s="1020">
        <v>16</v>
      </c>
      <c r="E123" s="1020" t="s">
        <v>1247</v>
      </c>
      <c r="F123" s="1024" t="s">
        <v>2544</v>
      </c>
      <c r="G123" s="1025">
        <v>1</v>
      </c>
      <c r="H123" s="1022">
        <v>10</v>
      </c>
      <c r="I123" s="801">
        <f t="shared" si="250"/>
        <v>0</v>
      </c>
      <c r="J123" s="1021">
        <f t="shared" si="271"/>
        <v>10</v>
      </c>
      <c r="K123" s="225"/>
      <c r="L123" s="941" t="str">
        <f>TabName16 &amp; " - IChem"</f>
        <v>Phase 16 - IChem</v>
      </c>
      <c r="M123" s="951">
        <f>EG6</f>
        <v>10</v>
      </c>
      <c r="V123" s="915">
        <f t="shared" si="132"/>
        <v>0</v>
      </c>
      <c r="W123" s="915">
        <f t="shared" si="133"/>
        <v>0</v>
      </c>
      <c r="X123" s="915">
        <f t="shared" si="134"/>
        <v>0</v>
      </c>
      <c r="Y123" s="915">
        <f t="shared" si="135"/>
        <v>0</v>
      </c>
      <c r="Z123" s="915">
        <f t="shared" si="136"/>
        <v>0</v>
      </c>
      <c r="AA123" s="915">
        <f t="shared" si="137"/>
        <v>0</v>
      </c>
      <c r="AB123" s="915">
        <f t="shared" si="138"/>
        <v>0</v>
      </c>
      <c r="AC123" s="915">
        <f t="shared" si="139"/>
        <v>0</v>
      </c>
      <c r="AD123" s="915">
        <f t="shared" si="140"/>
        <v>0</v>
      </c>
      <c r="AE123" s="915">
        <f t="shared" si="141"/>
        <v>0</v>
      </c>
      <c r="AF123" s="915">
        <f t="shared" si="190"/>
        <v>0</v>
      </c>
      <c r="AG123" s="915">
        <f t="shared" si="191"/>
        <v>0</v>
      </c>
      <c r="AH123" s="915">
        <f t="shared" si="192"/>
        <v>0</v>
      </c>
      <c r="AI123" s="915">
        <f t="shared" si="193"/>
        <v>0</v>
      </c>
      <c r="AJ123" s="915">
        <f t="shared" si="194"/>
        <v>0</v>
      </c>
      <c r="AK123" s="915">
        <f t="shared" si="195"/>
        <v>0</v>
      </c>
      <c r="AL123" s="915">
        <f t="shared" si="196"/>
        <v>0</v>
      </c>
      <c r="AM123" s="915">
        <f t="shared" si="197"/>
        <v>0</v>
      </c>
      <c r="AN123" s="915">
        <f t="shared" si="198"/>
        <v>0</v>
      </c>
      <c r="AO123" s="915">
        <f t="shared" si="199"/>
        <v>0</v>
      </c>
      <c r="AP123" s="915">
        <f t="shared" si="142"/>
        <v>0</v>
      </c>
      <c r="AQ123" s="915">
        <f t="shared" si="143"/>
        <v>0</v>
      </c>
      <c r="AR123" s="915">
        <f t="shared" si="144"/>
        <v>0</v>
      </c>
      <c r="AS123" s="915">
        <f t="shared" si="145"/>
        <v>0</v>
      </c>
      <c r="AT123" s="915">
        <f t="shared" si="146"/>
        <v>0</v>
      </c>
      <c r="AU123" s="915">
        <f t="shared" si="147"/>
        <v>0</v>
      </c>
      <c r="AV123" s="915">
        <f t="shared" si="148"/>
        <v>0</v>
      </c>
      <c r="AW123" s="915">
        <f t="shared" si="149"/>
        <v>0</v>
      </c>
      <c r="AX123" s="915">
        <f t="shared" si="150"/>
        <v>0</v>
      </c>
      <c r="AY123" s="915">
        <f t="shared" si="200"/>
        <v>0</v>
      </c>
      <c r="AZ123" s="915">
        <f t="shared" si="201"/>
        <v>0</v>
      </c>
      <c r="BA123" s="915">
        <f t="shared" si="202"/>
        <v>0</v>
      </c>
      <c r="BB123" s="915">
        <f t="shared" si="203"/>
        <v>0</v>
      </c>
      <c r="BC123" s="915">
        <f t="shared" si="204"/>
        <v>0</v>
      </c>
      <c r="BD123" s="915">
        <f t="shared" si="205"/>
        <v>0</v>
      </c>
      <c r="BE123" s="915">
        <f t="shared" si="206"/>
        <v>0</v>
      </c>
      <c r="BF123" s="915">
        <f t="shared" si="207"/>
        <v>0</v>
      </c>
      <c r="BG123" s="915">
        <f t="shared" si="208"/>
        <v>0</v>
      </c>
      <c r="BH123" s="915">
        <f t="shared" si="209"/>
        <v>0</v>
      </c>
      <c r="BI123" s="915">
        <f t="shared" si="210"/>
        <v>0</v>
      </c>
      <c r="BJ123" s="915">
        <f t="shared" si="151"/>
        <v>0</v>
      </c>
      <c r="BK123" s="915">
        <f t="shared" si="152"/>
        <v>0</v>
      </c>
      <c r="BL123" s="915">
        <f t="shared" si="153"/>
        <v>0</v>
      </c>
      <c r="BM123" s="915">
        <f t="shared" si="154"/>
        <v>0</v>
      </c>
      <c r="BN123" s="915">
        <f t="shared" si="155"/>
        <v>0</v>
      </c>
      <c r="BO123" s="915">
        <f t="shared" si="156"/>
        <v>0</v>
      </c>
      <c r="BP123" s="915">
        <f t="shared" si="157"/>
        <v>0</v>
      </c>
      <c r="BQ123" s="915">
        <f t="shared" si="158"/>
        <v>0</v>
      </c>
      <c r="BR123" s="915">
        <f t="shared" si="159"/>
        <v>0</v>
      </c>
      <c r="BS123" s="915">
        <f t="shared" si="160"/>
        <v>0</v>
      </c>
      <c r="BT123" s="915">
        <f t="shared" si="262"/>
        <v>0</v>
      </c>
      <c r="BU123" s="915">
        <f t="shared" si="262"/>
        <v>0</v>
      </c>
      <c r="BV123" s="915">
        <f t="shared" si="263"/>
        <v>0</v>
      </c>
      <c r="BW123" s="915">
        <f t="shared" si="264"/>
        <v>0</v>
      </c>
      <c r="BX123" s="915">
        <f t="shared" si="265"/>
        <v>0</v>
      </c>
      <c r="BY123" s="915">
        <f t="shared" si="266"/>
        <v>0</v>
      </c>
      <c r="BZ123" s="915">
        <f t="shared" si="267"/>
        <v>0</v>
      </c>
      <c r="CA123" s="915">
        <f t="shared" si="268"/>
        <v>0</v>
      </c>
      <c r="CB123" s="915">
        <f t="shared" si="269"/>
        <v>0</v>
      </c>
      <c r="CC123" s="915">
        <f t="shared" si="270"/>
        <v>0</v>
      </c>
      <c r="CD123" s="915">
        <f t="shared" si="161"/>
        <v>0</v>
      </c>
      <c r="CE123" s="915">
        <f t="shared" si="162"/>
        <v>0</v>
      </c>
      <c r="CF123" s="915">
        <f t="shared" si="163"/>
        <v>0</v>
      </c>
      <c r="CG123" s="915">
        <f t="shared" si="164"/>
        <v>0</v>
      </c>
      <c r="CH123" s="915">
        <f t="shared" si="165"/>
        <v>0</v>
      </c>
      <c r="CI123" s="915">
        <f t="shared" si="166"/>
        <v>0</v>
      </c>
      <c r="CJ123" s="915">
        <f t="shared" si="167"/>
        <v>0</v>
      </c>
      <c r="CK123" s="915">
        <f t="shared" si="168"/>
        <v>0</v>
      </c>
      <c r="CL123" s="915">
        <f t="shared" si="169"/>
        <v>0</v>
      </c>
      <c r="CM123" s="915">
        <f t="shared" si="170"/>
        <v>0</v>
      </c>
      <c r="CN123" s="915">
        <f t="shared" si="220"/>
        <v>0</v>
      </c>
      <c r="CO123" s="915">
        <f t="shared" si="221"/>
        <v>0</v>
      </c>
      <c r="CP123" s="915">
        <f t="shared" si="222"/>
        <v>0</v>
      </c>
      <c r="CQ123" s="915">
        <f t="shared" si="223"/>
        <v>0</v>
      </c>
      <c r="CR123" s="915">
        <f t="shared" si="224"/>
        <v>0</v>
      </c>
      <c r="CS123" s="915">
        <f t="shared" si="225"/>
        <v>0</v>
      </c>
      <c r="CT123" s="915">
        <f t="shared" si="226"/>
        <v>0</v>
      </c>
      <c r="CU123" s="915">
        <f t="shared" si="227"/>
        <v>0</v>
      </c>
      <c r="CV123" s="915">
        <f t="shared" si="228"/>
        <v>0</v>
      </c>
      <c r="CW123" s="915">
        <f t="shared" si="229"/>
        <v>0</v>
      </c>
      <c r="CX123" s="915">
        <f t="shared" si="171"/>
        <v>0</v>
      </c>
      <c r="CY123" s="915">
        <f t="shared" si="172"/>
        <v>0</v>
      </c>
      <c r="CZ123" s="915">
        <f t="shared" si="173"/>
        <v>0</v>
      </c>
      <c r="DA123" s="915">
        <f t="shared" si="174"/>
        <v>0</v>
      </c>
      <c r="DB123" s="915">
        <f t="shared" si="175"/>
        <v>0</v>
      </c>
      <c r="DC123" s="915">
        <f t="shared" si="176"/>
        <v>0</v>
      </c>
      <c r="DD123" s="915">
        <f t="shared" si="177"/>
        <v>0</v>
      </c>
      <c r="DE123" s="915">
        <f t="shared" si="178"/>
        <v>0</v>
      </c>
      <c r="DF123" s="915">
        <f t="shared" si="179"/>
        <v>0</v>
      </c>
      <c r="DG123" s="915">
        <f t="shared" si="180"/>
        <v>0</v>
      </c>
      <c r="DH123" s="915">
        <f t="shared" si="272"/>
        <v>0</v>
      </c>
      <c r="DI123" s="915">
        <f t="shared" si="273"/>
        <v>0</v>
      </c>
      <c r="DJ123" s="915">
        <f t="shared" si="274"/>
        <v>0</v>
      </c>
      <c r="DK123" s="915">
        <f t="shared" si="275"/>
        <v>0</v>
      </c>
      <c r="DL123" s="915">
        <f t="shared" si="276"/>
        <v>0</v>
      </c>
      <c r="DM123" s="915">
        <f t="shared" si="277"/>
        <v>0</v>
      </c>
      <c r="DN123" s="915">
        <f t="shared" si="278"/>
        <v>0</v>
      </c>
      <c r="DO123" s="915">
        <f t="shared" si="279"/>
        <v>0</v>
      </c>
      <c r="DP123" s="915">
        <f t="shared" si="280"/>
        <v>0</v>
      </c>
      <c r="DQ123" s="915">
        <f t="shared" si="281"/>
        <v>0</v>
      </c>
      <c r="DR123" s="915">
        <f t="shared" si="181"/>
        <v>0</v>
      </c>
      <c r="DS123" s="915">
        <f t="shared" si="182"/>
        <v>0</v>
      </c>
      <c r="DT123" s="915">
        <f t="shared" si="183"/>
        <v>0</v>
      </c>
      <c r="DU123" s="915">
        <f t="shared" si="184"/>
        <v>0</v>
      </c>
      <c r="DV123" s="915">
        <f t="shared" si="185"/>
        <v>0</v>
      </c>
      <c r="DW123" s="915">
        <f t="shared" si="186"/>
        <v>0</v>
      </c>
      <c r="DX123" s="915">
        <f t="shared" si="187"/>
        <v>0</v>
      </c>
      <c r="DY123" s="915">
        <f t="shared" si="188"/>
        <v>0</v>
      </c>
      <c r="DZ123" s="915">
        <f t="shared" si="189"/>
        <v>0</v>
      </c>
      <c r="EA123" s="915">
        <f t="shared" si="292"/>
        <v>0</v>
      </c>
      <c r="EB123" s="915">
        <f t="shared" si="282"/>
        <v>0</v>
      </c>
      <c r="EC123" s="915">
        <f t="shared" si="283"/>
        <v>0</v>
      </c>
      <c r="ED123" s="915">
        <f t="shared" si="284"/>
        <v>0</v>
      </c>
      <c r="EE123" s="915">
        <f t="shared" si="285"/>
        <v>0</v>
      </c>
      <c r="EF123" s="915">
        <f t="shared" si="286"/>
        <v>0</v>
      </c>
      <c r="EG123" s="915">
        <f t="shared" si="287"/>
        <v>10</v>
      </c>
      <c r="EH123" s="915">
        <f t="shared" si="288"/>
        <v>0</v>
      </c>
      <c r="EI123" s="915">
        <f t="shared" si="289"/>
        <v>0</v>
      </c>
      <c r="EJ123" s="915">
        <f t="shared" si="290"/>
        <v>0</v>
      </c>
      <c r="EK123" s="915">
        <f t="shared" si="291"/>
        <v>0</v>
      </c>
      <c r="EN123" s="533"/>
      <c r="EQ123" s="534"/>
    </row>
    <row r="124" spans="1:147" ht="14.1" customHeight="1" x14ac:dyDescent="0.2">
      <c r="A124" s="496">
        <v>117</v>
      </c>
      <c r="B124" s="1006"/>
      <c r="C124" s="1007"/>
      <c r="D124" s="264">
        <v>17</v>
      </c>
      <c r="E124" s="264" t="s">
        <v>1247</v>
      </c>
      <c r="F124" s="270" t="s">
        <v>2544</v>
      </c>
      <c r="G124" s="271">
        <v>1</v>
      </c>
      <c r="H124" s="803">
        <v>10</v>
      </c>
      <c r="I124" s="800">
        <f t="shared" si="250"/>
        <v>0</v>
      </c>
      <c r="J124" s="269">
        <f t="shared" si="271"/>
        <v>10</v>
      </c>
      <c r="K124" s="225"/>
      <c r="L124" s="941" t="str">
        <f>TabName17 &amp; " - IChem"</f>
        <v>Phase 17 - IChem</v>
      </c>
      <c r="M124" s="951">
        <f>EH6</f>
        <v>10</v>
      </c>
      <c r="V124" s="915">
        <f t="shared" si="132"/>
        <v>0</v>
      </c>
      <c r="W124" s="915">
        <f t="shared" si="133"/>
        <v>0</v>
      </c>
      <c r="X124" s="915">
        <f t="shared" si="134"/>
        <v>0</v>
      </c>
      <c r="Y124" s="915">
        <f t="shared" si="135"/>
        <v>0</v>
      </c>
      <c r="Z124" s="915">
        <f t="shared" si="136"/>
        <v>0</v>
      </c>
      <c r="AA124" s="915">
        <f t="shared" si="137"/>
        <v>0</v>
      </c>
      <c r="AB124" s="915">
        <f t="shared" si="138"/>
        <v>0</v>
      </c>
      <c r="AC124" s="915">
        <f t="shared" si="139"/>
        <v>0</v>
      </c>
      <c r="AD124" s="915">
        <f t="shared" si="140"/>
        <v>0</v>
      </c>
      <c r="AE124" s="915">
        <f t="shared" si="141"/>
        <v>0</v>
      </c>
      <c r="AF124" s="915">
        <f t="shared" si="190"/>
        <v>0</v>
      </c>
      <c r="AG124" s="915">
        <f t="shared" si="191"/>
        <v>0</v>
      </c>
      <c r="AH124" s="915">
        <f t="shared" si="192"/>
        <v>0</v>
      </c>
      <c r="AI124" s="915">
        <f t="shared" si="193"/>
        <v>0</v>
      </c>
      <c r="AJ124" s="915">
        <f t="shared" si="194"/>
        <v>0</v>
      </c>
      <c r="AK124" s="915">
        <f t="shared" si="195"/>
        <v>0</v>
      </c>
      <c r="AL124" s="915">
        <f t="shared" si="196"/>
        <v>0</v>
      </c>
      <c r="AM124" s="915">
        <f t="shared" si="197"/>
        <v>0</v>
      </c>
      <c r="AN124" s="915">
        <f t="shared" si="198"/>
        <v>0</v>
      </c>
      <c r="AO124" s="915">
        <f t="shared" si="199"/>
        <v>0</v>
      </c>
      <c r="AP124" s="915">
        <f t="shared" si="142"/>
        <v>0</v>
      </c>
      <c r="AQ124" s="915">
        <f t="shared" si="143"/>
        <v>0</v>
      </c>
      <c r="AR124" s="915">
        <f t="shared" si="144"/>
        <v>0</v>
      </c>
      <c r="AS124" s="915">
        <f t="shared" si="145"/>
        <v>0</v>
      </c>
      <c r="AT124" s="915">
        <f t="shared" si="146"/>
        <v>0</v>
      </c>
      <c r="AU124" s="915">
        <f t="shared" si="147"/>
        <v>0</v>
      </c>
      <c r="AV124" s="915">
        <f t="shared" si="148"/>
        <v>0</v>
      </c>
      <c r="AW124" s="915">
        <f t="shared" si="149"/>
        <v>0</v>
      </c>
      <c r="AX124" s="915">
        <f t="shared" si="150"/>
        <v>0</v>
      </c>
      <c r="AY124" s="915">
        <f t="shared" si="200"/>
        <v>0</v>
      </c>
      <c r="AZ124" s="915">
        <f t="shared" si="201"/>
        <v>0</v>
      </c>
      <c r="BA124" s="915">
        <f t="shared" si="202"/>
        <v>0</v>
      </c>
      <c r="BB124" s="915">
        <f t="shared" si="203"/>
        <v>0</v>
      </c>
      <c r="BC124" s="915">
        <f t="shared" si="204"/>
        <v>0</v>
      </c>
      <c r="BD124" s="915">
        <f t="shared" si="205"/>
        <v>0</v>
      </c>
      <c r="BE124" s="915">
        <f t="shared" si="206"/>
        <v>0</v>
      </c>
      <c r="BF124" s="915">
        <f t="shared" si="207"/>
        <v>0</v>
      </c>
      <c r="BG124" s="915">
        <f t="shared" si="208"/>
        <v>0</v>
      </c>
      <c r="BH124" s="915">
        <f t="shared" si="209"/>
        <v>0</v>
      </c>
      <c r="BI124" s="915">
        <f t="shared" si="210"/>
        <v>0</v>
      </c>
      <c r="BJ124" s="915">
        <f t="shared" si="151"/>
        <v>0</v>
      </c>
      <c r="BK124" s="915">
        <f t="shared" si="152"/>
        <v>0</v>
      </c>
      <c r="BL124" s="915">
        <f t="shared" si="153"/>
        <v>0</v>
      </c>
      <c r="BM124" s="915">
        <f t="shared" si="154"/>
        <v>0</v>
      </c>
      <c r="BN124" s="915">
        <f t="shared" si="155"/>
        <v>0</v>
      </c>
      <c r="BO124" s="915">
        <f t="shared" si="156"/>
        <v>0</v>
      </c>
      <c r="BP124" s="915">
        <f t="shared" si="157"/>
        <v>0</v>
      </c>
      <c r="BQ124" s="915">
        <f t="shared" si="158"/>
        <v>0</v>
      </c>
      <c r="BR124" s="915">
        <f t="shared" si="159"/>
        <v>0</v>
      </c>
      <c r="BS124" s="915">
        <f t="shared" si="160"/>
        <v>0</v>
      </c>
      <c r="BT124" s="915">
        <f t="shared" si="262"/>
        <v>0</v>
      </c>
      <c r="BU124" s="915">
        <f t="shared" si="262"/>
        <v>0</v>
      </c>
      <c r="BV124" s="915">
        <f t="shared" si="263"/>
        <v>0</v>
      </c>
      <c r="BW124" s="915">
        <f t="shared" si="264"/>
        <v>0</v>
      </c>
      <c r="BX124" s="915">
        <f t="shared" si="265"/>
        <v>0</v>
      </c>
      <c r="BY124" s="915">
        <f t="shared" si="266"/>
        <v>0</v>
      </c>
      <c r="BZ124" s="915">
        <f t="shared" si="267"/>
        <v>0</v>
      </c>
      <c r="CA124" s="915">
        <f t="shared" si="268"/>
        <v>0</v>
      </c>
      <c r="CB124" s="915">
        <f t="shared" si="269"/>
        <v>0</v>
      </c>
      <c r="CC124" s="915">
        <f t="shared" si="270"/>
        <v>0</v>
      </c>
      <c r="CD124" s="915">
        <f t="shared" si="161"/>
        <v>0</v>
      </c>
      <c r="CE124" s="915">
        <f t="shared" si="162"/>
        <v>0</v>
      </c>
      <c r="CF124" s="915">
        <f t="shared" si="163"/>
        <v>0</v>
      </c>
      <c r="CG124" s="915">
        <f t="shared" si="164"/>
        <v>0</v>
      </c>
      <c r="CH124" s="915">
        <f t="shared" si="165"/>
        <v>0</v>
      </c>
      <c r="CI124" s="915">
        <f t="shared" si="166"/>
        <v>0</v>
      </c>
      <c r="CJ124" s="915">
        <f t="shared" si="167"/>
        <v>0</v>
      </c>
      <c r="CK124" s="915">
        <f t="shared" si="168"/>
        <v>0</v>
      </c>
      <c r="CL124" s="915">
        <f t="shared" si="169"/>
        <v>0</v>
      </c>
      <c r="CM124" s="915">
        <f t="shared" si="170"/>
        <v>0</v>
      </c>
      <c r="CN124" s="915">
        <f t="shared" si="220"/>
        <v>0</v>
      </c>
      <c r="CO124" s="915">
        <f t="shared" si="221"/>
        <v>0</v>
      </c>
      <c r="CP124" s="915">
        <f t="shared" si="222"/>
        <v>0</v>
      </c>
      <c r="CQ124" s="915">
        <f t="shared" si="223"/>
        <v>0</v>
      </c>
      <c r="CR124" s="915">
        <f t="shared" si="224"/>
        <v>0</v>
      </c>
      <c r="CS124" s="915">
        <f t="shared" si="225"/>
        <v>0</v>
      </c>
      <c r="CT124" s="915">
        <f t="shared" si="226"/>
        <v>0</v>
      </c>
      <c r="CU124" s="915">
        <f t="shared" si="227"/>
        <v>0</v>
      </c>
      <c r="CV124" s="915">
        <f t="shared" si="228"/>
        <v>0</v>
      </c>
      <c r="CW124" s="915">
        <f t="shared" si="229"/>
        <v>0</v>
      </c>
      <c r="CX124" s="915">
        <f t="shared" si="171"/>
        <v>0</v>
      </c>
      <c r="CY124" s="915">
        <f t="shared" si="172"/>
        <v>0</v>
      </c>
      <c r="CZ124" s="915">
        <f t="shared" si="173"/>
        <v>0</v>
      </c>
      <c r="DA124" s="915">
        <f t="shared" si="174"/>
        <v>0</v>
      </c>
      <c r="DB124" s="915">
        <f t="shared" si="175"/>
        <v>0</v>
      </c>
      <c r="DC124" s="915">
        <f t="shared" si="176"/>
        <v>0</v>
      </c>
      <c r="DD124" s="915">
        <f t="shared" si="177"/>
        <v>0</v>
      </c>
      <c r="DE124" s="915">
        <f t="shared" si="178"/>
        <v>0</v>
      </c>
      <c r="DF124" s="915">
        <f t="shared" si="179"/>
        <v>0</v>
      </c>
      <c r="DG124" s="915">
        <f t="shared" si="180"/>
        <v>0</v>
      </c>
      <c r="DH124" s="915">
        <f t="shared" si="272"/>
        <v>0</v>
      </c>
      <c r="DI124" s="915">
        <f t="shared" si="273"/>
        <v>0</v>
      </c>
      <c r="DJ124" s="915">
        <f t="shared" si="274"/>
        <v>0</v>
      </c>
      <c r="DK124" s="915">
        <f t="shared" si="275"/>
        <v>0</v>
      </c>
      <c r="DL124" s="915">
        <f t="shared" si="276"/>
        <v>0</v>
      </c>
      <c r="DM124" s="915">
        <f t="shared" si="277"/>
        <v>0</v>
      </c>
      <c r="DN124" s="915">
        <f t="shared" si="278"/>
        <v>0</v>
      </c>
      <c r="DO124" s="915">
        <f t="shared" si="279"/>
        <v>0</v>
      </c>
      <c r="DP124" s="915">
        <f t="shared" si="280"/>
        <v>0</v>
      </c>
      <c r="DQ124" s="915">
        <f t="shared" si="281"/>
        <v>0</v>
      </c>
      <c r="DR124" s="915">
        <f t="shared" si="181"/>
        <v>0</v>
      </c>
      <c r="DS124" s="915">
        <f t="shared" si="182"/>
        <v>0</v>
      </c>
      <c r="DT124" s="915">
        <f t="shared" si="183"/>
        <v>0</v>
      </c>
      <c r="DU124" s="915">
        <f t="shared" si="184"/>
        <v>0</v>
      </c>
      <c r="DV124" s="915">
        <f t="shared" si="185"/>
        <v>0</v>
      </c>
      <c r="DW124" s="915">
        <f t="shared" si="186"/>
        <v>0</v>
      </c>
      <c r="DX124" s="915">
        <f t="shared" si="187"/>
        <v>0</v>
      </c>
      <c r="DY124" s="915">
        <f t="shared" si="188"/>
        <v>0</v>
      </c>
      <c r="DZ124" s="915">
        <f t="shared" si="189"/>
        <v>0</v>
      </c>
      <c r="EA124" s="915">
        <f t="shared" si="292"/>
        <v>0</v>
      </c>
      <c r="EB124" s="915">
        <f>IF(AND($D124=$P$18,$E124=$R$13),$J124,0)</f>
        <v>0</v>
      </c>
      <c r="EC124" s="915">
        <f>IF(AND($D124=$P$19,$E124=$R$13),$J124,0)</f>
        <v>0</v>
      </c>
      <c r="ED124" s="915">
        <f>IF(AND($D124=$P$20,$E124=$R$13),$J124,0)</f>
        <v>0</v>
      </c>
      <c r="EE124" s="915">
        <f>IF(AND($D124=$P$21,$E124=$R$13),$J124,0)</f>
        <v>0</v>
      </c>
      <c r="EF124" s="915">
        <f>IF(AND($D124=$P$22,$E124=$R$13),$J124,0)</f>
        <v>0</v>
      </c>
      <c r="EG124" s="915">
        <f>IF(AND($D124=$P$23,$E124=$R$13),$J124,0)</f>
        <v>0</v>
      </c>
      <c r="EH124" s="915">
        <f>IF(AND($D124=$P$24,$E124=$R$13),$J124,0)</f>
        <v>10</v>
      </c>
      <c r="EI124" s="915">
        <f>IF(AND($D124=$P$25,$E124=$R$13),$J124,0)</f>
        <v>0</v>
      </c>
      <c r="EJ124" s="915">
        <f>IF(AND($D124=$P$26,$E124=$R$13),$J124,0)</f>
        <v>0</v>
      </c>
      <c r="EK124" s="915">
        <f>IF(AND($D124=$P$27,$E124=$R$13),$J124,0)</f>
        <v>0</v>
      </c>
      <c r="EN124" s="533"/>
      <c r="EQ124" s="534"/>
    </row>
    <row r="125" spans="1:147" ht="14.1" customHeight="1" x14ac:dyDescent="0.2">
      <c r="A125" s="1026">
        <v>118</v>
      </c>
      <c r="B125" s="1023"/>
      <c r="C125" s="1028"/>
      <c r="D125" s="1020">
        <v>18</v>
      </c>
      <c r="E125" s="1020" t="s">
        <v>1247</v>
      </c>
      <c r="F125" s="1024" t="s">
        <v>2544</v>
      </c>
      <c r="G125" s="1025">
        <v>1</v>
      </c>
      <c r="H125" s="1022">
        <v>10</v>
      </c>
      <c r="I125" s="801">
        <f t="shared" si="250"/>
        <v>0</v>
      </c>
      <c r="J125" s="1021">
        <f t="shared" si="271"/>
        <v>10</v>
      </c>
      <c r="K125" s="225"/>
      <c r="L125" s="941" t="str">
        <f>TabName18 &amp; " - IChem"</f>
        <v>Phase 18 - IChem</v>
      </c>
      <c r="M125" s="951">
        <f>EI6</f>
        <v>10</v>
      </c>
      <c r="V125" s="915">
        <f t="shared" si="132"/>
        <v>0</v>
      </c>
      <c r="W125" s="915">
        <f t="shared" si="133"/>
        <v>0</v>
      </c>
      <c r="X125" s="915">
        <f t="shared" si="134"/>
        <v>0</v>
      </c>
      <c r="Y125" s="915">
        <f t="shared" si="135"/>
        <v>0</v>
      </c>
      <c r="Z125" s="915">
        <f t="shared" si="136"/>
        <v>0</v>
      </c>
      <c r="AA125" s="915">
        <f t="shared" si="137"/>
        <v>0</v>
      </c>
      <c r="AB125" s="915">
        <f t="shared" si="138"/>
        <v>0</v>
      </c>
      <c r="AC125" s="915">
        <f t="shared" si="139"/>
        <v>0</v>
      </c>
      <c r="AD125" s="915">
        <f t="shared" si="140"/>
        <v>0</v>
      </c>
      <c r="AE125" s="915">
        <f t="shared" si="141"/>
        <v>0</v>
      </c>
      <c r="AF125" s="915">
        <f t="shared" si="190"/>
        <v>0</v>
      </c>
      <c r="AG125" s="915">
        <f t="shared" si="191"/>
        <v>0</v>
      </c>
      <c r="AH125" s="915">
        <f t="shared" si="192"/>
        <v>0</v>
      </c>
      <c r="AI125" s="915">
        <f t="shared" si="193"/>
        <v>0</v>
      </c>
      <c r="AJ125" s="915">
        <f t="shared" si="194"/>
        <v>0</v>
      </c>
      <c r="AK125" s="915">
        <f t="shared" si="195"/>
        <v>0</v>
      </c>
      <c r="AL125" s="915">
        <f t="shared" si="196"/>
        <v>0</v>
      </c>
      <c r="AM125" s="915">
        <f t="shared" si="197"/>
        <v>0</v>
      </c>
      <c r="AN125" s="915">
        <f t="shared" si="198"/>
        <v>0</v>
      </c>
      <c r="AO125" s="915">
        <f t="shared" si="199"/>
        <v>0</v>
      </c>
      <c r="AP125" s="915">
        <f t="shared" si="142"/>
        <v>0</v>
      </c>
      <c r="AQ125" s="915">
        <f t="shared" si="143"/>
        <v>0</v>
      </c>
      <c r="AR125" s="915">
        <f t="shared" si="144"/>
        <v>0</v>
      </c>
      <c r="AS125" s="915">
        <f t="shared" si="145"/>
        <v>0</v>
      </c>
      <c r="AT125" s="915">
        <f t="shared" si="146"/>
        <v>0</v>
      </c>
      <c r="AU125" s="915">
        <f t="shared" si="147"/>
        <v>0</v>
      </c>
      <c r="AV125" s="915">
        <f t="shared" si="148"/>
        <v>0</v>
      </c>
      <c r="AW125" s="915">
        <f t="shared" si="149"/>
        <v>0</v>
      </c>
      <c r="AX125" s="915">
        <f t="shared" si="150"/>
        <v>0</v>
      </c>
      <c r="AY125" s="915">
        <f t="shared" si="200"/>
        <v>0</v>
      </c>
      <c r="AZ125" s="915">
        <f t="shared" si="201"/>
        <v>0</v>
      </c>
      <c r="BA125" s="915">
        <f t="shared" si="202"/>
        <v>0</v>
      </c>
      <c r="BB125" s="915">
        <f t="shared" si="203"/>
        <v>0</v>
      </c>
      <c r="BC125" s="915">
        <f t="shared" si="204"/>
        <v>0</v>
      </c>
      <c r="BD125" s="915">
        <f t="shared" si="205"/>
        <v>0</v>
      </c>
      <c r="BE125" s="915">
        <f t="shared" si="206"/>
        <v>0</v>
      </c>
      <c r="BF125" s="915">
        <f t="shared" si="207"/>
        <v>0</v>
      </c>
      <c r="BG125" s="915">
        <f t="shared" si="208"/>
        <v>0</v>
      </c>
      <c r="BH125" s="915">
        <f t="shared" si="209"/>
        <v>0</v>
      </c>
      <c r="BI125" s="915">
        <f t="shared" si="210"/>
        <v>0</v>
      </c>
      <c r="BJ125" s="915">
        <f t="shared" si="151"/>
        <v>0</v>
      </c>
      <c r="BK125" s="915">
        <f t="shared" si="152"/>
        <v>0</v>
      </c>
      <c r="BL125" s="915">
        <f t="shared" si="153"/>
        <v>0</v>
      </c>
      <c r="BM125" s="915">
        <f t="shared" si="154"/>
        <v>0</v>
      </c>
      <c r="BN125" s="915">
        <f t="shared" si="155"/>
        <v>0</v>
      </c>
      <c r="BO125" s="915">
        <f t="shared" si="156"/>
        <v>0</v>
      </c>
      <c r="BP125" s="915">
        <f t="shared" si="157"/>
        <v>0</v>
      </c>
      <c r="BQ125" s="915">
        <f t="shared" si="158"/>
        <v>0</v>
      </c>
      <c r="BR125" s="915">
        <f t="shared" si="159"/>
        <v>0</v>
      </c>
      <c r="BS125" s="915">
        <f t="shared" si="160"/>
        <v>0</v>
      </c>
      <c r="BT125" s="915">
        <f t="shared" si="262"/>
        <v>0</v>
      </c>
      <c r="BU125" s="915">
        <f t="shared" si="262"/>
        <v>0</v>
      </c>
      <c r="BV125" s="915">
        <f t="shared" si="263"/>
        <v>0</v>
      </c>
      <c r="BW125" s="915">
        <f t="shared" si="264"/>
        <v>0</v>
      </c>
      <c r="BX125" s="915">
        <f t="shared" si="265"/>
        <v>0</v>
      </c>
      <c r="BY125" s="915">
        <f t="shared" si="266"/>
        <v>0</v>
      </c>
      <c r="BZ125" s="915">
        <f t="shared" si="267"/>
        <v>0</v>
      </c>
      <c r="CA125" s="915">
        <f t="shared" si="268"/>
        <v>0</v>
      </c>
      <c r="CB125" s="915">
        <f t="shared" si="269"/>
        <v>0</v>
      </c>
      <c r="CC125" s="915">
        <f t="shared" si="270"/>
        <v>0</v>
      </c>
      <c r="CD125" s="915">
        <f t="shared" si="161"/>
        <v>0</v>
      </c>
      <c r="CE125" s="915">
        <f t="shared" si="162"/>
        <v>0</v>
      </c>
      <c r="CF125" s="915">
        <f t="shared" si="163"/>
        <v>0</v>
      </c>
      <c r="CG125" s="915">
        <f t="shared" si="164"/>
        <v>0</v>
      </c>
      <c r="CH125" s="915">
        <f t="shared" si="165"/>
        <v>0</v>
      </c>
      <c r="CI125" s="915">
        <f t="shared" si="166"/>
        <v>0</v>
      </c>
      <c r="CJ125" s="915">
        <f t="shared" si="167"/>
        <v>0</v>
      </c>
      <c r="CK125" s="915">
        <f t="shared" si="168"/>
        <v>0</v>
      </c>
      <c r="CL125" s="915">
        <f t="shared" si="169"/>
        <v>0</v>
      </c>
      <c r="CM125" s="915">
        <f t="shared" si="170"/>
        <v>0</v>
      </c>
      <c r="CN125" s="915">
        <f t="shared" si="220"/>
        <v>0</v>
      </c>
      <c r="CO125" s="915">
        <f t="shared" si="221"/>
        <v>0</v>
      </c>
      <c r="CP125" s="915">
        <f t="shared" si="222"/>
        <v>0</v>
      </c>
      <c r="CQ125" s="915">
        <f t="shared" si="223"/>
        <v>0</v>
      </c>
      <c r="CR125" s="915">
        <f t="shared" si="224"/>
        <v>0</v>
      </c>
      <c r="CS125" s="915">
        <f t="shared" si="225"/>
        <v>0</v>
      </c>
      <c r="CT125" s="915">
        <f t="shared" si="226"/>
        <v>0</v>
      </c>
      <c r="CU125" s="915">
        <f t="shared" si="227"/>
        <v>0</v>
      </c>
      <c r="CV125" s="915">
        <f t="shared" si="228"/>
        <v>0</v>
      </c>
      <c r="CW125" s="915">
        <f t="shared" si="229"/>
        <v>0</v>
      </c>
      <c r="CX125" s="915">
        <f t="shared" si="171"/>
        <v>0</v>
      </c>
      <c r="CY125" s="915">
        <f t="shared" si="172"/>
        <v>0</v>
      </c>
      <c r="CZ125" s="915">
        <f t="shared" si="173"/>
        <v>0</v>
      </c>
      <c r="DA125" s="915">
        <f t="shared" si="174"/>
        <v>0</v>
      </c>
      <c r="DB125" s="915">
        <f t="shared" si="175"/>
        <v>0</v>
      </c>
      <c r="DC125" s="915">
        <f t="shared" si="176"/>
        <v>0</v>
      </c>
      <c r="DD125" s="915">
        <f t="shared" si="177"/>
        <v>0</v>
      </c>
      <c r="DE125" s="915">
        <f t="shared" si="178"/>
        <v>0</v>
      </c>
      <c r="DF125" s="915">
        <f t="shared" si="179"/>
        <v>0</v>
      </c>
      <c r="DG125" s="915">
        <f t="shared" si="180"/>
        <v>0</v>
      </c>
      <c r="DH125" s="915">
        <f t="shared" si="272"/>
        <v>0</v>
      </c>
      <c r="DI125" s="915">
        <f t="shared" si="273"/>
        <v>0</v>
      </c>
      <c r="DJ125" s="915">
        <f t="shared" si="274"/>
        <v>0</v>
      </c>
      <c r="DK125" s="915">
        <f t="shared" si="275"/>
        <v>0</v>
      </c>
      <c r="DL125" s="915">
        <f t="shared" si="276"/>
        <v>0</v>
      </c>
      <c r="DM125" s="915">
        <f t="shared" si="277"/>
        <v>0</v>
      </c>
      <c r="DN125" s="915">
        <f t="shared" si="278"/>
        <v>0</v>
      </c>
      <c r="DO125" s="915">
        <f t="shared" si="279"/>
        <v>0</v>
      </c>
      <c r="DP125" s="915">
        <f t="shared" si="280"/>
        <v>0</v>
      </c>
      <c r="DQ125" s="915">
        <f t="shared" si="281"/>
        <v>0</v>
      </c>
      <c r="DR125" s="915">
        <f t="shared" si="181"/>
        <v>0</v>
      </c>
      <c r="DS125" s="915">
        <f t="shared" si="182"/>
        <v>0</v>
      </c>
      <c r="DT125" s="915">
        <f t="shared" si="183"/>
        <v>0</v>
      </c>
      <c r="DU125" s="915">
        <f t="shared" si="184"/>
        <v>0</v>
      </c>
      <c r="DV125" s="915">
        <f t="shared" si="185"/>
        <v>0</v>
      </c>
      <c r="DW125" s="915">
        <f t="shared" si="186"/>
        <v>0</v>
      </c>
      <c r="DX125" s="915">
        <f t="shared" si="187"/>
        <v>0</v>
      </c>
      <c r="DY125" s="915">
        <f t="shared" si="188"/>
        <v>0</v>
      </c>
      <c r="DZ125" s="915">
        <f t="shared" si="189"/>
        <v>0</v>
      </c>
      <c r="EA125" s="915">
        <f t="shared" si="292"/>
        <v>0</v>
      </c>
      <c r="EB125" s="915">
        <f t="shared" ref="EB125:EB126" si="293">IF(AND($D125=$P$18,$E125=$R$13),$J125,0)</f>
        <v>0</v>
      </c>
      <c r="EC125" s="915">
        <f t="shared" ref="EC125:EC126" si="294">IF(AND($D125=$P$19,$E125=$R$13),$J125,0)</f>
        <v>0</v>
      </c>
      <c r="ED125" s="915">
        <f t="shared" ref="ED125:ED126" si="295">IF(AND($D125=$P$20,$E125=$R$13),$J125,0)</f>
        <v>0</v>
      </c>
      <c r="EE125" s="915">
        <f t="shared" ref="EE125:EE126" si="296">IF(AND($D125=$P$21,$E125=$R$13),$J125,0)</f>
        <v>0</v>
      </c>
      <c r="EF125" s="915">
        <f t="shared" ref="EF125:EF126" si="297">IF(AND($D125=$P$22,$E125=$R$13),$J125,0)</f>
        <v>0</v>
      </c>
      <c r="EG125" s="915">
        <f t="shared" ref="EG125:EG126" si="298">IF(AND($D125=$P$23,$E125=$R$13),$J125,0)</f>
        <v>0</v>
      </c>
      <c r="EH125" s="915">
        <f t="shared" ref="EH125:EH126" si="299">IF(AND($D125=$P$24,$E125=$R$13),$J125,0)</f>
        <v>0</v>
      </c>
      <c r="EI125" s="915">
        <f t="shared" ref="EI125:EI126" si="300">IF(AND($D125=$P$25,$E125=$R$13),$J125,0)</f>
        <v>10</v>
      </c>
      <c r="EJ125" s="915">
        <f t="shared" ref="EJ125:EJ126" si="301">IF(AND($D125=$P$26,$E125=$R$13),$J125,0)</f>
        <v>0</v>
      </c>
      <c r="EK125" s="915">
        <f t="shared" ref="EK125:EK126" si="302">IF(AND($D125=$P$27,$E125=$R$13),$J125,0)</f>
        <v>0</v>
      </c>
      <c r="EN125" s="533"/>
      <c r="EQ125" s="534"/>
    </row>
    <row r="126" spans="1:147" ht="14.25" customHeight="1" x14ac:dyDescent="0.2">
      <c r="A126" s="496">
        <v>119</v>
      </c>
      <c r="B126" s="1006"/>
      <c r="C126" s="1007"/>
      <c r="D126" s="264">
        <v>19</v>
      </c>
      <c r="E126" s="264" t="s">
        <v>1247</v>
      </c>
      <c r="F126" s="270" t="s">
        <v>2544</v>
      </c>
      <c r="G126" s="271">
        <v>1</v>
      </c>
      <c r="H126" s="803">
        <v>10</v>
      </c>
      <c r="I126" s="800">
        <f t="shared" si="250"/>
        <v>0</v>
      </c>
      <c r="J126" s="269">
        <f t="shared" si="271"/>
        <v>10</v>
      </c>
      <c r="K126" s="225"/>
      <c r="L126" s="941" t="str">
        <f>TabName19 &amp; " - IChem"</f>
        <v>Phase 19 - IChem</v>
      </c>
      <c r="M126" s="951">
        <f>EJ6</f>
        <v>10</v>
      </c>
      <c r="V126" s="915">
        <f t="shared" si="132"/>
        <v>0</v>
      </c>
      <c r="W126" s="915">
        <f t="shared" si="133"/>
        <v>0</v>
      </c>
      <c r="X126" s="915">
        <f t="shared" si="134"/>
        <v>0</v>
      </c>
      <c r="Y126" s="915">
        <f t="shared" si="135"/>
        <v>0</v>
      </c>
      <c r="Z126" s="915">
        <f t="shared" si="136"/>
        <v>0</v>
      </c>
      <c r="AA126" s="915">
        <f t="shared" si="137"/>
        <v>0</v>
      </c>
      <c r="AB126" s="915">
        <f t="shared" si="138"/>
        <v>0</v>
      </c>
      <c r="AC126" s="915">
        <f t="shared" si="139"/>
        <v>0</v>
      </c>
      <c r="AD126" s="915">
        <f t="shared" si="140"/>
        <v>0</v>
      </c>
      <c r="AE126" s="915">
        <f t="shared" si="141"/>
        <v>0</v>
      </c>
      <c r="AF126" s="915">
        <f t="shared" si="190"/>
        <v>0</v>
      </c>
      <c r="AG126" s="915">
        <f t="shared" si="191"/>
        <v>0</v>
      </c>
      <c r="AH126" s="915">
        <f t="shared" si="192"/>
        <v>0</v>
      </c>
      <c r="AI126" s="915">
        <f t="shared" si="193"/>
        <v>0</v>
      </c>
      <c r="AJ126" s="915">
        <f t="shared" si="194"/>
        <v>0</v>
      </c>
      <c r="AK126" s="915">
        <f t="shared" si="195"/>
        <v>0</v>
      </c>
      <c r="AL126" s="915">
        <f t="shared" si="196"/>
        <v>0</v>
      </c>
      <c r="AM126" s="915">
        <f t="shared" si="197"/>
        <v>0</v>
      </c>
      <c r="AN126" s="915">
        <f t="shared" si="198"/>
        <v>0</v>
      </c>
      <c r="AO126" s="915">
        <f t="shared" si="199"/>
        <v>0</v>
      </c>
      <c r="AP126" s="915">
        <f t="shared" si="142"/>
        <v>0</v>
      </c>
      <c r="AQ126" s="915">
        <f t="shared" si="143"/>
        <v>0</v>
      </c>
      <c r="AR126" s="915">
        <f t="shared" si="144"/>
        <v>0</v>
      </c>
      <c r="AS126" s="915">
        <f t="shared" si="145"/>
        <v>0</v>
      </c>
      <c r="AT126" s="915">
        <f t="shared" si="146"/>
        <v>0</v>
      </c>
      <c r="AU126" s="915">
        <f t="shared" si="147"/>
        <v>0</v>
      </c>
      <c r="AV126" s="915">
        <f t="shared" si="148"/>
        <v>0</v>
      </c>
      <c r="AW126" s="915">
        <f t="shared" si="149"/>
        <v>0</v>
      </c>
      <c r="AX126" s="915">
        <f t="shared" si="150"/>
        <v>0</v>
      </c>
      <c r="AY126" s="915">
        <f t="shared" si="200"/>
        <v>0</v>
      </c>
      <c r="AZ126" s="915">
        <f t="shared" si="201"/>
        <v>0</v>
      </c>
      <c r="BA126" s="915">
        <f t="shared" si="202"/>
        <v>0</v>
      </c>
      <c r="BB126" s="915">
        <f t="shared" si="203"/>
        <v>0</v>
      </c>
      <c r="BC126" s="915">
        <f t="shared" si="204"/>
        <v>0</v>
      </c>
      <c r="BD126" s="915">
        <f t="shared" si="205"/>
        <v>0</v>
      </c>
      <c r="BE126" s="915">
        <f t="shared" si="206"/>
        <v>0</v>
      </c>
      <c r="BF126" s="915">
        <f t="shared" si="207"/>
        <v>0</v>
      </c>
      <c r="BG126" s="915">
        <f t="shared" si="208"/>
        <v>0</v>
      </c>
      <c r="BH126" s="915">
        <f t="shared" si="209"/>
        <v>0</v>
      </c>
      <c r="BI126" s="915">
        <f t="shared" si="210"/>
        <v>0</v>
      </c>
      <c r="BJ126" s="915">
        <f t="shared" si="151"/>
        <v>0</v>
      </c>
      <c r="BK126" s="915">
        <f t="shared" si="152"/>
        <v>0</v>
      </c>
      <c r="BL126" s="915">
        <f t="shared" si="153"/>
        <v>0</v>
      </c>
      <c r="BM126" s="915">
        <f t="shared" si="154"/>
        <v>0</v>
      </c>
      <c r="BN126" s="915">
        <f t="shared" si="155"/>
        <v>0</v>
      </c>
      <c r="BO126" s="915">
        <f t="shared" si="156"/>
        <v>0</v>
      </c>
      <c r="BP126" s="915">
        <f t="shared" si="157"/>
        <v>0</v>
      </c>
      <c r="BQ126" s="915">
        <f t="shared" si="158"/>
        <v>0</v>
      </c>
      <c r="BR126" s="915">
        <f t="shared" si="159"/>
        <v>0</v>
      </c>
      <c r="BS126" s="915">
        <f t="shared" si="160"/>
        <v>0</v>
      </c>
      <c r="BT126" s="915">
        <f t="shared" si="262"/>
        <v>0</v>
      </c>
      <c r="BU126" s="915">
        <f t="shared" si="262"/>
        <v>0</v>
      </c>
      <c r="BV126" s="915">
        <f t="shared" si="263"/>
        <v>0</v>
      </c>
      <c r="BW126" s="915">
        <f t="shared" si="264"/>
        <v>0</v>
      </c>
      <c r="BX126" s="915">
        <f t="shared" si="265"/>
        <v>0</v>
      </c>
      <c r="BY126" s="915">
        <f t="shared" si="266"/>
        <v>0</v>
      </c>
      <c r="BZ126" s="915">
        <f t="shared" si="267"/>
        <v>0</v>
      </c>
      <c r="CA126" s="915">
        <f t="shared" si="268"/>
        <v>0</v>
      </c>
      <c r="CB126" s="915">
        <f t="shared" si="269"/>
        <v>0</v>
      </c>
      <c r="CC126" s="915">
        <f t="shared" si="270"/>
        <v>0</v>
      </c>
      <c r="CD126" s="915">
        <f t="shared" si="161"/>
        <v>0</v>
      </c>
      <c r="CE126" s="915">
        <f t="shared" si="162"/>
        <v>0</v>
      </c>
      <c r="CF126" s="915">
        <f t="shared" si="163"/>
        <v>0</v>
      </c>
      <c r="CG126" s="915">
        <f t="shared" si="164"/>
        <v>0</v>
      </c>
      <c r="CH126" s="915">
        <f t="shared" si="165"/>
        <v>0</v>
      </c>
      <c r="CI126" s="915">
        <f t="shared" si="166"/>
        <v>0</v>
      </c>
      <c r="CJ126" s="915">
        <f t="shared" si="167"/>
        <v>0</v>
      </c>
      <c r="CK126" s="915">
        <f t="shared" si="168"/>
        <v>0</v>
      </c>
      <c r="CL126" s="915">
        <f t="shared" si="169"/>
        <v>0</v>
      </c>
      <c r="CM126" s="915">
        <f t="shared" si="170"/>
        <v>0</v>
      </c>
      <c r="CN126" s="915">
        <f t="shared" si="220"/>
        <v>0</v>
      </c>
      <c r="CO126" s="915">
        <f t="shared" si="221"/>
        <v>0</v>
      </c>
      <c r="CP126" s="915">
        <f t="shared" si="222"/>
        <v>0</v>
      </c>
      <c r="CQ126" s="915">
        <f t="shared" si="223"/>
        <v>0</v>
      </c>
      <c r="CR126" s="915">
        <f t="shared" si="224"/>
        <v>0</v>
      </c>
      <c r="CS126" s="915">
        <f t="shared" si="225"/>
        <v>0</v>
      </c>
      <c r="CT126" s="915">
        <f t="shared" si="226"/>
        <v>0</v>
      </c>
      <c r="CU126" s="915">
        <f t="shared" si="227"/>
        <v>0</v>
      </c>
      <c r="CV126" s="915">
        <f t="shared" si="228"/>
        <v>0</v>
      </c>
      <c r="CW126" s="915">
        <f t="shared" si="229"/>
        <v>0</v>
      </c>
      <c r="CX126" s="915">
        <f t="shared" si="171"/>
        <v>0</v>
      </c>
      <c r="CY126" s="915">
        <f t="shared" si="172"/>
        <v>0</v>
      </c>
      <c r="CZ126" s="915">
        <f t="shared" si="173"/>
        <v>0</v>
      </c>
      <c r="DA126" s="915">
        <f t="shared" si="174"/>
        <v>0</v>
      </c>
      <c r="DB126" s="915">
        <f t="shared" si="175"/>
        <v>0</v>
      </c>
      <c r="DC126" s="915">
        <f t="shared" si="176"/>
        <v>0</v>
      </c>
      <c r="DD126" s="915">
        <f t="shared" si="177"/>
        <v>0</v>
      </c>
      <c r="DE126" s="915">
        <f t="shared" si="178"/>
        <v>0</v>
      </c>
      <c r="DF126" s="915">
        <f t="shared" si="179"/>
        <v>0</v>
      </c>
      <c r="DG126" s="915">
        <f t="shared" si="180"/>
        <v>0</v>
      </c>
      <c r="DH126" s="915">
        <f t="shared" si="272"/>
        <v>0</v>
      </c>
      <c r="DI126" s="915">
        <f t="shared" si="273"/>
        <v>0</v>
      </c>
      <c r="DJ126" s="915">
        <f t="shared" si="274"/>
        <v>0</v>
      </c>
      <c r="DK126" s="915">
        <f t="shared" si="275"/>
        <v>0</v>
      </c>
      <c r="DL126" s="915">
        <f t="shared" si="276"/>
        <v>0</v>
      </c>
      <c r="DM126" s="915">
        <f t="shared" si="277"/>
        <v>0</v>
      </c>
      <c r="DN126" s="915">
        <f t="shared" si="278"/>
        <v>0</v>
      </c>
      <c r="DO126" s="915">
        <f t="shared" si="279"/>
        <v>0</v>
      </c>
      <c r="DP126" s="915">
        <f t="shared" si="280"/>
        <v>0</v>
      </c>
      <c r="DQ126" s="915">
        <f t="shared" si="281"/>
        <v>0</v>
      </c>
      <c r="DR126" s="915">
        <f t="shared" si="181"/>
        <v>0</v>
      </c>
      <c r="DS126" s="915">
        <f t="shared" si="182"/>
        <v>0</v>
      </c>
      <c r="DT126" s="915">
        <f t="shared" si="183"/>
        <v>0</v>
      </c>
      <c r="DU126" s="915">
        <f t="shared" si="184"/>
        <v>0</v>
      </c>
      <c r="DV126" s="915">
        <f t="shared" si="185"/>
        <v>0</v>
      </c>
      <c r="DW126" s="915">
        <f t="shared" si="186"/>
        <v>0</v>
      </c>
      <c r="DX126" s="915">
        <f t="shared" si="187"/>
        <v>0</v>
      </c>
      <c r="DY126" s="915">
        <f t="shared" si="188"/>
        <v>0</v>
      </c>
      <c r="DZ126" s="915">
        <f t="shared" si="189"/>
        <v>0</v>
      </c>
      <c r="EA126" s="915">
        <f t="shared" si="292"/>
        <v>0</v>
      </c>
      <c r="EB126" s="915">
        <f t="shared" si="293"/>
        <v>0</v>
      </c>
      <c r="EC126" s="915">
        <f t="shared" si="294"/>
        <v>0</v>
      </c>
      <c r="ED126" s="915">
        <f t="shared" si="295"/>
        <v>0</v>
      </c>
      <c r="EE126" s="915">
        <f t="shared" si="296"/>
        <v>0</v>
      </c>
      <c r="EF126" s="915">
        <f t="shared" si="297"/>
        <v>0</v>
      </c>
      <c r="EG126" s="915">
        <f t="shared" si="298"/>
        <v>0</v>
      </c>
      <c r="EH126" s="915">
        <f t="shared" si="299"/>
        <v>0</v>
      </c>
      <c r="EI126" s="915">
        <f t="shared" si="300"/>
        <v>0</v>
      </c>
      <c r="EJ126" s="915">
        <f t="shared" si="301"/>
        <v>10</v>
      </c>
      <c r="EK126" s="915">
        <f t="shared" si="302"/>
        <v>0</v>
      </c>
      <c r="EN126" s="533"/>
      <c r="EQ126" s="534"/>
    </row>
    <row r="127" spans="1:147" ht="14.1" customHeight="1" x14ac:dyDescent="0.2">
      <c r="A127" s="1026">
        <v>120</v>
      </c>
      <c r="B127" s="1023"/>
      <c r="C127" s="1028"/>
      <c r="D127" s="1020">
        <v>20</v>
      </c>
      <c r="E127" s="1020" t="s">
        <v>1247</v>
      </c>
      <c r="F127" s="1024" t="s">
        <v>2544</v>
      </c>
      <c r="G127" s="1025">
        <v>1</v>
      </c>
      <c r="H127" s="1022">
        <v>10</v>
      </c>
      <c r="I127" s="801">
        <f t="shared" si="250"/>
        <v>0</v>
      </c>
      <c r="J127" s="1021">
        <f t="shared" si="271"/>
        <v>10</v>
      </c>
      <c r="K127" s="225"/>
      <c r="L127" s="941" t="str">
        <f>TabName20 &amp; " - IChem"</f>
        <v>Phase 20 - IChem</v>
      </c>
      <c r="M127" s="951">
        <f>EK6</f>
        <v>10</v>
      </c>
      <c r="V127" s="915">
        <f t="shared" si="132"/>
        <v>0</v>
      </c>
      <c r="W127" s="915">
        <f t="shared" si="133"/>
        <v>0</v>
      </c>
      <c r="X127" s="915">
        <f t="shared" si="134"/>
        <v>0</v>
      </c>
      <c r="Y127" s="915">
        <f t="shared" si="135"/>
        <v>0</v>
      </c>
      <c r="Z127" s="915">
        <f t="shared" si="136"/>
        <v>0</v>
      </c>
      <c r="AA127" s="915">
        <f t="shared" si="137"/>
        <v>0</v>
      </c>
      <c r="AB127" s="915">
        <f t="shared" si="138"/>
        <v>0</v>
      </c>
      <c r="AC127" s="915">
        <f t="shared" si="139"/>
        <v>0</v>
      </c>
      <c r="AD127" s="915">
        <f t="shared" si="140"/>
        <v>0</v>
      </c>
      <c r="AE127" s="915">
        <f t="shared" si="141"/>
        <v>0</v>
      </c>
      <c r="AF127" s="915">
        <f t="shared" si="190"/>
        <v>0</v>
      </c>
      <c r="AG127" s="915">
        <f t="shared" si="191"/>
        <v>0</v>
      </c>
      <c r="AH127" s="915">
        <f t="shared" si="192"/>
        <v>0</v>
      </c>
      <c r="AI127" s="915">
        <f t="shared" si="193"/>
        <v>0</v>
      </c>
      <c r="AJ127" s="915">
        <f t="shared" si="194"/>
        <v>0</v>
      </c>
      <c r="AK127" s="915">
        <f t="shared" si="195"/>
        <v>0</v>
      </c>
      <c r="AL127" s="915">
        <f t="shared" si="196"/>
        <v>0</v>
      </c>
      <c r="AM127" s="915">
        <f t="shared" si="197"/>
        <v>0</v>
      </c>
      <c r="AN127" s="915">
        <f t="shared" si="198"/>
        <v>0</v>
      </c>
      <c r="AO127" s="915">
        <f t="shared" si="199"/>
        <v>0</v>
      </c>
      <c r="AP127" s="915">
        <f t="shared" si="142"/>
        <v>0</v>
      </c>
      <c r="AQ127" s="915">
        <f t="shared" si="143"/>
        <v>0</v>
      </c>
      <c r="AR127" s="915">
        <f t="shared" si="144"/>
        <v>0</v>
      </c>
      <c r="AS127" s="915">
        <f t="shared" si="145"/>
        <v>0</v>
      </c>
      <c r="AT127" s="915">
        <f t="shared" si="146"/>
        <v>0</v>
      </c>
      <c r="AU127" s="915">
        <f t="shared" si="147"/>
        <v>0</v>
      </c>
      <c r="AV127" s="915">
        <f t="shared" si="148"/>
        <v>0</v>
      </c>
      <c r="AW127" s="915">
        <f t="shared" si="149"/>
        <v>0</v>
      </c>
      <c r="AX127" s="915">
        <f t="shared" si="150"/>
        <v>0</v>
      </c>
      <c r="AY127" s="915">
        <f t="shared" si="200"/>
        <v>0</v>
      </c>
      <c r="AZ127" s="915">
        <f t="shared" si="201"/>
        <v>0</v>
      </c>
      <c r="BA127" s="915">
        <f t="shared" si="202"/>
        <v>0</v>
      </c>
      <c r="BB127" s="915">
        <f t="shared" si="203"/>
        <v>0</v>
      </c>
      <c r="BC127" s="915">
        <f t="shared" si="204"/>
        <v>0</v>
      </c>
      <c r="BD127" s="915">
        <f t="shared" si="205"/>
        <v>0</v>
      </c>
      <c r="BE127" s="915">
        <f t="shared" si="206"/>
        <v>0</v>
      </c>
      <c r="BF127" s="915">
        <f t="shared" si="207"/>
        <v>0</v>
      </c>
      <c r="BG127" s="915">
        <f t="shared" si="208"/>
        <v>0</v>
      </c>
      <c r="BH127" s="915">
        <f t="shared" si="209"/>
        <v>0</v>
      </c>
      <c r="BI127" s="915">
        <f t="shared" si="210"/>
        <v>0</v>
      </c>
      <c r="BJ127" s="915">
        <f t="shared" si="151"/>
        <v>0</v>
      </c>
      <c r="BK127" s="915">
        <f t="shared" si="152"/>
        <v>0</v>
      </c>
      <c r="BL127" s="915">
        <f t="shared" si="153"/>
        <v>0</v>
      </c>
      <c r="BM127" s="915">
        <f t="shared" si="154"/>
        <v>0</v>
      </c>
      <c r="BN127" s="915">
        <f t="shared" si="155"/>
        <v>0</v>
      </c>
      <c r="BO127" s="915">
        <f t="shared" si="156"/>
        <v>0</v>
      </c>
      <c r="BP127" s="915">
        <f t="shared" si="157"/>
        <v>0</v>
      </c>
      <c r="BQ127" s="915">
        <f t="shared" si="158"/>
        <v>0</v>
      </c>
      <c r="BR127" s="915">
        <f t="shared" si="159"/>
        <v>0</v>
      </c>
      <c r="BS127" s="915">
        <f t="shared" si="160"/>
        <v>0</v>
      </c>
      <c r="BT127" s="915">
        <f t="shared" si="262"/>
        <v>0</v>
      </c>
      <c r="BU127" s="915">
        <f t="shared" si="262"/>
        <v>0</v>
      </c>
      <c r="BV127" s="915">
        <f t="shared" si="263"/>
        <v>0</v>
      </c>
      <c r="BW127" s="915">
        <f t="shared" si="264"/>
        <v>0</v>
      </c>
      <c r="BX127" s="915">
        <f t="shared" si="265"/>
        <v>0</v>
      </c>
      <c r="BY127" s="915">
        <f t="shared" si="266"/>
        <v>0</v>
      </c>
      <c r="BZ127" s="915">
        <f t="shared" si="267"/>
        <v>0</v>
      </c>
      <c r="CA127" s="915">
        <f t="shared" si="268"/>
        <v>0</v>
      </c>
      <c r="CB127" s="915">
        <f t="shared" si="269"/>
        <v>0</v>
      </c>
      <c r="CC127" s="915">
        <f t="shared" si="270"/>
        <v>0</v>
      </c>
      <c r="CD127" s="915">
        <f t="shared" si="161"/>
        <v>0</v>
      </c>
      <c r="CE127" s="915">
        <f t="shared" si="162"/>
        <v>0</v>
      </c>
      <c r="CF127" s="915">
        <f t="shared" si="163"/>
        <v>0</v>
      </c>
      <c r="CG127" s="915">
        <f t="shared" si="164"/>
        <v>0</v>
      </c>
      <c r="CH127" s="915">
        <f t="shared" si="165"/>
        <v>0</v>
      </c>
      <c r="CI127" s="915">
        <f t="shared" si="166"/>
        <v>0</v>
      </c>
      <c r="CJ127" s="915">
        <f t="shared" si="167"/>
        <v>0</v>
      </c>
      <c r="CK127" s="915">
        <f t="shared" si="168"/>
        <v>0</v>
      </c>
      <c r="CL127" s="915">
        <f t="shared" si="169"/>
        <v>0</v>
      </c>
      <c r="CM127" s="915">
        <f t="shared" si="170"/>
        <v>0</v>
      </c>
      <c r="CN127" s="915">
        <f t="shared" si="220"/>
        <v>0</v>
      </c>
      <c r="CO127" s="915">
        <f t="shared" si="221"/>
        <v>0</v>
      </c>
      <c r="CP127" s="915">
        <f t="shared" si="222"/>
        <v>0</v>
      </c>
      <c r="CQ127" s="915">
        <f t="shared" si="223"/>
        <v>0</v>
      </c>
      <c r="CR127" s="915">
        <f t="shared" si="224"/>
        <v>0</v>
      </c>
      <c r="CS127" s="915">
        <f t="shared" si="225"/>
        <v>0</v>
      </c>
      <c r="CT127" s="915">
        <f t="shared" si="226"/>
        <v>0</v>
      </c>
      <c r="CU127" s="915">
        <f t="shared" si="227"/>
        <v>0</v>
      </c>
      <c r="CV127" s="915">
        <f t="shared" si="228"/>
        <v>0</v>
      </c>
      <c r="CW127" s="915">
        <f t="shared" si="229"/>
        <v>0</v>
      </c>
      <c r="CX127" s="915">
        <f t="shared" si="171"/>
        <v>0</v>
      </c>
      <c r="CY127" s="915">
        <f t="shared" si="172"/>
        <v>0</v>
      </c>
      <c r="CZ127" s="915">
        <f t="shared" si="173"/>
        <v>0</v>
      </c>
      <c r="DA127" s="915">
        <f t="shared" si="174"/>
        <v>0</v>
      </c>
      <c r="DB127" s="915">
        <f t="shared" si="175"/>
        <v>0</v>
      </c>
      <c r="DC127" s="915">
        <f t="shared" si="176"/>
        <v>0</v>
      </c>
      <c r="DD127" s="915">
        <f t="shared" si="177"/>
        <v>0</v>
      </c>
      <c r="DE127" s="915">
        <f t="shared" si="178"/>
        <v>0</v>
      </c>
      <c r="DF127" s="915">
        <f t="shared" si="179"/>
        <v>0</v>
      </c>
      <c r="DG127" s="915">
        <f t="shared" si="180"/>
        <v>0</v>
      </c>
      <c r="DH127" s="915">
        <f t="shared" si="272"/>
        <v>0</v>
      </c>
      <c r="DI127" s="915">
        <f t="shared" si="273"/>
        <v>0</v>
      </c>
      <c r="DJ127" s="915">
        <f t="shared" si="274"/>
        <v>0</v>
      </c>
      <c r="DK127" s="915">
        <f t="shared" si="275"/>
        <v>0</v>
      </c>
      <c r="DL127" s="915">
        <f t="shared" si="276"/>
        <v>0</v>
      </c>
      <c r="DM127" s="915">
        <f t="shared" si="277"/>
        <v>0</v>
      </c>
      <c r="DN127" s="915">
        <f t="shared" si="278"/>
        <v>0</v>
      </c>
      <c r="DO127" s="915">
        <f t="shared" si="279"/>
        <v>0</v>
      </c>
      <c r="DP127" s="915">
        <f t="shared" si="280"/>
        <v>0</v>
      </c>
      <c r="DQ127" s="915">
        <f t="shared" si="281"/>
        <v>0</v>
      </c>
      <c r="DR127" s="915">
        <f t="shared" si="181"/>
        <v>0</v>
      </c>
      <c r="DS127" s="915">
        <f t="shared" si="182"/>
        <v>0</v>
      </c>
      <c r="DT127" s="915">
        <f t="shared" si="183"/>
        <v>0</v>
      </c>
      <c r="DU127" s="915">
        <f t="shared" si="184"/>
        <v>0</v>
      </c>
      <c r="DV127" s="915">
        <f t="shared" si="185"/>
        <v>0</v>
      </c>
      <c r="DW127" s="915">
        <f t="shared" si="186"/>
        <v>0</v>
      </c>
      <c r="DX127" s="915">
        <f t="shared" si="187"/>
        <v>0</v>
      </c>
      <c r="DY127" s="915">
        <f t="shared" si="188"/>
        <v>0</v>
      </c>
      <c r="DZ127" s="915">
        <f t="shared" si="189"/>
        <v>0</v>
      </c>
      <c r="EA127" s="915">
        <f t="shared" si="292"/>
        <v>0</v>
      </c>
      <c r="EB127" s="915">
        <f>IF(AND($D127=$P$18,$E127=$R$13),$J127,0)</f>
        <v>0</v>
      </c>
      <c r="EC127" s="915">
        <f>IF(AND($D127=$P$19,$E127=$R$13),$J127,0)</f>
        <v>0</v>
      </c>
      <c r="ED127" s="915">
        <f>IF(AND($D127=$P$20,$E127=$R$13),$J127,0)</f>
        <v>0</v>
      </c>
      <c r="EE127" s="915">
        <f>IF(AND($D127=$P$21,$E127=$R$13),$J127,0)</f>
        <v>0</v>
      </c>
      <c r="EF127" s="915">
        <f>IF(AND($D127=$P$22,$E127=$R$13),$J127,0)</f>
        <v>0</v>
      </c>
      <c r="EG127" s="915">
        <f>IF(AND($D127=$P$23,$E127=$R$13),$J127,0)</f>
        <v>0</v>
      </c>
      <c r="EH127" s="915">
        <f>IF(AND($D127=$P$24,$E127=$R$13),$J127,0)</f>
        <v>0</v>
      </c>
      <c r="EI127" s="915">
        <f>IF(AND($D127=$P$25,$E127=$R$13),$J127,0)</f>
        <v>0</v>
      </c>
      <c r="EJ127" s="915">
        <f>IF(AND($D127=$P$26,$E127=$R$13),$J127,0)</f>
        <v>0</v>
      </c>
      <c r="EK127" s="915">
        <f>IF(AND($D127=$P$27,$E127=$R$13),$J127,0)</f>
        <v>10</v>
      </c>
      <c r="EN127" s="533"/>
      <c r="EQ127" s="534"/>
    </row>
    <row r="128" spans="1:147" ht="14.1" customHeight="1" x14ac:dyDescent="0.2">
      <c r="A128" s="1026">
        <v>122</v>
      </c>
      <c r="B128" s="1421" t="str">
        <f>"SAMPLE SHIPMENT COSTS FOR  " &amp; TabName1</f>
        <v>SAMPLE SHIPMENT COSTS FOR  Phase 1</v>
      </c>
      <c r="C128" s="1432"/>
      <c r="D128" s="141" t="str">
        <f>IF(LEN(TabName1=9),RIGHT(TabName1,1),RIGHT(TabName1,2))</f>
        <v>1</v>
      </c>
      <c r="E128" s="142" t="s">
        <v>164</v>
      </c>
      <c r="F128" s="139" t="s">
        <v>2544</v>
      </c>
      <c r="G128" s="1025">
        <v>1</v>
      </c>
      <c r="H128" s="1022">
        <v>10</v>
      </c>
      <c r="I128" s="119">
        <f>IF(LEFT(E128,1)="I",0,IF(ISTEXT(K128),0,StateTaxLab*G128*H128))</f>
        <v>0.6</v>
      </c>
      <c r="J128" s="90">
        <f t="shared" si="62"/>
        <v>10.6</v>
      </c>
      <c r="K128" s="498"/>
      <c r="V128" s="915"/>
      <c r="W128" s="915"/>
      <c r="X128" s="915"/>
      <c r="Y128" s="915"/>
      <c r="Z128" s="915"/>
      <c r="AA128" s="915"/>
      <c r="AB128" s="915"/>
      <c r="AC128" s="915"/>
      <c r="AD128" s="915"/>
      <c r="AE128" s="915"/>
      <c r="AF128" s="915"/>
      <c r="AG128" s="915"/>
      <c r="AH128" s="915"/>
      <c r="AI128" s="915"/>
      <c r="AJ128" s="915"/>
      <c r="AK128" s="915"/>
      <c r="AL128" s="915"/>
      <c r="AM128" s="915"/>
      <c r="AN128" s="915"/>
      <c r="AO128" s="915"/>
      <c r="AP128" s="915"/>
      <c r="AQ128" s="915"/>
      <c r="AR128" s="915"/>
      <c r="AS128" s="915"/>
      <c r="AT128" s="915"/>
      <c r="AU128" s="915"/>
      <c r="AV128" s="915"/>
      <c r="AW128" s="915"/>
      <c r="AX128" s="915"/>
      <c r="AY128" s="915"/>
      <c r="AZ128" s="915"/>
      <c r="BA128" s="915"/>
      <c r="BB128" s="915"/>
      <c r="BC128" s="915"/>
      <c r="BD128" s="915"/>
      <c r="BE128" s="915"/>
      <c r="BF128" s="915"/>
      <c r="BG128" s="915"/>
      <c r="BH128" s="915"/>
      <c r="BI128" s="915"/>
      <c r="BJ128" s="915"/>
      <c r="BK128" s="915"/>
      <c r="BL128" s="915"/>
      <c r="BM128" s="915"/>
      <c r="BN128" s="915"/>
      <c r="BO128" s="915"/>
      <c r="BP128" s="915"/>
      <c r="BQ128" s="915"/>
      <c r="BR128" s="915"/>
      <c r="BS128" s="915"/>
      <c r="BT128" s="915"/>
      <c r="BU128" s="915"/>
      <c r="BV128" s="915"/>
      <c r="BW128" s="915"/>
      <c r="BX128" s="915"/>
      <c r="BY128" s="915"/>
      <c r="BZ128" s="915"/>
      <c r="CA128" s="915"/>
      <c r="CB128" s="915"/>
      <c r="CC128" s="915"/>
      <c r="CD128" s="915"/>
      <c r="CE128" s="915"/>
      <c r="CF128" s="915"/>
      <c r="CG128" s="915"/>
      <c r="CH128" s="915"/>
      <c r="CI128" s="915"/>
      <c r="CJ128" s="915"/>
      <c r="CK128" s="915"/>
      <c r="CL128" s="915"/>
      <c r="CM128" s="915"/>
      <c r="CN128" s="915"/>
      <c r="CO128" s="915"/>
      <c r="CP128" s="915"/>
      <c r="CQ128" s="915"/>
      <c r="CR128" s="915"/>
      <c r="CS128" s="915"/>
      <c r="CT128" s="915"/>
      <c r="CU128" s="915"/>
      <c r="CV128" s="915"/>
      <c r="CW128" s="915"/>
      <c r="CX128" s="915"/>
      <c r="CY128" s="915"/>
      <c r="CZ128" s="915"/>
      <c r="DA128" s="915"/>
      <c r="DB128" s="915"/>
      <c r="DC128" s="915"/>
      <c r="DD128" s="915"/>
      <c r="DE128" s="915"/>
      <c r="DF128" s="915"/>
      <c r="DG128" s="915"/>
      <c r="DH128" s="915"/>
      <c r="DI128" s="915"/>
      <c r="DJ128" s="915"/>
      <c r="DK128" s="915"/>
      <c r="DL128" s="915"/>
      <c r="DM128" s="915"/>
      <c r="DN128" s="915"/>
      <c r="DO128" s="915"/>
      <c r="DP128" s="915"/>
      <c r="DQ128" s="915"/>
      <c r="DR128" s="915"/>
      <c r="DS128" s="915"/>
      <c r="DT128" s="915"/>
      <c r="DU128" s="915"/>
      <c r="DV128" s="915"/>
      <c r="DW128" s="915"/>
      <c r="DX128" s="915"/>
      <c r="DY128" s="915"/>
      <c r="DZ128" s="915"/>
      <c r="EA128" s="915"/>
      <c r="EB128" s="915"/>
      <c r="EC128" s="915"/>
      <c r="ED128" s="915"/>
      <c r="EE128" s="915"/>
      <c r="EF128" s="915"/>
      <c r="EG128" s="915"/>
      <c r="EH128" s="915"/>
      <c r="EI128" s="915"/>
      <c r="EJ128" s="915"/>
      <c r="EK128" s="915"/>
      <c r="EN128" s="533"/>
      <c r="EQ128" s="534"/>
    </row>
    <row r="129" spans="1:147" ht="14.1" customHeight="1" x14ac:dyDescent="0.2">
      <c r="A129" s="1026">
        <v>123</v>
      </c>
      <c r="B129" s="1421" t="str">
        <f>"SAMPLE SHIPMENT COSTS FOR  " &amp; TabName2</f>
        <v>SAMPLE SHIPMENT COSTS FOR  Phase 2</v>
      </c>
      <c r="C129" s="1432"/>
      <c r="D129" s="141" t="str">
        <f>IF(LEN(TabName2=9),RIGHT(TabName2,1),RIGHT(TabName2,2))</f>
        <v>2</v>
      </c>
      <c r="E129" s="142" t="s">
        <v>164</v>
      </c>
      <c r="F129" s="139" t="s">
        <v>2544</v>
      </c>
      <c r="G129" s="1025">
        <v>1</v>
      </c>
      <c r="H129" s="1022">
        <v>10</v>
      </c>
      <c r="I129" s="119">
        <f t="shared" ref="I129:I147" si="303">IF(LEFT(E129,1)="I",0,IF(ISTEXT(K129),0,StateTaxLab*G129*H129))</f>
        <v>0.6</v>
      </c>
      <c r="J129" s="90">
        <f t="shared" si="62"/>
        <v>10.6</v>
      </c>
      <c r="K129" s="225"/>
      <c r="V129" s="915"/>
      <c r="W129" s="915"/>
      <c r="X129" s="915"/>
      <c r="Y129" s="915"/>
      <c r="Z129" s="915"/>
      <c r="AA129" s="915"/>
      <c r="AB129" s="915"/>
      <c r="AC129" s="915"/>
      <c r="AD129" s="915"/>
      <c r="AE129" s="915"/>
      <c r="AF129" s="915"/>
      <c r="AG129" s="915"/>
      <c r="AH129" s="915"/>
      <c r="AI129" s="915"/>
      <c r="AJ129" s="915"/>
      <c r="AK129" s="915"/>
      <c r="AL129" s="915"/>
      <c r="AM129" s="915"/>
      <c r="AN129" s="915"/>
      <c r="AO129" s="915"/>
      <c r="AP129" s="915"/>
      <c r="AQ129" s="915"/>
      <c r="AR129" s="915"/>
      <c r="AS129" s="915"/>
      <c r="AT129" s="915"/>
      <c r="AU129" s="915"/>
      <c r="AV129" s="915"/>
      <c r="AW129" s="915"/>
      <c r="AX129" s="915"/>
      <c r="AY129" s="915"/>
      <c r="AZ129" s="915"/>
      <c r="BA129" s="915"/>
      <c r="BB129" s="915"/>
      <c r="BC129" s="915"/>
      <c r="BD129" s="915"/>
      <c r="BE129" s="915"/>
      <c r="BF129" s="915"/>
      <c r="BG129" s="915"/>
      <c r="BH129" s="915"/>
      <c r="BI129" s="915"/>
      <c r="BJ129" s="915"/>
      <c r="BK129" s="915"/>
      <c r="BL129" s="915"/>
      <c r="BM129" s="915"/>
      <c r="BN129" s="915"/>
      <c r="BO129" s="915"/>
      <c r="BP129" s="915"/>
      <c r="BQ129" s="915"/>
      <c r="BR129" s="915"/>
      <c r="BS129" s="915"/>
      <c r="BT129" s="915"/>
      <c r="BU129" s="915"/>
      <c r="BV129" s="915"/>
      <c r="BW129" s="915"/>
      <c r="BX129" s="915"/>
      <c r="BY129" s="915"/>
      <c r="BZ129" s="915"/>
      <c r="CA129" s="915"/>
      <c r="CB129" s="915"/>
      <c r="CC129" s="915"/>
      <c r="CD129" s="915"/>
      <c r="CE129" s="915"/>
      <c r="CF129" s="915"/>
      <c r="CG129" s="915"/>
      <c r="CH129" s="915"/>
      <c r="CI129" s="915"/>
      <c r="CJ129" s="915"/>
      <c r="CK129" s="915"/>
      <c r="CL129" s="915"/>
      <c r="CM129" s="915"/>
      <c r="CN129" s="915"/>
      <c r="CO129" s="915"/>
      <c r="CP129" s="915"/>
      <c r="CQ129" s="915"/>
      <c r="CR129" s="915"/>
      <c r="CS129" s="915"/>
      <c r="CT129" s="915"/>
      <c r="CU129" s="915"/>
      <c r="CV129" s="915"/>
      <c r="CW129" s="915"/>
      <c r="CX129" s="915"/>
      <c r="CY129" s="915"/>
      <c r="CZ129" s="915"/>
      <c r="DA129" s="915"/>
      <c r="DB129" s="915"/>
      <c r="DC129" s="915"/>
      <c r="DD129" s="915"/>
      <c r="DE129" s="915"/>
      <c r="DF129" s="915"/>
      <c r="DG129" s="915"/>
      <c r="DH129" s="915"/>
      <c r="DI129" s="915"/>
      <c r="DJ129" s="915"/>
      <c r="DK129" s="915"/>
      <c r="DL129" s="915"/>
      <c r="DM129" s="915"/>
      <c r="DN129" s="915"/>
      <c r="DO129" s="915"/>
      <c r="DP129" s="915"/>
      <c r="DQ129" s="915"/>
      <c r="DR129" s="915"/>
      <c r="DS129" s="915"/>
      <c r="DT129" s="915"/>
      <c r="DU129" s="915"/>
      <c r="DV129" s="915"/>
      <c r="DW129" s="915"/>
      <c r="DX129" s="915"/>
      <c r="DY129" s="915"/>
      <c r="DZ129" s="915"/>
      <c r="EA129" s="915"/>
      <c r="EB129" s="915"/>
      <c r="EC129" s="915"/>
      <c r="ED129" s="915"/>
      <c r="EE129" s="915"/>
      <c r="EF129" s="915"/>
      <c r="EG129" s="915"/>
      <c r="EH129" s="915"/>
      <c r="EI129" s="915"/>
      <c r="EJ129" s="915"/>
      <c r="EK129" s="915"/>
      <c r="EN129" s="533"/>
      <c r="EQ129" s="534"/>
    </row>
    <row r="130" spans="1:147" ht="14.1" customHeight="1" x14ac:dyDescent="0.2">
      <c r="A130" s="1026">
        <v>124</v>
      </c>
      <c r="B130" s="1421" t="str">
        <f>"SAMPLE SHIPMENT COSTS FOR  " &amp; TabName3</f>
        <v>SAMPLE SHIPMENT COSTS FOR  Phase 3</v>
      </c>
      <c r="C130" s="1432"/>
      <c r="D130" s="141" t="str">
        <f>IF(LEN(TabName3=9),RIGHT(TabName3,1),RIGHT(TabName3,2))</f>
        <v>3</v>
      </c>
      <c r="E130" s="142" t="s">
        <v>164</v>
      </c>
      <c r="F130" s="139" t="s">
        <v>2544</v>
      </c>
      <c r="G130" s="1025">
        <v>1</v>
      </c>
      <c r="H130" s="1022">
        <v>10</v>
      </c>
      <c r="I130" s="119">
        <f t="shared" si="303"/>
        <v>0.6</v>
      </c>
      <c r="J130" s="90">
        <f t="shared" si="62"/>
        <v>10.6</v>
      </c>
      <c r="K130" s="225"/>
      <c r="V130" s="915"/>
      <c r="W130" s="915"/>
      <c r="X130" s="915"/>
      <c r="Y130" s="915"/>
      <c r="Z130" s="915"/>
      <c r="AA130" s="915"/>
      <c r="AB130" s="915"/>
      <c r="AC130" s="915"/>
      <c r="AD130" s="915"/>
      <c r="AE130" s="915"/>
      <c r="AF130" s="915"/>
      <c r="AG130" s="915"/>
      <c r="AH130" s="915"/>
      <c r="AI130" s="915"/>
      <c r="AJ130" s="915"/>
      <c r="AK130" s="915"/>
      <c r="AL130" s="915"/>
      <c r="AM130" s="915"/>
      <c r="AN130" s="915"/>
      <c r="AO130" s="915"/>
      <c r="AP130" s="915"/>
      <c r="AQ130" s="915"/>
      <c r="AR130" s="915"/>
      <c r="AS130" s="915"/>
      <c r="AT130" s="915"/>
      <c r="AU130" s="915"/>
      <c r="AV130" s="915"/>
      <c r="AW130" s="915"/>
      <c r="AX130" s="915"/>
      <c r="AY130" s="915"/>
      <c r="AZ130" s="915"/>
      <c r="BA130" s="915"/>
      <c r="BB130" s="915"/>
      <c r="BC130" s="915"/>
      <c r="BD130" s="915"/>
      <c r="BE130" s="915"/>
      <c r="BF130" s="915"/>
      <c r="BG130" s="915"/>
      <c r="BH130" s="915"/>
      <c r="BI130" s="915"/>
      <c r="BJ130" s="915"/>
      <c r="BK130" s="915"/>
      <c r="BL130" s="915"/>
      <c r="BM130" s="915"/>
      <c r="BN130" s="915"/>
      <c r="BO130" s="915"/>
      <c r="BP130" s="915"/>
      <c r="BQ130" s="915"/>
      <c r="BR130" s="915"/>
      <c r="BS130" s="915"/>
      <c r="BT130" s="915"/>
      <c r="BU130" s="915"/>
      <c r="BV130" s="915"/>
      <c r="BW130" s="915"/>
      <c r="BX130" s="915"/>
      <c r="BY130" s="915"/>
      <c r="BZ130" s="915"/>
      <c r="CA130" s="915"/>
      <c r="CB130" s="915"/>
      <c r="CC130" s="915"/>
      <c r="CD130" s="915"/>
      <c r="CE130" s="915"/>
      <c r="CF130" s="915"/>
      <c r="CG130" s="915"/>
      <c r="CH130" s="915"/>
      <c r="CI130" s="915"/>
      <c r="CJ130" s="915"/>
      <c r="CK130" s="915"/>
      <c r="CL130" s="915"/>
      <c r="CM130" s="915"/>
      <c r="CN130" s="915"/>
      <c r="CO130" s="915"/>
      <c r="CP130" s="915"/>
      <c r="CQ130" s="915"/>
      <c r="CR130" s="915"/>
      <c r="CS130" s="915"/>
      <c r="CT130" s="915"/>
      <c r="CU130" s="915"/>
      <c r="CV130" s="915"/>
      <c r="CW130" s="915"/>
      <c r="CX130" s="915"/>
      <c r="CY130" s="915"/>
      <c r="CZ130" s="915"/>
      <c r="DA130" s="915"/>
      <c r="DB130" s="915"/>
      <c r="DC130" s="915"/>
      <c r="DD130" s="915"/>
      <c r="DE130" s="915"/>
      <c r="DF130" s="915"/>
      <c r="DG130" s="915"/>
      <c r="DH130" s="915"/>
      <c r="DI130" s="915"/>
      <c r="DJ130" s="915"/>
      <c r="DK130" s="915"/>
      <c r="DL130" s="915"/>
      <c r="DM130" s="915"/>
      <c r="DN130" s="915"/>
      <c r="DO130" s="915"/>
      <c r="DP130" s="915"/>
      <c r="DQ130" s="915"/>
      <c r="DR130" s="915"/>
      <c r="DS130" s="915"/>
      <c r="DT130" s="915"/>
      <c r="DU130" s="915"/>
      <c r="DV130" s="915"/>
      <c r="DW130" s="915"/>
      <c r="DX130" s="915"/>
      <c r="DY130" s="915"/>
      <c r="DZ130" s="915"/>
      <c r="EA130" s="915"/>
      <c r="EB130" s="915"/>
      <c r="EC130" s="915"/>
      <c r="ED130" s="915"/>
      <c r="EE130" s="915"/>
      <c r="EF130" s="915"/>
      <c r="EG130" s="915"/>
      <c r="EH130" s="915"/>
      <c r="EI130" s="915"/>
      <c r="EJ130" s="915"/>
      <c r="EK130" s="915"/>
      <c r="EN130" s="533"/>
      <c r="EQ130" s="534"/>
    </row>
    <row r="131" spans="1:147" ht="14.1" customHeight="1" x14ac:dyDescent="0.2">
      <c r="A131" s="1026">
        <v>125</v>
      </c>
      <c r="B131" s="1421" t="str">
        <f>"SAMPLE SHIPMENT COSTS FOR  " &amp; TabName4</f>
        <v>SAMPLE SHIPMENT COSTS FOR  Phase 4</v>
      </c>
      <c r="C131" s="1432"/>
      <c r="D131" s="141" t="str">
        <f>IF(LEN(TabName4=9),RIGHT(TabName4,1),RIGHT(TabName4,2))</f>
        <v>4</v>
      </c>
      <c r="E131" s="142" t="s">
        <v>164</v>
      </c>
      <c r="F131" s="139" t="s">
        <v>2544</v>
      </c>
      <c r="G131" s="1025">
        <v>1</v>
      </c>
      <c r="H131" s="1022">
        <v>10</v>
      </c>
      <c r="I131" s="1155">
        <f t="shared" si="303"/>
        <v>0.6</v>
      </c>
      <c r="J131" s="90">
        <f t="shared" si="62"/>
        <v>10.6</v>
      </c>
      <c r="K131" s="225"/>
      <c r="V131" s="915"/>
      <c r="W131" s="915"/>
      <c r="X131" s="915"/>
      <c r="Y131" s="915"/>
      <c r="Z131" s="915"/>
      <c r="AA131" s="915"/>
      <c r="AB131" s="915"/>
      <c r="AC131" s="915"/>
      <c r="AD131" s="915"/>
      <c r="AE131" s="915"/>
      <c r="AF131" s="915"/>
      <c r="AG131" s="915"/>
      <c r="AH131" s="915"/>
      <c r="AI131" s="915"/>
      <c r="AJ131" s="915"/>
      <c r="AK131" s="915"/>
      <c r="AL131" s="915"/>
      <c r="AM131" s="915"/>
      <c r="AN131" s="915"/>
      <c r="AO131" s="915"/>
      <c r="AP131" s="915"/>
      <c r="AQ131" s="915"/>
      <c r="AR131" s="915"/>
      <c r="AS131" s="915"/>
      <c r="AT131" s="915"/>
      <c r="AU131" s="915"/>
      <c r="AV131" s="915"/>
      <c r="AW131" s="915"/>
      <c r="AX131" s="915"/>
      <c r="AY131" s="915"/>
      <c r="AZ131" s="915"/>
      <c r="BA131" s="915"/>
      <c r="BB131" s="915"/>
      <c r="BC131" s="915"/>
      <c r="BD131" s="915"/>
      <c r="BE131" s="915"/>
      <c r="BF131" s="915"/>
      <c r="BG131" s="915"/>
      <c r="BH131" s="915"/>
      <c r="BI131" s="915"/>
      <c r="BJ131" s="915"/>
      <c r="BK131" s="915"/>
      <c r="BL131" s="915"/>
      <c r="BM131" s="915"/>
      <c r="BN131" s="915"/>
      <c r="BO131" s="915"/>
      <c r="BP131" s="915"/>
      <c r="BQ131" s="915"/>
      <c r="BR131" s="915"/>
      <c r="BS131" s="915"/>
      <c r="BT131" s="915"/>
      <c r="BU131" s="915"/>
      <c r="BV131" s="915"/>
      <c r="BW131" s="915"/>
      <c r="BX131" s="915"/>
      <c r="BY131" s="915"/>
      <c r="BZ131" s="915"/>
      <c r="CA131" s="915"/>
      <c r="CB131" s="915"/>
      <c r="CC131" s="915"/>
      <c r="CD131" s="915"/>
      <c r="CE131" s="915"/>
      <c r="CF131" s="915"/>
      <c r="CG131" s="915"/>
      <c r="CH131" s="915"/>
      <c r="CI131" s="915"/>
      <c r="CJ131" s="915"/>
      <c r="CK131" s="915"/>
      <c r="CL131" s="915"/>
      <c r="CM131" s="915"/>
      <c r="CN131" s="915"/>
      <c r="CO131" s="915"/>
      <c r="CP131" s="915"/>
      <c r="CQ131" s="915"/>
      <c r="CR131" s="915"/>
      <c r="CS131" s="915"/>
      <c r="CT131" s="915"/>
      <c r="CU131" s="915"/>
      <c r="CV131" s="915"/>
      <c r="CW131" s="915"/>
      <c r="CX131" s="915"/>
      <c r="CY131" s="915"/>
      <c r="CZ131" s="915"/>
      <c r="DA131" s="915"/>
      <c r="DB131" s="915"/>
      <c r="DC131" s="915"/>
      <c r="DD131" s="915"/>
      <c r="DE131" s="915"/>
      <c r="DF131" s="915"/>
      <c r="DG131" s="915"/>
      <c r="DH131" s="915"/>
      <c r="DI131" s="915"/>
      <c r="DJ131" s="915"/>
      <c r="DK131" s="915"/>
      <c r="DL131" s="915"/>
      <c r="DM131" s="915"/>
      <c r="DN131" s="915"/>
      <c r="DO131" s="915"/>
      <c r="DP131" s="915"/>
      <c r="DQ131" s="915"/>
      <c r="DR131" s="915"/>
      <c r="DS131" s="915"/>
      <c r="DT131" s="915"/>
      <c r="DU131" s="915"/>
      <c r="DV131" s="915"/>
      <c r="DW131" s="915"/>
      <c r="DX131" s="915"/>
      <c r="DY131" s="915"/>
      <c r="DZ131" s="915"/>
      <c r="EA131" s="915"/>
      <c r="EB131" s="915"/>
      <c r="EC131" s="915"/>
      <c r="ED131" s="915"/>
      <c r="EE131" s="915"/>
      <c r="EF131" s="915"/>
      <c r="EG131" s="915"/>
      <c r="EH131" s="915"/>
      <c r="EI131" s="915"/>
      <c r="EJ131" s="915"/>
      <c r="EK131" s="915"/>
      <c r="EN131" s="533"/>
      <c r="EQ131" s="534"/>
    </row>
    <row r="132" spans="1:147" ht="14.1" customHeight="1" x14ac:dyDescent="0.2">
      <c r="A132" s="1026">
        <v>126</v>
      </c>
      <c r="B132" s="1421" t="str">
        <f>"SAMPLE SHIPMENT COSTS FOR  " &amp; TabName5</f>
        <v>SAMPLE SHIPMENT COSTS FOR  Phase 5</v>
      </c>
      <c r="C132" s="1422"/>
      <c r="D132" s="141" t="str">
        <f>IF(LEN(TabName5=9),RIGHT(TabName5,1),RIGHT(TabName5,2))</f>
        <v>5</v>
      </c>
      <c r="E132" s="142" t="s">
        <v>164</v>
      </c>
      <c r="F132" s="139" t="s">
        <v>2544</v>
      </c>
      <c r="G132" s="1025">
        <v>1</v>
      </c>
      <c r="H132" s="1022">
        <v>10</v>
      </c>
      <c r="I132" s="119">
        <f t="shared" si="303"/>
        <v>0.6</v>
      </c>
      <c r="J132" s="90">
        <f t="shared" si="62"/>
        <v>10.6</v>
      </c>
      <c r="K132" s="225"/>
      <c r="V132" s="915"/>
      <c r="W132" s="915"/>
      <c r="X132" s="915"/>
      <c r="Y132" s="915"/>
      <c r="Z132" s="915"/>
      <c r="AA132" s="915"/>
      <c r="AB132" s="915"/>
      <c r="AC132" s="915"/>
      <c r="AD132" s="915"/>
      <c r="AE132" s="915"/>
      <c r="AF132" s="915"/>
      <c r="AG132" s="915"/>
      <c r="AH132" s="915"/>
      <c r="AI132" s="915"/>
      <c r="AJ132" s="915"/>
      <c r="AK132" s="915"/>
      <c r="AL132" s="915"/>
      <c r="AM132" s="915"/>
      <c r="AN132" s="915"/>
      <c r="AO132" s="915"/>
      <c r="AP132" s="915"/>
      <c r="AQ132" s="915"/>
      <c r="AR132" s="915"/>
      <c r="AS132" s="915"/>
      <c r="AT132" s="915"/>
      <c r="AU132" s="915"/>
      <c r="AV132" s="915"/>
      <c r="AW132" s="915"/>
      <c r="AX132" s="915"/>
      <c r="AY132" s="915"/>
      <c r="AZ132" s="915"/>
      <c r="BA132" s="915"/>
      <c r="BB132" s="915"/>
      <c r="BC132" s="915"/>
      <c r="BD132" s="915"/>
      <c r="BE132" s="915"/>
      <c r="BF132" s="915"/>
      <c r="BG132" s="915"/>
      <c r="BH132" s="915"/>
      <c r="BI132" s="915"/>
      <c r="BJ132" s="915"/>
      <c r="BK132" s="915"/>
      <c r="BL132" s="915"/>
      <c r="BM132" s="915"/>
      <c r="BN132" s="915"/>
      <c r="BO132" s="915"/>
      <c r="BP132" s="915"/>
      <c r="BQ132" s="915"/>
      <c r="BR132" s="915"/>
      <c r="BS132" s="915"/>
      <c r="BT132" s="915"/>
      <c r="BU132" s="915"/>
      <c r="BV132" s="915"/>
      <c r="BW132" s="915"/>
      <c r="BX132" s="915"/>
      <c r="BY132" s="915"/>
      <c r="BZ132" s="915"/>
      <c r="CA132" s="915"/>
      <c r="CB132" s="915"/>
      <c r="CC132" s="915"/>
      <c r="CD132" s="915"/>
      <c r="CE132" s="915"/>
      <c r="CF132" s="915"/>
      <c r="CG132" s="915"/>
      <c r="CH132" s="915"/>
      <c r="CI132" s="915"/>
      <c r="CJ132" s="915"/>
      <c r="CK132" s="915"/>
      <c r="CL132" s="915"/>
      <c r="CM132" s="915"/>
      <c r="CN132" s="915"/>
      <c r="CO132" s="915"/>
      <c r="CP132" s="915"/>
      <c r="CQ132" s="915"/>
      <c r="CR132" s="915"/>
      <c r="CS132" s="915"/>
      <c r="CT132" s="915"/>
      <c r="CU132" s="915"/>
      <c r="CV132" s="915"/>
      <c r="CW132" s="915"/>
      <c r="CX132" s="915"/>
      <c r="CY132" s="915"/>
      <c r="CZ132" s="915"/>
      <c r="DA132" s="915"/>
      <c r="DB132" s="915"/>
      <c r="DC132" s="915"/>
      <c r="DD132" s="915"/>
      <c r="DE132" s="915"/>
      <c r="DF132" s="915"/>
      <c r="DG132" s="915"/>
      <c r="DH132" s="915"/>
      <c r="DI132" s="915"/>
      <c r="DJ132" s="915"/>
      <c r="DK132" s="915"/>
      <c r="DL132" s="915"/>
      <c r="DM132" s="915"/>
      <c r="DN132" s="915"/>
      <c r="DO132" s="915"/>
      <c r="DP132" s="915"/>
      <c r="DQ132" s="915"/>
      <c r="DR132" s="915"/>
      <c r="DS132" s="915"/>
      <c r="DT132" s="915"/>
      <c r="DU132" s="915"/>
      <c r="DV132" s="915"/>
      <c r="DW132" s="915"/>
      <c r="DX132" s="915"/>
      <c r="DY132" s="915"/>
      <c r="DZ132" s="915"/>
      <c r="EA132" s="915"/>
      <c r="EB132" s="915"/>
      <c r="EC132" s="915"/>
      <c r="ED132" s="915"/>
      <c r="EE132" s="915"/>
      <c r="EF132" s="915"/>
      <c r="EG132" s="915"/>
      <c r="EH132" s="915"/>
      <c r="EI132" s="915"/>
      <c r="EJ132" s="915"/>
      <c r="EK132" s="915"/>
      <c r="EN132" s="533"/>
      <c r="EQ132" s="534"/>
    </row>
    <row r="133" spans="1:147" ht="14.1" customHeight="1" x14ac:dyDescent="0.2">
      <c r="A133" s="1026">
        <v>127</v>
      </c>
      <c r="B133" s="1421" t="str">
        <f>"SAMPLE SHIPMENT COSTS FOR  " &amp; TabName6</f>
        <v>SAMPLE SHIPMENT COSTS FOR  Phase 6</v>
      </c>
      <c r="C133" s="1422"/>
      <c r="D133" s="141" t="str">
        <f>IF(LEN(TabName6=9),RIGHT(TabName6,1),RIGHT(TabName6,2))</f>
        <v>6</v>
      </c>
      <c r="E133" s="142" t="s">
        <v>164</v>
      </c>
      <c r="F133" s="139" t="s">
        <v>2544</v>
      </c>
      <c r="G133" s="1025">
        <v>1</v>
      </c>
      <c r="H133" s="1022">
        <v>10</v>
      </c>
      <c r="I133" s="119">
        <f t="shared" si="303"/>
        <v>0.6</v>
      </c>
      <c r="J133" s="90">
        <f t="shared" si="62"/>
        <v>10.6</v>
      </c>
      <c r="K133" s="225"/>
      <c r="V133" s="915"/>
      <c r="W133" s="915"/>
      <c r="X133" s="915"/>
      <c r="Y133" s="915"/>
      <c r="Z133" s="915"/>
      <c r="AA133" s="915"/>
      <c r="AB133" s="915"/>
      <c r="AC133" s="915"/>
      <c r="AD133" s="915"/>
      <c r="AE133" s="915"/>
      <c r="AF133" s="915"/>
      <c r="AG133" s="915"/>
      <c r="AH133" s="915"/>
      <c r="AI133" s="915"/>
      <c r="AJ133" s="915"/>
      <c r="AK133" s="915"/>
      <c r="AL133" s="915"/>
      <c r="AM133" s="915"/>
      <c r="AN133" s="915"/>
      <c r="AO133" s="915"/>
      <c r="AP133" s="915"/>
      <c r="AQ133" s="915"/>
      <c r="AR133" s="915"/>
      <c r="AS133" s="915"/>
      <c r="AT133" s="915"/>
      <c r="AU133" s="915"/>
      <c r="AV133" s="915"/>
      <c r="AW133" s="915"/>
      <c r="AX133" s="915"/>
      <c r="AY133" s="915"/>
      <c r="AZ133" s="915"/>
      <c r="BA133" s="915"/>
      <c r="BB133" s="915"/>
      <c r="BC133" s="915"/>
      <c r="BD133" s="915"/>
      <c r="BE133" s="915"/>
      <c r="BF133" s="915"/>
      <c r="BG133" s="915"/>
      <c r="BH133" s="915"/>
      <c r="BI133" s="915"/>
      <c r="BJ133" s="915"/>
      <c r="BK133" s="915"/>
      <c r="BL133" s="915"/>
      <c r="BM133" s="915"/>
      <c r="BN133" s="915"/>
      <c r="BO133" s="915"/>
      <c r="BP133" s="915"/>
      <c r="BQ133" s="915"/>
      <c r="BR133" s="915"/>
      <c r="BS133" s="915"/>
      <c r="BT133" s="915"/>
      <c r="BU133" s="915"/>
      <c r="BV133" s="915"/>
      <c r="BW133" s="915"/>
      <c r="BX133" s="915"/>
      <c r="BY133" s="915"/>
      <c r="BZ133" s="915"/>
      <c r="CA133" s="915"/>
      <c r="CB133" s="915"/>
      <c r="CC133" s="915"/>
      <c r="CD133" s="915"/>
      <c r="CE133" s="915"/>
      <c r="CF133" s="915"/>
      <c r="CG133" s="915"/>
      <c r="CH133" s="915"/>
      <c r="CI133" s="915"/>
      <c r="CJ133" s="915"/>
      <c r="CK133" s="915"/>
      <c r="CL133" s="915"/>
      <c r="CM133" s="915"/>
      <c r="CN133" s="915"/>
      <c r="CO133" s="915"/>
      <c r="CP133" s="915"/>
      <c r="CQ133" s="915"/>
      <c r="CR133" s="915"/>
      <c r="CS133" s="915"/>
      <c r="CT133" s="915"/>
      <c r="CU133" s="915"/>
      <c r="CV133" s="915"/>
      <c r="CW133" s="915"/>
      <c r="CX133" s="915"/>
      <c r="CY133" s="915"/>
      <c r="CZ133" s="915"/>
      <c r="DA133" s="915"/>
      <c r="DB133" s="915"/>
      <c r="DC133" s="915"/>
      <c r="DD133" s="915"/>
      <c r="DE133" s="915"/>
      <c r="DF133" s="915"/>
      <c r="DG133" s="915"/>
      <c r="DH133" s="915"/>
      <c r="DI133" s="915"/>
      <c r="DJ133" s="915"/>
      <c r="DK133" s="915"/>
      <c r="DL133" s="915"/>
      <c r="DM133" s="915"/>
      <c r="DN133" s="915"/>
      <c r="DO133" s="915"/>
      <c r="DP133" s="915"/>
      <c r="DQ133" s="915"/>
      <c r="DR133" s="915"/>
      <c r="DS133" s="915"/>
      <c r="DT133" s="915"/>
      <c r="DU133" s="915"/>
      <c r="DV133" s="915"/>
      <c r="DW133" s="915"/>
      <c r="DX133" s="915"/>
      <c r="DY133" s="915"/>
      <c r="DZ133" s="915"/>
      <c r="EA133" s="915"/>
      <c r="EB133" s="915"/>
      <c r="EC133" s="915"/>
      <c r="ED133" s="915"/>
      <c r="EE133" s="915"/>
      <c r="EF133" s="915"/>
      <c r="EG133" s="915"/>
      <c r="EH133" s="915"/>
      <c r="EI133" s="915"/>
      <c r="EJ133" s="915"/>
      <c r="EK133" s="915"/>
      <c r="EN133" s="533"/>
      <c r="EQ133" s="534"/>
    </row>
    <row r="134" spans="1:147" x14ac:dyDescent="0.2">
      <c r="A134" s="1026">
        <v>128</v>
      </c>
      <c r="B134" s="1421" t="str">
        <f>"SAMPLE SHIPMENT COSTS FOR  " &amp; TabName7</f>
        <v>SAMPLE SHIPMENT COSTS FOR  Phase 7</v>
      </c>
      <c r="C134" s="1422"/>
      <c r="D134" s="141" t="str">
        <f>IF(LEN(TabName7=9),RIGHT(TabName7,1),RIGHT(TabName7,2))</f>
        <v>7</v>
      </c>
      <c r="E134" s="142" t="s">
        <v>164</v>
      </c>
      <c r="F134" s="139" t="s">
        <v>2544</v>
      </c>
      <c r="G134" s="1025">
        <v>1</v>
      </c>
      <c r="H134" s="1022">
        <v>10</v>
      </c>
      <c r="I134" s="119">
        <f t="shared" si="303"/>
        <v>0.6</v>
      </c>
      <c r="J134" s="90">
        <f t="shared" si="62"/>
        <v>10.6</v>
      </c>
      <c r="K134" s="225"/>
      <c r="V134" s="915"/>
      <c r="W134" s="915"/>
      <c r="X134" s="915"/>
      <c r="Y134" s="915"/>
      <c r="Z134" s="915"/>
      <c r="AA134" s="915"/>
      <c r="AB134" s="915"/>
      <c r="AC134" s="915"/>
      <c r="AD134" s="915"/>
      <c r="AE134" s="915"/>
      <c r="AF134" s="915"/>
      <c r="AG134" s="915"/>
      <c r="AH134" s="915"/>
      <c r="AI134" s="915"/>
      <c r="AJ134" s="915"/>
      <c r="AK134" s="915"/>
      <c r="AL134" s="915"/>
      <c r="AM134" s="915"/>
      <c r="AN134" s="915"/>
      <c r="AO134" s="915"/>
      <c r="AP134" s="915"/>
      <c r="AQ134" s="915"/>
      <c r="AR134" s="915"/>
      <c r="AS134" s="915"/>
      <c r="AT134" s="915"/>
      <c r="AU134" s="915"/>
      <c r="AV134" s="915"/>
      <c r="AW134" s="915"/>
      <c r="AX134" s="915"/>
      <c r="AY134" s="915"/>
      <c r="AZ134" s="915"/>
      <c r="BA134" s="915"/>
      <c r="BB134" s="915"/>
      <c r="BC134" s="915"/>
      <c r="BD134" s="915"/>
      <c r="BE134" s="915"/>
      <c r="BF134" s="915"/>
      <c r="BG134" s="915"/>
      <c r="BH134" s="915"/>
      <c r="BI134" s="915"/>
      <c r="BJ134" s="915"/>
      <c r="BK134" s="915"/>
      <c r="BL134" s="915"/>
      <c r="BM134" s="915"/>
      <c r="BN134" s="915"/>
      <c r="BO134" s="915"/>
      <c r="BP134" s="915"/>
      <c r="BQ134" s="915"/>
      <c r="BR134" s="915"/>
      <c r="BS134" s="915"/>
      <c r="BT134" s="915"/>
      <c r="BU134" s="915"/>
      <c r="BV134" s="915"/>
      <c r="BW134" s="915"/>
      <c r="BX134" s="915"/>
      <c r="BY134" s="915"/>
      <c r="BZ134" s="915"/>
      <c r="CA134" s="915"/>
      <c r="CB134" s="915"/>
      <c r="CC134" s="915"/>
      <c r="CD134" s="915"/>
      <c r="CE134" s="915"/>
      <c r="CF134" s="915"/>
      <c r="CG134" s="915"/>
      <c r="CH134" s="915"/>
      <c r="CI134" s="915"/>
      <c r="CJ134" s="915"/>
      <c r="CK134" s="915"/>
      <c r="CL134" s="915"/>
      <c r="CM134" s="915"/>
      <c r="CN134" s="915"/>
      <c r="CO134" s="915"/>
      <c r="CP134" s="915"/>
      <c r="CQ134" s="915"/>
      <c r="CR134" s="915"/>
      <c r="CS134" s="915"/>
      <c r="CT134" s="915"/>
      <c r="CU134" s="915"/>
      <c r="CV134" s="915"/>
      <c r="CW134" s="915"/>
      <c r="CX134" s="915"/>
      <c r="CY134" s="915"/>
      <c r="CZ134" s="915"/>
      <c r="DA134" s="915"/>
      <c r="DB134" s="915"/>
      <c r="DC134" s="915"/>
      <c r="DD134" s="915"/>
      <c r="DE134" s="915"/>
      <c r="DF134" s="915"/>
      <c r="DG134" s="915"/>
      <c r="DH134" s="915"/>
      <c r="DI134" s="915"/>
      <c r="DJ134" s="915"/>
      <c r="DK134" s="915"/>
      <c r="DL134" s="915"/>
      <c r="DM134" s="915"/>
      <c r="DN134" s="915"/>
      <c r="DO134" s="915"/>
      <c r="DP134" s="915"/>
      <c r="DQ134" s="915"/>
      <c r="DR134" s="915"/>
      <c r="DS134" s="915"/>
      <c r="DT134" s="915"/>
      <c r="DU134" s="915"/>
      <c r="DV134" s="915"/>
      <c r="DW134" s="915"/>
      <c r="DX134" s="915"/>
      <c r="DY134" s="915"/>
      <c r="DZ134" s="915"/>
      <c r="EA134" s="915"/>
      <c r="EB134" s="915"/>
      <c r="EC134" s="915"/>
      <c r="ED134" s="915"/>
      <c r="EE134" s="915"/>
      <c r="EF134" s="915"/>
      <c r="EG134" s="915"/>
      <c r="EH134" s="915"/>
      <c r="EI134" s="915"/>
      <c r="EJ134" s="915"/>
      <c r="EK134" s="915"/>
      <c r="EN134" s="533"/>
      <c r="EQ134" s="534"/>
    </row>
    <row r="135" spans="1:147" x14ac:dyDescent="0.2">
      <c r="A135" s="1026">
        <v>129</v>
      </c>
      <c r="B135" s="1421" t="str">
        <f>"SAMPLE SHIPMENT COSTS FOR  " &amp; TabName8</f>
        <v>SAMPLE SHIPMENT COSTS FOR  Phase 8</v>
      </c>
      <c r="C135" s="1422"/>
      <c r="D135" s="141" t="str">
        <f>IF(LEN(TabName8=9),RIGHT(TabName8,1),RIGHT(TabName8,2))</f>
        <v>8</v>
      </c>
      <c r="E135" s="142" t="s">
        <v>164</v>
      </c>
      <c r="F135" s="139" t="s">
        <v>2544</v>
      </c>
      <c r="G135" s="1025">
        <v>1</v>
      </c>
      <c r="H135" s="1022">
        <v>10</v>
      </c>
      <c r="I135" s="119">
        <f t="shared" si="303"/>
        <v>0.6</v>
      </c>
      <c r="J135" s="90">
        <f t="shared" si="62"/>
        <v>10.6</v>
      </c>
      <c r="K135" s="225"/>
      <c r="V135" s="915"/>
      <c r="W135" s="915"/>
      <c r="X135" s="915"/>
      <c r="Y135" s="915"/>
      <c r="Z135" s="915"/>
      <c r="AA135" s="915"/>
      <c r="AB135" s="915"/>
      <c r="AC135" s="915"/>
      <c r="AD135" s="915"/>
      <c r="AE135" s="915"/>
      <c r="AF135" s="915"/>
      <c r="AG135" s="915"/>
      <c r="AH135" s="915"/>
      <c r="AI135" s="915"/>
      <c r="AJ135" s="915"/>
      <c r="AK135" s="915"/>
      <c r="AL135" s="915"/>
      <c r="AM135" s="915"/>
      <c r="AN135" s="915"/>
      <c r="AO135" s="915"/>
      <c r="AP135" s="915"/>
      <c r="AQ135" s="915"/>
      <c r="AR135" s="915"/>
      <c r="AS135" s="915"/>
      <c r="AT135" s="915"/>
      <c r="AU135" s="915"/>
      <c r="AV135" s="915"/>
      <c r="AW135" s="915"/>
      <c r="AX135" s="915"/>
      <c r="AY135" s="915"/>
      <c r="AZ135" s="915"/>
      <c r="BA135" s="915"/>
      <c r="BB135" s="915"/>
      <c r="BC135" s="915"/>
      <c r="BD135" s="915"/>
      <c r="BE135" s="915"/>
      <c r="BF135" s="915"/>
      <c r="BG135" s="915"/>
      <c r="BH135" s="915"/>
      <c r="BI135" s="915"/>
      <c r="BJ135" s="915"/>
      <c r="BK135" s="915"/>
      <c r="BL135" s="915"/>
      <c r="BM135" s="915"/>
      <c r="BN135" s="915"/>
      <c r="BO135" s="915"/>
      <c r="BP135" s="915"/>
      <c r="BQ135" s="915"/>
      <c r="BR135" s="915"/>
      <c r="BS135" s="915"/>
      <c r="BT135" s="915"/>
      <c r="BU135" s="915"/>
      <c r="BV135" s="915"/>
      <c r="BW135" s="915"/>
      <c r="BX135" s="915"/>
      <c r="BY135" s="915"/>
      <c r="BZ135" s="915"/>
      <c r="CA135" s="915"/>
      <c r="CB135" s="915"/>
      <c r="CC135" s="915"/>
      <c r="CD135" s="915"/>
      <c r="CE135" s="915"/>
      <c r="CF135" s="915"/>
      <c r="CG135" s="915"/>
      <c r="CH135" s="915"/>
      <c r="CI135" s="915"/>
      <c r="CJ135" s="915"/>
      <c r="CK135" s="915"/>
      <c r="CL135" s="915"/>
      <c r="CM135" s="915"/>
      <c r="CN135" s="915"/>
      <c r="CO135" s="915"/>
      <c r="CP135" s="915"/>
      <c r="CQ135" s="915"/>
      <c r="CR135" s="915"/>
      <c r="CS135" s="915"/>
      <c r="CT135" s="915"/>
      <c r="CU135" s="915"/>
      <c r="CV135" s="915"/>
      <c r="CW135" s="915"/>
      <c r="CX135" s="915"/>
      <c r="CY135" s="915"/>
      <c r="CZ135" s="915"/>
      <c r="DA135" s="915"/>
      <c r="DB135" s="915"/>
      <c r="DC135" s="915"/>
      <c r="DD135" s="915"/>
      <c r="DE135" s="915"/>
      <c r="DF135" s="915"/>
      <c r="DG135" s="915"/>
      <c r="DH135" s="915"/>
      <c r="DI135" s="915"/>
      <c r="DJ135" s="915"/>
      <c r="DK135" s="915"/>
      <c r="DL135" s="915"/>
      <c r="DM135" s="915"/>
      <c r="DN135" s="915"/>
      <c r="DO135" s="915"/>
      <c r="DP135" s="915"/>
      <c r="DQ135" s="915"/>
      <c r="DR135" s="915"/>
      <c r="DS135" s="915"/>
      <c r="DT135" s="915"/>
      <c r="DU135" s="915"/>
      <c r="DV135" s="915"/>
      <c r="DW135" s="915"/>
      <c r="DX135" s="915"/>
      <c r="DY135" s="915"/>
      <c r="DZ135" s="915"/>
      <c r="EA135" s="915"/>
      <c r="EB135" s="915"/>
      <c r="EC135" s="915"/>
      <c r="ED135" s="915"/>
      <c r="EE135" s="915"/>
      <c r="EF135" s="915"/>
      <c r="EG135" s="915"/>
      <c r="EH135" s="915"/>
      <c r="EI135" s="915"/>
      <c r="EJ135" s="915"/>
      <c r="EK135" s="915"/>
      <c r="EN135" s="533"/>
      <c r="EQ135" s="534"/>
    </row>
    <row r="136" spans="1:147" x14ac:dyDescent="0.2">
      <c r="A136" s="1026">
        <v>130</v>
      </c>
      <c r="B136" s="1421" t="str">
        <f>"SAMPLE SHIPMENT COSTS FOR  " &amp; TabName9</f>
        <v>SAMPLE SHIPMENT COSTS FOR  Phase 9</v>
      </c>
      <c r="C136" s="1422"/>
      <c r="D136" s="141" t="str">
        <f>IF(LEN(TabName9=9),RIGHT(TabName9,1),RIGHT(TabName9,2))</f>
        <v>9</v>
      </c>
      <c r="E136" s="142" t="s">
        <v>164</v>
      </c>
      <c r="F136" s="139" t="s">
        <v>2544</v>
      </c>
      <c r="G136" s="1025">
        <v>1</v>
      </c>
      <c r="H136" s="1022">
        <v>10</v>
      </c>
      <c r="I136" s="119">
        <f t="shared" si="303"/>
        <v>0.6</v>
      </c>
      <c r="J136" s="90">
        <f t="shared" si="62"/>
        <v>10.6</v>
      </c>
      <c r="K136" s="225"/>
      <c r="V136" s="915"/>
      <c r="W136" s="915"/>
      <c r="X136" s="915"/>
      <c r="Y136" s="915"/>
      <c r="Z136" s="915"/>
      <c r="AA136" s="915"/>
      <c r="AB136" s="915"/>
      <c r="AC136" s="915"/>
      <c r="AD136" s="915"/>
      <c r="AE136" s="915"/>
      <c r="AF136" s="915"/>
      <c r="AG136" s="915"/>
      <c r="AH136" s="915"/>
      <c r="AI136" s="915"/>
      <c r="AJ136" s="915"/>
      <c r="AK136" s="915"/>
      <c r="AL136" s="915"/>
      <c r="AM136" s="915"/>
      <c r="AN136" s="915"/>
      <c r="AO136" s="915"/>
      <c r="AP136" s="915"/>
      <c r="AQ136" s="915"/>
      <c r="AR136" s="915"/>
      <c r="AS136" s="915"/>
      <c r="AT136" s="915"/>
      <c r="AU136" s="915"/>
      <c r="AV136" s="915"/>
      <c r="AW136" s="915"/>
      <c r="AX136" s="915"/>
      <c r="AY136" s="915"/>
      <c r="AZ136" s="915"/>
      <c r="BA136" s="915"/>
      <c r="BB136" s="915"/>
      <c r="BC136" s="915"/>
      <c r="BD136" s="915"/>
      <c r="BE136" s="915"/>
      <c r="BF136" s="915"/>
      <c r="BG136" s="915"/>
      <c r="BH136" s="915"/>
      <c r="BI136" s="915"/>
      <c r="BJ136" s="915"/>
      <c r="BK136" s="915"/>
      <c r="BL136" s="915"/>
      <c r="BM136" s="915"/>
      <c r="BN136" s="915"/>
      <c r="BO136" s="915"/>
      <c r="BP136" s="915"/>
      <c r="BQ136" s="915"/>
      <c r="BR136" s="915"/>
      <c r="BS136" s="915"/>
      <c r="BT136" s="915"/>
      <c r="BU136" s="915"/>
      <c r="BV136" s="915"/>
      <c r="BW136" s="915"/>
      <c r="BX136" s="915"/>
      <c r="BY136" s="915"/>
      <c r="BZ136" s="915"/>
      <c r="CA136" s="915"/>
      <c r="CB136" s="915"/>
      <c r="CC136" s="915"/>
      <c r="CD136" s="915"/>
      <c r="CE136" s="915"/>
      <c r="CF136" s="915"/>
      <c r="CG136" s="915"/>
      <c r="CH136" s="915"/>
      <c r="CI136" s="915"/>
      <c r="CJ136" s="915"/>
      <c r="CK136" s="915"/>
      <c r="CL136" s="915"/>
      <c r="CM136" s="915"/>
      <c r="CN136" s="915"/>
      <c r="CO136" s="915"/>
      <c r="CP136" s="915"/>
      <c r="CQ136" s="915"/>
      <c r="CR136" s="915"/>
      <c r="CS136" s="915"/>
      <c r="CT136" s="915"/>
      <c r="CU136" s="915"/>
      <c r="CV136" s="915"/>
      <c r="CW136" s="915"/>
      <c r="CX136" s="915"/>
      <c r="CY136" s="915"/>
      <c r="CZ136" s="915"/>
      <c r="DA136" s="915"/>
      <c r="DB136" s="915"/>
      <c r="DC136" s="915"/>
      <c r="DD136" s="915"/>
      <c r="DE136" s="915"/>
      <c r="DF136" s="915"/>
      <c r="DG136" s="915"/>
      <c r="DH136" s="915"/>
      <c r="DI136" s="915"/>
      <c r="DJ136" s="915"/>
      <c r="DK136" s="915"/>
      <c r="DL136" s="915"/>
      <c r="DM136" s="915"/>
      <c r="DN136" s="915"/>
      <c r="DO136" s="915"/>
      <c r="DP136" s="915"/>
      <c r="DQ136" s="915"/>
      <c r="DR136" s="915"/>
      <c r="DS136" s="915"/>
      <c r="DT136" s="915"/>
      <c r="DU136" s="915"/>
      <c r="DV136" s="915"/>
      <c r="DW136" s="915"/>
      <c r="DX136" s="915"/>
      <c r="DY136" s="915"/>
      <c r="DZ136" s="915"/>
      <c r="EA136" s="915"/>
      <c r="EB136" s="915"/>
      <c r="EC136" s="915"/>
      <c r="ED136" s="915"/>
      <c r="EE136" s="915"/>
      <c r="EF136" s="915"/>
      <c r="EG136" s="915"/>
      <c r="EH136" s="915"/>
      <c r="EI136" s="915"/>
      <c r="EJ136" s="915"/>
      <c r="EK136" s="915"/>
      <c r="EN136" s="533"/>
      <c r="EQ136" s="534"/>
    </row>
    <row r="137" spans="1:147" x14ac:dyDescent="0.2">
      <c r="A137" s="1026">
        <v>131</v>
      </c>
      <c r="B137" s="1421" t="str">
        <f>"SAMPLE SHIPMENT COSTS FOR  " &amp; tabname10</f>
        <v>SAMPLE SHIPMENT COSTS FOR  Phase 10</v>
      </c>
      <c r="C137" s="1422"/>
      <c r="D137" s="141" t="str">
        <f>IF(LEN(tabname10=9),RIGHT(tabname10,2),RIGHT(tabname10,2))</f>
        <v>10</v>
      </c>
      <c r="E137" s="142" t="s">
        <v>164</v>
      </c>
      <c r="F137" s="139" t="s">
        <v>2544</v>
      </c>
      <c r="G137" s="1025">
        <v>1</v>
      </c>
      <c r="H137" s="1022">
        <v>10</v>
      </c>
      <c r="I137" s="119">
        <f t="shared" si="303"/>
        <v>0.6</v>
      </c>
      <c r="J137" s="90">
        <f>(G137*H137)+I137</f>
        <v>10.6</v>
      </c>
      <c r="K137" s="225"/>
      <c r="V137" s="915"/>
      <c r="W137" s="915"/>
      <c r="X137" s="915"/>
      <c r="Y137" s="915"/>
      <c r="Z137" s="915"/>
      <c r="AA137" s="915"/>
      <c r="AB137" s="915"/>
      <c r="AC137" s="915"/>
      <c r="AD137" s="915"/>
      <c r="AE137" s="915"/>
      <c r="AF137" s="915"/>
      <c r="AG137" s="915"/>
      <c r="AH137" s="915"/>
      <c r="AI137" s="915"/>
      <c r="AJ137" s="915"/>
      <c r="AK137" s="915"/>
      <c r="AL137" s="915"/>
      <c r="AM137" s="915"/>
      <c r="AN137" s="915"/>
      <c r="AO137" s="915"/>
      <c r="AP137" s="915"/>
      <c r="AQ137" s="915"/>
      <c r="AR137" s="915"/>
      <c r="AS137" s="915"/>
      <c r="AT137" s="915"/>
      <c r="AU137" s="915"/>
      <c r="AV137" s="915"/>
      <c r="AW137" s="915"/>
      <c r="AX137" s="915"/>
      <c r="AY137" s="915"/>
      <c r="AZ137" s="915"/>
      <c r="BA137" s="915"/>
      <c r="BB137" s="915"/>
      <c r="BC137" s="915"/>
      <c r="BD137" s="915"/>
      <c r="BE137" s="915"/>
      <c r="BF137" s="915"/>
      <c r="BG137" s="915"/>
      <c r="BH137" s="915"/>
      <c r="BI137" s="915"/>
      <c r="BJ137" s="915"/>
      <c r="BK137" s="915"/>
      <c r="BL137" s="915"/>
      <c r="BM137" s="915"/>
      <c r="BN137" s="915"/>
      <c r="BO137" s="915"/>
      <c r="BP137" s="915"/>
      <c r="BQ137" s="915"/>
      <c r="BR137" s="915"/>
      <c r="BS137" s="915"/>
      <c r="BT137" s="915"/>
      <c r="BU137" s="915"/>
      <c r="BV137" s="915"/>
      <c r="BW137" s="915"/>
      <c r="BX137" s="915"/>
      <c r="BY137" s="915"/>
      <c r="BZ137" s="915"/>
      <c r="CA137" s="915"/>
      <c r="CB137" s="915"/>
      <c r="CC137" s="915"/>
      <c r="CD137" s="915"/>
      <c r="CE137" s="915"/>
      <c r="CF137" s="915"/>
      <c r="CG137" s="915"/>
      <c r="CH137" s="915"/>
      <c r="CI137" s="915"/>
      <c r="CJ137" s="915"/>
      <c r="CK137" s="915"/>
      <c r="CL137" s="915"/>
      <c r="CM137" s="915"/>
      <c r="CN137" s="915"/>
      <c r="CO137" s="915"/>
      <c r="CP137" s="915"/>
      <c r="CQ137" s="915"/>
      <c r="CR137" s="915"/>
      <c r="CS137" s="915"/>
      <c r="CT137" s="915"/>
      <c r="CU137" s="915"/>
      <c r="CV137" s="915"/>
      <c r="CW137" s="915"/>
      <c r="CX137" s="915"/>
      <c r="CY137" s="915"/>
      <c r="CZ137" s="915"/>
      <c r="DA137" s="915"/>
      <c r="DB137" s="915"/>
      <c r="DC137" s="915"/>
      <c r="DD137" s="915"/>
      <c r="DE137" s="915"/>
      <c r="DF137" s="915"/>
      <c r="DG137" s="915"/>
      <c r="DH137" s="915"/>
      <c r="DI137" s="915"/>
      <c r="DJ137" s="915"/>
      <c r="DK137" s="915"/>
      <c r="DL137" s="915"/>
      <c r="DM137" s="915"/>
      <c r="DN137" s="915"/>
      <c r="DO137" s="915"/>
      <c r="DP137" s="915"/>
      <c r="DQ137" s="915"/>
      <c r="DR137" s="915"/>
      <c r="DS137" s="915"/>
      <c r="DT137" s="915"/>
      <c r="DU137" s="915"/>
      <c r="DV137" s="915"/>
      <c r="DW137" s="915"/>
      <c r="DX137" s="915"/>
      <c r="DY137" s="915"/>
      <c r="DZ137" s="915"/>
      <c r="EA137" s="915"/>
      <c r="EB137" s="915"/>
      <c r="EC137" s="915"/>
      <c r="ED137" s="915"/>
      <c r="EE137" s="915"/>
      <c r="EF137" s="915"/>
      <c r="EG137" s="915"/>
      <c r="EH137" s="915"/>
      <c r="EI137" s="915"/>
      <c r="EJ137" s="915"/>
      <c r="EK137" s="915"/>
      <c r="EN137" s="533"/>
      <c r="EQ137" s="534"/>
    </row>
    <row r="138" spans="1:147" x14ac:dyDescent="0.2">
      <c r="A138" s="1026">
        <v>132</v>
      </c>
      <c r="B138" s="1421" t="str">
        <f>"SAMPLE SHIPMENT COSTS FOR  " &amp; TabName11</f>
        <v>SAMPLE SHIPMENT COSTS FOR  Phase 11</v>
      </c>
      <c r="C138" s="1422"/>
      <c r="D138" s="3" t="str">
        <f>IF(LEN(TabName11=9),RIGHT(TabName11,2),RIGHT(TabName11,2))</f>
        <v>11</v>
      </c>
      <c r="E138" s="142" t="s">
        <v>164</v>
      </c>
      <c r="F138" s="139" t="s">
        <v>2544</v>
      </c>
      <c r="G138" s="1025">
        <v>1</v>
      </c>
      <c r="H138" s="1022">
        <v>10</v>
      </c>
      <c r="I138" s="119">
        <f t="shared" si="303"/>
        <v>0.6</v>
      </c>
      <c r="J138" s="90">
        <f t="shared" ref="J138:J147" si="304">(G138*H138)+I138</f>
        <v>10.6</v>
      </c>
      <c r="K138" s="225"/>
      <c r="V138" s="915"/>
      <c r="W138" s="915"/>
      <c r="X138" s="915"/>
      <c r="Y138" s="915"/>
      <c r="Z138" s="915"/>
      <c r="AA138" s="915"/>
      <c r="AB138" s="915"/>
      <c r="AC138" s="915"/>
      <c r="AD138" s="915"/>
      <c r="AE138" s="915"/>
      <c r="AF138" s="915"/>
      <c r="AG138" s="915"/>
      <c r="AH138" s="915"/>
      <c r="AI138" s="915"/>
      <c r="AJ138" s="915"/>
      <c r="AK138" s="915"/>
      <c r="AL138" s="915"/>
      <c r="AM138" s="915"/>
      <c r="AN138" s="915"/>
      <c r="AO138" s="915"/>
      <c r="AP138" s="915"/>
      <c r="AQ138" s="915"/>
      <c r="AR138" s="915"/>
      <c r="AS138" s="915"/>
      <c r="AT138" s="915"/>
      <c r="AU138" s="915"/>
      <c r="AV138" s="915"/>
      <c r="AW138" s="915"/>
      <c r="AX138" s="915"/>
      <c r="AY138" s="915"/>
      <c r="AZ138" s="915"/>
      <c r="BA138" s="915"/>
      <c r="BB138" s="915"/>
      <c r="BC138" s="915"/>
      <c r="BD138" s="915"/>
      <c r="BE138" s="915"/>
      <c r="BF138" s="915"/>
      <c r="BG138" s="915"/>
      <c r="BH138" s="915"/>
      <c r="BI138" s="915"/>
      <c r="BJ138" s="915"/>
      <c r="BK138" s="915"/>
      <c r="BL138" s="915"/>
      <c r="BM138" s="915"/>
      <c r="BN138" s="915"/>
      <c r="BO138" s="915"/>
      <c r="BP138" s="915"/>
      <c r="BQ138" s="915"/>
      <c r="BR138" s="915"/>
      <c r="BS138" s="915"/>
      <c r="BT138" s="915"/>
      <c r="BU138" s="915"/>
      <c r="BV138" s="915"/>
      <c r="BW138" s="915"/>
      <c r="BX138" s="915"/>
      <c r="BY138" s="915"/>
      <c r="BZ138" s="915"/>
      <c r="CA138" s="915"/>
      <c r="CB138" s="915"/>
      <c r="CC138" s="915"/>
      <c r="CD138" s="915"/>
      <c r="CE138" s="915"/>
      <c r="CF138" s="915"/>
      <c r="CG138" s="915"/>
      <c r="CH138" s="915"/>
      <c r="CI138" s="915"/>
      <c r="CJ138" s="915"/>
      <c r="CK138" s="915"/>
      <c r="CL138" s="915"/>
      <c r="CM138" s="915"/>
      <c r="CN138" s="915"/>
      <c r="CO138" s="915"/>
      <c r="CP138" s="915"/>
      <c r="CQ138" s="915"/>
      <c r="CR138" s="915"/>
      <c r="CS138" s="915"/>
      <c r="CT138" s="915"/>
      <c r="CU138" s="915"/>
      <c r="CV138" s="915"/>
      <c r="CW138" s="915"/>
      <c r="CX138" s="915"/>
      <c r="CY138" s="915"/>
      <c r="CZ138" s="915"/>
      <c r="DA138" s="915"/>
      <c r="DB138" s="915"/>
      <c r="DC138" s="915"/>
      <c r="DD138" s="915"/>
      <c r="DE138" s="915"/>
      <c r="DF138" s="915"/>
      <c r="DG138" s="915"/>
      <c r="DH138" s="915"/>
      <c r="DI138" s="915"/>
      <c r="DJ138" s="915"/>
      <c r="DK138" s="915"/>
      <c r="DL138" s="915"/>
      <c r="DM138" s="915"/>
      <c r="DN138" s="915"/>
      <c r="DO138" s="915"/>
      <c r="DP138" s="915"/>
      <c r="DQ138" s="915"/>
      <c r="DR138" s="915"/>
      <c r="DS138" s="915"/>
      <c r="DT138" s="915"/>
      <c r="DU138" s="915"/>
      <c r="DV138" s="915"/>
      <c r="DW138" s="915"/>
      <c r="DX138" s="915"/>
      <c r="DY138" s="915"/>
      <c r="DZ138" s="915"/>
      <c r="EA138" s="915"/>
      <c r="EB138" s="915"/>
      <c r="EC138" s="915"/>
      <c r="ED138" s="915"/>
      <c r="EE138" s="915"/>
      <c r="EF138" s="915"/>
      <c r="EG138" s="915"/>
      <c r="EH138" s="915"/>
      <c r="EI138" s="915"/>
      <c r="EJ138" s="915"/>
      <c r="EK138" s="915"/>
      <c r="EN138" s="533"/>
      <c r="EQ138" s="534"/>
    </row>
    <row r="139" spans="1:147" x14ac:dyDescent="0.2">
      <c r="A139" s="1026">
        <v>133</v>
      </c>
      <c r="B139" s="1421" t="str">
        <f>"SAMPLE SHIPMENT COSTS FOR  " &amp; TabName12</f>
        <v>SAMPLE SHIPMENT COSTS FOR  Phase 12</v>
      </c>
      <c r="C139" s="1422"/>
      <c r="D139" s="3" t="str">
        <f>IF(LEN(TabName12=9),RIGHT(TabName12,2),RIGHT(TabName12,2))</f>
        <v>12</v>
      </c>
      <c r="E139" s="142" t="s">
        <v>164</v>
      </c>
      <c r="F139" s="139" t="s">
        <v>2544</v>
      </c>
      <c r="G139" s="1025">
        <v>1</v>
      </c>
      <c r="H139" s="1022">
        <v>10</v>
      </c>
      <c r="I139" s="119">
        <f t="shared" si="303"/>
        <v>0.6</v>
      </c>
      <c r="J139" s="90">
        <f t="shared" si="304"/>
        <v>10.6</v>
      </c>
      <c r="K139" s="225"/>
      <c r="V139" s="915"/>
      <c r="W139" s="915"/>
      <c r="X139" s="915"/>
      <c r="Y139" s="915"/>
      <c r="Z139" s="915"/>
      <c r="AA139" s="915"/>
      <c r="AB139" s="915"/>
      <c r="AC139" s="915"/>
      <c r="AD139" s="915"/>
      <c r="AE139" s="915"/>
      <c r="AF139" s="915"/>
      <c r="AG139" s="915"/>
      <c r="AH139" s="915"/>
      <c r="AI139" s="915"/>
      <c r="AJ139" s="915"/>
      <c r="AK139" s="915"/>
      <c r="AL139" s="915"/>
      <c r="AM139" s="915"/>
      <c r="AN139" s="915"/>
      <c r="AO139" s="915"/>
      <c r="AP139" s="915"/>
      <c r="AQ139" s="915"/>
      <c r="AR139" s="915"/>
      <c r="AS139" s="915"/>
      <c r="AT139" s="915"/>
      <c r="AU139" s="915"/>
      <c r="AV139" s="915"/>
      <c r="AW139" s="915"/>
      <c r="AX139" s="915"/>
      <c r="AY139" s="915"/>
      <c r="AZ139" s="915"/>
      <c r="BA139" s="915"/>
      <c r="BB139" s="915"/>
      <c r="BC139" s="915"/>
      <c r="BD139" s="915"/>
      <c r="BE139" s="915"/>
      <c r="BF139" s="915"/>
      <c r="BG139" s="915"/>
      <c r="BH139" s="915"/>
      <c r="BI139" s="915"/>
      <c r="BJ139" s="915"/>
      <c r="BK139" s="915"/>
      <c r="BL139" s="915"/>
      <c r="BM139" s="915"/>
      <c r="BN139" s="915"/>
      <c r="BO139" s="915"/>
      <c r="BP139" s="915"/>
      <c r="BQ139" s="915"/>
      <c r="BR139" s="915"/>
      <c r="BS139" s="915"/>
      <c r="BT139" s="915"/>
      <c r="BU139" s="915"/>
      <c r="BV139" s="915"/>
      <c r="BW139" s="915"/>
      <c r="BX139" s="915"/>
      <c r="BY139" s="915"/>
      <c r="BZ139" s="915"/>
      <c r="CA139" s="915"/>
      <c r="CB139" s="915"/>
      <c r="CC139" s="915"/>
      <c r="CD139" s="915"/>
      <c r="CE139" s="915"/>
      <c r="CF139" s="915"/>
      <c r="CG139" s="915"/>
      <c r="CH139" s="915"/>
      <c r="CI139" s="915"/>
      <c r="CJ139" s="915"/>
      <c r="CK139" s="915"/>
      <c r="CL139" s="915"/>
      <c r="CM139" s="915"/>
      <c r="CN139" s="915"/>
      <c r="CO139" s="915"/>
      <c r="CP139" s="915"/>
      <c r="CQ139" s="915"/>
      <c r="CR139" s="915"/>
      <c r="CS139" s="915"/>
      <c r="CT139" s="915"/>
      <c r="CU139" s="915"/>
      <c r="CV139" s="915"/>
      <c r="CW139" s="915"/>
      <c r="CX139" s="915"/>
      <c r="CY139" s="915"/>
      <c r="CZ139" s="915"/>
      <c r="DA139" s="915"/>
      <c r="DB139" s="915"/>
      <c r="DC139" s="915"/>
      <c r="DD139" s="915"/>
      <c r="DE139" s="915"/>
      <c r="DF139" s="915"/>
      <c r="DG139" s="915"/>
      <c r="DH139" s="915"/>
      <c r="DI139" s="915"/>
      <c r="DJ139" s="915"/>
      <c r="DK139" s="915"/>
      <c r="DL139" s="915"/>
      <c r="DM139" s="915"/>
      <c r="DN139" s="915"/>
      <c r="DO139" s="915"/>
      <c r="DP139" s="915"/>
      <c r="DQ139" s="915"/>
      <c r="DR139" s="915"/>
      <c r="DS139" s="915"/>
      <c r="DT139" s="915"/>
      <c r="DU139" s="915"/>
      <c r="DV139" s="915"/>
      <c r="DW139" s="915"/>
      <c r="DX139" s="915"/>
      <c r="DY139" s="915"/>
      <c r="DZ139" s="915"/>
      <c r="EA139" s="915"/>
      <c r="EB139" s="915"/>
      <c r="EC139" s="915"/>
      <c r="ED139" s="915"/>
      <c r="EE139" s="915"/>
      <c r="EF139" s="915"/>
      <c r="EG139" s="915"/>
      <c r="EH139" s="915"/>
      <c r="EI139" s="915"/>
      <c r="EJ139" s="915"/>
      <c r="EK139" s="915"/>
      <c r="EN139" s="533"/>
      <c r="EQ139" s="534"/>
    </row>
    <row r="140" spans="1:147" x14ac:dyDescent="0.2">
      <c r="A140" s="1026">
        <v>134</v>
      </c>
      <c r="B140" s="1421" t="str">
        <f>"SAMPLE SHIPMENT COSTS FOR  " &amp; TabName13</f>
        <v>SAMPLE SHIPMENT COSTS FOR  Phase 13</v>
      </c>
      <c r="C140" s="1422"/>
      <c r="D140" s="3" t="str">
        <f>IF(LEN(TabName13=9),RIGHT(TabName13,2),RIGHT(TabName13,2))</f>
        <v>13</v>
      </c>
      <c r="E140" s="142" t="s">
        <v>164</v>
      </c>
      <c r="F140" s="139" t="s">
        <v>2544</v>
      </c>
      <c r="G140" s="1025">
        <v>1</v>
      </c>
      <c r="H140" s="1022">
        <v>10</v>
      </c>
      <c r="I140" s="1155">
        <f t="shared" si="303"/>
        <v>0.6</v>
      </c>
      <c r="J140" s="90">
        <f t="shared" si="304"/>
        <v>10.6</v>
      </c>
      <c r="K140" s="225"/>
      <c r="V140" s="915"/>
      <c r="W140" s="915"/>
      <c r="X140" s="915"/>
      <c r="Y140" s="915"/>
      <c r="Z140" s="915"/>
      <c r="AA140" s="915"/>
      <c r="AB140" s="915"/>
      <c r="AC140" s="915"/>
      <c r="AD140" s="915"/>
      <c r="AE140" s="915"/>
      <c r="AF140" s="915"/>
      <c r="AG140" s="915"/>
      <c r="AH140" s="915"/>
      <c r="AI140" s="915"/>
      <c r="AJ140" s="915"/>
      <c r="AK140" s="915"/>
      <c r="AL140" s="915"/>
      <c r="AM140" s="915"/>
      <c r="AN140" s="915"/>
      <c r="AO140" s="915"/>
      <c r="AP140" s="915"/>
      <c r="AQ140" s="915"/>
      <c r="AR140" s="915"/>
      <c r="AS140" s="915"/>
      <c r="AT140" s="915"/>
      <c r="AU140" s="915"/>
      <c r="AV140" s="915"/>
      <c r="AW140" s="915"/>
      <c r="AX140" s="915"/>
      <c r="AY140" s="915"/>
      <c r="AZ140" s="915"/>
      <c r="BA140" s="915"/>
      <c r="BB140" s="915"/>
      <c r="BC140" s="915"/>
      <c r="BD140" s="915"/>
      <c r="BE140" s="915"/>
      <c r="BF140" s="915"/>
      <c r="BG140" s="915"/>
      <c r="BH140" s="915"/>
      <c r="BI140" s="915"/>
      <c r="BJ140" s="915"/>
      <c r="BK140" s="915"/>
      <c r="BL140" s="915"/>
      <c r="BM140" s="915"/>
      <c r="BN140" s="915"/>
      <c r="BO140" s="915"/>
      <c r="BP140" s="915"/>
      <c r="BQ140" s="915"/>
      <c r="BR140" s="915"/>
      <c r="BS140" s="915"/>
      <c r="BT140" s="915"/>
      <c r="BU140" s="915"/>
      <c r="BV140" s="915"/>
      <c r="BW140" s="915"/>
      <c r="BX140" s="915"/>
      <c r="BY140" s="915"/>
      <c r="BZ140" s="915"/>
      <c r="CA140" s="915"/>
      <c r="CB140" s="915"/>
      <c r="CC140" s="915"/>
      <c r="CD140" s="915"/>
      <c r="CE140" s="915"/>
      <c r="CF140" s="915"/>
      <c r="CG140" s="915"/>
      <c r="CH140" s="915"/>
      <c r="CI140" s="915"/>
      <c r="CJ140" s="915"/>
      <c r="CK140" s="915"/>
      <c r="CL140" s="915"/>
      <c r="CM140" s="915"/>
      <c r="CN140" s="915"/>
      <c r="CO140" s="915"/>
      <c r="CP140" s="915"/>
      <c r="CQ140" s="915"/>
      <c r="CR140" s="915"/>
      <c r="CS140" s="915"/>
      <c r="CT140" s="915"/>
      <c r="CU140" s="915"/>
      <c r="CV140" s="915"/>
      <c r="CW140" s="915"/>
      <c r="CX140" s="915"/>
      <c r="CY140" s="915"/>
      <c r="CZ140" s="915"/>
      <c r="DA140" s="915"/>
      <c r="DB140" s="915"/>
      <c r="DC140" s="915"/>
      <c r="DD140" s="915"/>
      <c r="DE140" s="915"/>
      <c r="DF140" s="915"/>
      <c r="DG140" s="915"/>
      <c r="DH140" s="915"/>
      <c r="DI140" s="915"/>
      <c r="DJ140" s="915"/>
      <c r="DK140" s="915"/>
      <c r="DL140" s="915"/>
      <c r="DM140" s="915"/>
      <c r="DN140" s="915"/>
      <c r="DO140" s="915"/>
      <c r="DP140" s="915"/>
      <c r="DQ140" s="915"/>
      <c r="DR140" s="915"/>
      <c r="DS140" s="915"/>
      <c r="DT140" s="915"/>
      <c r="DU140" s="915"/>
      <c r="DV140" s="915"/>
      <c r="DW140" s="915"/>
      <c r="DX140" s="915"/>
      <c r="DY140" s="915"/>
      <c r="DZ140" s="915"/>
      <c r="EA140" s="915"/>
      <c r="EB140" s="915"/>
      <c r="EC140" s="915"/>
      <c r="ED140" s="915"/>
      <c r="EE140" s="915"/>
      <c r="EF140" s="915"/>
      <c r="EG140" s="915"/>
      <c r="EH140" s="915"/>
      <c r="EI140" s="915"/>
      <c r="EJ140" s="915"/>
      <c r="EK140" s="915"/>
      <c r="EN140" s="533"/>
      <c r="EQ140" s="534"/>
    </row>
    <row r="141" spans="1:147" x14ac:dyDescent="0.2">
      <c r="A141" s="1026">
        <v>135</v>
      </c>
      <c r="B141" s="1421" t="str">
        <f>"SAMPLE SHIPMENT COSTS FOR  " &amp; TabName14</f>
        <v>SAMPLE SHIPMENT COSTS FOR  Phase 14</v>
      </c>
      <c r="C141" s="1422"/>
      <c r="D141" s="3" t="str">
        <f>IF(LEN(TabName14=9),RIGHT(TabName14,2),RIGHT(TabName14,2))</f>
        <v>14</v>
      </c>
      <c r="E141" s="142" t="s">
        <v>164</v>
      </c>
      <c r="F141" s="139" t="s">
        <v>2544</v>
      </c>
      <c r="G141" s="1025">
        <v>1</v>
      </c>
      <c r="H141" s="1022">
        <v>10</v>
      </c>
      <c r="I141" s="119">
        <f t="shared" si="303"/>
        <v>0.6</v>
      </c>
      <c r="J141" s="90">
        <f t="shared" si="304"/>
        <v>10.6</v>
      </c>
      <c r="K141" s="225"/>
      <c r="V141" s="915"/>
      <c r="W141" s="915"/>
      <c r="X141" s="915"/>
      <c r="Y141" s="915"/>
      <c r="Z141" s="915"/>
      <c r="AA141" s="915"/>
      <c r="AB141" s="915"/>
      <c r="AC141" s="915"/>
      <c r="AD141" s="915"/>
      <c r="AE141" s="915"/>
      <c r="AF141" s="915"/>
      <c r="AG141" s="915"/>
      <c r="AH141" s="915"/>
      <c r="AI141" s="915"/>
      <c r="AJ141" s="915"/>
      <c r="AK141" s="915"/>
      <c r="AL141" s="915"/>
      <c r="AM141" s="915"/>
      <c r="AN141" s="915"/>
      <c r="AO141" s="915"/>
      <c r="AP141" s="915"/>
      <c r="AQ141" s="915"/>
      <c r="AR141" s="915"/>
      <c r="AS141" s="915"/>
      <c r="AT141" s="915"/>
      <c r="AU141" s="915"/>
      <c r="AV141" s="915"/>
      <c r="AW141" s="915"/>
      <c r="AX141" s="915"/>
      <c r="AY141" s="915"/>
      <c r="AZ141" s="915"/>
      <c r="BA141" s="915"/>
      <c r="BB141" s="915"/>
      <c r="BC141" s="915"/>
      <c r="BD141" s="915"/>
      <c r="BE141" s="915"/>
      <c r="BF141" s="915"/>
      <c r="BG141" s="915"/>
      <c r="BH141" s="915"/>
      <c r="BI141" s="915"/>
      <c r="BJ141" s="915"/>
      <c r="BK141" s="915"/>
      <c r="BL141" s="915"/>
      <c r="BM141" s="915"/>
      <c r="BN141" s="915"/>
      <c r="BO141" s="915"/>
      <c r="BP141" s="915"/>
      <c r="BQ141" s="915"/>
      <c r="BR141" s="915"/>
      <c r="BS141" s="915"/>
      <c r="BT141" s="915"/>
      <c r="BU141" s="915"/>
      <c r="BV141" s="915"/>
      <c r="BW141" s="915"/>
      <c r="BX141" s="915"/>
      <c r="BY141" s="915"/>
      <c r="BZ141" s="915"/>
      <c r="CA141" s="915"/>
      <c r="CB141" s="915"/>
      <c r="CC141" s="915"/>
      <c r="CD141" s="915"/>
      <c r="CE141" s="915"/>
      <c r="CF141" s="915"/>
      <c r="CG141" s="915"/>
      <c r="CH141" s="915"/>
      <c r="CI141" s="915"/>
      <c r="CJ141" s="915"/>
      <c r="CK141" s="915"/>
      <c r="CL141" s="915"/>
      <c r="CM141" s="915"/>
      <c r="CN141" s="915"/>
      <c r="CO141" s="915"/>
      <c r="CP141" s="915"/>
      <c r="CQ141" s="915"/>
      <c r="CR141" s="915"/>
      <c r="CS141" s="915"/>
      <c r="CT141" s="915"/>
      <c r="CU141" s="915"/>
      <c r="CV141" s="915"/>
      <c r="CW141" s="915"/>
      <c r="CX141" s="915"/>
      <c r="CY141" s="915"/>
      <c r="CZ141" s="915"/>
      <c r="DA141" s="915"/>
      <c r="DB141" s="915"/>
      <c r="DC141" s="915"/>
      <c r="DD141" s="915"/>
      <c r="DE141" s="915"/>
      <c r="DF141" s="915"/>
      <c r="DG141" s="915"/>
      <c r="DH141" s="915"/>
      <c r="DI141" s="915"/>
      <c r="DJ141" s="915"/>
      <c r="DK141" s="915"/>
      <c r="DL141" s="915"/>
      <c r="DM141" s="915"/>
      <c r="DN141" s="915"/>
      <c r="DO141" s="915"/>
      <c r="DP141" s="915"/>
      <c r="DQ141" s="915"/>
      <c r="DR141" s="915"/>
      <c r="DS141" s="915"/>
      <c r="DT141" s="915"/>
      <c r="DU141" s="915"/>
      <c r="DV141" s="915"/>
      <c r="DW141" s="915"/>
      <c r="DX141" s="915"/>
      <c r="DY141" s="915"/>
      <c r="DZ141" s="915"/>
      <c r="EA141" s="915"/>
      <c r="EB141" s="915"/>
      <c r="EC141" s="915"/>
      <c r="ED141" s="915"/>
      <c r="EE141" s="915"/>
      <c r="EF141" s="915"/>
      <c r="EG141" s="915"/>
      <c r="EH141" s="915"/>
      <c r="EI141" s="915"/>
      <c r="EJ141" s="915"/>
      <c r="EK141" s="915"/>
      <c r="EN141" s="533"/>
      <c r="EQ141" s="534"/>
    </row>
    <row r="142" spans="1:147" x14ac:dyDescent="0.2">
      <c r="A142" s="1026">
        <v>136</v>
      </c>
      <c r="B142" s="1421" t="str">
        <f>"SAMPLE SHIPMENT COSTS FOR  " &amp; TabName15</f>
        <v>SAMPLE SHIPMENT COSTS FOR  Phase 15</v>
      </c>
      <c r="C142" s="1422"/>
      <c r="D142" s="3" t="str">
        <f>IF(LEN(TabName15=9),RIGHT(TabName15,2),RIGHT(TabName15,2))</f>
        <v>15</v>
      </c>
      <c r="E142" s="142" t="s">
        <v>164</v>
      </c>
      <c r="F142" s="139" t="s">
        <v>2544</v>
      </c>
      <c r="G142" s="1025">
        <v>1</v>
      </c>
      <c r="H142" s="1022">
        <v>10</v>
      </c>
      <c r="I142" s="119">
        <f t="shared" si="303"/>
        <v>0.6</v>
      </c>
      <c r="J142" s="90">
        <f t="shared" si="304"/>
        <v>10.6</v>
      </c>
      <c r="K142" s="225"/>
      <c r="V142" s="915"/>
      <c r="W142" s="915"/>
      <c r="X142" s="915"/>
      <c r="Y142" s="915"/>
      <c r="Z142" s="915"/>
      <c r="AA142" s="915"/>
      <c r="AB142" s="915"/>
      <c r="AC142" s="915"/>
      <c r="AD142" s="915"/>
      <c r="AE142" s="915"/>
      <c r="AF142" s="915"/>
      <c r="AG142" s="915"/>
      <c r="AH142" s="915"/>
      <c r="AI142" s="915"/>
      <c r="AJ142" s="915"/>
      <c r="AK142" s="915"/>
      <c r="AL142" s="915"/>
      <c r="AM142" s="915"/>
      <c r="AN142" s="915"/>
      <c r="AO142" s="915"/>
      <c r="AP142" s="915"/>
      <c r="AQ142" s="915"/>
      <c r="AR142" s="915"/>
      <c r="AS142" s="915"/>
      <c r="AT142" s="915"/>
      <c r="AU142" s="915"/>
      <c r="AV142" s="915"/>
      <c r="AW142" s="915"/>
      <c r="AX142" s="915"/>
      <c r="AY142" s="915"/>
      <c r="AZ142" s="915"/>
      <c r="BA142" s="915"/>
      <c r="BB142" s="915"/>
      <c r="BC142" s="915"/>
      <c r="BD142" s="915"/>
      <c r="BE142" s="915"/>
      <c r="BF142" s="915"/>
      <c r="BG142" s="915"/>
      <c r="BH142" s="915"/>
      <c r="BI142" s="915"/>
      <c r="BJ142" s="915"/>
      <c r="BK142" s="915"/>
      <c r="BL142" s="915"/>
      <c r="BM142" s="915"/>
      <c r="BN142" s="915"/>
      <c r="BO142" s="915"/>
      <c r="BP142" s="915"/>
      <c r="BQ142" s="915"/>
      <c r="BR142" s="915"/>
      <c r="BS142" s="915"/>
      <c r="BT142" s="915"/>
      <c r="BU142" s="915"/>
      <c r="BV142" s="915"/>
      <c r="BW142" s="915"/>
      <c r="BX142" s="915"/>
      <c r="BY142" s="915"/>
      <c r="BZ142" s="915"/>
      <c r="CA142" s="915"/>
      <c r="CB142" s="915"/>
      <c r="CC142" s="915"/>
      <c r="CD142" s="915"/>
      <c r="CE142" s="915"/>
      <c r="CF142" s="915"/>
      <c r="CG142" s="915"/>
      <c r="CH142" s="915"/>
      <c r="CI142" s="915"/>
      <c r="CJ142" s="915"/>
      <c r="CK142" s="915"/>
      <c r="CL142" s="915"/>
      <c r="CM142" s="915"/>
      <c r="CN142" s="915"/>
      <c r="CO142" s="915"/>
      <c r="CP142" s="915"/>
      <c r="CQ142" s="915"/>
      <c r="CR142" s="915"/>
      <c r="CS142" s="915"/>
      <c r="CT142" s="915"/>
      <c r="CU142" s="915"/>
      <c r="CV142" s="915"/>
      <c r="CW142" s="915"/>
      <c r="CX142" s="915"/>
      <c r="CY142" s="915"/>
      <c r="CZ142" s="915"/>
      <c r="DA142" s="915"/>
      <c r="DB142" s="915"/>
      <c r="DC142" s="915"/>
      <c r="DD142" s="915"/>
      <c r="DE142" s="915"/>
      <c r="DF142" s="915"/>
      <c r="DG142" s="915"/>
      <c r="DH142" s="915"/>
      <c r="DI142" s="915"/>
      <c r="DJ142" s="915"/>
      <c r="DK142" s="915"/>
      <c r="DL142" s="915"/>
      <c r="DM142" s="915"/>
      <c r="DN142" s="915"/>
      <c r="DO142" s="915"/>
      <c r="DP142" s="915"/>
      <c r="DQ142" s="915"/>
      <c r="DR142" s="915"/>
      <c r="DS142" s="915"/>
      <c r="DT142" s="915"/>
      <c r="DU142" s="915"/>
      <c r="DV142" s="915"/>
      <c r="DW142" s="915"/>
      <c r="DX142" s="915"/>
      <c r="DY142" s="915"/>
      <c r="DZ142" s="915"/>
      <c r="EA142" s="915"/>
      <c r="EB142" s="915"/>
      <c r="EC142" s="915"/>
      <c r="ED142" s="915"/>
      <c r="EE142" s="915"/>
      <c r="EF142" s="915"/>
      <c r="EG142" s="915"/>
      <c r="EH142" s="915"/>
      <c r="EI142" s="915"/>
      <c r="EJ142" s="915"/>
      <c r="EK142" s="915"/>
      <c r="EN142" s="533"/>
      <c r="EQ142" s="534"/>
    </row>
    <row r="143" spans="1:147" x14ac:dyDescent="0.2">
      <c r="A143" s="1026">
        <v>137</v>
      </c>
      <c r="B143" s="1421" t="str">
        <f>"SAMPLE SHIPMENT COSTS FOR  " &amp; TabName16</f>
        <v>SAMPLE SHIPMENT COSTS FOR  Phase 16</v>
      </c>
      <c r="C143" s="1422"/>
      <c r="D143" s="3" t="str">
        <f>IF(LEN(TabName16=9),RIGHT(TabName16,2),RIGHT(TabName17,2))</f>
        <v>16</v>
      </c>
      <c r="E143" s="142" t="s">
        <v>164</v>
      </c>
      <c r="F143" s="139" t="s">
        <v>2544</v>
      </c>
      <c r="G143" s="1025">
        <v>1</v>
      </c>
      <c r="H143" s="1022">
        <v>10</v>
      </c>
      <c r="I143" s="119">
        <f t="shared" si="303"/>
        <v>0.6</v>
      </c>
      <c r="J143" s="90">
        <f t="shared" si="304"/>
        <v>10.6</v>
      </c>
      <c r="K143" s="225"/>
      <c r="V143" s="915"/>
      <c r="W143" s="915"/>
      <c r="X143" s="915"/>
      <c r="Y143" s="915"/>
      <c r="Z143" s="915"/>
      <c r="AA143" s="915"/>
      <c r="AB143" s="915"/>
      <c r="AC143" s="915"/>
      <c r="AD143" s="915"/>
      <c r="AE143" s="915"/>
      <c r="AF143" s="915"/>
      <c r="AG143" s="915"/>
      <c r="AH143" s="915"/>
      <c r="AI143" s="915"/>
      <c r="AJ143" s="915"/>
      <c r="AK143" s="915"/>
      <c r="AL143" s="915"/>
      <c r="AM143" s="915"/>
      <c r="AN143" s="915"/>
      <c r="AO143" s="915"/>
      <c r="AP143" s="915"/>
      <c r="AQ143" s="915"/>
      <c r="AR143" s="915"/>
      <c r="AS143" s="915"/>
      <c r="AT143" s="915"/>
      <c r="AU143" s="915"/>
      <c r="AV143" s="915"/>
      <c r="AW143" s="915"/>
      <c r="AX143" s="915"/>
      <c r="AY143" s="915"/>
      <c r="AZ143" s="915"/>
      <c r="BA143" s="915"/>
      <c r="BB143" s="915"/>
      <c r="BC143" s="915"/>
      <c r="BD143" s="915"/>
      <c r="BE143" s="915"/>
      <c r="BF143" s="915"/>
      <c r="BG143" s="915"/>
      <c r="BH143" s="915"/>
      <c r="BI143" s="915"/>
      <c r="BJ143" s="915"/>
      <c r="BK143" s="915"/>
      <c r="BL143" s="915"/>
      <c r="BM143" s="915"/>
      <c r="BN143" s="915"/>
      <c r="BO143" s="915"/>
      <c r="BP143" s="915"/>
      <c r="BQ143" s="915"/>
      <c r="BR143" s="915"/>
      <c r="BS143" s="915"/>
      <c r="BT143" s="915"/>
      <c r="BU143" s="915"/>
      <c r="BV143" s="915"/>
      <c r="BW143" s="915"/>
      <c r="BX143" s="915"/>
      <c r="BY143" s="915"/>
      <c r="BZ143" s="915"/>
      <c r="CA143" s="915"/>
      <c r="CB143" s="915"/>
      <c r="CC143" s="915"/>
      <c r="CD143" s="915"/>
      <c r="CE143" s="915"/>
      <c r="CF143" s="915"/>
      <c r="CG143" s="915"/>
      <c r="CH143" s="915"/>
      <c r="CI143" s="915"/>
      <c r="CJ143" s="915"/>
      <c r="CK143" s="915"/>
      <c r="CL143" s="915"/>
      <c r="CM143" s="915"/>
      <c r="CN143" s="915"/>
      <c r="CO143" s="915"/>
      <c r="CP143" s="915"/>
      <c r="CQ143" s="915"/>
      <c r="CR143" s="915"/>
      <c r="CS143" s="915"/>
      <c r="CT143" s="915"/>
      <c r="CU143" s="915"/>
      <c r="CV143" s="915"/>
      <c r="CW143" s="915"/>
      <c r="CX143" s="915"/>
      <c r="CY143" s="915"/>
      <c r="CZ143" s="915"/>
      <c r="DA143" s="915"/>
      <c r="DB143" s="915"/>
      <c r="DC143" s="915"/>
      <c r="DD143" s="915"/>
      <c r="DE143" s="915"/>
      <c r="DF143" s="915"/>
      <c r="DG143" s="915"/>
      <c r="DH143" s="915"/>
      <c r="DI143" s="915"/>
      <c r="DJ143" s="915"/>
      <c r="DK143" s="915"/>
      <c r="DL143" s="915"/>
      <c r="DM143" s="915"/>
      <c r="DN143" s="915"/>
      <c r="DO143" s="915"/>
      <c r="DP143" s="915"/>
      <c r="DQ143" s="915"/>
      <c r="DR143" s="915"/>
      <c r="DS143" s="915"/>
      <c r="DT143" s="915"/>
      <c r="DU143" s="915"/>
      <c r="DV143" s="915"/>
      <c r="DW143" s="915"/>
      <c r="DX143" s="915"/>
      <c r="DY143" s="915"/>
      <c r="DZ143" s="915"/>
      <c r="EA143" s="915"/>
      <c r="EB143" s="915"/>
      <c r="EC143" s="915"/>
      <c r="ED143" s="915"/>
      <c r="EE143" s="915"/>
      <c r="EF143" s="915"/>
      <c r="EG143" s="915"/>
      <c r="EH143" s="915"/>
      <c r="EI143" s="915"/>
      <c r="EJ143" s="915"/>
      <c r="EK143" s="915"/>
      <c r="EN143" s="533"/>
      <c r="EQ143" s="534"/>
    </row>
    <row r="144" spans="1:147" x14ac:dyDescent="0.2">
      <c r="A144" s="1026">
        <v>138</v>
      </c>
      <c r="B144" s="1421" t="str">
        <f>"SAMPLE SHIPMENT COSTS FOR  " &amp; TabName17</f>
        <v>SAMPLE SHIPMENT COSTS FOR  Phase 17</v>
      </c>
      <c r="C144" s="1422"/>
      <c r="D144" s="51" t="str">
        <f>IF(LEN(TabName17=9),RIGHT(TabName17,2),RIGHT(TabName17,2))</f>
        <v>17</v>
      </c>
      <c r="E144" s="142" t="s">
        <v>164</v>
      </c>
      <c r="F144" s="139" t="s">
        <v>2544</v>
      </c>
      <c r="G144" s="1025">
        <v>1</v>
      </c>
      <c r="H144" s="1022">
        <v>10</v>
      </c>
      <c r="I144" s="119">
        <f t="shared" si="303"/>
        <v>0.6</v>
      </c>
      <c r="J144" s="90">
        <f t="shared" si="304"/>
        <v>10.6</v>
      </c>
      <c r="K144" s="225"/>
      <c r="V144" s="915"/>
      <c r="W144" s="915"/>
      <c r="X144" s="915"/>
      <c r="Y144" s="915"/>
      <c r="Z144" s="915"/>
      <c r="AA144" s="915"/>
      <c r="AB144" s="915"/>
      <c r="AC144" s="915"/>
      <c r="AD144" s="915"/>
      <c r="AE144" s="915"/>
      <c r="AF144" s="915"/>
      <c r="AG144" s="915"/>
      <c r="AH144" s="915"/>
      <c r="AI144" s="915"/>
      <c r="AJ144" s="915"/>
      <c r="AK144" s="915"/>
      <c r="AL144" s="915"/>
      <c r="AM144" s="915"/>
      <c r="AN144" s="915"/>
      <c r="AO144" s="915"/>
      <c r="AP144" s="915"/>
      <c r="AQ144" s="915"/>
      <c r="AR144" s="915"/>
      <c r="AS144" s="915"/>
      <c r="AT144" s="915"/>
      <c r="AU144" s="915"/>
      <c r="AV144" s="915"/>
      <c r="AW144" s="915"/>
      <c r="AX144" s="915"/>
      <c r="AY144" s="915"/>
      <c r="AZ144" s="915"/>
      <c r="BA144" s="915"/>
      <c r="BB144" s="915"/>
      <c r="BC144" s="915"/>
      <c r="BD144" s="915"/>
      <c r="BE144" s="915"/>
      <c r="BF144" s="915"/>
      <c r="BG144" s="915"/>
      <c r="BH144" s="915"/>
      <c r="BI144" s="915"/>
      <c r="BJ144" s="915"/>
      <c r="BK144" s="915"/>
      <c r="BL144" s="915"/>
      <c r="BM144" s="915"/>
      <c r="BN144" s="915"/>
      <c r="BO144" s="915"/>
      <c r="BP144" s="915"/>
      <c r="BQ144" s="915"/>
      <c r="BR144" s="915"/>
      <c r="BS144" s="915"/>
      <c r="BT144" s="915"/>
      <c r="BU144" s="915"/>
      <c r="BV144" s="915"/>
      <c r="BW144" s="915"/>
      <c r="BX144" s="915"/>
      <c r="BY144" s="915"/>
      <c r="BZ144" s="915"/>
      <c r="CA144" s="915"/>
      <c r="CB144" s="915"/>
      <c r="CC144" s="915"/>
      <c r="CD144" s="915"/>
      <c r="CE144" s="915"/>
      <c r="CF144" s="915"/>
      <c r="CG144" s="915"/>
      <c r="CH144" s="915"/>
      <c r="CI144" s="915"/>
      <c r="CJ144" s="915"/>
      <c r="CK144" s="915"/>
      <c r="CL144" s="915"/>
      <c r="CM144" s="915"/>
      <c r="CN144" s="915"/>
      <c r="CO144" s="915"/>
      <c r="CP144" s="915"/>
      <c r="CQ144" s="915"/>
      <c r="CR144" s="915"/>
      <c r="CS144" s="915"/>
      <c r="CT144" s="915"/>
      <c r="CU144" s="915"/>
      <c r="CV144" s="915"/>
      <c r="CW144" s="915"/>
      <c r="CX144" s="915"/>
      <c r="CY144" s="915"/>
      <c r="CZ144" s="915"/>
      <c r="DA144" s="915"/>
      <c r="DB144" s="915"/>
      <c r="DC144" s="915"/>
      <c r="DD144" s="915"/>
      <c r="DE144" s="915"/>
      <c r="DF144" s="915"/>
      <c r="DG144" s="915"/>
      <c r="DH144" s="915"/>
      <c r="DI144" s="915"/>
      <c r="DJ144" s="915"/>
      <c r="DK144" s="915"/>
      <c r="DL144" s="915"/>
      <c r="DM144" s="915"/>
      <c r="DN144" s="915"/>
      <c r="DO144" s="915"/>
      <c r="DP144" s="915"/>
      <c r="DQ144" s="915"/>
      <c r="DR144" s="915"/>
      <c r="DS144" s="915"/>
      <c r="DT144" s="915"/>
      <c r="DU144" s="915"/>
      <c r="DV144" s="915"/>
      <c r="DW144" s="915"/>
      <c r="DX144" s="915"/>
      <c r="DY144" s="915"/>
      <c r="DZ144" s="915"/>
      <c r="EA144" s="915"/>
      <c r="EB144" s="915"/>
      <c r="EC144" s="915"/>
      <c r="ED144" s="915"/>
      <c r="EE144" s="915"/>
      <c r="EF144" s="915"/>
      <c r="EG144" s="915"/>
      <c r="EH144" s="915"/>
      <c r="EI144" s="915"/>
      <c r="EJ144" s="915"/>
      <c r="EK144" s="915"/>
      <c r="EN144" s="533"/>
      <c r="EQ144" s="534"/>
    </row>
    <row r="145" spans="1:147" x14ac:dyDescent="0.2">
      <c r="A145" s="1026">
        <v>139</v>
      </c>
      <c r="B145" s="1421" t="str">
        <f>"SAMPLE SHIPMENT COSTS FOR  " &amp; TabName18</f>
        <v>SAMPLE SHIPMENT COSTS FOR  Phase 18</v>
      </c>
      <c r="C145" s="1422"/>
      <c r="D145" s="3" t="str">
        <f>IF(LEN(TabName18=9),RIGHT(TabName18,2),RIGHT(TabName18,2))</f>
        <v>18</v>
      </c>
      <c r="E145" s="142" t="s">
        <v>164</v>
      </c>
      <c r="F145" s="139" t="s">
        <v>2544</v>
      </c>
      <c r="G145" s="1025">
        <v>1</v>
      </c>
      <c r="H145" s="1022">
        <v>10</v>
      </c>
      <c r="I145" s="119">
        <f t="shared" si="303"/>
        <v>0.6</v>
      </c>
      <c r="J145" s="90">
        <f t="shared" si="304"/>
        <v>10.6</v>
      </c>
      <c r="K145" s="225"/>
      <c r="V145" s="915"/>
      <c r="W145" s="915"/>
      <c r="X145" s="915"/>
      <c r="Y145" s="915"/>
      <c r="Z145" s="915"/>
      <c r="AA145" s="915"/>
      <c r="AB145" s="915"/>
      <c r="AC145" s="915"/>
      <c r="AD145" s="915"/>
      <c r="AE145" s="915"/>
      <c r="AF145" s="915"/>
      <c r="AG145" s="915"/>
      <c r="AH145" s="915"/>
      <c r="AI145" s="915"/>
      <c r="AJ145" s="915"/>
      <c r="AK145" s="915"/>
      <c r="AL145" s="915"/>
      <c r="AM145" s="915"/>
      <c r="AN145" s="915"/>
      <c r="AO145" s="915"/>
      <c r="AP145" s="915"/>
      <c r="AQ145" s="915"/>
      <c r="AR145" s="915"/>
      <c r="AS145" s="915"/>
      <c r="AT145" s="915"/>
      <c r="AU145" s="915"/>
      <c r="AV145" s="915"/>
      <c r="AW145" s="915"/>
      <c r="AX145" s="915"/>
      <c r="AY145" s="915"/>
      <c r="AZ145" s="915"/>
      <c r="BA145" s="915"/>
      <c r="BB145" s="915"/>
      <c r="BC145" s="915"/>
      <c r="BD145" s="915"/>
      <c r="BE145" s="915"/>
      <c r="BF145" s="915"/>
      <c r="BG145" s="915"/>
      <c r="BH145" s="915"/>
      <c r="BI145" s="915"/>
      <c r="BJ145" s="915"/>
      <c r="BK145" s="915"/>
      <c r="BL145" s="915"/>
      <c r="BM145" s="915"/>
      <c r="BN145" s="915"/>
      <c r="BO145" s="915"/>
      <c r="BP145" s="915"/>
      <c r="BQ145" s="915"/>
      <c r="BR145" s="915"/>
      <c r="BS145" s="915"/>
      <c r="BT145" s="915"/>
      <c r="BU145" s="915"/>
      <c r="BV145" s="915"/>
      <c r="BW145" s="915"/>
      <c r="BX145" s="915"/>
      <c r="BY145" s="915"/>
      <c r="BZ145" s="915"/>
      <c r="CA145" s="915"/>
      <c r="CB145" s="915"/>
      <c r="CC145" s="915"/>
      <c r="CD145" s="915"/>
      <c r="CE145" s="915"/>
      <c r="CF145" s="915"/>
      <c r="CG145" s="915"/>
      <c r="CH145" s="915"/>
      <c r="CI145" s="915"/>
      <c r="CJ145" s="915"/>
      <c r="CK145" s="915"/>
      <c r="CL145" s="915"/>
      <c r="CM145" s="915"/>
      <c r="CN145" s="915"/>
      <c r="CO145" s="915"/>
      <c r="CP145" s="915"/>
      <c r="CQ145" s="915"/>
      <c r="CR145" s="915"/>
      <c r="CS145" s="915"/>
      <c r="CT145" s="915"/>
      <c r="CU145" s="915"/>
      <c r="CV145" s="915"/>
      <c r="CW145" s="915"/>
      <c r="CX145" s="915"/>
      <c r="CY145" s="915"/>
      <c r="CZ145" s="915"/>
      <c r="DA145" s="915"/>
      <c r="DB145" s="915"/>
      <c r="DC145" s="915"/>
      <c r="DD145" s="915"/>
      <c r="DE145" s="915"/>
      <c r="DF145" s="915"/>
      <c r="DG145" s="915"/>
      <c r="DH145" s="915"/>
      <c r="DI145" s="915"/>
      <c r="DJ145" s="915"/>
      <c r="DK145" s="915"/>
      <c r="DL145" s="915"/>
      <c r="DM145" s="915"/>
      <c r="DN145" s="915"/>
      <c r="DO145" s="915"/>
      <c r="DP145" s="915"/>
      <c r="DQ145" s="915"/>
      <c r="DR145" s="915"/>
      <c r="DS145" s="915"/>
      <c r="DT145" s="915"/>
      <c r="DU145" s="915"/>
      <c r="DV145" s="915"/>
      <c r="DW145" s="915"/>
      <c r="DX145" s="915"/>
      <c r="DY145" s="915"/>
      <c r="DZ145" s="915"/>
      <c r="EA145" s="915"/>
      <c r="EB145" s="915"/>
      <c r="EC145" s="915"/>
      <c r="ED145" s="915"/>
      <c r="EE145" s="915"/>
      <c r="EF145" s="915"/>
      <c r="EG145" s="915"/>
      <c r="EH145" s="915"/>
      <c r="EI145" s="915"/>
      <c r="EJ145" s="915"/>
      <c r="EK145" s="915"/>
      <c r="EN145" s="533"/>
      <c r="EQ145" s="534"/>
    </row>
    <row r="146" spans="1:147" x14ac:dyDescent="0.2">
      <c r="A146" s="1026">
        <v>140</v>
      </c>
      <c r="B146" s="1421" t="str">
        <f>"SAMPLE SHIPMENT COSTS FOR  " &amp; TabName19</f>
        <v>SAMPLE SHIPMENT COSTS FOR  Phase 19</v>
      </c>
      <c r="C146" s="1422"/>
      <c r="D146" s="3" t="str">
        <f>IF(LEN(TabName19=9),RIGHT(TabName19,2),RIGHT(TabName19,2))</f>
        <v>19</v>
      </c>
      <c r="E146" s="142" t="s">
        <v>164</v>
      </c>
      <c r="F146" s="139" t="s">
        <v>2544</v>
      </c>
      <c r="G146" s="1025">
        <v>1</v>
      </c>
      <c r="H146" s="1022">
        <v>10</v>
      </c>
      <c r="I146" s="119">
        <f t="shared" si="303"/>
        <v>0.6</v>
      </c>
      <c r="J146" s="90">
        <f t="shared" si="304"/>
        <v>10.6</v>
      </c>
      <c r="K146" s="225"/>
      <c r="V146" s="915"/>
      <c r="W146" s="915"/>
      <c r="X146" s="915"/>
      <c r="Y146" s="915"/>
      <c r="Z146" s="915"/>
      <c r="AA146" s="915"/>
      <c r="AB146" s="915"/>
      <c r="AC146" s="915"/>
      <c r="AD146" s="915"/>
      <c r="AE146" s="915"/>
      <c r="AF146" s="915"/>
      <c r="AG146" s="915"/>
      <c r="AH146" s="915"/>
      <c r="AI146" s="915"/>
      <c r="AJ146" s="915"/>
      <c r="AK146" s="915"/>
      <c r="AL146" s="915"/>
      <c r="AM146" s="915"/>
      <c r="AN146" s="915"/>
      <c r="AO146" s="915"/>
      <c r="AP146" s="915"/>
      <c r="AQ146" s="915"/>
      <c r="AR146" s="915"/>
      <c r="AS146" s="915"/>
      <c r="AT146" s="915"/>
      <c r="AU146" s="915"/>
      <c r="AV146" s="915"/>
      <c r="AW146" s="915"/>
      <c r="AX146" s="915"/>
      <c r="AY146" s="915"/>
      <c r="AZ146" s="915"/>
      <c r="BA146" s="915"/>
      <c r="BB146" s="915"/>
      <c r="BC146" s="915"/>
      <c r="BD146" s="915"/>
      <c r="BE146" s="915"/>
      <c r="BF146" s="915"/>
      <c r="BG146" s="915"/>
      <c r="BH146" s="915"/>
      <c r="BI146" s="915"/>
      <c r="BJ146" s="915"/>
      <c r="BK146" s="915"/>
      <c r="BL146" s="915"/>
      <c r="BM146" s="915"/>
      <c r="BN146" s="915"/>
      <c r="BO146" s="915"/>
      <c r="BP146" s="915"/>
      <c r="BQ146" s="915"/>
      <c r="BR146" s="915"/>
      <c r="BS146" s="915"/>
      <c r="BT146" s="915"/>
      <c r="BU146" s="915"/>
      <c r="BV146" s="915"/>
      <c r="BW146" s="915"/>
      <c r="BX146" s="915"/>
      <c r="BY146" s="915"/>
      <c r="BZ146" s="915"/>
      <c r="CA146" s="915"/>
      <c r="CB146" s="915"/>
      <c r="CC146" s="915"/>
      <c r="CD146" s="915"/>
      <c r="CE146" s="915"/>
      <c r="CF146" s="915"/>
      <c r="CG146" s="915"/>
      <c r="CH146" s="915"/>
      <c r="CI146" s="915"/>
      <c r="CJ146" s="915"/>
      <c r="CK146" s="915"/>
      <c r="CL146" s="915"/>
      <c r="CM146" s="915"/>
      <c r="CN146" s="915"/>
      <c r="CO146" s="915"/>
      <c r="CP146" s="915"/>
      <c r="CQ146" s="915"/>
      <c r="CR146" s="915"/>
      <c r="CS146" s="915"/>
      <c r="CT146" s="915"/>
      <c r="CU146" s="915"/>
      <c r="CV146" s="915"/>
      <c r="CW146" s="915"/>
      <c r="CX146" s="915"/>
      <c r="CY146" s="915"/>
      <c r="CZ146" s="915"/>
      <c r="DA146" s="915"/>
      <c r="DB146" s="915"/>
      <c r="DC146" s="915"/>
      <c r="DD146" s="915"/>
      <c r="DE146" s="915"/>
      <c r="DF146" s="915"/>
      <c r="DG146" s="915"/>
      <c r="DH146" s="915"/>
      <c r="DI146" s="915"/>
      <c r="DJ146" s="915"/>
      <c r="DK146" s="915"/>
      <c r="DL146" s="915"/>
      <c r="DM146" s="915"/>
      <c r="DN146" s="915"/>
      <c r="DO146" s="915"/>
      <c r="DP146" s="915"/>
      <c r="DQ146" s="915"/>
      <c r="DR146" s="915"/>
      <c r="DS146" s="915"/>
      <c r="DT146" s="915"/>
      <c r="DU146" s="915"/>
      <c r="DV146" s="915"/>
      <c r="DW146" s="915"/>
      <c r="DX146" s="915"/>
      <c r="DY146" s="915"/>
      <c r="DZ146" s="915"/>
      <c r="EA146" s="915"/>
      <c r="EB146" s="915"/>
      <c r="EC146" s="915"/>
      <c r="ED146" s="915"/>
      <c r="EE146" s="915"/>
      <c r="EF146" s="915"/>
      <c r="EG146" s="915"/>
      <c r="EH146" s="915"/>
      <c r="EI146" s="915"/>
      <c r="EJ146" s="915"/>
      <c r="EK146" s="915"/>
      <c r="EN146" s="533"/>
      <c r="EQ146" s="534"/>
    </row>
    <row r="147" spans="1:147" ht="13.5" thickBot="1" x14ac:dyDescent="0.25">
      <c r="A147" s="1026">
        <v>141</v>
      </c>
      <c r="B147" s="1421" t="str">
        <f>"SAMPLE SHIPMENT COSTS FOR  " &amp; TabName20</f>
        <v>SAMPLE SHIPMENT COSTS FOR  Phase 20</v>
      </c>
      <c r="C147" s="1422"/>
      <c r="D147" s="51" t="str">
        <f>IF(LEN(TabName20=9),RIGHT(TabName20,2),RIGHT(TabName20,2))</f>
        <v>20</v>
      </c>
      <c r="E147" s="142" t="s">
        <v>164</v>
      </c>
      <c r="F147" s="1191" t="s">
        <v>2544</v>
      </c>
      <c r="G147" s="1025">
        <v>1</v>
      </c>
      <c r="H147" s="1022">
        <v>10</v>
      </c>
      <c r="I147" s="119">
        <f t="shared" si="303"/>
        <v>0.6</v>
      </c>
      <c r="J147" s="90">
        <f t="shared" si="304"/>
        <v>10.6</v>
      </c>
      <c r="K147" s="225"/>
      <c r="V147" s="915"/>
      <c r="W147" s="915"/>
      <c r="X147" s="915"/>
      <c r="Y147" s="915"/>
      <c r="Z147" s="915"/>
      <c r="AA147" s="915"/>
      <c r="AB147" s="915"/>
      <c r="AC147" s="915"/>
      <c r="AD147" s="915"/>
      <c r="AE147" s="915"/>
      <c r="AF147" s="915"/>
      <c r="AG147" s="915"/>
      <c r="AH147" s="915"/>
      <c r="AI147" s="915"/>
      <c r="AJ147" s="915"/>
      <c r="AK147" s="915"/>
      <c r="AL147" s="915"/>
      <c r="AM147" s="915"/>
      <c r="AN147" s="915"/>
      <c r="AO147" s="915"/>
      <c r="AP147" s="915"/>
      <c r="AQ147" s="915"/>
      <c r="AR147" s="915"/>
      <c r="AS147" s="915"/>
      <c r="AT147" s="915"/>
      <c r="AU147" s="915"/>
      <c r="AV147" s="915"/>
      <c r="AW147" s="915"/>
      <c r="AX147" s="915"/>
      <c r="AY147" s="915"/>
      <c r="AZ147" s="915"/>
      <c r="BA147" s="915"/>
      <c r="BB147" s="915"/>
      <c r="BC147" s="915"/>
      <c r="BD147" s="915"/>
      <c r="BE147" s="915"/>
      <c r="BF147" s="915"/>
      <c r="BG147" s="915"/>
      <c r="BH147" s="915"/>
      <c r="BI147" s="915"/>
      <c r="BJ147" s="915"/>
      <c r="BK147" s="915"/>
      <c r="BL147" s="915"/>
      <c r="BM147" s="915"/>
      <c r="BN147" s="915"/>
      <c r="BO147" s="915"/>
      <c r="BP147" s="915"/>
      <c r="BQ147" s="915"/>
      <c r="BR147" s="915"/>
      <c r="BS147" s="915"/>
      <c r="BT147" s="915"/>
      <c r="BU147" s="915"/>
      <c r="BV147" s="915"/>
      <c r="BW147" s="915"/>
      <c r="BX147" s="915"/>
      <c r="BY147" s="915"/>
      <c r="BZ147" s="915"/>
      <c r="CA147" s="915"/>
      <c r="CB147" s="915"/>
      <c r="CC147" s="915"/>
      <c r="CD147" s="915"/>
      <c r="CE147" s="915"/>
      <c r="CF147" s="915"/>
      <c r="CG147" s="915"/>
      <c r="CH147" s="915"/>
      <c r="CI147" s="915"/>
      <c r="CJ147" s="915"/>
      <c r="CK147" s="915"/>
      <c r="CL147" s="915"/>
      <c r="CM147" s="915"/>
      <c r="CN147" s="915"/>
      <c r="CO147" s="915"/>
      <c r="CP147" s="915"/>
      <c r="CQ147" s="915"/>
      <c r="CR147" s="915"/>
      <c r="CS147" s="915"/>
      <c r="CT147" s="915"/>
      <c r="CU147" s="915"/>
      <c r="CV147" s="915"/>
      <c r="CW147" s="915"/>
      <c r="CX147" s="915"/>
      <c r="CY147" s="915"/>
      <c r="CZ147" s="915"/>
      <c r="DA147" s="915"/>
      <c r="DB147" s="915"/>
      <c r="DC147" s="915"/>
      <c r="DD147" s="915"/>
      <c r="DE147" s="915"/>
      <c r="DF147" s="915"/>
      <c r="DG147" s="915"/>
      <c r="DH147" s="915"/>
      <c r="DI147" s="915"/>
      <c r="DJ147" s="915"/>
      <c r="DK147" s="915"/>
      <c r="DL147" s="915"/>
      <c r="DM147" s="915"/>
      <c r="DN147" s="915"/>
      <c r="DO147" s="915"/>
      <c r="DP147" s="915"/>
      <c r="DQ147" s="915"/>
      <c r="DR147" s="915"/>
      <c r="DS147" s="915"/>
      <c r="DT147" s="915"/>
      <c r="DU147" s="915"/>
      <c r="DV147" s="915"/>
      <c r="DW147" s="915"/>
      <c r="DX147" s="915"/>
      <c r="DY147" s="915"/>
      <c r="DZ147" s="915"/>
      <c r="EA147" s="915"/>
      <c r="EB147" s="915"/>
      <c r="EC147" s="915"/>
      <c r="ED147" s="915"/>
      <c r="EE147" s="915"/>
      <c r="EF147" s="915"/>
      <c r="EG147" s="915"/>
      <c r="EH147" s="915"/>
      <c r="EI147" s="915"/>
      <c r="EJ147" s="915"/>
      <c r="EK147" s="915"/>
      <c r="EN147" s="533"/>
      <c r="EQ147" s="534"/>
    </row>
    <row r="148" spans="1:147" ht="14.25" thickTop="1" thickBot="1" x14ac:dyDescent="0.25">
      <c r="A148" s="96"/>
      <c r="B148" s="1429"/>
      <c r="C148" s="1430"/>
      <c r="D148" s="101"/>
      <c r="E148" s="101"/>
      <c r="F148" s="97"/>
      <c r="G148" s="97"/>
      <c r="H148" s="97"/>
      <c r="I148" s="108">
        <f>SUM(I8:I147)</f>
        <v>60.000000000000099</v>
      </c>
      <c r="J148" s="98">
        <f>SUM(J8:J147)</f>
        <v>1459.9999999999993</v>
      </c>
      <c r="V148" s="915"/>
      <c r="W148" s="915"/>
      <c r="X148" s="915"/>
      <c r="Y148" s="915"/>
      <c r="Z148" s="915"/>
      <c r="AA148" s="915"/>
      <c r="AB148" s="915"/>
      <c r="AC148" s="915"/>
      <c r="AD148" s="915"/>
      <c r="AE148" s="915"/>
      <c r="AF148" s="915"/>
      <c r="AG148" s="915"/>
      <c r="AH148" s="915"/>
      <c r="AI148" s="915"/>
      <c r="AJ148" s="915"/>
      <c r="AK148" s="915"/>
      <c r="AL148" s="915"/>
      <c r="AM148" s="915"/>
      <c r="AN148" s="915"/>
      <c r="AO148" s="915"/>
      <c r="AP148" s="915"/>
      <c r="AQ148" s="915"/>
      <c r="AR148" s="915"/>
      <c r="AS148" s="915"/>
      <c r="AT148" s="915"/>
      <c r="AU148" s="915"/>
      <c r="AV148" s="915"/>
      <c r="AW148" s="915"/>
      <c r="AX148" s="915"/>
      <c r="AY148" s="915"/>
      <c r="AZ148" s="915"/>
      <c r="BA148" s="915"/>
      <c r="BB148" s="915"/>
      <c r="BC148" s="915"/>
      <c r="BD148" s="915"/>
      <c r="BE148" s="915"/>
      <c r="BF148" s="915"/>
      <c r="BG148" s="915"/>
      <c r="BH148" s="915"/>
      <c r="BI148" s="915"/>
      <c r="BJ148" s="915"/>
      <c r="BK148" s="915"/>
      <c r="BL148" s="915"/>
      <c r="BM148" s="915"/>
      <c r="BN148" s="915"/>
      <c r="BO148" s="915"/>
      <c r="BP148" s="915"/>
      <c r="BQ148" s="915"/>
      <c r="BR148" s="915"/>
      <c r="BS148" s="915"/>
      <c r="BT148" s="915"/>
      <c r="BU148" s="915"/>
      <c r="BV148" s="915"/>
      <c r="BW148" s="915"/>
      <c r="BX148" s="915"/>
      <c r="BY148" s="915"/>
      <c r="BZ148" s="915"/>
      <c r="CA148" s="915"/>
      <c r="CB148" s="915"/>
      <c r="CC148" s="915"/>
      <c r="CD148" s="915"/>
      <c r="CE148" s="915"/>
      <c r="CF148" s="915"/>
      <c r="CG148" s="915"/>
      <c r="CH148" s="915"/>
      <c r="CI148" s="915"/>
      <c r="CJ148" s="915"/>
      <c r="CK148" s="915"/>
      <c r="CL148" s="915"/>
      <c r="CM148" s="915"/>
      <c r="CN148" s="915"/>
      <c r="CO148" s="915"/>
      <c r="CP148" s="915"/>
      <c r="CQ148" s="915"/>
      <c r="CR148" s="915"/>
      <c r="CS148" s="915"/>
      <c r="CT148" s="915"/>
      <c r="CU148" s="915"/>
      <c r="CV148" s="915"/>
      <c r="CW148" s="915"/>
      <c r="CX148" s="915"/>
      <c r="CY148" s="915"/>
      <c r="CZ148" s="915"/>
      <c r="DA148" s="915"/>
      <c r="DB148" s="915"/>
      <c r="DC148" s="915"/>
      <c r="DD148" s="915"/>
      <c r="DE148" s="915"/>
      <c r="DF148" s="915"/>
      <c r="DG148" s="915"/>
      <c r="DH148" s="915"/>
      <c r="DI148" s="915"/>
      <c r="DJ148" s="915"/>
      <c r="DK148" s="915"/>
      <c r="DL148" s="915"/>
      <c r="DM148" s="915"/>
      <c r="DN148" s="915"/>
      <c r="DO148" s="915"/>
      <c r="DP148" s="915"/>
      <c r="DQ148" s="915"/>
      <c r="DR148" s="915"/>
      <c r="DS148" s="915"/>
      <c r="DT148" s="915"/>
      <c r="DU148" s="915"/>
      <c r="DV148" s="915"/>
      <c r="DW148" s="915"/>
      <c r="DX148" s="915"/>
      <c r="DY148" s="915"/>
      <c r="DZ148" s="915"/>
      <c r="EA148" s="915"/>
      <c r="EB148" s="915"/>
      <c r="EC148" s="915"/>
      <c r="ED148" s="915"/>
      <c r="EE148" s="915"/>
      <c r="EF148" s="915"/>
      <c r="EG148" s="915"/>
      <c r="EH148" s="915"/>
      <c r="EI148" s="915"/>
      <c r="EJ148" s="915"/>
      <c r="EK148" s="915"/>
      <c r="EM148" s="536"/>
      <c r="EN148" s="535"/>
      <c r="EO148" s="536"/>
      <c r="EP148" s="536"/>
      <c r="EQ148" s="537"/>
    </row>
    <row r="149" spans="1:147" x14ac:dyDescent="0.2">
      <c r="B149" s="29"/>
      <c r="C149" s="51"/>
      <c r="D149" s="51"/>
      <c r="E149" s="51"/>
      <c r="V149" s="915"/>
      <c r="W149" s="915"/>
      <c r="X149" s="915"/>
      <c r="Y149" s="915"/>
      <c r="Z149" s="915"/>
      <c r="AA149" s="915"/>
      <c r="AB149" s="915"/>
      <c r="AC149" s="915"/>
      <c r="AD149" s="915"/>
      <c r="AE149" s="915"/>
      <c r="AF149" s="915"/>
      <c r="AG149" s="915"/>
      <c r="AH149" s="915"/>
      <c r="AI149" s="915"/>
      <c r="AJ149" s="915"/>
      <c r="AK149" s="915"/>
      <c r="AL149" s="915"/>
      <c r="AM149" s="915"/>
      <c r="AN149" s="915"/>
      <c r="AO149" s="915"/>
      <c r="AP149" s="915"/>
      <c r="AQ149" s="915"/>
      <c r="AR149" s="915"/>
      <c r="AS149" s="915"/>
      <c r="AT149" s="915"/>
      <c r="AU149" s="915"/>
      <c r="AV149" s="915"/>
      <c r="AW149" s="915"/>
      <c r="AX149" s="915"/>
      <c r="AY149" s="915"/>
      <c r="AZ149" s="915"/>
      <c r="BA149" s="915"/>
      <c r="BB149" s="915"/>
      <c r="BC149" s="915"/>
      <c r="BD149" s="915"/>
      <c r="BE149" s="915"/>
      <c r="BF149" s="915"/>
      <c r="BG149" s="915"/>
      <c r="BH149" s="915"/>
      <c r="BI149" s="915"/>
      <c r="BJ149" s="915"/>
      <c r="BK149" s="915"/>
      <c r="BL149" s="915"/>
      <c r="BM149" s="915"/>
      <c r="BN149" s="915"/>
      <c r="BO149" s="915"/>
      <c r="BP149" s="915"/>
      <c r="BQ149" s="915"/>
      <c r="BR149" s="915"/>
      <c r="BS149" s="915"/>
      <c r="BT149" s="915"/>
      <c r="BU149" s="915"/>
      <c r="BV149" s="915"/>
      <c r="BW149" s="915"/>
      <c r="BX149" s="915"/>
      <c r="BY149" s="915"/>
      <c r="BZ149" s="915"/>
      <c r="CA149" s="915"/>
      <c r="CB149" s="915"/>
      <c r="CC149" s="915"/>
      <c r="CD149" s="915"/>
      <c r="CE149" s="915"/>
      <c r="CF149" s="915"/>
      <c r="CG149" s="915"/>
      <c r="CH149" s="915"/>
      <c r="CI149" s="915"/>
      <c r="CJ149" s="915"/>
      <c r="CK149" s="915"/>
      <c r="CL149" s="915"/>
      <c r="CM149" s="915"/>
      <c r="CN149" s="915"/>
      <c r="CO149" s="915"/>
      <c r="CP149" s="915"/>
      <c r="CQ149" s="915"/>
      <c r="CR149" s="915"/>
      <c r="CS149" s="915"/>
      <c r="CT149" s="915"/>
      <c r="CU149" s="915"/>
      <c r="CV149" s="915"/>
      <c r="CW149" s="915"/>
      <c r="CX149" s="915"/>
      <c r="CY149" s="915"/>
      <c r="CZ149" s="915"/>
      <c r="DA149" s="915"/>
      <c r="DB149" s="915"/>
      <c r="DC149" s="915"/>
      <c r="DD149" s="915"/>
      <c r="DE149" s="915"/>
      <c r="DF149" s="915"/>
      <c r="DG149" s="915"/>
      <c r="DH149" s="915"/>
      <c r="DI149" s="915"/>
      <c r="DJ149" s="915"/>
      <c r="DK149" s="915"/>
      <c r="DL149" s="915"/>
      <c r="DM149" s="915"/>
      <c r="DN149" s="915"/>
      <c r="DO149" s="915"/>
      <c r="DP149" s="915"/>
      <c r="DQ149" s="915"/>
      <c r="DR149" s="915"/>
      <c r="DS149" s="915"/>
      <c r="DT149" s="915"/>
      <c r="DU149" s="915"/>
      <c r="DV149" s="915"/>
      <c r="DW149" s="915"/>
      <c r="DX149" s="915"/>
      <c r="DY149" s="915"/>
      <c r="DZ149" s="915"/>
      <c r="EA149" s="915"/>
      <c r="EB149" s="915"/>
      <c r="EC149" s="915"/>
      <c r="ED149" s="915"/>
      <c r="EE149" s="915"/>
      <c r="EF149" s="915"/>
      <c r="EG149" s="915"/>
      <c r="EH149" s="915"/>
      <c r="EI149" s="915"/>
      <c r="EJ149" s="915"/>
      <c r="EK149" s="915"/>
    </row>
    <row r="150" spans="1:147" x14ac:dyDescent="0.2">
      <c r="B150" s="29"/>
      <c r="C150" s="51"/>
      <c r="D150" s="51"/>
      <c r="E150" s="51"/>
      <c r="V150" s="915"/>
      <c r="W150" s="915"/>
      <c r="X150" s="915"/>
      <c r="Y150" s="915"/>
      <c r="Z150" s="915"/>
      <c r="AA150" s="915"/>
      <c r="AB150" s="915"/>
      <c r="AC150" s="915"/>
      <c r="AD150" s="915"/>
      <c r="AE150" s="915"/>
      <c r="AF150" s="915"/>
      <c r="AG150" s="915"/>
      <c r="AH150" s="915"/>
      <c r="AI150" s="915"/>
      <c r="AJ150" s="915"/>
      <c r="AK150" s="915"/>
      <c r="AL150" s="915"/>
      <c r="AM150" s="915"/>
      <c r="AN150" s="915"/>
      <c r="AO150" s="915"/>
      <c r="AP150" s="915"/>
      <c r="AQ150" s="915"/>
      <c r="AR150" s="915"/>
      <c r="AS150" s="915"/>
      <c r="AT150" s="915"/>
      <c r="AU150" s="915"/>
      <c r="AV150" s="915"/>
      <c r="AW150" s="915"/>
      <c r="AX150" s="915"/>
      <c r="AY150" s="915"/>
      <c r="AZ150" s="915"/>
      <c r="BA150" s="915"/>
      <c r="BB150" s="915"/>
      <c r="BC150" s="915"/>
      <c r="BD150" s="915"/>
      <c r="BE150" s="915"/>
      <c r="BF150" s="915"/>
      <c r="BG150" s="915"/>
      <c r="BH150" s="915"/>
      <c r="BI150" s="915"/>
      <c r="BJ150" s="915"/>
      <c r="BK150" s="915"/>
      <c r="BL150" s="915"/>
      <c r="BM150" s="915"/>
      <c r="BN150" s="915"/>
      <c r="BO150" s="915"/>
      <c r="BP150" s="915"/>
      <c r="BQ150" s="915"/>
      <c r="BR150" s="915"/>
      <c r="BS150" s="915"/>
      <c r="BT150" s="915"/>
      <c r="BU150" s="915"/>
      <c r="BV150" s="915"/>
      <c r="BW150" s="915"/>
      <c r="BX150" s="915"/>
      <c r="BY150" s="915"/>
      <c r="BZ150" s="915"/>
      <c r="CA150" s="915"/>
      <c r="CB150" s="915"/>
      <c r="CC150" s="915"/>
      <c r="CD150" s="915"/>
      <c r="CE150" s="915"/>
      <c r="CF150" s="915"/>
      <c r="CG150" s="915"/>
      <c r="CH150" s="915"/>
      <c r="CI150" s="915"/>
      <c r="CJ150" s="915"/>
      <c r="CK150" s="915"/>
      <c r="CL150" s="915"/>
      <c r="CM150" s="915"/>
      <c r="CN150" s="915"/>
      <c r="CO150" s="915"/>
      <c r="CP150" s="915"/>
      <c r="CQ150" s="915"/>
      <c r="CR150" s="915"/>
      <c r="CS150" s="915"/>
      <c r="CT150" s="915"/>
      <c r="CU150" s="915"/>
      <c r="CV150" s="915"/>
      <c r="CW150" s="915"/>
      <c r="CX150" s="915"/>
      <c r="CY150" s="915"/>
      <c r="CZ150" s="915"/>
      <c r="DA150" s="915"/>
      <c r="DB150" s="915"/>
      <c r="DC150" s="915"/>
      <c r="DD150" s="915"/>
      <c r="DE150" s="915"/>
      <c r="DF150" s="915"/>
      <c r="DG150" s="915"/>
      <c r="DH150" s="915"/>
      <c r="DI150" s="915"/>
      <c r="DJ150" s="915"/>
      <c r="DK150" s="915"/>
      <c r="DL150" s="915"/>
      <c r="DM150" s="915"/>
      <c r="DN150" s="915"/>
      <c r="DO150" s="915"/>
      <c r="DP150" s="915"/>
      <c r="DQ150" s="915"/>
      <c r="DR150" s="915"/>
      <c r="DS150" s="915"/>
      <c r="DT150" s="915"/>
      <c r="DU150" s="915"/>
      <c r="DV150" s="915"/>
      <c r="DW150" s="915"/>
      <c r="DX150" s="915"/>
      <c r="DY150" s="915"/>
      <c r="DZ150" s="915"/>
      <c r="EA150" s="915"/>
      <c r="EB150" s="915"/>
      <c r="EC150" s="915"/>
      <c r="ED150" s="915"/>
      <c r="EE150" s="915"/>
      <c r="EF150" s="915"/>
      <c r="EG150" s="915"/>
      <c r="EH150" s="915"/>
      <c r="EI150" s="915"/>
      <c r="EJ150" s="915"/>
      <c r="EK150" s="915"/>
    </row>
    <row r="151" spans="1:147" x14ac:dyDescent="0.2">
      <c r="B151" s="29"/>
      <c r="C151" s="51"/>
      <c r="D151" s="51"/>
      <c r="E151" s="51"/>
      <c r="V151" s="915"/>
      <c r="W151" s="915"/>
      <c r="X151" s="915"/>
      <c r="Y151" s="915"/>
      <c r="Z151" s="915"/>
      <c r="AA151" s="915"/>
      <c r="AB151" s="915"/>
      <c r="AC151" s="915"/>
      <c r="AD151" s="915"/>
      <c r="AE151" s="915"/>
      <c r="AF151" s="915"/>
      <c r="AG151" s="915"/>
      <c r="AH151" s="915"/>
      <c r="AI151" s="915"/>
      <c r="AJ151" s="915"/>
      <c r="AK151" s="915"/>
      <c r="AL151" s="915"/>
      <c r="AM151" s="915"/>
      <c r="AN151" s="915"/>
      <c r="AO151" s="915"/>
      <c r="AP151" s="915"/>
      <c r="AQ151" s="915"/>
      <c r="AR151" s="915"/>
      <c r="AS151" s="915"/>
      <c r="AT151" s="915"/>
      <c r="AU151" s="915"/>
      <c r="AV151" s="915"/>
      <c r="AW151" s="915"/>
      <c r="AX151" s="915"/>
      <c r="AY151" s="915"/>
      <c r="AZ151" s="915"/>
      <c r="BA151" s="915"/>
      <c r="BB151" s="915"/>
      <c r="BC151" s="915"/>
      <c r="BD151" s="915"/>
      <c r="BE151" s="915"/>
      <c r="BF151" s="915"/>
      <c r="BG151" s="915"/>
      <c r="BH151" s="915"/>
      <c r="BI151" s="915"/>
      <c r="BJ151" s="915"/>
      <c r="BK151" s="915"/>
      <c r="BL151" s="915"/>
      <c r="BM151" s="915"/>
      <c r="BN151" s="915"/>
      <c r="BO151" s="915"/>
      <c r="BP151" s="915"/>
      <c r="BQ151" s="915"/>
      <c r="BR151" s="915"/>
      <c r="BS151" s="915"/>
      <c r="BT151" s="915"/>
      <c r="BU151" s="915"/>
      <c r="BV151" s="915"/>
      <c r="BW151" s="915"/>
      <c r="BX151" s="915"/>
      <c r="BY151" s="915"/>
      <c r="BZ151" s="915"/>
      <c r="CA151" s="915"/>
      <c r="CB151" s="915"/>
      <c r="CC151" s="915"/>
      <c r="CD151" s="915"/>
      <c r="CE151" s="915"/>
      <c r="CF151" s="915"/>
      <c r="CG151" s="915"/>
      <c r="CH151" s="915"/>
      <c r="CI151" s="915"/>
      <c r="CJ151" s="915"/>
      <c r="CK151" s="915"/>
      <c r="CL151" s="915"/>
      <c r="CM151" s="915"/>
      <c r="CN151" s="915"/>
      <c r="CO151" s="915"/>
      <c r="CP151" s="915"/>
      <c r="CQ151" s="915"/>
      <c r="CR151" s="915"/>
      <c r="CS151" s="915"/>
      <c r="CT151" s="915"/>
      <c r="CU151" s="915"/>
      <c r="CV151" s="915"/>
      <c r="CW151" s="915"/>
      <c r="CX151" s="915"/>
      <c r="CY151" s="915"/>
      <c r="CZ151" s="915"/>
      <c r="DA151" s="915"/>
      <c r="DB151" s="915"/>
      <c r="DC151" s="915"/>
      <c r="DD151" s="915"/>
      <c r="DE151" s="915"/>
      <c r="DF151" s="915"/>
      <c r="DG151" s="915"/>
      <c r="DH151" s="915"/>
      <c r="DI151" s="915"/>
      <c r="DJ151" s="915"/>
      <c r="DK151" s="915"/>
      <c r="DL151" s="915"/>
      <c r="DM151" s="915"/>
      <c r="DN151" s="915"/>
      <c r="DO151" s="915"/>
      <c r="DP151" s="915"/>
      <c r="DQ151" s="915"/>
      <c r="DR151" s="915"/>
      <c r="DS151" s="915"/>
      <c r="DT151" s="915"/>
      <c r="DU151" s="915"/>
      <c r="DV151" s="915"/>
      <c r="DW151" s="915"/>
      <c r="DX151" s="915"/>
      <c r="DY151" s="915"/>
      <c r="DZ151" s="915"/>
      <c r="EA151" s="915"/>
      <c r="EB151" s="915"/>
      <c r="EC151" s="915"/>
      <c r="ED151" s="915"/>
      <c r="EE151" s="915"/>
      <c r="EF151" s="915"/>
      <c r="EG151" s="915"/>
      <c r="EH151" s="915"/>
      <c r="EI151" s="915"/>
      <c r="EJ151" s="915"/>
      <c r="EK151" s="915"/>
    </row>
    <row r="152" spans="1:147" x14ac:dyDescent="0.2">
      <c r="B152" s="29"/>
      <c r="C152" s="51"/>
      <c r="D152" s="51"/>
      <c r="E152" s="51"/>
      <c r="V152" s="915"/>
      <c r="W152" s="915"/>
      <c r="X152" s="915"/>
      <c r="Y152" s="915"/>
      <c r="Z152" s="915"/>
      <c r="AA152" s="915"/>
      <c r="AB152" s="915"/>
      <c r="AC152" s="915"/>
      <c r="AD152" s="915"/>
      <c r="AE152" s="915"/>
      <c r="AF152" s="915"/>
      <c r="AG152" s="915"/>
      <c r="AH152" s="915"/>
      <c r="AI152" s="915"/>
      <c r="AJ152" s="915"/>
      <c r="AK152" s="915"/>
      <c r="AL152" s="915"/>
      <c r="AM152" s="915"/>
      <c r="AN152" s="915"/>
      <c r="AO152" s="915"/>
      <c r="AP152" s="915"/>
      <c r="AQ152" s="915"/>
      <c r="AR152" s="915"/>
      <c r="AS152" s="915"/>
      <c r="AT152" s="915"/>
      <c r="AU152" s="915"/>
      <c r="AV152" s="915"/>
      <c r="AW152" s="915"/>
      <c r="AX152" s="915"/>
      <c r="AY152" s="915"/>
      <c r="AZ152" s="915"/>
      <c r="BA152" s="915"/>
      <c r="BB152" s="915"/>
      <c r="BC152" s="915"/>
      <c r="BD152" s="915"/>
      <c r="BE152" s="915"/>
      <c r="BF152" s="915"/>
      <c r="BG152" s="915"/>
      <c r="BH152" s="915"/>
      <c r="BI152" s="915"/>
      <c r="BJ152" s="915"/>
      <c r="BK152" s="915"/>
      <c r="BL152" s="915"/>
      <c r="BM152" s="915"/>
      <c r="BN152" s="915"/>
      <c r="BO152" s="915"/>
      <c r="BP152" s="915"/>
      <c r="BQ152" s="915"/>
      <c r="BR152" s="915"/>
      <c r="BS152" s="915"/>
      <c r="BT152" s="915"/>
      <c r="BU152" s="915"/>
      <c r="BV152" s="915"/>
      <c r="BW152" s="915"/>
      <c r="BX152" s="915"/>
      <c r="BY152" s="915"/>
      <c r="BZ152" s="915"/>
      <c r="CA152" s="915"/>
      <c r="CB152" s="915"/>
      <c r="CC152" s="915"/>
      <c r="CD152" s="915"/>
      <c r="CE152" s="915"/>
      <c r="CF152" s="915"/>
      <c r="CG152" s="915"/>
      <c r="CH152" s="915"/>
      <c r="CI152" s="915"/>
      <c r="CJ152" s="915"/>
      <c r="CK152" s="915"/>
      <c r="CL152" s="915"/>
      <c r="CM152" s="915"/>
      <c r="CN152" s="915"/>
      <c r="CO152" s="915"/>
      <c r="CP152" s="915"/>
      <c r="CQ152" s="915"/>
      <c r="CR152" s="915"/>
      <c r="CS152" s="915"/>
      <c r="CT152" s="915"/>
      <c r="CU152" s="915"/>
      <c r="CV152" s="915"/>
      <c r="CW152" s="915"/>
      <c r="CX152" s="915"/>
      <c r="CY152" s="915"/>
      <c r="CZ152" s="915"/>
      <c r="DA152" s="915"/>
      <c r="DB152" s="915"/>
      <c r="DC152" s="915"/>
      <c r="DD152" s="915"/>
      <c r="DE152" s="915"/>
      <c r="DF152" s="915"/>
      <c r="DG152" s="915"/>
      <c r="DH152" s="915"/>
      <c r="DI152" s="915"/>
      <c r="DJ152" s="915"/>
      <c r="DK152" s="915"/>
      <c r="DL152" s="915"/>
      <c r="DM152" s="915"/>
      <c r="DN152" s="915"/>
      <c r="DO152" s="915"/>
      <c r="DP152" s="915"/>
      <c r="DQ152" s="915"/>
      <c r="DR152" s="915"/>
      <c r="DS152" s="915"/>
      <c r="DT152" s="915"/>
      <c r="DU152" s="915"/>
      <c r="DV152" s="915"/>
      <c r="DW152" s="915"/>
      <c r="DX152" s="915"/>
      <c r="DY152" s="915"/>
      <c r="DZ152" s="915"/>
      <c r="EA152" s="915"/>
      <c r="EB152" s="915"/>
      <c r="EC152" s="915"/>
      <c r="ED152" s="915"/>
      <c r="EE152" s="915"/>
      <c r="EF152" s="915"/>
      <c r="EG152" s="915"/>
      <c r="EH152" s="915"/>
      <c r="EI152" s="915"/>
      <c r="EJ152" s="915"/>
      <c r="EK152" s="915"/>
    </row>
    <row r="153" spans="1:147" x14ac:dyDescent="0.2">
      <c r="B153" s="29"/>
      <c r="C153" s="51"/>
      <c r="D153" s="51"/>
      <c r="E153" s="51"/>
      <c r="V153" s="915"/>
      <c r="W153" s="915"/>
      <c r="X153" s="915"/>
      <c r="Y153" s="915"/>
      <c r="Z153" s="915"/>
      <c r="AA153" s="915"/>
      <c r="AB153" s="915"/>
      <c r="AC153" s="915"/>
      <c r="AD153" s="915"/>
      <c r="AE153" s="915"/>
      <c r="AF153" s="915"/>
      <c r="AG153" s="915"/>
      <c r="AH153" s="915"/>
      <c r="AI153" s="915"/>
      <c r="AJ153" s="915"/>
      <c r="AK153" s="915"/>
      <c r="AL153" s="915"/>
      <c r="AM153" s="915"/>
      <c r="AN153" s="915"/>
      <c r="AO153" s="915"/>
      <c r="AP153" s="915"/>
      <c r="AQ153" s="915"/>
      <c r="AR153" s="915"/>
      <c r="AS153" s="915"/>
      <c r="AT153" s="915"/>
      <c r="AU153" s="915"/>
      <c r="AV153" s="915"/>
      <c r="AW153" s="915"/>
      <c r="AX153" s="915"/>
      <c r="AY153" s="915"/>
      <c r="AZ153" s="915"/>
      <c r="BA153" s="915"/>
      <c r="BB153" s="915"/>
      <c r="BC153" s="915"/>
      <c r="BD153" s="915"/>
      <c r="BE153" s="915"/>
      <c r="BF153" s="915"/>
      <c r="BG153" s="915"/>
      <c r="BH153" s="915"/>
      <c r="BI153" s="915"/>
      <c r="BJ153" s="915"/>
      <c r="BK153" s="915"/>
      <c r="BL153" s="915"/>
      <c r="BM153" s="915"/>
      <c r="BN153" s="915"/>
      <c r="BO153" s="915"/>
      <c r="BP153" s="915"/>
      <c r="BQ153" s="915"/>
      <c r="BR153" s="915"/>
      <c r="BS153" s="915"/>
      <c r="BT153" s="915"/>
      <c r="BU153" s="915"/>
      <c r="BV153" s="915"/>
      <c r="BW153" s="915"/>
      <c r="BX153" s="915"/>
      <c r="BY153" s="915"/>
      <c r="BZ153" s="915"/>
      <c r="CA153" s="915"/>
      <c r="CB153" s="915"/>
      <c r="CC153" s="915"/>
      <c r="CD153" s="915"/>
      <c r="CE153" s="915"/>
      <c r="CF153" s="915"/>
      <c r="CG153" s="915"/>
      <c r="CH153" s="915"/>
      <c r="CI153" s="915"/>
      <c r="CJ153" s="915"/>
      <c r="CK153" s="915"/>
      <c r="CL153" s="915"/>
      <c r="CM153" s="915"/>
      <c r="CN153" s="915"/>
      <c r="CO153" s="915"/>
      <c r="CP153" s="915"/>
      <c r="CQ153" s="915"/>
      <c r="CR153" s="915"/>
      <c r="CS153" s="915"/>
      <c r="CT153" s="915"/>
      <c r="CU153" s="915"/>
      <c r="CV153" s="915"/>
      <c r="CW153" s="915"/>
      <c r="CX153" s="915"/>
      <c r="CY153" s="915"/>
      <c r="CZ153" s="915"/>
      <c r="DA153" s="915"/>
      <c r="DB153" s="915"/>
      <c r="DC153" s="915"/>
      <c r="DD153" s="915"/>
      <c r="DE153" s="915"/>
      <c r="DF153" s="915"/>
      <c r="DG153" s="915"/>
      <c r="DH153" s="915"/>
      <c r="DI153" s="915"/>
      <c r="DJ153" s="915"/>
      <c r="DK153" s="915"/>
      <c r="DL153" s="915"/>
      <c r="DM153" s="915"/>
      <c r="DN153" s="915"/>
      <c r="DO153" s="915"/>
      <c r="DP153" s="915"/>
      <c r="DQ153" s="915"/>
      <c r="DR153" s="915"/>
      <c r="DS153" s="915"/>
      <c r="DT153" s="915"/>
      <c r="DU153" s="915"/>
      <c r="DV153" s="915"/>
      <c r="DW153" s="915"/>
      <c r="DX153" s="915"/>
      <c r="DY153" s="915"/>
      <c r="DZ153" s="915"/>
      <c r="EA153" s="915"/>
      <c r="EB153" s="915"/>
      <c r="EC153" s="915"/>
      <c r="ED153" s="915"/>
      <c r="EE153" s="915"/>
      <c r="EF153" s="915"/>
      <c r="EG153" s="915"/>
      <c r="EH153" s="915"/>
      <c r="EI153" s="915"/>
      <c r="EJ153" s="915"/>
      <c r="EK153" s="915"/>
    </row>
    <row r="154" spans="1:147" x14ac:dyDescent="0.2">
      <c r="B154" s="29"/>
      <c r="C154" s="51"/>
      <c r="D154" s="51"/>
      <c r="E154" s="51"/>
      <c r="V154" s="915"/>
      <c r="W154" s="915"/>
      <c r="X154" s="915"/>
      <c r="Y154" s="915"/>
      <c r="Z154" s="915"/>
      <c r="AA154" s="915"/>
      <c r="AB154" s="915"/>
      <c r="AC154" s="915"/>
      <c r="AD154" s="915"/>
      <c r="AE154" s="915"/>
      <c r="AF154" s="915"/>
      <c r="AG154" s="915"/>
      <c r="AH154" s="915"/>
      <c r="AI154" s="915"/>
      <c r="AJ154" s="915"/>
      <c r="AK154" s="915"/>
      <c r="AL154" s="915"/>
      <c r="AM154" s="915"/>
      <c r="AN154" s="915"/>
      <c r="AO154" s="915"/>
      <c r="AP154" s="915"/>
      <c r="AQ154" s="915"/>
      <c r="AR154" s="915"/>
      <c r="AS154" s="915"/>
      <c r="AT154" s="915"/>
      <c r="AU154" s="915"/>
      <c r="AV154" s="915"/>
      <c r="AW154" s="915"/>
      <c r="AX154" s="915"/>
      <c r="AY154" s="915"/>
      <c r="AZ154" s="915"/>
      <c r="BA154" s="915"/>
      <c r="BB154" s="915"/>
      <c r="BC154" s="915"/>
      <c r="BD154" s="915"/>
      <c r="BE154" s="915"/>
      <c r="BF154" s="915"/>
      <c r="BG154" s="915"/>
      <c r="BH154" s="915"/>
      <c r="BI154" s="915"/>
      <c r="BJ154" s="915"/>
      <c r="BK154" s="915"/>
      <c r="BL154" s="915"/>
      <c r="BM154" s="915"/>
      <c r="BN154" s="915"/>
      <c r="BO154" s="915"/>
      <c r="BP154" s="915"/>
      <c r="BQ154" s="915"/>
      <c r="BR154" s="915"/>
      <c r="BS154" s="915"/>
      <c r="BT154" s="915"/>
      <c r="BU154" s="915"/>
      <c r="BV154" s="915"/>
      <c r="BW154" s="915"/>
      <c r="BX154" s="915"/>
      <c r="BY154" s="915"/>
      <c r="BZ154" s="915"/>
      <c r="CA154" s="915"/>
      <c r="CB154" s="915"/>
      <c r="CC154" s="915"/>
      <c r="CD154" s="915"/>
      <c r="CE154" s="915"/>
      <c r="CF154" s="915"/>
      <c r="CG154" s="915"/>
      <c r="CH154" s="915"/>
      <c r="CI154" s="915"/>
      <c r="CJ154" s="915"/>
      <c r="CK154" s="915"/>
      <c r="CL154" s="915"/>
      <c r="CM154" s="915"/>
      <c r="CN154" s="915"/>
      <c r="CO154" s="915"/>
      <c r="CP154" s="915"/>
      <c r="CQ154" s="915"/>
      <c r="CR154" s="915"/>
      <c r="CS154" s="915"/>
      <c r="CT154" s="915"/>
      <c r="CU154" s="915"/>
      <c r="CV154" s="915"/>
      <c r="CW154" s="915"/>
      <c r="CX154" s="915"/>
      <c r="CY154" s="915"/>
      <c r="CZ154" s="915"/>
      <c r="DA154" s="915"/>
      <c r="DB154" s="915"/>
      <c r="DC154" s="915"/>
      <c r="DD154" s="915"/>
      <c r="DE154" s="915"/>
      <c r="DF154" s="915"/>
      <c r="DG154" s="915"/>
      <c r="DH154" s="915"/>
      <c r="DI154" s="915"/>
      <c r="DJ154" s="915"/>
      <c r="DK154" s="915"/>
      <c r="DL154" s="915"/>
      <c r="DM154" s="915"/>
      <c r="DN154" s="915"/>
      <c r="DO154" s="915"/>
      <c r="DP154" s="915"/>
      <c r="DQ154" s="915"/>
      <c r="DR154" s="915"/>
      <c r="DS154" s="915"/>
      <c r="DT154" s="915"/>
      <c r="DU154" s="915"/>
      <c r="DV154" s="915"/>
      <c r="DW154" s="915"/>
      <c r="DX154" s="915"/>
      <c r="DY154" s="915"/>
      <c r="DZ154" s="915"/>
      <c r="EA154" s="915"/>
      <c r="EB154" s="915"/>
      <c r="EC154" s="915"/>
      <c r="ED154" s="915"/>
      <c r="EE154" s="915"/>
      <c r="EF154" s="915"/>
      <c r="EG154" s="915"/>
      <c r="EH154" s="915"/>
      <c r="EI154" s="915"/>
      <c r="EJ154" s="915"/>
      <c r="EK154" s="915"/>
    </row>
    <row r="155" spans="1:147" x14ac:dyDescent="0.2">
      <c r="B155" s="29"/>
      <c r="C155" s="51"/>
      <c r="D155" s="51"/>
      <c r="E155" s="51"/>
      <c r="L155" s="941"/>
      <c r="V155" s="915"/>
      <c r="W155" s="915"/>
      <c r="X155" s="915"/>
      <c r="Y155" s="915"/>
      <c r="Z155" s="915"/>
      <c r="AA155" s="915"/>
      <c r="AB155" s="915"/>
      <c r="AC155" s="915"/>
      <c r="AD155" s="915"/>
      <c r="AE155" s="915"/>
      <c r="AF155" s="915"/>
      <c r="AG155" s="915"/>
      <c r="AH155" s="915"/>
      <c r="AI155" s="915"/>
      <c r="AJ155" s="915"/>
      <c r="AK155" s="915"/>
      <c r="AL155" s="915"/>
      <c r="AM155" s="915"/>
      <c r="AN155" s="915"/>
      <c r="AO155" s="915"/>
      <c r="AP155" s="915"/>
      <c r="AQ155" s="915"/>
      <c r="AR155" s="915"/>
      <c r="AS155" s="915"/>
      <c r="AT155" s="915"/>
      <c r="AU155" s="915"/>
      <c r="AV155" s="915"/>
      <c r="AW155" s="915"/>
      <c r="AX155" s="915"/>
      <c r="AY155" s="915"/>
      <c r="EB155" s="915"/>
      <c r="EC155" s="915"/>
      <c r="ED155" s="915"/>
      <c r="EE155" s="915"/>
      <c r="EF155" s="915"/>
      <c r="EG155" s="915"/>
      <c r="EH155" s="915"/>
      <c r="EI155" s="915"/>
      <c r="EJ155" s="915"/>
      <c r="EK155" s="915"/>
    </row>
    <row r="156" spans="1:147" x14ac:dyDescent="0.2">
      <c r="B156" s="29"/>
      <c r="C156" s="51"/>
      <c r="D156" s="51"/>
      <c r="E156" s="51"/>
      <c r="V156" s="915"/>
      <c r="W156" s="915"/>
      <c r="X156" s="915"/>
      <c r="Y156" s="915"/>
      <c r="Z156" s="915"/>
      <c r="AA156" s="915"/>
      <c r="AB156" s="915"/>
      <c r="AC156" s="915"/>
      <c r="AD156" s="915"/>
      <c r="AE156" s="915"/>
      <c r="AF156" s="915"/>
      <c r="AG156" s="915"/>
      <c r="AH156" s="915"/>
      <c r="AI156" s="915"/>
      <c r="AJ156" s="915"/>
      <c r="AK156" s="915"/>
      <c r="AL156" s="915"/>
      <c r="AM156" s="915"/>
      <c r="AN156" s="915"/>
      <c r="AO156" s="915"/>
      <c r="AP156" s="915"/>
      <c r="AQ156" s="915"/>
      <c r="AR156" s="915"/>
      <c r="AS156" s="915"/>
      <c r="AT156" s="915"/>
      <c r="AU156" s="915"/>
      <c r="AV156" s="915"/>
      <c r="AW156" s="915"/>
      <c r="AX156" s="915"/>
      <c r="AY156" s="915"/>
      <c r="EB156" s="915"/>
      <c r="EC156" s="915"/>
      <c r="ED156" s="915"/>
      <c r="EE156" s="915"/>
      <c r="EF156" s="915"/>
      <c r="EG156" s="915"/>
      <c r="EH156" s="915"/>
      <c r="EI156" s="915"/>
      <c r="EJ156" s="915"/>
      <c r="EK156" s="915"/>
    </row>
    <row r="157" spans="1:147" x14ac:dyDescent="0.2">
      <c r="B157" s="29"/>
      <c r="C157" s="51"/>
      <c r="D157" s="51"/>
      <c r="E157" s="51"/>
      <c r="V157" s="915"/>
      <c r="W157" s="915"/>
      <c r="X157" s="915"/>
      <c r="Y157" s="915"/>
      <c r="Z157" s="915"/>
      <c r="AA157" s="915"/>
      <c r="AB157" s="915"/>
      <c r="AC157" s="915"/>
      <c r="AD157" s="915"/>
      <c r="AE157" s="915"/>
      <c r="AF157" s="915"/>
      <c r="AG157" s="915"/>
      <c r="AH157" s="915"/>
      <c r="AI157" s="915"/>
      <c r="AJ157" s="915"/>
      <c r="AK157" s="915"/>
      <c r="AL157" s="915"/>
      <c r="AM157" s="915"/>
      <c r="AN157" s="915"/>
      <c r="AO157" s="915"/>
      <c r="AP157" s="915"/>
      <c r="AQ157" s="915"/>
      <c r="AR157" s="915"/>
      <c r="AS157" s="915"/>
      <c r="AT157" s="915"/>
      <c r="AU157" s="915"/>
      <c r="AV157" s="915"/>
      <c r="AW157" s="915"/>
      <c r="AX157" s="915"/>
      <c r="AY157" s="915"/>
      <c r="EB157" s="915"/>
      <c r="EC157" s="915"/>
      <c r="ED157" s="915"/>
      <c r="EE157" s="915"/>
      <c r="EF157" s="915"/>
      <c r="EG157" s="915"/>
      <c r="EH157" s="915"/>
      <c r="EI157" s="915"/>
      <c r="EJ157" s="915"/>
      <c r="EK157" s="915"/>
    </row>
    <row r="158" spans="1:147" x14ac:dyDescent="0.2">
      <c r="B158" s="29"/>
      <c r="C158" s="51"/>
      <c r="D158" s="51"/>
      <c r="E158" s="51"/>
      <c r="V158" s="915"/>
      <c r="W158" s="915"/>
      <c r="X158" s="915"/>
      <c r="Y158" s="915"/>
      <c r="Z158" s="915"/>
      <c r="AA158" s="915"/>
      <c r="AB158" s="915"/>
      <c r="AC158" s="915"/>
      <c r="AD158" s="915"/>
      <c r="AE158" s="915"/>
      <c r="AF158" s="915"/>
      <c r="AG158" s="915"/>
      <c r="AH158" s="915"/>
      <c r="AI158" s="915"/>
      <c r="AJ158" s="915"/>
      <c r="AK158" s="915"/>
      <c r="AL158" s="915"/>
      <c r="AM158" s="915"/>
      <c r="AN158" s="915"/>
      <c r="AO158" s="915"/>
      <c r="AP158" s="915"/>
      <c r="AQ158" s="915"/>
      <c r="AR158" s="915"/>
      <c r="AS158" s="915"/>
      <c r="AT158" s="915"/>
      <c r="AU158" s="915"/>
      <c r="AV158" s="915"/>
      <c r="AW158" s="915"/>
      <c r="AX158" s="915"/>
      <c r="AY158" s="915"/>
      <c r="EB158" s="915"/>
      <c r="EC158" s="915"/>
      <c r="ED158" s="915"/>
      <c r="EE158" s="915"/>
      <c r="EF158" s="915"/>
      <c r="EG158" s="915"/>
      <c r="EH158" s="915"/>
      <c r="EI158" s="915"/>
      <c r="EJ158" s="915"/>
      <c r="EK158" s="915"/>
    </row>
    <row r="159" spans="1:147" x14ac:dyDescent="0.2">
      <c r="B159" s="29"/>
      <c r="C159" s="51"/>
      <c r="D159" s="51"/>
      <c r="E159" s="51"/>
      <c r="V159" s="915"/>
      <c r="W159" s="915"/>
      <c r="X159" s="915"/>
      <c r="Y159" s="915"/>
      <c r="Z159" s="915"/>
      <c r="AA159" s="915"/>
      <c r="AB159" s="915"/>
      <c r="AC159" s="915"/>
      <c r="AD159" s="915"/>
      <c r="AE159" s="915"/>
      <c r="AF159" s="915"/>
      <c r="AG159" s="915"/>
      <c r="AH159" s="915"/>
      <c r="AI159" s="915"/>
      <c r="AJ159" s="915"/>
      <c r="AK159" s="915"/>
      <c r="AL159" s="915"/>
      <c r="AM159" s="915"/>
      <c r="AN159" s="915"/>
      <c r="AO159" s="915"/>
      <c r="AP159" s="915"/>
      <c r="AQ159" s="915"/>
      <c r="AR159" s="915"/>
      <c r="AS159" s="915"/>
      <c r="AT159" s="915"/>
      <c r="AU159" s="915"/>
      <c r="AV159" s="915"/>
      <c r="AW159" s="915"/>
      <c r="AX159" s="915"/>
      <c r="AY159" s="915"/>
      <c r="EB159" s="915"/>
      <c r="EC159" s="915"/>
      <c r="ED159" s="915"/>
      <c r="EE159" s="915"/>
      <c r="EF159" s="915"/>
      <c r="EG159" s="915"/>
      <c r="EH159" s="915"/>
      <c r="EI159" s="915"/>
      <c r="EJ159" s="915"/>
      <c r="EK159" s="915"/>
    </row>
    <row r="160" spans="1:147" x14ac:dyDescent="0.2">
      <c r="B160" s="29"/>
      <c r="C160" s="51"/>
      <c r="D160" s="51"/>
      <c r="E160" s="51"/>
      <c r="V160" s="915"/>
      <c r="W160" s="915"/>
      <c r="X160" s="915"/>
      <c r="Y160" s="915"/>
      <c r="Z160" s="915"/>
      <c r="AA160" s="915"/>
      <c r="AB160" s="915"/>
      <c r="AC160" s="915"/>
      <c r="AD160" s="915"/>
      <c r="AE160" s="915"/>
      <c r="AF160" s="915"/>
      <c r="AG160" s="915"/>
      <c r="AH160" s="915"/>
      <c r="AI160" s="915"/>
      <c r="AJ160" s="915"/>
      <c r="AK160" s="915"/>
      <c r="AL160" s="915"/>
      <c r="AM160" s="915"/>
      <c r="AN160" s="915"/>
      <c r="AO160" s="915"/>
      <c r="AP160" s="915"/>
      <c r="AQ160" s="915"/>
      <c r="AR160" s="915"/>
      <c r="AS160" s="915"/>
      <c r="AT160" s="915"/>
      <c r="AU160" s="915"/>
      <c r="AV160" s="915"/>
      <c r="AW160" s="915"/>
      <c r="AX160" s="915"/>
      <c r="AY160" s="915"/>
      <c r="EB160" s="915"/>
      <c r="EC160" s="915"/>
      <c r="ED160" s="915"/>
      <c r="EE160" s="915"/>
      <c r="EF160" s="915"/>
      <c r="EG160" s="915"/>
      <c r="EH160" s="915"/>
      <c r="EI160" s="915"/>
      <c r="EJ160" s="915"/>
      <c r="EK160" s="915"/>
    </row>
    <row r="161" spans="2:141" x14ac:dyDescent="0.2">
      <c r="B161" s="29"/>
      <c r="C161" s="51"/>
      <c r="D161" s="51"/>
      <c r="E161" s="51"/>
      <c r="V161" s="915"/>
      <c r="W161" s="915"/>
      <c r="X161" s="915"/>
      <c r="Y161" s="915"/>
      <c r="Z161" s="915"/>
      <c r="AA161" s="915"/>
      <c r="AB161" s="915"/>
      <c r="AC161" s="915"/>
      <c r="AD161" s="915"/>
      <c r="AE161" s="915"/>
      <c r="AF161" s="915"/>
      <c r="AG161" s="915"/>
      <c r="AH161" s="915"/>
      <c r="AI161" s="915"/>
      <c r="AJ161" s="915"/>
      <c r="AK161" s="915"/>
      <c r="AL161" s="915"/>
      <c r="AM161" s="915"/>
      <c r="AN161" s="915"/>
      <c r="AO161" s="915"/>
      <c r="AP161" s="915"/>
      <c r="AQ161" s="915"/>
      <c r="AR161" s="915"/>
      <c r="AS161" s="915"/>
      <c r="AT161" s="915"/>
      <c r="AU161" s="915"/>
      <c r="AV161" s="915"/>
      <c r="AW161" s="915"/>
      <c r="AX161" s="915"/>
      <c r="AY161" s="915"/>
      <c r="EB161" s="915"/>
      <c r="EC161" s="915"/>
      <c r="ED161" s="915"/>
      <c r="EE161" s="915"/>
      <c r="EF161" s="915"/>
      <c r="EG161" s="915"/>
      <c r="EH161" s="915"/>
      <c r="EI161" s="915"/>
      <c r="EJ161" s="915"/>
      <c r="EK161" s="915"/>
    </row>
    <row r="162" spans="2:141" x14ac:dyDescent="0.2">
      <c r="B162" s="29"/>
      <c r="C162" s="51"/>
      <c r="D162" s="51"/>
      <c r="E162" s="51"/>
      <c r="V162" s="915"/>
      <c r="W162" s="915"/>
      <c r="X162" s="915"/>
      <c r="Y162" s="915"/>
      <c r="Z162" s="915"/>
      <c r="AA162" s="915"/>
      <c r="AB162" s="915"/>
      <c r="AC162" s="915"/>
      <c r="AD162" s="915"/>
      <c r="AE162" s="915"/>
      <c r="AF162" s="915"/>
      <c r="AG162" s="915"/>
      <c r="AH162" s="915"/>
      <c r="AI162" s="915"/>
      <c r="AJ162" s="915"/>
      <c r="AK162" s="915"/>
      <c r="AL162" s="915"/>
      <c r="AM162" s="915"/>
      <c r="AN162" s="915"/>
      <c r="AO162" s="915"/>
      <c r="AP162" s="915"/>
      <c r="AQ162" s="915"/>
      <c r="AR162" s="915"/>
      <c r="AS162" s="915"/>
      <c r="AT162" s="915"/>
      <c r="AU162" s="915"/>
      <c r="AV162" s="915"/>
      <c r="AW162" s="915"/>
      <c r="AX162" s="915"/>
      <c r="AY162" s="915"/>
      <c r="EB162" s="915"/>
      <c r="EC162" s="915"/>
      <c r="ED162" s="915"/>
      <c r="EE162" s="915"/>
      <c r="EF162" s="915"/>
      <c r="EG162" s="915"/>
      <c r="EH162" s="915"/>
      <c r="EI162" s="915"/>
      <c r="EJ162" s="915"/>
      <c r="EK162" s="915"/>
    </row>
    <row r="163" spans="2:141" x14ac:dyDescent="0.2">
      <c r="B163" s="29"/>
      <c r="C163" s="51"/>
      <c r="D163" s="51"/>
      <c r="E163" s="51"/>
      <c r="EB163" s="915"/>
      <c r="EC163" s="915"/>
      <c r="ED163" s="915"/>
      <c r="EE163" s="915"/>
      <c r="EF163" s="915"/>
      <c r="EG163" s="915"/>
      <c r="EH163" s="915"/>
      <c r="EI163" s="915"/>
      <c r="EJ163" s="915"/>
      <c r="EK163" s="915"/>
    </row>
    <row r="164" spans="2:141" x14ac:dyDescent="0.2">
      <c r="B164" s="29"/>
      <c r="C164" s="51"/>
      <c r="D164" s="51"/>
      <c r="E164" s="51"/>
      <c r="EB164" s="915"/>
      <c r="EC164" s="915"/>
      <c r="ED164" s="915"/>
      <c r="EE164" s="915"/>
      <c r="EF164" s="915"/>
      <c r="EG164" s="915"/>
      <c r="EH164" s="915"/>
      <c r="EI164" s="915"/>
      <c r="EJ164" s="915"/>
      <c r="EK164" s="915"/>
    </row>
    <row r="165" spans="2:141" x14ac:dyDescent="0.2">
      <c r="B165" s="29"/>
      <c r="C165" s="51"/>
      <c r="D165" s="51"/>
      <c r="E165" s="51"/>
      <c r="EB165" s="915"/>
      <c r="EC165" s="915"/>
      <c r="ED165" s="915"/>
      <c r="EE165" s="915"/>
      <c r="EF165" s="915"/>
      <c r="EG165" s="915"/>
      <c r="EH165" s="915"/>
      <c r="EI165" s="915"/>
      <c r="EJ165" s="915"/>
      <c r="EK165" s="915"/>
    </row>
    <row r="166" spans="2:141" x14ac:dyDescent="0.2">
      <c r="B166" s="29"/>
      <c r="C166" s="51"/>
      <c r="D166" s="51"/>
      <c r="E166" s="51"/>
      <c r="EB166" s="915"/>
      <c r="EC166" s="915"/>
      <c r="ED166" s="915"/>
      <c r="EE166" s="915"/>
      <c r="EF166" s="915"/>
      <c r="EG166" s="915"/>
      <c r="EH166" s="915"/>
      <c r="EI166" s="915"/>
      <c r="EJ166" s="915"/>
      <c r="EK166" s="915"/>
    </row>
    <row r="167" spans="2:141" x14ac:dyDescent="0.2">
      <c r="B167" s="29"/>
      <c r="C167" s="51"/>
      <c r="D167" s="51"/>
      <c r="E167" s="51"/>
      <c r="EB167" s="915"/>
      <c r="EC167" s="915"/>
      <c r="ED167" s="915"/>
      <c r="EE167" s="915"/>
      <c r="EF167" s="915"/>
      <c r="EG167" s="915"/>
      <c r="EH167" s="915"/>
      <c r="EI167" s="915"/>
      <c r="EJ167" s="915"/>
      <c r="EK167" s="915"/>
    </row>
    <row r="168" spans="2:141" x14ac:dyDescent="0.2">
      <c r="B168" s="29"/>
      <c r="C168" s="51"/>
      <c r="D168" s="51"/>
      <c r="E168" s="51"/>
      <c r="EB168" s="915"/>
      <c r="EC168" s="915"/>
      <c r="ED168" s="915"/>
      <c r="EE168" s="915"/>
      <c r="EF168" s="915"/>
      <c r="EG168" s="915"/>
      <c r="EH168" s="915"/>
      <c r="EI168" s="915"/>
      <c r="EJ168" s="915"/>
      <c r="EK168" s="915"/>
    </row>
    <row r="169" spans="2:141" x14ac:dyDescent="0.2">
      <c r="B169" s="29"/>
      <c r="C169" s="51"/>
      <c r="D169" s="51"/>
      <c r="E169" s="51"/>
      <c r="EB169" s="915"/>
      <c r="EC169" s="915"/>
      <c r="ED169" s="915"/>
      <c r="EE169" s="915"/>
      <c r="EF169" s="915"/>
      <c r="EG169" s="915"/>
      <c r="EH169" s="915"/>
      <c r="EI169" s="915"/>
      <c r="EJ169" s="915"/>
      <c r="EK169" s="915"/>
    </row>
    <row r="170" spans="2:141" x14ac:dyDescent="0.2">
      <c r="B170" s="29"/>
      <c r="C170" s="51"/>
      <c r="D170" s="51"/>
      <c r="E170" s="51"/>
      <c r="EB170" s="915"/>
      <c r="EC170" s="915"/>
      <c r="ED170" s="915"/>
      <c r="EE170" s="915"/>
      <c r="EF170" s="915"/>
      <c r="EG170" s="915"/>
      <c r="EH170" s="915"/>
      <c r="EI170" s="915"/>
      <c r="EJ170" s="915"/>
      <c r="EK170" s="915"/>
    </row>
    <row r="171" spans="2:141" x14ac:dyDescent="0.2">
      <c r="B171" s="29"/>
      <c r="C171" s="51"/>
      <c r="D171" s="51"/>
      <c r="E171" s="51"/>
      <c r="EB171" s="915"/>
      <c r="EC171" s="915"/>
      <c r="ED171" s="915"/>
      <c r="EE171" s="915"/>
      <c r="EF171" s="915"/>
      <c r="EG171" s="915"/>
      <c r="EH171" s="915"/>
      <c r="EI171" s="915"/>
      <c r="EJ171" s="915"/>
      <c r="EK171" s="915"/>
    </row>
    <row r="172" spans="2:141" x14ac:dyDescent="0.2">
      <c r="B172" s="29"/>
      <c r="C172" s="51"/>
      <c r="D172" s="51"/>
      <c r="E172" s="51"/>
      <c r="EB172" s="915"/>
      <c r="EC172" s="915"/>
      <c r="ED172" s="915"/>
      <c r="EE172" s="915"/>
      <c r="EF172" s="915"/>
      <c r="EG172" s="915"/>
      <c r="EH172" s="915"/>
      <c r="EI172" s="915"/>
      <c r="EJ172" s="915"/>
      <c r="EK172" s="915"/>
    </row>
    <row r="173" spans="2:141" x14ac:dyDescent="0.2">
      <c r="B173" s="29"/>
      <c r="C173" s="51"/>
      <c r="D173" s="51"/>
      <c r="E173" s="51"/>
      <c r="EB173" s="915"/>
      <c r="EC173" s="915"/>
      <c r="ED173" s="915"/>
      <c r="EE173" s="915"/>
      <c r="EF173" s="915"/>
      <c r="EG173" s="915"/>
      <c r="EH173" s="915"/>
      <c r="EI173" s="915"/>
      <c r="EJ173" s="915"/>
      <c r="EK173" s="915"/>
    </row>
    <row r="174" spans="2:141" x14ac:dyDescent="0.2">
      <c r="B174" s="29"/>
      <c r="C174" s="51"/>
      <c r="D174" s="51"/>
      <c r="E174" s="51"/>
      <c r="EB174" s="915"/>
      <c r="EC174" s="915"/>
      <c r="ED174" s="915"/>
      <c r="EE174" s="915"/>
      <c r="EF174" s="915"/>
      <c r="EG174" s="915"/>
      <c r="EH174" s="915"/>
      <c r="EI174" s="915"/>
      <c r="EJ174" s="915"/>
      <c r="EK174" s="915"/>
    </row>
    <row r="175" spans="2:141" x14ac:dyDescent="0.2">
      <c r="B175" s="29"/>
      <c r="C175" s="51"/>
      <c r="D175" s="51"/>
      <c r="E175" s="51"/>
      <c r="EB175" s="915"/>
      <c r="EC175" s="915"/>
      <c r="ED175" s="915"/>
      <c r="EE175" s="915"/>
      <c r="EF175" s="915"/>
      <c r="EG175" s="915"/>
      <c r="EH175" s="915"/>
      <c r="EI175" s="915"/>
      <c r="EJ175" s="915"/>
      <c r="EK175" s="915"/>
    </row>
    <row r="176" spans="2:141" x14ac:dyDescent="0.2">
      <c r="B176" s="29"/>
      <c r="C176" s="51"/>
      <c r="D176" s="51"/>
      <c r="E176" s="51"/>
      <c r="EB176" s="915"/>
      <c r="EC176" s="915"/>
      <c r="ED176" s="915"/>
      <c r="EE176" s="915"/>
      <c r="EF176" s="915"/>
      <c r="EG176" s="915"/>
      <c r="EH176" s="915"/>
      <c r="EI176" s="915"/>
      <c r="EJ176" s="915"/>
      <c r="EK176" s="915"/>
    </row>
    <row r="177" spans="2:141" x14ac:dyDescent="0.2">
      <c r="B177" s="29"/>
      <c r="C177" s="51"/>
      <c r="D177" s="51"/>
      <c r="E177" s="51"/>
      <c r="EB177" s="915"/>
      <c r="EC177" s="915"/>
      <c r="ED177" s="915"/>
      <c r="EE177" s="915"/>
      <c r="EF177" s="915"/>
      <c r="EG177" s="915"/>
      <c r="EH177" s="915"/>
      <c r="EI177" s="915"/>
      <c r="EJ177" s="915"/>
      <c r="EK177" s="915"/>
    </row>
    <row r="178" spans="2:141" x14ac:dyDescent="0.2">
      <c r="B178" s="29"/>
      <c r="C178" s="103"/>
      <c r="D178" s="51"/>
      <c r="E178" s="51"/>
      <c r="EB178" s="915"/>
      <c r="EC178" s="915"/>
      <c r="ED178" s="915"/>
      <c r="EE178" s="915"/>
      <c r="EF178" s="915"/>
      <c r="EG178" s="915"/>
      <c r="EH178" s="915"/>
      <c r="EI178" s="915"/>
      <c r="EJ178" s="915"/>
      <c r="EK178" s="915"/>
    </row>
    <row r="179" spans="2:141" x14ac:dyDescent="0.2">
      <c r="B179" s="29"/>
      <c r="C179" s="51"/>
      <c r="D179" s="51"/>
      <c r="E179" s="51"/>
      <c r="EB179" s="915"/>
      <c r="EC179" s="915"/>
      <c r="ED179" s="915"/>
      <c r="EE179" s="915"/>
      <c r="EF179" s="915"/>
      <c r="EG179" s="915"/>
      <c r="EH179" s="915"/>
      <c r="EI179" s="915"/>
      <c r="EJ179" s="915"/>
      <c r="EK179" s="915"/>
    </row>
    <row r="180" spans="2:141" x14ac:dyDescent="0.2">
      <c r="B180" s="29"/>
      <c r="C180" s="51"/>
      <c r="D180" s="51"/>
      <c r="E180" s="51"/>
      <c r="EB180" s="915"/>
      <c r="EC180" s="915"/>
      <c r="ED180" s="915"/>
      <c r="EE180" s="915"/>
      <c r="EF180" s="915"/>
      <c r="EG180" s="915"/>
      <c r="EH180" s="915"/>
      <c r="EI180" s="915"/>
      <c r="EJ180" s="915"/>
      <c r="EK180" s="915"/>
    </row>
    <row r="181" spans="2:141" x14ac:dyDescent="0.2">
      <c r="B181" s="29"/>
      <c r="C181" s="51"/>
      <c r="D181" s="51"/>
      <c r="E181" s="51"/>
      <c r="EB181" s="915"/>
      <c r="EC181" s="915"/>
      <c r="ED181" s="915"/>
      <c r="EE181" s="915"/>
      <c r="EF181" s="915"/>
      <c r="EG181" s="915"/>
      <c r="EH181" s="915"/>
      <c r="EI181" s="915"/>
      <c r="EJ181" s="915"/>
      <c r="EK181" s="915"/>
    </row>
    <row r="182" spans="2:141" x14ac:dyDescent="0.2">
      <c r="B182" s="29"/>
      <c r="C182" s="51"/>
      <c r="D182" s="51"/>
      <c r="E182" s="51"/>
      <c r="EB182" s="915"/>
      <c r="EC182" s="915"/>
      <c r="ED182" s="915"/>
      <c r="EE182" s="915"/>
      <c r="EF182" s="915"/>
      <c r="EG182" s="915"/>
      <c r="EH182" s="915"/>
      <c r="EI182" s="915"/>
      <c r="EJ182" s="915"/>
      <c r="EK182" s="915"/>
    </row>
    <row r="183" spans="2:141" x14ac:dyDescent="0.2">
      <c r="B183" s="29"/>
      <c r="C183" s="51"/>
      <c r="D183" s="51"/>
      <c r="E183" s="51"/>
      <c r="EB183" s="915"/>
      <c r="EC183" s="915"/>
      <c r="ED183" s="915"/>
      <c r="EE183" s="915"/>
      <c r="EF183" s="915"/>
      <c r="EG183" s="915"/>
      <c r="EH183" s="915"/>
      <c r="EI183" s="915"/>
      <c r="EJ183" s="915"/>
      <c r="EK183" s="915"/>
    </row>
    <row r="184" spans="2:141" x14ac:dyDescent="0.2">
      <c r="B184" s="29"/>
      <c r="C184" s="51"/>
      <c r="D184" s="51"/>
      <c r="E184" s="51"/>
      <c r="EB184" s="915"/>
      <c r="EC184" s="915"/>
      <c r="ED184" s="915"/>
      <c r="EE184" s="915"/>
      <c r="EF184" s="915"/>
      <c r="EG184" s="915"/>
      <c r="EH184" s="915"/>
      <c r="EI184" s="915"/>
      <c r="EJ184" s="915"/>
      <c r="EK184" s="915"/>
    </row>
    <row r="185" spans="2:141" x14ac:dyDescent="0.2">
      <c r="B185" s="29"/>
      <c r="C185" s="51"/>
      <c r="D185" s="51"/>
      <c r="E185" s="51"/>
      <c r="EB185" s="915"/>
      <c r="EC185" s="915"/>
      <c r="ED185" s="915"/>
      <c r="EE185" s="915"/>
      <c r="EF185" s="915"/>
      <c r="EG185" s="915"/>
      <c r="EH185" s="915"/>
      <c r="EI185" s="915"/>
      <c r="EJ185" s="915"/>
      <c r="EK185" s="915"/>
    </row>
    <row r="186" spans="2:141" x14ac:dyDescent="0.2">
      <c r="B186" s="29"/>
      <c r="C186" s="51"/>
      <c r="D186" s="51"/>
      <c r="E186" s="51"/>
      <c r="EB186" s="915"/>
      <c r="EC186" s="915"/>
      <c r="ED186" s="915"/>
      <c r="EE186" s="915"/>
      <c r="EF186" s="915"/>
      <c r="EG186" s="915"/>
      <c r="EH186" s="915"/>
      <c r="EI186" s="915"/>
      <c r="EJ186" s="915"/>
      <c r="EK186" s="915"/>
    </row>
    <row r="187" spans="2:141" x14ac:dyDescent="0.2">
      <c r="B187" s="29"/>
      <c r="C187" s="51"/>
      <c r="D187" s="51"/>
      <c r="E187" s="51"/>
      <c r="EB187" s="915"/>
      <c r="EC187" s="915"/>
      <c r="ED187" s="915"/>
      <c r="EE187" s="915"/>
      <c r="EF187" s="915"/>
      <c r="EG187" s="915"/>
      <c r="EH187" s="915"/>
      <c r="EI187" s="915"/>
      <c r="EJ187" s="915"/>
      <c r="EK187" s="915"/>
    </row>
    <row r="188" spans="2:141" x14ac:dyDescent="0.2">
      <c r="B188" s="29"/>
      <c r="C188" s="51"/>
      <c r="D188" s="51"/>
      <c r="E188" s="51"/>
      <c r="EB188" s="915"/>
      <c r="EC188" s="915"/>
      <c r="ED188" s="915"/>
      <c r="EE188" s="915"/>
      <c r="EF188" s="915"/>
      <c r="EG188" s="915"/>
      <c r="EH188" s="915"/>
      <c r="EI188" s="915"/>
      <c r="EJ188" s="915"/>
      <c r="EK188" s="915"/>
    </row>
    <row r="189" spans="2:141" x14ac:dyDescent="0.2">
      <c r="B189" s="29"/>
      <c r="C189" s="51"/>
      <c r="D189" s="51"/>
      <c r="E189" s="51"/>
      <c r="EB189" s="915"/>
      <c r="EC189" s="915"/>
      <c r="ED189" s="915"/>
      <c r="EE189" s="915"/>
      <c r="EF189" s="915"/>
      <c r="EG189" s="915"/>
      <c r="EH189" s="915"/>
      <c r="EI189" s="915"/>
      <c r="EJ189" s="915"/>
      <c r="EK189" s="915"/>
    </row>
    <row r="190" spans="2:141" x14ac:dyDescent="0.2">
      <c r="B190" s="29"/>
      <c r="C190" s="51"/>
      <c r="D190" s="51"/>
      <c r="E190" s="51"/>
      <c r="EB190" s="915"/>
      <c r="EC190" s="915"/>
      <c r="ED190" s="915"/>
      <c r="EE190" s="915"/>
      <c r="EF190" s="915"/>
      <c r="EG190" s="915"/>
      <c r="EH190" s="915"/>
      <c r="EI190" s="915"/>
      <c r="EJ190" s="915"/>
      <c r="EK190" s="915"/>
    </row>
    <row r="191" spans="2:141" x14ac:dyDescent="0.2">
      <c r="B191" s="29"/>
      <c r="C191" s="51"/>
      <c r="D191" s="51"/>
      <c r="E191" s="51"/>
      <c r="EB191" s="915"/>
      <c r="EC191" s="915"/>
      <c r="ED191" s="915"/>
      <c r="EE191" s="915"/>
      <c r="EF191" s="915"/>
      <c r="EG191" s="915"/>
      <c r="EH191" s="915"/>
      <c r="EI191" s="915"/>
      <c r="EJ191" s="915"/>
      <c r="EK191" s="915"/>
    </row>
    <row r="192" spans="2:141" x14ac:dyDescent="0.2">
      <c r="B192" s="29"/>
      <c r="C192" s="51"/>
      <c r="D192" s="51"/>
      <c r="E192" s="51"/>
      <c r="EB192" s="915"/>
      <c r="EC192" s="915"/>
      <c r="ED192" s="915"/>
      <c r="EE192" s="915"/>
      <c r="EF192" s="915"/>
      <c r="EG192" s="915"/>
      <c r="EH192" s="915"/>
      <c r="EI192" s="915"/>
      <c r="EJ192" s="915"/>
      <c r="EK192" s="915"/>
    </row>
    <row r="193" spans="2:141" x14ac:dyDescent="0.2">
      <c r="B193" s="29"/>
      <c r="C193" s="51"/>
      <c r="D193" s="51"/>
      <c r="E193" s="51"/>
      <c r="EB193" s="915"/>
      <c r="EC193" s="915"/>
      <c r="ED193" s="915"/>
      <c r="EE193" s="915"/>
      <c r="EF193" s="915"/>
      <c r="EG193" s="915"/>
      <c r="EH193" s="915"/>
      <c r="EI193" s="915"/>
      <c r="EJ193" s="915"/>
      <c r="EK193" s="915"/>
    </row>
    <row r="194" spans="2:141" x14ac:dyDescent="0.2">
      <c r="B194" s="29"/>
      <c r="C194" s="51"/>
      <c r="D194" s="51"/>
      <c r="E194" s="51"/>
      <c r="EB194" s="915"/>
      <c r="EC194" s="915"/>
      <c r="ED194" s="915"/>
      <c r="EE194" s="915"/>
      <c r="EF194" s="915"/>
      <c r="EG194" s="915"/>
      <c r="EH194" s="915"/>
      <c r="EI194" s="915"/>
      <c r="EJ194" s="915"/>
      <c r="EK194" s="915"/>
    </row>
    <row r="195" spans="2:141" x14ac:dyDescent="0.2">
      <c r="B195" s="29"/>
      <c r="C195" s="51"/>
      <c r="D195" s="51"/>
      <c r="E195" s="51"/>
      <c r="EB195" s="915"/>
      <c r="EC195" s="915"/>
      <c r="ED195" s="915"/>
      <c r="EE195" s="915"/>
      <c r="EF195" s="915"/>
      <c r="EG195" s="915"/>
      <c r="EH195" s="915"/>
      <c r="EI195" s="915"/>
      <c r="EJ195" s="915"/>
      <c r="EK195" s="915"/>
    </row>
    <row r="196" spans="2:141" x14ac:dyDescent="0.2">
      <c r="B196" s="29"/>
      <c r="C196" s="51"/>
      <c r="D196" s="51"/>
      <c r="E196" s="51"/>
      <c r="EB196" s="915"/>
      <c r="EC196" s="915"/>
      <c r="ED196" s="915"/>
      <c r="EE196" s="915"/>
      <c r="EF196" s="915"/>
      <c r="EG196" s="915"/>
      <c r="EH196" s="915"/>
      <c r="EI196" s="915"/>
      <c r="EJ196" s="915"/>
      <c r="EK196" s="915"/>
    </row>
    <row r="197" spans="2:141" x14ac:dyDescent="0.2">
      <c r="B197" s="29"/>
      <c r="C197" s="51"/>
      <c r="D197" s="51"/>
      <c r="E197" s="51"/>
      <c r="EB197" s="915"/>
      <c r="EC197" s="915"/>
      <c r="ED197" s="915"/>
      <c r="EE197" s="915"/>
      <c r="EF197" s="915"/>
      <c r="EG197" s="915"/>
      <c r="EH197" s="915"/>
      <c r="EI197" s="915"/>
      <c r="EJ197" s="915"/>
      <c r="EK197" s="915"/>
    </row>
    <row r="198" spans="2:141" x14ac:dyDescent="0.2">
      <c r="B198" s="29"/>
      <c r="C198" s="51"/>
      <c r="D198" s="51"/>
      <c r="E198" s="51"/>
      <c r="EB198" s="915"/>
      <c r="EC198" s="915"/>
      <c r="ED198" s="915"/>
      <c r="EE198" s="915"/>
      <c r="EF198" s="915"/>
      <c r="EG198" s="915"/>
      <c r="EH198" s="915"/>
      <c r="EI198" s="915"/>
      <c r="EJ198" s="915"/>
      <c r="EK198" s="915"/>
    </row>
    <row r="199" spans="2:141" x14ac:dyDescent="0.2">
      <c r="B199" s="29"/>
      <c r="C199" s="51"/>
      <c r="D199" s="51"/>
      <c r="E199" s="51"/>
      <c r="EB199" s="915"/>
      <c r="EC199" s="915"/>
      <c r="ED199" s="915"/>
      <c r="EE199" s="915"/>
      <c r="EF199" s="915"/>
      <c r="EG199" s="915"/>
      <c r="EH199" s="915"/>
      <c r="EI199" s="915"/>
      <c r="EJ199" s="915"/>
      <c r="EK199" s="915"/>
    </row>
    <row r="200" spans="2:141" x14ac:dyDescent="0.2">
      <c r="B200" s="29"/>
      <c r="C200" s="51"/>
      <c r="D200" s="51"/>
      <c r="E200" s="51"/>
      <c r="EB200" s="915"/>
      <c r="EC200" s="915"/>
      <c r="ED200" s="915"/>
      <c r="EE200" s="915"/>
      <c r="EF200" s="915"/>
      <c r="EG200" s="915"/>
      <c r="EH200" s="915"/>
      <c r="EI200" s="915"/>
      <c r="EJ200" s="915"/>
      <c r="EK200" s="915"/>
    </row>
    <row r="201" spans="2:141" x14ac:dyDescent="0.2">
      <c r="B201" s="29"/>
      <c r="C201" s="51"/>
      <c r="D201" s="51"/>
      <c r="E201" s="51"/>
      <c r="EB201" s="915"/>
      <c r="EC201" s="915"/>
      <c r="ED201" s="915"/>
      <c r="EE201" s="915"/>
      <c r="EF201" s="915"/>
      <c r="EG201" s="915"/>
      <c r="EH201" s="915"/>
      <c r="EI201" s="915"/>
      <c r="EJ201" s="915"/>
      <c r="EK201" s="915"/>
    </row>
    <row r="202" spans="2:141" x14ac:dyDescent="0.2">
      <c r="B202" s="29"/>
      <c r="C202" s="51"/>
      <c r="D202" s="51"/>
      <c r="E202" s="51"/>
      <c r="EB202" s="915"/>
      <c r="EC202" s="915"/>
      <c r="ED202" s="915"/>
      <c r="EE202" s="915"/>
      <c r="EF202" s="915"/>
      <c r="EG202" s="915"/>
      <c r="EH202" s="915"/>
      <c r="EI202" s="915"/>
      <c r="EJ202" s="915"/>
      <c r="EK202" s="915"/>
    </row>
    <row r="203" spans="2:141" x14ac:dyDescent="0.2">
      <c r="B203" s="29"/>
      <c r="C203" s="51"/>
      <c r="D203" s="51"/>
      <c r="E203" s="51"/>
      <c r="EB203" s="915"/>
      <c r="EC203" s="915"/>
      <c r="ED203" s="915"/>
      <c r="EE203" s="915"/>
      <c r="EF203" s="915"/>
      <c r="EG203" s="915"/>
      <c r="EH203" s="915"/>
      <c r="EI203" s="915"/>
      <c r="EJ203" s="915"/>
      <c r="EK203" s="915"/>
    </row>
    <row r="204" spans="2:141" x14ac:dyDescent="0.2">
      <c r="B204" s="29"/>
      <c r="C204" s="51"/>
      <c r="D204" s="51"/>
      <c r="E204" s="51"/>
      <c r="EB204" s="915"/>
      <c r="EC204" s="915"/>
      <c r="ED204" s="915"/>
      <c r="EE204" s="915"/>
      <c r="EF204" s="915"/>
      <c r="EG204" s="915"/>
      <c r="EH204" s="915"/>
      <c r="EI204" s="915"/>
      <c r="EJ204" s="915"/>
      <c r="EK204" s="915"/>
    </row>
    <row r="205" spans="2:141" x14ac:dyDescent="0.2">
      <c r="B205" s="29"/>
      <c r="C205" s="51"/>
      <c r="D205" s="51"/>
      <c r="E205" s="51"/>
      <c r="EB205" s="915"/>
      <c r="EC205" s="915"/>
      <c r="ED205" s="915"/>
      <c r="EE205" s="915"/>
      <c r="EF205" s="915"/>
      <c r="EG205" s="915"/>
      <c r="EH205" s="915"/>
      <c r="EI205" s="915"/>
      <c r="EJ205" s="915"/>
      <c r="EK205" s="915"/>
    </row>
    <row r="206" spans="2:141" x14ac:dyDescent="0.2">
      <c r="B206" s="29"/>
      <c r="C206" s="51"/>
      <c r="D206" s="51"/>
      <c r="E206" s="51"/>
      <c r="EB206" s="915"/>
      <c r="EC206" s="915"/>
      <c r="ED206" s="915"/>
      <c r="EE206" s="915"/>
      <c r="EF206" s="915"/>
      <c r="EG206" s="915"/>
      <c r="EH206" s="915"/>
      <c r="EI206" s="915"/>
      <c r="EJ206" s="915"/>
      <c r="EK206" s="915"/>
    </row>
    <row r="207" spans="2:141" x14ac:dyDescent="0.2">
      <c r="B207" s="29"/>
      <c r="C207" s="51"/>
      <c r="D207" s="51"/>
      <c r="E207" s="51"/>
      <c r="EB207" s="915"/>
      <c r="EC207" s="915"/>
      <c r="ED207" s="915"/>
      <c r="EE207" s="915"/>
      <c r="EF207" s="915"/>
      <c r="EG207" s="915"/>
      <c r="EH207" s="915"/>
      <c r="EI207" s="915"/>
      <c r="EJ207" s="915"/>
      <c r="EK207" s="915"/>
    </row>
    <row r="208" spans="2:141" x14ac:dyDescent="0.2">
      <c r="B208" s="29"/>
      <c r="C208" s="51"/>
      <c r="D208" s="51"/>
      <c r="E208" s="51"/>
    </row>
    <row r="209" spans="2:5" x14ac:dyDescent="0.2">
      <c r="B209" s="29"/>
      <c r="C209" s="51"/>
      <c r="D209" s="51"/>
      <c r="E209" s="51"/>
    </row>
    <row r="210" spans="2:5" x14ac:dyDescent="0.2">
      <c r="B210" s="29"/>
      <c r="C210" s="51"/>
      <c r="D210" s="51"/>
      <c r="E210" s="51"/>
    </row>
    <row r="211" spans="2:5" x14ac:dyDescent="0.2">
      <c r="B211" s="29"/>
      <c r="C211" s="51"/>
      <c r="D211" s="51"/>
      <c r="E211" s="51"/>
    </row>
    <row r="212" spans="2:5" x14ac:dyDescent="0.2">
      <c r="B212" s="29"/>
      <c r="C212" s="51"/>
      <c r="D212" s="51"/>
      <c r="E212" s="51"/>
    </row>
    <row r="213" spans="2:5" x14ac:dyDescent="0.2">
      <c r="B213" s="29"/>
      <c r="C213" s="51"/>
      <c r="D213" s="51"/>
      <c r="E213" s="51"/>
    </row>
    <row r="214" spans="2:5" x14ac:dyDescent="0.2">
      <c r="B214" s="29"/>
      <c r="C214" s="51"/>
      <c r="D214" s="51"/>
      <c r="E214" s="51"/>
    </row>
    <row r="215" spans="2:5" x14ac:dyDescent="0.2">
      <c r="B215" s="29"/>
      <c r="C215" s="51"/>
      <c r="D215" s="51"/>
      <c r="E215" s="51"/>
    </row>
    <row r="216" spans="2:5" x14ac:dyDescent="0.2">
      <c r="B216" s="29"/>
      <c r="C216" s="51"/>
      <c r="D216" s="51"/>
      <c r="E216" s="51"/>
    </row>
    <row r="217" spans="2:5" x14ac:dyDescent="0.2">
      <c r="B217" s="29"/>
      <c r="C217" s="51"/>
      <c r="D217" s="51"/>
      <c r="E217" s="51"/>
    </row>
    <row r="218" spans="2:5" x14ac:dyDescent="0.2">
      <c r="B218" s="29"/>
      <c r="C218" s="51"/>
      <c r="D218" s="51"/>
      <c r="E218" s="51"/>
    </row>
    <row r="219" spans="2:5" x14ac:dyDescent="0.2">
      <c r="B219" s="29"/>
      <c r="C219" s="51"/>
      <c r="D219" s="51"/>
      <c r="E219" s="51"/>
    </row>
    <row r="220" spans="2:5" x14ac:dyDescent="0.2">
      <c r="B220" s="29"/>
      <c r="C220" s="51"/>
      <c r="D220" s="51"/>
      <c r="E220" s="51"/>
    </row>
    <row r="221" spans="2:5" x14ac:dyDescent="0.2">
      <c r="B221" s="29"/>
      <c r="C221" s="51"/>
      <c r="D221" s="51"/>
      <c r="E221" s="51"/>
    </row>
    <row r="222" spans="2:5" x14ac:dyDescent="0.2">
      <c r="B222" s="29"/>
      <c r="C222" s="51"/>
      <c r="D222" s="51"/>
      <c r="E222" s="51"/>
    </row>
    <row r="223" spans="2:5" x14ac:dyDescent="0.2">
      <c r="B223" s="29"/>
      <c r="C223" s="51"/>
      <c r="D223" s="51"/>
      <c r="E223" s="51"/>
    </row>
    <row r="224" spans="2:5" x14ac:dyDescent="0.2">
      <c r="B224" s="29"/>
      <c r="C224" s="51"/>
      <c r="D224" s="51"/>
      <c r="E224" s="51"/>
    </row>
    <row r="225" spans="2:5" x14ac:dyDescent="0.2">
      <c r="B225" s="29"/>
      <c r="C225" s="51"/>
      <c r="D225" s="51"/>
      <c r="E225" s="51"/>
    </row>
    <row r="226" spans="2:5" x14ac:dyDescent="0.2">
      <c r="B226" s="29"/>
      <c r="C226" s="51"/>
      <c r="D226" s="51"/>
      <c r="E226" s="51"/>
    </row>
    <row r="227" spans="2:5" x14ac:dyDescent="0.2">
      <c r="B227" s="29"/>
      <c r="C227" s="51"/>
      <c r="D227" s="51"/>
      <c r="E227" s="51"/>
    </row>
    <row r="228" spans="2:5" x14ac:dyDescent="0.2">
      <c r="B228" s="29"/>
      <c r="C228" s="51"/>
      <c r="D228" s="51"/>
      <c r="E228" s="51"/>
    </row>
    <row r="229" spans="2:5" x14ac:dyDescent="0.2">
      <c r="B229" s="29"/>
      <c r="C229" s="51"/>
      <c r="D229" s="51"/>
      <c r="E229" s="51"/>
    </row>
    <row r="230" spans="2:5" x14ac:dyDescent="0.2">
      <c r="B230" s="29"/>
      <c r="C230" s="51"/>
      <c r="D230" s="51"/>
      <c r="E230" s="51"/>
    </row>
    <row r="231" spans="2:5" x14ac:dyDescent="0.2">
      <c r="B231" s="29"/>
      <c r="C231" s="51"/>
      <c r="D231" s="51"/>
      <c r="E231" s="51"/>
    </row>
    <row r="232" spans="2:5" x14ac:dyDescent="0.2">
      <c r="B232" s="29"/>
      <c r="C232" s="51"/>
      <c r="D232" s="51"/>
      <c r="E232" s="51"/>
    </row>
    <row r="233" spans="2:5" x14ac:dyDescent="0.2">
      <c r="B233" s="29"/>
      <c r="C233" s="51"/>
      <c r="D233" s="51"/>
      <c r="E233" s="51"/>
    </row>
    <row r="234" spans="2:5" x14ac:dyDescent="0.2">
      <c r="B234" s="29"/>
      <c r="C234" s="51"/>
      <c r="D234" s="51"/>
      <c r="E234" s="51"/>
    </row>
    <row r="235" spans="2:5" x14ac:dyDescent="0.2">
      <c r="B235" s="29"/>
      <c r="C235" s="51"/>
      <c r="D235" s="51"/>
      <c r="E235" s="51"/>
    </row>
    <row r="236" spans="2:5" x14ac:dyDescent="0.2">
      <c r="B236" s="29"/>
      <c r="C236" s="51"/>
      <c r="D236" s="51"/>
      <c r="E236" s="51"/>
    </row>
    <row r="237" spans="2:5" x14ac:dyDescent="0.2">
      <c r="B237" s="29"/>
      <c r="C237" s="51"/>
      <c r="D237" s="51"/>
      <c r="E237" s="51"/>
    </row>
    <row r="238" spans="2:5" x14ac:dyDescent="0.2">
      <c r="B238" s="29"/>
      <c r="C238" s="51"/>
      <c r="D238" s="51"/>
      <c r="E238" s="51"/>
    </row>
    <row r="239" spans="2:5" x14ac:dyDescent="0.2">
      <c r="B239" s="29"/>
      <c r="C239" s="51"/>
      <c r="D239" s="51"/>
      <c r="E239" s="51"/>
    </row>
    <row r="240" spans="2:5" x14ac:dyDescent="0.2">
      <c r="B240" s="29"/>
      <c r="C240" s="51"/>
      <c r="D240" s="51"/>
      <c r="E240" s="51"/>
    </row>
    <row r="241" spans="2:5" x14ac:dyDescent="0.2">
      <c r="B241" s="29"/>
      <c r="C241" s="51"/>
      <c r="D241" s="51"/>
      <c r="E241" s="51"/>
    </row>
    <row r="242" spans="2:5" x14ac:dyDescent="0.2">
      <c r="B242" s="29"/>
      <c r="C242" s="51"/>
      <c r="D242" s="51"/>
      <c r="E242" s="51"/>
    </row>
    <row r="243" spans="2:5" x14ac:dyDescent="0.2">
      <c r="B243" s="29"/>
      <c r="C243" s="51"/>
      <c r="D243" s="51"/>
      <c r="E243" s="51"/>
    </row>
    <row r="244" spans="2:5" x14ac:dyDescent="0.2">
      <c r="B244" s="29"/>
      <c r="C244" s="51"/>
      <c r="D244" s="51"/>
      <c r="E244" s="51"/>
    </row>
    <row r="245" spans="2:5" x14ac:dyDescent="0.2">
      <c r="B245" s="29"/>
      <c r="C245" s="51"/>
      <c r="D245" s="51"/>
      <c r="E245" s="51"/>
    </row>
    <row r="246" spans="2:5" x14ac:dyDescent="0.2">
      <c r="B246" s="29"/>
      <c r="C246" s="51"/>
      <c r="D246" s="51"/>
      <c r="E246" s="51"/>
    </row>
    <row r="247" spans="2:5" x14ac:dyDescent="0.2">
      <c r="B247" s="29"/>
      <c r="C247" s="51"/>
      <c r="D247" s="51"/>
      <c r="E247" s="51"/>
    </row>
    <row r="248" spans="2:5" x14ac:dyDescent="0.2">
      <c r="B248" s="29"/>
      <c r="C248" s="51"/>
      <c r="D248" s="51"/>
      <c r="E248" s="51"/>
    </row>
    <row r="249" spans="2:5" x14ac:dyDescent="0.2">
      <c r="B249" s="29"/>
      <c r="C249" s="51"/>
      <c r="D249" s="51"/>
      <c r="E249" s="51"/>
    </row>
    <row r="250" spans="2:5" x14ac:dyDescent="0.2">
      <c r="B250" s="29"/>
      <c r="C250" s="51"/>
      <c r="D250" s="51"/>
      <c r="E250" s="51"/>
    </row>
    <row r="251" spans="2:5" x14ac:dyDescent="0.2">
      <c r="B251" s="29"/>
      <c r="C251" s="51"/>
      <c r="D251" s="51"/>
      <c r="E251" s="51"/>
    </row>
    <row r="252" spans="2:5" x14ac:dyDescent="0.2">
      <c r="B252" s="29"/>
      <c r="C252" s="51"/>
      <c r="D252" s="51"/>
      <c r="E252" s="51"/>
    </row>
    <row r="253" spans="2:5" x14ac:dyDescent="0.2">
      <c r="B253" s="29"/>
      <c r="C253" s="51"/>
      <c r="D253" s="51"/>
      <c r="E253" s="51"/>
    </row>
    <row r="254" spans="2:5" x14ac:dyDescent="0.2">
      <c r="B254" s="29"/>
      <c r="C254" s="51"/>
      <c r="D254" s="51"/>
      <c r="E254" s="51"/>
    </row>
    <row r="255" spans="2:5" x14ac:dyDescent="0.2">
      <c r="B255" s="29"/>
      <c r="C255" s="51"/>
      <c r="D255" s="51"/>
      <c r="E255" s="51"/>
    </row>
    <row r="256" spans="2:5" x14ac:dyDescent="0.2">
      <c r="B256" s="29"/>
      <c r="C256" s="51"/>
      <c r="D256" s="51"/>
      <c r="E256" s="51"/>
    </row>
    <row r="257" spans="2:5" x14ac:dyDescent="0.2">
      <c r="B257" s="29"/>
      <c r="C257" s="51"/>
      <c r="D257" s="51"/>
      <c r="E257" s="51"/>
    </row>
    <row r="258" spans="2:5" x14ac:dyDescent="0.2">
      <c r="B258" s="29"/>
      <c r="C258" s="51"/>
      <c r="D258" s="51"/>
      <c r="E258" s="51"/>
    </row>
    <row r="259" spans="2:5" x14ac:dyDescent="0.2">
      <c r="B259" s="29"/>
      <c r="C259" s="51"/>
      <c r="D259" s="51"/>
      <c r="E259" s="51"/>
    </row>
    <row r="260" spans="2:5" x14ac:dyDescent="0.2">
      <c r="B260" s="29"/>
      <c r="C260" s="51"/>
      <c r="D260" s="51"/>
      <c r="E260" s="51"/>
    </row>
    <row r="261" spans="2:5" x14ac:dyDescent="0.2">
      <c r="B261" s="29"/>
      <c r="C261" s="51"/>
      <c r="D261" s="51"/>
      <c r="E261" s="51"/>
    </row>
    <row r="262" spans="2:5" x14ac:dyDescent="0.2">
      <c r="B262" s="29"/>
      <c r="C262" s="51"/>
      <c r="D262" s="51"/>
      <c r="E262" s="51"/>
    </row>
    <row r="263" spans="2:5" x14ac:dyDescent="0.2">
      <c r="B263" s="29"/>
      <c r="C263" s="51"/>
      <c r="D263" s="51"/>
      <c r="E263" s="51"/>
    </row>
    <row r="264" spans="2:5" x14ac:dyDescent="0.2">
      <c r="B264" s="29"/>
      <c r="C264" s="51"/>
      <c r="D264" s="51"/>
      <c r="E264" s="51"/>
    </row>
    <row r="265" spans="2:5" x14ac:dyDescent="0.2">
      <c r="B265" s="29"/>
      <c r="C265" s="51"/>
      <c r="D265" s="51"/>
      <c r="E265" s="51"/>
    </row>
    <row r="266" spans="2:5" x14ac:dyDescent="0.2">
      <c r="B266" s="29"/>
      <c r="C266" s="51"/>
      <c r="D266" s="51"/>
      <c r="E266" s="51"/>
    </row>
    <row r="267" spans="2:5" x14ac:dyDescent="0.2">
      <c r="B267" s="29"/>
      <c r="C267" s="51"/>
      <c r="D267" s="51"/>
      <c r="E267" s="51"/>
    </row>
    <row r="268" spans="2:5" x14ac:dyDescent="0.2">
      <c r="B268" s="29"/>
      <c r="C268" s="51"/>
      <c r="D268" s="51"/>
      <c r="E268" s="51"/>
    </row>
    <row r="269" spans="2:5" x14ac:dyDescent="0.2">
      <c r="B269" s="29"/>
      <c r="C269" s="51"/>
      <c r="D269" s="51"/>
      <c r="E269" s="51"/>
    </row>
    <row r="270" spans="2:5" x14ac:dyDescent="0.2">
      <c r="B270" s="29"/>
      <c r="C270" s="51"/>
      <c r="D270" s="51"/>
      <c r="E270" s="51"/>
    </row>
    <row r="271" spans="2:5" x14ac:dyDescent="0.2">
      <c r="B271" s="29"/>
      <c r="C271" s="51"/>
      <c r="D271" s="51"/>
      <c r="E271" s="51"/>
    </row>
    <row r="272" spans="2:5" x14ac:dyDescent="0.2">
      <c r="B272" s="29"/>
      <c r="C272" s="51"/>
      <c r="D272" s="51"/>
      <c r="E272" s="51"/>
    </row>
    <row r="273" spans="2:5" x14ac:dyDescent="0.2">
      <c r="B273" s="29"/>
      <c r="C273" s="51"/>
      <c r="D273" s="51"/>
      <c r="E273" s="51"/>
    </row>
    <row r="274" spans="2:5" x14ac:dyDescent="0.2">
      <c r="B274" s="29"/>
      <c r="C274" s="51"/>
      <c r="D274" s="51"/>
      <c r="E274" s="51"/>
    </row>
    <row r="275" spans="2:5" x14ac:dyDescent="0.2">
      <c r="B275" s="29"/>
      <c r="C275" s="51"/>
      <c r="D275" s="51"/>
      <c r="E275" s="51"/>
    </row>
    <row r="276" spans="2:5" x14ac:dyDescent="0.2">
      <c r="B276" s="29"/>
      <c r="C276" s="51"/>
      <c r="D276" s="51"/>
      <c r="E276" s="51"/>
    </row>
  </sheetData>
  <sheetProtection formatRows="0"/>
  <protectedRanges>
    <protectedRange sqref="E147 A128:C147 D128:D143 D145:D146 E128:F146 G128:H147 A8:H127" name="Data Entry"/>
    <protectedRange sqref="K8:K148" name="Tax Override"/>
    <protectedRange sqref="EN8:EQ148" name="Notes"/>
  </protectedRanges>
  <mergeCells count="109">
    <mergeCell ref="K5:K7"/>
    <mergeCell ref="E6:E7"/>
    <mergeCell ref="F6:F7"/>
    <mergeCell ref="G6:G7"/>
    <mergeCell ref="H6:H7"/>
    <mergeCell ref="A3:B3"/>
    <mergeCell ref="B134:C134"/>
    <mergeCell ref="B135:C135"/>
    <mergeCell ref="B136:C136"/>
    <mergeCell ref="D2:J5"/>
    <mergeCell ref="D6:D7"/>
    <mergeCell ref="A6:A7"/>
    <mergeCell ref="A4:B4"/>
    <mergeCell ref="B57:C57"/>
    <mergeCell ref="B30:C30"/>
    <mergeCell ref="B31:C31"/>
    <mergeCell ref="B128:C128"/>
    <mergeCell ref="B109:C109"/>
    <mergeCell ref="B110:C110"/>
    <mergeCell ref="B14:C14"/>
    <mergeCell ref="B15:C15"/>
    <mergeCell ref="A5:B5"/>
    <mergeCell ref="B41:C41"/>
    <mergeCell ref="B60:C60"/>
    <mergeCell ref="A1:C1"/>
    <mergeCell ref="B56:C56"/>
    <mergeCell ref="B51:C51"/>
    <mergeCell ref="B50:C50"/>
    <mergeCell ref="B54:C54"/>
    <mergeCell ref="B52:C52"/>
    <mergeCell ref="B53:C53"/>
    <mergeCell ref="B55:C55"/>
    <mergeCell ref="B16:C16"/>
    <mergeCell ref="B29:C29"/>
    <mergeCell ref="B32:C32"/>
    <mergeCell ref="B17:C17"/>
    <mergeCell ref="B28:C28"/>
    <mergeCell ref="B10:C10"/>
    <mergeCell ref="A2:B2"/>
    <mergeCell ref="B13:C13"/>
    <mergeCell ref="B11:C11"/>
    <mergeCell ref="B9:C9"/>
    <mergeCell ref="B8:C8"/>
    <mergeCell ref="B12:C12"/>
    <mergeCell ref="B18:C18"/>
    <mergeCell ref="B20:C20"/>
    <mergeCell ref="B22:C22"/>
    <mergeCell ref="B39:C39"/>
    <mergeCell ref="B6:C7"/>
    <mergeCell ref="B148:C148"/>
    <mergeCell ref="B33:C33"/>
    <mergeCell ref="B34:C34"/>
    <mergeCell ref="B35:C35"/>
    <mergeCell ref="B36:C36"/>
    <mergeCell ref="B37:C37"/>
    <mergeCell ref="B133:C133"/>
    <mergeCell ref="B131:C131"/>
    <mergeCell ref="B132:C132"/>
    <mergeCell ref="B129:C129"/>
    <mergeCell ref="B130:C130"/>
    <mergeCell ref="B48:C48"/>
    <mergeCell ref="B49:C49"/>
    <mergeCell ref="B81:C81"/>
    <mergeCell ref="B80:C80"/>
    <mergeCell ref="B24:C24"/>
    <mergeCell ref="B26:C26"/>
    <mergeCell ref="B38:C38"/>
    <mergeCell ref="B40:C40"/>
    <mergeCell ref="B42:C42"/>
    <mergeCell ref="B47:C47"/>
    <mergeCell ref="B58:C58"/>
    <mergeCell ref="B62:C62"/>
    <mergeCell ref="B64:C64"/>
    <mergeCell ref="B43:C43"/>
    <mergeCell ref="B45:C45"/>
    <mergeCell ref="B44:C44"/>
    <mergeCell ref="B46:C46"/>
    <mergeCell ref="B76:C76"/>
    <mergeCell ref="B78:C78"/>
    <mergeCell ref="B82:C82"/>
    <mergeCell ref="B84:C84"/>
    <mergeCell ref="B86:C86"/>
    <mergeCell ref="B66:C66"/>
    <mergeCell ref="B68:C68"/>
    <mergeCell ref="B70:C70"/>
    <mergeCell ref="B72:C72"/>
    <mergeCell ref="B74:C74"/>
    <mergeCell ref="B98:C98"/>
    <mergeCell ref="B100:C100"/>
    <mergeCell ref="B102:C102"/>
    <mergeCell ref="B104:C104"/>
    <mergeCell ref="B106:C106"/>
    <mergeCell ref="B88:C88"/>
    <mergeCell ref="B90:C90"/>
    <mergeCell ref="B92:C92"/>
    <mergeCell ref="B94:C94"/>
    <mergeCell ref="B96:C96"/>
    <mergeCell ref="B147:C147"/>
    <mergeCell ref="B142:C142"/>
    <mergeCell ref="B143:C143"/>
    <mergeCell ref="B144:C144"/>
    <mergeCell ref="B145:C145"/>
    <mergeCell ref="B146:C146"/>
    <mergeCell ref="B108:C108"/>
    <mergeCell ref="B138:C138"/>
    <mergeCell ref="B139:C139"/>
    <mergeCell ref="B140:C140"/>
    <mergeCell ref="B141:C141"/>
    <mergeCell ref="B137:C137"/>
  </mergeCells>
  <phoneticPr fontId="0" type="noConversion"/>
  <conditionalFormatting sqref="D146 D8:D143">
    <cfRule type="expression" dxfId="652" priority="59" stopIfTrue="1">
      <formula>AND(G8&gt;0,ISBLANK(D8))</formula>
    </cfRule>
  </conditionalFormatting>
  <conditionalFormatting sqref="D145">
    <cfRule type="expression" dxfId="651" priority="281" stopIfTrue="1">
      <formula>AND(G144&gt;0,ISBLANK(D145))</formula>
    </cfRule>
  </conditionalFormatting>
  <dataValidations count="3">
    <dataValidation type="list" allowBlank="1" showInputMessage="1" showErrorMessage="1" sqref="D61 D63 D65 D67 D69 D71 D73 D75 D77 D79:D81 D83 D85 D87 D89 D91 D93 D95 D97 D99 D101 D103 D105 D107 D109" xr:uid="{00000000-0002-0000-1000-000000000000}">
      <formula1>ValidateTable</formula1>
    </dataValidation>
    <dataValidation type="list" allowBlank="1" showInputMessage="1" showErrorMessage="1" sqref="E8:E127" xr:uid="{00000000-0002-0000-1000-000003000000}">
      <formula1>LabValidation</formula1>
    </dataValidation>
    <dataValidation type="list" allowBlank="1" showInputMessage="1" showErrorMessage="1" sqref="K8:K147" xr:uid="{00000000-0002-0000-1000-000002000000}">
      <formula1>$M$1:$M$2</formula1>
    </dataValidation>
  </dataValidations>
  <printOptions horizontalCentered="1"/>
  <pageMargins left="0.3" right="0.3" top="0.75" bottom="0.75" header="0.5" footer="0.5"/>
  <pageSetup scale="67" orientation="landscape" r:id="rId1"/>
  <headerFooter alignWithMargins="0">
    <oddFooter xml:space="preserve">&amp;R&amp;6&amp;Z&amp;F   &amp;D
&amp;7© 2016 TRC   All rights reserved. </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9E73B7F-FAFC-4176-8EAF-18196DF7059F}">
          <x14:formula1>
            <xm:f>'RATE Schedules'!$AS$2:$AS$21</xm:f>
          </x14:formula1>
          <xm:sqref>D8:D60 D62 D64 D66 D68 D70 D72 D74 D76 D78 D82 D84 D86 D88 D90 D92 D94 D96 D98 D100 D102 D104 D106 D108 D110:D127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AS144"/>
  <sheetViews>
    <sheetView topLeftCell="H1" zoomScale="80" zoomScaleNormal="80" workbookViewId="0">
      <selection activeCell="H108" sqref="H108"/>
    </sheetView>
  </sheetViews>
  <sheetFormatPr defaultColWidth="9.140625" defaultRowHeight="16.149999999999999" customHeight="1" x14ac:dyDescent="0.2"/>
  <cols>
    <col min="1" max="1" width="8.140625" style="4" customWidth="1"/>
    <col min="2" max="2" width="27.42578125" style="4" customWidth="1"/>
    <col min="3" max="3" width="0.140625" style="4" customWidth="1"/>
    <col min="4" max="4" width="9.7109375" style="180" customWidth="1"/>
    <col min="5" max="5" width="9.7109375" style="181" customWidth="1"/>
    <col min="6" max="6" width="10" style="3" bestFit="1" customWidth="1"/>
    <col min="7" max="7" width="11.42578125" style="4" customWidth="1"/>
    <col min="8" max="8" width="8.28515625" style="3" customWidth="1"/>
    <col min="9" max="9" width="9.7109375" style="3" customWidth="1"/>
    <col min="10" max="10" width="10" style="4" bestFit="1" customWidth="1"/>
    <col min="11" max="11" width="12.7109375" style="4" customWidth="1"/>
    <col min="12" max="12" width="8.28515625" style="3" customWidth="1"/>
    <col min="13" max="13" width="9.7109375" style="4" customWidth="1"/>
    <col min="14" max="14" width="10" style="4" bestFit="1" customWidth="1"/>
    <col min="15" max="15" width="12.7109375" style="4" customWidth="1"/>
    <col min="16" max="16" width="8.28515625" style="3" customWidth="1"/>
    <col min="17" max="17" width="9.7109375" style="4" customWidth="1"/>
    <col min="18" max="18" width="10" style="4" bestFit="1" customWidth="1"/>
    <col min="19" max="19" width="12.7109375" style="4" customWidth="1"/>
    <col min="20" max="20" width="8.28515625" style="3" customWidth="1"/>
    <col min="21" max="21" width="9.7109375" style="4" customWidth="1"/>
    <col min="22" max="22" width="10" style="4" bestFit="1" customWidth="1"/>
    <col min="23" max="23" width="12.7109375" style="4" customWidth="1"/>
    <col min="24" max="24" width="8.7109375" style="3" customWidth="1"/>
    <col min="25" max="25" width="9.7109375" style="4" customWidth="1"/>
    <col min="26" max="26" width="7.7109375" style="4" customWidth="1"/>
    <col min="27" max="27" width="12.7109375" style="4" customWidth="1"/>
    <col min="28" max="28" width="8.7109375" style="3" customWidth="1"/>
    <col min="29" max="29" width="9.7109375" style="4" customWidth="1"/>
    <col min="30" max="30" width="7.7109375" style="4" customWidth="1"/>
    <col min="31" max="31" width="12.7109375" style="4" customWidth="1"/>
    <col min="32" max="32" width="8.7109375" style="3" customWidth="1"/>
    <col min="33" max="33" width="9.7109375" style="4" customWidth="1"/>
    <col min="34" max="34" width="7.7109375" style="4" customWidth="1"/>
    <col min="35" max="35" width="12.7109375" style="4" customWidth="1"/>
    <col min="36" max="36" width="8.7109375" style="3" customWidth="1"/>
    <col min="37" max="37" width="9.7109375" style="4" customWidth="1"/>
    <col min="38" max="38" width="7.7109375" style="4" customWidth="1"/>
    <col min="39" max="39" width="12.7109375" style="4" customWidth="1"/>
    <col min="40" max="40" width="8.7109375" style="3" customWidth="1"/>
    <col min="41" max="41" width="9.7109375" style="4" customWidth="1"/>
    <col min="42" max="42" width="7.7109375" style="4" customWidth="1"/>
    <col min="43" max="43" width="12.7109375" style="4" customWidth="1"/>
    <col min="44" max="16384" width="9.140625" style="4"/>
  </cols>
  <sheetData>
    <row r="1" spans="1:45" ht="16.149999999999999" customHeight="1" x14ac:dyDescent="0.2">
      <c r="B1" s="406" t="s">
        <v>304</v>
      </c>
      <c r="C1"/>
      <c r="D1"/>
    </row>
    <row r="2" spans="1:45" ht="12.75" customHeight="1" x14ac:dyDescent="0.2">
      <c r="B2" s="1245" t="s">
        <v>0</v>
      </c>
      <c r="C2" s="1244"/>
      <c r="D2" s="1476">
        <f>ProjectName</f>
        <v>0</v>
      </c>
      <c r="E2" s="1476"/>
      <c r="F2" s="1476"/>
      <c r="G2" s="1476"/>
    </row>
    <row r="3" spans="1:45" ht="12.75" customHeight="1" x14ac:dyDescent="0.2">
      <c r="B3" s="1246" t="s">
        <v>371</v>
      </c>
      <c r="C3" s="1244"/>
      <c r="D3" s="1476">
        <f>ProjectNumber</f>
        <v>0</v>
      </c>
      <c r="E3" s="1476"/>
      <c r="F3" s="1476"/>
      <c r="G3" s="1476"/>
    </row>
    <row r="4" spans="1:45" ht="12.75" customHeight="1" x14ac:dyDescent="0.2">
      <c r="B4" s="1245" t="s">
        <v>2</v>
      </c>
      <c r="C4" s="1244"/>
      <c r="D4" s="1476">
        <f>PreparedBy</f>
        <v>0</v>
      </c>
      <c r="E4" s="1476"/>
      <c r="F4" s="1476"/>
      <c r="G4" s="1476"/>
    </row>
    <row r="5" spans="1:45" ht="12.75" customHeight="1" x14ac:dyDescent="0.2">
      <c r="B5" s="1245" t="s">
        <v>3</v>
      </c>
      <c r="C5" s="1244"/>
      <c r="D5" s="1477">
        <f ca="1">DateField</f>
        <v>45516</v>
      </c>
      <c r="E5" s="1477"/>
    </row>
    <row r="6" spans="1:45" ht="21" thickBot="1" x14ac:dyDescent="0.35">
      <c r="D6" s="1474" t="s">
        <v>304</v>
      </c>
      <c r="E6" s="1475"/>
      <c r="F6" s="1475"/>
      <c r="G6" s="1475"/>
      <c r="H6" s="1475"/>
      <c r="I6" s="1475"/>
      <c r="J6" s="1475"/>
      <c r="K6" s="1475"/>
      <c r="L6" s="1475"/>
      <c r="M6" s="1475"/>
      <c r="N6" s="1475"/>
      <c r="O6" s="1475"/>
      <c r="P6" s="1475"/>
      <c r="Q6" s="1475"/>
      <c r="R6" s="1475"/>
      <c r="S6" s="1475"/>
      <c r="T6" s="1475"/>
      <c r="U6" s="1475"/>
      <c r="V6" s="1475"/>
      <c r="W6" s="1475"/>
      <c r="AS6" s="4" t="s">
        <v>317</v>
      </c>
    </row>
    <row r="7" spans="1:45" ht="16.149999999999999" customHeight="1" x14ac:dyDescent="0.2">
      <c r="B7" s="183"/>
      <c r="C7" s="189"/>
      <c r="D7" s="1471" t="str">
        <f>TabName1</f>
        <v>Phase 1</v>
      </c>
      <c r="E7" s="1482"/>
      <c r="F7" s="1482"/>
      <c r="G7" s="1483"/>
      <c r="H7" s="1471" t="str">
        <f>TabName2</f>
        <v>Phase 2</v>
      </c>
      <c r="I7" s="1472"/>
      <c r="J7" s="1472"/>
      <c r="K7" s="1478"/>
      <c r="L7" s="1471" t="str">
        <f>TabName3</f>
        <v>Phase 3</v>
      </c>
      <c r="M7" s="1472"/>
      <c r="N7" s="1472"/>
      <c r="O7" s="1478"/>
      <c r="P7" s="1471" t="str">
        <f>TabName4</f>
        <v>Phase 4</v>
      </c>
      <c r="Q7" s="1472"/>
      <c r="R7" s="1472"/>
      <c r="S7" s="1478"/>
      <c r="T7" s="1471" t="str">
        <f>TabName5</f>
        <v>Phase 5</v>
      </c>
      <c r="U7" s="1472"/>
      <c r="V7" s="1472"/>
      <c r="W7" s="1478"/>
      <c r="X7" s="4"/>
      <c r="AB7" s="4"/>
      <c r="AF7" s="4"/>
      <c r="AJ7" s="4"/>
      <c r="AN7" s="4"/>
    </row>
    <row r="8" spans="1:45" ht="12.75" x14ac:dyDescent="0.2">
      <c r="B8" s="182"/>
      <c r="C8" s="190"/>
      <c r="D8" s="1463"/>
      <c r="E8" s="1245"/>
      <c r="F8" s="1245"/>
      <c r="G8" s="1480"/>
      <c r="H8" s="1463"/>
      <c r="I8" s="1464"/>
      <c r="J8" s="1464"/>
      <c r="K8" s="1479"/>
      <c r="L8" s="1463"/>
      <c r="M8" s="1464"/>
      <c r="N8" s="1464"/>
      <c r="O8" s="1479"/>
      <c r="P8" s="1463"/>
      <c r="Q8" s="1464"/>
      <c r="R8" s="1464"/>
      <c r="S8" s="1479"/>
      <c r="T8" s="1463"/>
      <c r="U8" s="1464"/>
      <c r="V8" s="1464"/>
      <c r="W8" s="1479"/>
      <c r="X8" s="4"/>
      <c r="AB8" s="4"/>
      <c r="AF8" s="4"/>
      <c r="AJ8" s="4"/>
      <c r="AN8" s="4"/>
    </row>
    <row r="9" spans="1:45" ht="16.149999999999999" customHeight="1" x14ac:dyDescent="0.2">
      <c r="B9" s="110" t="s">
        <v>90</v>
      </c>
      <c r="C9" s="191"/>
      <c r="D9" s="166" t="s">
        <v>55</v>
      </c>
      <c r="E9" s="167" t="s">
        <v>42</v>
      </c>
      <c r="F9" s="184" t="s">
        <v>53</v>
      </c>
      <c r="G9" s="168" t="s">
        <v>54</v>
      </c>
      <c r="H9" s="165" t="s">
        <v>55</v>
      </c>
      <c r="I9" s="167" t="s">
        <v>42</v>
      </c>
      <c r="J9" s="184" t="s">
        <v>53</v>
      </c>
      <c r="K9" s="168" t="s">
        <v>54</v>
      </c>
      <c r="L9" s="165" t="s">
        <v>55</v>
      </c>
      <c r="M9" s="167" t="s">
        <v>42</v>
      </c>
      <c r="N9" s="184" t="s">
        <v>53</v>
      </c>
      <c r="O9" s="168" t="s">
        <v>54</v>
      </c>
      <c r="P9" s="165" t="s">
        <v>55</v>
      </c>
      <c r="Q9" s="167" t="s">
        <v>42</v>
      </c>
      <c r="R9" s="184" t="s">
        <v>53</v>
      </c>
      <c r="S9" s="168" t="s">
        <v>54</v>
      </c>
      <c r="T9" s="165" t="s">
        <v>55</v>
      </c>
      <c r="U9" s="167" t="s">
        <v>42</v>
      </c>
      <c r="V9" s="184" t="s">
        <v>53</v>
      </c>
      <c r="W9" s="168" t="s">
        <v>54</v>
      </c>
      <c r="X9" s="4"/>
      <c r="AB9" s="4"/>
      <c r="AF9" s="4"/>
      <c r="AJ9" s="4"/>
      <c r="AN9" s="4"/>
    </row>
    <row r="10" spans="1:45" ht="16.149999999999999" customHeight="1" x14ac:dyDescent="0.2">
      <c r="B10" s="109" t="s">
        <v>73</v>
      </c>
      <c r="C10" s="192"/>
      <c r="D10" s="170"/>
      <c r="E10" s="171"/>
      <c r="F10" s="172"/>
      <c r="G10" s="173"/>
      <c r="H10" s="170"/>
      <c r="I10" s="171"/>
      <c r="J10" s="172"/>
      <c r="K10" s="173"/>
      <c r="L10" s="170"/>
      <c r="M10" s="171"/>
      <c r="N10" s="172"/>
      <c r="O10" s="173"/>
      <c r="P10" s="170"/>
      <c r="Q10" s="171"/>
      <c r="R10" s="172"/>
      <c r="S10" s="173"/>
      <c r="T10" s="170"/>
      <c r="U10" s="171"/>
      <c r="V10" s="172"/>
      <c r="W10" s="173"/>
    </row>
    <row r="11" spans="1:45" ht="16.149999999999999" customHeight="1" x14ac:dyDescent="0.2">
      <c r="A11" s="251" t="s">
        <v>76</v>
      </c>
      <c r="B11" s="206" t="str">
        <f>INDEX(VehicleTable,C11,1)</f>
        <v>Fleet SUV/Truck</v>
      </c>
      <c r="C11" s="163">
        <v>1</v>
      </c>
      <c r="D11" s="135">
        <v>1</v>
      </c>
      <c r="E11" s="151">
        <f>VLOOKUP($B$11,VehicleTable,D11+3,FALSE)</f>
        <v>70</v>
      </c>
      <c r="F11" s="152">
        <v>1</v>
      </c>
      <c r="G11" s="175">
        <f>IF(F11&gt;0,E11*F11,0)</f>
        <v>70</v>
      </c>
      <c r="H11" s="135">
        <v>1</v>
      </c>
      <c r="I11" s="151">
        <f>VLOOKUP($B$11,VehicleTable,H11+3,FALSE)</f>
        <v>70</v>
      </c>
      <c r="J11" s="154">
        <v>1</v>
      </c>
      <c r="K11" s="175">
        <f>IF(J11&gt;0,I11*J11,0)</f>
        <v>70</v>
      </c>
      <c r="L11" s="135">
        <v>1</v>
      </c>
      <c r="M11" s="151">
        <f>VLOOKUP($B$11,VehicleTable,L11+3,FALSE)</f>
        <v>70</v>
      </c>
      <c r="N11" s="154">
        <v>1</v>
      </c>
      <c r="O11" s="175">
        <f>IF(N11&gt;0,M11*N11,0)</f>
        <v>70</v>
      </c>
      <c r="P11" s="135">
        <v>1</v>
      </c>
      <c r="Q11" s="151">
        <f>VLOOKUP($B$11,VehicleTable,P11+3,FALSE)</f>
        <v>70</v>
      </c>
      <c r="R11" s="152">
        <v>1</v>
      </c>
      <c r="S11" s="175">
        <f>IF(R11&gt;0,Q11*R11,0)</f>
        <v>70</v>
      </c>
      <c r="T11" s="135">
        <v>1</v>
      </c>
      <c r="U11" s="151">
        <f>VLOOKUP($B$11,VehicleTable,T11+3,FALSE)</f>
        <v>70</v>
      </c>
      <c r="V11" s="152">
        <v>1</v>
      </c>
      <c r="W11" s="175">
        <f>IF(V11&gt;0,U11*V11,0)</f>
        <v>70</v>
      </c>
      <c r="X11" s="4"/>
      <c r="AB11" s="4"/>
      <c r="AF11" s="4"/>
      <c r="AJ11" s="4"/>
      <c r="AN11" s="4"/>
    </row>
    <row r="12" spans="1:45" ht="16.149999999999999" customHeight="1" x14ac:dyDescent="0.2">
      <c r="A12" s="4" t="s">
        <v>76</v>
      </c>
      <c r="B12" s="244" t="s">
        <v>365</v>
      </c>
      <c r="C12" s="55"/>
      <c r="D12" s="177" t="s">
        <v>105</v>
      </c>
      <c r="E12" s="126">
        <v>0.5</v>
      </c>
      <c r="F12" s="153">
        <v>1</v>
      </c>
      <c r="G12" s="175">
        <f>IF(F12&gt;0,E12*F12,0)</f>
        <v>0.5</v>
      </c>
      <c r="H12" s="177" t="s">
        <v>105</v>
      </c>
      <c r="I12" s="126">
        <v>0.5</v>
      </c>
      <c r="J12" s="155">
        <v>1</v>
      </c>
      <c r="K12" s="175">
        <f>IF(J12&gt;0,I12*J12,0)</f>
        <v>0.5</v>
      </c>
      <c r="L12" s="177" t="s">
        <v>105</v>
      </c>
      <c r="M12" s="126">
        <v>0.5</v>
      </c>
      <c r="N12" s="155">
        <v>1</v>
      </c>
      <c r="O12" s="175">
        <f>IF(N12&gt;0,M12*N12,0)</f>
        <v>0.5</v>
      </c>
      <c r="P12" s="177" t="s">
        <v>105</v>
      </c>
      <c r="Q12" s="126">
        <v>0.5</v>
      </c>
      <c r="R12" s="153">
        <v>1</v>
      </c>
      <c r="S12" s="175">
        <f>IF(R12&gt;0,Q12*R12,0)</f>
        <v>0.5</v>
      </c>
      <c r="T12" s="177" t="s">
        <v>105</v>
      </c>
      <c r="U12" s="126">
        <v>0.5</v>
      </c>
      <c r="V12" s="153">
        <v>1</v>
      </c>
      <c r="W12" s="175">
        <f>IF(V12&gt;0,U12*V12,0)</f>
        <v>0.5</v>
      </c>
      <c r="X12" s="4"/>
      <c r="AB12" s="4"/>
      <c r="AF12" s="4"/>
      <c r="AJ12" s="4"/>
      <c r="AN12" s="4"/>
    </row>
    <row r="13" spans="1:45" ht="16.149999999999999" customHeight="1" x14ac:dyDescent="0.2">
      <c r="A13" s="4" t="s">
        <v>76</v>
      </c>
      <c r="B13" s="111" t="s">
        <v>106</v>
      </c>
      <c r="C13" s="55"/>
      <c r="D13" s="177" t="s">
        <v>105</v>
      </c>
      <c r="E13" s="836">
        <v>0.65500000000000003</v>
      </c>
      <c r="F13" s="153">
        <v>1</v>
      </c>
      <c r="G13" s="175">
        <f>IF(F13&gt;0,E13*F13,0)</f>
        <v>0.65500000000000003</v>
      </c>
      <c r="H13" s="177" t="s">
        <v>105</v>
      </c>
      <c r="I13" s="836">
        <v>0.65500000000000003</v>
      </c>
      <c r="J13" s="155">
        <v>1</v>
      </c>
      <c r="K13" s="175">
        <f>IF(J13&gt;0,I13*J13,0)</f>
        <v>0.65500000000000003</v>
      </c>
      <c r="L13" s="177" t="s">
        <v>105</v>
      </c>
      <c r="M13" s="836">
        <v>0.65500000000000003</v>
      </c>
      <c r="N13" s="155">
        <v>1</v>
      </c>
      <c r="O13" s="175">
        <f>IF(N13&gt;0,M13*N13,0)</f>
        <v>0.65500000000000003</v>
      </c>
      <c r="P13" s="177" t="s">
        <v>105</v>
      </c>
      <c r="Q13" s="836">
        <v>0.65500000000000003</v>
      </c>
      <c r="R13" s="153">
        <v>1</v>
      </c>
      <c r="S13" s="175">
        <f>IF(R13&gt;0,Q13*R13,0)</f>
        <v>0.65500000000000003</v>
      </c>
      <c r="T13" s="177" t="s">
        <v>105</v>
      </c>
      <c r="U13" s="836">
        <v>0.65500000000000003</v>
      </c>
      <c r="V13" s="153">
        <v>1</v>
      </c>
      <c r="W13" s="175">
        <f>IF(V13&gt;0,U13*V13,0)</f>
        <v>0.65500000000000003</v>
      </c>
      <c r="X13" s="4"/>
      <c r="AB13" s="4"/>
      <c r="AF13" s="4"/>
      <c r="AJ13" s="4"/>
      <c r="AN13" s="4"/>
    </row>
    <row r="14" spans="1:45" ht="16.149999999999999" customHeight="1" x14ac:dyDescent="0.2">
      <c r="A14" s="4" t="s">
        <v>76</v>
      </c>
      <c r="B14" s="111" t="s">
        <v>324</v>
      </c>
      <c r="C14" s="55"/>
      <c r="D14" s="180" t="s">
        <v>325</v>
      </c>
      <c r="E14" s="126">
        <v>4.25</v>
      </c>
      <c r="F14" s="153">
        <v>1</v>
      </c>
      <c r="G14" s="175">
        <f>IF(F14&gt;0,E14*F14,0)</f>
        <v>4.25</v>
      </c>
      <c r="H14" s="180" t="s">
        <v>325</v>
      </c>
      <c r="I14" s="126">
        <v>4.25</v>
      </c>
      <c r="J14" s="153">
        <v>1</v>
      </c>
      <c r="K14" s="175">
        <f>IF(J14&gt;0,I14*J14,0)</f>
        <v>4.25</v>
      </c>
      <c r="L14" s="180" t="s">
        <v>325</v>
      </c>
      <c r="M14" s="126">
        <v>4.25</v>
      </c>
      <c r="N14" s="153">
        <v>1</v>
      </c>
      <c r="O14" s="175">
        <f>IF(N14&gt;0,M14*N14,0)</f>
        <v>4.25</v>
      </c>
      <c r="P14" s="180" t="s">
        <v>325</v>
      </c>
      <c r="Q14" s="126">
        <v>4.25</v>
      </c>
      <c r="R14" s="153">
        <v>1</v>
      </c>
      <c r="S14" s="175">
        <f>IF(R14&gt;0,Q14*R14,0)</f>
        <v>4.25</v>
      </c>
      <c r="T14" s="180" t="s">
        <v>325</v>
      </c>
      <c r="U14" s="126">
        <v>4.25</v>
      </c>
      <c r="V14" s="153">
        <v>1</v>
      </c>
      <c r="W14" s="175">
        <f>IF(V14&gt;0,U14*V14,0)</f>
        <v>4.25</v>
      </c>
      <c r="X14" s="4"/>
      <c r="AB14" s="4"/>
      <c r="AF14" s="4"/>
      <c r="AJ14" s="4"/>
      <c r="AN14" s="4"/>
    </row>
    <row r="15" spans="1:45" ht="16.149999999999999" customHeight="1" x14ac:dyDescent="0.2">
      <c r="B15" s="120" t="s">
        <v>730</v>
      </c>
      <c r="C15" s="193"/>
      <c r="D15" s="1466" t="s">
        <v>96</v>
      </c>
      <c r="E15" s="1467"/>
      <c r="F15" s="1467"/>
      <c r="G15" s="1468"/>
      <c r="H15" s="1466" t="s">
        <v>96</v>
      </c>
      <c r="I15" s="1467"/>
      <c r="J15" s="1467"/>
      <c r="K15" s="1468"/>
      <c r="L15" s="1466" t="s">
        <v>96</v>
      </c>
      <c r="M15" s="1467"/>
      <c r="N15" s="1467"/>
      <c r="O15" s="1468"/>
      <c r="P15" s="1466" t="s">
        <v>96</v>
      </c>
      <c r="Q15" s="1467"/>
      <c r="R15" s="1467"/>
      <c r="S15" s="1468"/>
      <c r="T15" s="1466" t="s">
        <v>96</v>
      </c>
      <c r="U15" s="1467"/>
      <c r="V15" s="1467"/>
      <c r="W15" s="1468"/>
      <c r="X15" s="4"/>
      <c r="AB15" s="4"/>
      <c r="AF15" s="4"/>
      <c r="AJ15" s="4"/>
      <c r="AN15" s="4"/>
    </row>
    <row r="16" spans="1:45" ht="16.149999999999999" customHeight="1" x14ac:dyDescent="0.2">
      <c r="A16" s="4" t="s">
        <v>25</v>
      </c>
      <c r="B16" s="111" t="s">
        <v>91</v>
      </c>
      <c r="C16" s="55"/>
      <c r="D16" s="135">
        <v>1</v>
      </c>
      <c r="E16" s="126">
        <v>150</v>
      </c>
      <c r="F16" s="153">
        <v>1</v>
      </c>
      <c r="G16" s="175">
        <f>IF(F16&gt;0,E16*F16,0)</f>
        <v>150</v>
      </c>
      <c r="H16" s="135">
        <v>1</v>
      </c>
      <c r="I16" s="126">
        <v>150</v>
      </c>
      <c r="J16" s="155">
        <v>1</v>
      </c>
      <c r="K16" s="175">
        <f>IF(J16&gt;0,I16*J16,0)</f>
        <v>150</v>
      </c>
      <c r="L16" s="135">
        <v>1</v>
      </c>
      <c r="M16" s="126">
        <v>150</v>
      </c>
      <c r="N16" s="155">
        <v>1</v>
      </c>
      <c r="O16" s="175">
        <f>IF(N16&gt;0,M16*N16,0)</f>
        <v>150</v>
      </c>
      <c r="P16" s="135">
        <v>1</v>
      </c>
      <c r="Q16" s="126">
        <v>150</v>
      </c>
      <c r="R16" s="153">
        <v>1</v>
      </c>
      <c r="S16" s="175">
        <f>IF(R16&gt;0,Q16*R16,0)</f>
        <v>150</v>
      </c>
      <c r="T16" s="135">
        <v>1</v>
      </c>
      <c r="U16" s="126">
        <v>150</v>
      </c>
      <c r="V16" s="153">
        <v>1</v>
      </c>
      <c r="W16" s="175">
        <f>IF(V16&gt;0,U16*V16,0)</f>
        <v>150</v>
      </c>
      <c r="X16" s="4"/>
      <c r="AB16" s="4"/>
      <c r="AF16" s="4"/>
      <c r="AJ16" s="4"/>
      <c r="AN16" s="4"/>
    </row>
    <row r="17" spans="1:40" ht="16.149999999999999" customHeight="1" x14ac:dyDescent="0.2">
      <c r="A17" s="4" t="s">
        <v>48</v>
      </c>
      <c r="B17" s="111" t="s">
        <v>92</v>
      </c>
      <c r="C17" s="55"/>
      <c r="D17" s="135">
        <v>1</v>
      </c>
      <c r="E17" s="126">
        <v>45</v>
      </c>
      <c r="F17" s="153">
        <v>1</v>
      </c>
      <c r="G17" s="175">
        <f>IF(F17&gt;0,E17*F17,0)</f>
        <v>45</v>
      </c>
      <c r="H17" s="135">
        <v>1</v>
      </c>
      <c r="I17" s="126">
        <v>45</v>
      </c>
      <c r="J17" s="155">
        <v>1</v>
      </c>
      <c r="K17" s="175">
        <f>IF(J17&gt;0,I17*J17,0)</f>
        <v>45</v>
      </c>
      <c r="L17" s="135">
        <v>1</v>
      </c>
      <c r="M17" s="126">
        <v>45</v>
      </c>
      <c r="N17" s="155">
        <v>1</v>
      </c>
      <c r="O17" s="175">
        <f>IF(N17&gt;0,M17*N17,0)</f>
        <v>45</v>
      </c>
      <c r="P17" s="135">
        <v>1</v>
      </c>
      <c r="Q17" s="126">
        <v>45</v>
      </c>
      <c r="R17" s="153">
        <v>1</v>
      </c>
      <c r="S17" s="175">
        <f>IF(R17&gt;0,Q17*R17,0)</f>
        <v>45</v>
      </c>
      <c r="T17" s="135">
        <v>2</v>
      </c>
      <c r="U17" s="126">
        <v>45</v>
      </c>
      <c r="V17" s="153">
        <v>1</v>
      </c>
      <c r="W17" s="175">
        <f>IF(V17&gt;0,U17*V17,0)</f>
        <v>45</v>
      </c>
      <c r="X17" s="4"/>
      <c r="AB17" s="4"/>
      <c r="AF17" s="4"/>
      <c r="AJ17" s="4"/>
      <c r="AN17" s="4"/>
    </row>
    <row r="18" spans="1:40" ht="16.149999999999999" customHeight="1" x14ac:dyDescent="0.2">
      <c r="A18" s="4" t="s">
        <v>24</v>
      </c>
      <c r="B18" s="111" t="s">
        <v>93</v>
      </c>
      <c r="C18" s="55"/>
      <c r="D18" s="177" t="s">
        <v>95</v>
      </c>
      <c r="E18" s="126">
        <v>300</v>
      </c>
      <c r="F18" s="153">
        <v>1</v>
      </c>
      <c r="G18" s="175">
        <f>IF(F18&gt;0,E18*F18,0)</f>
        <v>300</v>
      </c>
      <c r="H18" s="177" t="s">
        <v>95</v>
      </c>
      <c r="I18" s="126">
        <v>300</v>
      </c>
      <c r="J18" s="155">
        <v>1</v>
      </c>
      <c r="K18" s="175">
        <f>IF(J18&gt;0,I18*J18,0)</f>
        <v>300</v>
      </c>
      <c r="L18" s="177" t="s">
        <v>95</v>
      </c>
      <c r="M18" s="126">
        <v>300</v>
      </c>
      <c r="N18" s="155">
        <v>1</v>
      </c>
      <c r="O18" s="175">
        <f>IF(N18&gt;0,M18*N18,0)</f>
        <v>300</v>
      </c>
      <c r="P18" s="177" t="s">
        <v>95</v>
      </c>
      <c r="Q18" s="126">
        <v>300</v>
      </c>
      <c r="R18" s="153">
        <v>1</v>
      </c>
      <c r="S18" s="175">
        <f>IF(R18&gt;0,Q18*R18,0)</f>
        <v>300</v>
      </c>
      <c r="T18" s="177" t="s">
        <v>95</v>
      </c>
      <c r="U18" s="126">
        <v>300</v>
      </c>
      <c r="V18" s="153">
        <v>1</v>
      </c>
      <c r="W18" s="175">
        <f>IF(V18&gt;0,U18*V18,0)</f>
        <v>300</v>
      </c>
      <c r="X18" s="4"/>
      <c r="AB18" s="4"/>
      <c r="AF18" s="4"/>
      <c r="AJ18" s="4"/>
      <c r="AN18" s="4"/>
    </row>
    <row r="19" spans="1:40" ht="16.149999999999999" customHeight="1" x14ac:dyDescent="0.2">
      <c r="A19" s="4" t="s">
        <v>77</v>
      </c>
      <c r="B19" s="206" t="str">
        <f>INDEX(RentalTable,C19,1)</f>
        <v>Rental - Truck</v>
      </c>
      <c r="C19" s="210">
        <v>5</v>
      </c>
      <c r="D19" s="135">
        <v>1</v>
      </c>
      <c r="E19" s="151">
        <f>VLOOKUP($B19,RentalTable,$D19+3,FALSE)</f>
        <v>70</v>
      </c>
      <c r="F19" s="153">
        <v>1</v>
      </c>
      <c r="G19" s="175">
        <f>IF(F19&gt;0,E19*F19,0)</f>
        <v>70</v>
      </c>
      <c r="H19" s="135">
        <v>1</v>
      </c>
      <c r="I19" s="151">
        <f>VLOOKUP($B19,RentalTable,$H19+3,FALSE)</f>
        <v>70</v>
      </c>
      <c r="J19" s="155">
        <v>1</v>
      </c>
      <c r="K19" s="175">
        <f>IF(J19&gt;0,I19*J19,0)</f>
        <v>70</v>
      </c>
      <c r="L19" s="135">
        <v>1</v>
      </c>
      <c r="M19" s="151">
        <f>VLOOKUP($B19,RentalTable,$L19+3,FALSE)</f>
        <v>70</v>
      </c>
      <c r="N19" s="155">
        <v>1</v>
      </c>
      <c r="O19" s="175">
        <f>IF(N19&gt;0,M19*N19,0)</f>
        <v>70</v>
      </c>
      <c r="P19" s="135">
        <v>1</v>
      </c>
      <c r="Q19" s="151">
        <f>VLOOKUP($B19,RentalTable,$P19+3,FALSE)</f>
        <v>70</v>
      </c>
      <c r="R19" s="153">
        <v>1</v>
      </c>
      <c r="S19" s="175">
        <f>IF(R19&gt;0,Q19*R19,0)</f>
        <v>70</v>
      </c>
      <c r="T19" s="135">
        <v>1</v>
      </c>
      <c r="U19" s="151">
        <f>VLOOKUP($B19,RentalTable,$T19+3,FALSE)</f>
        <v>70</v>
      </c>
      <c r="V19" s="153">
        <v>1</v>
      </c>
      <c r="W19" s="175">
        <f>IF(V19&gt;0,U19*V19,0)</f>
        <v>70</v>
      </c>
      <c r="X19" s="4"/>
      <c r="AB19" s="4"/>
      <c r="AF19" s="4"/>
      <c r="AJ19" s="4"/>
      <c r="AN19" s="4"/>
    </row>
    <row r="20" spans="1:40" ht="18" customHeight="1" thickBot="1" x14ac:dyDescent="0.25">
      <c r="A20" s="4" t="s">
        <v>25</v>
      </c>
      <c r="B20" s="204" t="s">
        <v>350</v>
      </c>
      <c r="C20" s="205"/>
      <c r="D20" s="212"/>
      <c r="E20" s="213"/>
      <c r="F20" s="211"/>
      <c r="G20" s="178">
        <f>IF(F20&gt;0,E20*F20,0)</f>
        <v>0</v>
      </c>
      <c r="H20" s="212"/>
      <c r="I20" s="213"/>
      <c r="J20" s="211"/>
      <c r="K20" s="178">
        <f>IF(J20&gt;0,I20*J20,0)</f>
        <v>0</v>
      </c>
      <c r="L20" s="212"/>
      <c r="M20" s="213"/>
      <c r="N20" s="211"/>
      <c r="O20" s="178">
        <f>IF(N20&gt;0,M20*N20,0)</f>
        <v>0</v>
      </c>
      <c r="P20" s="212"/>
      <c r="Q20" s="213"/>
      <c r="R20" s="211"/>
      <c r="S20" s="178">
        <f>IF(R20&gt;0,Q20*R20,0)</f>
        <v>0</v>
      </c>
      <c r="T20" s="212"/>
      <c r="U20" s="213"/>
      <c r="V20" s="211"/>
      <c r="W20" s="178">
        <f>IF(V20&gt;0,U20*V20,0)</f>
        <v>0</v>
      </c>
      <c r="X20" s="4"/>
      <c r="AB20" s="4"/>
      <c r="AF20" s="4"/>
      <c r="AJ20" s="4"/>
      <c r="AN20" s="4"/>
    </row>
    <row r="21" spans="1:40" ht="23.25" customHeight="1" x14ac:dyDescent="0.2">
      <c r="I21" s="180"/>
    </row>
    <row r="22" spans="1:40" ht="23.25" customHeight="1" x14ac:dyDescent="0.2">
      <c r="D22" s="60" t="s">
        <v>78</v>
      </c>
      <c r="H22" s="45" t="s">
        <v>15</v>
      </c>
      <c r="L22" s="45" t="s">
        <v>16</v>
      </c>
      <c r="P22" s="45" t="s">
        <v>17</v>
      </c>
      <c r="T22" s="45" t="s">
        <v>18</v>
      </c>
    </row>
    <row r="23" spans="1:40" ht="18" customHeight="1" x14ac:dyDescent="0.2">
      <c r="B23" s="112" t="s">
        <v>77</v>
      </c>
      <c r="C23" s="112"/>
      <c r="D23" s="1462" t="s">
        <v>74</v>
      </c>
      <c r="E23" s="1462"/>
      <c r="F23" s="1462"/>
      <c r="G23" s="181">
        <f>SUMIF($A$11:$A$20,"RV",G$11:G$20)</f>
        <v>70</v>
      </c>
      <c r="H23" s="1462" t="s">
        <v>74</v>
      </c>
      <c r="I23" s="1462"/>
      <c r="J23" s="1462"/>
      <c r="K23" s="181">
        <f>SUMIF($A$11:$A$20,"RV",K$11:K$20)</f>
        <v>70</v>
      </c>
      <c r="L23" s="1462" t="s">
        <v>74</v>
      </c>
      <c r="M23" s="1462"/>
      <c r="N23" s="1462"/>
      <c r="O23" s="181">
        <f>SUMIF($A$11:$A$20,"RV",O$11:O$20)</f>
        <v>70</v>
      </c>
      <c r="P23" s="1462" t="s">
        <v>74</v>
      </c>
      <c r="Q23" s="1462"/>
      <c r="R23" s="1462"/>
      <c r="S23" s="181">
        <f>SUMIF($A$11:$A$20,"RV",S$11:S$20)</f>
        <v>70</v>
      </c>
      <c r="T23" s="1462" t="s">
        <v>74</v>
      </c>
      <c r="U23" s="1462"/>
      <c r="V23" s="1462"/>
      <c r="W23" s="181">
        <f>SUMIF($A$11:$A$20,"RV",W$11:W$20)</f>
        <v>70</v>
      </c>
    </row>
    <row r="24" spans="1:40" ht="15.75" customHeight="1" x14ac:dyDescent="0.2">
      <c r="B24" s="112" t="s">
        <v>76</v>
      </c>
      <c r="C24" s="112"/>
      <c r="D24" s="1462" t="s">
        <v>75</v>
      </c>
      <c r="E24" s="1462"/>
      <c r="F24" s="1462"/>
      <c r="G24" s="181">
        <f>SUMIF($A$11:$A$20,"OV",G$11:G$20)</f>
        <v>75.405000000000001</v>
      </c>
      <c r="H24" s="1481" t="s">
        <v>75</v>
      </c>
      <c r="I24" s="1462"/>
      <c r="J24" s="1462"/>
      <c r="K24" s="181">
        <f>SUMIF($A$11:$A$20,"OV",K$11:K$20)</f>
        <v>75.405000000000001</v>
      </c>
      <c r="L24" s="1462" t="s">
        <v>75</v>
      </c>
      <c r="M24" s="1462"/>
      <c r="N24" s="1462"/>
      <c r="O24" s="181">
        <f>SUMIF($A$11:$A$20,"OV",O$11:O$20)</f>
        <v>75.405000000000001</v>
      </c>
      <c r="P24" s="1462" t="s">
        <v>75</v>
      </c>
      <c r="Q24" s="1462"/>
      <c r="R24" s="1462"/>
      <c r="S24" s="181">
        <f>SUMIF($A$11:$A$20,"OV",S$11:S$20)</f>
        <v>75.405000000000001</v>
      </c>
      <c r="T24" s="1462" t="s">
        <v>75</v>
      </c>
      <c r="U24" s="1462"/>
      <c r="V24" s="1462"/>
      <c r="W24" s="181">
        <f>SUMIF($A$11:$A$20,"OV",W$11:W$20)</f>
        <v>75.405000000000001</v>
      </c>
    </row>
    <row r="25" spans="1:40" ht="17.25" customHeight="1" x14ac:dyDescent="0.2">
      <c r="B25" s="112" t="s">
        <v>48</v>
      </c>
      <c r="C25" s="112"/>
      <c r="D25" s="1462" t="s">
        <v>94</v>
      </c>
      <c r="E25" s="1462"/>
      <c r="F25" s="1462"/>
      <c r="G25" s="181">
        <f>SUMIF($A$11:$A$20,"M",G$11:G$20)</f>
        <v>45</v>
      </c>
      <c r="J25" s="112" t="s">
        <v>94</v>
      </c>
      <c r="K25" s="181">
        <f>SUMIF($A$11:$A$20,"M",K$11:K$20)</f>
        <v>45</v>
      </c>
      <c r="N25" s="112" t="s">
        <v>94</v>
      </c>
      <c r="O25" s="181">
        <f>SUMIF($A$11:$A$20,"M",O$11:O$20)</f>
        <v>45</v>
      </c>
      <c r="R25" s="112" t="s">
        <v>94</v>
      </c>
      <c r="S25" s="181">
        <f>SUMIF($A$11:$A$20,"M",S$11:S$20)</f>
        <v>45</v>
      </c>
      <c r="V25" s="112" t="s">
        <v>94</v>
      </c>
      <c r="W25" s="181">
        <f>SUMIF($A$11:$A$20,"M",W$11:W$20)</f>
        <v>45</v>
      </c>
    </row>
    <row r="26" spans="1:40" ht="12.75" x14ac:dyDescent="0.2">
      <c r="B26" s="112" t="s">
        <v>25</v>
      </c>
      <c r="C26" s="112"/>
      <c r="F26" s="3" t="s">
        <v>97</v>
      </c>
      <c r="G26" s="181">
        <f>SUMIF($A$11:$A$20,"L",G$11:G$20)</f>
        <v>150</v>
      </c>
      <c r="J26" s="112" t="s">
        <v>97</v>
      </c>
      <c r="K26" s="181">
        <f>SUMIF($A$11:$A$20,"L",K$11:K$20)</f>
        <v>150</v>
      </c>
      <c r="N26" s="112" t="s">
        <v>97</v>
      </c>
      <c r="O26" s="181">
        <f>SUMIF($A$11:$A$20,"L",O$11:O$20)</f>
        <v>150</v>
      </c>
      <c r="R26" s="112" t="s">
        <v>97</v>
      </c>
      <c r="S26" s="181">
        <f>SUMIF($A$11:$A$20,"L",S$11:S$20)</f>
        <v>150</v>
      </c>
      <c r="V26" s="112" t="s">
        <v>97</v>
      </c>
      <c r="W26" s="181">
        <f>SUMIF($A$11:$A$20,"L",W$11:W$20)</f>
        <v>150</v>
      </c>
    </row>
    <row r="27" spans="1:40" ht="17.25" customHeight="1" x14ac:dyDescent="0.2">
      <c r="B27" s="112" t="s">
        <v>24</v>
      </c>
      <c r="C27" s="112"/>
      <c r="F27" s="112" t="s">
        <v>98</v>
      </c>
      <c r="G27" s="181">
        <f>SUMIF($A$11:$A$20,"A",G$11:G$20)</f>
        <v>300</v>
      </c>
      <c r="J27" s="112" t="s">
        <v>98</v>
      </c>
      <c r="K27" s="181">
        <f>SUMIF($A$11:$A$20,"A",K$11:K$20)</f>
        <v>300</v>
      </c>
      <c r="N27" s="112" t="s">
        <v>98</v>
      </c>
      <c r="O27" s="181">
        <f>SUMIF($A$11:$A$20,"A",O$11:O$20)</f>
        <v>300</v>
      </c>
      <c r="R27" s="112" t="s">
        <v>98</v>
      </c>
      <c r="S27" s="181">
        <f>SUMIF($A$11:$A$20,"A",S$11:S$20)</f>
        <v>300</v>
      </c>
      <c r="V27" s="112" t="s">
        <v>98</v>
      </c>
      <c r="W27" s="181">
        <f>SUMIF($A$11:$A$20,"A",W$11:W$20)</f>
        <v>300</v>
      </c>
    </row>
    <row r="28" spans="1:40" ht="13.5" thickBot="1" x14ac:dyDescent="0.25"/>
    <row r="29" spans="1:40" ht="28.5" customHeight="1" x14ac:dyDescent="0.2">
      <c r="B29" s="634" t="s">
        <v>752</v>
      </c>
      <c r="C29" s="539"/>
      <c r="D29" s="1469"/>
      <c r="E29" s="1469"/>
      <c r="F29" s="1469"/>
      <c r="G29" s="1469"/>
      <c r="H29" s="1469"/>
      <c r="I29" s="1469"/>
      <c r="J29" s="1469"/>
      <c r="K29" s="1469"/>
      <c r="L29" s="1469"/>
      <c r="M29" s="1469"/>
      <c r="N29" s="1469"/>
      <c r="O29" s="1469"/>
      <c r="P29" s="1469"/>
      <c r="Q29" s="1469"/>
      <c r="R29" s="1469"/>
      <c r="S29" s="1469"/>
      <c r="T29" s="1469"/>
      <c r="U29" s="1469"/>
      <c r="V29" s="1469"/>
      <c r="W29" s="1470"/>
    </row>
    <row r="30" spans="1:40" ht="21.75" customHeight="1" x14ac:dyDescent="0.2">
      <c r="B30" s="1457"/>
      <c r="C30" s="1395"/>
      <c r="D30" s="1395"/>
      <c r="E30" s="1395"/>
      <c r="F30" s="1395"/>
      <c r="G30" s="1395"/>
      <c r="H30" s="1395"/>
      <c r="I30" s="1395"/>
      <c r="J30" s="1395"/>
      <c r="K30" s="1395"/>
      <c r="L30" s="1395"/>
      <c r="M30" s="1395"/>
      <c r="N30" s="1395"/>
      <c r="O30" s="1395"/>
      <c r="P30" s="1395"/>
      <c r="Q30" s="1395"/>
      <c r="R30" s="1395"/>
      <c r="S30" s="1395"/>
      <c r="T30" s="1395"/>
      <c r="U30" s="1395"/>
      <c r="V30" s="1395"/>
      <c r="W30" s="1458"/>
    </row>
    <row r="31" spans="1:40" ht="16.149999999999999" customHeight="1" x14ac:dyDescent="0.2">
      <c r="B31" s="1457"/>
      <c r="C31" s="1395"/>
      <c r="D31" s="1395"/>
      <c r="E31" s="1395"/>
      <c r="F31" s="1395"/>
      <c r="G31" s="1395"/>
      <c r="H31" s="1395"/>
      <c r="I31" s="1395"/>
      <c r="J31" s="1395"/>
      <c r="K31" s="1395"/>
      <c r="L31" s="1395"/>
      <c r="M31" s="1395"/>
      <c r="N31" s="1395"/>
      <c r="O31" s="1395"/>
      <c r="P31" s="1395"/>
      <c r="Q31" s="1395"/>
      <c r="R31" s="1395"/>
      <c r="S31" s="1395"/>
      <c r="T31" s="1395"/>
      <c r="U31" s="1395"/>
      <c r="V31" s="1395"/>
      <c r="W31" s="1458"/>
    </row>
    <row r="32" spans="1:40" ht="16.149999999999999" customHeight="1" x14ac:dyDescent="0.2">
      <c r="B32" s="1457"/>
      <c r="C32" s="1395"/>
      <c r="D32" s="1395"/>
      <c r="E32" s="1395"/>
      <c r="F32" s="1395"/>
      <c r="G32" s="1395"/>
      <c r="H32" s="1395"/>
      <c r="I32" s="1395"/>
      <c r="J32" s="1395"/>
      <c r="K32" s="1395"/>
      <c r="L32" s="1395"/>
      <c r="M32" s="1395"/>
      <c r="N32" s="1395"/>
      <c r="O32" s="1395"/>
      <c r="P32" s="1395"/>
      <c r="Q32" s="1395"/>
      <c r="R32" s="1395"/>
      <c r="S32" s="1395"/>
      <c r="T32" s="1395"/>
      <c r="U32" s="1395"/>
      <c r="V32" s="1395"/>
      <c r="W32" s="1458"/>
    </row>
    <row r="33" spans="1:23" ht="16.149999999999999" customHeight="1" x14ac:dyDescent="0.2">
      <c r="B33" s="1457"/>
      <c r="C33" s="1395"/>
      <c r="D33" s="1395"/>
      <c r="E33" s="1395"/>
      <c r="F33" s="1395"/>
      <c r="G33" s="1395"/>
      <c r="H33" s="1395"/>
      <c r="I33" s="1395"/>
      <c r="J33" s="1395"/>
      <c r="K33" s="1395"/>
      <c r="L33" s="1395"/>
      <c r="M33" s="1395"/>
      <c r="N33" s="1395"/>
      <c r="O33" s="1395"/>
      <c r="P33" s="1395"/>
      <c r="Q33" s="1395"/>
      <c r="R33" s="1395"/>
      <c r="S33" s="1395"/>
      <c r="T33" s="1395"/>
      <c r="U33" s="1395"/>
      <c r="V33" s="1395"/>
      <c r="W33" s="1458"/>
    </row>
    <row r="34" spans="1:23" ht="16.149999999999999" customHeight="1" thickBot="1" x14ac:dyDescent="0.25">
      <c r="B34" s="1459"/>
      <c r="C34" s="1460"/>
      <c r="D34" s="1460"/>
      <c r="E34" s="1460"/>
      <c r="F34" s="1460"/>
      <c r="G34" s="1460"/>
      <c r="H34" s="1460"/>
      <c r="I34" s="1460"/>
      <c r="J34" s="1460"/>
      <c r="K34" s="1460"/>
      <c r="L34" s="1460"/>
      <c r="M34" s="1460"/>
      <c r="N34" s="1460"/>
      <c r="O34" s="1460"/>
      <c r="P34" s="1460"/>
      <c r="Q34" s="1460"/>
      <c r="R34" s="1460"/>
      <c r="S34" s="1460"/>
      <c r="T34" s="1460"/>
      <c r="U34" s="1460"/>
      <c r="V34" s="1460"/>
      <c r="W34" s="1461"/>
    </row>
    <row r="36" spans="1:23" ht="22.9" customHeight="1" thickBot="1" x14ac:dyDescent="0.35">
      <c r="D36" s="1474" t="s">
        <v>304</v>
      </c>
      <c r="E36" s="1475"/>
      <c r="F36" s="1475"/>
      <c r="G36" s="1475"/>
      <c r="H36" s="1475"/>
      <c r="I36" s="1475"/>
      <c r="J36" s="1475"/>
      <c r="K36" s="1475"/>
      <c r="L36" s="1475"/>
      <c r="M36" s="1475"/>
      <c r="N36" s="1475"/>
      <c r="O36" s="1475"/>
      <c r="P36" s="1475"/>
      <c r="Q36" s="1475"/>
      <c r="R36" s="1475"/>
      <c r="S36" s="1475"/>
      <c r="T36" s="1475"/>
      <c r="U36" s="1475"/>
      <c r="V36" s="1475"/>
      <c r="W36" s="1475"/>
    </row>
    <row r="37" spans="1:23" ht="16.149999999999999" customHeight="1" x14ac:dyDescent="0.2">
      <c r="B37" s="183"/>
      <c r="D37" s="1471" t="str">
        <f>TabName6</f>
        <v>Phase 6</v>
      </c>
      <c r="E37" s="1472"/>
      <c r="F37" s="1472"/>
      <c r="G37" s="1473"/>
      <c r="H37" s="1471" t="str">
        <f>TabName7</f>
        <v>Phase 7</v>
      </c>
      <c r="I37" s="1472"/>
      <c r="J37" s="1472"/>
      <c r="K37" s="1473"/>
      <c r="L37" s="1471" t="str">
        <f>TabName8</f>
        <v>Phase 8</v>
      </c>
      <c r="M37" s="1472"/>
      <c r="N37" s="1472"/>
      <c r="O37" s="1473"/>
      <c r="P37" s="1471" t="str">
        <f>TabName9</f>
        <v>Phase 9</v>
      </c>
      <c r="Q37" s="1472"/>
      <c r="R37" s="1472"/>
      <c r="S37" s="1473"/>
      <c r="T37" s="1471" t="str">
        <f>tabname10</f>
        <v>Phase 10</v>
      </c>
      <c r="U37" s="1472"/>
      <c r="V37" s="1472"/>
      <c r="W37" s="1473"/>
    </row>
    <row r="38" spans="1:23" ht="16.149999999999999" customHeight="1" x14ac:dyDescent="0.2">
      <c r="B38" s="182"/>
      <c r="D38" s="1463"/>
      <c r="E38" s="1464"/>
      <c r="F38" s="1464"/>
      <c r="G38" s="1465"/>
      <c r="H38" s="1463"/>
      <c r="I38" s="1464"/>
      <c r="J38" s="1464"/>
      <c r="K38" s="1465"/>
      <c r="L38" s="1463"/>
      <c r="M38" s="1464"/>
      <c r="N38" s="1464"/>
      <c r="O38" s="1465"/>
      <c r="P38" s="1463"/>
      <c r="Q38" s="1464"/>
      <c r="R38" s="1464"/>
      <c r="S38" s="1465"/>
      <c r="T38" s="1463"/>
      <c r="U38" s="1464"/>
      <c r="V38" s="1464"/>
      <c r="W38" s="1465"/>
    </row>
    <row r="39" spans="1:23" ht="16.149999999999999" customHeight="1" x14ac:dyDescent="0.2">
      <c r="B39" s="110" t="s">
        <v>90</v>
      </c>
      <c r="D39" s="165" t="s">
        <v>55</v>
      </c>
      <c r="E39" s="167" t="s">
        <v>42</v>
      </c>
      <c r="F39" s="184" t="s">
        <v>53</v>
      </c>
      <c r="G39" s="169" t="s">
        <v>54</v>
      </c>
      <c r="H39" s="165" t="s">
        <v>55</v>
      </c>
      <c r="I39" s="167" t="s">
        <v>42</v>
      </c>
      <c r="J39" s="184" t="s">
        <v>53</v>
      </c>
      <c r="K39" s="169" t="s">
        <v>54</v>
      </c>
      <c r="L39" s="165" t="s">
        <v>55</v>
      </c>
      <c r="M39" s="167" t="s">
        <v>42</v>
      </c>
      <c r="N39" s="184" t="s">
        <v>53</v>
      </c>
      <c r="O39" s="169" t="s">
        <v>54</v>
      </c>
      <c r="P39" s="165" t="s">
        <v>55</v>
      </c>
      <c r="Q39" s="167" t="s">
        <v>42</v>
      </c>
      <c r="R39" s="184" t="s">
        <v>53</v>
      </c>
      <c r="S39" s="169" t="s">
        <v>54</v>
      </c>
      <c r="T39" s="165" t="s">
        <v>55</v>
      </c>
      <c r="U39" s="167" t="s">
        <v>42</v>
      </c>
      <c r="V39" s="184" t="s">
        <v>53</v>
      </c>
      <c r="W39" s="169" t="s">
        <v>54</v>
      </c>
    </row>
    <row r="40" spans="1:23" ht="16.149999999999999" customHeight="1" x14ac:dyDescent="0.2">
      <c r="B40" s="109" t="s">
        <v>73</v>
      </c>
      <c r="D40" s="170"/>
      <c r="E40" s="171"/>
      <c r="F40" s="172"/>
      <c r="G40" s="174"/>
      <c r="H40" s="170"/>
      <c r="I40" s="171"/>
      <c r="J40" s="172"/>
      <c r="K40" s="174"/>
      <c r="L40" s="170"/>
      <c r="M40" s="171"/>
      <c r="N40" s="172"/>
      <c r="O40" s="174"/>
      <c r="P40" s="170"/>
      <c r="Q40" s="171"/>
      <c r="R40" s="172"/>
      <c r="S40" s="174"/>
      <c r="T40" s="170"/>
      <c r="U40" s="171"/>
      <c r="V40" s="172"/>
      <c r="W40" s="174"/>
    </row>
    <row r="41" spans="1:23" ht="16.149999999999999" customHeight="1" x14ac:dyDescent="0.2">
      <c r="A41" s="251" t="s">
        <v>76</v>
      </c>
      <c r="B41" s="206" t="e">
        <f>INDEX(VehicleTable,C41,1)</f>
        <v>#VALUE!</v>
      </c>
      <c r="D41" s="135">
        <v>1</v>
      </c>
      <c r="E41" s="151">
        <f>VLOOKUP($B$11,VehicleTable,D41+3,FALSE)</f>
        <v>70</v>
      </c>
      <c r="F41" s="152">
        <v>1</v>
      </c>
      <c r="G41" s="176">
        <f>IF(F41&gt;0,E41*F41,0)</f>
        <v>70</v>
      </c>
      <c r="H41" s="135">
        <v>1</v>
      </c>
      <c r="I41" s="151">
        <f>VLOOKUP($B$11,VehicleTable,H41+3,FALSE)</f>
        <v>70</v>
      </c>
      <c r="J41" s="152">
        <v>1</v>
      </c>
      <c r="K41" s="176">
        <f>IF(J41&gt;0,I41*J41,0)</f>
        <v>70</v>
      </c>
      <c r="L41" s="135">
        <v>1</v>
      </c>
      <c r="M41" s="151">
        <f>VLOOKUP($B$11,VehicleTable,L41+3,FALSE)</f>
        <v>70</v>
      </c>
      <c r="N41" s="152">
        <v>1</v>
      </c>
      <c r="O41" s="176">
        <f>IF(N41&gt;0,M41*N41,0)</f>
        <v>70</v>
      </c>
      <c r="P41" s="135">
        <v>1</v>
      </c>
      <c r="Q41" s="151">
        <f>VLOOKUP($B$11,VehicleTable,P41+3,FALSE)</f>
        <v>70</v>
      </c>
      <c r="R41" s="152">
        <v>1</v>
      </c>
      <c r="S41" s="176">
        <f>IF(R41&gt;0,Q41*R41,0)</f>
        <v>70</v>
      </c>
      <c r="T41" s="135">
        <v>1</v>
      </c>
      <c r="U41" s="151">
        <f>VLOOKUP($B$11,VehicleTable,T41+3,FALSE)</f>
        <v>70</v>
      </c>
      <c r="V41" s="152">
        <v>1</v>
      </c>
      <c r="W41" s="176">
        <f>IF(V41&gt;0,U41*V41,0)</f>
        <v>70</v>
      </c>
    </row>
    <row r="42" spans="1:23" ht="16.149999999999999" customHeight="1" x14ac:dyDescent="0.2">
      <c r="A42" s="4" t="s">
        <v>76</v>
      </c>
      <c r="B42" s="244" t="s">
        <v>365</v>
      </c>
      <c r="D42" s="495" t="s">
        <v>105</v>
      </c>
      <c r="E42" s="126">
        <v>0.5</v>
      </c>
      <c r="F42" s="153">
        <v>1</v>
      </c>
      <c r="G42" s="176">
        <f>IF(F42&gt;0,E42*F42,0)</f>
        <v>0.5</v>
      </c>
      <c r="H42" s="177" t="s">
        <v>105</v>
      </c>
      <c r="I42" s="126">
        <v>0.5</v>
      </c>
      <c r="J42" s="153">
        <v>1</v>
      </c>
      <c r="K42" s="176">
        <f>IF(J42&gt;0,I42*J42,0)</f>
        <v>0.5</v>
      </c>
      <c r="L42" s="177" t="s">
        <v>105</v>
      </c>
      <c r="M42" s="126">
        <v>44</v>
      </c>
      <c r="N42" s="153">
        <v>1</v>
      </c>
      <c r="O42" s="176">
        <f>IF(N42&gt;0,M42*N42,0)</f>
        <v>44</v>
      </c>
      <c r="P42" s="177" t="s">
        <v>105</v>
      </c>
      <c r="Q42" s="126">
        <v>0.5</v>
      </c>
      <c r="R42" s="153">
        <v>1</v>
      </c>
      <c r="S42" s="176">
        <f>IF(R42&gt;0,Q42*R42,0)</f>
        <v>0.5</v>
      </c>
      <c r="T42" s="177" t="s">
        <v>105</v>
      </c>
      <c r="U42" s="126">
        <v>0.5</v>
      </c>
      <c r="V42" s="153">
        <v>1</v>
      </c>
      <c r="W42" s="176">
        <f>IF(V42&gt;0,U42*V42,0)</f>
        <v>0.5</v>
      </c>
    </row>
    <row r="43" spans="1:23" ht="16.149999999999999" customHeight="1" x14ac:dyDescent="0.2">
      <c r="A43" s="4" t="s">
        <v>76</v>
      </c>
      <c r="B43" s="111" t="s">
        <v>106</v>
      </c>
      <c r="D43" s="495" t="s">
        <v>105</v>
      </c>
      <c r="E43" s="836">
        <v>0.65500000000000003</v>
      </c>
      <c r="F43" s="153">
        <v>1</v>
      </c>
      <c r="G43" s="176">
        <f>IF(F43&gt;0,E43*F43,0)</f>
        <v>0.65500000000000003</v>
      </c>
      <c r="H43" s="177" t="s">
        <v>105</v>
      </c>
      <c r="I43" s="836">
        <v>0.65500000000000003</v>
      </c>
      <c r="J43" s="153">
        <v>1</v>
      </c>
      <c r="K43" s="176">
        <f>IF(J43&gt;0,I43*J43,0)</f>
        <v>0.65500000000000003</v>
      </c>
      <c r="L43" s="177" t="s">
        <v>105</v>
      </c>
      <c r="M43" s="836">
        <v>0.65500000000000003</v>
      </c>
      <c r="N43" s="153">
        <v>1</v>
      </c>
      <c r="O43" s="176">
        <f>IF(N43&gt;0,M43*N43,0)</f>
        <v>0.65500000000000003</v>
      </c>
      <c r="P43" s="177" t="s">
        <v>105</v>
      </c>
      <c r="Q43" s="836">
        <v>0.65500000000000003</v>
      </c>
      <c r="R43" s="153">
        <v>1</v>
      </c>
      <c r="S43" s="176">
        <f>IF(R43&gt;0,Q43*R43,0)</f>
        <v>0.65500000000000003</v>
      </c>
      <c r="T43" s="177" t="s">
        <v>105</v>
      </c>
      <c r="U43" s="836">
        <v>0.65500000000000003</v>
      </c>
      <c r="V43" s="153">
        <v>1</v>
      </c>
      <c r="W43" s="176">
        <f>IF(V43&gt;0,U43*V43,0)</f>
        <v>0.65500000000000003</v>
      </c>
    </row>
    <row r="44" spans="1:23" ht="16.149999999999999" customHeight="1" x14ac:dyDescent="0.2">
      <c r="A44" s="4" t="s">
        <v>76</v>
      </c>
      <c r="B44" s="111" t="s">
        <v>324</v>
      </c>
      <c r="D44" s="495" t="s">
        <v>325</v>
      </c>
      <c r="E44" s="126">
        <v>4.25</v>
      </c>
      <c r="F44" s="153">
        <v>1</v>
      </c>
      <c r="G44" s="175">
        <f>IF(F44&gt;0,E44*F44,0)</f>
        <v>4.25</v>
      </c>
      <c r="H44" s="180" t="s">
        <v>325</v>
      </c>
      <c r="I44" s="126">
        <v>4.25</v>
      </c>
      <c r="J44" s="153">
        <v>1</v>
      </c>
      <c r="K44" s="175">
        <f>IF(J44&gt;0,I44*J44,0)</f>
        <v>4.25</v>
      </c>
      <c r="L44" s="180" t="s">
        <v>325</v>
      </c>
      <c r="M44" s="126">
        <v>4.25</v>
      </c>
      <c r="N44" s="153">
        <v>1</v>
      </c>
      <c r="O44" s="175">
        <f>IF(N44&gt;0,M44*N44,0)</f>
        <v>4.25</v>
      </c>
      <c r="P44" s="180" t="s">
        <v>325</v>
      </c>
      <c r="Q44" s="126">
        <v>4.25</v>
      </c>
      <c r="R44" s="153">
        <v>1</v>
      </c>
      <c r="S44" s="175">
        <f>IF(R44&gt;0,Q44*R44,0)</f>
        <v>4.25</v>
      </c>
      <c r="T44" s="180" t="s">
        <v>325</v>
      </c>
      <c r="U44" s="126">
        <v>4.25</v>
      </c>
      <c r="V44" s="153">
        <v>1</v>
      </c>
      <c r="W44" s="175">
        <f>IF(V44&gt;0,U44*V44,0)</f>
        <v>4.25</v>
      </c>
    </row>
    <row r="45" spans="1:23" ht="16.149999999999999" customHeight="1" x14ac:dyDescent="0.2">
      <c r="B45" s="120" t="s">
        <v>730</v>
      </c>
      <c r="D45" s="1466" t="s">
        <v>96</v>
      </c>
      <c r="E45" s="1467"/>
      <c r="F45" s="1467"/>
      <c r="G45" s="1468"/>
      <c r="H45" s="1466" t="s">
        <v>96</v>
      </c>
      <c r="I45" s="1467"/>
      <c r="J45" s="1467"/>
      <c r="K45" s="1468"/>
      <c r="L45" s="1466" t="s">
        <v>96</v>
      </c>
      <c r="M45" s="1467"/>
      <c r="N45" s="1467"/>
      <c r="O45" s="1468"/>
      <c r="P45" s="1466" t="s">
        <v>96</v>
      </c>
      <c r="Q45" s="1467"/>
      <c r="R45" s="1467"/>
      <c r="S45" s="1468"/>
      <c r="T45" s="1466" t="s">
        <v>96</v>
      </c>
      <c r="U45" s="1467"/>
      <c r="V45" s="1467"/>
      <c r="W45" s="1468"/>
    </row>
    <row r="46" spans="1:23" ht="16.149999999999999" customHeight="1" x14ac:dyDescent="0.2">
      <c r="A46" s="4" t="s">
        <v>25</v>
      </c>
      <c r="B46" s="111" t="s">
        <v>91</v>
      </c>
      <c r="D46" s="135">
        <v>1</v>
      </c>
      <c r="E46" s="126">
        <v>150</v>
      </c>
      <c r="F46" s="153">
        <v>1</v>
      </c>
      <c r="G46" s="176">
        <f>IF(F46&gt;0,E46*F46,0)</f>
        <v>150</v>
      </c>
      <c r="H46" s="135">
        <v>1</v>
      </c>
      <c r="I46" s="126">
        <v>150</v>
      </c>
      <c r="J46" s="153">
        <v>1</v>
      </c>
      <c r="K46" s="176">
        <f>IF(J46&gt;0,I46*J46,0)</f>
        <v>150</v>
      </c>
      <c r="L46" s="135">
        <v>1</v>
      </c>
      <c r="M46" s="126">
        <v>150</v>
      </c>
      <c r="N46" s="153">
        <v>1</v>
      </c>
      <c r="O46" s="176">
        <f>IF(N46&gt;0,M46*N46,0)</f>
        <v>150</v>
      </c>
      <c r="P46" s="135">
        <v>1</v>
      </c>
      <c r="Q46" s="126">
        <v>150</v>
      </c>
      <c r="R46" s="153">
        <v>1</v>
      </c>
      <c r="S46" s="176">
        <f>IF(R46&gt;0,Q46*R46,0)</f>
        <v>150</v>
      </c>
      <c r="T46" s="135">
        <v>1</v>
      </c>
      <c r="U46" s="126">
        <v>150</v>
      </c>
      <c r="V46" s="153">
        <v>1</v>
      </c>
      <c r="W46" s="176">
        <f>IF(V46&gt;0,U46*V46,0)</f>
        <v>150</v>
      </c>
    </row>
    <row r="47" spans="1:23" ht="16.149999999999999" customHeight="1" x14ac:dyDescent="0.2">
      <c r="A47" s="4" t="s">
        <v>48</v>
      </c>
      <c r="B47" s="111" t="s">
        <v>92</v>
      </c>
      <c r="D47" s="135">
        <v>1</v>
      </c>
      <c r="E47" s="126">
        <v>45</v>
      </c>
      <c r="F47" s="153">
        <v>1</v>
      </c>
      <c r="G47" s="176">
        <f>IF(F47&gt;0,E47*F47,0)</f>
        <v>45</v>
      </c>
      <c r="H47" s="135">
        <v>1</v>
      </c>
      <c r="I47" s="126">
        <v>45</v>
      </c>
      <c r="J47" s="153">
        <v>1</v>
      </c>
      <c r="K47" s="176">
        <f>IF(J47&gt;0,I47*J47,0)</f>
        <v>45</v>
      </c>
      <c r="L47" s="135">
        <v>1</v>
      </c>
      <c r="M47" s="126">
        <v>45</v>
      </c>
      <c r="N47" s="153">
        <v>1</v>
      </c>
      <c r="O47" s="176">
        <f>IF(N47&gt;0,M47*N47,0)</f>
        <v>45</v>
      </c>
      <c r="P47" s="135">
        <v>1</v>
      </c>
      <c r="Q47" s="126">
        <v>45</v>
      </c>
      <c r="R47" s="153">
        <v>1</v>
      </c>
      <c r="S47" s="176">
        <f>IF(R47&gt;0,Q47*R47,0)</f>
        <v>45</v>
      </c>
      <c r="T47" s="135">
        <v>1</v>
      </c>
      <c r="U47" s="126">
        <v>45</v>
      </c>
      <c r="V47" s="153">
        <v>1</v>
      </c>
      <c r="W47" s="176">
        <f>IF(V47&gt;0,U47*V47,0)</f>
        <v>45</v>
      </c>
    </row>
    <row r="48" spans="1:23" ht="16.149999999999999" customHeight="1" x14ac:dyDescent="0.2">
      <c r="A48" s="4" t="s">
        <v>24</v>
      </c>
      <c r="B48" s="111" t="s">
        <v>93</v>
      </c>
      <c r="D48" s="177" t="s">
        <v>95</v>
      </c>
      <c r="E48" s="126">
        <v>300</v>
      </c>
      <c r="F48" s="153">
        <v>1</v>
      </c>
      <c r="G48" s="176">
        <f>IF(F48&gt;0,E48*F48,0)</f>
        <v>300</v>
      </c>
      <c r="H48" s="177" t="s">
        <v>95</v>
      </c>
      <c r="I48" s="126">
        <v>300</v>
      </c>
      <c r="J48" s="153">
        <v>1</v>
      </c>
      <c r="K48" s="176">
        <f>IF(J48&gt;0,I48*J48,0)</f>
        <v>300</v>
      </c>
      <c r="L48" s="177" t="s">
        <v>95</v>
      </c>
      <c r="M48" s="126">
        <v>300</v>
      </c>
      <c r="N48" s="153">
        <v>1</v>
      </c>
      <c r="O48" s="176">
        <f>IF(N48&gt;0,M48*N48,0)</f>
        <v>300</v>
      </c>
      <c r="P48" s="177" t="s">
        <v>95</v>
      </c>
      <c r="Q48" s="126">
        <v>300</v>
      </c>
      <c r="R48" s="153">
        <v>1</v>
      </c>
      <c r="S48" s="176">
        <f>IF(R48&gt;0,Q48*R48,0)</f>
        <v>300</v>
      </c>
      <c r="T48" s="177" t="s">
        <v>95</v>
      </c>
      <c r="U48" s="126">
        <v>300</v>
      </c>
      <c r="V48" s="153">
        <v>1</v>
      </c>
      <c r="W48" s="176">
        <f>IF(V48&gt;0,U48*V48,0)</f>
        <v>300</v>
      </c>
    </row>
    <row r="49" spans="1:23" ht="16.149999999999999" customHeight="1" x14ac:dyDescent="0.2">
      <c r="A49" s="4" t="s">
        <v>77</v>
      </c>
      <c r="B49" s="206" t="e">
        <f>INDEX(RentalTable,C49,1)</f>
        <v>#VALUE!</v>
      </c>
      <c r="D49" s="135">
        <v>1</v>
      </c>
      <c r="E49" s="151">
        <f>VLOOKUP($B19,RentalTable,$D49+3,FALSE)</f>
        <v>70</v>
      </c>
      <c r="F49" s="153">
        <v>1</v>
      </c>
      <c r="G49" s="176">
        <f>IF(F49&gt;0,E49*F49,0)</f>
        <v>70</v>
      </c>
      <c r="H49" s="135">
        <v>1</v>
      </c>
      <c r="I49" s="151">
        <f>VLOOKUP($B19,RentalTable,$H49+3,FALSE)</f>
        <v>70</v>
      </c>
      <c r="J49" s="153">
        <v>1</v>
      </c>
      <c r="K49" s="176">
        <f>IF(J49&gt;0,I49*J49,0)</f>
        <v>70</v>
      </c>
      <c r="L49" s="135">
        <v>1</v>
      </c>
      <c r="M49" s="151">
        <f>VLOOKUP($B19,RentalTable,$L49+3,FALSE)</f>
        <v>70</v>
      </c>
      <c r="N49" s="153">
        <v>1</v>
      </c>
      <c r="O49" s="176">
        <f>IF(N49&gt;0,M49*N49,0)</f>
        <v>70</v>
      </c>
      <c r="P49" s="135">
        <v>1</v>
      </c>
      <c r="Q49" s="151">
        <f>VLOOKUP($B19,RentalTable,$P49+3,FALSE)</f>
        <v>70</v>
      </c>
      <c r="R49" s="153">
        <v>1</v>
      </c>
      <c r="S49" s="176">
        <f>IF(R49&gt;0,Q49*R49,0)</f>
        <v>70</v>
      </c>
      <c r="T49" s="135">
        <v>1</v>
      </c>
      <c r="U49" s="151">
        <f>VLOOKUP($B19,RentalTable,$T49+3,FALSE)</f>
        <v>70</v>
      </c>
      <c r="V49" s="153">
        <v>1</v>
      </c>
      <c r="W49" s="176">
        <f>IF(V49&gt;0,U49*V49,0)</f>
        <v>70</v>
      </c>
    </row>
    <row r="50" spans="1:23" ht="16.149999999999999" customHeight="1" thickBot="1" x14ac:dyDescent="0.25">
      <c r="A50" s="4" t="s">
        <v>25</v>
      </c>
      <c r="B50" s="204" t="s">
        <v>350</v>
      </c>
      <c r="D50" s="212"/>
      <c r="E50" s="213"/>
      <c r="F50" s="211"/>
      <c r="G50" s="179">
        <f>IF(F50&gt;0,E50*F50,0)</f>
        <v>0</v>
      </c>
      <c r="H50" s="212"/>
      <c r="I50" s="213"/>
      <c r="J50" s="211"/>
      <c r="K50" s="179">
        <f>IF(J50&gt;0,I50*J50,0)</f>
        <v>0</v>
      </c>
      <c r="L50" s="212"/>
      <c r="M50" s="213"/>
      <c r="N50" s="211"/>
      <c r="O50" s="179">
        <f>IF(N50&gt;0,M50*N50,0)</f>
        <v>0</v>
      </c>
      <c r="P50" s="212"/>
      <c r="Q50" s="213"/>
      <c r="R50" s="211"/>
      <c r="S50" s="179">
        <f>IF(R50&gt;0,Q50*R50,0)</f>
        <v>0</v>
      </c>
      <c r="T50" s="212"/>
      <c r="U50" s="213"/>
      <c r="V50" s="211"/>
      <c r="W50" s="179">
        <f>IF(V50&gt;0,U50*V50,0)</f>
        <v>0</v>
      </c>
    </row>
    <row r="51" spans="1:23" ht="16.149999999999999" customHeight="1" x14ac:dyDescent="0.2">
      <c r="D51" s="3"/>
      <c r="E51" s="4"/>
      <c r="F51" s="4"/>
      <c r="I51" s="4"/>
    </row>
    <row r="52" spans="1:23" ht="22.5" customHeight="1" x14ac:dyDescent="0.2">
      <c r="D52" s="45" t="s">
        <v>19</v>
      </c>
      <c r="E52" s="4"/>
      <c r="F52" s="4"/>
      <c r="H52" s="249" t="s">
        <v>620</v>
      </c>
      <c r="I52" s="4"/>
      <c r="L52" s="249" t="s">
        <v>619</v>
      </c>
      <c r="P52" s="249" t="s">
        <v>618</v>
      </c>
      <c r="T52" s="249" t="s">
        <v>617</v>
      </c>
    </row>
    <row r="53" spans="1:23" ht="15" customHeight="1" x14ac:dyDescent="0.2">
      <c r="B53" s="112" t="s">
        <v>77</v>
      </c>
      <c r="D53" s="1462" t="s">
        <v>74</v>
      </c>
      <c r="E53" s="1462"/>
      <c r="F53" s="1462"/>
      <c r="G53" s="181">
        <f>SUMIF($A$41:$A$50,"RV",G$41:G$50)</f>
        <v>70</v>
      </c>
      <c r="H53" s="1462" t="s">
        <v>74</v>
      </c>
      <c r="I53" s="1462"/>
      <c r="J53" s="1462"/>
      <c r="K53" s="181">
        <f>SUMIF($A$41:$A$50,"RV",K$41:K$50)</f>
        <v>70</v>
      </c>
      <c r="L53" s="1462" t="s">
        <v>74</v>
      </c>
      <c r="M53" s="1462"/>
      <c r="N53" s="1462"/>
      <c r="O53" s="181">
        <f>SUMIF($A$41:$A$50,"RV",O$41:O$50)</f>
        <v>70</v>
      </c>
      <c r="P53" s="1462" t="s">
        <v>74</v>
      </c>
      <c r="Q53" s="1462"/>
      <c r="R53" s="1462"/>
      <c r="S53" s="181">
        <f>SUMIF($A$41:$A$50,"RV",S$41:S$50)</f>
        <v>70</v>
      </c>
      <c r="T53" s="1462" t="s">
        <v>74</v>
      </c>
      <c r="U53" s="1462"/>
      <c r="V53" s="1462"/>
      <c r="W53" s="181">
        <f>SUMIF($A$41:$A$50,"RV",W$41:W$50)</f>
        <v>70</v>
      </c>
    </row>
    <row r="54" spans="1:23" ht="14.25" customHeight="1" x14ac:dyDescent="0.2">
      <c r="B54" s="112" t="s">
        <v>76</v>
      </c>
      <c r="D54" s="1462" t="s">
        <v>75</v>
      </c>
      <c r="E54" s="1462"/>
      <c r="F54" s="1462"/>
      <c r="G54" s="181">
        <f>SUMIF($A$41:$A$50,"OV",G$41:G$50)</f>
        <v>75.405000000000001</v>
      </c>
      <c r="H54" s="1462" t="s">
        <v>75</v>
      </c>
      <c r="I54" s="1462"/>
      <c r="J54" s="1462"/>
      <c r="K54" s="181">
        <f>SUMIF($A$41:$A$50,"OV",K$41:K$50)</f>
        <v>75.405000000000001</v>
      </c>
      <c r="L54" s="1462" t="s">
        <v>75</v>
      </c>
      <c r="M54" s="1462"/>
      <c r="N54" s="1462"/>
      <c r="O54" s="181">
        <f>SUMIF($A$41:$A$50,"OV",O$41:O$50)</f>
        <v>118.905</v>
      </c>
      <c r="P54" s="1462" t="s">
        <v>75</v>
      </c>
      <c r="Q54" s="1462"/>
      <c r="R54" s="1462"/>
      <c r="S54" s="181">
        <f>SUMIF($A$41:$A$50,"OV",S$41:S$50)</f>
        <v>75.405000000000001</v>
      </c>
      <c r="T54" s="1462" t="s">
        <v>75</v>
      </c>
      <c r="U54" s="1462"/>
      <c r="V54" s="1462"/>
      <c r="W54" s="181">
        <f>SUMIF($A$41:$A$50,"OV",W$41:W$50)</f>
        <v>75.405000000000001</v>
      </c>
    </row>
    <row r="55" spans="1:23" ht="20.25" customHeight="1" x14ac:dyDescent="0.2">
      <c r="B55" s="112" t="s">
        <v>48</v>
      </c>
      <c r="D55" s="3"/>
      <c r="E55" s="4"/>
      <c r="F55" s="112" t="s">
        <v>94</v>
      </c>
      <c r="G55" s="181">
        <f>SUMIF($A$41:$A$50,"M",G$41:G$50)</f>
        <v>45</v>
      </c>
      <c r="I55" s="4"/>
      <c r="J55" s="112" t="s">
        <v>94</v>
      </c>
      <c r="K55" s="181">
        <f>SUMIF($A$41:$A$50,"M",K$41:K$50)</f>
        <v>45</v>
      </c>
      <c r="N55" s="112" t="s">
        <v>94</v>
      </c>
      <c r="O55" s="181">
        <f>SUMIF($A$41:$A$50,"M",O$41:O$50)</f>
        <v>45</v>
      </c>
      <c r="R55" s="112" t="s">
        <v>94</v>
      </c>
      <c r="S55" s="181">
        <f>SUMIF($A$41:$A$50,"M",S$41:S$50)</f>
        <v>45</v>
      </c>
      <c r="V55" s="112" t="s">
        <v>94</v>
      </c>
      <c r="W55" s="181">
        <f>SUMIF($A$41:$A$50,"M",W$41:W$50)</f>
        <v>45</v>
      </c>
    </row>
    <row r="56" spans="1:23" ht="14.25" customHeight="1" x14ac:dyDescent="0.2">
      <c r="B56" s="112" t="s">
        <v>25</v>
      </c>
      <c r="D56" s="3"/>
      <c r="E56" s="4"/>
      <c r="F56" s="112" t="s">
        <v>97</v>
      </c>
      <c r="G56" s="181">
        <f>SUMIF($A$41:$A$50,"L",G$41:G$50)</f>
        <v>150</v>
      </c>
      <c r="I56" s="4"/>
      <c r="J56" s="112" t="s">
        <v>97</v>
      </c>
      <c r="K56" s="181">
        <f>SUMIF($A$41:$A$50,"L",K$41:K$50)</f>
        <v>150</v>
      </c>
      <c r="N56" s="112" t="s">
        <v>97</v>
      </c>
      <c r="O56" s="181">
        <f>SUMIF($A$41:$A$50,"L",O$41:O$50)</f>
        <v>150</v>
      </c>
      <c r="R56" s="112" t="s">
        <v>97</v>
      </c>
      <c r="S56" s="181">
        <f>SUMIF($A$41:$A$50,"L",S$41:S$50)</f>
        <v>150</v>
      </c>
      <c r="V56" s="112" t="s">
        <v>97</v>
      </c>
      <c r="W56" s="181">
        <f>SUMIF($A$41:$A$50,"L",W$41:W$50)</f>
        <v>150</v>
      </c>
    </row>
    <row r="57" spans="1:23" ht="18" customHeight="1" x14ac:dyDescent="0.2">
      <c r="B57" s="112" t="s">
        <v>24</v>
      </c>
      <c r="D57" s="3"/>
      <c r="E57" s="4"/>
      <c r="F57" s="112" t="s">
        <v>98</v>
      </c>
      <c r="G57" s="181">
        <f>SUMIF($A$41:$A$50,"A",G$41:G$50)</f>
        <v>300</v>
      </c>
      <c r="I57" s="4"/>
      <c r="J57" s="112" t="s">
        <v>98</v>
      </c>
      <c r="K57" s="181">
        <f>SUMIF($A$41:$A$50,"A",K$41:K$50)</f>
        <v>300</v>
      </c>
      <c r="N57" s="112" t="s">
        <v>98</v>
      </c>
      <c r="O57" s="181">
        <f>SUMIF($A$41:$A$50,"A",O$41:O$50)</f>
        <v>300</v>
      </c>
      <c r="R57" s="112" t="s">
        <v>98</v>
      </c>
      <c r="S57" s="181">
        <f>SUMIF($A$41:$A$50,"A",S$41:S$50)</f>
        <v>300</v>
      </c>
      <c r="V57" s="112" t="s">
        <v>98</v>
      </c>
      <c r="W57" s="181">
        <f>SUMIF($A$41:$A$50,"A",W$41:W$50)</f>
        <v>300</v>
      </c>
    </row>
    <row r="58" spans="1:23" ht="26.25" customHeight="1" x14ac:dyDescent="0.2"/>
    <row r="59" spans="1:23" ht="16.149999999999999" customHeight="1" thickBot="1" x14ac:dyDescent="0.25"/>
    <row r="60" spans="1:23" ht="16.149999999999999" customHeight="1" x14ac:dyDescent="0.2">
      <c r="B60" s="634" t="s">
        <v>752</v>
      </c>
      <c r="C60" s="539"/>
      <c r="D60" s="1469"/>
      <c r="E60" s="1469"/>
      <c r="F60" s="1469"/>
      <c r="G60" s="1469"/>
      <c r="H60" s="1469"/>
      <c r="I60" s="1469"/>
      <c r="J60" s="1469"/>
      <c r="K60" s="1469"/>
      <c r="L60" s="1469"/>
      <c r="M60" s="1469"/>
      <c r="N60" s="1469"/>
      <c r="O60" s="1469"/>
      <c r="P60" s="1469"/>
      <c r="Q60" s="1469"/>
      <c r="R60" s="1469"/>
      <c r="S60" s="1469"/>
      <c r="T60" s="1469"/>
      <c r="U60" s="1469"/>
      <c r="V60" s="1469"/>
      <c r="W60" s="1470"/>
    </row>
    <row r="61" spans="1:23" ht="16.149999999999999" customHeight="1" x14ac:dyDescent="0.2">
      <c r="B61" s="1457"/>
      <c r="C61" s="1395"/>
      <c r="D61" s="1395"/>
      <c r="E61" s="1395"/>
      <c r="F61" s="1395"/>
      <c r="G61" s="1395"/>
      <c r="H61" s="1395"/>
      <c r="I61" s="1395"/>
      <c r="J61" s="1395"/>
      <c r="K61" s="1395"/>
      <c r="L61" s="1395"/>
      <c r="M61" s="1395"/>
      <c r="N61" s="1395"/>
      <c r="O61" s="1395"/>
      <c r="P61" s="1395"/>
      <c r="Q61" s="1395"/>
      <c r="R61" s="1395"/>
      <c r="S61" s="1395"/>
      <c r="T61" s="1395"/>
      <c r="U61" s="1395"/>
      <c r="V61" s="1395"/>
      <c r="W61" s="1458"/>
    </row>
    <row r="62" spans="1:23" ht="16.149999999999999" customHeight="1" x14ac:dyDescent="0.2">
      <c r="B62" s="1457"/>
      <c r="C62" s="1395"/>
      <c r="D62" s="1395"/>
      <c r="E62" s="1395"/>
      <c r="F62" s="1395"/>
      <c r="G62" s="1395"/>
      <c r="H62" s="1395"/>
      <c r="I62" s="1395"/>
      <c r="J62" s="1395"/>
      <c r="K62" s="1395"/>
      <c r="L62" s="1395"/>
      <c r="M62" s="1395"/>
      <c r="N62" s="1395"/>
      <c r="O62" s="1395"/>
      <c r="P62" s="1395"/>
      <c r="Q62" s="1395"/>
      <c r="R62" s="1395"/>
      <c r="S62" s="1395"/>
      <c r="T62" s="1395"/>
      <c r="U62" s="1395"/>
      <c r="V62" s="1395"/>
      <c r="W62" s="1458"/>
    </row>
    <row r="63" spans="1:23" ht="16.149999999999999" customHeight="1" x14ac:dyDescent="0.2">
      <c r="B63" s="1457"/>
      <c r="C63" s="1395"/>
      <c r="D63" s="1395"/>
      <c r="E63" s="1395"/>
      <c r="F63" s="1395"/>
      <c r="G63" s="1395"/>
      <c r="H63" s="1395"/>
      <c r="I63" s="1395"/>
      <c r="J63" s="1395"/>
      <c r="K63" s="1395"/>
      <c r="L63" s="1395"/>
      <c r="M63" s="1395"/>
      <c r="N63" s="1395"/>
      <c r="O63" s="1395"/>
      <c r="P63" s="1395"/>
      <c r="Q63" s="1395"/>
      <c r="R63" s="1395"/>
      <c r="S63" s="1395"/>
      <c r="T63" s="1395"/>
      <c r="U63" s="1395"/>
      <c r="V63" s="1395"/>
      <c r="W63" s="1458"/>
    </row>
    <row r="64" spans="1:23" ht="16.149999999999999" customHeight="1" x14ac:dyDescent="0.2">
      <c r="B64" s="1457"/>
      <c r="C64" s="1395"/>
      <c r="D64" s="1395"/>
      <c r="E64" s="1395"/>
      <c r="F64" s="1395"/>
      <c r="G64" s="1395"/>
      <c r="H64" s="1395"/>
      <c r="I64" s="1395"/>
      <c r="J64" s="1395"/>
      <c r="K64" s="1395"/>
      <c r="L64" s="1395"/>
      <c r="M64" s="1395"/>
      <c r="N64" s="1395"/>
      <c r="O64" s="1395"/>
      <c r="P64" s="1395"/>
      <c r="Q64" s="1395"/>
      <c r="R64" s="1395"/>
      <c r="S64" s="1395"/>
      <c r="T64" s="1395"/>
      <c r="U64" s="1395"/>
      <c r="V64" s="1395"/>
      <c r="W64" s="1458"/>
    </row>
    <row r="65" spans="1:23" ht="2.25" customHeight="1" thickBot="1" x14ac:dyDescent="0.25">
      <c r="B65" s="1459"/>
      <c r="C65" s="1460"/>
      <c r="D65" s="1460"/>
      <c r="E65" s="1460"/>
      <c r="F65" s="1460"/>
      <c r="G65" s="1460"/>
      <c r="H65" s="1460"/>
      <c r="I65" s="1460"/>
      <c r="J65" s="1460"/>
      <c r="K65" s="1460"/>
      <c r="L65" s="1460"/>
      <c r="M65" s="1460"/>
      <c r="N65" s="1460"/>
      <c r="O65" s="1460"/>
      <c r="P65" s="1460"/>
      <c r="Q65" s="1460"/>
      <c r="R65" s="1460"/>
      <c r="S65" s="1460"/>
      <c r="T65" s="1460"/>
      <c r="U65" s="1460"/>
      <c r="V65" s="1460"/>
      <c r="W65" s="1461"/>
    </row>
    <row r="66" spans="1:23" ht="29.25" customHeight="1" thickBot="1" x14ac:dyDescent="0.45">
      <c r="M66" s="1012" t="s">
        <v>304</v>
      </c>
    </row>
    <row r="67" spans="1:23" ht="16.149999999999999" customHeight="1" x14ac:dyDescent="0.2">
      <c r="B67" s="183"/>
      <c r="C67" s="189"/>
      <c r="D67" s="1471" t="str">
        <f>TabName11</f>
        <v>Phase 11</v>
      </c>
      <c r="E67" s="1482"/>
      <c r="F67" s="1482"/>
      <c r="G67" s="1483"/>
      <c r="H67" s="1471" t="str" cm="1">
        <f t="array" ref="H67">TabName12</f>
        <v>Phase 12</v>
      </c>
      <c r="I67" s="1472"/>
      <c r="J67" s="1472"/>
      <c r="K67" s="1478"/>
      <c r="L67" s="1471" t="str">
        <f>TabName13</f>
        <v>Phase 13</v>
      </c>
      <c r="M67" s="1472"/>
      <c r="N67" s="1472"/>
      <c r="O67" s="1478"/>
      <c r="P67" s="1471" t="str">
        <f>TabName14</f>
        <v>Phase 14</v>
      </c>
      <c r="Q67" s="1472"/>
      <c r="R67" s="1472"/>
      <c r="S67" s="1478"/>
      <c r="T67" s="1471" t="str">
        <f>TabName15</f>
        <v>Phase 15</v>
      </c>
      <c r="U67" s="1472"/>
      <c r="V67" s="1472"/>
      <c r="W67" s="1478"/>
    </row>
    <row r="68" spans="1:23" ht="16.149999999999999" customHeight="1" x14ac:dyDescent="0.2">
      <c r="B68" s="182"/>
      <c r="C68" s="190"/>
      <c r="D68" s="1463"/>
      <c r="E68" s="1245"/>
      <c r="F68" s="1245"/>
      <c r="G68" s="1480"/>
      <c r="H68" s="1463"/>
      <c r="I68" s="1464"/>
      <c r="J68" s="1464"/>
      <c r="K68" s="1479"/>
      <c r="L68" s="1463"/>
      <c r="M68" s="1464"/>
      <c r="N68" s="1464"/>
      <c r="O68" s="1479"/>
      <c r="P68" s="1463"/>
      <c r="Q68" s="1464"/>
      <c r="R68" s="1464"/>
      <c r="S68" s="1479"/>
      <c r="T68" s="1463"/>
      <c r="U68" s="1464"/>
      <c r="V68" s="1464"/>
      <c r="W68" s="1479"/>
    </row>
    <row r="69" spans="1:23" ht="16.149999999999999" customHeight="1" x14ac:dyDescent="0.2">
      <c r="B69" s="110" t="s">
        <v>90</v>
      </c>
      <c r="C69" s="191"/>
      <c r="D69" s="166" t="s">
        <v>55</v>
      </c>
      <c r="E69" s="167" t="s">
        <v>42</v>
      </c>
      <c r="F69" s="184" t="s">
        <v>53</v>
      </c>
      <c r="G69" s="168" t="s">
        <v>54</v>
      </c>
      <c r="H69" s="165" t="s">
        <v>55</v>
      </c>
      <c r="I69" s="167" t="s">
        <v>42</v>
      </c>
      <c r="J69" s="184" t="s">
        <v>53</v>
      </c>
      <c r="K69" s="168" t="s">
        <v>54</v>
      </c>
      <c r="L69" s="165" t="s">
        <v>55</v>
      </c>
      <c r="M69" s="167" t="s">
        <v>42</v>
      </c>
      <c r="N69" s="184" t="s">
        <v>53</v>
      </c>
      <c r="O69" s="168" t="s">
        <v>54</v>
      </c>
      <c r="P69" s="165" t="s">
        <v>55</v>
      </c>
      <c r="Q69" s="167" t="s">
        <v>42</v>
      </c>
      <c r="R69" s="184" t="s">
        <v>53</v>
      </c>
      <c r="S69" s="168" t="s">
        <v>54</v>
      </c>
      <c r="T69" s="165" t="s">
        <v>55</v>
      </c>
      <c r="U69" s="167" t="s">
        <v>42</v>
      </c>
      <c r="V69" s="184" t="s">
        <v>53</v>
      </c>
      <c r="W69" s="168" t="s">
        <v>54</v>
      </c>
    </row>
    <row r="70" spans="1:23" ht="16.149999999999999" customHeight="1" x14ac:dyDescent="0.2">
      <c r="B70" s="109" t="s">
        <v>73</v>
      </c>
      <c r="C70" s="192"/>
      <c r="D70" s="170"/>
      <c r="E70" s="171"/>
      <c r="F70" s="172"/>
      <c r="G70" s="173"/>
      <c r="H70" s="170"/>
      <c r="I70" s="171"/>
      <c r="J70" s="172"/>
      <c r="K70" s="173"/>
      <c r="L70" s="170"/>
      <c r="M70" s="171"/>
      <c r="N70" s="172"/>
      <c r="O70" s="173"/>
      <c r="P70" s="170"/>
      <c r="Q70" s="171"/>
      <c r="R70" s="172"/>
      <c r="S70" s="173"/>
      <c r="T70" s="170"/>
      <c r="U70" s="171"/>
      <c r="V70" s="172"/>
      <c r="W70" s="173"/>
    </row>
    <row r="71" spans="1:23" ht="16.149999999999999" customHeight="1" x14ac:dyDescent="0.2">
      <c r="A71" s="251" t="s">
        <v>76</v>
      </c>
      <c r="B71" s="206" t="str">
        <f>INDEX(VehicleTable,C71,1)</f>
        <v>Fleet SUV/Truck</v>
      </c>
      <c r="C71" s="163">
        <v>1</v>
      </c>
      <c r="D71" s="135">
        <v>1</v>
      </c>
      <c r="E71" s="151">
        <f>VLOOKUP($B$11,VehicleTable,D71+3,FALSE)</f>
        <v>70</v>
      </c>
      <c r="F71" s="152">
        <v>1</v>
      </c>
      <c r="G71" s="175">
        <f>IF(F71&gt;0,E71*F71,0)</f>
        <v>70</v>
      </c>
      <c r="H71" s="135">
        <v>1</v>
      </c>
      <c r="I71" s="151">
        <f>VLOOKUP($B$11,VehicleTable,H71+3,FALSE)</f>
        <v>70</v>
      </c>
      <c r="J71" s="154">
        <v>1</v>
      </c>
      <c r="K71" s="175">
        <f>IF(J71&gt;0,I71*J71,0)</f>
        <v>70</v>
      </c>
      <c r="L71" s="135">
        <v>1</v>
      </c>
      <c r="M71" s="151">
        <f>VLOOKUP($B$11,VehicleTable,L71+3,FALSE)</f>
        <v>70</v>
      </c>
      <c r="N71" s="154">
        <v>1</v>
      </c>
      <c r="O71" s="175">
        <f>IF(N71&gt;0,M71*N71,0)</f>
        <v>70</v>
      </c>
      <c r="P71" s="135">
        <v>1</v>
      </c>
      <c r="Q71" s="151">
        <f>VLOOKUP($B$11,VehicleTable,P71+3,FALSE)</f>
        <v>70</v>
      </c>
      <c r="R71" s="152">
        <v>1</v>
      </c>
      <c r="S71" s="175">
        <f>IF(R71&gt;0,Q71*R71,0)</f>
        <v>70</v>
      </c>
      <c r="T71" s="135">
        <v>1</v>
      </c>
      <c r="U71" s="151">
        <f>VLOOKUP($B$11,VehicleTable,T71+3,FALSE)</f>
        <v>70</v>
      </c>
      <c r="V71" s="152">
        <v>1</v>
      </c>
      <c r="W71" s="175">
        <f>IF(V71&gt;0,U71*V71,0)</f>
        <v>70</v>
      </c>
    </row>
    <row r="72" spans="1:23" ht="16.149999999999999" customHeight="1" x14ac:dyDescent="0.2">
      <c r="A72" s="4" t="s">
        <v>76</v>
      </c>
      <c r="B72" s="244" t="s">
        <v>365</v>
      </c>
      <c r="C72" s="55"/>
      <c r="D72" s="177" t="s">
        <v>105</v>
      </c>
      <c r="E72" s="126">
        <v>0.5</v>
      </c>
      <c r="F72" s="153">
        <v>1</v>
      </c>
      <c r="G72" s="175">
        <f>IF(F72&gt;0,E72*F72,0)</f>
        <v>0.5</v>
      </c>
      <c r="H72" s="177" t="s">
        <v>105</v>
      </c>
      <c r="I72" s="126">
        <v>0.5</v>
      </c>
      <c r="J72" s="155">
        <v>1</v>
      </c>
      <c r="K72" s="175">
        <f>IF(J72&gt;0,I72*J72,0)</f>
        <v>0.5</v>
      </c>
      <c r="L72" s="177" t="s">
        <v>105</v>
      </c>
      <c r="M72" s="126">
        <v>0.5</v>
      </c>
      <c r="N72" s="155">
        <v>1</v>
      </c>
      <c r="O72" s="175">
        <f>IF(N72&gt;0,M72*N72,0)</f>
        <v>0.5</v>
      </c>
      <c r="P72" s="177" t="s">
        <v>105</v>
      </c>
      <c r="Q72" s="126">
        <v>0.5</v>
      </c>
      <c r="R72" s="153">
        <v>1</v>
      </c>
      <c r="S72" s="175">
        <f>IF(R72&gt;0,Q72*R72,0)</f>
        <v>0.5</v>
      </c>
      <c r="T72" s="177" t="s">
        <v>105</v>
      </c>
      <c r="U72" s="126">
        <v>0.5</v>
      </c>
      <c r="V72" s="153">
        <v>1</v>
      </c>
      <c r="W72" s="175">
        <f>IF(V72&gt;0,U72*V72,0)</f>
        <v>0.5</v>
      </c>
    </row>
    <row r="73" spans="1:23" ht="16.149999999999999" customHeight="1" x14ac:dyDescent="0.2">
      <c r="A73" s="4" t="s">
        <v>76</v>
      </c>
      <c r="B73" s="111" t="s">
        <v>106</v>
      </c>
      <c r="C73" s="55"/>
      <c r="D73" s="177" t="s">
        <v>105</v>
      </c>
      <c r="E73" s="836">
        <v>0.65500000000000003</v>
      </c>
      <c r="F73" s="153">
        <v>1</v>
      </c>
      <c r="G73" s="175">
        <f>IF(F73&gt;0,E73*F73,0)</f>
        <v>0.65500000000000003</v>
      </c>
      <c r="H73" s="177" t="s">
        <v>105</v>
      </c>
      <c r="I73" s="836">
        <v>0.65500000000000003</v>
      </c>
      <c r="J73" s="155">
        <v>1</v>
      </c>
      <c r="K73" s="175">
        <f>IF(J73&gt;0,I73*J73,0)</f>
        <v>0.65500000000000003</v>
      </c>
      <c r="L73" s="177" t="s">
        <v>105</v>
      </c>
      <c r="M73" s="836">
        <v>0.65500000000000003</v>
      </c>
      <c r="N73" s="155">
        <v>1</v>
      </c>
      <c r="O73" s="175">
        <f>IF(N73&gt;0,M73*N73,0)</f>
        <v>0.65500000000000003</v>
      </c>
      <c r="P73" s="177" t="s">
        <v>105</v>
      </c>
      <c r="Q73" s="836">
        <v>0.65500000000000003</v>
      </c>
      <c r="R73" s="153">
        <v>1</v>
      </c>
      <c r="S73" s="175">
        <f>IF(R73&gt;0,Q73*R73,0)</f>
        <v>0.65500000000000003</v>
      </c>
      <c r="T73" s="177" t="s">
        <v>105</v>
      </c>
      <c r="U73" s="836">
        <v>0.65500000000000003</v>
      </c>
      <c r="V73" s="153">
        <v>1</v>
      </c>
      <c r="W73" s="175">
        <f>IF(V73&gt;0,U73*V73,0)</f>
        <v>0.65500000000000003</v>
      </c>
    </row>
    <row r="74" spans="1:23" ht="16.149999999999999" customHeight="1" x14ac:dyDescent="0.2">
      <c r="A74" s="4" t="s">
        <v>76</v>
      </c>
      <c r="B74" s="111" t="s">
        <v>324</v>
      </c>
      <c r="C74" s="55"/>
      <c r="D74" s="180" t="s">
        <v>325</v>
      </c>
      <c r="E74" s="126">
        <v>4.25</v>
      </c>
      <c r="F74" s="153">
        <v>1</v>
      </c>
      <c r="G74" s="175">
        <f>IF(F74&gt;0,E74*F74,0)</f>
        <v>4.25</v>
      </c>
      <c r="H74" s="180" t="s">
        <v>325</v>
      </c>
      <c r="I74" s="126">
        <v>4.25</v>
      </c>
      <c r="J74" s="153">
        <v>1</v>
      </c>
      <c r="K74" s="175">
        <f>IF(J74&gt;0,I74*J74,0)</f>
        <v>4.25</v>
      </c>
      <c r="L74" s="180" t="s">
        <v>325</v>
      </c>
      <c r="M74" s="126">
        <v>4.25</v>
      </c>
      <c r="N74" s="153">
        <v>1</v>
      </c>
      <c r="O74" s="175">
        <f>IF(N74&gt;0,M74*N74,0)</f>
        <v>4.25</v>
      </c>
      <c r="P74" s="180" t="s">
        <v>325</v>
      </c>
      <c r="Q74" s="126">
        <v>4.25</v>
      </c>
      <c r="R74" s="153">
        <v>1</v>
      </c>
      <c r="S74" s="175">
        <f>IF(R74&gt;0,Q74*R74,0)</f>
        <v>4.25</v>
      </c>
      <c r="T74" s="180" t="s">
        <v>325</v>
      </c>
      <c r="U74" s="126">
        <v>4.25</v>
      </c>
      <c r="V74" s="153">
        <v>1</v>
      </c>
      <c r="W74" s="175">
        <f>IF(V74&gt;0,U74*V74,0)</f>
        <v>4.25</v>
      </c>
    </row>
    <row r="75" spans="1:23" ht="16.149999999999999" customHeight="1" x14ac:dyDescent="0.2">
      <c r="B75" s="120" t="s">
        <v>730</v>
      </c>
      <c r="C75" s="193"/>
      <c r="D75" s="1466" t="s">
        <v>96</v>
      </c>
      <c r="E75" s="1467"/>
      <c r="F75" s="1467"/>
      <c r="G75" s="1468"/>
      <c r="H75" s="1466" t="s">
        <v>96</v>
      </c>
      <c r="I75" s="1467"/>
      <c r="J75" s="1467"/>
      <c r="K75" s="1468"/>
      <c r="L75" s="1466" t="s">
        <v>96</v>
      </c>
      <c r="M75" s="1467"/>
      <c r="N75" s="1467"/>
      <c r="O75" s="1468"/>
      <c r="P75" s="1466" t="s">
        <v>96</v>
      </c>
      <c r="Q75" s="1467"/>
      <c r="R75" s="1467"/>
      <c r="S75" s="1468"/>
      <c r="T75" s="1466" t="s">
        <v>96</v>
      </c>
      <c r="U75" s="1467"/>
      <c r="V75" s="1467"/>
      <c r="W75" s="1468"/>
    </row>
    <row r="76" spans="1:23" ht="16.149999999999999" customHeight="1" x14ac:dyDescent="0.2">
      <c r="A76" s="4" t="s">
        <v>25</v>
      </c>
      <c r="B76" s="111" t="s">
        <v>91</v>
      </c>
      <c r="C76" s="55"/>
      <c r="D76" s="135">
        <v>1</v>
      </c>
      <c r="E76" s="126">
        <v>150</v>
      </c>
      <c r="F76" s="153">
        <v>1</v>
      </c>
      <c r="G76" s="175">
        <f>IF(F76&gt;0,E76*F76,0)</f>
        <v>150</v>
      </c>
      <c r="H76" s="135">
        <v>1</v>
      </c>
      <c r="I76" s="126">
        <v>150</v>
      </c>
      <c r="J76" s="155">
        <v>1</v>
      </c>
      <c r="K76" s="175">
        <f>IF(J76&gt;0,I76*J76,0)</f>
        <v>150</v>
      </c>
      <c r="L76" s="135">
        <v>1</v>
      </c>
      <c r="M76" s="126">
        <v>150</v>
      </c>
      <c r="N76" s="155">
        <v>1</v>
      </c>
      <c r="O76" s="175">
        <f>IF(N76&gt;0,M76*N76,0)</f>
        <v>150</v>
      </c>
      <c r="P76" s="135">
        <v>1</v>
      </c>
      <c r="Q76" s="126">
        <v>150</v>
      </c>
      <c r="R76" s="153">
        <v>1</v>
      </c>
      <c r="S76" s="175">
        <f>IF(R76&gt;0,Q76*R76,0)</f>
        <v>150</v>
      </c>
      <c r="T76" s="135">
        <v>1</v>
      </c>
      <c r="U76" s="126">
        <v>150</v>
      </c>
      <c r="V76" s="153">
        <v>1</v>
      </c>
      <c r="W76" s="175">
        <f>IF(V76&gt;0,U76*V76,0)</f>
        <v>150</v>
      </c>
    </row>
    <row r="77" spans="1:23" ht="16.149999999999999" customHeight="1" x14ac:dyDescent="0.2">
      <c r="A77" s="4" t="s">
        <v>48</v>
      </c>
      <c r="B77" s="111" t="s">
        <v>92</v>
      </c>
      <c r="C77" s="55"/>
      <c r="D77" s="135">
        <v>1</v>
      </c>
      <c r="E77" s="126">
        <v>45</v>
      </c>
      <c r="F77" s="153">
        <v>1</v>
      </c>
      <c r="G77" s="175">
        <f>IF(F77&gt;0,E77*F77,0)</f>
        <v>45</v>
      </c>
      <c r="H77" s="135">
        <v>1</v>
      </c>
      <c r="I77" s="126">
        <v>45</v>
      </c>
      <c r="J77" s="155">
        <v>1</v>
      </c>
      <c r="K77" s="175">
        <f>IF(J77&gt;0,I77*J77,0)</f>
        <v>45</v>
      </c>
      <c r="L77" s="135">
        <v>1</v>
      </c>
      <c r="M77" s="126">
        <v>45</v>
      </c>
      <c r="N77" s="155">
        <v>1</v>
      </c>
      <c r="O77" s="175">
        <f>IF(N77&gt;0,M77*N77,0)</f>
        <v>45</v>
      </c>
      <c r="P77" s="135">
        <v>1</v>
      </c>
      <c r="Q77" s="126">
        <v>45</v>
      </c>
      <c r="R77" s="153">
        <v>1</v>
      </c>
      <c r="S77" s="175">
        <f>IF(R77&gt;0,Q77*R77,0)</f>
        <v>45</v>
      </c>
      <c r="T77" s="135">
        <v>1</v>
      </c>
      <c r="U77" s="126">
        <v>45</v>
      </c>
      <c r="V77" s="153">
        <v>1</v>
      </c>
      <c r="W77" s="175">
        <f>IF(V77&gt;0,U77*V77,0)</f>
        <v>45</v>
      </c>
    </row>
    <row r="78" spans="1:23" ht="16.149999999999999" customHeight="1" x14ac:dyDescent="0.2">
      <c r="A78" s="4" t="s">
        <v>24</v>
      </c>
      <c r="B78" s="111" t="s">
        <v>93</v>
      </c>
      <c r="C78" s="55"/>
      <c r="D78" s="177" t="s">
        <v>95</v>
      </c>
      <c r="E78" s="126">
        <v>300</v>
      </c>
      <c r="F78" s="153">
        <v>1</v>
      </c>
      <c r="G78" s="175">
        <f>IF(F78&gt;0,E78*F78,0)</f>
        <v>300</v>
      </c>
      <c r="H78" s="177" t="s">
        <v>95</v>
      </c>
      <c r="I78" s="126">
        <v>300</v>
      </c>
      <c r="J78" s="155">
        <v>1</v>
      </c>
      <c r="K78" s="175">
        <f>IF(J78&gt;0,I78*J78,0)</f>
        <v>300</v>
      </c>
      <c r="L78" s="177" t="s">
        <v>95</v>
      </c>
      <c r="M78" s="126">
        <v>300</v>
      </c>
      <c r="N78" s="155">
        <v>1</v>
      </c>
      <c r="O78" s="175">
        <f>IF(N78&gt;0,M78*N78,0)</f>
        <v>300</v>
      </c>
      <c r="P78" s="177" t="s">
        <v>95</v>
      </c>
      <c r="Q78" s="126">
        <v>300</v>
      </c>
      <c r="R78" s="153">
        <v>1</v>
      </c>
      <c r="S78" s="175">
        <f>IF(R78&gt;0,Q78*R78,0)</f>
        <v>300</v>
      </c>
      <c r="T78" s="177" t="s">
        <v>95</v>
      </c>
      <c r="U78" s="126">
        <v>300</v>
      </c>
      <c r="V78" s="153">
        <v>1</v>
      </c>
      <c r="W78" s="175">
        <f>IF(V78&gt;0,U78*V78,0)</f>
        <v>300</v>
      </c>
    </row>
    <row r="79" spans="1:23" ht="16.149999999999999" customHeight="1" x14ac:dyDescent="0.2">
      <c r="A79" s="4" t="s">
        <v>77</v>
      </c>
      <c r="B79" s="206" t="str">
        <f>INDEX(RentalTable,C79,1)</f>
        <v>Rental - Standard car (mid-size)</v>
      </c>
      <c r="C79" s="210">
        <v>1</v>
      </c>
      <c r="D79" s="135">
        <v>2</v>
      </c>
      <c r="E79" s="151">
        <f>VLOOKUP($B19,RentalTable,$D79+3,FALSE)</f>
        <v>275</v>
      </c>
      <c r="F79" s="153">
        <v>1</v>
      </c>
      <c r="G79" s="175">
        <f>IF(F79&gt;0,E79*F79,0)</f>
        <v>275</v>
      </c>
      <c r="H79" s="135">
        <v>1</v>
      </c>
      <c r="I79" s="151">
        <f>VLOOKUP($B19,RentalTable,$H79+3,FALSE)</f>
        <v>70</v>
      </c>
      <c r="J79" s="155">
        <v>1</v>
      </c>
      <c r="K79" s="175">
        <f>IF(J79&gt;0,I79*J79,0)</f>
        <v>70</v>
      </c>
      <c r="L79" s="135">
        <v>1</v>
      </c>
      <c r="M79" s="151">
        <f>VLOOKUP($B19,RentalTable,$L79+3,FALSE)</f>
        <v>70</v>
      </c>
      <c r="N79" s="155">
        <v>1</v>
      </c>
      <c r="O79" s="175">
        <f>IF(N79&gt;0,M79*N79,0)</f>
        <v>70</v>
      </c>
      <c r="P79" s="135">
        <v>1</v>
      </c>
      <c r="Q79" s="151">
        <f>VLOOKUP($B19,RentalTable,$P79+3,FALSE)</f>
        <v>70</v>
      </c>
      <c r="R79" s="153">
        <v>1</v>
      </c>
      <c r="S79" s="175">
        <f>IF(R79&gt;0,Q79*R79,0)</f>
        <v>70</v>
      </c>
      <c r="T79" s="135">
        <v>1</v>
      </c>
      <c r="U79" s="151">
        <f>VLOOKUP($B19,RentalTable,$T79+3,FALSE)</f>
        <v>70</v>
      </c>
      <c r="V79" s="153">
        <v>1</v>
      </c>
      <c r="W79" s="175">
        <f>IF(V79&gt;0,U79*V79,0)</f>
        <v>70</v>
      </c>
    </row>
    <row r="80" spans="1:23" ht="16.149999999999999" customHeight="1" thickBot="1" x14ac:dyDescent="0.25">
      <c r="A80" s="4" t="s">
        <v>25</v>
      </c>
      <c r="B80" s="204" t="s">
        <v>350</v>
      </c>
      <c r="C80" s="205"/>
      <c r="D80" s="212"/>
      <c r="E80" s="213"/>
      <c r="F80" s="211"/>
      <c r="G80" s="178">
        <f>IF(F80&gt;0,E80*F80,0)</f>
        <v>0</v>
      </c>
      <c r="H80" s="212"/>
      <c r="I80" s="213"/>
      <c r="J80" s="211"/>
      <c r="K80" s="178">
        <f>IF(J80&gt;0,I80*J80,0)</f>
        <v>0</v>
      </c>
      <c r="L80" s="212"/>
      <c r="M80" s="213"/>
      <c r="N80" s="211"/>
      <c r="O80" s="178">
        <f>IF(N80&gt;0,M80*N80,0)</f>
        <v>0</v>
      </c>
      <c r="P80" s="212"/>
      <c r="Q80" s="213"/>
      <c r="R80" s="211"/>
      <c r="S80" s="178">
        <f>IF(R80&gt;0,Q80*R80,0)</f>
        <v>0</v>
      </c>
      <c r="T80" s="212"/>
      <c r="U80" s="213"/>
      <c r="V80" s="211"/>
      <c r="W80" s="178">
        <f>IF(V80&gt;0,U80*V80,0)</f>
        <v>0</v>
      </c>
    </row>
    <row r="82" spans="2:23" ht="16.149999999999999" customHeight="1" x14ac:dyDescent="0.2">
      <c r="D82" s="1011" t="s">
        <v>2048</v>
      </c>
      <c r="H82" s="249" t="s">
        <v>2049</v>
      </c>
      <c r="L82" s="249" t="s">
        <v>2050</v>
      </c>
      <c r="P82" s="249" t="s">
        <v>2051</v>
      </c>
      <c r="T82" s="249" t="s">
        <v>2052</v>
      </c>
    </row>
    <row r="83" spans="2:23" ht="16.149999999999999" customHeight="1" x14ac:dyDescent="0.2">
      <c r="B83" s="112" t="s">
        <v>77</v>
      </c>
      <c r="C83" s="112"/>
      <c r="D83" s="1462" t="s">
        <v>74</v>
      </c>
      <c r="E83" s="1462"/>
      <c r="F83" s="1462"/>
      <c r="G83" s="181">
        <f>SUMIF($A$71:$A$80,"RV",G$71:G$80)</f>
        <v>275</v>
      </c>
      <c r="H83" s="1462" t="s">
        <v>74</v>
      </c>
      <c r="I83" s="1462"/>
      <c r="J83" s="1462"/>
      <c r="K83" s="181">
        <f>SUMIF($A$71:$A$80,"RV",K$71:K$80)</f>
        <v>70</v>
      </c>
      <c r="L83" s="1462" t="s">
        <v>74</v>
      </c>
      <c r="M83" s="1462"/>
      <c r="N83" s="1462"/>
      <c r="O83" s="181">
        <f>SUMIF($A$71:$A$80,"RV",O$71:O$80)</f>
        <v>70</v>
      </c>
      <c r="P83" s="1462" t="s">
        <v>74</v>
      </c>
      <c r="Q83" s="1462"/>
      <c r="R83" s="1462"/>
      <c r="S83" s="181">
        <f>SUMIF($A$71:$A$80,"RV",S$71:S$80)</f>
        <v>70</v>
      </c>
      <c r="T83" s="1462" t="s">
        <v>74</v>
      </c>
      <c r="U83" s="1462"/>
      <c r="V83" s="1462"/>
      <c r="W83" s="181">
        <f>SUMIF($A$71:$A$80,"RV",W$71:W$80)</f>
        <v>70</v>
      </c>
    </row>
    <row r="84" spans="2:23" ht="16.149999999999999" customHeight="1" x14ac:dyDescent="0.2">
      <c r="B84" s="112" t="s">
        <v>76</v>
      </c>
      <c r="C84" s="112"/>
      <c r="D84" s="1462" t="s">
        <v>75</v>
      </c>
      <c r="E84" s="1462"/>
      <c r="F84" s="1462"/>
      <c r="G84" s="181">
        <f>SUMIF($A$71:$A$80,"OV",G$71:G$80)</f>
        <v>75.405000000000001</v>
      </c>
      <c r="H84" s="1462" t="s">
        <v>75</v>
      </c>
      <c r="I84" s="1462"/>
      <c r="J84" s="1462"/>
      <c r="K84" s="181">
        <f>SUMIF($A$71:$A$80,"OV",K$71:K$80)</f>
        <v>75.405000000000001</v>
      </c>
      <c r="L84" s="1462" t="s">
        <v>75</v>
      </c>
      <c r="M84" s="1462"/>
      <c r="N84" s="1462"/>
      <c r="O84" s="181">
        <f>SUMIF($A$71:$A$80,"OV",O$71:O$80)</f>
        <v>75.405000000000001</v>
      </c>
      <c r="P84" s="1462" t="s">
        <v>75</v>
      </c>
      <c r="Q84" s="1462"/>
      <c r="R84" s="1462"/>
      <c r="S84" s="181">
        <f>SUMIF($A$71:$A$80,"OV",S$71:S$80)</f>
        <v>75.405000000000001</v>
      </c>
      <c r="T84" s="1462" t="s">
        <v>75</v>
      </c>
      <c r="U84" s="1462"/>
      <c r="V84" s="1462"/>
      <c r="W84" s="181">
        <f>SUMIF($A$71:$A$80,"OV",W$71:W$80)</f>
        <v>75.405000000000001</v>
      </c>
    </row>
    <row r="85" spans="2:23" ht="16.149999999999999" customHeight="1" x14ac:dyDescent="0.2">
      <c r="B85" s="112" t="s">
        <v>48</v>
      </c>
      <c r="C85" s="112"/>
      <c r="D85" s="1462" t="s">
        <v>94</v>
      </c>
      <c r="E85" s="1462"/>
      <c r="F85" s="1462"/>
      <c r="G85" s="181">
        <f>SUMIF($A$71:$A$80,"M",G$71:G$80)</f>
        <v>45</v>
      </c>
      <c r="J85" s="112" t="s">
        <v>94</v>
      </c>
      <c r="K85" s="181">
        <f>SUMIF($A$71:$A$80,"M",K$71:K$80)</f>
        <v>45</v>
      </c>
      <c r="N85" s="112" t="s">
        <v>94</v>
      </c>
      <c r="O85" s="181">
        <f>SUMIF($A$71:$A$80,"M",O$71:O$80)</f>
        <v>45</v>
      </c>
      <c r="R85" s="112" t="s">
        <v>94</v>
      </c>
      <c r="S85" s="181">
        <f>SUMIF($A$71:$A$80,"M",S$71:S$80)</f>
        <v>45</v>
      </c>
      <c r="V85" s="112" t="s">
        <v>94</v>
      </c>
      <c r="W85" s="181">
        <f>SUMIF($A$71:$A$80,"M",W$71:W$80)</f>
        <v>45</v>
      </c>
    </row>
    <row r="86" spans="2:23" ht="16.149999999999999" customHeight="1" x14ac:dyDescent="0.2">
      <c r="B86" s="112" t="s">
        <v>25</v>
      </c>
      <c r="C86" s="112"/>
      <c r="F86" s="3" t="s">
        <v>97</v>
      </c>
      <c r="G86" s="181">
        <f>SUMIF($A$71:$A$80,"L",G$71:G$80)</f>
        <v>150</v>
      </c>
      <c r="J86" s="112" t="s">
        <v>97</v>
      </c>
      <c r="K86" s="181">
        <f>SUMIF($A$71:$A$80,"L",K$71:K$80)</f>
        <v>150</v>
      </c>
      <c r="N86" s="112" t="s">
        <v>97</v>
      </c>
      <c r="O86" s="181">
        <f>SUMIF($A$71:$A$80,"L",O$71:O$80)</f>
        <v>150</v>
      </c>
      <c r="R86" s="112" t="s">
        <v>97</v>
      </c>
      <c r="S86" s="181">
        <f>SUMIF($A$71:$A$80,"L",S$71:S$80)</f>
        <v>150</v>
      </c>
      <c r="V86" s="112" t="s">
        <v>97</v>
      </c>
      <c r="W86" s="181">
        <f>SUMIF($A$71:$A$80,"L",W$71:W$80)</f>
        <v>150</v>
      </c>
    </row>
    <row r="87" spans="2:23" ht="16.149999999999999" customHeight="1" x14ac:dyDescent="0.2">
      <c r="B87" s="112" t="s">
        <v>24</v>
      </c>
      <c r="C87" s="112"/>
      <c r="F87" s="112" t="s">
        <v>98</v>
      </c>
      <c r="G87" s="181">
        <f>SUMIF($A$71:$A$80,"A",G$71:G$80)</f>
        <v>300</v>
      </c>
      <c r="J87" s="112" t="s">
        <v>98</v>
      </c>
      <c r="K87" s="181">
        <f>SUMIF($A$71:$A$80,"A",K$71:K$80)</f>
        <v>300</v>
      </c>
      <c r="N87" s="112" t="s">
        <v>98</v>
      </c>
      <c r="O87" s="181">
        <f>SUMIF($A$71:$A$80,"A",O$71:O$80)</f>
        <v>300</v>
      </c>
      <c r="R87" s="112" t="s">
        <v>98</v>
      </c>
      <c r="S87" s="181">
        <f>SUMIF($A$71:$A$80,"A",S$71:S$80)</f>
        <v>300</v>
      </c>
      <c r="V87" s="112" t="s">
        <v>98</v>
      </c>
      <c r="W87" s="181">
        <f>SUMIF($A$71:$A$80,"A",W$71:W$80)</f>
        <v>300</v>
      </c>
    </row>
    <row r="88" spans="2:23" ht="16.149999999999999" customHeight="1" thickBot="1" x14ac:dyDescent="0.25">
      <c r="B88" s="112"/>
      <c r="C88" s="112"/>
      <c r="F88" s="112"/>
      <c r="G88" s="181"/>
      <c r="J88" s="112"/>
      <c r="K88" s="181"/>
      <c r="N88" s="112"/>
      <c r="O88" s="181"/>
      <c r="R88" s="112"/>
      <c r="S88" s="181"/>
      <c r="V88" s="112"/>
      <c r="W88" s="181"/>
    </row>
    <row r="89" spans="2:23" ht="16.149999999999999" customHeight="1" x14ac:dyDescent="0.2">
      <c r="B89" s="634" t="s">
        <v>752</v>
      </c>
      <c r="C89" s="539"/>
      <c r="D89" s="1469"/>
      <c r="E89" s="1469"/>
      <c r="F89" s="1469"/>
      <c r="G89" s="1469"/>
      <c r="H89" s="1469"/>
      <c r="I89" s="1469"/>
      <c r="J89" s="1469"/>
      <c r="K89" s="1469"/>
      <c r="L89" s="1469"/>
      <c r="M89" s="1469"/>
      <c r="N89" s="1469"/>
      <c r="O89" s="1469"/>
      <c r="P89" s="1469"/>
      <c r="Q89" s="1469"/>
      <c r="R89" s="1469"/>
      <c r="S89" s="1469"/>
      <c r="T89" s="1469"/>
      <c r="U89" s="1469"/>
      <c r="V89" s="1469"/>
      <c r="W89" s="1470"/>
    </row>
    <row r="90" spans="2:23" ht="16.149999999999999" customHeight="1" x14ac:dyDescent="0.2">
      <c r="B90" s="1457"/>
      <c r="C90" s="1395"/>
      <c r="D90" s="1395"/>
      <c r="E90" s="1395"/>
      <c r="F90" s="1395"/>
      <c r="G90" s="1395"/>
      <c r="H90" s="1395"/>
      <c r="I90" s="1395"/>
      <c r="J90" s="1395"/>
      <c r="K90" s="1395"/>
      <c r="L90" s="1395"/>
      <c r="M90" s="1395"/>
      <c r="N90" s="1395"/>
      <c r="O90" s="1395"/>
      <c r="P90" s="1395"/>
      <c r="Q90" s="1395"/>
      <c r="R90" s="1395"/>
      <c r="S90" s="1395"/>
      <c r="T90" s="1395"/>
      <c r="U90" s="1395"/>
      <c r="V90" s="1395"/>
      <c r="W90" s="1458"/>
    </row>
    <row r="91" spans="2:23" ht="16.149999999999999" customHeight="1" x14ac:dyDescent="0.2">
      <c r="B91" s="1003"/>
      <c r="C91" s="45"/>
      <c r="D91" s="45"/>
      <c r="E91" s="45"/>
      <c r="F91" s="45"/>
      <c r="G91" s="45"/>
      <c r="H91" s="45"/>
      <c r="I91" s="45"/>
      <c r="J91" s="45"/>
      <c r="K91" s="45"/>
      <c r="L91" s="45"/>
      <c r="M91" s="45"/>
      <c r="N91" s="45"/>
      <c r="O91" s="45"/>
      <c r="P91" s="45"/>
      <c r="Q91" s="45"/>
      <c r="R91" s="45"/>
      <c r="S91" s="45"/>
      <c r="T91" s="45"/>
      <c r="U91" s="45"/>
      <c r="V91" s="45"/>
      <c r="W91" s="1004"/>
    </row>
    <row r="92" spans="2:23" ht="16.149999999999999" customHeight="1" x14ac:dyDescent="0.2">
      <c r="B92" s="1457"/>
      <c r="C92" s="1395"/>
      <c r="D92" s="1395"/>
      <c r="E92" s="1395"/>
      <c r="F92" s="1395"/>
      <c r="G92" s="1395"/>
      <c r="H92" s="1395"/>
      <c r="I92" s="1395"/>
      <c r="J92" s="1395"/>
      <c r="K92" s="1395"/>
      <c r="L92" s="1395"/>
      <c r="M92" s="1395"/>
      <c r="N92" s="1395"/>
      <c r="O92" s="1395"/>
      <c r="P92" s="1395"/>
      <c r="Q92" s="1395"/>
      <c r="R92" s="1395"/>
      <c r="S92" s="1395"/>
      <c r="T92" s="1395"/>
      <c r="U92" s="1395"/>
      <c r="V92" s="1395"/>
      <c r="W92" s="1458"/>
    </row>
    <row r="93" spans="2:23" ht="16.149999999999999" customHeight="1" x14ac:dyDescent="0.2">
      <c r="B93" s="1457"/>
      <c r="C93" s="1395"/>
      <c r="D93" s="1395"/>
      <c r="E93" s="1395"/>
      <c r="F93" s="1395"/>
      <c r="G93" s="1395"/>
      <c r="H93" s="1395"/>
      <c r="I93" s="1395"/>
      <c r="J93" s="1395"/>
      <c r="K93" s="1395"/>
      <c r="L93" s="1395"/>
      <c r="M93" s="1395"/>
      <c r="N93" s="1395"/>
      <c r="O93" s="1395"/>
      <c r="P93" s="1395"/>
      <c r="Q93" s="1395"/>
      <c r="R93" s="1395"/>
      <c r="S93" s="1395"/>
      <c r="T93" s="1395"/>
      <c r="U93" s="1395"/>
      <c r="V93" s="1395"/>
      <c r="W93" s="1458"/>
    </row>
    <row r="94" spans="2:23" ht="16.149999999999999" customHeight="1" thickBot="1" x14ac:dyDescent="0.25">
      <c r="B94" s="1459"/>
      <c r="C94" s="1460"/>
      <c r="D94" s="1460"/>
      <c r="E94" s="1460"/>
      <c r="F94" s="1460"/>
      <c r="G94" s="1460"/>
      <c r="H94" s="1460"/>
      <c r="I94" s="1460"/>
      <c r="J94" s="1460"/>
      <c r="K94" s="1460"/>
      <c r="L94" s="1460"/>
      <c r="M94" s="1460"/>
      <c r="N94" s="1460"/>
      <c r="O94" s="1460"/>
      <c r="P94" s="1460"/>
      <c r="Q94" s="1460"/>
      <c r="R94" s="1460"/>
      <c r="S94" s="1460"/>
      <c r="T94" s="1460"/>
      <c r="U94" s="1460"/>
      <c r="V94" s="1460"/>
      <c r="W94" s="1461"/>
    </row>
    <row r="95" spans="2:23" ht="11.25" customHeight="1" x14ac:dyDescent="0.2">
      <c r="B95" s="45"/>
      <c r="C95" s="45"/>
      <c r="D95" s="45"/>
      <c r="E95" s="45"/>
      <c r="F95" s="45"/>
      <c r="G95" s="45"/>
      <c r="H95" s="45"/>
      <c r="I95" s="45"/>
      <c r="J95" s="45"/>
      <c r="K95" s="45"/>
      <c r="L95" s="45"/>
      <c r="M95" s="45"/>
      <c r="N95" s="45"/>
      <c r="O95" s="45"/>
      <c r="P95" s="45"/>
      <c r="Q95" s="45"/>
      <c r="R95" s="45"/>
      <c r="S95" s="45"/>
      <c r="T95" s="45"/>
      <c r="U95" s="45"/>
      <c r="V95" s="45"/>
      <c r="W95" s="45"/>
    </row>
    <row r="96" spans="2:23" ht="27" customHeight="1" thickBot="1" x14ac:dyDescent="0.45">
      <c r="M96" s="1012" t="s">
        <v>304</v>
      </c>
    </row>
    <row r="97" spans="1:23" ht="16.149999999999999" customHeight="1" x14ac:dyDescent="0.2">
      <c r="B97" s="183"/>
      <c r="C97" s="189"/>
      <c r="D97" s="1471" t="str">
        <f>TabName16</f>
        <v>Phase 16</v>
      </c>
      <c r="E97" s="1482"/>
      <c r="F97" s="1482"/>
      <c r="G97" s="1483"/>
      <c r="H97" s="1471" t="str">
        <f>TabName17</f>
        <v>Phase 17</v>
      </c>
      <c r="I97" s="1472"/>
      <c r="J97" s="1472"/>
      <c r="K97" s="1478"/>
      <c r="L97" s="1471" t="str">
        <f>TabName18</f>
        <v>Phase 18</v>
      </c>
      <c r="M97" s="1472"/>
      <c r="N97" s="1472"/>
      <c r="O97" s="1478"/>
      <c r="P97" s="1471" t="str">
        <f>TabName19</f>
        <v>Phase 19</v>
      </c>
      <c r="Q97" s="1472"/>
      <c r="R97" s="1472"/>
      <c r="S97" s="1478"/>
      <c r="T97" s="1471" t="str">
        <f>TabName20</f>
        <v>Phase 20</v>
      </c>
      <c r="U97" s="1472"/>
      <c r="V97" s="1472"/>
      <c r="W97" s="1478"/>
    </row>
    <row r="98" spans="1:23" ht="16.149999999999999" customHeight="1" x14ac:dyDescent="0.2">
      <c r="B98" s="182"/>
      <c r="C98" s="190"/>
      <c r="D98" s="1463"/>
      <c r="E98" s="1245"/>
      <c r="F98" s="1245"/>
      <c r="G98" s="1480"/>
      <c r="H98" s="1463"/>
      <c r="I98" s="1464"/>
      <c r="J98" s="1464"/>
      <c r="K98" s="1479"/>
      <c r="L98" s="1463"/>
      <c r="M98" s="1464"/>
      <c r="N98" s="1464"/>
      <c r="O98" s="1479"/>
      <c r="P98" s="1463"/>
      <c r="Q98" s="1464"/>
      <c r="R98" s="1464"/>
      <c r="S98" s="1479"/>
      <c r="T98" s="1463"/>
      <c r="U98" s="1464"/>
      <c r="V98" s="1464"/>
      <c r="W98" s="1479"/>
    </row>
    <row r="99" spans="1:23" ht="16.149999999999999" customHeight="1" x14ac:dyDescent="0.2">
      <c r="B99" s="110" t="s">
        <v>90</v>
      </c>
      <c r="C99" s="191"/>
      <c r="D99" s="166" t="s">
        <v>55</v>
      </c>
      <c r="E99" s="167" t="s">
        <v>42</v>
      </c>
      <c r="F99" s="184" t="s">
        <v>53</v>
      </c>
      <c r="G99" s="168" t="s">
        <v>54</v>
      </c>
      <c r="H99" s="165" t="s">
        <v>55</v>
      </c>
      <c r="I99" s="167" t="s">
        <v>42</v>
      </c>
      <c r="J99" s="184" t="s">
        <v>53</v>
      </c>
      <c r="K99" s="168" t="s">
        <v>54</v>
      </c>
      <c r="L99" s="165" t="s">
        <v>55</v>
      </c>
      <c r="M99" s="167" t="s">
        <v>42</v>
      </c>
      <c r="N99" s="184" t="s">
        <v>53</v>
      </c>
      <c r="O99" s="168" t="s">
        <v>54</v>
      </c>
      <c r="P99" s="165" t="s">
        <v>55</v>
      </c>
      <c r="Q99" s="167" t="s">
        <v>42</v>
      </c>
      <c r="R99" s="184" t="s">
        <v>53</v>
      </c>
      <c r="S99" s="168" t="s">
        <v>54</v>
      </c>
      <c r="T99" s="165" t="s">
        <v>55</v>
      </c>
      <c r="U99" s="167" t="s">
        <v>42</v>
      </c>
      <c r="V99" s="184" t="s">
        <v>53</v>
      </c>
      <c r="W99" s="168" t="s">
        <v>54</v>
      </c>
    </row>
    <row r="100" spans="1:23" ht="16.149999999999999" customHeight="1" x14ac:dyDescent="0.2">
      <c r="B100" s="109" t="s">
        <v>73</v>
      </c>
      <c r="C100" s="192"/>
      <c r="D100" s="170"/>
      <c r="E100" s="171"/>
      <c r="F100" s="172"/>
      <c r="G100" s="173"/>
      <c r="H100" s="170"/>
      <c r="I100" s="171"/>
      <c r="J100" s="172"/>
      <c r="K100" s="173"/>
      <c r="L100" s="170"/>
      <c r="M100" s="171"/>
      <c r="N100" s="172"/>
      <c r="O100" s="173"/>
      <c r="P100" s="170"/>
      <c r="Q100" s="171"/>
      <c r="R100" s="172"/>
      <c r="S100" s="173"/>
      <c r="T100" s="170"/>
      <c r="U100" s="171"/>
      <c r="V100" s="172"/>
      <c r="W100" s="173"/>
    </row>
    <row r="101" spans="1:23" ht="16.149999999999999" customHeight="1" x14ac:dyDescent="0.2">
      <c r="A101" s="251" t="s">
        <v>76</v>
      </c>
      <c r="B101" s="206" t="str">
        <f>INDEX(VehicleTable,C101,1)</f>
        <v>Fleet SUV/Truck</v>
      </c>
      <c r="C101" s="163">
        <v>1</v>
      </c>
      <c r="D101" s="135">
        <v>1</v>
      </c>
      <c r="E101" s="151">
        <f>VLOOKUP($B$11,VehicleTable,D101+3,FALSE)</f>
        <v>70</v>
      </c>
      <c r="F101" s="152">
        <v>1</v>
      </c>
      <c r="G101" s="175">
        <f>IF(F101&gt;0,E101*F101,0)</f>
        <v>70</v>
      </c>
      <c r="H101" s="135">
        <v>1</v>
      </c>
      <c r="I101" s="151">
        <f>VLOOKUP($B$11,VehicleTable,H101+3,FALSE)</f>
        <v>70</v>
      </c>
      <c r="J101" s="154">
        <v>1</v>
      </c>
      <c r="K101" s="175">
        <f>IF(J101&gt;0,I101*J101,0)</f>
        <v>70</v>
      </c>
      <c r="L101" s="135">
        <v>1</v>
      </c>
      <c r="M101" s="151">
        <f>VLOOKUP($B$11,VehicleTable,L101+3,FALSE)</f>
        <v>70</v>
      </c>
      <c r="N101" s="154">
        <v>1</v>
      </c>
      <c r="O101" s="175">
        <f>IF(N101&gt;0,M101*N101,0)</f>
        <v>70</v>
      </c>
      <c r="P101" s="135">
        <v>1</v>
      </c>
      <c r="Q101" s="151">
        <f>VLOOKUP($B$11,VehicleTable,P101+3,FALSE)</f>
        <v>70</v>
      </c>
      <c r="R101" s="152">
        <v>1</v>
      </c>
      <c r="S101" s="175">
        <f>IF(R101&gt;0,Q101*R101,0)</f>
        <v>70</v>
      </c>
      <c r="T101" s="135">
        <v>1</v>
      </c>
      <c r="U101" s="151">
        <f>VLOOKUP($B$11,VehicleTable,T101+3,FALSE)</f>
        <v>70</v>
      </c>
      <c r="V101" s="152">
        <v>1</v>
      </c>
      <c r="W101" s="175">
        <f>IF(V101&gt;0,U101*V101,0)</f>
        <v>70</v>
      </c>
    </row>
    <row r="102" spans="1:23" ht="16.149999999999999" customHeight="1" x14ac:dyDescent="0.2">
      <c r="A102" s="1053" t="s">
        <v>76</v>
      </c>
      <c r="B102" s="244" t="s">
        <v>365</v>
      </c>
      <c r="C102" s="55"/>
      <c r="D102" s="177" t="s">
        <v>105</v>
      </c>
      <c r="E102" s="126">
        <v>0.5</v>
      </c>
      <c r="F102" s="153">
        <v>1</v>
      </c>
      <c r="G102" s="175">
        <f>IF(F102&gt;0,E102*F102,0)</f>
        <v>0.5</v>
      </c>
      <c r="H102" s="177" t="s">
        <v>105</v>
      </c>
      <c r="I102" s="126">
        <v>0.5</v>
      </c>
      <c r="J102" s="155">
        <v>1</v>
      </c>
      <c r="K102" s="175">
        <f>IF(J102&gt;0,I102*J102,0)</f>
        <v>0.5</v>
      </c>
      <c r="L102" s="177" t="s">
        <v>105</v>
      </c>
      <c r="M102" s="126">
        <v>0.5</v>
      </c>
      <c r="N102" s="155">
        <v>1</v>
      </c>
      <c r="O102" s="175">
        <f>IF(N102&gt;0,M102*N102,0)</f>
        <v>0.5</v>
      </c>
      <c r="P102" s="177" t="s">
        <v>105</v>
      </c>
      <c r="Q102" s="126">
        <v>0.5</v>
      </c>
      <c r="R102" s="153">
        <v>1</v>
      </c>
      <c r="S102" s="175">
        <f>IF(R102&gt;0,Q102*R102,0)</f>
        <v>0.5</v>
      </c>
      <c r="T102" s="177" t="s">
        <v>105</v>
      </c>
      <c r="U102" s="126">
        <v>0.5</v>
      </c>
      <c r="V102" s="153">
        <v>1</v>
      </c>
      <c r="W102" s="175">
        <f>IF(V102&gt;0,U102*V102,0)</f>
        <v>0.5</v>
      </c>
    </row>
    <row r="103" spans="1:23" ht="16.149999999999999" customHeight="1" x14ac:dyDescent="0.2">
      <c r="A103" s="4" t="s">
        <v>76</v>
      </c>
      <c r="B103" s="111" t="s">
        <v>106</v>
      </c>
      <c r="C103" s="55"/>
      <c r="D103" s="177" t="s">
        <v>105</v>
      </c>
      <c r="E103" s="836">
        <v>0.65500000000000003</v>
      </c>
      <c r="F103" s="153">
        <v>1</v>
      </c>
      <c r="G103" s="175">
        <f>IF(F103&gt;0,E103*F103,0)</f>
        <v>0.65500000000000003</v>
      </c>
      <c r="H103" s="177" t="s">
        <v>105</v>
      </c>
      <c r="I103" s="836">
        <v>0.65500000000000003</v>
      </c>
      <c r="J103" s="155">
        <v>1</v>
      </c>
      <c r="K103" s="175">
        <f>IF(J103&gt;0,I103*J103,0)</f>
        <v>0.65500000000000003</v>
      </c>
      <c r="L103" s="177" t="s">
        <v>105</v>
      </c>
      <c r="M103" s="836">
        <v>0.65500000000000003</v>
      </c>
      <c r="N103" s="155">
        <v>1</v>
      </c>
      <c r="O103" s="175">
        <f>IF(N103&gt;0,M103*N103,0)</f>
        <v>0.65500000000000003</v>
      </c>
      <c r="P103" s="177" t="s">
        <v>105</v>
      </c>
      <c r="Q103" s="836">
        <v>0.65500000000000003</v>
      </c>
      <c r="R103" s="153">
        <v>1</v>
      </c>
      <c r="S103" s="175">
        <f>IF(R103&gt;0,Q103*R103,0)</f>
        <v>0.65500000000000003</v>
      </c>
      <c r="T103" s="177" t="s">
        <v>105</v>
      </c>
      <c r="U103" s="836">
        <v>0.65500000000000003</v>
      </c>
      <c r="V103" s="153">
        <v>1</v>
      </c>
      <c r="W103" s="175">
        <f>IF(V103&gt;0,U103*V103,0)</f>
        <v>0.65500000000000003</v>
      </c>
    </row>
    <row r="104" spans="1:23" ht="16.149999999999999" customHeight="1" x14ac:dyDescent="0.2">
      <c r="A104" s="4" t="s">
        <v>76</v>
      </c>
      <c r="B104" s="111" t="s">
        <v>324</v>
      </c>
      <c r="C104" s="55"/>
      <c r="D104" s="180" t="s">
        <v>325</v>
      </c>
      <c r="E104" s="126">
        <v>4.25</v>
      </c>
      <c r="F104" s="153"/>
      <c r="G104" s="175">
        <f>IF(F104&gt;0,E104*F104,0)</f>
        <v>0</v>
      </c>
      <c r="H104" s="180" t="s">
        <v>325</v>
      </c>
      <c r="I104" s="126">
        <v>4.25</v>
      </c>
      <c r="J104" s="153">
        <v>1</v>
      </c>
      <c r="K104" s="175">
        <f>IF(J104&gt;0,I104*J104,0)</f>
        <v>4.25</v>
      </c>
      <c r="L104" s="180" t="s">
        <v>325</v>
      </c>
      <c r="M104" s="126">
        <v>4.25</v>
      </c>
      <c r="N104" s="153">
        <v>1</v>
      </c>
      <c r="O104" s="175">
        <f>IF(N104&gt;0,M104*N104,0)</f>
        <v>4.25</v>
      </c>
      <c r="P104" s="180" t="s">
        <v>325</v>
      </c>
      <c r="Q104" s="126">
        <v>4.25</v>
      </c>
      <c r="R104" s="153">
        <v>1</v>
      </c>
      <c r="S104" s="175">
        <f>IF(R104&gt;0,Q104*R104,0)</f>
        <v>4.25</v>
      </c>
      <c r="T104" s="180" t="s">
        <v>325</v>
      </c>
      <c r="U104" s="126">
        <v>4.25</v>
      </c>
      <c r="V104" s="153">
        <v>1</v>
      </c>
      <c r="W104" s="175">
        <f>IF(V104&gt;0,U104*V104,0)</f>
        <v>4.25</v>
      </c>
    </row>
    <row r="105" spans="1:23" ht="16.149999999999999" customHeight="1" x14ac:dyDescent="0.2">
      <c r="B105" s="120" t="s">
        <v>730</v>
      </c>
      <c r="C105" s="193"/>
      <c r="D105" s="1466" t="s">
        <v>96</v>
      </c>
      <c r="E105" s="1467"/>
      <c r="F105" s="1467"/>
      <c r="G105" s="1468"/>
      <c r="H105" s="1466" t="s">
        <v>96</v>
      </c>
      <c r="I105" s="1467"/>
      <c r="J105" s="1467"/>
      <c r="K105" s="1468"/>
      <c r="L105" s="1466" t="s">
        <v>96</v>
      </c>
      <c r="M105" s="1467"/>
      <c r="N105" s="1467"/>
      <c r="O105" s="1468"/>
      <c r="P105" s="1466" t="s">
        <v>96</v>
      </c>
      <c r="Q105" s="1467"/>
      <c r="R105" s="1467"/>
      <c r="S105" s="1468"/>
      <c r="T105" s="1466" t="s">
        <v>96</v>
      </c>
      <c r="U105" s="1467"/>
      <c r="V105" s="1467"/>
      <c r="W105" s="1468"/>
    </row>
    <row r="106" spans="1:23" ht="16.149999999999999" customHeight="1" x14ac:dyDescent="0.2">
      <c r="A106" s="4" t="s">
        <v>25</v>
      </c>
      <c r="B106" s="111" t="s">
        <v>91</v>
      </c>
      <c r="C106" s="55"/>
      <c r="D106" s="135">
        <v>1</v>
      </c>
      <c r="E106" s="126">
        <v>150</v>
      </c>
      <c r="F106" s="153">
        <v>1</v>
      </c>
      <c r="G106" s="175">
        <f>IF(F106&gt;0,E106*F106,0)</f>
        <v>150</v>
      </c>
      <c r="H106" s="135">
        <v>1</v>
      </c>
      <c r="I106" s="126">
        <v>150</v>
      </c>
      <c r="J106" s="155">
        <v>1</v>
      </c>
      <c r="K106" s="175">
        <f>IF(J106&gt;0,I106*J106,0)</f>
        <v>150</v>
      </c>
      <c r="L106" s="135">
        <v>1</v>
      </c>
      <c r="M106" s="126">
        <v>150</v>
      </c>
      <c r="N106" s="155">
        <v>1</v>
      </c>
      <c r="O106" s="175">
        <f>IF(N106&gt;0,M106*N106,0)</f>
        <v>150</v>
      </c>
      <c r="P106" s="135">
        <v>1</v>
      </c>
      <c r="Q106" s="126">
        <v>150</v>
      </c>
      <c r="R106" s="153">
        <v>1</v>
      </c>
      <c r="S106" s="175">
        <f>IF(R106&gt;0,Q106*R106,0)</f>
        <v>150</v>
      </c>
      <c r="T106" s="135">
        <v>1</v>
      </c>
      <c r="U106" s="126">
        <v>150</v>
      </c>
      <c r="V106" s="153">
        <v>1</v>
      </c>
      <c r="W106" s="175">
        <f>IF(V106&gt;0,U106*V106,0)</f>
        <v>150</v>
      </c>
    </row>
    <row r="107" spans="1:23" ht="16.149999999999999" customHeight="1" x14ac:dyDescent="0.2">
      <c r="A107" s="4" t="s">
        <v>48</v>
      </c>
      <c r="B107" s="111" t="s">
        <v>92</v>
      </c>
      <c r="C107" s="55"/>
      <c r="D107" s="135">
        <v>1</v>
      </c>
      <c r="E107" s="126">
        <v>45</v>
      </c>
      <c r="F107" s="153">
        <v>1</v>
      </c>
      <c r="G107" s="175">
        <f>IF(F107&gt;0,E107*F107,0)</f>
        <v>45</v>
      </c>
      <c r="H107" s="135">
        <v>1</v>
      </c>
      <c r="I107" s="126">
        <v>45</v>
      </c>
      <c r="J107" s="155">
        <v>1</v>
      </c>
      <c r="K107" s="175">
        <f>IF(J107&gt;0,I107*J107,0)</f>
        <v>45</v>
      </c>
      <c r="L107" s="135">
        <v>1</v>
      </c>
      <c r="M107" s="126">
        <v>45</v>
      </c>
      <c r="N107" s="155">
        <v>1</v>
      </c>
      <c r="O107" s="175">
        <f>IF(N107&gt;0,M107*N107,0)</f>
        <v>45</v>
      </c>
      <c r="P107" s="135">
        <v>1</v>
      </c>
      <c r="Q107" s="126">
        <v>45</v>
      </c>
      <c r="R107" s="153">
        <v>1</v>
      </c>
      <c r="S107" s="175">
        <f>IF(R107&gt;0,Q107*R107,0)</f>
        <v>45</v>
      </c>
      <c r="T107" s="135">
        <v>1</v>
      </c>
      <c r="U107" s="126">
        <v>45</v>
      </c>
      <c r="V107" s="153">
        <v>1</v>
      </c>
      <c r="W107" s="175">
        <f>IF(V107&gt;0,U107*V107,0)</f>
        <v>45</v>
      </c>
    </row>
    <row r="108" spans="1:23" ht="16.149999999999999" customHeight="1" x14ac:dyDescent="0.2">
      <c r="A108" s="4" t="s">
        <v>24</v>
      </c>
      <c r="B108" s="111" t="s">
        <v>93</v>
      </c>
      <c r="C108" s="55"/>
      <c r="D108" s="177" t="s">
        <v>95</v>
      </c>
      <c r="E108" s="126">
        <v>300</v>
      </c>
      <c r="F108" s="153">
        <v>1</v>
      </c>
      <c r="G108" s="175">
        <f>IF(F108&gt;0,E108*F108,0)</f>
        <v>300</v>
      </c>
      <c r="H108" s="177" t="s">
        <v>95</v>
      </c>
      <c r="I108" s="126">
        <v>300</v>
      </c>
      <c r="J108" s="155">
        <v>1</v>
      </c>
      <c r="K108" s="175">
        <f>IF(J108&gt;0,I108*J108,0)</f>
        <v>300</v>
      </c>
      <c r="L108" s="177" t="s">
        <v>95</v>
      </c>
      <c r="M108" s="126">
        <v>300</v>
      </c>
      <c r="N108" s="155">
        <v>1</v>
      </c>
      <c r="O108" s="175">
        <f>IF(N108&gt;0,M108*N108,0)</f>
        <v>300</v>
      </c>
      <c r="P108" s="177" t="s">
        <v>95</v>
      </c>
      <c r="Q108" s="126">
        <v>300</v>
      </c>
      <c r="R108" s="153">
        <v>1</v>
      </c>
      <c r="S108" s="175">
        <f>IF(R108&gt;0,Q108*R108,0)</f>
        <v>300</v>
      </c>
      <c r="T108" s="177" t="s">
        <v>95</v>
      </c>
      <c r="U108" s="126">
        <v>300</v>
      </c>
      <c r="V108" s="153">
        <v>1</v>
      </c>
      <c r="W108" s="175">
        <f>IF(V108&gt;0,U108*V108,0)</f>
        <v>300</v>
      </c>
    </row>
    <row r="109" spans="1:23" ht="16.149999999999999" customHeight="1" x14ac:dyDescent="0.2">
      <c r="A109" s="4" t="s">
        <v>77</v>
      </c>
      <c r="B109" s="206" t="str">
        <f>INDEX(RentalTable,C109,1)</f>
        <v>Rental - Standard car (mid-size)</v>
      </c>
      <c r="C109" s="210">
        <v>1</v>
      </c>
      <c r="D109" s="135">
        <v>1</v>
      </c>
      <c r="E109" s="151">
        <f>VLOOKUP($B19,RentalTable,$D109+3,FALSE)</f>
        <v>70</v>
      </c>
      <c r="F109" s="153">
        <v>1</v>
      </c>
      <c r="G109" s="175">
        <f>IF(F109&gt;0,E109*F109,0)</f>
        <v>70</v>
      </c>
      <c r="H109" s="135">
        <v>1</v>
      </c>
      <c r="I109" s="151">
        <f>VLOOKUP($B19,RentalTable,$H109+3,FALSE)</f>
        <v>70</v>
      </c>
      <c r="J109" s="155">
        <v>1</v>
      </c>
      <c r="K109" s="175">
        <f>IF(J109&gt;0,I109*J109,0)</f>
        <v>70</v>
      </c>
      <c r="L109" s="135">
        <v>1</v>
      </c>
      <c r="M109" s="151">
        <f>VLOOKUP($B19,RentalTable,$L109+3,FALSE)</f>
        <v>70</v>
      </c>
      <c r="N109" s="155">
        <v>1</v>
      </c>
      <c r="O109" s="175">
        <f>IF(N109&gt;0,M109*N109,0)</f>
        <v>70</v>
      </c>
      <c r="P109" s="135">
        <v>1</v>
      </c>
      <c r="Q109" s="151">
        <f>VLOOKUP($B19,RentalTable,$P109+3,FALSE)</f>
        <v>70</v>
      </c>
      <c r="R109" s="153">
        <v>1</v>
      </c>
      <c r="S109" s="175">
        <f>IF(R109&gt;0,Q109*R109,0)</f>
        <v>70</v>
      </c>
      <c r="T109" s="135">
        <v>1</v>
      </c>
      <c r="U109" s="151">
        <f>VLOOKUP($B19,RentalTable,$T109+3,FALSE)</f>
        <v>70</v>
      </c>
      <c r="V109" s="153">
        <v>1</v>
      </c>
      <c r="W109" s="175">
        <f>IF(V109&gt;0,U109*V109,0)</f>
        <v>70</v>
      </c>
    </row>
    <row r="110" spans="1:23" ht="16.149999999999999" customHeight="1" thickBot="1" x14ac:dyDescent="0.25">
      <c r="A110" s="4" t="s">
        <v>25</v>
      </c>
      <c r="B110" s="204" t="s">
        <v>350</v>
      </c>
      <c r="C110" s="205"/>
      <c r="D110" s="212"/>
      <c r="E110" s="213"/>
      <c r="F110" s="211"/>
      <c r="G110" s="178">
        <f>IF(F110&gt;0,E110*F110,0)</f>
        <v>0</v>
      </c>
      <c r="H110" s="212"/>
      <c r="I110" s="213"/>
      <c r="J110" s="211"/>
      <c r="K110" s="178">
        <f>IF(J110&gt;0,I110*J110,0)</f>
        <v>0</v>
      </c>
      <c r="L110" s="212"/>
      <c r="M110" s="213"/>
      <c r="N110" s="211"/>
      <c r="O110" s="178">
        <f>IF(N110&gt;0,M110*N110,0)</f>
        <v>0</v>
      </c>
      <c r="P110" s="212"/>
      <c r="Q110" s="213"/>
      <c r="R110" s="211"/>
      <c r="S110" s="178">
        <f>IF(R110&gt;0,Q110*R110,0)</f>
        <v>0</v>
      </c>
      <c r="T110" s="212"/>
      <c r="U110" s="213"/>
      <c r="V110" s="211"/>
      <c r="W110" s="178">
        <f>IF(V110&gt;0,U110*V110,0)</f>
        <v>0</v>
      </c>
    </row>
    <row r="112" spans="1:23" ht="16.149999999999999" customHeight="1" x14ac:dyDescent="0.2">
      <c r="D112" s="1011" t="s">
        <v>2053</v>
      </c>
      <c r="H112" s="249" t="s">
        <v>2054</v>
      </c>
      <c r="L112" s="249" t="s">
        <v>2055</v>
      </c>
      <c r="P112" s="249" t="s">
        <v>2056</v>
      </c>
      <c r="T112" s="249" t="s">
        <v>2057</v>
      </c>
    </row>
    <row r="113" spans="2:23" ht="16.149999999999999" customHeight="1" x14ac:dyDescent="0.2">
      <c r="B113" s="112" t="s">
        <v>77</v>
      </c>
      <c r="C113" s="112"/>
      <c r="D113" s="1462" t="s">
        <v>74</v>
      </c>
      <c r="E113" s="1462"/>
      <c r="F113" s="1462"/>
      <c r="G113" s="181">
        <f>SUMIF($A$101:$A$110,"RV",G$101:G$110)</f>
        <v>70</v>
      </c>
      <c r="H113" s="1462" t="s">
        <v>74</v>
      </c>
      <c r="I113" s="1462"/>
      <c r="J113" s="1462"/>
      <c r="K113" s="181">
        <f>SUMIF($A$101:$A$110,"RV",K$101:K$110)</f>
        <v>70</v>
      </c>
      <c r="L113" s="1462" t="s">
        <v>74</v>
      </c>
      <c r="M113" s="1462"/>
      <c r="N113" s="1462"/>
      <c r="O113" s="181">
        <f>SUMIF($A$101:$A$110,"RV",O$101:O$110)</f>
        <v>70</v>
      </c>
      <c r="P113" s="1462" t="s">
        <v>74</v>
      </c>
      <c r="Q113" s="1462"/>
      <c r="R113" s="1462"/>
      <c r="S113" s="181">
        <f>SUMIF($A$101:$A$110,"RV",S$101:S$110)</f>
        <v>70</v>
      </c>
      <c r="T113" s="1462" t="s">
        <v>74</v>
      </c>
      <c r="U113" s="1462"/>
      <c r="V113" s="1462"/>
      <c r="W113" s="181">
        <f>SUMIF($A$101:$A$110,"RV",W$101:W$110)</f>
        <v>70</v>
      </c>
    </row>
    <row r="114" spans="2:23" ht="16.149999999999999" customHeight="1" x14ac:dyDescent="0.2">
      <c r="B114" s="975" t="s">
        <v>76</v>
      </c>
      <c r="C114" s="112"/>
      <c r="D114" s="1462" t="s">
        <v>75</v>
      </c>
      <c r="E114" s="1462"/>
      <c r="F114" s="1462"/>
      <c r="G114" s="181">
        <f>SUMIF($A$101:$A$110,"OV",G$101:G$110)</f>
        <v>71.155000000000001</v>
      </c>
      <c r="H114" s="1462" t="s">
        <v>75</v>
      </c>
      <c r="I114" s="1462"/>
      <c r="J114" s="1462"/>
      <c r="K114" s="181">
        <f>SUMIF($A$101:$A$110,"OV",K$101:K$110)</f>
        <v>75.405000000000001</v>
      </c>
      <c r="L114" s="1462" t="s">
        <v>75</v>
      </c>
      <c r="M114" s="1462"/>
      <c r="N114" s="1462"/>
      <c r="O114" s="181">
        <f>SUMIF($A$101:$A$110,"OV",O$101:O$110)</f>
        <v>75.405000000000001</v>
      </c>
      <c r="P114" s="1462" t="s">
        <v>75</v>
      </c>
      <c r="Q114" s="1462"/>
      <c r="R114" s="1462"/>
      <c r="S114" s="181">
        <f>SUMIF($A$101:$A$110,"OV",S$101:S$110)</f>
        <v>75.405000000000001</v>
      </c>
      <c r="T114" s="1462" t="s">
        <v>75</v>
      </c>
      <c r="U114" s="1462"/>
      <c r="V114" s="1462"/>
      <c r="W114" s="181">
        <f>SUMIF($A$101:$A$110,"OV",W$101:W$110)</f>
        <v>75.405000000000001</v>
      </c>
    </row>
    <row r="115" spans="2:23" ht="16.149999999999999" customHeight="1" x14ac:dyDescent="0.2">
      <c r="B115" s="112" t="s">
        <v>48</v>
      </c>
      <c r="C115" s="112"/>
      <c r="D115" s="1462" t="s">
        <v>94</v>
      </c>
      <c r="E115" s="1462"/>
      <c r="F115" s="1462"/>
      <c r="G115" s="181">
        <f>SUMIF($A$101:$A$110,"M",G$101:G$110)</f>
        <v>45</v>
      </c>
      <c r="J115" s="112" t="s">
        <v>94</v>
      </c>
      <c r="K115" s="181">
        <f>SUMIF($A$101:$A$110,"M",K$101:K$110)</f>
        <v>45</v>
      </c>
      <c r="N115" s="112" t="s">
        <v>94</v>
      </c>
      <c r="O115" s="181">
        <f>SUMIF($A$101:$A$110,"M",O$101:O$110)</f>
        <v>45</v>
      </c>
      <c r="R115" s="112" t="s">
        <v>94</v>
      </c>
      <c r="S115" s="181">
        <f>SUMIF($A$101:$A$110,"M",S$101:S$110)</f>
        <v>45</v>
      </c>
      <c r="V115" s="112" t="s">
        <v>94</v>
      </c>
      <c r="W115" s="181">
        <f>SUMIF($A$101:$A$110,"M",W$101:W$110)</f>
        <v>45</v>
      </c>
    </row>
    <row r="116" spans="2:23" ht="16.149999999999999" customHeight="1" x14ac:dyDescent="0.2">
      <c r="B116" s="112" t="s">
        <v>25</v>
      </c>
      <c r="C116" s="112"/>
      <c r="F116" s="3" t="s">
        <v>97</v>
      </c>
      <c r="G116" s="181">
        <f>SUMIF($A$101:$A$110,"L",G$101:G$110)</f>
        <v>150</v>
      </c>
      <c r="J116" s="112" t="s">
        <v>97</v>
      </c>
      <c r="K116" s="181">
        <f>SUMIF($A$101:$A$110,"L",K$101:K$110)</f>
        <v>150</v>
      </c>
      <c r="N116" s="112" t="s">
        <v>97</v>
      </c>
      <c r="O116" s="181">
        <f>SUMIF($A$101:$A$110,"L",O$101:O$110)</f>
        <v>150</v>
      </c>
      <c r="R116" s="112" t="s">
        <v>97</v>
      </c>
      <c r="S116" s="181">
        <f>SUMIF($A$101:$A$110,"L",S$101:S$110)</f>
        <v>150</v>
      </c>
      <c r="V116" s="112" t="s">
        <v>97</v>
      </c>
      <c r="W116" s="181">
        <f>SUMIF($A$101:$A$110,"L",W$101:W$110)</f>
        <v>150</v>
      </c>
    </row>
    <row r="117" spans="2:23" ht="16.149999999999999" customHeight="1" x14ac:dyDescent="0.2">
      <c r="B117" s="112" t="s">
        <v>24</v>
      </c>
      <c r="C117" s="112"/>
      <c r="F117" s="112" t="s">
        <v>98</v>
      </c>
      <c r="G117" s="181">
        <f>SUMIF($A$101:$A$110,"A",G$101:G$110)</f>
        <v>300</v>
      </c>
      <c r="J117" s="112" t="s">
        <v>98</v>
      </c>
      <c r="K117" s="181">
        <f>SUMIF($A$101:$A$110,"A",K$101:K$110)</f>
        <v>300</v>
      </c>
      <c r="N117" s="112" t="s">
        <v>98</v>
      </c>
      <c r="O117" s="181">
        <f>SUMIF($A$101:$A$110,"A",O$101:O$110)</f>
        <v>300</v>
      </c>
      <c r="R117" s="112" t="s">
        <v>98</v>
      </c>
      <c r="S117" s="181">
        <f>SUMIF($A$101:$A$110,"A",S$101:S$110)</f>
        <v>300</v>
      </c>
      <c r="V117" s="112" t="s">
        <v>98</v>
      </c>
      <c r="W117" s="181">
        <f>SUMIF($A$101:$A$110,"A",W$101:W$110)</f>
        <v>300</v>
      </c>
    </row>
    <row r="118" spans="2:23" ht="16.149999999999999" customHeight="1" x14ac:dyDescent="0.2">
      <c r="B118" s="112"/>
      <c r="C118" s="112"/>
      <c r="F118" s="112"/>
      <c r="G118" s="181"/>
      <c r="J118" s="112"/>
      <c r="K118" s="181"/>
      <c r="N118" s="112"/>
      <c r="O118" s="181"/>
      <c r="R118" s="112"/>
      <c r="S118" s="181"/>
      <c r="V118" s="112"/>
      <c r="W118" s="181"/>
    </row>
    <row r="119" spans="2:23" ht="16.149999999999999" customHeight="1" thickBot="1" x14ac:dyDescent="0.25">
      <c r="B119" s="112"/>
      <c r="C119" s="112"/>
      <c r="F119" s="112"/>
      <c r="G119" s="181"/>
      <c r="J119" s="112"/>
      <c r="K119" s="181"/>
      <c r="N119" s="112"/>
      <c r="O119" s="181"/>
      <c r="R119" s="112"/>
      <c r="S119" s="181"/>
      <c r="V119" s="112"/>
      <c r="W119" s="181"/>
    </row>
    <row r="120" spans="2:23" ht="16.149999999999999" customHeight="1" x14ac:dyDescent="0.2">
      <c r="B120" s="634" t="s">
        <v>752</v>
      </c>
      <c r="C120" s="539"/>
      <c r="D120" s="1469"/>
      <c r="E120" s="1469"/>
      <c r="F120" s="1469"/>
      <c r="G120" s="1469"/>
      <c r="H120" s="1469"/>
      <c r="I120" s="1469"/>
      <c r="J120" s="1469"/>
      <c r="K120" s="1469"/>
      <c r="L120" s="1469"/>
      <c r="M120" s="1469"/>
      <c r="N120" s="1469"/>
      <c r="O120" s="1469"/>
      <c r="P120" s="1469"/>
      <c r="Q120" s="1469"/>
      <c r="R120" s="1469"/>
      <c r="S120" s="1469"/>
      <c r="T120" s="1469"/>
      <c r="U120" s="1469"/>
      <c r="V120" s="1469"/>
      <c r="W120" s="1470"/>
    </row>
    <row r="121" spans="2:23" ht="16.149999999999999" customHeight="1" x14ac:dyDescent="0.2">
      <c r="B121" s="1457"/>
      <c r="C121" s="1395"/>
      <c r="D121" s="1395"/>
      <c r="E121" s="1395"/>
      <c r="F121" s="1395"/>
      <c r="G121" s="1395"/>
      <c r="H121" s="1395"/>
      <c r="I121" s="1395"/>
      <c r="J121" s="1395"/>
      <c r="K121" s="1395"/>
      <c r="L121" s="1395"/>
      <c r="M121" s="1395"/>
      <c r="N121" s="1395"/>
      <c r="O121" s="1395"/>
      <c r="P121" s="1395"/>
      <c r="Q121" s="1395"/>
      <c r="R121" s="1395"/>
      <c r="S121" s="1395"/>
      <c r="T121" s="1395"/>
      <c r="U121" s="1395"/>
      <c r="V121" s="1395"/>
      <c r="W121" s="1458"/>
    </row>
    <row r="122" spans="2:23" ht="16.149999999999999" customHeight="1" x14ac:dyDescent="0.2">
      <c r="B122" s="1457"/>
      <c r="C122" s="1395"/>
      <c r="D122" s="1395"/>
      <c r="E122" s="1395"/>
      <c r="F122" s="1395"/>
      <c r="G122" s="1395"/>
      <c r="H122" s="1395"/>
      <c r="I122" s="1395"/>
      <c r="J122" s="1395"/>
      <c r="K122" s="1395"/>
      <c r="L122" s="1395"/>
      <c r="M122" s="1395"/>
      <c r="N122" s="1395"/>
      <c r="O122" s="1395"/>
      <c r="P122" s="1395"/>
      <c r="Q122" s="1395"/>
      <c r="R122" s="1395"/>
      <c r="S122" s="1395"/>
      <c r="T122" s="1395"/>
      <c r="U122" s="1395"/>
      <c r="V122" s="1395"/>
      <c r="W122" s="1458"/>
    </row>
    <row r="123" spans="2:23" ht="16.149999999999999" customHeight="1" x14ac:dyDescent="0.2">
      <c r="B123" s="1003"/>
      <c r="C123" s="45"/>
      <c r="D123" s="45"/>
      <c r="E123" s="45"/>
      <c r="F123" s="45"/>
      <c r="G123" s="45"/>
      <c r="H123" s="45"/>
      <c r="I123" s="45"/>
      <c r="J123" s="45"/>
      <c r="K123" s="45"/>
      <c r="L123" s="45"/>
      <c r="M123" s="45"/>
      <c r="N123" s="45"/>
      <c r="O123" s="45"/>
      <c r="P123" s="45"/>
      <c r="Q123" s="45"/>
      <c r="R123" s="45"/>
      <c r="S123" s="45"/>
      <c r="T123" s="45"/>
      <c r="U123" s="45"/>
      <c r="V123" s="45"/>
      <c r="W123" s="1004"/>
    </row>
    <row r="124" spans="2:23" ht="16.149999999999999" customHeight="1" x14ac:dyDescent="0.2">
      <c r="B124" s="1003"/>
      <c r="C124" s="45"/>
      <c r="D124" s="45"/>
      <c r="E124" s="45"/>
      <c r="F124" s="45"/>
      <c r="G124" s="45"/>
      <c r="H124" s="45"/>
      <c r="I124" s="45"/>
      <c r="J124" s="45"/>
      <c r="K124" s="45"/>
      <c r="L124" s="45"/>
      <c r="M124" s="45"/>
      <c r="N124" s="45"/>
      <c r="O124" s="45"/>
      <c r="P124" s="45"/>
      <c r="Q124" s="45"/>
      <c r="R124" s="45"/>
      <c r="S124" s="45"/>
      <c r="T124" s="45"/>
      <c r="U124" s="45"/>
      <c r="V124" s="45"/>
      <c r="W124" s="1004"/>
    </row>
    <row r="125" spans="2:23" ht="16.149999999999999" customHeight="1" thickBot="1" x14ac:dyDescent="0.25">
      <c r="B125" s="1013"/>
      <c r="C125" s="1014"/>
      <c r="D125" s="1015"/>
      <c r="E125" s="1016"/>
      <c r="F125" s="1014"/>
      <c r="G125" s="1016"/>
      <c r="H125" s="1017"/>
      <c r="I125" s="1017"/>
      <c r="J125" s="1014"/>
      <c r="K125" s="1016"/>
      <c r="L125" s="1017"/>
      <c r="M125" s="1018"/>
      <c r="N125" s="1014"/>
      <c r="O125" s="1016"/>
      <c r="P125" s="1017"/>
      <c r="Q125" s="1018"/>
      <c r="R125" s="1014"/>
      <c r="S125" s="1016"/>
      <c r="T125" s="1017"/>
      <c r="U125" s="1018"/>
      <c r="V125" s="1014"/>
      <c r="W125" s="1019"/>
    </row>
    <row r="126" spans="2:23" ht="16.149999999999999" customHeight="1" x14ac:dyDescent="0.2">
      <c r="B126" s="112"/>
      <c r="C126" s="112"/>
      <c r="F126" s="112"/>
      <c r="G126" s="181"/>
      <c r="J126" s="112"/>
      <c r="K126" s="181"/>
      <c r="N126" s="112"/>
      <c r="O126" s="181"/>
      <c r="R126" s="112"/>
      <c r="S126" s="181"/>
      <c r="V126" s="112"/>
      <c r="W126" s="181"/>
    </row>
    <row r="127" spans="2:23" ht="16.149999999999999" customHeight="1" x14ac:dyDescent="0.2">
      <c r="B127" s="112"/>
      <c r="C127" s="112"/>
      <c r="F127" s="112"/>
      <c r="G127" s="181"/>
      <c r="J127" s="112"/>
      <c r="K127" s="181"/>
      <c r="N127" s="112"/>
      <c r="O127" s="181"/>
      <c r="R127" s="112"/>
      <c r="S127" s="181"/>
      <c r="V127" s="112"/>
      <c r="W127" s="181"/>
    </row>
    <row r="128" spans="2:23" ht="16.149999999999999" customHeight="1" x14ac:dyDescent="0.2">
      <c r="B128" s="112"/>
      <c r="C128" s="112"/>
      <c r="F128" s="112"/>
      <c r="G128" s="181"/>
      <c r="J128" s="112"/>
      <c r="K128" s="181"/>
      <c r="N128" s="112"/>
      <c r="O128" s="181"/>
      <c r="R128" s="112"/>
      <c r="S128" s="181"/>
      <c r="V128" s="112"/>
      <c r="W128" s="181"/>
    </row>
    <row r="129" spans="2:23" ht="16.149999999999999" customHeight="1" x14ac:dyDescent="0.2">
      <c r="B129" s="112"/>
      <c r="C129" s="112"/>
      <c r="F129" s="112"/>
      <c r="G129" s="181"/>
      <c r="J129" s="112"/>
      <c r="K129" s="181"/>
      <c r="N129" s="112"/>
      <c r="O129" s="181"/>
      <c r="R129" s="112"/>
      <c r="S129" s="181"/>
      <c r="V129" s="112"/>
      <c r="W129" s="181"/>
    </row>
    <row r="130" spans="2:23" ht="16.149999999999999" customHeight="1" x14ac:dyDescent="0.2">
      <c r="B130" s="112"/>
      <c r="C130" s="112"/>
      <c r="F130" s="112"/>
      <c r="G130" s="181"/>
      <c r="J130" s="112"/>
      <c r="K130" s="181"/>
      <c r="N130" s="112"/>
      <c r="O130" s="181"/>
      <c r="R130" s="112"/>
      <c r="S130" s="181"/>
      <c r="V130" s="112"/>
      <c r="W130" s="181"/>
    </row>
    <row r="131" spans="2:23" ht="16.149999999999999" customHeight="1" x14ac:dyDescent="0.2">
      <c r="B131" s="112"/>
      <c r="C131" s="112"/>
      <c r="F131" s="112"/>
      <c r="G131" s="181"/>
      <c r="J131" s="112"/>
      <c r="K131" s="181"/>
      <c r="N131" s="112"/>
      <c r="O131" s="181"/>
      <c r="R131" s="112"/>
      <c r="S131" s="181"/>
      <c r="V131" s="112"/>
      <c r="W131" s="181"/>
    </row>
    <row r="132" spans="2:23" ht="16.149999999999999" customHeight="1" x14ac:dyDescent="0.2">
      <c r="B132" s="112"/>
      <c r="C132" s="112"/>
      <c r="F132" s="112"/>
      <c r="G132" s="181"/>
      <c r="J132" s="112"/>
      <c r="K132" s="181"/>
      <c r="N132" s="112"/>
      <c r="O132" s="181"/>
      <c r="R132" s="112"/>
      <c r="S132" s="181"/>
      <c r="V132" s="112"/>
      <c r="W132" s="181"/>
    </row>
    <row r="133" spans="2:23" ht="16.149999999999999" customHeight="1" x14ac:dyDescent="0.2">
      <c r="B133" s="112"/>
      <c r="C133" s="112"/>
      <c r="F133" s="112"/>
      <c r="G133" s="181"/>
      <c r="J133" s="112"/>
      <c r="K133" s="181"/>
      <c r="N133" s="112"/>
      <c r="O133" s="181"/>
      <c r="R133" s="112"/>
      <c r="S133" s="181"/>
      <c r="V133" s="112"/>
      <c r="W133" s="181"/>
    </row>
    <row r="134" spans="2:23" ht="16.149999999999999" customHeight="1" x14ac:dyDescent="0.2">
      <c r="B134" s="112"/>
      <c r="C134" s="112"/>
      <c r="F134" s="112"/>
      <c r="G134" s="181"/>
      <c r="J134" s="112"/>
      <c r="K134" s="181"/>
      <c r="N134" s="112"/>
      <c r="O134" s="181"/>
      <c r="R134" s="112"/>
      <c r="S134" s="181"/>
      <c r="V134" s="112"/>
      <c r="W134" s="181"/>
    </row>
    <row r="135" spans="2:23" ht="18" customHeight="1" x14ac:dyDescent="0.2">
      <c r="B135" s="112"/>
      <c r="C135" s="112"/>
      <c r="F135" s="112"/>
      <c r="G135" s="181"/>
      <c r="J135" s="112"/>
      <c r="K135" s="181"/>
      <c r="N135" s="112"/>
      <c r="O135" s="181"/>
      <c r="R135" s="112"/>
      <c r="S135" s="181"/>
      <c r="V135" s="112"/>
      <c r="W135" s="181"/>
    </row>
    <row r="136" spans="2:23" ht="16.149999999999999" customHeight="1" x14ac:dyDescent="0.2">
      <c r="B136" s="112"/>
      <c r="C136" s="112"/>
      <c r="F136" s="112"/>
      <c r="G136" s="181"/>
      <c r="J136" s="112"/>
      <c r="K136" s="181"/>
      <c r="N136" s="112"/>
      <c r="O136" s="181"/>
      <c r="R136" s="112"/>
      <c r="S136" s="181"/>
      <c r="V136" s="112"/>
      <c r="W136" s="181"/>
    </row>
    <row r="137" spans="2:23" ht="16.149999999999999" customHeight="1" x14ac:dyDescent="0.2">
      <c r="B137" s="112"/>
      <c r="C137" s="112"/>
      <c r="F137" s="112"/>
      <c r="G137" s="181"/>
      <c r="J137" s="112"/>
      <c r="K137" s="181"/>
      <c r="N137" s="112"/>
      <c r="O137" s="181"/>
      <c r="R137" s="112"/>
      <c r="S137" s="181"/>
      <c r="V137" s="112"/>
      <c r="W137" s="181"/>
    </row>
    <row r="138" spans="2:23" ht="16.149999999999999" customHeight="1" x14ac:dyDescent="0.2">
      <c r="B138" s="112"/>
      <c r="C138" s="112"/>
      <c r="F138" s="112"/>
      <c r="G138" s="181"/>
      <c r="J138" s="112"/>
      <c r="K138" s="181"/>
      <c r="N138" s="112"/>
      <c r="O138" s="181"/>
      <c r="R138" s="112"/>
      <c r="S138" s="181"/>
      <c r="V138" s="112"/>
      <c r="W138" s="181"/>
    </row>
    <row r="139" spans="2:23" ht="16.149999999999999" customHeight="1" x14ac:dyDescent="0.2">
      <c r="B139" s="112"/>
      <c r="C139" s="112"/>
      <c r="F139" s="112"/>
      <c r="G139" s="181"/>
      <c r="J139" s="112"/>
      <c r="K139" s="181"/>
      <c r="N139" s="112"/>
      <c r="O139" s="181"/>
      <c r="R139" s="112"/>
      <c r="S139" s="181"/>
      <c r="V139" s="112"/>
      <c r="W139" s="181"/>
    </row>
    <row r="140" spans="2:23" ht="16.149999999999999" customHeight="1" x14ac:dyDescent="0.2">
      <c r="B140" s="112"/>
      <c r="C140" s="112"/>
      <c r="F140" s="112"/>
      <c r="G140" s="181"/>
      <c r="J140" s="112"/>
      <c r="K140" s="181"/>
      <c r="N140" s="112"/>
      <c r="O140" s="181"/>
      <c r="R140" s="112"/>
      <c r="S140" s="181"/>
      <c r="V140" s="112"/>
      <c r="W140" s="181"/>
    </row>
    <row r="141" spans="2:23" ht="16.149999999999999" customHeight="1" x14ac:dyDescent="0.2">
      <c r="B141" s="112"/>
      <c r="C141" s="112"/>
      <c r="F141" s="112"/>
      <c r="G141" s="181"/>
      <c r="J141" s="112"/>
      <c r="K141" s="181"/>
      <c r="N141" s="112"/>
      <c r="O141" s="181"/>
      <c r="R141" s="112"/>
      <c r="S141" s="181"/>
      <c r="V141" s="112"/>
      <c r="W141" s="181"/>
    </row>
    <row r="142" spans="2:23" ht="16.149999999999999" customHeight="1" x14ac:dyDescent="0.2">
      <c r="B142" s="112"/>
      <c r="C142" s="112"/>
      <c r="F142" s="112"/>
      <c r="G142" s="181"/>
      <c r="J142" s="112"/>
      <c r="K142" s="181"/>
      <c r="N142" s="112"/>
      <c r="O142" s="181"/>
      <c r="R142" s="112"/>
      <c r="S142" s="181"/>
      <c r="V142" s="112"/>
      <c r="W142" s="181"/>
    </row>
    <row r="143" spans="2:23" ht="16.149999999999999" customHeight="1" x14ac:dyDescent="0.2">
      <c r="B143" s="112"/>
      <c r="C143" s="112"/>
      <c r="F143" s="112"/>
      <c r="G143" s="181"/>
      <c r="J143" s="112"/>
      <c r="K143" s="181"/>
      <c r="N143" s="112"/>
      <c r="O143" s="181"/>
      <c r="R143" s="112"/>
      <c r="S143" s="181"/>
      <c r="V143" s="112"/>
      <c r="W143" s="181"/>
    </row>
    <row r="144" spans="2:23" ht="16.149999999999999" customHeight="1" x14ac:dyDescent="0.2">
      <c r="B144" s="112"/>
      <c r="C144" s="112"/>
      <c r="F144" s="112"/>
      <c r="G144" s="181"/>
      <c r="J144" s="112"/>
      <c r="K144" s="181"/>
      <c r="N144" s="112"/>
      <c r="O144" s="181"/>
      <c r="R144" s="112"/>
      <c r="S144" s="181"/>
      <c r="V144" s="112"/>
      <c r="W144" s="181"/>
    </row>
  </sheetData>
  <sheetProtection algorithmName="SHA-512" hashValue="1fum1faNgAQnAhrkfKABA4kzhHl/6JW4XLkLmssFJAyftLx5JLGlYpUymOF1OSw0bzsT5xYbMx6Pfl5KdWh+nQ==" saltValue="o/qv87l+4Ye+hIl9PwdQAg==" spinCount="100000" sheet="1" formatRows="0" insertRows="0"/>
  <protectedRanges>
    <protectedRange sqref="B29:W34 B60:W65 B184:W189 B135:W142 B89:W95 B120:W124" name="Notes"/>
    <protectedRange sqref="F11:F14 J11:J14 J16:J20 N11:N14 N16:N20 R11:R14 R16:R20 V11:V14 V16:V20 F41:F44 F46:F50 J41:J44 J46:J50 N41:N44 N46:N50 R41:R44 R46:R50 V41:V44 V46:V50 E46:E48 U16:U17 F16:F20 F71:F74 J71:J74 J76:J80 N71:N74 N76:N80 R71:R74 R76:R80 V71:V74 V76:V80 U76:U77 F76:F80 F166:F169 F171:F175 J166:J169 J171:J175 N166:N169 N171:N175 R166:R169 R171:R175 V166:V169 V171:V175 U171:U173 Q171:Q173 M171:M173 I171:I173 E171:E173 F101:F104 J101:J104 J106:J110 N101:N104 N106:N110 R101:R104 R106:R110 V101:V104 V106:V110 U106:U107 F106:F110 I46:I48 M46:M48 Q46:Q48 U46:U48" name="Data Entry 1"/>
    <protectedRange sqref="E12:E14 E16:E18 E20 I20 M20 Q20 U20 E50 I50 M50 Q50 U50 I12:I14 M12:M14 Q12:Q14 U12:U14 U42:U44 Q42:Q44 M42:M44 I42:I44 E42:E44 E80 I80 M80 Q80 U80 I72:I74 M72:M74 Q72:Q74 U72:U74 E175 I175 M175 Q175 U175 U167:U169 Q167:Q169 M167:M169 I167:I169 E167:E169 E102:E104 E106:E108 E110 I110 M110 Q110 U110 I102:I104 M102:M104 Q102:Q104 U102:U104 I106:I108 M106:M108 Q106:Q108 U108 E76:E78 I76:I78 M76:M78 Q76:Q78 U78 E72:E74 I16:I18 M16:M18 Q16:Q18 U18" name="Data Entry 2"/>
  </protectedRanges>
  <mergeCells count="133">
    <mergeCell ref="T114:V114"/>
    <mergeCell ref="D89:W89"/>
    <mergeCell ref="B90:W90"/>
    <mergeCell ref="B92:W92"/>
    <mergeCell ref="B93:W93"/>
    <mergeCell ref="B94:W94"/>
    <mergeCell ref="D97:G97"/>
    <mergeCell ref="H97:K97"/>
    <mergeCell ref="L97:O97"/>
    <mergeCell ref="P97:S97"/>
    <mergeCell ref="T97:W97"/>
    <mergeCell ref="B121:W121"/>
    <mergeCell ref="B122:W122"/>
    <mergeCell ref="D120:W120"/>
    <mergeCell ref="D85:F85"/>
    <mergeCell ref="D105:G105"/>
    <mergeCell ref="H105:K105"/>
    <mergeCell ref="L105:O105"/>
    <mergeCell ref="P105:S105"/>
    <mergeCell ref="T105:W105"/>
    <mergeCell ref="D98:G98"/>
    <mergeCell ref="H98:K98"/>
    <mergeCell ref="L98:O98"/>
    <mergeCell ref="P98:S98"/>
    <mergeCell ref="T98:W98"/>
    <mergeCell ref="D115:F115"/>
    <mergeCell ref="D113:F113"/>
    <mergeCell ref="H113:J113"/>
    <mergeCell ref="L113:N113"/>
    <mergeCell ref="P113:R113"/>
    <mergeCell ref="T113:V113"/>
    <mergeCell ref="D114:F114"/>
    <mergeCell ref="H114:J114"/>
    <mergeCell ref="L114:N114"/>
    <mergeCell ref="P114:R114"/>
    <mergeCell ref="D84:F84"/>
    <mergeCell ref="H84:J84"/>
    <mergeCell ref="L84:N84"/>
    <mergeCell ref="P84:R84"/>
    <mergeCell ref="T84:V84"/>
    <mergeCell ref="D83:F83"/>
    <mergeCell ref="H83:J83"/>
    <mergeCell ref="L83:N83"/>
    <mergeCell ref="P83:R83"/>
    <mergeCell ref="T83:V83"/>
    <mergeCell ref="D75:G75"/>
    <mergeCell ref="H75:K75"/>
    <mergeCell ref="L75:O75"/>
    <mergeCell ref="P75:S75"/>
    <mergeCell ref="T75:W75"/>
    <mergeCell ref="D68:G68"/>
    <mergeCell ref="H68:K68"/>
    <mergeCell ref="L68:O68"/>
    <mergeCell ref="P68:S68"/>
    <mergeCell ref="T68:W68"/>
    <mergeCell ref="D67:G67"/>
    <mergeCell ref="H67:K67"/>
    <mergeCell ref="L67:O67"/>
    <mergeCell ref="P67:S67"/>
    <mergeCell ref="T67:W67"/>
    <mergeCell ref="D45:G45"/>
    <mergeCell ref="H53:J53"/>
    <mergeCell ref="H54:J54"/>
    <mergeCell ref="L37:O37"/>
    <mergeCell ref="L38:O38"/>
    <mergeCell ref="L45:O45"/>
    <mergeCell ref="L53:N53"/>
    <mergeCell ref="L54:N54"/>
    <mergeCell ref="H37:K37"/>
    <mergeCell ref="H38:K38"/>
    <mergeCell ref="T38:W38"/>
    <mergeCell ref="T45:W45"/>
    <mergeCell ref="T53:V53"/>
    <mergeCell ref="T54:V54"/>
    <mergeCell ref="P37:S37"/>
    <mergeCell ref="P38:S38"/>
    <mergeCell ref="P45:S45"/>
    <mergeCell ref="P7:S7"/>
    <mergeCell ref="D8:G8"/>
    <mergeCell ref="H8:K8"/>
    <mergeCell ref="D25:F25"/>
    <mergeCell ref="H23:J23"/>
    <mergeCell ref="H24:J24"/>
    <mergeCell ref="D24:F24"/>
    <mergeCell ref="D23:F23"/>
    <mergeCell ref="D7:G7"/>
    <mergeCell ref="H15:K15"/>
    <mergeCell ref="L15:O15"/>
    <mergeCell ref="P15:S15"/>
    <mergeCell ref="B2:C2"/>
    <mergeCell ref="B3:C3"/>
    <mergeCell ref="B4:C4"/>
    <mergeCell ref="B5:C5"/>
    <mergeCell ref="D2:G2"/>
    <mergeCell ref="D3:G3"/>
    <mergeCell ref="D4:G4"/>
    <mergeCell ref="D5:E5"/>
    <mergeCell ref="D29:W29"/>
    <mergeCell ref="T15:W15"/>
    <mergeCell ref="D15:G15"/>
    <mergeCell ref="D6:W6"/>
    <mergeCell ref="T23:V23"/>
    <mergeCell ref="T24:V24"/>
    <mergeCell ref="P24:R24"/>
    <mergeCell ref="L24:N24"/>
    <mergeCell ref="T7:W7"/>
    <mergeCell ref="T8:W8"/>
    <mergeCell ref="P23:R23"/>
    <mergeCell ref="L23:N23"/>
    <mergeCell ref="L8:O8"/>
    <mergeCell ref="P8:S8"/>
    <mergeCell ref="H7:K7"/>
    <mergeCell ref="L7:O7"/>
    <mergeCell ref="B30:W30"/>
    <mergeCell ref="B31:W31"/>
    <mergeCell ref="B32:W32"/>
    <mergeCell ref="B33:W33"/>
    <mergeCell ref="B34:W34"/>
    <mergeCell ref="B64:W64"/>
    <mergeCell ref="B65:W65"/>
    <mergeCell ref="B62:W62"/>
    <mergeCell ref="B63:W63"/>
    <mergeCell ref="D53:F53"/>
    <mergeCell ref="D54:F54"/>
    <mergeCell ref="D38:G38"/>
    <mergeCell ref="H45:K45"/>
    <mergeCell ref="D60:W60"/>
    <mergeCell ref="B61:W61"/>
    <mergeCell ref="D37:G37"/>
    <mergeCell ref="D36:W36"/>
    <mergeCell ref="P53:R53"/>
    <mergeCell ref="P54:R54"/>
    <mergeCell ref="T37:W37"/>
  </mergeCells>
  <phoneticPr fontId="12" type="noConversion"/>
  <conditionalFormatting sqref="E46:E48 E12:E14 E16:E18 I12:I14 M12:M14 Q12:Q14 U12:U14 E42:E44 I16:I18 M16:M18 Q16:Q18 U16:U18">
    <cfRule type="expression" dxfId="650" priority="37" stopIfTrue="1">
      <formula>AND(F12&gt;0,ISBLANK(E12))</formula>
    </cfRule>
  </conditionalFormatting>
  <conditionalFormatting sqref="I46:I47">
    <cfRule type="expression" dxfId="649" priority="36" stopIfTrue="1">
      <formula>AND(J46&gt;0,ISBLANK(I46))</formula>
    </cfRule>
  </conditionalFormatting>
  <conditionalFormatting sqref="M46:M47">
    <cfRule type="expression" dxfId="648" priority="35" stopIfTrue="1">
      <formula>AND(N46&gt;0,ISBLANK(M46))</formula>
    </cfRule>
  </conditionalFormatting>
  <conditionalFormatting sqref="Q46:Q47">
    <cfRule type="expression" dxfId="647" priority="34" stopIfTrue="1">
      <formula>AND(R46&gt;0,ISBLANK(Q46))</formula>
    </cfRule>
  </conditionalFormatting>
  <conditionalFormatting sqref="U46:U47">
    <cfRule type="expression" dxfId="646" priority="33" stopIfTrue="1">
      <formula>AND(V46&gt;0,ISBLANK(U46))</formula>
    </cfRule>
  </conditionalFormatting>
  <conditionalFormatting sqref="U42:U43">
    <cfRule type="expression" dxfId="645" priority="32" stopIfTrue="1">
      <formula>AND(V42&gt;0,ISBLANK(U42))</formula>
    </cfRule>
  </conditionalFormatting>
  <conditionalFormatting sqref="Q42:Q43">
    <cfRule type="expression" dxfId="644" priority="31" stopIfTrue="1">
      <formula>AND(R42&gt;0,ISBLANK(Q42))</formula>
    </cfRule>
  </conditionalFormatting>
  <conditionalFormatting sqref="M42:M43">
    <cfRule type="expression" dxfId="643" priority="30" stopIfTrue="1">
      <formula>AND(N42&gt;0,ISBLANK(M42))</formula>
    </cfRule>
  </conditionalFormatting>
  <conditionalFormatting sqref="I42:I43">
    <cfRule type="expression" dxfId="642" priority="29" stopIfTrue="1">
      <formula>AND(J42&gt;0,ISBLANK(I42))</formula>
    </cfRule>
  </conditionalFormatting>
  <conditionalFormatting sqref="U44">
    <cfRule type="expression" dxfId="641" priority="28" stopIfTrue="1">
      <formula>AND(V44&gt;0,ISBLANK(U44))</formula>
    </cfRule>
  </conditionalFormatting>
  <conditionalFormatting sqref="Q44">
    <cfRule type="expression" dxfId="640" priority="27" stopIfTrue="1">
      <formula>AND(R44&gt;0,ISBLANK(Q44))</formula>
    </cfRule>
  </conditionalFormatting>
  <conditionalFormatting sqref="M44">
    <cfRule type="expression" dxfId="639" priority="26" stopIfTrue="1">
      <formula>AND(N44&gt;0,ISBLANK(M44))</formula>
    </cfRule>
  </conditionalFormatting>
  <conditionalFormatting sqref="I44">
    <cfRule type="expression" dxfId="638" priority="25" stopIfTrue="1">
      <formula>AND(J44&gt;0,ISBLANK(I44))</formula>
    </cfRule>
  </conditionalFormatting>
  <conditionalFormatting sqref="U76:U77 M76:M77 Q76:Q77 E76:E77 I76:I77 I72:I74 M72:M74 Q72:Q74 U72:U74 E72:E74">
    <cfRule type="expression" dxfId="637" priority="24" stopIfTrue="1">
      <formula>AND(F72&gt;0,ISBLANK(E72))</formula>
    </cfRule>
  </conditionalFormatting>
  <conditionalFormatting sqref="E154:E156 E150:E152">
    <cfRule type="expression" dxfId="636" priority="23" stopIfTrue="1">
      <formula>AND(F150&gt;0,ISBLANK(E150))</formula>
    </cfRule>
  </conditionalFormatting>
  <conditionalFormatting sqref="I154:I156">
    <cfRule type="expression" dxfId="635" priority="22" stopIfTrue="1">
      <formula>AND(J154&gt;0,ISBLANK(I154))</formula>
    </cfRule>
  </conditionalFormatting>
  <conditionalFormatting sqref="M154:M156">
    <cfRule type="expression" dxfId="634" priority="21" stopIfTrue="1">
      <formula>AND(N154&gt;0,ISBLANK(M154))</formula>
    </cfRule>
  </conditionalFormatting>
  <conditionalFormatting sqref="Q154:Q156">
    <cfRule type="expression" dxfId="633" priority="20" stopIfTrue="1">
      <formula>AND(R154&gt;0,ISBLANK(Q154))</formula>
    </cfRule>
  </conditionalFormatting>
  <conditionalFormatting sqref="U154:U156">
    <cfRule type="expression" dxfId="632" priority="19" stopIfTrue="1">
      <formula>AND(V154&gt;0,ISBLANK(U154))</formula>
    </cfRule>
  </conditionalFormatting>
  <conditionalFormatting sqref="U150:U151">
    <cfRule type="expression" dxfId="631" priority="18" stopIfTrue="1">
      <formula>AND(V150&gt;0,ISBLANK(U150))</formula>
    </cfRule>
  </conditionalFormatting>
  <conditionalFormatting sqref="Q150:Q151">
    <cfRule type="expression" dxfId="630" priority="17" stopIfTrue="1">
      <formula>AND(R150&gt;0,ISBLANK(Q150))</formula>
    </cfRule>
  </conditionalFormatting>
  <conditionalFormatting sqref="M150:M151">
    <cfRule type="expression" dxfId="629" priority="16" stopIfTrue="1">
      <formula>AND(N150&gt;0,ISBLANK(M150))</formula>
    </cfRule>
  </conditionalFormatting>
  <conditionalFormatting sqref="I150:I151">
    <cfRule type="expression" dxfId="628" priority="15" stopIfTrue="1">
      <formula>AND(J150&gt;0,ISBLANK(I150))</formula>
    </cfRule>
  </conditionalFormatting>
  <conditionalFormatting sqref="U152">
    <cfRule type="expression" dxfId="627" priority="14" stopIfTrue="1">
      <formula>AND(V152&gt;0,ISBLANK(U152))</formula>
    </cfRule>
  </conditionalFormatting>
  <conditionalFormatting sqref="Q152">
    <cfRule type="expression" dxfId="626" priority="13" stopIfTrue="1">
      <formula>AND(R152&gt;0,ISBLANK(Q152))</formula>
    </cfRule>
  </conditionalFormatting>
  <conditionalFormatting sqref="M152">
    <cfRule type="expression" dxfId="625" priority="12" stopIfTrue="1">
      <formula>AND(N152&gt;0,ISBLANK(M152))</formula>
    </cfRule>
  </conditionalFormatting>
  <conditionalFormatting sqref="I152">
    <cfRule type="expression" dxfId="624" priority="11" stopIfTrue="1">
      <formula>AND(J152&gt;0,ISBLANK(I152))</formula>
    </cfRule>
  </conditionalFormatting>
  <conditionalFormatting sqref="E102:E104 E106:E108 I102:I104 M102:M104 Q102:Q104 U102:U104 I106:I108 M106:M108 Q106:Q108 U106:U108">
    <cfRule type="expression" dxfId="623" priority="10" stopIfTrue="1">
      <formula>AND(F102&gt;0,ISBLANK(E102))</formula>
    </cfRule>
  </conditionalFormatting>
  <conditionalFormatting sqref="U78 Q78 M78 I78 E78">
    <cfRule type="expression" dxfId="622" priority="5" stopIfTrue="1">
      <formula>AND(F78&gt;0,ISBLANK(E78))</formula>
    </cfRule>
  </conditionalFormatting>
  <conditionalFormatting sqref="U48 Q48 M48 I48">
    <cfRule type="expression" dxfId="621" priority="1" stopIfTrue="1">
      <formula>AND(J48&gt;0,ISBLANK(I48))</formula>
    </cfRule>
  </conditionalFormatting>
  <printOptions horizontalCentered="1"/>
  <pageMargins left="0.25" right="0.25" top="0.75" bottom="0.75" header="0.3" footer="0.3"/>
  <pageSetup scale="50" orientation="landscape" r:id="rId1"/>
  <headerFooter alignWithMargins="0">
    <oddFooter xml:space="preserve">&amp;R&amp;6&amp;Z&amp;F   &amp;D
&amp;7© 2016 TRC   All rights reserved.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Drop Down 1">
              <controlPr defaultSize="0" autoLine="0" autoPict="0">
                <anchor moveWithCells="1">
                  <from>
                    <xdr:col>2</xdr:col>
                    <xdr:colOff>0</xdr:colOff>
                    <xdr:row>15</xdr:row>
                    <xdr:rowOff>19050</xdr:rowOff>
                  </from>
                  <to>
                    <xdr:col>3</xdr:col>
                    <xdr:colOff>552450</xdr:colOff>
                    <xdr:row>16</xdr:row>
                    <xdr:rowOff>19050</xdr:rowOff>
                  </to>
                </anchor>
              </controlPr>
            </control>
          </mc:Choice>
        </mc:AlternateContent>
        <mc:AlternateContent xmlns:mc="http://schemas.openxmlformats.org/markup-compatibility/2006">
          <mc:Choice Requires="x14">
            <control shapeId="24578" r:id="rId5" name="Drop Down 2">
              <controlPr defaultSize="0" autoLine="0" autoPict="0">
                <anchor moveWithCells="1">
                  <from>
                    <xdr:col>2</xdr:col>
                    <xdr:colOff>0</xdr:colOff>
                    <xdr:row>16</xdr:row>
                    <xdr:rowOff>19050</xdr:rowOff>
                  </from>
                  <to>
                    <xdr:col>3</xdr:col>
                    <xdr:colOff>552450</xdr:colOff>
                    <xdr:row>17</xdr:row>
                    <xdr:rowOff>19050</xdr:rowOff>
                  </to>
                </anchor>
              </controlPr>
            </control>
          </mc:Choice>
        </mc:AlternateContent>
        <mc:AlternateContent xmlns:mc="http://schemas.openxmlformats.org/markup-compatibility/2006">
          <mc:Choice Requires="x14">
            <control shapeId="24580" r:id="rId6" name="Drop Down 4">
              <controlPr defaultSize="0" autoLine="0" autoPict="0">
                <anchor moveWithCells="1">
                  <from>
                    <xdr:col>7</xdr:col>
                    <xdr:colOff>0</xdr:colOff>
                    <xdr:row>15</xdr:row>
                    <xdr:rowOff>19050</xdr:rowOff>
                  </from>
                  <to>
                    <xdr:col>8</xdr:col>
                    <xdr:colOff>19050</xdr:colOff>
                    <xdr:row>16</xdr:row>
                    <xdr:rowOff>19050</xdr:rowOff>
                  </to>
                </anchor>
              </controlPr>
            </control>
          </mc:Choice>
        </mc:AlternateContent>
        <mc:AlternateContent xmlns:mc="http://schemas.openxmlformats.org/markup-compatibility/2006">
          <mc:Choice Requires="x14">
            <control shapeId="24581" r:id="rId7" name="Drop Down 5">
              <controlPr defaultSize="0" autoLine="0" autoPict="0">
                <anchor moveWithCells="1">
                  <from>
                    <xdr:col>7</xdr:col>
                    <xdr:colOff>0</xdr:colOff>
                    <xdr:row>16</xdr:row>
                    <xdr:rowOff>19050</xdr:rowOff>
                  </from>
                  <to>
                    <xdr:col>8</xdr:col>
                    <xdr:colOff>19050</xdr:colOff>
                    <xdr:row>17</xdr:row>
                    <xdr:rowOff>19050</xdr:rowOff>
                  </to>
                </anchor>
              </controlPr>
            </control>
          </mc:Choice>
        </mc:AlternateContent>
        <mc:AlternateContent xmlns:mc="http://schemas.openxmlformats.org/markup-compatibility/2006">
          <mc:Choice Requires="x14">
            <control shapeId="24582" r:id="rId8" name="Drop Down 6">
              <controlPr defaultSize="0" autoLine="0" autoPict="0">
                <anchor moveWithCells="1">
                  <from>
                    <xdr:col>11</xdr:col>
                    <xdr:colOff>0</xdr:colOff>
                    <xdr:row>15</xdr:row>
                    <xdr:rowOff>0</xdr:rowOff>
                  </from>
                  <to>
                    <xdr:col>12</xdr:col>
                    <xdr:colOff>19050</xdr:colOff>
                    <xdr:row>16</xdr:row>
                    <xdr:rowOff>0</xdr:rowOff>
                  </to>
                </anchor>
              </controlPr>
            </control>
          </mc:Choice>
        </mc:AlternateContent>
        <mc:AlternateContent xmlns:mc="http://schemas.openxmlformats.org/markup-compatibility/2006">
          <mc:Choice Requires="x14">
            <control shapeId="24583" r:id="rId9" name="Drop Down 7">
              <controlPr defaultSize="0" autoLine="0" autoPict="0">
                <anchor moveWithCells="1">
                  <from>
                    <xdr:col>11</xdr:col>
                    <xdr:colOff>0</xdr:colOff>
                    <xdr:row>16</xdr:row>
                    <xdr:rowOff>0</xdr:rowOff>
                  </from>
                  <to>
                    <xdr:col>12</xdr:col>
                    <xdr:colOff>19050</xdr:colOff>
                    <xdr:row>17</xdr:row>
                    <xdr:rowOff>0</xdr:rowOff>
                  </to>
                </anchor>
              </controlPr>
            </control>
          </mc:Choice>
        </mc:AlternateContent>
        <mc:AlternateContent xmlns:mc="http://schemas.openxmlformats.org/markup-compatibility/2006">
          <mc:Choice Requires="x14">
            <control shapeId="24585" r:id="rId10" name="Drop Down 9">
              <controlPr defaultSize="0" autoLine="0" autoPict="0">
                <anchor moveWithCells="1">
                  <from>
                    <xdr:col>15</xdr:col>
                    <xdr:colOff>0</xdr:colOff>
                    <xdr:row>15</xdr:row>
                    <xdr:rowOff>0</xdr:rowOff>
                  </from>
                  <to>
                    <xdr:col>16</xdr:col>
                    <xdr:colOff>19050</xdr:colOff>
                    <xdr:row>16</xdr:row>
                    <xdr:rowOff>0</xdr:rowOff>
                  </to>
                </anchor>
              </controlPr>
            </control>
          </mc:Choice>
        </mc:AlternateContent>
        <mc:AlternateContent xmlns:mc="http://schemas.openxmlformats.org/markup-compatibility/2006">
          <mc:Choice Requires="x14">
            <control shapeId="24586" r:id="rId11" name="Drop Down 10">
              <controlPr defaultSize="0" autoLine="0" autoPict="0">
                <anchor moveWithCells="1">
                  <from>
                    <xdr:col>15</xdr:col>
                    <xdr:colOff>0</xdr:colOff>
                    <xdr:row>16</xdr:row>
                    <xdr:rowOff>0</xdr:rowOff>
                  </from>
                  <to>
                    <xdr:col>16</xdr:col>
                    <xdr:colOff>19050</xdr:colOff>
                    <xdr:row>17</xdr:row>
                    <xdr:rowOff>0</xdr:rowOff>
                  </to>
                </anchor>
              </controlPr>
            </control>
          </mc:Choice>
        </mc:AlternateContent>
        <mc:AlternateContent xmlns:mc="http://schemas.openxmlformats.org/markup-compatibility/2006">
          <mc:Choice Requires="x14">
            <control shapeId="24588" r:id="rId12" name="Drop Down 12">
              <controlPr defaultSize="0" autoLine="0" autoPict="0">
                <anchor moveWithCells="1">
                  <from>
                    <xdr:col>19</xdr:col>
                    <xdr:colOff>0</xdr:colOff>
                    <xdr:row>15</xdr:row>
                    <xdr:rowOff>0</xdr:rowOff>
                  </from>
                  <to>
                    <xdr:col>20</xdr:col>
                    <xdr:colOff>19050</xdr:colOff>
                    <xdr:row>16</xdr:row>
                    <xdr:rowOff>0</xdr:rowOff>
                  </to>
                </anchor>
              </controlPr>
            </control>
          </mc:Choice>
        </mc:AlternateContent>
        <mc:AlternateContent xmlns:mc="http://schemas.openxmlformats.org/markup-compatibility/2006">
          <mc:Choice Requires="x14">
            <control shapeId="24589" r:id="rId13" name="Drop Down 13">
              <controlPr defaultSize="0" autoLine="0" autoPict="0">
                <anchor moveWithCells="1">
                  <from>
                    <xdr:col>19</xdr:col>
                    <xdr:colOff>0</xdr:colOff>
                    <xdr:row>16</xdr:row>
                    <xdr:rowOff>0</xdr:rowOff>
                  </from>
                  <to>
                    <xdr:col>20</xdr:col>
                    <xdr:colOff>19050</xdr:colOff>
                    <xdr:row>17</xdr:row>
                    <xdr:rowOff>0</xdr:rowOff>
                  </to>
                </anchor>
              </controlPr>
            </control>
          </mc:Choice>
        </mc:AlternateContent>
        <mc:AlternateContent xmlns:mc="http://schemas.openxmlformats.org/markup-compatibility/2006">
          <mc:Choice Requires="x14">
            <control shapeId="24591" r:id="rId14" name="Drop Down 15">
              <controlPr defaultSize="0" autoLine="0" autoPict="0">
                <anchor moveWithCells="1">
                  <from>
                    <xdr:col>3</xdr:col>
                    <xdr:colOff>0</xdr:colOff>
                    <xdr:row>44</xdr:row>
                    <xdr:rowOff>190500</xdr:rowOff>
                  </from>
                  <to>
                    <xdr:col>3</xdr:col>
                    <xdr:colOff>561975</xdr:colOff>
                    <xdr:row>45</xdr:row>
                    <xdr:rowOff>190500</xdr:rowOff>
                  </to>
                </anchor>
              </controlPr>
            </control>
          </mc:Choice>
        </mc:AlternateContent>
        <mc:AlternateContent xmlns:mc="http://schemas.openxmlformats.org/markup-compatibility/2006">
          <mc:Choice Requires="x14">
            <control shapeId="24592" r:id="rId15" name="Drop Down 16">
              <controlPr defaultSize="0" autoLine="0" autoPict="0">
                <anchor moveWithCells="1">
                  <from>
                    <xdr:col>3</xdr:col>
                    <xdr:colOff>0</xdr:colOff>
                    <xdr:row>46</xdr:row>
                    <xdr:rowOff>0</xdr:rowOff>
                  </from>
                  <to>
                    <xdr:col>3</xdr:col>
                    <xdr:colOff>561975</xdr:colOff>
                    <xdr:row>47</xdr:row>
                    <xdr:rowOff>0</xdr:rowOff>
                  </to>
                </anchor>
              </controlPr>
            </control>
          </mc:Choice>
        </mc:AlternateContent>
        <mc:AlternateContent xmlns:mc="http://schemas.openxmlformats.org/markup-compatibility/2006">
          <mc:Choice Requires="x14">
            <control shapeId="24601" r:id="rId16" name="Drop Down 25">
              <controlPr defaultSize="0" autoLine="0" autoPict="0">
                <anchor moveWithCells="1">
                  <from>
                    <xdr:col>1</xdr:col>
                    <xdr:colOff>19050</xdr:colOff>
                    <xdr:row>18</xdr:row>
                    <xdr:rowOff>0</xdr:rowOff>
                  </from>
                  <to>
                    <xdr:col>1</xdr:col>
                    <xdr:colOff>1790700</xdr:colOff>
                    <xdr:row>19</xdr:row>
                    <xdr:rowOff>0</xdr:rowOff>
                  </to>
                </anchor>
              </controlPr>
            </control>
          </mc:Choice>
        </mc:AlternateContent>
        <mc:AlternateContent xmlns:mc="http://schemas.openxmlformats.org/markup-compatibility/2006">
          <mc:Choice Requires="x14">
            <control shapeId="24602" r:id="rId17" name="Drop Down 26">
              <controlPr defaultSize="0" print="0" autoLine="0" autoPict="0">
                <anchor moveWithCells="1">
                  <from>
                    <xdr:col>0</xdr:col>
                    <xdr:colOff>0</xdr:colOff>
                    <xdr:row>10</xdr:row>
                    <xdr:rowOff>0</xdr:rowOff>
                  </from>
                  <to>
                    <xdr:col>1</xdr:col>
                    <xdr:colOff>847725</xdr:colOff>
                    <xdr:row>11</xdr:row>
                    <xdr:rowOff>0</xdr:rowOff>
                  </to>
                </anchor>
              </controlPr>
            </control>
          </mc:Choice>
        </mc:AlternateContent>
        <mc:AlternateContent xmlns:mc="http://schemas.openxmlformats.org/markup-compatibility/2006">
          <mc:Choice Requires="x14">
            <control shapeId="24603" r:id="rId18" name="Drop Down 27">
              <controlPr defaultSize="0" autoLine="0" autoPict="0">
                <anchor moveWithCells="1">
                  <from>
                    <xdr:col>2</xdr:col>
                    <xdr:colOff>0</xdr:colOff>
                    <xdr:row>10</xdr:row>
                    <xdr:rowOff>0</xdr:rowOff>
                  </from>
                  <to>
                    <xdr:col>3</xdr:col>
                    <xdr:colOff>552450</xdr:colOff>
                    <xdr:row>11</xdr:row>
                    <xdr:rowOff>0</xdr:rowOff>
                  </to>
                </anchor>
              </controlPr>
            </control>
          </mc:Choice>
        </mc:AlternateContent>
        <mc:AlternateContent xmlns:mc="http://schemas.openxmlformats.org/markup-compatibility/2006">
          <mc:Choice Requires="x14">
            <control shapeId="24604" r:id="rId19" name="Drop Down 28">
              <controlPr defaultSize="0" autoLine="0" autoPict="0">
                <anchor moveWithCells="1">
                  <from>
                    <xdr:col>2</xdr:col>
                    <xdr:colOff>0</xdr:colOff>
                    <xdr:row>18</xdr:row>
                    <xdr:rowOff>0</xdr:rowOff>
                  </from>
                  <to>
                    <xdr:col>3</xdr:col>
                    <xdr:colOff>552450</xdr:colOff>
                    <xdr:row>19</xdr:row>
                    <xdr:rowOff>0</xdr:rowOff>
                  </to>
                </anchor>
              </controlPr>
            </control>
          </mc:Choice>
        </mc:AlternateContent>
        <mc:AlternateContent xmlns:mc="http://schemas.openxmlformats.org/markup-compatibility/2006">
          <mc:Choice Requires="x14">
            <control shapeId="24605" r:id="rId20" name="Drop Down 29">
              <controlPr defaultSize="0" autoLine="0" autoPict="0">
                <anchor moveWithCells="1">
                  <from>
                    <xdr:col>7</xdr:col>
                    <xdr:colOff>0</xdr:colOff>
                    <xdr:row>18</xdr:row>
                    <xdr:rowOff>0</xdr:rowOff>
                  </from>
                  <to>
                    <xdr:col>8</xdr:col>
                    <xdr:colOff>19050</xdr:colOff>
                    <xdr:row>19</xdr:row>
                    <xdr:rowOff>0</xdr:rowOff>
                  </to>
                </anchor>
              </controlPr>
            </control>
          </mc:Choice>
        </mc:AlternateContent>
        <mc:AlternateContent xmlns:mc="http://schemas.openxmlformats.org/markup-compatibility/2006">
          <mc:Choice Requires="x14">
            <control shapeId="24606" r:id="rId21" name="Drop Down 30">
              <controlPr defaultSize="0" autoLine="0" autoPict="0">
                <anchor moveWithCells="1">
                  <from>
                    <xdr:col>11</xdr:col>
                    <xdr:colOff>0</xdr:colOff>
                    <xdr:row>17</xdr:row>
                    <xdr:rowOff>190500</xdr:rowOff>
                  </from>
                  <to>
                    <xdr:col>12</xdr:col>
                    <xdr:colOff>19050</xdr:colOff>
                    <xdr:row>18</xdr:row>
                    <xdr:rowOff>190500</xdr:rowOff>
                  </to>
                </anchor>
              </controlPr>
            </control>
          </mc:Choice>
        </mc:AlternateContent>
        <mc:AlternateContent xmlns:mc="http://schemas.openxmlformats.org/markup-compatibility/2006">
          <mc:Choice Requires="x14">
            <control shapeId="24607" r:id="rId22" name="Drop Down 31">
              <controlPr defaultSize="0" autoLine="0" autoPict="0">
                <anchor moveWithCells="1">
                  <from>
                    <xdr:col>15</xdr:col>
                    <xdr:colOff>0</xdr:colOff>
                    <xdr:row>18</xdr:row>
                    <xdr:rowOff>0</xdr:rowOff>
                  </from>
                  <to>
                    <xdr:col>16</xdr:col>
                    <xdr:colOff>19050</xdr:colOff>
                    <xdr:row>19</xdr:row>
                    <xdr:rowOff>0</xdr:rowOff>
                  </to>
                </anchor>
              </controlPr>
            </control>
          </mc:Choice>
        </mc:AlternateContent>
        <mc:AlternateContent xmlns:mc="http://schemas.openxmlformats.org/markup-compatibility/2006">
          <mc:Choice Requires="x14">
            <control shapeId="24608" r:id="rId23" name="Drop Down 32">
              <controlPr defaultSize="0" autoLine="0" autoPict="0">
                <anchor moveWithCells="1">
                  <from>
                    <xdr:col>19</xdr:col>
                    <xdr:colOff>0</xdr:colOff>
                    <xdr:row>18</xdr:row>
                    <xdr:rowOff>0</xdr:rowOff>
                  </from>
                  <to>
                    <xdr:col>20</xdr:col>
                    <xdr:colOff>19050</xdr:colOff>
                    <xdr:row>19</xdr:row>
                    <xdr:rowOff>0</xdr:rowOff>
                  </to>
                </anchor>
              </controlPr>
            </control>
          </mc:Choice>
        </mc:AlternateContent>
        <mc:AlternateContent xmlns:mc="http://schemas.openxmlformats.org/markup-compatibility/2006">
          <mc:Choice Requires="x14">
            <control shapeId="24609" r:id="rId24" name="Drop Down 33">
              <controlPr defaultSize="0" autoLine="0" autoPict="0">
                <anchor moveWithCells="1">
                  <from>
                    <xdr:col>3</xdr:col>
                    <xdr:colOff>0</xdr:colOff>
                    <xdr:row>48</xdr:row>
                    <xdr:rowOff>0</xdr:rowOff>
                  </from>
                  <to>
                    <xdr:col>3</xdr:col>
                    <xdr:colOff>561975</xdr:colOff>
                    <xdr:row>49</xdr:row>
                    <xdr:rowOff>0</xdr:rowOff>
                  </to>
                </anchor>
              </controlPr>
            </control>
          </mc:Choice>
        </mc:AlternateContent>
        <mc:AlternateContent xmlns:mc="http://schemas.openxmlformats.org/markup-compatibility/2006">
          <mc:Choice Requires="x14">
            <control shapeId="24610" r:id="rId25" name="Drop Down 34">
              <controlPr defaultSize="0" autoLine="0" autoPict="0">
                <anchor moveWithCells="1">
                  <from>
                    <xdr:col>7</xdr:col>
                    <xdr:colOff>0</xdr:colOff>
                    <xdr:row>10</xdr:row>
                    <xdr:rowOff>0</xdr:rowOff>
                  </from>
                  <to>
                    <xdr:col>8</xdr:col>
                    <xdr:colOff>19050</xdr:colOff>
                    <xdr:row>11</xdr:row>
                    <xdr:rowOff>0</xdr:rowOff>
                  </to>
                </anchor>
              </controlPr>
            </control>
          </mc:Choice>
        </mc:AlternateContent>
        <mc:AlternateContent xmlns:mc="http://schemas.openxmlformats.org/markup-compatibility/2006">
          <mc:Choice Requires="x14">
            <control shapeId="24611" r:id="rId26" name="Drop Down 35">
              <controlPr defaultSize="0" autoLine="0" autoPict="0">
                <anchor moveWithCells="1">
                  <from>
                    <xdr:col>11</xdr:col>
                    <xdr:colOff>19050</xdr:colOff>
                    <xdr:row>9</xdr:row>
                    <xdr:rowOff>190500</xdr:rowOff>
                  </from>
                  <to>
                    <xdr:col>12</xdr:col>
                    <xdr:colOff>19050</xdr:colOff>
                    <xdr:row>10</xdr:row>
                    <xdr:rowOff>190500</xdr:rowOff>
                  </to>
                </anchor>
              </controlPr>
            </control>
          </mc:Choice>
        </mc:AlternateContent>
        <mc:AlternateContent xmlns:mc="http://schemas.openxmlformats.org/markup-compatibility/2006">
          <mc:Choice Requires="x14">
            <control shapeId="24612" r:id="rId27" name="Drop Down 36">
              <controlPr defaultSize="0" autoLine="0" autoPict="0">
                <anchor moveWithCells="1">
                  <from>
                    <xdr:col>15</xdr:col>
                    <xdr:colOff>0</xdr:colOff>
                    <xdr:row>10</xdr:row>
                    <xdr:rowOff>19050</xdr:rowOff>
                  </from>
                  <to>
                    <xdr:col>16</xdr:col>
                    <xdr:colOff>19050</xdr:colOff>
                    <xdr:row>11</xdr:row>
                    <xdr:rowOff>19050</xdr:rowOff>
                  </to>
                </anchor>
              </controlPr>
            </control>
          </mc:Choice>
        </mc:AlternateContent>
        <mc:AlternateContent xmlns:mc="http://schemas.openxmlformats.org/markup-compatibility/2006">
          <mc:Choice Requires="x14">
            <control shapeId="24613" r:id="rId28" name="Drop Down 37">
              <controlPr defaultSize="0" autoLine="0" autoPict="0">
                <anchor moveWithCells="1">
                  <from>
                    <xdr:col>19</xdr:col>
                    <xdr:colOff>0</xdr:colOff>
                    <xdr:row>10</xdr:row>
                    <xdr:rowOff>0</xdr:rowOff>
                  </from>
                  <to>
                    <xdr:col>20</xdr:col>
                    <xdr:colOff>19050</xdr:colOff>
                    <xdr:row>11</xdr:row>
                    <xdr:rowOff>0</xdr:rowOff>
                  </to>
                </anchor>
              </controlPr>
            </control>
          </mc:Choice>
        </mc:AlternateContent>
        <mc:AlternateContent xmlns:mc="http://schemas.openxmlformats.org/markup-compatibility/2006">
          <mc:Choice Requires="x14">
            <control shapeId="24614" r:id="rId29" name="Drop Down 38">
              <controlPr defaultSize="0" autoLine="0" autoPict="0">
                <anchor moveWithCells="1">
                  <from>
                    <xdr:col>3</xdr:col>
                    <xdr:colOff>0</xdr:colOff>
                    <xdr:row>40</xdr:row>
                    <xdr:rowOff>0</xdr:rowOff>
                  </from>
                  <to>
                    <xdr:col>3</xdr:col>
                    <xdr:colOff>561975</xdr:colOff>
                    <xdr:row>41</xdr:row>
                    <xdr:rowOff>0</xdr:rowOff>
                  </to>
                </anchor>
              </controlPr>
            </control>
          </mc:Choice>
        </mc:AlternateContent>
        <mc:AlternateContent xmlns:mc="http://schemas.openxmlformats.org/markup-compatibility/2006">
          <mc:Choice Requires="x14">
            <control shapeId="24621" r:id="rId30" name="Drop Down 45">
              <controlPr defaultSize="0" autoLine="0" autoPict="0">
                <anchor moveWithCells="1">
                  <from>
                    <xdr:col>7</xdr:col>
                    <xdr:colOff>0</xdr:colOff>
                    <xdr:row>44</xdr:row>
                    <xdr:rowOff>190500</xdr:rowOff>
                  </from>
                  <to>
                    <xdr:col>8</xdr:col>
                    <xdr:colOff>19050</xdr:colOff>
                    <xdr:row>45</xdr:row>
                    <xdr:rowOff>190500</xdr:rowOff>
                  </to>
                </anchor>
              </controlPr>
            </control>
          </mc:Choice>
        </mc:AlternateContent>
        <mc:AlternateContent xmlns:mc="http://schemas.openxmlformats.org/markup-compatibility/2006">
          <mc:Choice Requires="x14">
            <control shapeId="24622" r:id="rId31" name="Drop Down 46">
              <controlPr defaultSize="0" autoLine="0" autoPict="0">
                <anchor moveWithCells="1">
                  <from>
                    <xdr:col>7</xdr:col>
                    <xdr:colOff>0</xdr:colOff>
                    <xdr:row>46</xdr:row>
                    <xdr:rowOff>0</xdr:rowOff>
                  </from>
                  <to>
                    <xdr:col>8</xdr:col>
                    <xdr:colOff>19050</xdr:colOff>
                    <xdr:row>47</xdr:row>
                    <xdr:rowOff>0</xdr:rowOff>
                  </to>
                </anchor>
              </controlPr>
            </control>
          </mc:Choice>
        </mc:AlternateContent>
        <mc:AlternateContent xmlns:mc="http://schemas.openxmlformats.org/markup-compatibility/2006">
          <mc:Choice Requires="x14">
            <control shapeId="24623" r:id="rId32" name="Drop Down 47">
              <controlPr defaultSize="0" autoLine="0" autoPict="0">
                <anchor moveWithCells="1">
                  <from>
                    <xdr:col>7</xdr:col>
                    <xdr:colOff>0</xdr:colOff>
                    <xdr:row>48</xdr:row>
                    <xdr:rowOff>0</xdr:rowOff>
                  </from>
                  <to>
                    <xdr:col>8</xdr:col>
                    <xdr:colOff>19050</xdr:colOff>
                    <xdr:row>49</xdr:row>
                    <xdr:rowOff>0</xdr:rowOff>
                  </to>
                </anchor>
              </controlPr>
            </control>
          </mc:Choice>
        </mc:AlternateContent>
        <mc:AlternateContent xmlns:mc="http://schemas.openxmlformats.org/markup-compatibility/2006">
          <mc:Choice Requires="x14">
            <control shapeId="24624" r:id="rId33" name="Drop Down 48">
              <controlPr defaultSize="0" autoLine="0" autoPict="0">
                <anchor moveWithCells="1">
                  <from>
                    <xdr:col>7</xdr:col>
                    <xdr:colOff>0</xdr:colOff>
                    <xdr:row>40</xdr:row>
                    <xdr:rowOff>0</xdr:rowOff>
                  </from>
                  <to>
                    <xdr:col>8</xdr:col>
                    <xdr:colOff>19050</xdr:colOff>
                    <xdr:row>41</xdr:row>
                    <xdr:rowOff>0</xdr:rowOff>
                  </to>
                </anchor>
              </controlPr>
            </control>
          </mc:Choice>
        </mc:AlternateContent>
        <mc:AlternateContent xmlns:mc="http://schemas.openxmlformats.org/markup-compatibility/2006">
          <mc:Choice Requires="x14">
            <control shapeId="24625" r:id="rId34" name="Drop Down 49">
              <controlPr defaultSize="0" autoLine="0" autoPict="0">
                <anchor moveWithCells="1">
                  <from>
                    <xdr:col>11</xdr:col>
                    <xdr:colOff>0</xdr:colOff>
                    <xdr:row>44</xdr:row>
                    <xdr:rowOff>190500</xdr:rowOff>
                  </from>
                  <to>
                    <xdr:col>12</xdr:col>
                    <xdr:colOff>19050</xdr:colOff>
                    <xdr:row>45</xdr:row>
                    <xdr:rowOff>190500</xdr:rowOff>
                  </to>
                </anchor>
              </controlPr>
            </control>
          </mc:Choice>
        </mc:AlternateContent>
        <mc:AlternateContent xmlns:mc="http://schemas.openxmlformats.org/markup-compatibility/2006">
          <mc:Choice Requires="x14">
            <control shapeId="24626" r:id="rId35" name="Drop Down 50">
              <controlPr defaultSize="0" autoLine="0" autoPict="0">
                <anchor moveWithCells="1">
                  <from>
                    <xdr:col>11</xdr:col>
                    <xdr:colOff>0</xdr:colOff>
                    <xdr:row>46</xdr:row>
                    <xdr:rowOff>0</xdr:rowOff>
                  </from>
                  <to>
                    <xdr:col>12</xdr:col>
                    <xdr:colOff>19050</xdr:colOff>
                    <xdr:row>47</xdr:row>
                    <xdr:rowOff>0</xdr:rowOff>
                  </to>
                </anchor>
              </controlPr>
            </control>
          </mc:Choice>
        </mc:AlternateContent>
        <mc:AlternateContent xmlns:mc="http://schemas.openxmlformats.org/markup-compatibility/2006">
          <mc:Choice Requires="x14">
            <control shapeId="24627" r:id="rId36" name="Drop Down 51">
              <controlPr defaultSize="0" autoLine="0" autoPict="0">
                <anchor moveWithCells="1">
                  <from>
                    <xdr:col>11</xdr:col>
                    <xdr:colOff>0</xdr:colOff>
                    <xdr:row>48</xdr:row>
                    <xdr:rowOff>0</xdr:rowOff>
                  </from>
                  <to>
                    <xdr:col>12</xdr:col>
                    <xdr:colOff>19050</xdr:colOff>
                    <xdr:row>49</xdr:row>
                    <xdr:rowOff>0</xdr:rowOff>
                  </to>
                </anchor>
              </controlPr>
            </control>
          </mc:Choice>
        </mc:AlternateContent>
        <mc:AlternateContent xmlns:mc="http://schemas.openxmlformats.org/markup-compatibility/2006">
          <mc:Choice Requires="x14">
            <control shapeId="24628" r:id="rId37" name="Drop Down 52">
              <controlPr defaultSize="0" autoLine="0" autoPict="0">
                <anchor moveWithCells="1">
                  <from>
                    <xdr:col>11</xdr:col>
                    <xdr:colOff>0</xdr:colOff>
                    <xdr:row>40</xdr:row>
                    <xdr:rowOff>0</xdr:rowOff>
                  </from>
                  <to>
                    <xdr:col>12</xdr:col>
                    <xdr:colOff>19050</xdr:colOff>
                    <xdr:row>41</xdr:row>
                    <xdr:rowOff>0</xdr:rowOff>
                  </to>
                </anchor>
              </controlPr>
            </control>
          </mc:Choice>
        </mc:AlternateContent>
        <mc:AlternateContent xmlns:mc="http://schemas.openxmlformats.org/markup-compatibility/2006">
          <mc:Choice Requires="x14">
            <control shapeId="24629" r:id="rId38" name="Drop Down 53">
              <controlPr defaultSize="0" autoLine="0" autoPict="0">
                <anchor moveWithCells="1">
                  <from>
                    <xdr:col>15</xdr:col>
                    <xdr:colOff>0</xdr:colOff>
                    <xdr:row>44</xdr:row>
                    <xdr:rowOff>190500</xdr:rowOff>
                  </from>
                  <to>
                    <xdr:col>16</xdr:col>
                    <xdr:colOff>19050</xdr:colOff>
                    <xdr:row>45</xdr:row>
                    <xdr:rowOff>190500</xdr:rowOff>
                  </to>
                </anchor>
              </controlPr>
            </control>
          </mc:Choice>
        </mc:AlternateContent>
        <mc:AlternateContent xmlns:mc="http://schemas.openxmlformats.org/markup-compatibility/2006">
          <mc:Choice Requires="x14">
            <control shapeId="24630" r:id="rId39" name="Drop Down 54">
              <controlPr defaultSize="0" autoLine="0" autoPict="0">
                <anchor moveWithCells="1">
                  <from>
                    <xdr:col>15</xdr:col>
                    <xdr:colOff>0</xdr:colOff>
                    <xdr:row>46</xdr:row>
                    <xdr:rowOff>0</xdr:rowOff>
                  </from>
                  <to>
                    <xdr:col>16</xdr:col>
                    <xdr:colOff>19050</xdr:colOff>
                    <xdr:row>47</xdr:row>
                    <xdr:rowOff>0</xdr:rowOff>
                  </to>
                </anchor>
              </controlPr>
            </control>
          </mc:Choice>
        </mc:AlternateContent>
        <mc:AlternateContent xmlns:mc="http://schemas.openxmlformats.org/markup-compatibility/2006">
          <mc:Choice Requires="x14">
            <control shapeId="24631" r:id="rId40" name="Drop Down 55">
              <controlPr defaultSize="0" autoLine="0" autoPict="0">
                <anchor moveWithCells="1">
                  <from>
                    <xdr:col>15</xdr:col>
                    <xdr:colOff>0</xdr:colOff>
                    <xdr:row>48</xdr:row>
                    <xdr:rowOff>0</xdr:rowOff>
                  </from>
                  <to>
                    <xdr:col>16</xdr:col>
                    <xdr:colOff>19050</xdr:colOff>
                    <xdr:row>49</xdr:row>
                    <xdr:rowOff>0</xdr:rowOff>
                  </to>
                </anchor>
              </controlPr>
            </control>
          </mc:Choice>
        </mc:AlternateContent>
        <mc:AlternateContent xmlns:mc="http://schemas.openxmlformats.org/markup-compatibility/2006">
          <mc:Choice Requires="x14">
            <control shapeId="24632" r:id="rId41" name="Drop Down 56">
              <controlPr defaultSize="0" autoLine="0" autoPict="0">
                <anchor moveWithCells="1">
                  <from>
                    <xdr:col>15</xdr:col>
                    <xdr:colOff>0</xdr:colOff>
                    <xdr:row>40</xdr:row>
                    <xdr:rowOff>0</xdr:rowOff>
                  </from>
                  <to>
                    <xdr:col>16</xdr:col>
                    <xdr:colOff>19050</xdr:colOff>
                    <xdr:row>41</xdr:row>
                    <xdr:rowOff>0</xdr:rowOff>
                  </to>
                </anchor>
              </controlPr>
            </control>
          </mc:Choice>
        </mc:AlternateContent>
        <mc:AlternateContent xmlns:mc="http://schemas.openxmlformats.org/markup-compatibility/2006">
          <mc:Choice Requires="x14">
            <control shapeId="24633" r:id="rId42" name="Drop Down 57">
              <controlPr defaultSize="0" autoLine="0" autoPict="0">
                <anchor moveWithCells="1">
                  <from>
                    <xdr:col>19</xdr:col>
                    <xdr:colOff>0</xdr:colOff>
                    <xdr:row>44</xdr:row>
                    <xdr:rowOff>190500</xdr:rowOff>
                  </from>
                  <to>
                    <xdr:col>20</xdr:col>
                    <xdr:colOff>19050</xdr:colOff>
                    <xdr:row>45</xdr:row>
                    <xdr:rowOff>190500</xdr:rowOff>
                  </to>
                </anchor>
              </controlPr>
            </control>
          </mc:Choice>
        </mc:AlternateContent>
        <mc:AlternateContent xmlns:mc="http://schemas.openxmlformats.org/markup-compatibility/2006">
          <mc:Choice Requires="x14">
            <control shapeId="24634" r:id="rId43" name="Drop Down 58">
              <controlPr defaultSize="0" autoLine="0" autoPict="0">
                <anchor moveWithCells="1">
                  <from>
                    <xdr:col>19</xdr:col>
                    <xdr:colOff>0</xdr:colOff>
                    <xdr:row>46</xdr:row>
                    <xdr:rowOff>0</xdr:rowOff>
                  </from>
                  <to>
                    <xdr:col>20</xdr:col>
                    <xdr:colOff>19050</xdr:colOff>
                    <xdr:row>47</xdr:row>
                    <xdr:rowOff>0</xdr:rowOff>
                  </to>
                </anchor>
              </controlPr>
            </control>
          </mc:Choice>
        </mc:AlternateContent>
        <mc:AlternateContent xmlns:mc="http://schemas.openxmlformats.org/markup-compatibility/2006">
          <mc:Choice Requires="x14">
            <control shapeId="24635" r:id="rId44" name="Drop Down 59">
              <controlPr defaultSize="0" autoLine="0" autoPict="0">
                <anchor moveWithCells="1">
                  <from>
                    <xdr:col>19</xdr:col>
                    <xdr:colOff>0</xdr:colOff>
                    <xdr:row>48</xdr:row>
                    <xdr:rowOff>0</xdr:rowOff>
                  </from>
                  <to>
                    <xdr:col>20</xdr:col>
                    <xdr:colOff>19050</xdr:colOff>
                    <xdr:row>49</xdr:row>
                    <xdr:rowOff>0</xdr:rowOff>
                  </to>
                </anchor>
              </controlPr>
            </control>
          </mc:Choice>
        </mc:AlternateContent>
        <mc:AlternateContent xmlns:mc="http://schemas.openxmlformats.org/markup-compatibility/2006">
          <mc:Choice Requires="x14">
            <control shapeId="24636" r:id="rId45" name="Drop Down 60">
              <controlPr defaultSize="0" autoLine="0" autoPict="0">
                <anchor moveWithCells="1">
                  <from>
                    <xdr:col>19</xdr:col>
                    <xdr:colOff>0</xdr:colOff>
                    <xdr:row>40</xdr:row>
                    <xdr:rowOff>0</xdr:rowOff>
                  </from>
                  <to>
                    <xdr:col>20</xdr:col>
                    <xdr:colOff>19050</xdr:colOff>
                    <xdr:row>41</xdr:row>
                    <xdr:rowOff>0</xdr:rowOff>
                  </to>
                </anchor>
              </controlPr>
            </control>
          </mc:Choice>
        </mc:AlternateContent>
        <mc:AlternateContent xmlns:mc="http://schemas.openxmlformats.org/markup-compatibility/2006">
          <mc:Choice Requires="x14">
            <control shapeId="24637" r:id="rId46" name="Drop Down 61">
              <controlPr defaultSize="0" autoLine="0" autoPict="0">
                <anchor moveWithCells="1">
                  <from>
                    <xdr:col>1</xdr:col>
                    <xdr:colOff>19050</xdr:colOff>
                    <xdr:row>48</xdr:row>
                    <xdr:rowOff>0</xdr:rowOff>
                  </from>
                  <to>
                    <xdr:col>1</xdr:col>
                    <xdr:colOff>1790700</xdr:colOff>
                    <xdr:row>49</xdr:row>
                    <xdr:rowOff>0</xdr:rowOff>
                  </to>
                </anchor>
              </controlPr>
            </control>
          </mc:Choice>
        </mc:AlternateContent>
        <mc:AlternateContent xmlns:mc="http://schemas.openxmlformats.org/markup-compatibility/2006">
          <mc:Choice Requires="x14">
            <control shapeId="24638" r:id="rId47" name="Drop Down 62">
              <controlPr defaultSize="0" print="0" autoLine="0" autoPict="0">
                <anchor moveWithCells="1">
                  <from>
                    <xdr:col>0</xdr:col>
                    <xdr:colOff>0</xdr:colOff>
                    <xdr:row>40</xdr:row>
                    <xdr:rowOff>0</xdr:rowOff>
                  </from>
                  <to>
                    <xdr:col>1</xdr:col>
                    <xdr:colOff>847725</xdr:colOff>
                    <xdr:row>41</xdr:row>
                    <xdr:rowOff>0</xdr:rowOff>
                  </to>
                </anchor>
              </controlPr>
            </control>
          </mc:Choice>
        </mc:AlternateContent>
        <mc:AlternateContent xmlns:mc="http://schemas.openxmlformats.org/markup-compatibility/2006">
          <mc:Choice Requires="x14">
            <control shapeId="24639" r:id="rId48" name="Drop Down 63">
              <controlPr defaultSize="0" autoLine="0" autoPict="0">
                <anchor moveWithCells="1">
                  <from>
                    <xdr:col>2</xdr:col>
                    <xdr:colOff>0</xdr:colOff>
                    <xdr:row>75</xdr:row>
                    <xdr:rowOff>19050</xdr:rowOff>
                  </from>
                  <to>
                    <xdr:col>3</xdr:col>
                    <xdr:colOff>552450</xdr:colOff>
                    <xdr:row>76</xdr:row>
                    <xdr:rowOff>19050</xdr:rowOff>
                  </to>
                </anchor>
              </controlPr>
            </control>
          </mc:Choice>
        </mc:AlternateContent>
        <mc:AlternateContent xmlns:mc="http://schemas.openxmlformats.org/markup-compatibility/2006">
          <mc:Choice Requires="x14">
            <control shapeId="24640" r:id="rId49" name="Drop Down 64">
              <controlPr defaultSize="0" autoLine="0" autoPict="0">
                <anchor moveWithCells="1">
                  <from>
                    <xdr:col>2</xdr:col>
                    <xdr:colOff>0</xdr:colOff>
                    <xdr:row>76</xdr:row>
                    <xdr:rowOff>19050</xdr:rowOff>
                  </from>
                  <to>
                    <xdr:col>3</xdr:col>
                    <xdr:colOff>552450</xdr:colOff>
                    <xdr:row>77</xdr:row>
                    <xdr:rowOff>19050</xdr:rowOff>
                  </to>
                </anchor>
              </controlPr>
            </control>
          </mc:Choice>
        </mc:AlternateContent>
        <mc:AlternateContent xmlns:mc="http://schemas.openxmlformats.org/markup-compatibility/2006">
          <mc:Choice Requires="x14">
            <control shapeId="24641" r:id="rId50" name="Drop Down 65">
              <controlPr defaultSize="0" autoLine="0" autoPict="0">
                <anchor moveWithCells="1">
                  <from>
                    <xdr:col>7</xdr:col>
                    <xdr:colOff>0</xdr:colOff>
                    <xdr:row>75</xdr:row>
                    <xdr:rowOff>19050</xdr:rowOff>
                  </from>
                  <to>
                    <xdr:col>8</xdr:col>
                    <xdr:colOff>19050</xdr:colOff>
                    <xdr:row>76</xdr:row>
                    <xdr:rowOff>19050</xdr:rowOff>
                  </to>
                </anchor>
              </controlPr>
            </control>
          </mc:Choice>
        </mc:AlternateContent>
        <mc:AlternateContent xmlns:mc="http://schemas.openxmlformats.org/markup-compatibility/2006">
          <mc:Choice Requires="x14">
            <control shapeId="24642" r:id="rId51" name="Drop Down 66">
              <controlPr defaultSize="0" autoLine="0" autoPict="0">
                <anchor moveWithCells="1">
                  <from>
                    <xdr:col>7</xdr:col>
                    <xdr:colOff>0</xdr:colOff>
                    <xdr:row>76</xdr:row>
                    <xdr:rowOff>19050</xdr:rowOff>
                  </from>
                  <to>
                    <xdr:col>8</xdr:col>
                    <xdr:colOff>19050</xdr:colOff>
                    <xdr:row>77</xdr:row>
                    <xdr:rowOff>19050</xdr:rowOff>
                  </to>
                </anchor>
              </controlPr>
            </control>
          </mc:Choice>
        </mc:AlternateContent>
        <mc:AlternateContent xmlns:mc="http://schemas.openxmlformats.org/markup-compatibility/2006">
          <mc:Choice Requires="x14">
            <control shapeId="24643" r:id="rId52" name="Drop Down 67">
              <controlPr defaultSize="0" autoLine="0" autoPict="0">
                <anchor moveWithCells="1">
                  <from>
                    <xdr:col>11</xdr:col>
                    <xdr:colOff>0</xdr:colOff>
                    <xdr:row>75</xdr:row>
                    <xdr:rowOff>0</xdr:rowOff>
                  </from>
                  <to>
                    <xdr:col>12</xdr:col>
                    <xdr:colOff>19050</xdr:colOff>
                    <xdr:row>76</xdr:row>
                    <xdr:rowOff>0</xdr:rowOff>
                  </to>
                </anchor>
              </controlPr>
            </control>
          </mc:Choice>
        </mc:AlternateContent>
        <mc:AlternateContent xmlns:mc="http://schemas.openxmlformats.org/markup-compatibility/2006">
          <mc:Choice Requires="x14">
            <control shapeId="24644" r:id="rId53" name="Drop Down 68">
              <controlPr defaultSize="0" autoLine="0" autoPict="0">
                <anchor moveWithCells="1">
                  <from>
                    <xdr:col>11</xdr:col>
                    <xdr:colOff>0</xdr:colOff>
                    <xdr:row>76</xdr:row>
                    <xdr:rowOff>0</xdr:rowOff>
                  </from>
                  <to>
                    <xdr:col>12</xdr:col>
                    <xdr:colOff>19050</xdr:colOff>
                    <xdr:row>77</xdr:row>
                    <xdr:rowOff>0</xdr:rowOff>
                  </to>
                </anchor>
              </controlPr>
            </control>
          </mc:Choice>
        </mc:AlternateContent>
        <mc:AlternateContent xmlns:mc="http://schemas.openxmlformats.org/markup-compatibility/2006">
          <mc:Choice Requires="x14">
            <control shapeId="24645" r:id="rId54" name="Drop Down 69">
              <controlPr defaultSize="0" autoLine="0" autoPict="0">
                <anchor moveWithCells="1">
                  <from>
                    <xdr:col>15</xdr:col>
                    <xdr:colOff>0</xdr:colOff>
                    <xdr:row>75</xdr:row>
                    <xdr:rowOff>0</xdr:rowOff>
                  </from>
                  <to>
                    <xdr:col>16</xdr:col>
                    <xdr:colOff>19050</xdr:colOff>
                    <xdr:row>76</xdr:row>
                    <xdr:rowOff>0</xdr:rowOff>
                  </to>
                </anchor>
              </controlPr>
            </control>
          </mc:Choice>
        </mc:AlternateContent>
        <mc:AlternateContent xmlns:mc="http://schemas.openxmlformats.org/markup-compatibility/2006">
          <mc:Choice Requires="x14">
            <control shapeId="24646" r:id="rId55" name="Drop Down 70">
              <controlPr defaultSize="0" autoLine="0" autoPict="0">
                <anchor moveWithCells="1">
                  <from>
                    <xdr:col>15</xdr:col>
                    <xdr:colOff>0</xdr:colOff>
                    <xdr:row>76</xdr:row>
                    <xdr:rowOff>0</xdr:rowOff>
                  </from>
                  <to>
                    <xdr:col>16</xdr:col>
                    <xdr:colOff>19050</xdr:colOff>
                    <xdr:row>77</xdr:row>
                    <xdr:rowOff>0</xdr:rowOff>
                  </to>
                </anchor>
              </controlPr>
            </control>
          </mc:Choice>
        </mc:AlternateContent>
        <mc:AlternateContent xmlns:mc="http://schemas.openxmlformats.org/markup-compatibility/2006">
          <mc:Choice Requires="x14">
            <control shapeId="24647" r:id="rId56" name="Drop Down 71">
              <controlPr defaultSize="0" autoLine="0" autoPict="0">
                <anchor moveWithCells="1">
                  <from>
                    <xdr:col>19</xdr:col>
                    <xdr:colOff>0</xdr:colOff>
                    <xdr:row>75</xdr:row>
                    <xdr:rowOff>0</xdr:rowOff>
                  </from>
                  <to>
                    <xdr:col>20</xdr:col>
                    <xdr:colOff>19050</xdr:colOff>
                    <xdr:row>76</xdr:row>
                    <xdr:rowOff>0</xdr:rowOff>
                  </to>
                </anchor>
              </controlPr>
            </control>
          </mc:Choice>
        </mc:AlternateContent>
        <mc:AlternateContent xmlns:mc="http://schemas.openxmlformats.org/markup-compatibility/2006">
          <mc:Choice Requires="x14">
            <control shapeId="24648" r:id="rId57" name="Drop Down 72">
              <controlPr defaultSize="0" autoLine="0" autoPict="0">
                <anchor moveWithCells="1">
                  <from>
                    <xdr:col>19</xdr:col>
                    <xdr:colOff>0</xdr:colOff>
                    <xdr:row>76</xdr:row>
                    <xdr:rowOff>0</xdr:rowOff>
                  </from>
                  <to>
                    <xdr:col>20</xdr:col>
                    <xdr:colOff>19050</xdr:colOff>
                    <xdr:row>77</xdr:row>
                    <xdr:rowOff>0</xdr:rowOff>
                  </to>
                </anchor>
              </controlPr>
            </control>
          </mc:Choice>
        </mc:AlternateContent>
        <mc:AlternateContent xmlns:mc="http://schemas.openxmlformats.org/markup-compatibility/2006">
          <mc:Choice Requires="x14">
            <control shapeId="24649" r:id="rId58" name="Drop Down 73">
              <controlPr defaultSize="0" autoLine="0" autoPict="0">
                <anchor moveWithCells="1">
                  <from>
                    <xdr:col>1</xdr:col>
                    <xdr:colOff>19050</xdr:colOff>
                    <xdr:row>78</xdr:row>
                    <xdr:rowOff>0</xdr:rowOff>
                  </from>
                  <to>
                    <xdr:col>1</xdr:col>
                    <xdr:colOff>1790700</xdr:colOff>
                    <xdr:row>79</xdr:row>
                    <xdr:rowOff>0</xdr:rowOff>
                  </to>
                </anchor>
              </controlPr>
            </control>
          </mc:Choice>
        </mc:AlternateContent>
        <mc:AlternateContent xmlns:mc="http://schemas.openxmlformats.org/markup-compatibility/2006">
          <mc:Choice Requires="x14">
            <control shapeId="24650" r:id="rId59" name="Drop Down 74">
              <controlPr defaultSize="0" print="0" autoLine="0" autoPict="0">
                <anchor moveWithCells="1">
                  <from>
                    <xdr:col>0</xdr:col>
                    <xdr:colOff>0</xdr:colOff>
                    <xdr:row>70</xdr:row>
                    <xdr:rowOff>0</xdr:rowOff>
                  </from>
                  <to>
                    <xdr:col>1</xdr:col>
                    <xdr:colOff>847725</xdr:colOff>
                    <xdr:row>71</xdr:row>
                    <xdr:rowOff>0</xdr:rowOff>
                  </to>
                </anchor>
              </controlPr>
            </control>
          </mc:Choice>
        </mc:AlternateContent>
        <mc:AlternateContent xmlns:mc="http://schemas.openxmlformats.org/markup-compatibility/2006">
          <mc:Choice Requires="x14">
            <control shapeId="24651" r:id="rId60" name="Drop Down 75">
              <controlPr defaultSize="0" autoLine="0" autoPict="0">
                <anchor moveWithCells="1">
                  <from>
                    <xdr:col>2</xdr:col>
                    <xdr:colOff>0</xdr:colOff>
                    <xdr:row>70</xdr:row>
                    <xdr:rowOff>0</xdr:rowOff>
                  </from>
                  <to>
                    <xdr:col>3</xdr:col>
                    <xdr:colOff>552450</xdr:colOff>
                    <xdr:row>71</xdr:row>
                    <xdr:rowOff>0</xdr:rowOff>
                  </to>
                </anchor>
              </controlPr>
            </control>
          </mc:Choice>
        </mc:AlternateContent>
        <mc:AlternateContent xmlns:mc="http://schemas.openxmlformats.org/markup-compatibility/2006">
          <mc:Choice Requires="x14">
            <control shapeId="24652" r:id="rId61" name="Drop Down 76">
              <controlPr defaultSize="0" autoLine="0" autoPict="0">
                <anchor moveWithCells="1">
                  <from>
                    <xdr:col>2</xdr:col>
                    <xdr:colOff>0</xdr:colOff>
                    <xdr:row>78</xdr:row>
                    <xdr:rowOff>0</xdr:rowOff>
                  </from>
                  <to>
                    <xdr:col>3</xdr:col>
                    <xdr:colOff>552450</xdr:colOff>
                    <xdr:row>79</xdr:row>
                    <xdr:rowOff>0</xdr:rowOff>
                  </to>
                </anchor>
              </controlPr>
            </control>
          </mc:Choice>
        </mc:AlternateContent>
        <mc:AlternateContent xmlns:mc="http://schemas.openxmlformats.org/markup-compatibility/2006">
          <mc:Choice Requires="x14">
            <control shapeId="24653" r:id="rId62" name="Drop Down 77">
              <controlPr defaultSize="0" autoLine="0" autoPict="0">
                <anchor moveWithCells="1">
                  <from>
                    <xdr:col>7</xdr:col>
                    <xdr:colOff>0</xdr:colOff>
                    <xdr:row>78</xdr:row>
                    <xdr:rowOff>0</xdr:rowOff>
                  </from>
                  <to>
                    <xdr:col>8</xdr:col>
                    <xdr:colOff>19050</xdr:colOff>
                    <xdr:row>79</xdr:row>
                    <xdr:rowOff>0</xdr:rowOff>
                  </to>
                </anchor>
              </controlPr>
            </control>
          </mc:Choice>
        </mc:AlternateContent>
        <mc:AlternateContent xmlns:mc="http://schemas.openxmlformats.org/markup-compatibility/2006">
          <mc:Choice Requires="x14">
            <control shapeId="24654" r:id="rId63" name="Drop Down 78">
              <controlPr defaultSize="0" autoLine="0" autoPict="0">
                <anchor moveWithCells="1">
                  <from>
                    <xdr:col>11</xdr:col>
                    <xdr:colOff>0</xdr:colOff>
                    <xdr:row>77</xdr:row>
                    <xdr:rowOff>190500</xdr:rowOff>
                  </from>
                  <to>
                    <xdr:col>12</xdr:col>
                    <xdr:colOff>19050</xdr:colOff>
                    <xdr:row>78</xdr:row>
                    <xdr:rowOff>190500</xdr:rowOff>
                  </to>
                </anchor>
              </controlPr>
            </control>
          </mc:Choice>
        </mc:AlternateContent>
        <mc:AlternateContent xmlns:mc="http://schemas.openxmlformats.org/markup-compatibility/2006">
          <mc:Choice Requires="x14">
            <control shapeId="24655" r:id="rId64" name="Drop Down 79">
              <controlPr defaultSize="0" autoLine="0" autoPict="0">
                <anchor moveWithCells="1">
                  <from>
                    <xdr:col>15</xdr:col>
                    <xdr:colOff>0</xdr:colOff>
                    <xdr:row>78</xdr:row>
                    <xdr:rowOff>0</xdr:rowOff>
                  </from>
                  <to>
                    <xdr:col>16</xdr:col>
                    <xdr:colOff>19050</xdr:colOff>
                    <xdr:row>79</xdr:row>
                    <xdr:rowOff>0</xdr:rowOff>
                  </to>
                </anchor>
              </controlPr>
            </control>
          </mc:Choice>
        </mc:AlternateContent>
        <mc:AlternateContent xmlns:mc="http://schemas.openxmlformats.org/markup-compatibility/2006">
          <mc:Choice Requires="x14">
            <control shapeId="24656" r:id="rId65" name="Drop Down 80">
              <controlPr defaultSize="0" autoLine="0" autoPict="0">
                <anchor moveWithCells="1">
                  <from>
                    <xdr:col>19</xdr:col>
                    <xdr:colOff>0</xdr:colOff>
                    <xdr:row>78</xdr:row>
                    <xdr:rowOff>0</xdr:rowOff>
                  </from>
                  <to>
                    <xdr:col>20</xdr:col>
                    <xdr:colOff>19050</xdr:colOff>
                    <xdr:row>79</xdr:row>
                    <xdr:rowOff>0</xdr:rowOff>
                  </to>
                </anchor>
              </controlPr>
            </control>
          </mc:Choice>
        </mc:AlternateContent>
        <mc:AlternateContent xmlns:mc="http://schemas.openxmlformats.org/markup-compatibility/2006">
          <mc:Choice Requires="x14">
            <control shapeId="24657" r:id="rId66" name="Drop Down 81">
              <controlPr defaultSize="0" autoLine="0" autoPict="0">
                <anchor moveWithCells="1">
                  <from>
                    <xdr:col>7</xdr:col>
                    <xdr:colOff>0</xdr:colOff>
                    <xdr:row>70</xdr:row>
                    <xdr:rowOff>0</xdr:rowOff>
                  </from>
                  <to>
                    <xdr:col>8</xdr:col>
                    <xdr:colOff>19050</xdr:colOff>
                    <xdr:row>71</xdr:row>
                    <xdr:rowOff>0</xdr:rowOff>
                  </to>
                </anchor>
              </controlPr>
            </control>
          </mc:Choice>
        </mc:AlternateContent>
        <mc:AlternateContent xmlns:mc="http://schemas.openxmlformats.org/markup-compatibility/2006">
          <mc:Choice Requires="x14">
            <control shapeId="24658" r:id="rId67" name="Drop Down 82">
              <controlPr defaultSize="0" autoLine="0" autoPict="0">
                <anchor moveWithCells="1">
                  <from>
                    <xdr:col>11</xdr:col>
                    <xdr:colOff>19050</xdr:colOff>
                    <xdr:row>69</xdr:row>
                    <xdr:rowOff>190500</xdr:rowOff>
                  </from>
                  <to>
                    <xdr:col>12</xdr:col>
                    <xdr:colOff>19050</xdr:colOff>
                    <xdr:row>70</xdr:row>
                    <xdr:rowOff>190500</xdr:rowOff>
                  </to>
                </anchor>
              </controlPr>
            </control>
          </mc:Choice>
        </mc:AlternateContent>
        <mc:AlternateContent xmlns:mc="http://schemas.openxmlformats.org/markup-compatibility/2006">
          <mc:Choice Requires="x14">
            <control shapeId="24659" r:id="rId68" name="Drop Down 83">
              <controlPr defaultSize="0" autoLine="0" autoPict="0">
                <anchor moveWithCells="1">
                  <from>
                    <xdr:col>15</xdr:col>
                    <xdr:colOff>0</xdr:colOff>
                    <xdr:row>70</xdr:row>
                    <xdr:rowOff>19050</xdr:rowOff>
                  </from>
                  <to>
                    <xdr:col>16</xdr:col>
                    <xdr:colOff>19050</xdr:colOff>
                    <xdr:row>71</xdr:row>
                    <xdr:rowOff>19050</xdr:rowOff>
                  </to>
                </anchor>
              </controlPr>
            </control>
          </mc:Choice>
        </mc:AlternateContent>
        <mc:AlternateContent xmlns:mc="http://schemas.openxmlformats.org/markup-compatibility/2006">
          <mc:Choice Requires="x14">
            <control shapeId="24660" r:id="rId69" name="Drop Down 84">
              <controlPr defaultSize="0" autoLine="0" autoPict="0">
                <anchor moveWithCells="1">
                  <from>
                    <xdr:col>19</xdr:col>
                    <xdr:colOff>0</xdr:colOff>
                    <xdr:row>70</xdr:row>
                    <xdr:rowOff>0</xdr:rowOff>
                  </from>
                  <to>
                    <xdr:col>20</xdr:col>
                    <xdr:colOff>19050</xdr:colOff>
                    <xdr:row>71</xdr:row>
                    <xdr:rowOff>0</xdr:rowOff>
                  </to>
                </anchor>
              </controlPr>
            </control>
          </mc:Choice>
        </mc:AlternateContent>
        <mc:AlternateContent xmlns:mc="http://schemas.openxmlformats.org/markup-compatibility/2006">
          <mc:Choice Requires="x14">
            <control shapeId="24684" r:id="rId70" name="Drop Down 108">
              <controlPr defaultSize="0" autoLine="0" autoPict="0">
                <anchor moveWithCells="1">
                  <from>
                    <xdr:col>3</xdr:col>
                    <xdr:colOff>0</xdr:colOff>
                    <xdr:row>173</xdr:row>
                    <xdr:rowOff>0</xdr:rowOff>
                  </from>
                  <to>
                    <xdr:col>3</xdr:col>
                    <xdr:colOff>561975</xdr:colOff>
                    <xdr:row>174</xdr:row>
                    <xdr:rowOff>0</xdr:rowOff>
                  </to>
                </anchor>
              </controlPr>
            </control>
          </mc:Choice>
        </mc:AlternateContent>
        <mc:AlternateContent xmlns:mc="http://schemas.openxmlformats.org/markup-compatibility/2006">
          <mc:Choice Requires="x14">
            <control shapeId="24685" r:id="rId71" name="Drop Down 109">
              <controlPr defaultSize="0" autoLine="0" autoPict="0">
                <anchor moveWithCells="1">
                  <from>
                    <xdr:col>3</xdr:col>
                    <xdr:colOff>0</xdr:colOff>
                    <xdr:row>173</xdr:row>
                    <xdr:rowOff>0</xdr:rowOff>
                  </from>
                  <to>
                    <xdr:col>3</xdr:col>
                    <xdr:colOff>561975</xdr:colOff>
                    <xdr:row>174</xdr:row>
                    <xdr:rowOff>0</xdr:rowOff>
                  </to>
                </anchor>
              </controlPr>
            </control>
          </mc:Choice>
        </mc:AlternateContent>
        <mc:AlternateContent xmlns:mc="http://schemas.openxmlformats.org/markup-compatibility/2006">
          <mc:Choice Requires="x14">
            <control shapeId="24686" r:id="rId72" name="Drop Down 110">
              <controlPr defaultSize="0" autoLine="0" autoPict="0">
                <anchor moveWithCells="1">
                  <from>
                    <xdr:col>3</xdr:col>
                    <xdr:colOff>0</xdr:colOff>
                    <xdr:row>173</xdr:row>
                    <xdr:rowOff>0</xdr:rowOff>
                  </from>
                  <to>
                    <xdr:col>3</xdr:col>
                    <xdr:colOff>561975</xdr:colOff>
                    <xdr:row>174</xdr:row>
                    <xdr:rowOff>0</xdr:rowOff>
                  </to>
                </anchor>
              </controlPr>
            </control>
          </mc:Choice>
        </mc:AlternateContent>
        <mc:AlternateContent xmlns:mc="http://schemas.openxmlformats.org/markup-compatibility/2006">
          <mc:Choice Requires="x14">
            <control shapeId="24687" r:id="rId73" name="Drop Down 111">
              <controlPr defaultSize="0" autoLine="0" autoPict="0">
                <anchor moveWithCells="1">
                  <from>
                    <xdr:col>3</xdr:col>
                    <xdr:colOff>0</xdr:colOff>
                    <xdr:row>173</xdr:row>
                    <xdr:rowOff>0</xdr:rowOff>
                  </from>
                  <to>
                    <xdr:col>3</xdr:col>
                    <xdr:colOff>561975</xdr:colOff>
                    <xdr:row>174</xdr:row>
                    <xdr:rowOff>0</xdr:rowOff>
                  </to>
                </anchor>
              </controlPr>
            </control>
          </mc:Choice>
        </mc:AlternateContent>
        <mc:AlternateContent xmlns:mc="http://schemas.openxmlformats.org/markup-compatibility/2006">
          <mc:Choice Requires="x14">
            <control shapeId="24688" r:id="rId74" name="Drop Down 112">
              <controlPr defaultSize="0" autoLine="0" autoPict="0">
                <anchor moveWithCells="1">
                  <from>
                    <xdr:col>7</xdr:col>
                    <xdr:colOff>0</xdr:colOff>
                    <xdr:row>173</xdr:row>
                    <xdr:rowOff>0</xdr:rowOff>
                  </from>
                  <to>
                    <xdr:col>8</xdr:col>
                    <xdr:colOff>19050</xdr:colOff>
                    <xdr:row>174</xdr:row>
                    <xdr:rowOff>0</xdr:rowOff>
                  </to>
                </anchor>
              </controlPr>
            </control>
          </mc:Choice>
        </mc:AlternateContent>
        <mc:AlternateContent xmlns:mc="http://schemas.openxmlformats.org/markup-compatibility/2006">
          <mc:Choice Requires="x14">
            <control shapeId="24689" r:id="rId75" name="Drop Down 113">
              <controlPr defaultSize="0" autoLine="0" autoPict="0">
                <anchor moveWithCells="1">
                  <from>
                    <xdr:col>7</xdr:col>
                    <xdr:colOff>0</xdr:colOff>
                    <xdr:row>173</xdr:row>
                    <xdr:rowOff>0</xdr:rowOff>
                  </from>
                  <to>
                    <xdr:col>8</xdr:col>
                    <xdr:colOff>19050</xdr:colOff>
                    <xdr:row>174</xdr:row>
                    <xdr:rowOff>0</xdr:rowOff>
                  </to>
                </anchor>
              </controlPr>
            </control>
          </mc:Choice>
        </mc:AlternateContent>
        <mc:AlternateContent xmlns:mc="http://schemas.openxmlformats.org/markup-compatibility/2006">
          <mc:Choice Requires="x14">
            <control shapeId="24690" r:id="rId76" name="Drop Down 114">
              <controlPr defaultSize="0" autoLine="0" autoPict="0">
                <anchor moveWithCells="1">
                  <from>
                    <xdr:col>7</xdr:col>
                    <xdr:colOff>0</xdr:colOff>
                    <xdr:row>173</xdr:row>
                    <xdr:rowOff>0</xdr:rowOff>
                  </from>
                  <to>
                    <xdr:col>8</xdr:col>
                    <xdr:colOff>19050</xdr:colOff>
                    <xdr:row>174</xdr:row>
                    <xdr:rowOff>0</xdr:rowOff>
                  </to>
                </anchor>
              </controlPr>
            </control>
          </mc:Choice>
        </mc:AlternateContent>
        <mc:AlternateContent xmlns:mc="http://schemas.openxmlformats.org/markup-compatibility/2006">
          <mc:Choice Requires="x14">
            <control shapeId="24691" r:id="rId77" name="Drop Down 115">
              <controlPr defaultSize="0" autoLine="0" autoPict="0">
                <anchor moveWithCells="1">
                  <from>
                    <xdr:col>7</xdr:col>
                    <xdr:colOff>0</xdr:colOff>
                    <xdr:row>173</xdr:row>
                    <xdr:rowOff>0</xdr:rowOff>
                  </from>
                  <to>
                    <xdr:col>8</xdr:col>
                    <xdr:colOff>19050</xdr:colOff>
                    <xdr:row>174</xdr:row>
                    <xdr:rowOff>0</xdr:rowOff>
                  </to>
                </anchor>
              </controlPr>
            </control>
          </mc:Choice>
        </mc:AlternateContent>
        <mc:AlternateContent xmlns:mc="http://schemas.openxmlformats.org/markup-compatibility/2006">
          <mc:Choice Requires="x14">
            <control shapeId="24692" r:id="rId78" name="Drop Down 116">
              <controlPr defaultSize="0" autoLine="0" autoPict="0">
                <anchor moveWithCells="1">
                  <from>
                    <xdr:col>11</xdr:col>
                    <xdr:colOff>0</xdr:colOff>
                    <xdr:row>173</xdr:row>
                    <xdr:rowOff>0</xdr:rowOff>
                  </from>
                  <to>
                    <xdr:col>12</xdr:col>
                    <xdr:colOff>19050</xdr:colOff>
                    <xdr:row>174</xdr:row>
                    <xdr:rowOff>0</xdr:rowOff>
                  </to>
                </anchor>
              </controlPr>
            </control>
          </mc:Choice>
        </mc:AlternateContent>
        <mc:AlternateContent xmlns:mc="http://schemas.openxmlformats.org/markup-compatibility/2006">
          <mc:Choice Requires="x14">
            <control shapeId="24693" r:id="rId79" name="Drop Down 117">
              <controlPr defaultSize="0" autoLine="0" autoPict="0">
                <anchor moveWithCells="1">
                  <from>
                    <xdr:col>11</xdr:col>
                    <xdr:colOff>0</xdr:colOff>
                    <xdr:row>173</xdr:row>
                    <xdr:rowOff>0</xdr:rowOff>
                  </from>
                  <to>
                    <xdr:col>12</xdr:col>
                    <xdr:colOff>19050</xdr:colOff>
                    <xdr:row>174</xdr:row>
                    <xdr:rowOff>0</xdr:rowOff>
                  </to>
                </anchor>
              </controlPr>
            </control>
          </mc:Choice>
        </mc:AlternateContent>
        <mc:AlternateContent xmlns:mc="http://schemas.openxmlformats.org/markup-compatibility/2006">
          <mc:Choice Requires="x14">
            <control shapeId="24694" r:id="rId80" name="Drop Down 118">
              <controlPr defaultSize="0" autoLine="0" autoPict="0">
                <anchor moveWithCells="1">
                  <from>
                    <xdr:col>11</xdr:col>
                    <xdr:colOff>0</xdr:colOff>
                    <xdr:row>173</xdr:row>
                    <xdr:rowOff>0</xdr:rowOff>
                  </from>
                  <to>
                    <xdr:col>12</xdr:col>
                    <xdr:colOff>19050</xdr:colOff>
                    <xdr:row>174</xdr:row>
                    <xdr:rowOff>0</xdr:rowOff>
                  </to>
                </anchor>
              </controlPr>
            </control>
          </mc:Choice>
        </mc:AlternateContent>
        <mc:AlternateContent xmlns:mc="http://schemas.openxmlformats.org/markup-compatibility/2006">
          <mc:Choice Requires="x14">
            <control shapeId="24695" r:id="rId81" name="Drop Down 119">
              <controlPr defaultSize="0" autoLine="0" autoPict="0">
                <anchor moveWithCells="1">
                  <from>
                    <xdr:col>11</xdr:col>
                    <xdr:colOff>0</xdr:colOff>
                    <xdr:row>173</xdr:row>
                    <xdr:rowOff>0</xdr:rowOff>
                  </from>
                  <to>
                    <xdr:col>12</xdr:col>
                    <xdr:colOff>19050</xdr:colOff>
                    <xdr:row>174</xdr:row>
                    <xdr:rowOff>0</xdr:rowOff>
                  </to>
                </anchor>
              </controlPr>
            </control>
          </mc:Choice>
        </mc:AlternateContent>
        <mc:AlternateContent xmlns:mc="http://schemas.openxmlformats.org/markup-compatibility/2006">
          <mc:Choice Requires="x14">
            <control shapeId="24696" r:id="rId82" name="Drop Down 120">
              <controlPr defaultSize="0" autoLine="0" autoPict="0">
                <anchor moveWithCells="1">
                  <from>
                    <xdr:col>15</xdr:col>
                    <xdr:colOff>0</xdr:colOff>
                    <xdr:row>173</xdr:row>
                    <xdr:rowOff>0</xdr:rowOff>
                  </from>
                  <to>
                    <xdr:col>16</xdr:col>
                    <xdr:colOff>19050</xdr:colOff>
                    <xdr:row>174</xdr:row>
                    <xdr:rowOff>0</xdr:rowOff>
                  </to>
                </anchor>
              </controlPr>
            </control>
          </mc:Choice>
        </mc:AlternateContent>
        <mc:AlternateContent xmlns:mc="http://schemas.openxmlformats.org/markup-compatibility/2006">
          <mc:Choice Requires="x14">
            <control shapeId="24697" r:id="rId83" name="Drop Down 121">
              <controlPr defaultSize="0" autoLine="0" autoPict="0">
                <anchor moveWithCells="1">
                  <from>
                    <xdr:col>15</xdr:col>
                    <xdr:colOff>0</xdr:colOff>
                    <xdr:row>173</xdr:row>
                    <xdr:rowOff>0</xdr:rowOff>
                  </from>
                  <to>
                    <xdr:col>16</xdr:col>
                    <xdr:colOff>19050</xdr:colOff>
                    <xdr:row>174</xdr:row>
                    <xdr:rowOff>0</xdr:rowOff>
                  </to>
                </anchor>
              </controlPr>
            </control>
          </mc:Choice>
        </mc:AlternateContent>
        <mc:AlternateContent xmlns:mc="http://schemas.openxmlformats.org/markup-compatibility/2006">
          <mc:Choice Requires="x14">
            <control shapeId="24698" r:id="rId84" name="Drop Down 122">
              <controlPr defaultSize="0" autoLine="0" autoPict="0">
                <anchor moveWithCells="1">
                  <from>
                    <xdr:col>15</xdr:col>
                    <xdr:colOff>0</xdr:colOff>
                    <xdr:row>173</xdr:row>
                    <xdr:rowOff>0</xdr:rowOff>
                  </from>
                  <to>
                    <xdr:col>16</xdr:col>
                    <xdr:colOff>19050</xdr:colOff>
                    <xdr:row>174</xdr:row>
                    <xdr:rowOff>0</xdr:rowOff>
                  </to>
                </anchor>
              </controlPr>
            </control>
          </mc:Choice>
        </mc:AlternateContent>
        <mc:AlternateContent xmlns:mc="http://schemas.openxmlformats.org/markup-compatibility/2006">
          <mc:Choice Requires="x14">
            <control shapeId="24699" r:id="rId85" name="Drop Down 123">
              <controlPr defaultSize="0" autoLine="0" autoPict="0">
                <anchor moveWithCells="1">
                  <from>
                    <xdr:col>15</xdr:col>
                    <xdr:colOff>0</xdr:colOff>
                    <xdr:row>173</xdr:row>
                    <xdr:rowOff>0</xdr:rowOff>
                  </from>
                  <to>
                    <xdr:col>16</xdr:col>
                    <xdr:colOff>19050</xdr:colOff>
                    <xdr:row>174</xdr:row>
                    <xdr:rowOff>0</xdr:rowOff>
                  </to>
                </anchor>
              </controlPr>
            </control>
          </mc:Choice>
        </mc:AlternateContent>
        <mc:AlternateContent xmlns:mc="http://schemas.openxmlformats.org/markup-compatibility/2006">
          <mc:Choice Requires="x14">
            <control shapeId="24700" r:id="rId86" name="Drop Down 124">
              <controlPr defaultSize="0" autoLine="0" autoPict="0">
                <anchor moveWithCells="1">
                  <from>
                    <xdr:col>19</xdr:col>
                    <xdr:colOff>0</xdr:colOff>
                    <xdr:row>173</xdr:row>
                    <xdr:rowOff>0</xdr:rowOff>
                  </from>
                  <to>
                    <xdr:col>20</xdr:col>
                    <xdr:colOff>19050</xdr:colOff>
                    <xdr:row>174</xdr:row>
                    <xdr:rowOff>0</xdr:rowOff>
                  </to>
                </anchor>
              </controlPr>
            </control>
          </mc:Choice>
        </mc:AlternateContent>
        <mc:AlternateContent xmlns:mc="http://schemas.openxmlformats.org/markup-compatibility/2006">
          <mc:Choice Requires="x14">
            <control shapeId="24701" r:id="rId87" name="Drop Down 125">
              <controlPr defaultSize="0" autoLine="0" autoPict="0">
                <anchor moveWithCells="1">
                  <from>
                    <xdr:col>19</xdr:col>
                    <xdr:colOff>0</xdr:colOff>
                    <xdr:row>173</xdr:row>
                    <xdr:rowOff>0</xdr:rowOff>
                  </from>
                  <to>
                    <xdr:col>20</xdr:col>
                    <xdr:colOff>19050</xdr:colOff>
                    <xdr:row>174</xdr:row>
                    <xdr:rowOff>0</xdr:rowOff>
                  </to>
                </anchor>
              </controlPr>
            </control>
          </mc:Choice>
        </mc:AlternateContent>
        <mc:AlternateContent xmlns:mc="http://schemas.openxmlformats.org/markup-compatibility/2006">
          <mc:Choice Requires="x14">
            <control shapeId="24702" r:id="rId88" name="Drop Down 126">
              <controlPr defaultSize="0" autoLine="0" autoPict="0">
                <anchor moveWithCells="1">
                  <from>
                    <xdr:col>19</xdr:col>
                    <xdr:colOff>0</xdr:colOff>
                    <xdr:row>173</xdr:row>
                    <xdr:rowOff>0</xdr:rowOff>
                  </from>
                  <to>
                    <xdr:col>20</xdr:col>
                    <xdr:colOff>19050</xdr:colOff>
                    <xdr:row>174</xdr:row>
                    <xdr:rowOff>0</xdr:rowOff>
                  </to>
                </anchor>
              </controlPr>
            </control>
          </mc:Choice>
        </mc:AlternateContent>
        <mc:AlternateContent xmlns:mc="http://schemas.openxmlformats.org/markup-compatibility/2006">
          <mc:Choice Requires="x14">
            <control shapeId="24703" r:id="rId89" name="Drop Down 127">
              <controlPr defaultSize="0" autoLine="0" autoPict="0">
                <anchor moveWithCells="1">
                  <from>
                    <xdr:col>19</xdr:col>
                    <xdr:colOff>0</xdr:colOff>
                    <xdr:row>173</xdr:row>
                    <xdr:rowOff>0</xdr:rowOff>
                  </from>
                  <to>
                    <xdr:col>20</xdr:col>
                    <xdr:colOff>19050</xdr:colOff>
                    <xdr:row>174</xdr:row>
                    <xdr:rowOff>0</xdr:rowOff>
                  </to>
                </anchor>
              </controlPr>
            </control>
          </mc:Choice>
        </mc:AlternateContent>
        <mc:AlternateContent xmlns:mc="http://schemas.openxmlformats.org/markup-compatibility/2006">
          <mc:Choice Requires="x14">
            <control shapeId="24704" r:id="rId90" name="Drop Down 128">
              <controlPr defaultSize="0" autoLine="0" autoPict="0">
                <anchor moveWithCells="1">
                  <from>
                    <xdr:col>1</xdr:col>
                    <xdr:colOff>19050</xdr:colOff>
                    <xdr:row>173</xdr:row>
                    <xdr:rowOff>0</xdr:rowOff>
                  </from>
                  <to>
                    <xdr:col>1</xdr:col>
                    <xdr:colOff>1790700</xdr:colOff>
                    <xdr:row>174</xdr:row>
                    <xdr:rowOff>0</xdr:rowOff>
                  </to>
                </anchor>
              </controlPr>
            </control>
          </mc:Choice>
        </mc:AlternateContent>
        <mc:AlternateContent xmlns:mc="http://schemas.openxmlformats.org/markup-compatibility/2006">
          <mc:Choice Requires="x14">
            <control shapeId="24705" r:id="rId91" name="Drop Down 129">
              <controlPr defaultSize="0" print="0" autoLine="0" autoPict="0">
                <anchor moveWithCells="1">
                  <from>
                    <xdr:col>0</xdr:col>
                    <xdr:colOff>0</xdr:colOff>
                    <xdr:row>173</xdr:row>
                    <xdr:rowOff>0</xdr:rowOff>
                  </from>
                  <to>
                    <xdr:col>1</xdr:col>
                    <xdr:colOff>847725</xdr:colOff>
                    <xdr:row>174</xdr:row>
                    <xdr:rowOff>0</xdr:rowOff>
                  </to>
                </anchor>
              </controlPr>
            </control>
          </mc:Choice>
        </mc:AlternateContent>
        <mc:AlternateContent xmlns:mc="http://schemas.openxmlformats.org/markup-compatibility/2006">
          <mc:Choice Requires="x14">
            <control shapeId="24706" r:id="rId92" name="Drop Down 130">
              <controlPr defaultSize="0" autoLine="0" autoPict="0">
                <anchor moveWithCells="1">
                  <from>
                    <xdr:col>2</xdr:col>
                    <xdr:colOff>0</xdr:colOff>
                    <xdr:row>105</xdr:row>
                    <xdr:rowOff>19050</xdr:rowOff>
                  </from>
                  <to>
                    <xdr:col>3</xdr:col>
                    <xdr:colOff>552450</xdr:colOff>
                    <xdr:row>106</xdr:row>
                    <xdr:rowOff>19050</xdr:rowOff>
                  </to>
                </anchor>
              </controlPr>
            </control>
          </mc:Choice>
        </mc:AlternateContent>
        <mc:AlternateContent xmlns:mc="http://schemas.openxmlformats.org/markup-compatibility/2006">
          <mc:Choice Requires="x14">
            <control shapeId="24707" r:id="rId93" name="Drop Down 131">
              <controlPr defaultSize="0" autoLine="0" autoPict="0">
                <anchor moveWithCells="1">
                  <from>
                    <xdr:col>2</xdr:col>
                    <xdr:colOff>0</xdr:colOff>
                    <xdr:row>106</xdr:row>
                    <xdr:rowOff>19050</xdr:rowOff>
                  </from>
                  <to>
                    <xdr:col>3</xdr:col>
                    <xdr:colOff>552450</xdr:colOff>
                    <xdr:row>107</xdr:row>
                    <xdr:rowOff>19050</xdr:rowOff>
                  </to>
                </anchor>
              </controlPr>
            </control>
          </mc:Choice>
        </mc:AlternateContent>
        <mc:AlternateContent xmlns:mc="http://schemas.openxmlformats.org/markup-compatibility/2006">
          <mc:Choice Requires="x14">
            <control shapeId="24708" r:id="rId94" name="Drop Down 132">
              <controlPr defaultSize="0" autoLine="0" autoPict="0">
                <anchor moveWithCells="1">
                  <from>
                    <xdr:col>7</xdr:col>
                    <xdr:colOff>0</xdr:colOff>
                    <xdr:row>105</xdr:row>
                    <xdr:rowOff>19050</xdr:rowOff>
                  </from>
                  <to>
                    <xdr:col>8</xdr:col>
                    <xdr:colOff>19050</xdr:colOff>
                    <xdr:row>106</xdr:row>
                    <xdr:rowOff>19050</xdr:rowOff>
                  </to>
                </anchor>
              </controlPr>
            </control>
          </mc:Choice>
        </mc:AlternateContent>
        <mc:AlternateContent xmlns:mc="http://schemas.openxmlformats.org/markup-compatibility/2006">
          <mc:Choice Requires="x14">
            <control shapeId="24709" r:id="rId95" name="Drop Down 133">
              <controlPr defaultSize="0" autoLine="0" autoPict="0">
                <anchor moveWithCells="1">
                  <from>
                    <xdr:col>7</xdr:col>
                    <xdr:colOff>0</xdr:colOff>
                    <xdr:row>106</xdr:row>
                    <xdr:rowOff>19050</xdr:rowOff>
                  </from>
                  <to>
                    <xdr:col>8</xdr:col>
                    <xdr:colOff>19050</xdr:colOff>
                    <xdr:row>107</xdr:row>
                    <xdr:rowOff>19050</xdr:rowOff>
                  </to>
                </anchor>
              </controlPr>
            </control>
          </mc:Choice>
        </mc:AlternateContent>
        <mc:AlternateContent xmlns:mc="http://schemas.openxmlformats.org/markup-compatibility/2006">
          <mc:Choice Requires="x14">
            <control shapeId="24710" r:id="rId96" name="Drop Down 134">
              <controlPr defaultSize="0" autoLine="0" autoPict="0">
                <anchor moveWithCells="1">
                  <from>
                    <xdr:col>11</xdr:col>
                    <xdr:colOff>0</xdr:colOff>
                    <xdr:row>105</xdr:row>
                    <xdr:rowOff>0</xdr:rowOff>
                  </from>
                  <to>
                    <xdr:col>12</xdr:col>
                    <xdr:colOff>19050</xdr:colOff>
                    <xdr:row>106</xdr:row>
                    <xdr:rowOff>0</xdr:rowOff>
                  </to>
                </anchor>
              </controlPr>
            </control>
          </mc:Choice>
        </mc:AlternateContent>
        <mc:AlternateContent xmlns:mc="http://schemas.openxmlformats.org/markup-compatibility/2006">
          <mc:Choice Requires="x14">
            <control shapeId="24711" r:id="rId97" name="Drop Down 135">
              <controlPr defaultSize="0" autoLine="0" autoPict="0">
                <anchor moveWithCells="1">
                  <from>
                    <xdr:col>11</xdr:col>
                    <xdr:colOff>0</xdr:colOff>
                    <xdr:row>106</xdr:row>
                    <xdr:rowOff>0</xdr:rowOff>
                  </from>
                  <to>
                    <xdr:col>12</xdr:col>
                    <xdr:colOff>19050</xdr:colOff>
                    <xdr:row>107</xdr:row>
                    <xdr:rowOff>0</xdr:rowOff>
                  </to>
                </anchor>
              </controlPr>
            </control>
          </mc:Choice>
        </mc:AlternateContent>
        <mc:AlternateContent xmlns:mc="http://schemas.openxmlformats.org/markup-compatibility/2006">
          <mc:Choice Requires="x14">
            <control shapeId="24712" r:id="rId98" name="Drop Down 136">
              <controlPr defaultSize="0" autoLine="0" autoPict="0">
                <anchor moveWithCells="1">
                  <from>
                    <xdr:col>15</xdr:col>
                    <xdr:colOff>0</xdr:colOff>
                    <xdr:row>105</xdr:row>
                    <xdr:rowOff>0</xdr:rowOff>
                  </from>
                  <to>
                    <xdr:col>16</xdr:col>
                    <xdr:colOff>19050</xdr:colOff>
                    <xdr:row>106</xdr:row>
                    <xdr:rowOff>0</xdr:rowOff>
                  </to>
                </anchor>
              </controlPr>
            </control>
          </mc:Choice>
        </mc:AlternateContent>
        <mc:AlternateContent xmlns:mc="http://schemas.openxmlformats.org/markup-compatibility/2006">
          <mc:Choice Requires="x14">
            <control shapeId="24713" r:id="rId99" name="Drop Down 137">
              <controlPr defaultSize="0" autoLine="0" autoPict="0">
                <anchor moveWithCells="1">
                  <from>
                    <xdr:col>15</xdr:col>
                    <xdr:colOff>0</xdr:colOff>
                    <xdr:row>106</xdr:row>
                    <xdr:rowOff>0</xdr:rowOff>
                  </from>
                  <to>
                    <xdr:col>16</xdr:col>
                    <xdr:colOff>19050</xdr:colOff>
                    <xdr:row>107</xdr:row>
                    <xdr:rowOff>0</xdr:rowOff>
                  </to>
                </anchor>
              </controlPr>
            </control>
          </mc:Choice>
        </mc:AlternateContent>
        <mc:AlternateContent xmlns:mc="http://schemas.openxmlformats.org/markup-compatibility/2006">
          <mc:Choice Requires="x14">
            <control shapeId="24714" r:id="rId100" name="Drop Down 138">
              <controlPr defaultSize="0" autoLine="0" autoPict="0">
                <anchor moveWithCells="1">
                  <from>
                    <xdr:col>19</xdr:col>
                    <xdr:colOff>0</xdr:colOff>
                    <xdr:row>105</xdr:row>
                    <xdr:rowOff>0</xdr:rowOff>
                  </from>
                  <to>
                    <xdr:col>20</xdr:col>
                    <xdr:colOff>19050</xdr:colOff>
                    <xdr:row>106</xdr:row>
                    <xdr:rowOff>0</xdr:rowOff>
                  </to>
                </anchor>
              </controlPr>
            </control>
          </mc:Choice>
        </mc:AlternateContent>
        <mc:AlternateContent xmlns:mc="http://schemas.openxmlformats.org/markup-compatibility/2006">
          <mc:Choice Requires="x14">
            <control shapeId="24715" r:id="rId101" name="Drop Down 139">
              <controlPr defaultSize="0" autoLine="0" autoPict="0">
                <anchor moveWithCells="1">
                  <from>
                    <xdr:col>19</xdr:col>
                    <xdr:colOff>0</xdr:colOff>
                    <xdr:row>106</xdr:row>
                    <xdr:rowOff>0</xdr:rowOff>
                  </from>
                  <to>
                    <xdr:col>20</xdr:col>
                    <xdr:colOff>19050</xdr:colOff>
                    <xdr:row>107</xdr:row>
                    <xdr:rowOff>0</xdr:rowOff>
                  </to>
                </anchor>
              </controlPr>
            </control>
          </mc:Choice>
        </mc:AlternateContent>
        <mc:AlternateContent xmlns:mc="http://schemas.openxmlformats.org/markup-compatibility/2006">
          <mc:Choice Requires="x14">
            <control shapeId="24716" r:id="rId102" name="Drop Down 140">
              <controlPr defaultSize="0" autoLine="0" autoPict="0">
                <anchor moveWithCells="1">
                  <from>
                    <xdr:col>1</xdr:col>
                    <xdr:colOff>19050</xdr:colOff>
                    <xdr:row>108</xdr:row>
                    <xdr:rowOff>0</xdr:rowOff>
                  </from>
                  <to>
                    <xdr:col>1</xdr:col>
                    <xdr:colOff>1790700</xdr:colOff>
                    <xdr:row>109</xdr:row>
                    <xdr:rowOff>0</xdr:rowOff>
                  </to>
                </anchor>
              </controlPr>
            </control>
          </mc:Choice>
        </mc:AlternateContent>
        <mc:AlternateContent xmlns:mc="http://schemas.openxmlformats.org/markup-compatibility/2006">
          <mc:Choice Requires="x14">
            <control shapeId="24717" r:id="rId103" name="Drop Down 141">
              <controlPr defaultSize="0" print="0" autoLine="0" autoPict="0">
                <anchor moveWithCells="1">
                  <from>
                    <xdr:col>0</xdr:col>
                    <xdr:colOff>0</xdr:colOff>
                    <xdr:row>100</xdr:row>
                    <xdr:rowOff>0</xdr:rowOff>
                  </from>
                  <to>
                    <xdr:col>1</xdr:col>
                    <xdr:colOff>847725</xdr:colOff>
                    <xdr:row>101</xdr:row>
                    <xdr:rowOff>0</xdr:rowOff>
                  </to>
                </anchor>
              </controlPr>
            </control>
          </mc:Choice>
        </mc:AlternateContent>
        <mc:AlternateContent xmlns:mc="http://schemas.openxmlformats.org/markup-compatibility/2006">
          <mc:Choice Requires="x14">
            <control shapeId="24718" r:id="rId104" name="Drop Down 142">
              <controlPr defaultSize="0" autoLine="0" autoPict="0">
                <anchor moveWithCells="1">
                  <from>
                    <xdr:col>2</xdr:col>
                    <xdr:colOff>0</xdr:colOff>
                    <xdr:row>100</xdr:row>
                    <xdr:rowOff>0</xdr:rowOff>
                  </from>
                  <to>
                    <xdr:col>3</xdr:col>
                    <xdr:colOff>552450</xdr:colOff>
                    <xdr:row>101</xdr:row>
                    <xdr:rowOff>0</xdr:rowOff>
                  </to>
                </anchor>
              </controlPr>
            </control>
          </mc:Choice>
        </mc:AlternateContent>
        <mc:AlternateContent xmlns:mc="http://schemas.openxmlformats.org/markup-compatibility/2006">
          <mc:Choice Requires="x14">
            <control shapeId="24719" r:id="rId105" name="Drop Down 143">
              <controlPr defaultSize="0" autoLine="0" autoPict="0">
                <anchor moveWithCells="1">
                  <from>
                    <xdr:col>2</xdr:col>
                    <xdr:colOff>0</xdr:colOff>
                    <xdr:row>108</xdr:row>
                    <xdr:rowOff>0</xdr:rowOff>
                  </from>
                  <to>
                    <xdr:col>3</xdr:col>
                    <xdr:colOff>552450</xdr:colOff>
                    <xdr:row>109</xdr:row>
                    <xdr:rowOff>0</xdr:rowOff>
                  </to>
                </anchor>
              </controlPr>
            </control>
          </mc:Choice>
        </mc:AlternateContent>
        <mc:AlternateContent xmlns:mc="http://schemas.openxmlformats.org/markup-compatibility/2006">
          <mc:Choice Requires="x14">
            <control shapeId="24720" r:id="rId106" name="Drop Down 144">
              <controlPr defaultSize="0" autoLine="0" autoPict="0">
                <anchor moveWithCells="1">
                  <from>
                    <xdr:col>7</xdr:col>
                    <xdr:colOff>0</xdr:colOff>
                    <xdr:row>108</xdr:row>
                    <xdr:rowOff>0</xdr:rowOff>
                  </from>
                  <to>
                    <xdr:col>8</xdr:col>
                    <xdr:colOff>19050</xdr:colOff>
                    <xdr:row>109</xdr:row>
                    <xdr:rowOff>0</xdr:rowOff>
                  </to>
                </anchor>
              </controlPr>
            </control>
          </mc:Choice>
        </mc:AlternateContent>
        <mc:AlternateContent xmlns:mc="http://schemas.openxmlformats.org/markup-compatibility/2006">
          <mc:Choice Requires="x14">
            <control shapeId="24721" r:id="rId107" name="Drop Down 145">
              <controlPr defaultSize="0" autoLine="0" autoPict="0">
                <anchor moveWithCells="1">
                  <from>
                    <xdr:col>11</xdr:col>
                    <xdr:colOff>0</xdr:colOff>
                    <xdr:row>107</xdr:row>
                    <xdr:rowOff>190500</xdr:rowOff>
                  </from>
                  <to>
                    <xdr:col>12</xdr:col>
                    <xdr:colOff>19050</xdr:colOff>
                    <xdr:row>108</xdr:row>
                    <xdr:rowOff>190500</xdr:rowOff>
                  </to>
                </anchor>
              </controlPr>
            </control>
          </mc:Choice>
        </mc:AlternateContent>
        <mc:AlternateContent xmlns:mc="http://schemas.openxmlformats.org/markup-compatibility/2006">
          <mc:Choice Requires="x14">
            <control shapeId="24722" r:id="rId108" name="Drop Down 146">
              <controlPr defaultSize="0" autoLine="0" autoPict="0">
                <anchor moveWithCells="1">
                  <from>
                    <xdr:col>15</xdr:col>
                    <xdr:colOff>0</xdr:colOff>
                    <xdr:row>108</xdr:row>
                    <xdr:rowOff>0</xdr:rowOff>
                  </from>
                  <to>
                    <xdr:col>16</xdr:col>
                    <xdr:colOff>19050</xdr:colOff>
                    <xdr:row>109</xdr:row>
                    <xdr:rowOff>0</xdr:rowOff>
                  </to>
                </anchor>
              </controlPr>
            </control>
          </mc:Choice>
        </mc:AlternateContent>
        <mc:AlternateContent xmlns:mc="http://schemas.openxmlformats.org/markup-compatibility/2006">
          <mc:Choice Requires="x14">
            <control shapeId="24723" r:id="rId109" name="Drop Down 147">
              <controlPr defaultSize="0" autoLine="0" autoPict="0">
                <anchor moveWithCells="1">
                  <from>
                    <xdr:col>19</xdr:col>
                    <xdr:colOff>0</xdr:colOff>
                    <xdr:row>108</xdr:row>
                    <xdr:rowOff>0</xdr:rowOff>
                  </from>
                  <to>
                    <xdr:col>20</xdr:col>
                    <xdr:colOff>19050</xdr:colOff>
                    <xdr:row>109</xdr:row>
                    <xdr:rowOff>0</xdr:rowOff>
                  </to>
                </anchor>
              </controlPr>
            </control>
          </mc:Choice>
        </mc:AlternateContent>
        <mc:AlternateContent xmlns:mc="http://schemas.openxmlformats.org/markup-compatibility/2006">
          <mc:Choice Requires="x14">
            <control shapeId="24724" r:id="rId110" name="Drop Down 148">
              <controlPr defaultSize="0" autoLine="0" autoPict="0">
                <anchor moveWithCells="1">
                  <from>
                    <xdr:col>7</xdr:col>
                    <xdr:colOff>0</xdr:colOff>
                    <xdr:row>100</xdr:row>
                    <xdr:rowOff>0</xdr:rowOff>
                  </from>
                  <to>
                    <xdr:col>8</xdr:col>
                    <xdr:colOff>19050</xdr:colOff>
                    <xdr:row>101</xdr:row>
                    <xdr:rowOff>0</xdr:rowOff>
                  </to>
                </anchor>
              </controlPr>
            </control>
          </mc:Choice>
        </mc:AlternateContent>
        <mc:AlternateContent xmlns:mc="http://schemas.openxmlformats.org/markup-compatibility/2006">
          <mc:Choice Requires="x14">
            <control shapeId="24725" r:id="rId111" name="Drop Down 149">
              <controlPr defaultSize="0" autoLine="0" autoPict="0">
                <anchor moveWithCells="1">
                  <from>
                    <xdr:col>11</xdr:col>
                    <xdr:colOff>19050</xdr:colOff>
                    <xdr:row>99</xdr:row>
                    <xdr:rowOff>190500</xdr:rowOff>
                  </from>
                  <to>
                    <xdr:col>12</xdr:col>
                    <xdr:colOff>19050</xdr:colOff>
                    <xdr:row>100</xdr:row>
                    <xdr:rowOff>190500</xdr:rowOff>
                  </to>
                </anchor>
              </controlPr>
            </control>
          </mc:Choice>
        </mc:AlternateContent>
        <mc:AlternateContent xmlns:mc="http://schemas.openxmlformats.org/markup-compatibility/2006">
          <mc:Choice Requires="x14">
            <control shapeId="24726" r:id="rId112" name="Drop Down 150">
              <controlPr defaultSize="0" autoLine="0" autoPict="0">
                <anchor moveWithCells="1">
                  <from>
                    <xdr:col>15</xdr:col>
                    <xdr:colOff>0</xdr:colOff>
                    <xdr:row>100</xdr:row>
                    <xdr:rowOff>19050</xdr:rowOff>
                  </from>
                  <to>
                    <xdr:col>16</xdr:col>
                    <xdr:colOff>19050</xdr:colOff>
                    <xdr:row>101</xdr:row>
                    <xdr:rowOff>19050</xdr:rowOff>
                  </to>
                </anchor>
              </controlPr>
            </control>
          </mc:Choice>
        </mc:AlternateContent>
        <mc:AlternateContent xmlns:mc="http://schemas.openxmlformats.org/markup-compatibility/2006">
          <mc:Choice Requires="x14">
            <control shapeId="24727" r:id="rId113" name="Drop Down 151">
              <controlPr defaultSize="0" autoLine="0" autoPict="0">
                <anchor moveWithCells="1">
                  <from>
                    <xdr:col>19</xdr:col>
                    <xdr:colOff>0</xdr:colOff>
                    <xdr:row>100</xdr:row>
                    <xdr:rowOff>0</xdr:rowOff>
                  </from>
                  <to>
                    <xdr:col>20</xdr:col>
                    <xdr:colOff>19050</xdr:colOff>
                    <xdr:row>101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DA218"/>
  <sheetViews>
    <sheetView zoomScale="85" zoomScaleNormal="85" workbookViewId="0">
      <pane xSplit="5" ySplit="8" topLeftCell="CC9" activePane="bottomRight" state="frozen"/>
      <selection activeCell="DH36" sqref="DH36"/>
      <selection pane="topRight" activeCell="DH36" sqref="DH36"/>
      <selection pane="bottomLeft" activeCell="DH36" sqref="DH36"/>
      <selection pane="bottomRight" activeCell="CE1" sqref="CE1"/>
    </sheetView>
  </sheetViews>
  <sheetFormatPr defaultRowHeight="15.75" x14ac:dyDescent="0.25"/>
  <cols>
    <col min="1" max="1" width="4.42578125" style="224" bestFit="1" customWidth="1"/>
    <col min="2" max="2" width="7.7109375" style="224" customWidth="1"/>
    <col min="3" max="3" width="14.7109375" customWidth="1"/>
    <col min="4" max="4" width="24" style="751" customWidth="1"/>
    <col min="5" max="5" width="30.28515625" customWidth="1"/>
    <col min="6" max="6" width="6.7109375" customWidth="1"/>
    <col min="7" max="7" width="12" customWidth="1"/>
    <col min="8" max="8" width="9.7109375" customWidth="1"/>
    <col min="9" max="9" width="8.7109375" customWidth="1"/>
    <col min="10" max="10" width="9.7109375" customWidth="1"/>
    <col min="11" max="11" width="6.7109375" customWidth="1"/>
    <col min="12" max="12" width="8.7109375" customWidth="1"/>
    <col min="13" max="13" width="9.7109375" customWidth="1"/>
    <col min="14" max="14" width="8.7109375" customWidth="1"/>
    <col min="15" max="15" width="9.7109375" customWidth="1"/>
    <col min="16" max="16" width="6.7109375" customWidth="1"/>
    <col min="17" max="17" width="8.7109375" customWidth="1"/>
    <col min="18" max="18" width="9.7109375" customWidth="1"/>
    <col min="19" max="19" width="8.7109375" customWidth="1"/>
    <col min="20" max="20" width="9.7109375" customWidth="1"/>
    <col min="21" max="21" width="6.7109375" customWidth="1"/>
    <col min="22" max="22" width="8.7109375" customWidth="1"/>
    <col min="23" max="23" width="9.7109375" customWidth="1"/>
    <col min="24" max="24" width="8.7109375" customWidth="1"/>
    <col min="25" max="25" width="9.7109375" customWidth="1"/>
    <col min="26" max="26" width="6.7109375" customWidth="1"/>
    <col min="27" max="27" width="8.7109375" customWidth="1"/>
    <col min="28" max="28" width="9.7109375" customWidth="1"/>
    <col min="29" max="29" width="8.7109375" customWidth="1"/>
    <col min="30" max="30" width="9.7109375" customWidth="1"/>
    <col min="31" max="31" width="6.7109375" customWidth="1"/>
    <col min="32" max="32" width="8.7109375" customWidth="1"/>
    <col min="33" max="33" width="9.7109375" customWidth="1"/>
    <col min="34" max="34" width="8.7109375" customWidth="1"/>
    <col min="35" max="35" width="9.7109375" customWidth="1"/>
    <col min="36" max="36" width="6.7109375" customWidth="1"/>
    <col min="37" max="37" width="8.7109375" customWidth="1"/>
    <col min="38" max="38" width="9.7109375" customWidth="1"/>
    <col min="39" max="39" width="8.7109375" customWidth="1"/>
    <col min="40" max="40" width="9.7109375" customWidth="1"/>
    <col min="41" max="41" width="6.7109375" customWidth="1"/>
    <col min="42" max="42" width="8.7109375" customWidth="1"/>
    <col min="43" max="43" width="9.7109375" customWidth="1"/>
    <col min="44" max="44" width="8.7109375" customWidth="1"/>
    <col min="45" max="45" width="9.7109375" customWidth="1"/>
    <col min="46" max="46" width="6.7109375" customWidth="1"/>
    <col min="47" max="47" width="8.7109375" customWidth="1"/>
    <col min="48" max="48" width="9.7109375" customWidth="1"/>
    <col min="49" max="49" width="8.7109375" customWidth="1"/>
    <col min="50" max="50" width="9.7109375" customWidth="1"/>
    <col min="51" max="51" width="6.7109375" customWidth="1"/>
    <col min="52" max="52" width="8.7109375" customWidth="1"/>
    <col min="53" max="53" width="9.7109375" customWidth="1"/>
    <col min="54" max="54" width="8.7109375" customWidth="1"/>
    <col min="55" max="55" width="9.7109375" customWidth="1"/>
    <col min="65" max="65" width="12.5703125" customWidth="1"/>
    <col min="95" max="95" width="10.7109375" customWidth="1"/>
  </cols>
  <sheetData>
    <row r="1" spans="1:105" ht="19.5" x14ac:dyDescent="0.3">
      <c r="C1" s="1434" t="s">
        <v>763</v>
      </c>
      <c r="D1" s="1434"/>
      <c r="E1" s="1434"/>
      <c r="F1" s="1244"/>
      <c r="G1" s="1244"/>
      <c r="I1" s="49"/>
      <c r="J1" s="49"/>
      <c r="K1" s="49"/>
      <c r="M1" s="573"/>
      <c r="N1" s="574"/>
      <c r="O1" s="78"/>
    </row>
    <row r="2" spans="1:105" x14ac:dyDescent="0.25">
      <c r="C2" s="1245" t="s">
        <v>0</v>
      </c>
      <c r="D2" s="1245"/>
      <c r="E2" s="1245"/>
      <c r="F2" s="1244"/>
      <c r="G2" s="48">
        <f>ProjectName</f>
        <v>0</v>
      </c>
      <c r="I2" s="798" t="s">
        <v>766</v>
      </c>
      <c r="J2" s="574"/>
      <c r="K2" s="571"/>
      <c r="L2" s="571"/>
      <c r="M2" s="573"/>
      <c r="N2" s="574"/>
      <c r="O2" s="78"/>
    </row>
    <row r="3" spans="1:105" x14ac:dyDescent="0.25">
      <c r="C3" s="1246" t="s">
        <v>372</v>
      </c>
      <c r="D3" s="1246"/>
      <c r="E3" s="1246"/>
      <c r="F3" s="1244"/>
      <c r="G3" s="48">
        <f>ProjectNumber</f>
        <v>0</v>
      </c>
      <c r="I3" s="797" t="s">
        <v>764</v>
      </c>
      <c r="J3" s="601"/>
      <c r="K3" s="602"/>
      <c r="L3" s="602"/>
      <c r="M3" s="603"/>
      <c r="N3" s="601"/>
      <c r="O3" s="604"/>
      <c r="P3" s="605"/>
      <c r="Q3" s="605"/>
      <c r="R3" s="605"/>
      <c r="S3" s="605"/>
    </row>
    <row r="4" spans="1:105" x14ac:dyDescent="0.25">
      <c r="C4" s="1245" t="s">
        <v>2</v>
      </c>
      <c r="D4" s="1245"/>
      <c r="E4" s="1245"/>
      <c r="F4" s="1244"/>
      <c r="G4" s="48">
        <f>PreparedBy</f>
        <v>0</v>
      </c>
      <c r="I4" s="607" t="s">
        <v>765</v>
      </c>
      <c r="J4" s="608"/>
      <c r="K4" s="609"/>
      <c r="L4" s="609"/>
      <c r="M4" s="610"/>
      <c r="N4" s="608"/>
      <c r="O4" s="611"/>
      <c r="P4" s="612"/>
      <c r="Q4" s="612"/>
      <c r="R4" s="612"/>
      <c r="S4" s="612"/>
    </row>
    <row r="5" spans="1:105" x14ac:dyDescent="0.25">
      <c r="C5" s="1245" t="s">
        <v>3</v>
      </c>
      <c r="D5" s="1245"/>
      <c r="E5" s="1245"/>
      <c r="F5" s="1244"/>
      <c r="G5" s="88">
        <f ca="1">DateField</f>
        <v>45516</v>
      </c>
      <c r="H5" s="574"/>
      <c r="I5" s="574"/>
      <c r="J5" s="574"/>
      <c r="K5" s="571"/>
      <c r="L5" s="571"/>
      <c r="M5" s="573"/>
      <c r="N5" s="574"/>
      <c r="O5" s="30"/>
    </row>
    <row r="6" spans="1:105" ht="16.5" thickBot="1" x14ac:dyDescent="0.3"/>
    <row r="7" spans="1:105" s="598" customFormat="1" ht="16.5" thickBot="1" x14ac:dyDescent="0.3">
      <c r="A7" s="755"/>
      <c r="B7" s="811"/>
      <c r="C7" s="807"/>
      <c r="D7" s="807"/>
      <c r="E7" s="807"/>
      <c r="F7" s="1509" t="s">
        <v>659</v>
      </c>
      <c r="G7" s="1510"/>
      <c r="H7" s="1510"/>
      <c r="I7" s="600">
        <v>1</v>
      </c>
      <c r="J7" s="595"/>
      <c r="K7" s="1509" t="s">
        <v>659</v>
      </c>
      <c r="L7" s="1510"/>
      <c r="M7" s="1510"/>
      <c r="N7" s="600">
        <v>2</v>
      </c>
      <c r="O7" s="596"/>
      <c r="P7" s="1509" t="s">
        <v>659</v>
      </c>
      <c r="Q7" s="1510"/>
      <c r="R7" s="1510"/>
      <c r="S7" s="600">
        <v>3</v>
      </c>
      <c r="T7" s="597"/>
      <c r="U7" s="1510" t="s">
        <v>659</v>
      </c>
      <c r="V7" s="1510"/>
      <c r="W7" s="1510"/>
      <c r="X7" s="600">
        <v>4</v>
      </c>
      <c r="Y7" s="596"/>
      <c r="Z7" s="1509" t="s">
        <v>659</v>
      </c>
      <c r="AA7" s="1510"/>
      <c r="AB7" s="1510"/>
      <c r="AC7" s="600">
        <v>5</v>
      </c>
      <c r="AD7" s="597"/>
      <c r="AE7" s="1510" t="s">
        <v>659</v>
      </c>
      <c r="AF7" s="1510"/>
      <c r="AG7" s="1510"/>
      <c r="AH7" s="600">
        <v>6</v>
      </c>
      <c r="AI7" s="596"/>
      <c r="AJ7" s="1509" t="s">
        <v>659</v>
      </c>
      <c r="AK7" s="1510"/>
      <c r="AL7" s="1510"/>
      <c r="AM7" s="600">
        <v>7</v>
      </c>
      <c r="AN7" s="597"/>
      <c r="AO7" s="1510" t="s">
        <v>659</v>
      </c>
      <c r="AP7" s="1510"/>
      <c r="AQ7" s="1510"/>
      <c r="AR7" s="600">
        <v>8</v>
      </c>
      <c r="AS7" s="596"/>
      <c r="AT7" s="1509" t="s">
        <v>659</v>
      </c>
      <c r="AU7" s="1510"/>
      <c r="AV7" s="1510"/>
      <c r="AW7" s="600">
        <v>9</v>
      </c>
      <c r="AX7" s="597"/>
      <c r="AY7" s="1510" t="s">
        <v>659</v>
      </c>
      <c r="AZ7" s="1510"/>
      <c r="BA7" s="1510"/>
      <c r="BB7" s="600">
        <v>10</v>
      </c>
      <c r="BC7" s="597"/>
      <c r="BD7" s="1510" t="s">
        <v>659</v>
      </c>
      <c r="BE7" s="1510"/>
      <c r="BF7" s="1510"/>
      <c r="BG7" s="600">
        <v>11</v>
      </c>
      <c r="BH7" s="597"/>
      <c r="BI7" s="1510" t="s">
        <v>659</v>
      </c>
      <c r="BJ7" s="1510"/>
      <c r="BK7" s="1510"/>
      <c r="BL7" s="600">
        <v>12</v>
      </c>
      <c r="BM7" s="597"/>
      <c r="BN7" s="1510" t="s">
        <v>659</v>
      </c>
      <c r="BO7" s="1510"/>
      <c r="BP7" s="1510"/>
      <c r="BQ7" s="600">
        <v>13</v>
      </c>
      <c r="BR7" s="597"/>
      <c r="BS7" s="1510" t="s">
        <v>659</v>
      </c>
      <c r="BT7" s="1510"/>
      <c r="BU7" s="1510"/>
      <c r="BV7" s="600">
        <v>14</v>
      </c>
      <c r="BW7" s="597"/>
      <c r="BX7" s="1510" t="s">
        <v>659</v>
      </c>
      <c r="BY7" s="1510"/>
      <c r="BZ7" s="1510"/>
      <c r="CA7" s="600">
        <v>15</v>
      </c>
      <c r="CB7" s="597"/>
      <c r="CC7" s="1510" t="s">
        <v>659</v>
      </c>
      <c r="CD7" s="1510"/>
      <c r="CE7" s="1510"/>
      <c r="CF7" s="600">
        <v>16</v>
      </c>
      <c r="CG7" s="597"/>
      <c r="CH7" s="1510" t="s">
        <v>659</v>
      </c>
      <c r="CI7" s="1510"/>
      <c r="CJ7" s="1510"/>
      <c r="CK7" s="600">
        <v>17</v>
      </c>
      <c r="CL7" s="597"/>
      <c r="CM7" s="1510" t="s">
        <v>659</v>
      </c>
      <c r="CN7" s="1510"/>
      <c r="CO7" s="1510"/>
      <c r="CP7" s="600">
        <v>18</v>
      </c>
      <c r="CQ7" s="597"/>
      <c r="CR7" s="1510" t="s">
        <v>659</v>
      </c>
      <c r="CS7" s="1510"/>
      <c r="CT7" s="1510"/>
      <c r="CU7" s="600">
        <v>19</v>
      </c>
      <c r="CV7" s="597"/>
      <c r="CW7" s="1510" t="s">
        <v>659</v>
      </c>
      <c r="CX7" s="1510"/>
      <c r="CY7" s="1510"/>
      <c r="CZ7" s="600">
        <v>20</v>
      </c>
      <c r="DA7" s="597"/>
    </row>
    <row r="8" spans="1:105" s="150" customFormat="1" ht="31.9" customHeight="1" thickBot="1" x14ac:dyDescent="0.3">
      <c r="A8" s="224"/>
      <c r="B8" s="812" t="s">
        <v>427</v>
      </c>
      <c r="C8" s="806" t="s">
        <v>43</v>
      </c>
      <c r="D8" s="806" t="s">
        <v>38</v>
      </c>
      <c r="E8" s="806" t="s">
        <v>1214</v>
      </c>
      <c r="F8" s="578" t="s">
        <v>55</v>
      </c>
      <c r="G8" s="579" t="s">
        <v>53</v>
      </c>
      <c r="H8" s="579" t="s">
        <v>761</v>
      </c>
      <c r="I8" s="606" t="s">
        <v>762</v>
      </c>
      <c r="J8" s="580" t="s">
        <v>760</v>
      </c>
      <c r="K8" s="578" t="s">
        <v>55</v>
      </c>
      <c r="L8" s="579" t="s">
        <v>53</v>
      </c>
      <c r="M8" s="579" t="s">
        <v>761</v>
      </c>
      <c r="N8" s="606" t="s">
        <v>762</v>
      </c>
      <c r="O8" s="580" t="s">
        <v>760</v>
      </c>
      <c r="P8" s="578" t="s">
        <v>55</v>
      </c>
      <c r="Q8" s="579" t="s">
        <v>53</v>
      </c>
      <c r="R8" s="579" t="s">
        <v>761</v>
      </c>
      <c r="S8" s="606" t="s">
        <v>762</v>
      </c>
      <c r="T8" s="581" t="s">
        <v>760</v>
      </c>
      <c r="U8" s="578" t="s">
        <v>55</v>
      </c>
      <c r="V8" s="579" t="s">
        <v>53</v>
      </c>
      <c r="W8" s="579" t="s">
        <v>761</v>
      </c>
      <c r="X8" s="606" t="s">
        <v>762</v>
      </c>
      <c r="Y8" s="581" t="s">
        <v>760</v>
      </c>
      <c r="Z8" s="578" t="s">
        <v>55</v>
      </c>
      <c r="AA8" s="579" t="s">
        <v>53</v>
      </c>
      <c r="AB8" s="579" t="s">
        <v>761</v>
      </c>
      <c r="AC8" s="606" t="s">
        <v>762</v>
      </c>
      <c r="AD8" s="581" t="s">
        <v>760</v>
      </c>
      <c r="AE8" s="578" t="s">
        <v>55</v>
      </c>
      <c r="AF8" s="579" t="s">
        <v>53</v>
      </c>
      <c r="AG8" s="579" t="s">
        <v>761</v>
      </c>
      <c r="AH8" s="606" t="s">
        <v>762</v>
      </c>
      <c r="AI8" s="580" t="s">
        <v>760</v>
      </c>
      <c r="AJ8" s="578" t="s">
        <v>55</v>
      </c>
      <c r="AK8" s="579" t="s">
        <v>53</v>
      </c>
      <c r="AL8" s="579" t="s">
        <v>761</v>
      </c>
      <c r="AM8" s="606" t="s">
        <v>762</v>
      </c>
      <c r="AN8" s="581" t="s">
        <v>760</v>
      </c>
      <c r="AO8" s="582" t="s">
        <v>55</v>
      </c>
      <c r="AP8" s="579" t="s">
        <v>53</v>
      </c>
      <c r="AQ8" s="579" t="s">
        <v>761</v>
      </c>
      <c r="AR8" s="606" t="s">
        <v>762</v>
      </c>
      <c r="AS8" s="581" t="s">
        <v>760</v>
      </c>
      <c r="AT8" s="578" t="s">
        <v>55</v>
      </c>
      <c r="AU8" s="579" t="s">
        <v>53</v>
      </c>
      <c r="AV8" s="579" t="s">
        <v>761</v>
      </c>
      <c r="AW8" s="606" t="s">
        <v>762</v>
      </c>
      <c r="AX8" s="580" t="s">
        <v>760</v>
      </c>
      <c r="AY8" s="578" t="s">
        <v>55</v>
      </c>
      <c r="AZ8" s="579" t="s">
        <v>53</v>
      </c>
      <c r="BA8" s="579" t="s">
        <v>761</v>
      </c>
      <c r="BB8" s="606" t="s">
        <v>762</v>
      </c>
      <c r="BC8" s="581" t="s">
        <v>760</v>
      </c>
      <c r="BD8" s="578" t="s">
        <v>55</v>
      </c>
      <c r="BE8" s="579" t="s">
        <v>53</v>
      </c>
      <c r="BF8" s="579" t="s">
        <v>761</v>
      </c>
      <c r="BG8" s="606" t="s">
        <v>762</v>
      </c>
      <c r="BH8" s="581" t="s">
        <v>760</v>
      </c>
      <c r="BI8" s="578" t="s">
        <v>55</v>
      </c>
      <c r="BJ8" s="579" t="s">
        <v>53</v>
      </c>
      <c r="BK8" s="579" t="s">
        <v>761</v>
      </c>
      <c r="BL8" s="606" t="s">
        <v>762</v>
      </c>
      <c r="BM8" s="581" t="s">
        <v>760</v>
      </c>
      <c r="BN8" s="578" t="s">
        <v>55</v>
      </c>
      <c r="BO8" s="579" t="s">
        <v>53</v>
      </c>
      <c r="BP8" s="579" t="s">
        <v>761</v>
      </c>
      <c r="BQ8" s="606" t="s">
        <v>762</v>
      </c>
      <c r="BR8" s="581" t="s">
        <v>760</v>
      </c>
      <c r="BS8" s="578" t="s">
        <v>55</v>
      </c>
      <c r="BT8" s="579" t="s">
        <v>53</v>
      </c>
      <c r="BU8" s="579" t="s">
        <v>761</v>
      </c>
      <c r="BV8" s="606" t="s">
        <v>762</v>
      </c>
      <c r="BW8" s="581" t="s">
        <v>760</v>
      </c>
      <c r="BX8" s="578" t="s">
        <v>55</v>
      </c>
      <c r="BY8" s="579" t="s">
        <v>53</v>
      </c>
      <c r="BZ8" s="579" t="s">
        <v>761</v>
      </c>
      <c r="CA8" s="606" t="s">
        <v>762</v>
      </c>
      <c r="CB8" s="581" t="s">
        <v>760</v>
      </c>
      <c r="CC8" s="578" t="s">
        <v>55</v>
      </c>
      <c r="CD8" s="579" t="s">
        <v>53</v>
      </c>
      <c r="CE8" s="579" t="s">
        <v>761</v>
      </c>
      <c r="CF8" s="606" t="s">
        <v>762</v>
      </c>
      <c r="CG8" s="581" t="s">
        <v>760</v>
      </c>
      <c r="CH8" s="578" t="s">
        <v>55</v>
      </c>
      <c r="CI8" s="579" t="s">
        <v>53</v>
      </c>
      <c r="CJ8" s="579" t="s">
        <v>761</v>
      </c>
      <c r="CK8" s="606" t="s">
        <v>762</v>
      </c>
      <c r="CL8" s="581" t="s">
        <v>760</v>
      </c>
      <c r="CM8" s="578" t="s">
        <v>55</v>
      </c>
      <c r="CN8" s="579" t="s">
        <v>53</v>
      </c>
      <c r="CO8" s="579" t="s">
        <v>761</v>
      </c>
      <c r="CP8" s="606" t="s">
        <v>762</v>
      </c>
      <c r="CQ8" s="581" t="s">
        <v>760</v>
      </c>
      <c r="CR8" s="578" t="s">
        <v>55</v>
      </c>
      <c r="CS8" s="579" t="s">
        <v>53</v>
      </c>
      <c r="CT8" s="579" t="s">
        <v>761</v>
      </c>
      <c r="CU8" s="606" t="s">
        <v>762</v>
      </c>
      <c r="CV8" s="581" t="s">
        <v>760</v>
      </c>
      <c r="CW8" s="578" t="s">
        <v>55</v>
      </c>
      <c r="CX8" s="579" t="s">
        <v>53</v>
      </c>
      <c r="CY8" s="579" t="s">
        <v>761</v>
      </c>
      <c r="CZ8" s="606" t="s">
        <v>762</v>
      </c>
      <c r="DA8" s="581" t="s">
        <v>760</v>
      </c>
    </row>
    <row r="9" spans="1:105" ht="15" x14ac:dyDescent="0.25">
      <c r="A9" s="1512" t="s">
        <v>1222</v>
      </c>
      <c r="B9" s="808" t="s">
        <v>522</v>
      </c>
      <c r="C9" s="775" t="s">
        <v>903</v>
      </c>
      <c r="D9" s="1493" t="s">
        <v>904</v>
      </c>
      <c r="E9" s="1494" t="s">
        <v>1218</v>
      </c>
      <c r="F9" s="768" t="s">
        <v>66</v>
      </c>
      <c r="G9" s="586">
        <v>1</v>
      </c>
      <c r="H9" s="587">
        <f>+IF(G9="","",(VLOOKUP($C9,'EQUIP RATE SCHEDULE'!$B$11:$F$162,5,FALSE)))</f>
        <v>25</v>
      </c>
      <c r="I9" s="590"/>
      <c r="J9" s="588">
        <f>+IF(I$7="","",IF(G9="","",(IF(I9="",H9*G9,I9*G9))))</f>
        <v>25</v>
      </c>
      <c r="K9" s="768" t="s">
        <v>66</v>
      </c>
      <c r="L9" s="586">
        <v>1</v>
      </c>
      <c r="M9" s="587">
        <f>+IF(L9="","",(VLOOKUP($C9,'EQUIP RATE SCHEDULE'!$B$11:$F$162,5,FALSE)))</f>
        <v>25</v>
      </c>
      <c r="N9" s="590"/>
      <c r="O9" s="588">
        <f t="shared" ref="O9:O18" si="0">+IF(N$7="","",IF(L9="","",(IF(N9="",M9*L9,N9*L9))))</f>
        <v>25</v>
      </c>
      <c r="P9" s="768" t="s">
        <v>66</v>
      </c>
      <c r="Q9" s="586">
        <v>1</v>
      </c>
      <c r="R9" s="587">
        <f>+IF(Q9="","",(VLOOKUP($C9,'EQUIP RATE SCHEDULE'!$B$11:$F$162,5,FALSE)))</f>
        <v>25</v>
      </c>
      <c r="S9" s="590"/>
      <c r="T9" s="588">
        <f t="shared" ref="T9:T18" si="1">+IF(S$7="","",IF(Q9="","",(IF(S9="",R9*Q9,S9*Q9))))</f>
        <v>25</v>
      </c>
      <c r="U9" s="768" t="s">
        <v>66</v>
      </c>
      <c r="V9" s="586">
        <v>1</v>
      </c>
      <c r="W9" s="587">
        <f>+IF(V9="","",(VLOOKUP($C9,'EQUIP RATE SCHEDULE'!$B$11:$F$162,5,FALSE)))</f>
        <v>25</v>
      </c>
      <c r="X9" s="590"/>
      <c r="Y9" s="588">
        <f t="shared" ref="Y9:Y18" si="2">+IF(X$7="","",IF(V9="","",(IF(X9="",W9*V9,X9*V9))))</f>
        <v>25</v>
      </c>
      <c r="Z9" s="768" t="s">
        <v>66</v>
      </c>
      <c r="AA9" s="586">
        <v>1</v>
      </c>
      <c r="AB9" s="587">
        <f>+IF(AA9="","",(VLOOKUP($C9,'EQUIP RATE SCHEDULE'!$B$11:$F$162,5,FALSE)))</f>
        <v>25</v>
      </c>
      <c r="AC9" s="590"/>
      <c r="AD9" s="588">
        <f t="shared" ref="AD9:AD18" si="3">+IF(AC$7="","",IF(AA9="","",(IF(AC9="",AB9*AA9,AC9*AA9))))</f>
        <v>25</v>
      </c>
      <c r="AE9" s="768" t="s">
        <v>66</v>
      </c>
      <c r="AF9" s="586">
        <v>1</v>
      </c>
      <c r="AG9" s="587">
        <f>+IF(AF9="","",(VLOOKUP($C9,'EQUIP RATE SCHEDULE'!$B$11:$F$162,5,FALSE)))</f>
        <v>25</v>
      </c>
      <c r="AH9" s="590"/>
      <c r="AI9" s="588">
        <f t="shared" ref="AI9:AI18" si="4">+IF(AH$7="","",IF(AF9="","",(IF(AH9="",AG9*AF9,AH9*AF9))))</f>
        <v>25</v>
      </c>
      <c r="AJ9" s="768" t="s">
        <v>66</v>
      </c>
      <c r="AK9" s="586">
        <v>1</v>
      </c>
      <c r="AL9" s="587">
        <f>+IF(AK9="","",(VLOOKUP($C9,'EQUIP RATE SCHEDULE'!$B$11:$F$162,5,FALSE)))</f>
        <v>25</v>
      </c>
      <c r="AM9" s="590"/>
      <c r="AN9" s="588">
        <f t="shared" ref="AN9:AN18" si="5">+IF(AM$7="","",IF(AK9="","",(IF(AM9="",AL9*AK9,AM9*AK9))))</f>
        <v>25</v>
      </c>
      <c r="AO9" s="768" t="s">
        <v>66</v>
      </c>
      <c r="AP9" s="586">
        <v>1</v>
      </c>
      <c r="AQ9" s="587">
        <f>+IF(AP9="","",(VLOOKUP($C9,'EQUIP RATE SCHEDULE'!$B$11:$F$162,5,FALSE)))</f>
        <v>25</v>
      </c>
      <c r="AR9" s="590"/>
      <c r="AS9" s="588">
        <f t="shared" ref="AS9:AS18" si="6">+IF(AR$7="","",IF(AP9="","",(IF(AR9="",AQ9*AP9,AR9*AP9))))</f>
        <v>25</v>
      </c>
      <c r="AT9" s="768" t="s">
        <v>66</v>
      </c>
      <c r="AU9" s="586">
        <v>1</v>
      </c>
      <c r="AV9" s="587">
        <f>+IF(AU9="","",(VLOOKUP($C9,'EQUIP RATE SCHEDULE'!$B$11:$F$162,5,FALSE)))</f>
        <v>25</v>
      </c>
      <c r="AW9" s="590"/>
      <c r="AX9" s="588">
        <f t="shared" ref="AX9:AX18" si="7">+IF(AW$7="","",IF(AU9="","",(IF(AW9="",AV9*AU9,AW9*AU9))))</f>
        <v>25</v>
      </c>
      <c r="AY9" s="768" t="s">
        <v>66</v>
      </c>
      <c r="AZ9" s="586">
        <v>1</v>
      </c>
      <c r="BA9" s="587">
        <f>+IF(AZ9="","",(VLOOKUP($C9,'EQUIP RATE SCHEDULE'!$B$11:$F$162,5,FALSE)))</f>
        <v>25</v>
      </c>
      <c r="BB9" s="590"/>
      <c r="BC9" s="588">
        <f t="shared" ref="BC9:BC18" si="8">+IF(BB$7="","",IF(AZ9="","",(IF(BB9="",BA9*AZ9,BB9*AZ9))))</f>
        <v>25</v>
      </c>
      <c r="BD9" s="768" t="s">
        <v>66</v>
      </c>
      <c r="BE9" s="586">
        <v>1</v>
      </c>
      <c r="BF9" s="587">
        <f>+IF(BE9="","",(VLOOKUP($C9,'EQUIP RATE SCHEDULE'!$B$11:$F$162,5,FALSE)))</f>
        <v>25</v>
      </c>
      <c r="BG9" s="590"/>
      <c r="BH9" s="588">
        <f t="shared" ref="BH9:BH72" si="9">+IF(BG$7="","",IF(BE9="","",(IF(BG9="",BF9*BE9,BG9*BE9))))</f>
        <v>25</v>
      </c>
      <c r="BI9" s="768" t="s">
        <v>66</v>
      </c>
      <c r="BJ9" s="586">
        <v>1</v>
      </c>
      <c r="BK9" s="587">
        <f>+IF(BJ9="","",(VLOOKUP($C9,'EQUIP RATE SCHEDULE'!$B$11:$F$162,5,FALSE)))</f>
        <v>25</v>
      </c>
      <c r="BL9" s="590"/>
      <c r="BM9" s="588">
        <f t="shared" ref="BM9:BM72" si="10">+IF(BL$7="","",IF(BJ9="","",(IF(BL9="",BK9*BJ9,BL9*BJ9))))</f>
        <v>25</v>
      </c>
      <c r="BN9" s="768" t="s">
        <v>66</v>
      </c>
      <c r="BO9" s="586">
        <v>1</v>
      </c>
      <c r="BP9" s="587">
        <f>+IF(BO9="","",(VLOOKUP($C9,'EQUIP RATE SCHEDULE'!$B$11:$F$162,5,FALSE)))</f>
        <v>25</v>
      </c>
      <c r="BQ9" s="590"/>
      <c r="BR9" s="588">
        <f t="shared" ref="BR9:BR72" si="11">+IF(BQ$7="","",IF(BO9="","",(IF(BQ9="",BP9*BO9,BQ9*BO9))))</f>
        <v>25</v>
      </c>
      <c r="BS9" s="768" t="s">
        <v>66</v>
      </c>
      <c r="BT9" s="586">
        <v>1</v>
      </c>
      <c r="BU9" s="587">
        <f>+IF(BT9="","",(VLOOKUP($C9,'EQUIP RATE SCHEDULE'!$B$11:$F$162,5,FALSE)))</f>
        <v>25</v>
      </c>
      <c r="BV9" s="590"/>
      <c r="BW9" s="588">
        <f t="shared" ref="BW9:BW72" si="12">+IF(BV$7="","",IF(BT9="","",(IF(BV9="",BU9*BT9,BV9*BT9))))</f>
        <v>25</v>
      </c>
      <c r="BX9" s="768" t="s">
        <v>66</v>
      </c>
      <c r="BY9" s="586">
        <v>1</v>
      </c>
      <c r="BZ9" s="587">
        <f>+IF(BY9="","",(VLOOKUP($C9,'EQUIP RATE SCHEDULE'!$B$11:$F$162,5,FALSE)))</f>
        <v>25</v>
      </c>
      <c r="CA9" s="590"/>
      <c r="CB9" s="588">
        <f t="shared" ref="CB9:CB72" si="13">+IF(CA$7="","",IF(BY9="","",(IF(CA9="",BZ9*BY9,CA9*BY9))))</f>
        <v>25</v>
      </c>
      <c r="CC9" s="768" t="s">
        <v>66</v>
      </c>
      <c r="CD9" s="586">
        <v>1</v>
      </c>
      <c r="CE9" s="587">
        <f>+IF(CD9="","",(VLOOKUP($C9,'EQUIP RATE SCHEDULE'!$B$11:$F$162,5,FALSE)))</f>
        <v>25</v>
      </c>
      <c r="CF9" s="590"/>
      <c r="CG9" s="588">
        <f t="shared" ref="CG9:CG72" si="14">+IF(CF$7="","",IF(CD9="","",(IF(CF9="",CE9*CD9,CF9*CD9))))</f>
        <v>25</v>
      </c>
      <c r="CH9" s="768" t="s">
        <v>66</v>
      </c>
      <c r="CI9" s="586">
        <v>1</v>
      </c>
      <c r="CJ9" s="587">
        <f>+IF(CI9="","",(VLOOKUP($C9,'EQUIP RATE SCHEDULE'!$B$11:$F$162,5,FALSE)))</f>
        <v>25</v>
      </c>
      <c r="CK9" s="590"/>
      <c r="CL9" s="588">
        <f t="shared" ref="CL9:CL72" si="15">+IF(CK$7="","",IF(CI9="","",(IF(CK9="",CJ9*CI9,CK9*CI9))))</f>
        <v>25</v>
      </c>
      <c r="CM9" s="768" t="s">
        <v>66</v>
      </c>
      <c r="CN9" s="586">
        <v>1</v>
      </c>
      <c r="CO9" s="587">
        <f>+IF(CN9="","",(VLOOKUP($C9,'EQUIP RATE SCHEDULE'!$B$11:$F$162,5,FALSE)))</f>
        <v>25</v>
      </c>
      <c r="CP9" s="590"/>
      <c r="CQ9" s="588">
        <f t="shared" ref="CQ9:CQ72" si="16">+IF(CP$7="","",IF(CN9="","",(IF(CP9="",CO9*CN9,CP9*CN9))))</f>
        <v>25</v>
      </c>
      <c r="CR9" s="768" t="s">
        <v>66</v>
      </c>
      <c r="CS9" s="586">
        <v>1</v>
      </c>
      <c r="CT9" s="587">
        <f>+IF(CS9="","",(VLOOKUP($C9,'EQUIP RATE SCHEDULE'!$B$11:$F$162,5,FALSE)))</f>
        <v>25</v>
      </c>
      <c r="CU9" s="590"/>
      <c r="CV9" s="588">
        <f t="shared" ref="CV9:CV72" si="17">+IF(CU$7="","",IF(CS9="","",(IF(CU9="",CT9*CS9,CU9*CS9))))</f>
        <v>25</v>
      </c>
      <c r="CW9" s="768" t="s">
        <v>66</v>
      </c>
      <c r="CX9" s="586">
        <v>1</v>
      </c>
      <c r="CY9" s="587">
        <f>+IF(CX9="","",(VLOOKUP($C9,'EQUIP RATE SCHEDULE'!$B$11:$F$162,5,FALSE)))</f>
        <v>25</v>
      </c>
      <c r="CZ9" s="590"/>
      <c r="DA9" s="588">
        <f t="shared" ref="DA9:DA72" si="18">+IF(CZ$7="","",IF(CX9="","",(IF(CZ9="",CY9*CX9,CZ9*CX9))))</f>
        <v>25</v>
      </c>
    </row>
    <row r="10" spans="1:105" ht="15" x14ac:dyDescent="0.25">
      <c r="A10" s="1513"/>
      <c r="B10" s="809" t="s">
        <v>522</v>
      </c>
      <c r="C10" s="776" t="s">
        <v>907</v>
      </c>
      <c r="D10" s="1492"/>
      <c r="E10" s="1490"/>
      <c r="F10" s="769" t="s">
        <v>67</v>
      </c>
      <c r="G10" s="575">
        <v>1</v>
      </c>
      <c r="H10" s="583">
        <f>+IF(G10="","",(VLOOKUP($C10,'EQUIP RATE SCHEDULE'!$B$11:$F$162,5,FALSE)))</f>
        <v>75</v>
      </c>
      <c r="I10" s="591"/>
      <c r="J10" s="613">
        <f t="shared" ref="J10:J73" si="19">+IF(I$7="","",IF(G10="","",(IF(I10="",H10*G10,I10*G10))))</f>
        <v>75</v>
      </c>
      <c r="K10" s="769" t="s">
        <v>67</v>
      </c>
      <c r="L10" s="575">
        <v>1</v>
      </c>
      <c r="M10" s="583">
        <f>+IF(L10="","",(VLOOKUP($C10,'EQUIP RATE SCHEDULE'!$B$11:$F$162,5,FALSE)))</f>
        <v>75</v>
      </c>
      <c r="N10" s="591"/>
      <c r="O10" s="613">
        <f t="shared" si="0"/>
        <v>75</v>
      </c>
      <c r="P10" s="769" t="s">
        <v>67</v>
      </c>
      <c r="Q10" s="575">
        <v>1</v>
      </c>
      <c r="R10" s="584">
        <f>+IF(Q10="","",(VLOOKUP($C10,'EQUIP RATE SCHEDULE'!$B$11:$F$162,5,FALSE)))</f>
        <v>75</v>
      </c>
      <c r="S10" s="591"/>
      <c r="T10" s="613">
        <f t="shared" si="1"/>
        <v>75</v>
      </c>
      <c r="U10" s="769" t="s">
        <v>67</v>
      </c>
      <c r="V10" s="575">
        <v>1</v>
      </c>
      <c r="W10" s="584">
        <f>+IF(V10="","",(VLOOKUP($C10,'EQUIP RATE SCHEDULE'!$B$11:$F$162,5,FALSE)))</f>
        <v>75</v>
      </c>
      <c r="X10" s="591"/>
      <c r="Y10" s="613">
        <f t="shared" si="2"/>
        <v>75</v>
      </c>
      <c r="Z10" s="769" t="s">
        <v>67</v>
      </c>
      <c r="AA10" s="575">
        <v>1</v>
      </c>
      <c r="AB10" s="584">
        <f>+IF(AA10="","",(VLOOKUP($C10,'EQUIP RATE SCHEDULE'!$B$11:$F$162,5,FALSE)))</f>
        <v>75</v>
      </c>
      <c r="AC10" s="591"/>
      <c r="AD10" s="613">
        <f t="shared" si="3"/>
        <v>75</v>
      </c>
      <c r="AE10" s="769" t="s">
        <v>67</v>
      </c>
      <c r="AF10" s="575">
        <v>1</v>
      </c>
      <c r="AG10" s="584">
        <f>+IF(AF10="","",(VLOOKUP($C10,'EQUIP RATE SCHEDULE'!$B$11:$F$162,5,FALSE)))</f>
        <v>75</v>
      </c>
      <c r="AH10" s="591"/>
      <c r="AI10" s="613">
        <f t="shared" si="4"/>
        <v>75</v>
      </c>
      <c r="AJ10" s="769" t="s">
        <v>67</v>
      </c>
      <c r="AK10" s="575">
        <v>1</v>
      </c>
      <c r="AL10" s="584">
        <f>+IF(AK10="","",(VLOOKUP($C10,'EQUIP RATE SCHEDULE'!$B$11:$F$162,5,FALSE)))</f>
        <v>75</v>
      </c>
      <c r="AM10" s="591"/>
      <c r="AN10" s="613">
        <f t="shared" si="5"/>
        <v>75</v>
      </c>
      <c r="AO10" s="769" t="s">
        <v>67</v>
      </c>
      <c r="AP10" s="575">
        <v>1</v>
      </c>
      <c r="AQ10" s="584">
        <f>+IF(AP10="","",(VLOOKUP($C10,'EQUIP RATE SCHEDULE'!$B$11:$F$162,5,FALSE)))</f>
        <v>75</v>
      </c>
      <c r="AR10" s="591"/>
      <c r="AS10" s="613">
        <f t="shared" si="6"/>
        <v>75</v>
      </c>
      <c r="AT10" s="769" t="s">
        <v>67</v>
      </c>
      <c r="AU10" s="575">
        <v>1</v>
      </c>
      <c r="AV10" s="584">
        <f>+IF(AU10="","",(VLOOKUP($C10,'EQUIP RATE SCHEDULE'!$B$11:$F$162,5,FALSE)))</f>
        <v>75</v>
      </c>
      <c r="AW10" s="591"/>
      <c r="AX10" s="613">
        <f t="shared" si="7"/>
        <v>75</v>
      </c>
      <c r="AY10" s="769" t="s">
        <v>67</v>
      </c>
      <c r="AZ10" s="575">
        <v>1</v>
      </c>
      <c r="BA10" s="584">
        <f>+IF(AZ10="","",(VLOOKUP($C10,'EQUIP RATE SCHEDULE'!$B$11:$F$162,5,FALSE)))</f>
        <v>75</v>
      </c>
      <c r="BB10" s="591"/>
      <c r="BC10" s="613">
        <f t="shared" si="8"/>
        <v>75</v>
      </c>
      <c r="BD10" s="769" t="s">
        <v>67</v>
      </c>
      <c r="BE10" s="575">
        <v>1</v>
      </c>
      <c r="BF10" s="584">
        <f>+IF(BE10="","",(VLOOKUP($C10,'EQUIP RATE SCHEDULE'!$B$11:$F$162,5,FALSE)))</f>
        <v>75</v>
      </c>
      <c r="BG10" s="591"/>
      <c r="BH10" s="613">
        <f t="shared" si="9"/>
        <v>75</v>
      </c>
      <c r="BI10" s="769" t="s">
        <v>67</v>
      </c>
      <c r="BJ10" s="575">
        <v>1</v>
      </c>
      <c r="BK10" s="584">
        <f>+IF(BJ10="","",(VLOOKUP($C10,'EQUIP RATE SCHEDULE'!$B$11:$F$162,5,FALSE)))</f>
        <v>75</v>
      </c>
      <c r="BL10" s="591"/>
      <c r="BM10" s="613">
        <f t="shared" si="10"/>
        <v>75</v>
      </c>
      <c r="BN10" s="769" t="s">
        <v>67</v>
      </c>
      <c r="BO10" s="575">
        <v>1</v>
      </c>
      <c r="BP10" s="584">
        <f>+IF(BO10="","",(VLOOKUP($C10,'EQUIP RATE SCHEDULE'!$B$11:$F$162,5,FALSE)))</f>
        <v>75</v>
      </c>
      <c r="BQ10" s="591"/>
      <c r="BR10" s="613">
        <f t="shared" si="11"/>
        <v>75</v>
      </c>
      <c r="BS10" s="769" t="s">
        <v>67</v>
      </c>
      <c r="BT10" s="575">
        <v>1</v>
      </c>
      <c r="BU10" s="584">
        <f>+IF(BT10="","",(VLOOKUP($C10,'EQUIP RATE SCHEDULE'!$B$11:$F$162,5,FALSE)))</f>
        <v>75</v>
      </c>
      <c r="BV10" s="591"/>
      <c r="BW10" s="613">
        <f t="shared" si="12"/>
        <v>75</v>
      </c>
      <c r="BX10" s="769" t="s">
        <v>67</v>
      </c>
      <c r="BY10" s="575">
        <v>1</v>
      </c>
      <c r="BZ10" s="584">
        <f>+IF(BY10="","",(VLOOKUP($C10,'EQUIP RATE SCHEDULE'!$B$11:$F$162,5,FALSE)))</f>
        <v>75</v>
      </c>
      <c r="CA10" s="591"/>
      <c r="CB10" s="613">
        <f t="shared" si="13"/>
        <v>75</v>
      </c>
      <c r="CC10" s="769" t="s">
        <v>67</v>
      </c>
      <c r="CD10" s="575">
        <v>1</v>
      </c>
      <c r="CE10" s="584">
        <f>+IF(CD10="","",(VLOOKUP($C10,'EQUIP RATE SCHEDULE'!$B$11:$F$162,5,FALSE)))</f>
        <v>75</v>
      </c>
      <c r="CF10" s="591"/>
      <c r="CG10" s="613">
        <f t="shared" si="14"/>
        <v>75</v>
      </c>
      <c r="CH10" s="769" t="s">
        <v>67</v>
      </c>
      <c r="CI10" s="575">
        <v>1</v>
      </c>
      <c r="CJ10" s="584">
        <f>+IF(CI10="","",(VLOOKUP($C10,'EQUIP RATE SCHEDULE'!$B$11:$F$162,5,FALSE)))</f>
        <v>75</v>
      </c>
      <c r="CK10" s="591"/>
      <c r="CL10" s="613">
        <f t="shared" si="15"/>
        <v>75</v>
      </c>
      <c r="CM10" s="769" t="s">
        <v>67</v>
      </c>
      <c r="CN10" s="575">
        <v>1</v>
      </c>
      <c r="CO10" s="584">
        <f>+IF(CN10="","",(VLOOKUP($C10,'EQUIP RATE SCHEDULE'!$B$11:$F$162,5,FALSE)))</f>
        <v>75</v>
      </c>
      <c r="CP10" s="591"/>
      <c r="CQ10" s="613">
        <f t="shared" si="16"/>
        <v>75</v>
      </c>
      <c r="CR10" s="769" t="s">
        <v>67</v>
      </c>
      <c r="CS10" s="575">
        <v>1</v>
      </c>
      <c r="CT10" s="584">
        <f>+IF(CS10="","",(VLOOKUP($C10,'EQUIP RATE SCHEDULE'!$B$11:$F$162,5,FALSE)))</f>
        <v>75</v>
      </c>
      <c r="CU10" s="591"/>
      <c r="CV10" s="613">
        <f t="shared" si="17"/>
        <v>75</v>
      </c>
      <c r="CW10" s="769" t="s">
        <v>67</v>
      </c>
      <c r="CX10" s="575">
        <v>1</v>
      </c>
      <c r="CY10" s="584">
        <f>+IF(CX10="","",(VLOOKUP($C10,'EQUIP RATE SCHEDULE'!$B$11:$F$162,5,FALSE)))</f>
        <v>75</v>
      </c>
      <c r="CZ10" s="591"/>
      <c r="DA10" s="613">
        <f t="shared" si="18"/>
        <v>75</v>
      </c>
    </row>
    <row r="11" spans="1:105" ht="15" x14ac:dyDescent="0.25">
      <c r="A11" s="1513"/>
      <c r="B11" s="809" t="s">
        <v>522</v>
      </c>
      <c r="C11" s="776" t="s">
        <v>908</v>
      </c>
      <c r="D11" s="1491" t="s">
        <v>909</v>
      </c>
      <c r="E11" s="1488" t="s">
        <v>910</v>
      </c>
      <c r="F11" s="769" t="s">
        <v>66</v>
      </c>
      <c r="G11" s="575">
        <v>1</v>
      </c>
      <c r="H11" s="584">
        <f>+IF(G11="","",(VLOOKUP($C11,'EQUIP RATE SCHEDULE'!$B$11:$F$162,5,FALSE)))</f>
        <v>120</v>
      </c>
      <c r="I11" s="591"/>
      <c r="J11" s="613">
        <f t="shared" si="19"/>
        <v>120</v>
      </c>
      <c r="K11" s="769" t="s">
        <v>66</v>
      </c>
      <c r="L11" s="575">
        <v>1</v>
      </c>
      <c r="M11" s="584">
        <f>+IF(L11="","",(VLOOKUP($C11,'EQUIP RATE SCHEDULE'!$B$11:$F$162,5,FALSE)))</f>
        <v>120</v>
      </c>
      <c r="N11" s="591"/>
      <c r="O11" s="613">
        <f t="shared" si="0"/>
        <v>120</v>
      </c>
      <c r="P11" s="769" t="s">
        <v>66</v>
      </c>
      <c r="Q11" s="575">
        <v>1</v>
      </c>
      <c r="R11" s="584">
        <f>+IF(Q11="","",(VLOOKUP($C11,'EQUIP RATE SCHEDULE'!$B$11:$F$162,5,FALSE)))</f>
        <v>120</v>
      </c>
      <c r="S11" s="591"/>
      <c r="T11" s="613">
        <f t="shared" si="1"/>
        <v>120</v>
      </c>
      <c r="U11" s="769" t="s">
        <v>66</v>
      </c>
      <c r="V11" s="575">
        <v>1</v>
      </c>
      <c r="W11" s="584">
        <f>+IF(V11="","",(VLOOKUP($C11,'EQUIP RATE SCHEDULE'!$B$11:$F$162,5,FALSE)))</f>
        <v>120</v>
      </c>
      <c r="X11" s="591"/>
      <c r="Y11" s="613">
        <f t="shared" si="2"/>
        <v>120</v>
      </c>
      <c r="Z11" s="769" t="s">
        <v>66</v>
      </c>
      <c r="AA11" s="575">
        <v>1</v>
      </c>
      <c r="AB11" s="584">
        <f>+IF(AA11="","",(VLOOKUP($C11,'EQUIP RATE SCHEDULE'!$B$11:$F$162,5,FALSE)))</f>
        <v>120</v>
      </c>
      <c r="AC11" s="591"/>
      <c r="AD11" s="613">
        <f t="shared" si="3"/>
        <v>120</v>
      </c>
      <c r="AE11" s="769" t="s">
        <v>66</v>
      </c>
      <c r="AF11" s="575">
        <v>1</v>
      </c>
      <c r="AG11" s="584">
        <f>+IF(AF11="","",(VLOOKUP($C11,'EQUIP RATE SCHEDULE'!$B$11:$F$162,5,FALSE)))</f>
        <v>120</v>
      </c>
      <c r="AH11" s="591"/>
      <c r="AI11" s="613">
        <f t="shared" si="4"/>
        <v>120</v>
      </c>
      <c r="AJ11" s="769" t="s">
        <v>66</v>
      </c>
      <c r="AK11" s="575">
        <v>1</v>
      </c>
      <c r="AL11" s="584">
        <f>+IF(AK11="","",(VLOOKUP($C11,'EQUIP RATE SCHEDULE'!$B$11:$F$162,5,FALSE)))</f>
        <v>120</v>
      </c>
      <c r="AM11" s="591"/>
      <c r="AN11" s="613">
        <f t="shared" si="5"/>
        <v>120</v>
      </c>
      <c r="AO11" s="769" t="s">
        <v>66</v>
      </c>
      <c r="AP11" s="575">
        <v>1</v>
      </c>
      <c r="AQ11" s="584">
        <f>+IF(AP11="","",(VLOOKUP($C11,'EQUIP RATE SCHEDULE'!$B$11:$F$162,5,FALSE)))</f>
        <v>120</v>
      </c>
      <c r="AR11" s="591"/>
      <c r="AS11" s="613">
        <f t="shared" si="6"/>
        <v>120</v>
      </c>
      <c r="AT11" s="769" t="s">
        <v>66</v>
      </c>
      <c r="AU11" s="575">
        <v>1</v>
      </c>
      <c r="AV11" s="584">
        <f>+IF(AU11="","",(VLOOKUP($C11,'EQUIP RATE SCHEDULE'!$B$11:$F$162,5,FALSE)))</f>
        <v>120</v>
      </c>
      <c r="AW11" s="591"/>
      <c r="AX11" s="613">
        <f t="shared" si="7"/>
        <v>120</v>
      </c>
      <c r="AY11" s="769" t="s">
        <v>66</v>
      </c>
      <c r="AZ11" s="575">
        <v>1</v>
      </c>
      <c r="BA11" s="584">
        <f>+IF(AZ11="","",(VLOOKUP($C11,'EQUIP RATE SCHEDULE'!$B$11:$F$162,5,FALSE)))</f>
        <v>120</v>
      </c>
      <c r="BB11" s="591"/>
      <c r="BC11" s="613">
        <f t="shared" si="8"/>
        <v>120</v>
      </c>
      <c r="BD11" s="769" t="s">
        <v>66</v>
      </c>
      <c r="BE11" s="575">
        <v>1</v>
      </c>
      <c r="BF11" s="584">
        <f>+IF(BE11="","",(VLOOKUP($C11,'EQUIP RATE SCHEDULE'!$B$11:$F$162,5,FALSE)))</f>
        <v>120</v>
      </c>
      <c r="BG11" s="591"/>
      <c r="BH11" s="613">
        <f t="shared" si="9"/>
        <v>120</v>
      </c>
      <c r="BI11" s="769" t="s">
        <v>66</v>
      </c>
      <c r="BJ11" s="575">
        <v>1</v>
      </c>
      <c r="BK11" s="584">
        <f>+IF(BJ11="","",(VLOOKUP($C11,'EQUIP RATE SCHEDULE'!$B$11:$F$162,5,FALSE)))</f>
        <v>120</v>
      </c>
      <c r="BL11" s="591"/>
      <c r="BM11" s="613">
        <f t="shared" si="10"/>
        <v>120</v>
      </c>
      <c r="BN11" s="769" t="s">
        <v>66</v>
      </c>
      <c r="BO11" s="575">
        <v>1</v>
      </c>
      <c r="BP11" s="584">
        <f>+IF(BO11="","",(VLOOKUP($C11,'EQUIP RATE SCHEDULE'!$B$11:$F$162,5,FALSE)))</f>
        <v>120</v>
      </c>
      <c r="BQ11" s="591"/>
      <c r="BR11" s="613">
        <f t="shared" si="11"/>
        <v>120</v>
      </c>
      <c r="BS11" s="769" t="s">
        <v>66</v>
      </c>
      <c r="BT11" s="575">
        <v>1</v>
      </c>
      <c r="BU11" s="584">
        <f>+IF(BT11="","",(VLOOKUP($C11,'EQUIP RATE SCHEDULE'!$B$11:$F$162,5,FALSE)))</f>
        <v>120</v>
      </c>
      <c r="BV11" s="591"/>
      <c r="BW11" s="613">
        <f t="shared" si="12"/>
        <v>120</v>
      </c>
      <c r="BX11" s="769" t="s">
        <v>66</v>
      </c>
      <c r="BY11" s="575">
        <v>1</v>
      </c>
      <c r="BZ11" s="1156">
        <f>+IF(BY11="","",(VLOOKUP($C11,'EQUIP RATE SCHEDULE'!$B$11:$F$162,5,FALSE)))</f>
        <v>120</v>
      </c>
      <c r="CA11" s="591"/>
      <c r="CB11" s="613">
        <f t="shared" si="13"/>
        <v>120</v>
      </c>
      <c r="CC11" s="769" t="s">
        <v>66</v>
      </c>
      <c r="CD11" s="575">
        <v>1</v>
      </c>
      <c r="CE11" s="584">
        <f>+IF(CD11="","",(VLOOKUP($C11,'EQUIP RATE SCHEDULE'!$B$11:$F$162,5,FALSE)))</f>
        <v>120</v>
      </c>
      <c r="CF11" s="591"/>
      <c r="CG11" s="613">
        <f t="shared" si="14"/>
        <v>120</v>
      </c>
      <c r="CH11" s="769" t="s">
        <v>66</v>
      </c>
      <c r="CI11" s="575">
        <v>1</v>
      </c>
      <c r="CJ11" s="584">
        <f>+IF(CI11="","",(VLOOKUP($C11,'EQUIP RATE SCHEDULE'!$B$11:$F$162,5,FALSE)))</f>
        <v>120</v>
      </c>
      <c r="CK11" s="591"/>
      <c r="CL11" s="613">
        <f t="shared" si="15"/>
        <v>120</v>
      </c>
      <c r="CM11" s="769" t="s">
        <v>66</v>
      </c>
      <c r="CN11" s="575">
        <v>1</v>
      </c>
      <c r="CO11" s="584">
        <f>+IF(CN11="","",(VLOOKUP($C11,'EQUIP RATE SCHEDULE'!$B$11:$F$162,5,FALSE)))</f>
        <v>120</v>
      </c>
      <c r="CP11" s="591"/>
      <c r="CQ11" s="613">
        <f t="shared" si="16"/>
        <v>120</v>
      </c>
      <c r="CR11" s="769" t="s">
        <v>66</v>
      </c>
      <c r="CS11" s="575">
        <v>1</v>
      </c>
      <c r="CT11" s="584">
        <f>+IF(CS11="","",(VLOOKUP($C11,'EQUIP RATE SCHEDULE'!$B$11:$F$162,5,FALSE)))</f>
        <v>120</v>
      </c>
      <c r="CU11" s="591"/>
      <c r="CV11" s="613">
        <f t="shared" si="17"/>
        <v>120</v>
      </c>
      <c r="CW11" s="769" t="s">
        <v>66</v>
      </c>
      <c r="CX11" s="575">
        <v>1</v>
      </c>
      <c r="CY11" s="584">
        <f>+IF(CX11="","",(VLOOKUP($C11,'EQUIP RATE SCHEDULE'!$B$11:$F$162,5,FALSE)))</f>
        <v>120</v>
      </c>
      <c r="CZ11" s="591"/>
      <c r="DA11" s="613">
        <f t="shared" si="18"/>
        <v>120</v>
      </c>
    </row>
    <row r="12" spans="1:105" ht="15" x14ac:dyDescent="0.25">
      <c r="A12" s="1513"/>
      <c r="B12" s="809" t="s">
        <v>522</v>
      </c>
      <c r="C12" s="776" t="s">
        <v>912</v>
      </c>
      <c r="D12" s="1492"/>
      <c r="E12" s="1490"/>
      <c r="F12" s="769" t="s">
        <v>67</v>
      </c>
      <c r="G12" s="575">
        <v>1</v>
      </c>
      <c r="H12" s="584">
        <f>+IF(G12="","",(VLOOKUP($C12,'EQUIP RATE SCHEDULE'!$B$11:$F$162,5,FALSE)))</f>
        <v>360</v>
      </c>
      <c r="I12" s="591"/>
      <c r="J12" s="613">
        <f t="shared" si="19"/>
        <v>360</v>
      </c>
      <c r="K12" s="769" t="s">
        <v>67</v>
      </c>
      <c r="L12" s="575">
        <v>1</v>
      </c>
      <c r="M12" s="584">
        <f>+IF(L12="","",(VLOOKUP($C12,'EQUIP RATE SCHEDULE'!$B$11:$F$162,5,FALSE)))</f>
        <v>360</v>
      </c>
      <c r="N12" s="591"/>
      <c r="O12" s="613">
        <f t="shared" si="0"/>
        <v>360</v>
      </c>
      <c r="P12" s="769" t="s">
        <v>67</v>
      </c>
      <c r="Q12" s="575">
        <v>1</v>
      </c>
      <c r="R12" s="584">
        <f>+IF(Q12="","",(VLOOKUP($C12,'EQUIP RATE SCHEDULE'!$B$11:$F$162,5,FALSE)))</f>
        <v>360</v>
      </c>
      <c r="S12" s="591"/>
      <c r="T12" s="613">
        <f t="shared" si="1"/>
        <v>360</v>
      </c>
      <c r="U12" s="769" t="s">
        <v>67</v>
      </c>
      <c r="V12" s="575">
        <v>1</v>
      </c>
      <c r="W12" s="584">
        <f>+IF(V12="","",(VLOOKUP($C12,'EQUIP RATE SCHEDULE'!$B$11:$F$162,5,FALSE)))</f>
        <v>360</v>
      </c>
      <c r="X12" s="591"/>
      <c r="Y12" s="613">
        <f t="shared" si="2"/>
        <v>360</v>
      </c>
      <c r="Z12" s="769" t="s">
        <v>67</v>
      </c>
      <c r="AA12" s="575">
        <v>1</v>
      </c>
      <c r="AB12" s="584">
        <f>+IF(AA12="","",(VLOOKUP($C12,'EQUIP RATE SCHEDULE'!$B$11:$F$162,5,FALSE)))</f>
        <v>360</v>
      </c>
      <c r="AC12" s="591"/>
      <c r="AD12" s="613">
        <f t="shared" si="3"/>
        <v>360</v>
      </c>
      <c r="AE12" s="769" t="s">
        <v>67</v>
      </c>
      <c r="AF12" s="575">
        <v>1</v>
      </c>
      <c r="AG12" s="584">
        <f>+IF(AF12="","",(VLOOKUP($C12,'EQUIP RATE SCHEDULE'!$B$11:$F$162,5,FALSE)))</f>
        <v>360</v>
      </c>
      <c r="AH12" s="591"/>
      <c r="AI12" s="613">
        <f t="shared" si="4"/>
        <v>360</v>
      </c>
      <c r="AJ12" s="769" t="s">
        <v>67</v>
      </c>
      <c r="AK12" s="575">
        <v>1</v>
      </c>
      <c r="AL12" s="584">
        <f>+IF(AK12="","",(VLOOKUP($C12,'EQUIP RATE SCHEDULE'!$B$11:$F$162,5,FALSE)))</f>
        <v>360</v>
      </c>
      <c r="AM12" s="591"/>
      <c r="AN12" s="613">
        <f t="shared" si="5"/>
        <v>360</v>
      </c>
      <c r="AO12" s="769" t="s">
        <v>67</v>
      </c>
      <c r="AP12" s="575">
        <v>1</v>
      </c>
      <c r="AQ12" s="584">
        <f>+IF(AP12="","",(VLOOKUP($C12,'EQUIP RATE SCHEDULE'!$B$11:$F$162,5,FALSE)))</f>
        <v>360</v>
      </c>
      <c r="AR12" s="591"/>
      <c r="AS12" s="613">
        <f t="shared" si="6"/>
        <v>360</v>
      </c>
      <c r="AT12" s="769" t="s">
        <v>67</v>
      </c>
      <c r="AU12" s="575">
        <v>1</v>
      </c>
      <c r="AV12" s="584">
        <f>+IF(AU12="","",(VLOOKUP($C12,'EQUIP RATE SCHEDULE'!$B$11:$F$162,5,FALSE)))</f>
        <v>360</v>
      </c>
      <c r="AW12" s="591"/>
      <c r="AX12" s="613">
        <f t="shared" si="7"/>
        <v>360</v>
      </c>
      <c r="AY12" s="769" t="s">
        <v>67</v>
      </c>
      <c r="AZ12" s="575">
        <v>1</v>
      </c>
      <c r="BA12" s="584">
        <f>+IF(AZ12="","",(VLOOKUP($C12,'EQUIP RATE SCHEDULE'!$B$11:$F$162,5,FALSE)))</f>
        <v>360</v>
      </c>
      <c r="BB12" s="591"/>
      <c r="BC12" s="613">
        <f t="shared" si="8"/>
        <v>360</v>
      </c>
      <c r="BD12" s="769" t="s">
        <v>67</v>
      </c>
      <c r="BE12" s="575">
        <v>1</v>
      </c>
      <c r="BF12" s="584">
        <f>+IF(BE12="","",(VLOOKUP($C12,'EQUIP RATE SCHEDULE'!$B$11:$F$162,5,FALSE)))</f>
        <v>360</v>
      </c>
      <c r="BG12" s="591"/>
      <c r="BH12" s="613">
        <f t="shared" si="9"/>
        <v>360</v>
      </c>
      <c r="BI12" s="769" t="s">
        <v>67</v>
      </c>
      <c r="BJ12" s="575">
        <v>1</v>
      </c>
      <c r="BK12" s="584">
        <f>+IF(BJ12="","",(VLOOKUP($C12,'EQUIP RATE SCHEDULE'!$B$11:$F$162,5,FALSE)))</f>
        <v>360</v>
      </c>
      <c r="BL12" s="591"/>
      <c r="BM12" s="613">
        <f t="shared" si="10"/>
        <v>360</v>
      </c>
      <c r="BN12" s="769" t="s">
        <v>67</v>
      </c>
      <c r="BO12" s="575">
        <v>1</v>
      </c>
      <c r="BP12" s="584">
        <f>+IF(BO12="","",(VLOOKUP($C12,'EQUIP RATE SCHEDULE'!$B$11:$F$162,5,FALSE)))</f>
        <v>360</v>
      </c>
      <c r="BQ12" s="591"/>
      <c r="BR12" s="613">
        <f t="shared" si="11"/>
        <v>360</v>
      </c>
      <c r="BS12" s="769" t="s">
        <v>67</v>
      </c>
      <c r="BT12" s="575">
        <v>1</v>
      </c>
      <c r="BU12" s="584">
        <f>+IF(BT12="","",(VLOOKUP($C12,'EQUIP RATE SCHEDULE'!$B$11:$F$162,5,FALSE)))</f>
        <v>360</v>
      </c>
      <c r="BV12" s="591"/>
      <c r="BW12" s="613">
        <f t="shared" si="12"/>
        <v>360</v>
      </c>
      <c r="BX12" s="769" t="s">
        <v>67</v>
      </c>
      <c r="BY12" s="1029">
        <v>1</v>
      </c>
      <c r="BZ12" s="584">
        <f>+IF(BY12="","",(VLOOKUP($C12,'EQUIP RATE SCHEDULE'!$B$11:$F$162,5,FALSE)))</f>
        <v>360</v>
      </c>
      <c r="CA12" s="591"/>
      <c r="CB12" s="613">
        <f t="shared" si="13"/>
        <v>360</v>
      </c>
      <c r="CC12" s="769" t="s">
        <v>67</v>
      </c>
      <c r="CD12" s="575">
        <v>1</v>
      </c>
      <c r="CE12" s="584">
        <f>+IF(CD12="","",(VLOOKUP($C12,'EQUIP RATE SCHEDULE'!$B$11:$F$162,5,FALSE)))</f>
        <v>360</v>
      </c>
      <c r="CF12" s="591"/>
      <c r="CG12" s="613">
        <f t="shared" si="14"/>
        <v>360</v>
      </c>
      <c r="CH12" s="769" t="s">
        <v>67</v>
      </c>
      <c r="CI12" s="575">
        <v>1</v>
      </c>
      <c r="CJ12" s="584">
        <f>+IF(CI12="","",(VLOOKUP($C12,'EQUIP RATE SCHEDULE'!$B$11:$F$162,5,FALSE)))</f>
        <v>360</v>
      </c>
      <c r="CK12" s="591"/>
      <c r="CL12" s="613">
        <f t="shared" si="15"/>
        <v>360</v>
      </c>
      <c r="CM12" s="769" t="s">
        <v>67</v>
      </c>
      <c r="CN12" s="575">
        <v>1</v>
      </c>
      <c r="CO12" s="584">
        <f>+IF(CN12="","",(VLOOKUP($C12,'EQUIP RATE SCHEDULE'!$B$11:$F$162,5,FALSE)))</f>
        <v>360</v>
      </c>
      <c r="CP12" s="591"/>
      <c r="CQ12" s="613">
        <f t="shared" si="16"/>
        <v>360</v>
      </c>
      <c r="CR12" s="769" t="s">
        <v>67</v>
      </c>
      <c r="CS12" s="575">
        <v>1</v>
      </c>
      <c r="CT12" s="584">
        <f>+IF(CS12="","",(VLOOKUP($C12,'EQUIP RATE SCHEDULE'!$B$11:$F$162,5,FALSE)))</f>
        <v>360</v>
      </c>
      <c r="CU12" s="591"/>
      <c r="CV12" s="613">
        <f t="shared" si="17"/>
        <v>360</v>
      </c>
      <c r="CW12" s="769" t="s">
        <v>67</v>
      </c>
      <c r="CX12" s="575">
        <v>1</v>
      </c>
      <c r="CY12" s="584">
        <f>+IF(CX12="","",(VLOOKUP($C12,'EQUIP RATE SCHEDULE'!$B$11:$F$162,5,FALSE)))</f>
        <v>360</v>
      </c>
      <c r="CZ12" s="591"/>
      <c r="DA12" s="613">
        <f t="shared" si="18"/>
        <v>360</v>
      </c>
    </row>
    <row r="13" spans="1:105" ht="15" x14ac:dyDescent="0.25">
      <c r="A13" s="1513"/>
      <c r="B13" s="809" t="s">
        <v>522</v>
      </c>
      <c r="C13" s="776" t="s">
        <v>913</v>
      </c>
      <c r="D13" s="1491" t="s">
        <v>914</v>
      </c>
      <c r="E13" s="1488" t="s">
        <v>915</v>
      </c>
      <c r="F13" s="769" t="s">
        <v>66</v>
      </c>
      <c r="G13" s="575">
        <v>1</v>
      </c>
      <c r="H13" s="584">
        <f>+IF(G13="","",(VLOOKUP($C13,'EQUIP RATE SCHEDULE'!$B$11:$F$162,5,FALSE)))</f>
        <v>10</v>
      </c>
      <c r="I13" s="591"/>
      <c r="J13" s="613">
        <f t="shared" si="19"/>
        <v>10</v>
      </c>
      <c r="K13" s="769" t="s">
        <v>66</v>
      </c>
      <c r="L13" s="575">
        <v>1</v>
      </c>
      <c r="M13" s="584">
        <f>+IF(L13="","",(VLOOKUP($C13,'EQUIP RATE SCHEDULE'!$B$11:$F$162,5,FALSE)))</f>
        <v>10</v>
      </c>
      <c r="N13" s="591"/>
      <c r="O13" s="613">
        <f t="shared" si="0"/>
        <v>10</v>
      </c>
      <c r="P13" s="769" t="s">
        <v>66</v>
      </c>
      <c r="Q13" s="575">
        <v>1</v>
      </c>
      <c r="R13" s="584">
        <f>+IF(Q13="","",(VLOOKUP($C13,'EQUIP RATE SCHEDULE'!$B$11:$F$162,5,FALSE)))</f>
        <v>10</v>
      </c>
      <c r="S13" s="591"/>
      <c r="T13" s="613">
        <f t="shared" si="1"/>
        <v>10</v>
      </c>
      <c r="U13" s="769" t="s">
        <v>66</v>
      </c>
      <c r="V13" s="575">
        <v>1</v>
      </c>
      <c r="W13" s="584">
        <f>+IF(V13="","",(VLOOKUP($C13,'EQUIP RATE SCHEDULE'!$B$11:$F$162,5,FALSE)))</f>
        <v>10</v>
      </c>
      <c r="X13" s="591"/>
      <c r="Y13" s="613">
        <f t="shared" si="2"/>
        <v>10</v>
      </c>
      <c r="Z13" s="769" t="s">
        <v>66</v>
      </c>
      <c r="AA13" s="575">
        <v>1</v>
      </c>
      <c r="AB13" s="584">
        <f>+IF(AA13="","",(VLOOKUP($C13,'EQUIP RATE SCHEDULE'!$B$11:$F$162,5,FALSE)))</f>
        <v>10</v>
      </c>
      <c r="AC13" s="591"/>
      <c r="AD13" s="613">
        <f t="shared" si="3"/>
        <v>10</v>
      </c>
      <c r="AE13" s="769" t="s">
        <v>66</v>
      </c>
      <c r="AF13" s="575">
        <v>1</v>
      </c>
      <c r="AG13" s="584">
        <f>+IF(AF13="","",(VLOOKUP($C13,'EQUIP RATE SCHEDULE'!$B$11:$F$162,5,FALSE)))</f>
        <v>10</v>
      </c>
      <c r="AH13" s="591"/>
      <c r="AI13" s="613">
        <f t="shared" si="4"/>
        <v>10</v>
      </c>
      <c r="AJ13" s="769" t="s">
        <v>66</v>
      </c>
      <c r="AK13" s="575">
        <v>1</v>
      </c>
      <c r="AL13" s="584">
        <f>+IF(AK13="","",(VLOOKUP($C13,'EQUIP RATE SCHEDULE'!$B$11:$F$162,5,FALSE)))</f>
        <v>10</v>
      </c>
      <c r="AM13" s="591"/>
      <c r="AN13" s="613">
        <f t="shared" si="5"/>
        <v>10</v>
      </c>
      <c r="AO13" s="769" t="s">
        <v>66</v>
      </c>
      <c r="AP13" s="575">
        <v>1</v>
      </c>
      <c r="AQ13" s="584">
        <f>+IF(AP13="","",(VLOOKUP($C13,'EQUIP RATE SCHEDULE'!$B$11:$F$162,5,FALSE)))</f>
        <v>10</v>
      </c>
      <c r="AR13" s="591"/>
      <c r="AS13" s="613">
        <f t="shared" si="6"/>
        <v>10</v>
      </c>
      <c r="AT13" s="769" t="s">
        <v>66</v>
      </c>
      <c r="AU13" s="575">
        <v>1</v>
      </c>
      <c r="AV13" s="584">
        <f>+IF(AU13="","",(VLOOKUP($C13,'EQUIP RATE SCHEDULE'!$B$11:$F$162,5,FALSE)))</f>
        <v>10</v>
      </c>
      <c r="AW13" s="591"/>
      <c r="AX13" s="613">
        <f t="shared" si="7"/>
        <v>10</v>
      </c>
      <c r="AY13" s="769" t="s">
        <v>66</v>
      </c>
      <c r="AZ13" s="575">
        <v>1</v>
      </c>
      <c r="BA13" s="584">
        <f>+IF(AZ13="","",(VLOOKUP($C13,'EQUIP RATE SCHEDULE'!$B$11:$F$162,5,FALSE)))</f>
        <v>10</v>
      </c>
      <c r="BB13" s="591"/>
      <c r="BC13" s="613">
        <f t="shared" si="8"/>
        <v>10</v>
      </c>
      <c r="BD13" s="769" t="s">
        <v>66</v>
      </c>
      <c r="BE13" s="575">
        <v>1</v>
      </c>
      <c r="BF13" s="584">
        <f>+IF(BE13="","",(VLOOKUP($C13,'EQUIP RATE SCHEDULE'!$B$11:$F$162,5,FALSE)))</f>
        <v>10</v>
      </c>
      <c r="BG13" s="591"/>
      <c r="BH13" s="613">
        <f t="shared" si="9"/>
        <v>10</v>
      </c>
      <c r="BI13" s="769" t="s">
        <v>66</v>
      </c>
      <c r="BJ13" s="575">
        <v>1</v>
      </c>
      <c r="BK13" s="584">
        <f>+IF(BJ13="","",(VLOOKUP($C13,'EQUIP RATE SCHEDULE'!$B$11:$F$162,5,FALSE)))</f>
        <v>10</v>
      </c>
      <c r="BL13" s="591"/>
      <c r="BM13" s="613">
        <f t="shared" si="10"/>
        <v>10</v>
      </c>
      <c r="BN13" s="769" t="s">
        <v>66</v>
      </c>
      <c r="BO13" s="575">
        <v>1</v>
      </c>
      <c r="BP13" s="584">
        <f>+IF(BO13="","",(VLOOKUP($C13,'EQUIP RATE SCHEDULE'!$B$11:$F$162,5,FALSE)))</f>
        <v>10</v>
      </c>
      <c r="BQ13" s="591"/>
      <c r="BR13" s="613">
        <f t="shared" si="11"/>
        <v>10</v>
      </c>
      <c r="BS13" s="769" t="s">
        <v>66</v>
      </c>
      <c r="BT13" s="575">
        <v>1</v>
      </c>
      <c r="BU13" s="584">
        <f>+IF(BT13="","",(VLOOKUP($C13,'EQUIP RATE SCHEDULE'!$B$11:$F$162,5,FALSE)))</f>
        <v>10</v>
      </c>
      <c r="BV13" s="591"/>
      <c r="BW13" s="613">
        <f t="shared" si="12"/>
        <v>10</v>
      </c>
      <c r="BX13" s="769" t="s">
        <v>66</v>
      </c>
      <c r="BY13" s="575">
        <v>1</v>
      </c>
      <c r="BZ13" s="584">
        <f>+IF(BY13="","",(VLOOKUP($C13,'EQUIP RATE SCHEDULE'!$B$11:$F$162,5,FALSE)))</f>
        <v>10</v>
      </c>
      <c r="CA13" s="591"/>
      <c r="CB13" s="613">
        <f t="shared" si="13"/>
        <v>10</v>
      </c>
      <c r="CC13" s="769" t="s">
        <v>66</v>
      </c>
      <c r="CD13" s="575">
        <v>1</v>
      </c>
      <c r="CE13" s="584">
        <f>+IF(CD13="","",(VLOOKUP($C13,'EQUIP RATE SCHEDULE'!$B$11:$F$162,5,FALSE)))</f>
        <v>10</v>
      </c>
      <c r="CF13" s="591"/>
      <c r="CG13" s="613">
        <f t="shared" si="14"/>
        <v>10</v>
      </c>
      <c r="CH13" s="769" t="s">
        <v>66</v>
      </c>
      <c r="CI13" s="575">
        <v>1</v>
      </c>
      <c r="CJ13" s="584">
        <f>+IF(CI13="","",(VLOOKUP($C13,'EQUIP RATE SCHEDULE'!$B$11:$F$162,5,FALSE)))</f>
        <v>10</v>
      </c>
      <c r="CK13" s="591"/>
      <c r="CL13" s="613">
        <f t="shared" si="15"/>
        <v>10</v>
      </c>
      <c r="CM13" s="769" t="s">
        <v>66</v>
      </c>
      <c r="CN13" s="575">
        <v>1</v>
      </c>
      <c r="CO13" s="584">
        <f>+IF(CN13="","",(VLOOKUP($C13,'EQUIP RATE SCHEDULE'!$B$11:$F$162,5,FALSE)))</f>
        <v>10</v>
      </c>
      <c r="CP13" s="591"/>
      <c r="CQ13" s="613">
        <f t="shared" si="16"/>
        <v>10</v>
      </c>
      <c r="CR13" s="769" t="s">
        <v>66</v>
      </c>
      <c r="CS13" s="575">
        <v>1</v>
      </c>
      <c r="CT13" s="584">
        <f>+IF(CS13="","",(VLOOKUP($C13,'EQUIP RATE SCHEDULE'!$B$11:$F$162,5,FALSE)))</f>
        <v>10</v>
      </c>
      <c r="CU13" s="591"/>
      <c r="CV13" s="613">
        <f t="shared" si="17"/>
        <v>10</v>
      </c>
      <c r="CW13" s="769" t="s">
        <v>66</v>
      </c>
      <c r="CX13" s="575">
        <v>1</v>
      </c>
      <c r="CY13" s="584">
        <f>+IF(CX13="","",(VLOOKUP($C13,'EQUIP RATE SCHEDULE'!$B$11:$F$162,5,FALSE)))</f>
        <v>10</v>
      </c>
      <c r="CZ13" s="591"/>
      <c r="DA13" s="613">
        <f t="shared" si="18"/>
        <v>10</v>
      </c>
    </row>
    <row r="14" spans="1:105" ht="15" x14ac:dyDescent="0.25">
      <c r="A14" s="1513"/>
      <c r="B14" s="809" t="s">
        <v>522</v>
      </c>
      <c r="C14" s="776" t="s">
        <v>916</v>
      </c>
      <c r="D14" s="1492"/>
      <c r="E14" s="1490"/>
      <c r="F14" s="769" t="s">
        <v>67</v>
      </c>
      <c r="G14" s="575">
        <v>1</v>
      </c>
      <c r="H14" s="584">
        <f>+IF(G14="","",(VLOOKUP($C14,'EQUIP RATE SCHEDULE'!$B$11:$F$162,5,FALSE)))</f>
        <v>30</v>
      </c>
      <c r="I14" s="591"/>
      <c r="J14" s="613">
        <f t="shared" si="19"/>
        <v>30</v>
      </c>
      <c r="K14" s="769" t="s">
        <v>67</v>
      </c>
      <c r="L14" s="575">
        <v>1</v>
      </c>
      <c r="M14" s="584">
        <f>+IF(L14="","",(VLOOKUP($C14,'EQUIP RATE SCHEDULE'!$B$11:$F$162,5,FALSE)))</f>
        <v>30</v>
      </c>
      <c r="N14" s="591"/>
      <c r="O14" s="613">
        <f t="shared" si="0"/>
        <v>30</v>
      </c>
      <c r="P14" s="769" t="s">
        <v>67</v>
      </c>
      <c r="Q14" s="575">
        <v>1</v>
      </c>
      <c r="R14" s="584">
        <f>+IF(Q14="","",(VLOOKUP($C14,'EQUIP RATE SCHEDULE'!$B$11:$F$162,5,FALSE)))</f>
        <v>30</v>
      </c>
      <c r="S14" s="591"/>
      <c r="T14" s="613">
        <f t="shared" si="1"/>
        <v>30</v>
      </c>
      <c r="U14" s="769" t="s">
        <v>67</v>
      </c>
      <c r="V14" s="575">
        <v>1</v>
      </c>
      <c r="W14" s="584">
        <f>+IF(V14="","",(VLOOKUP($C14,'EQUIP RATE SCHEDULE'!$B$11:$F$162,5,FALSE)))</f>
        <v>30</v>
      </c>
      <c r="X14" s="591"/>
      <c r="Y14" s="613">
        <f t="shared" si="2"/>
        <v>30</v>
      </c>
      <c r="Z14" s="769" t="s">
        <v>67</v>
      </c>
      <c r="AA14" s="575">
        <v>1</v>
      </c>
      <c r="AB14" s="584">
        <f>+IF(AA14="","",(VLOOKUP($C14,'EQUIP RATE SCHEDULE'!$B$11:$F$162,5,FALSE)))</f>
        <v>30</v>
      </c>
      <c r="AC14" s="591"/>
      <c r="AD14" s="613">
        <f t="shared" si="3"/>
        <v>30</v>
      </c>
      <c r="AE14" s="769" t="s">
        <v>67</v>
      </c>
      <c r="AF14" s="575">
        <v>1</v>
      </c>
      <c r="AG14" s="584">
        <f>+IF(AF14="","",(VLOOKUP($C14,'EQUIP RATE SCHEDULE'!$B$11:$F$162,5,FALSE)))</f>
        <v>30</v>
      </c>
      <c r="AH14" s="591"/>
      <c r="AI14" s="613">
        <f t="shared" si="4"/>
        <v>30</v>
      </c>
      <c r="AJ14" s="769" t="s">
        <v>67</v>
      </c>
      <c r="AK14" s="575">
        <v>1</v>
      </c>
      <c r="AL14" s="584">
        <f>+IF(AK14="","",(VLOOKUP($C14,'EQUIP RATE SCHEDULE'!$B$11:$F$162,5,FALSE)))</f>
        <v>30</v>
      </c>
      <c r="AM14" s="591"/>
      <c r="AN14" s="613">
        <f t="shared" si="5"/>
        <v>30</v>
      </c>
      <c r="AO14" s="769" t="s">
        <v>67</v>
      </c>
      <c r="AP14" s="575">
        <v>1</v>
      </c>
      <c r="AQ14" s="584">
        <f>+IF(AP14="","",(VLOOKUP($C14,'EQUIP RATE SCHEDULE'!$B$11:$F$162,5,FALSE)))</f>
        <v>30</v>
      </c>
      <c r="AR14" s="591"/>
      <c r="AS14" s="613">
        <f t="shared" si="6"/>
        <v>30</v>
      </c>
      <c r="AT14" s="769" t="s">
        <v>67</v>
      </c>
      <c r="AU14" s="575">
        <v>1</v>
      </c>
      <c r="AV14" s="584">
        <f>+IF(AU14="","",(VLOOKUP($C14,'EQUIP RATE SCHEDULE'!$B$11:$F$162,5,FALSE)))</f>
        <v>30</v>
      </c>
      <c r="AW14" s="591"/>
      <c r="AX14" s="613">
        <f t="shared" si="7"/>
        <v>30</v>
      </c>
      <c r="AY14" s="769" t="s">
        <v>67</v>
      </c>
      <c r="AZ14" s="575">
        <v>1</v>
      </c>
      <c r="BA14" s="584">
        <f>+IF(AZ14="","",(VLOOKUP($C14,'EQUIP RATE SCHEDULE'!$B$11:$F$162,5,FALSE)))</f>
        <v>30</v>
      </c>
      <c r="BB14" s="591"/>
      <c r="BC14" s="613">
        <f t="shared" si="8"/>
        <v>30</v>
      </c>
      <c r="BD14" s="769" t="s">
        <v>67</v>
      </c>
      <c r="BE14" s="575">
        <v>1</v>
      </c>
      <c r="BF14" s="584">
        <f>+IF(BE14="","",(VLOOKUP($C14,'EQUIP RATE SCHEDULE'!$B$11:$F$162,5,FALSE)))</f>
        <v>30</v>
      </c>
      <c r="BG14" s="591"/>
      <c r="BH14" s="613">
        <f t="shared" si="9"/>
        <v>30</v>
      </c>
      <c r="BI14" s="769" t="s">
        <v>67</v>
      </c>
      <c r="BJ14" s="575">
        <v>1</v>
      </c>
      <c r="BK14" s="584">
        <f>+IF(BJ14="","",(VLOOKUP($C14,'EQUIP RATE SCHEDULE'!$B$11:$F$162,5,FALSE)))</f>
        <v>30</v>
      </c>
      <c r="BL14" s="591"/>
      <c r="BM14" s="613">
        <f t="shared" si="10"/>
        <v>30</v>
      </c>
      <c r="BN14" s="769" t="s">
        <v>67</v>
      </c>
      <c r="BO14" s="575">
        <v>1</v>
      </c>
      <c r="BP14" s="584">
        <f>+IF(BO14="","",(VLOOKUP($C14,'EQUIP RATE SCHEDULE'!$B$11:$F$162,5,FALSE)))</f>
        <v>30</v>
      </c>
      <c r="BQ14" s="591"/>
      <c r="BR14" s="613">
        <f t="shared" si="11"/>
        <v>30</v>
      </c>
      <c r="BS14" s="769" t="s">
        <v>67</v>
      </c>
      <c r="BT14" s="575">
        <v>1</v>
      </c>
      <c r="BU14" s="584">
        <f>+IF(BT14="","",(VLOOKUP($C14,'EQUIP RATE SCHEDULE'!$B$11:$F$162,5,FALSE)))</f>
        <v>30</v>
      </c>
      <c r="BV14" s="591"/>
      <c r="BW14" s="613">
        <f t="shared" si="12"/>
        <v>30</v>
      </c>
      <c r="BX14" s="769" t="s">
        <v>67</v>
      </c>
      <c r="BY14" s="1029">
        <v>1</v>
      </c>
      <c r="BZ14" s="584">
        <f>+IF(BY14="","",(VLOOKUP($C14,'EQUIP RATE SCHEDULE'!$B$11:$F$162,5,FALSE)))</f>
        <v>30</v>
      </c>
      <c r="CA14" s="591"/>
      <c r="CB14" s="613">
        <f t="shared" si="13"/>
        <v>30</v>
      </c>
      <c r="CC14" s="769" t="s">
        <v>67</v>
      </c>
      <c r="CD14" s="575">
        <v>1</v>
      </c>
      <c r="CE14" s="584">
        <f>+IF(CD14="","",(VLOOKUP($C14,'EQUIP RATE SCHEDULE'!$B$11:$F$162,5,FALSE)))</f>
        <v>30</v>
      </c>
      <c r="CF14" s="591"/>
      <c r="CG14" s="613">
        <f t="shared" si="14"/>
        <v>30</v>
      </c>
      <c r="CH14" s="769" t="s">
        <v>67</v>
      </c>
      <c r="CI14" s="575">
        <v>1</v>
      </c>
      <c r="CJ14" s="584">
        <f>+IF(CI14="","",(VLOOKUP($C14,'EQUIP RATE SCHEDULE'!$B$11:$F$162,5,FALSE)))</f>
        <v>30</v>
      </c>
      <c r="CK14" s="591"/>
      <c r="CL14" s="613">
        <f t="shared" si="15"/>
        <v>30</v>
      </c>
      <c r="CM14" s="769" t="s">
        <v>67</v>
      </c>
      <c r="CN14" s="575">
        <v>1</v>
      </c>
      <c r="CO14" s="584">
        <f>+IF(CN14="","",(VLOOKUP($C14,'EQUIP RATE SCHEDULE'!$B$11:$F$162,5,FALSE)))</f>
        <v>30</v>
      </c>
      <c r="CP14" s="591"/>
      <c r="CQ14" s="613">
        <f t="shared" si="16"/>
        <v>30</v>
      </c>
      <c r="CR14" s="769" t="s">
        <v>67</v>
      </c>
      <c r="CS14" s="575">
        <v>1</v>
      </c>
      <c r="CT14" s="584">
        <f>+IF(CS14="","",(VLOOKUP($C14,'EQUIP RATE SCHEDULE'!$B$11:$F$162,5,FALSE)))</f>
        <v>30</v>
      </c>
      <c r="CU14" s="591"/>
      <c r="CV14" s="613">
        <f t="shared" si="17"/>
        <v>30</v>
      </c>
      <c r="CW14" s="769" t="s">
        <v>67</v>
      </c>
      <c r="CX14" s="575">
        <v>1</v>
      </c>
      <c r="CY14" s="584">
        <f>+IF(CX14="","",(VLOOKUP($C14,'EQUIP RATE SCHEDULE'!$B$11:$F$162,5,FALSE)))</f>
        <v>30</v>
      </c>
      <c r="CZ14" s="591"/>
      <c r="DA14" s="613">
        <f t="shared" si="18"/>
        <v>30</v>
      </c>
    </row>
    <row r="15" spans="1:105" ht="15" x14ac:dyDescent="0.25">
      <c r="A15" s="1513"/>
      <c r="B15" s="809" t="s">
        <v>522</v>
      </c>
      <c r="C15" s="776" t="s">
        <v>917</v>
      </c>
      <c r="D15" s="777" t="s">
        <v>1226</v>
      </c>
      <c r="E15" s="778" t="s">
        <v>1227</v>
      </c>
      <c r="F15" s="769" t="s">
        <v>920</v>
      </c>
      <c r="G15" s="575">
        <v>1</v>
      </c>
      <c r="H15" s="584">
        <f>+IF(G15="","",(VLOOKUP($C15,'EQUIP RATE SCHEDULE'!$B$11:$F$162,5,FALSE)))</f>
        <v>1</v>
      </c>
      <c r="I15" s="591"/>
      <c r="J15" s="613">
        <f t="shared" si="19"/>
        <v>1</v>
      </c>
      <c r="K15" s="769" t="s">
        <v>920</v>
      </c>
      <c r="L15" s="575">
        <v>1</v>
      </c>
      <c r="M15" s="584">
        <f>+IF(L15="","",(VLOOKUP($C15,'EQUIP RATE SCHEDULE'!$B$11:$F$162,5,FALSE)))</f>
        <v>1</v>
      </c>
      <c r="N15" s="591"/>
      <c r="O15" s="613">
        <f t="shared" si="0"/>
        <v>1</v>
      </c>
      <c r="P15" s="769" t="s">
        <v>920</v>
      </c>
      <c r="Q15" s="575">
        <v>1</v>
      </c>
      <c r="R15" s="584">
        <f>+IF(Q15="","",(VLOOKUP($C15,'EQUIP RATE SCHEDULE'!$B$11:$F$162,5,FALSE)))</f>
        <v>1</v>
      </c>
      <c r="S15" s="591"/>
      <c r="T15" s="613">
        <f t="shared" si="1"/>
        <v>1</v>
      </c>
      <c r="U15" s="769" t="s">
        <v>920</v>
      </c>
      <c r="V15" s="575">
        <v>1</v>
      </c>
      <c r="W15" s="584">
        <f>+IF(V15="","",(VLOOKUP($C15,'EQUIP RATE SCHEDULE'!$B$11:$F$162,5,FALSE)))</f>
        <v>1</v>
      </c>
      <c r="X15" s="591"/>
      <c r="Y15" s="613">
        <f t="shared" si="2"/>
        <v>1</v>
      </c>
      <c r="Z15" s="769" t="s">
        <v>920</v>
      </c>
      <c r="AA15" s="575">
        <v>1</v>
      </c>
      <c r="AB15" s="584">
        <f>+IF(AA15="","",(VLOOKUP($C15,'EQUIP RATE SCHEDULE'!$B$11:$F$162,5,FALSE)))</f>
        <v>1</v>
      </c>
      <c r="AC15" s="591"/>
      <c r="AD15" s="613">
        <f t="shared" si="3"/>
        <v>1</v>
      </c>
      <c r="AE15" s="769" t="s">
        <v>920</v>
      </c>
      <c r="AF15" s="575">
        <v>1</v>
      </c>
      <c r="AG15" s="584">
        <f>+IF(AF15="","",(VLOOKUP($C15,'EQUIP RATE SCHEDULE'!$B$11:$F$162,5,FALSE)))</f>
        <v>1</v>
      </c>
      <c r="AH15" s="591"/>
      <c r="AI15" s="613">
        <f t="shared" si="4"/>
        <v>1</v>
      </c>
      <c r="AJ15" s="769" t="s">
        <v>920</v>
      </c>
      <c r="AK15" s="575">
        <v>1</v>
      </c>
      <c r="AL15" s="584">
        <f>+IF(AK15="","",(VLOOKUP($C15,'EQUIP RATE SCHEDULE'!$B$11:$F$162,5,FALSE)))</f>
        <v>1</v>
      </c>
      <c r="AM15" s="591"/>
      <c r="AN15" s="613">
        <f t="shared" si="5"/>
        <v>1</v>
      </c>
      <c r="AO15" s="769" t="s">
        <v>920</v>
      </c>
      <c r="AP15" s="575">
        <v>1</v>
      </c>
      <c r="AQ15" s="584">
        <f>+IF(AP15="","",(VLOOKUP($C15,'EQUIP RATE SCHEDULE'!$B$11:$F$162,5,FALSE)))</f>
        <v>1</v>
      </c>
      <c r="AR15" s="591"/>
      <c r="AS15" s="613">
        <f t="shared" si="6"/>
        <v>1</v>
      </c>
      <c r="AT15" s="769" t="s">
        <v>920</v>
      </c>
      <c r="AU15" s="575">
        <v>1</v>
      </c>
      <c r="AV15" s="584">
        <f>+IF(AU15="","",(VLOOKUP($C15,'EQUIP RATE SCHEDULE'!$B$11:$F$162,5,FALSE)))</f>
        <v>1</v>
      </c>
      <c r="AW15" s="591"/>
      <c r="AX15" s="613">
        <f t="shared" si="7"/>
        <v>1</v>
      </c>
      <c r="AY15" s="769" t="s">
        <v>920</v>
      </c>
      <c r="AZ15" s="575">
        <v>1</v>
      </c>
      <c r="BA15" s="584">
        <f>+IF(AZ15="","",(VLOOKUP($C15,'EQUIP RATE SCHEDULE'!$B$11:$F$162,5,FALSE)))</f>
        <v>1</v>
      </c>
      <c r="BB15" s="591"/>
      <c r="BC15" s="613">
        <f t="shared" si="8"/>
        <v>1</v>
      </c>
      <c r="BD15" s="769" t="s">
        <v>920</v>
      </c>
      <c r="BE15" s="575">
        <v>1</v>
      </c>
      <c r="BF15" s="584">
        <f>+IF(BE15="","",(VLOOKUP($C15,'EQUIP RATE SCHEDULE'!$B$11:$F$162,5,FALSE)))</f>
        <v>1</v>
      </c>
      <c r="BG15" s="591"/>
      <c r="BH15" s="613">
        <f t="shared" si="9"/>
        <v>1</v>
      </c>
      <c r="BI15" s="769" t="s">
        <v>920</v>
      </c>
      <c r="BJ15" s="575">
        <v>1</v>
      </c>
      <c r="BK15" s="584">
        <f>+IF(BJ15="","",(VLOOKUP($C15,'EQUIP RATE SCHEDULE'!$B$11:$F$162,5,FALSE)))</f>
        <v>1</v>
      </c>
      <c r="BL15" s="591"/>
      <c r="BM15" s="613">
        <f t="shared" si="10"/>
        <v>1</v>
      </c>
      <c r="BN15" s="769" t="s">
        <v>920</v>
      </c>
      <c r="BO15" s="575">
        <v>1</v>
      </c>
      <c r="BP15" s="584">
        <f>+IF(BO15="","",(VLOOKUP($C15,'EQUIP RATE SCHEDULE'!$B$11:$F$162,5,FALSE)))</f>
        <v>1</v>
      </c>
      <c r="BQ15" s="591"/>
      <c r="BR15" s="613">
        <f t="shared" si="11"/>
        <v>1</v>
      </c>
      <c r="BS15" s="769" t="s">
        <v>920</v>
      </c>
      <c r="BT15" s="575">
        <v>1</v>
      </c>
      <c r="BU15" s="584">
        <f>+IF(BT15="","",(VLOOKUP($C15,'EQUIP RATE SCHEDULE'!$B$11:$F$162,5,FALSE)))</f>
        <v>1</v>
      </c>
      <c r="BV15" s="591"/>
      <c r="BW15" s="613">
        <f t="shared" si="12"/>
        <v>1</v>
      </c>
      <c r="BX15" s="769" t="s">
        <v>920</v>
      </c>
      <c r="BY15" s="575">
        <v>1</v>
      </c>
      <c r="BZ15" s="584">
        <f>+IF(BY15="","",(VLOOKUP($C15,'EQUIP RATE SCHEDULE'!$B$11:$F$162,5,FALSE)))</f>
        <v>1</v>
      </c>
      <c r="CA15" s="591"/>
      <c r="CB15" s="613">
        <f t="shared" si="13"/>
        <v>1</v>
      </c>
      <c r="CC15" s="769" t="s">
        <v>920</v>
      </c>
      <c r="CD15" s="575">
        <v>1</v>
      </c>
      <c r="CE15" s="584">
        <f>+IF(CD15="","",(VLOOKUP($C15,'EQUIP RATE SCHEDULE'!$B$11:$F$162,5,FALSE)))</f>
        <v>1</v>
      </c>
      <c r="CF15" s="591"/>
      <c r="CG15" s="613">
        <f t="shared" si="14"/>
        <v>1</v>
      </c>
      <c r="CH15" s="769" t="s">
        <v>920</v>
      </c>
      <c r="CI15" s="575">
        <v>1</v>
      </c>
      <c r="CJ15" s="584">
        <f>+IF(CI15="","",(VLOOKUP($C15,'EQUIP RATE SCHEDULE'!$B$11:$F$162,5,FALSE)))</f>
        <v>1</v>
      </c>
      <c r="CK15" s="591"/>
      <c r="CL15" s="613">
        <f t="shared" si="15"/>
        <v>1</v>
      </c>
      <c r="CM15" s="769" t="s">
        <v>920</v>
      </c>
      <c r="CN15" s="575">
        <v>1</v>
      </c>
      <c r="CO15" s="584">
        <f>+IF(CN15="","",(VLOOKUP($C15,'EQUIP RATE SCHEDULE'!$B$11:$F$162,5,FALSE)))</f>
        <v>1</v>
      </c>
      <c r="CP15" s="591"/>
      <c r="CQ15" s="613">
        <f t="shared" si="16"/>
        <v>1</v>
      </c>
      <c r="CR15" s="769" t="s">
        <v>920</v>
      </c>
      <c r="CS15" s="575">
        <v>1</v>
      </c>
      <c r="CT15" s="584">
        <f>+IF(CS15="","",(VLOOKUP($C15,'EQUIP RATE SCHEDULE'!$B$11:$F$162,5,FALSE)))</f>
        <v>1</v>
      </c>
      <c r="CU15" s="591"/>
      <c r="CV15" s="613">
        <f t="shared" si="17"/>
        <v>1</v>
      </c>
      <c r="CW15" s="769" t="s">
        <v>920</v>
      </c>
      <c r="CX15" s="575">
        <v>1</v>
      </c>
      <c r="CY15" s="584">
        <f>+IF(CX15="","",(VLOOKUP($C15,'EQUIP RATE SCHEDULE'!$B$11:$F$162,5,FALSE)))</f>
        <v>1</v>
      </c>
      <c r="CZ15" s="591"/>
      <c r="DA15" s="613">
        <f t="shared" si="18"/>
        <v>1</v>
      </c>
    </row>
    <row r="16" spans="1:105" ht="15" x14ac:dyDescent="0.25">
      <c r="A16" s="1513"/>
      <c r="B16" s="809" t="s">
        <v>522</v>
      </c>
      <c r="C16" s="776" t="s">
        <v>921</v>
      </c>
      <c r="D16" s="1491" t="s">
        <v>922</v>
      </c>
      <c r="E16" s="1488" t="s">
        <v>923</v>
      </c>
      <c r="F16" s="769" t="s">
        <v>66</v>
      </c>
      <c r="G16" s="575">
        <v>1</v>
      </c>
      <c r="H16" s="584">
        <f>+IF(G16="","",(VLOOKUP($C16,'EQUIP RATE SCHEDULE'!$B$11:$F$162,5,FALSE)))</f>
        <v>30</v>
      </c>
      <c r="I16" s="591"/>
      <c r="J16" s="613">
        <f t="shared" si="19"/>
        <v>30</v>
      </c>
      <c r="K16" s="769" t="s">
        <v>66</v>
      </c>
      <c r="L16" s="575">
        <v>1</v>
      </c>
      <c r="M16" s="584">
        <f>+IF(L16="","",(VLOOKUP($C16,'EQUIP RATE SCHEDULE'!$B$11:$F$162,5,FALSE)))</f>
        <v>30</v>
      </c>
      <c r="N16" s="591"/>
      <c r="O16" s="613">
        <f t="shared" si="0"/>
        <v>30</v>
      </c>
      <c r="P16" s="769" t="s">
        <v>66</v>
      </c>
      <c r="Q16" s="575">
        <v>1</v>
      </c>
      <c r="R16" s="584">
        <f>+IF(Q16="","",(VLOOKUP($C16,'EQUIP RATE SCHEDULE'!$B$11:$F$162,5,FALSE)))</f>
        <v>30</v>
      </c>
      <c r="S16" s="591"/>
      <c r="T16" s="613">
        <f t="shared" si="1"/>
        <v>30</v>
      </c>
      <c r="U16" s="769" t="s">
        <v>66</v>
      </c>
      <c r="V16" s="575">
        <v>1</v>
      </c>
      <c r="W16" s="584">
        <f>+IF(V16="","",(VLOOKUP($C16,'EQUIP RATE SCHEDULE'!$B$11:$F$162,5,FALSE)))</f>
        <v>30</v>
      </c>
      <c r="X16" s="591"/>
      <c r="Y16" s="613">
        <f t="shared" si="2"/>
        <v>30</v>
      </c>
      <c r="Z16" s="769" t="s">
        <v>66</v>
      </c>
      <c r="AA16" s="575">
        <v>1</v>
      </c>
      <c r="AB16" s="584">
        <f>+IF(AA16="","",(VLOOKUP($C16,'EQUIP RATE SCHEDULE'!$B$11:$F$162,5,FALSE)))</f>
        <v>30</v>
      </c>
      <c r="AC16" s="591"/>
      <c r="AD16" s="613">
        <f t="shared" si="3"/>
        <v>30</v>
      </c>
      <c r="AE16" s="769" t="s">
        <v>66</v>
      </c>
      <c r="AF16" s="575">
        <v>1</v>
      </c>
      <c r="AG16" s="584">
        <f>+IF(AF16="","",(VLOOKUP($C16,'EQUIP RATE SCHEDULE'!$B$11:$F$162,5,FALSE)))</f>
        <v>30</v>
      </c>
      <c r="AH16" s="591"/>
      <c r="AI16" s="613">
        <f t="shared" si="4"/>
        <v>30</v>
      </c>
      <c r="AJ16" s="769" t="s">
        <v>66</v>
      </c>
      <c r="AK16" s="575">
        <v>1</v>
      </c>
      <c r="AL16" s="584">
        <f>+IF(AK16="","",(VLOOKUP($C16,'EQUIP RATE SCHEDULE'!$B$11:$F$162,5,FALSE)))</f>
        <v>30</v>
      </c>
      <c r="AM16" s="591"/>
      <c r="AN16" s="613">
        <f t="shared" si="5"/>
        <v>30</v>
      </c>
      <c r="AO16" s="769" t="s">
        <v>66</v>
      </c>
      <c r="AP16" s="575">
        <v>1</v>
      </c>
      <c r="AQ16" s="584">
        <f>+IF(AP16="","",(VLOOKUP($C16,'EQUIP RATE SCHEDULE'!$B$11:$F$162,5,FALSE)))</f>
        <v>30</v>
      </c>
      <c r="AR16" s="591"/>
      <c r="AS16" s="613">
        <f t="shared" si="6"/>
        <v>30</v>
      </c>
      <c r="AT16" s="769" t="s">
        <v>66</v>
      </c>
      <c r="AU16" s="575">
        <v>1</v>
      </c>
      <c r="AV16" s="584">
        <f>+IF(AU16="","",(VLOOKUP($C16,'EQUIP RATE SCHEDULE'!$B$11:$F$162,5,FALSE)))</f>
        <v>30</v>
      </c>
      <c r="AW16" s="591"/>
      <c r="AX16" s="613">
        <f t="shared" si="7"/>
        <v>30</v>
      </c>
      <c r="AY16" s="769" t="s">
        <v>66</v>
      </c>
      <c r="AZ16" s="575">
        <v>1</v>
      </c>
      <c r="BA16" s="584">
        <f>+IF(AZ16="","",(VLOOKUP($C16,'EQUIP RATE SCHEDULE'!$B$11:$F$162,5,FALSE)))</f>
        <v>30</v>
      </c>
      <c r="BB16" s="591"/>
      <c r="BC16" s="613">
        <f t="shared" si="8"/>
        <v>30</v>
      </c>
      <c r="BD16" s="769" t="s">
        <v>66</v>
      </c>
      <c r="BE16" s="575">
        <v>1</v>
      </c>
      <c r="BF16" s="1156">
        <f>+IF(BE16="","",(VLOOKUP($C16,'EQUIP RATE SCHEDULE'!$B$11:$F$162,5,FALSE)))</f>
        <v>30</v>
      </c>
      <c r="BG16" s="591"/>
      <c r="BH16" s="613">
        <f t="shared" si="9"/>
        <v>30</v>
      </c>
      <c r="BI16" s="769" t="s">
        <v>66</v>
      </c>
      <c r="BJ16" s="575">
        <v>1</v>
      </c>
      <c r="BK16" s="584">
        <f>+IF(BJ16="","",(VLOOKUP($C16,'EQUIP RATE SCHEDULE'!$B$11:$F$162,5,FALSE)))</f>
        <v>30</v>
      </c>
      <c r="BL16" s="591"/>
      <c r="BM16" s="613">
        <f t="shared" si="10"/>
        <v>30</v>
      </c>
      <c r="BN16" s="769" t="s">
        <v>66</v>
      </c>
      <c r="BO16" s="575">
        <v>1</v>
      </c>
      <c r="BP16" s="584">
        <f>+IF(BO16="","",(VLOOKUP($C16,'EQUIP RATE SCHEDULE'!$B$11:$F$162,5,FALSE)))</f>
        <v>30</v>
      </c>
      <c r="BQ16" s="591"/>
      <c r="BR16" s="613">
        <f t="shared" si="11"/>
        <v>30</v>
      </c>
      <c r="BS16" s="769" t="s">
        <v>66</v>
      </c>
      <c r="BT16" s="575">
        <v>1</v>
      </c>
      <c r="BU16" s="584">
        <f>+IF(BT16="","",(VLOOKUP($C16,'EQUIP RATE SCHEDULE'!$B$11:$F$162,5,FALSE)))</f>
        <v>30</v>
      </c>
      <c r="BV16" s="591"/>
      <c r="BW16" s="613">
        <f t="shared" si="12"/>
        <v>30</v>
      </c>
      <c r="BX16" s="769" t="s">
        <v>66</v>
      </c>
      <c r="BY16" s="575">
        <v>1</v>
      </c>
      <c r="BZ16" s="584">
        <f>+IF(BY16="","",(VLOOKUP($C16,'EQUIP RATE SCHEDULE'!$B$11:$F$162,5,FALSE)))</f>
        <v>30</v>
      </c>
      <c r="CA16" s="591"/>
      <c r="CB16" s="613">
        <f t="shared" si="13"/>
        <v>30</v>
      </c>
      <c r="CC16" s="769" t="s">
        <v>66</v>
      </c>
      <c r="CD16" s="575">
        <v>1</v>
      </c>
      <c r="CE16" s="584">
        <f>+IF(CD16="","",(VLOOKUP($C16,'EQUIP RATE SCHEDULE'!$B$11:$F$162,5,FALSE)))</f>
        <v>30</v>
      </c>
      <c r="CF16" s="591"/>
      <c r="CG16" s="613">
        <f t="shared" si="14"/>
        <v>30</v>
      </c>
      <c r="CH16" s="769" t="s">
        <v>66</v>
      </c>
      <c r="CI16" s="575">
        <v>1</v>
      </c>
      <c r="CJ16" s="584">
        <f>+IF(CI16="","",(VLOOKUP($C16,'EQUIP RATE SCHEDULE'!$B$11:$F$162,5,FALSE)))</f>
        <v>30</v>
      </c>
      <c r="CK16" s="591"/>
      <c r="CL16" s="613">
        <f t="shared" si="15"/>
        <v>30</v>
      </c>
      <c r="CM16" s="769" t="s">
        <v>66</v>
      </c>
      <c r="CN16" s="575">
        <v>1</v>
      </c>
      <c r="CO16" s="584">
        <f>+IF(CN16="","",(VLOOKUP($C16,'EQUIP RATE SCHEDULE'!$B$11:$F$162,5,FALSE)))</f>
        <v>30</v>
      </c>
      <c r="CP16" s="591"/>
      <c r="CQ16" s="613">
        <f t="shared" si="16"/>
        <v>30</v>
      </c>
      <c r="CR16" s="769" t="s">
        <v>66</v>
      </c>
      <c r="CS16" s="575">
        <v>1</v>
      </c>
      <c r="CT16" s="584">
        <f>+IF(CS16="","",(VLOOKUP($C16,'EQUIP RATE SCHEDULE'!$B$11:$F$162,5,FALSE)))</f>
        <v>30</v>
      </c>
      <c r="CU16" s="591"/>
      <c r="CV16" s="613">
        <f t="shared" si="17"/>
        <v>30</v>
      </c>
      <c r="CW16" s="769" t="s">
        <v>66</v>
      </c>
      <c r="CX16" s="575">
        <v>1</v>
      </c>
      <c r="CY16" s="584">
        <f>+IF(CX16="","",(VLOOKUP($C16,'EQUIP RATE SCHEDULE'!$B$11:$F$162,5,FALSE)))</f>
        <v>30</v>
      </c>
      <c r="CZ16" s="591"/>
      <c r="DA16" s="613">
        <f t="shared" si="18"/>
        <v>30</v>
      </c>
    </row>
    <row r="17" spans="1:105" ht="15" x14ac:dyDescent="0.25">
      <c r="A17" s="1513"/>
      <c r="B17" s="809" t="s">
        <v>522</v>
      </c>
      <c r="C17" s="776" t="s">
        <v>924</v>
      </c>
      <c r="D17" s="1492"/>
      <c r="E17" s="1490"/>
      <c r="F17" s="769" t="s">
        <v>67</v>
      </c>
      <c r="G17" s="575">
        <v>1</v>
      </c>
      <c r="H17" s="584">
        <f>+IF(G17="","",(VLOOKUP($C17,'EQUIP RATE SCHEDULE'!$B$11:$F$162,5,FALSE)))</f>
        <v>90</v>
      </c>
      <c r="I17" s="591"/>
      <c r="J17" s="613">
        <f t="shared" si="19"/>
        <v>90</v>
      </c>
      <c r="K17" s="769" t="s">
        <v>67</v>
      </c>
      <c r="L17" s="575">
        <v>1</v>
      </c>
      <c r="M17" s="584">
        <f>+IF(L17="","",(VLOOKUP($C17,'EQUIP RATE SCHEDULE'!$B$11:$F$162,5,FALSE)))</f>
        <v>90</v>
      </c>
      <c r="N17" s="591"/>
      <c r="O17" s="613">
        <f t="shared" si="0"/>
        <v>90</v>
      </c>
      <c r="P17" s="769" t="s">
        <v>67</v>
      </c>
      <c r="Q17" s="575">
        <v>1</v>
      </c>
      <c r="R17" s="584">
        <f>+IF(Q17="","",(VLOOKUP($C17,'EQUIP RATE SCHEDULE'!$B$11:$F$162,5,FALSE)))</f>
        <v>90</v>
      </c>
      <c r="S17" s="591"/>
      <c r="T17" s="613">
        <f t="shared" si="1"/>
        <v>90</v>
      </c>
      <c r="U17" s="769" t="s">
        <v>67</v>
      </c>
      <c r="V17" s="575">
        <v>1</v>
      </c>
      <c r="W17" s="584">
        <f>+IF(V17="","",(VLOOKUP($C17,'EQUIP RATE SCHEDULE'!$B$11:$F$162,5,FALSE)))</f>
        <v>90</v>
      </c>
      <c r="X17" s="591"/>
      <c r="Y17" s="613">
        <f t="shared" si="2"/>
        <v>90</v>
      </c>
      <c r="Z17" s="769" t="s">
        <v>67</v>
      </c>
      <c r="AA17" s="575">
        <v>1</v>
      </c>
      <c r="AB17" s="584">
        <f>+IF(AA17="","",(VLOOKUP($C17,'EQUIP RATE SCHEDULE'!$B$11:$F$162,5,FALSE)))</f>
        <v>90</v>
      </c>
      <c r="AC17" s="591"/>
      <c r="AD17" s="613">
        <f t="shared" si="3"/>
        <v>90</v>
      </c>
      <c r="AE17" s="769" t="s">
        <v>67</v>
      </c>
      <c r="AF17" s="575">
        <v>1</v>
      </c>
      <c r="AG17" s="584">
        <f>+IF(AF17="","",(VLOOKUP($C17,'EQUIP RATE SCHEDULE'!$B$11:$F$162,5,FALSE)))</f>
        <v>90</v>
      </c>
      <c r="AH17" s="591"/>
      <c r="AI17" s="613">
        <f t="shared" si="4"/>
        <v>90</v>
      </c>
      <c r="AJ17" s="769" t="s">
        <v>67</v>
      </c>
      <c r="AK17" s="575">
        <v>1</v>
      </c>
      <c r="AL17" s="584">
        <f>+IF(AK17="","",(VLOOKUP($C17,'EQUIP RATE SCHEDULE'!$B$11:$F$162,5,FALSE)))</f>
        <v>90</v>
      </c>
      <c r="AM17" s="591"/>
      <c r="AN17" s="613">
        <f t="shared" si="5"/>
        <v>90</v>
      </c>
      <c r="AO17" s="769" t="s">
        <v>67</v>
      </c>
      <c r="AP17" s="575">
        <v>1</v>
      </c>
      <c r="AQ17" s="584">
        <f>+IF(AP17="","",(VLOOKUP($C17,'EQUIP RATE SCHEDULE'!$B$11:$F$162,5,FALSE)))</f>
        <v>90</v>
      </c>
      <c r="AR17" s="591"/>
      <c r="AS17" s="613">
        <f t="shared" si="6"/>
        <v>90</v>
      </c>
      <c r="AT17" s="769" t="s">
        <v>67</v>
      </c>
      <c r="AU17" s="575">
        <v>1</v>
      </c>
      <c r="AV17" s="584">
        <f>+IF(AU17="","",(VLOOKUP($C17,'EQUIP RATE SCHEDULE'!$B$11:$F$162,5,FALSE)))</f>
        <v>90</v>
      </c>
      <c r="AW17" s="591"/>
      <c r="AX17" s="613">
        <f t="shared" si="7"/>
        <v>90</v>
      </c>
      <c r="AY17" s="769" t="s">
        <v>67</v>
      </c>
      <c r="AZ17" s="575">
        <v>1</v>
      </c>
      <c r="BA17" s="584">
        <f>+IF(AZ17="","",(VLOOKUP($C17,'EQUIP RATE SCHEDULE'!$B$11:$F$162,5,FALSE)))</f>
        <v>90</v>
      </c>
      <c r="BB17" s="591"/>
      <c r="BC17" s="613">
        <f t="shared" si="8"/>
        <v>90</v>
      </c>
      <c r="BD17" s="769" t="s">
        <v>67</v>
      </c>
      <c r="BE17" s="575">
        <v>1</v>
      </c>
      <c r="BF17" s="584">
        <f>+IF(BE17="","",(VLOOKUP($C17,'EQUIP RATE SCHEDULE'!$B$11:$F$162,5,FALSE)))</f>
        <v>90</v>
      </c>
      <c r="BG17" s="591"/>
      <c r="BH17" s="613">
        <f t="shared" si="9"/>
        <v>90</v>
      </c>
      <c r="BI17" s="769" t="s">
        <v>67</v>
      </c>
      <c r="BJ17" s="575">
        <v>1</v>
      </c>
      <c r="BK17" s="584">
        <f>+IF(BJ17="","",(VLOOKUP($C17,'EQUIP RATE SCHEDULE'!$B$11:$F$162,5,FALSE)))</f>
        <v>90</v>
      </c>
      <c r="BL17" s="591"/>
      <c r="BM17" s="613">
        <f t="shared" si="10"/>
        <v>90</v>
      </c>
      <c r="BN17" s="769" t="s">
        <v>67</v>
      </c>
      <c r="BO17" s="575">
        <v>1</v>
      </c>
      <c r="BP17" s="584">
        <f>+IF(BO17="","",(VLOOKUP($C17,'EQUIP RATE SCHEDULE'!$B$11:$F$162,5,FALSE)))</f>
        <v>90</v>
      </c>
      <c r="BQ17" s="591"/>
      <c r="BR17" s="613">
        <f t="shared" si="11"/>
        <v>90</v>
      </c>
      <c r="BS17" s="769" t="s">
        <v>67</v>
      </c>
      <c r="BT17" s="575">
        <v>1</v>
      </c>
      <c r="BU17" s="584">
        <f>+IF(BT17="","",(VLOOKUP($C17,'EQUIP RATE SCHEDULE'!$B$11:$F$162,5,FALSE)))</f>
        <v>90</v>
      </c>
      <c r="BV17" s="591"/>
      <c r="BW17" s="613">
        <f t="shared" si="12"/>
        <v>90</v>
      </c>
      <c r="BX17" s="769" t="s">
        <v>67</v>
      </c>
      <c r="BY17" s="575">
        <v>1</v>
      </c>
      <c r="BZ17" s="584">
        <f>+IF(BY17="","",(VLOOKUP($C17,'EQUIP RATE SCHEDULE'!$B$11:$F$162,5,FALSE)))</f>
        <v>90</v>
      </c>
      <c r="CA17" s="591"/>
      <c r="CB17" s="613">
        <f t="shared" si="13"/>
        <v>90</v>
      </c>
      <c r="CC17" s="769" t="s">
        <v>67</v>
      </c>
      <c r="CD17" s="575">
        <v>1</v>
      </c>
      <c r="CE17" s="584">
        <f>+IF(CD17="","",(VLOOKUP($C17,'EQUIP RATE SCHEDULE'!$B$11:$F$162,5,FALSE)))</f>
        <v>90</v>
      </c>
      <c r="CF17" s="591"/>
      <c r="CG17" s="613">
        <f t="shared" si="14"/>
        <v>90</v>
      </c>
      <c r="CH17" s="769" t="s">
        <v>67</v>
      </c>
      <c r="CI17" s="575">
        <v>1</v>
      </c>
      <c r="CJ17" s="584">
        <f>+IF(CI17="","",(VLOOKUP($C17,'EQUIP RATE SCHEDULE'!$B$11:$F$162,5,FALSE)))</f>
        <v>90</v>
      </c>
      <c r="CK17" s="591"/>
      <c r="CL17" s="613">
        <f t="shared" si="15"/>
        <v>90</v>
      </c>
      <c r="CM17" s="769" t="s">
        <v>67</v>
      </c>
      <c r="CN17" s="575">
        <v>1</v>
      </c>
      <c r="CO17" s="584">
        <f>+IF(CN17="","",(VLOOKUP($C17,'EQUIP RATE SCHEDULE'!$B$11:$F$162,5,FALSE)))</f>
        <v>90</v>
      </c>
      <c r="CP17" s="591"/>
      <c r="CQ17" s="613">
        <f t="shared" si="16"/>
        <v>90</v>
      </c>
      <c r="CR17" s="769" t="s">
        <v>67</v>
      </c>
      <c r="CS17" s="575">
        <v>1</v>
      </c>
      <c r="CT17" s="584">
        <f>+IF(CS17="","",(VLOOKUP($C17,'EQUIP RATE SCHEDULE'!$B$11:$F$162,5,FALSE)))</f>
        <v>90</v>
      </c>
      <c r="CU17" s="591"/>
      <c r="CV17" s="613">
        <f t="shared" si="17"/>
        <v>90</v>
      </c>
      <c r="CW17" s="769" t="s">
        <v>67</v>
      </c>
      <c r="CX17" s="575">
        <v>1</v>
      </c>
      <c r="CY17" s="584">
        <f>+IF(CX17="","",(VLOOKUP($C17,'EQUIP RATE SCHEDULE'!$B$11:$F$162,5,FALSE)))</f>
        <v>90</v>
      </c>
      <c r="CZ17" s="591"/>
      <c r="DA17" s="613">
        <f t="shared" si="18"/>
        <v>90</v>
      </c>
    </row>
    <row r="18" spans="1:105" ht="15" x14ac:dyDescent="0.25">
      <c r="A18" s="1513"/>
      <c r="B18" s="809" t="s">
        <v>522</v>
      </c>
      <c r="C18" s="776" t="s">
        <v>925</v>
      </c>
      <c r="D18" s="1491" t="s">
        <v>56</v>
      </c>
      <c r="E18" s="1488" t="s">
        <v>926</v>
      </c>
      <c r="F18" s="769" t="s">
        <v>66</v>
      </c>
      <c r="G18" s="575">
        <v>1</v>
      </c>
      <c r="H18" s="584">
        <f>+IF(G18="","",(VLOOKUP($C18,'EQUIP RATE SCHEDULE'!$B$11:$F$162,5,FALSE)))</f>
        <v>50</v>
      </c>
      <c r="I18" s="591"/>
      <c r="J18" s="613">
        <f t="shared" si="19"/>
        <v>50</v>
      </c>
      <c r="K18" s="769" t="s">
        <v>66</v>
      </c>
      <c r="L18" s="575">
        <v>1</v>
      </c>
      <c r="M18" s="584">
        <f>+IF(L18="","",(VLOOKUP($C18,'EQUIP RATE SCHEDULE'!$B$11:$F$162,5,FALSE)))</f>
        <v>50</v>
      </c>
      <c r="N18" s="591"/>
      <c r="O18" s="613">
        <f t="shared" si="0"/>
        <v>50</v>
      </c>
      <c r="P18" s="769" t="s">
        <v>66</v>
      </c>
      <c r="Q18" s="575">
        <v>1</v>
      </c>
      <c r="R18" s="584">
        <f>+IF(Q18="","",(VLOOKUP($C18,'EQUIP RATE SCHEDULE'!$B$11:$F$162,5,FALSE)))</f>
        <v>50</v>
      </c>
      <c r="S18" s="591"/>
      <c r="T18" s="613">
        <f t="shared" si="1"/>
        <v>50</v>
      </c>
      <c r="U18" s="769" t="s">
        <v>66</v>
      </c>
      <c r="V18" s="575">
        <v>1</v>
      </c>
      <c r="W18" s="584">
        <f>+IF(V18="","",(VLOOKUP($C18,'EQUIP RATE SCHEDULE'!$B$11:$F$162,5,FALSE)))</f>
        <v>50</v>
      </c>
      <c r="X18" s="591"/>
      <c r="Y18" s="613">
        <f t="shared" si="2"/>
        <v>50</v>
      </c>
      <c r="Z18" s="769" t="s">
        <v>66</v>
      </c>
      <c r="AA18" s="575">
        <v>1</v>
      </c>
      <c r="AB18" s="584">
        <f>+IF(AA18="","",(VLOOKUP($C18,'EQUIP RATE SCHEDULE'!$B$11:$F$162,5,FALSE)))</f>
        <v>50</v>
      </c>
      <c r="AC18" s="591"/>
      <c r="AD18" s="613">
        <f t="shared" si="3"/>
        <v>50</v>
      </c>
      <c r="AE18" s="769" t="s">
        <v>66</v>
      </c>
      <c r="AF18" s="575">
        <v>1</v>
      </c>
      <c r="AG18" s="584">
        <f>+IF(AF18="","",(VLOOKUP($C18,'EQUIP RATE SCHEDULE'!$B$11:$F$162,5,FALSE)))</f>
        <v>50</v>
      </c>
      <c r="AH18" s="591"/>
      <c r="AI18" s="613">
        <f t="shared" si="4"/>
        <v>50</v>
      </c>
      <c r="AJ18" s="769" t="s">
        <v>66</v>
      </c>
      <c r="AK18" s="575">
        <v>1</v>
      </c>
      <c r="AL18" s="584">
        <f>+IF(AK18="","",(VLOOKUP($C18,'EQUIP RATE SCHEDULE'!$B$11:$F$162,5,FALSE)))</f>
        <v>50</v>
      </c>
      <c r="AM18" s="591"/>
      <c r="AN18" s="613">
        <f t="shared" si="5"/>
        <v>50</v>
      </c>
      <c r="AO18" s="769" t="s">
        <v>66</v>
      </c>
      <c r="AP18" s="575">
        <v>1</v>
      </c>
      <c r="AQ18" s="584">
        <f>+IF(AP18="","",(VLOOKUP($C18,'EQUIP RATE SCHEDULE'!$B$11:$F$162,5,FALSE)))</f>
        <v>50</v>
      </c>
      <c r="AR18" s="591"/>
      <c r="AS18" s="613">
        <f t="shared" si="6"/>
        <v>50</v>
      </c>
      <c r="AT18" s="769" t="s">
        <v>66</v>
      </c>
      <c r="AU18" s="575">
        <v>1</v>
      </c>
      <c r="AV18" s="584">
        <f>+IF(AU18="","",(VLOOKUP($C18,'EQUIP RATE SCHEDULE'!$B$11:$F$162,5,FALSE)))</f>
        <v>50</v>
      </c>
      <c r="AW18" s="591"/>
      <c r="AX18" s="613">
        <f t="shared" si="7"/>
        <v>50</v>
      </c>
      <c r="AY18" s="769" t="s">
        <v>66</v>
      </c>
      <c r="AZ18" s="575">
        <v>1</v>
      </c>
      <c r="BA18" s="584">
        <f>+IF(AZ18="","",(VLOOKUP($C18,'EQUIP RATE SCHEDULE'!$B$11:$F$162,5,FALSE)))</f>
        <v>50</v>
      </c>
      <c r="BB18" s="591"/>
      <c r="BC18" s="613">
        <f t="shared" si="8"/>
        <v>50</v>
      </c>
      <c r="BD18" s="769" t="s">
        <v>66</v>
      </c>
      <c r="BE18" s="575">
        <v>1</v>
      </c>
      <c r="BF18" s="1156">
        <f>+IF(BE18="","",(VLOOKUP($C18,'EQUIP RATE SCHEDULE'!$B$11:$F$162,5,FALSE)))</f>
        <v>50</v>
      </c>
      <c r="BG18" s="591"/>
      <c r="BH18" s="613">
        <f t="shared" si="9"/>
        <v>50</v>
      </c>
      <c r="BI18" s="769" t="s">
        <v>66</v>
      </c>
      <c r="BJ18" s="575">
        <v>1</v>
      </c>
      <c r="BK18" s="584">
        <f>+IF(BJ18="","",(VLOOKUP($C18,'EQUIP RATE SCHEDULE'!$B$11:$F$162,5,FALSE)))</f>
        <v>50</v>
      </c>
      <c r="BL18" s="591"/>
      <c r="BM18" s="613">
        <f t="shared" si="10"/>
        <v>50</v>
      </c>
      <c r="BN18" s="769" t="s">
        <v>66</v>
      </c>
      <c r="BO18" s="575">
        <v>1</v>
      </c>
      <c r="BP18" s="584">
        <f>+IF(BO18="","",(VLOOKUP($C18,'EQUIP RATE SCHEDULE'!$B$11:$F$162,5,FALSE)))</f>
        <v>50</v>
      </c>
      <c r="BQ18" s="591"/>
      <c r="BR18" s="613">
        <f t="shared" si="11"/>
        <v>50</v>
      </c>
      <c r="BS18" s="769" t="s">
        <v>66</v>
      </c>
      <c r="BT18" s="575">
        <v>1</v>
      </c>
      <c r="BU18" s="584">
        <f>+IF(BT18="","",(VLOOKUP($C18,'EQUIP RATE SCHEDULE'!$B$11:$F$162,5,FALSE)))</f>
        <v>50</v>
      </c>
      <c r="BV18" s="591"/>
      <c r="BW18" s="613">
        <f t="shared" si="12"/>
        <v>50</v>
      </c>
      <c r="BX18" s="769" t="s">
        <v>66</v>
      </c>
      <c r="BY18" s="575">
        <v>1</v>
      </c>
      <c r="BZ18" s="584">
        <f>+IF(BY18="","",(VLOOKUP($C18,'EQUIP RATE SCHEDULE'!$B$11:$F$162,5,FALSE)))</f>
        <v>50</v>
      </c>
      <c r="CA18" s="591"/>
      <c r="CB18" s="613">
        <f t="shared" si="13"/>
        <v>50</v>
      </c>
      <c r="CC18" s="769" t="s">
        <v>66</v>
      </c>
      <c r="CD18" s="575">
        <v>1</v>
      </c>
      <c r="CE18" s="584">
        <f>+IF(CD18="","",(VLOOKUP($C18,'EQUIP RATE SCHEDULE'!$B$11:$F$162,5,FALSE)))</f>
        <v>50</v>
      </c>
      <c r="CF18" s="591"/>
      <c r="CG18" s="613">
        <f t="shared" si="14"/>
        <v>50</v>
      </c>
      <c r="CH18" s="769" t="s">
        <v>66</v>
      </c>
      <c r="CI18" s="575">
        <v>1</v>
      </c>
      <c r="CJ18" s="584">
        <f>+IF(CI18="","",(VLOOKUP($C18,'EQUIP RATE SCHEDULE'!$B$11:$F$162,5,FALSE)))</f>
        <v>50</v>
      </c>
      <c r="CK18" s="591"/>
      <c r="CL18" s="613">
        <f t="shared" si="15"/>
        <v>50</v>
      </c>
      <c r="CM18" s="769" t="s">
        <v>66</v>
      </c>
      <c r="CN18" s="575">
        <v>1</v>
      </c>
      <c r="CO18" s="584">
        <f>+IF(CN18="","",(VLOOKUP($C18,'EQUIP RATE SCHEDULE'!$B$11:$F$162,5,FALSE)))</f>
        <v>50</v>
      </c>
      <c r="CP18" s="591"/>
      <c r="CQ18" s="613">
        <f t="shared" si="16"/>
        <v>50</v>
      </c>
      <c r="CR18" s="769" t="s">
        <v>66</v>
      </c>
      <c r="CS18" s="575">
        <v>1</v>
      </c>
      <c r="CT18" s="584">
        <f>+IF(CS18="","",(VLOOKUP($C18,'EQUIP RATE SCHEDULE'!$B$11:$F$162,5,FALSE)))</f>
        <v>50</v>
      </c>
      <c r="CU18" s="591"/>
      <c r="CV18" s="613">
        <f t="shared" si="17"/>
        <v>50</v>
      </c>
      <c r="CW18" s="769" t="s">
        <v>66</v>
      </c>
      <c r="CX18" s="575">
        <v>1</v>
      </c>
      <c r="CY18" s="584">
        <f>+IF(CX18="","",(VLOOKUP($C18,'EQUIP RATE SCHEDULE'!$B$11:$F$162,5,FALSE)))</f>
        <v>50</v>
      </c>
      <c r="CZ18" s="591"/>
      <c r="DA18" s="613">
        <f t="shared" si="18"/>
        <v>50</v>
      </c>
    </row>
    <row r="19" spans="1:105" ht="15" x14ac:dyDescent="0.25">
      <c r="A19" s="1513"/>
      <c r="B19" s="809" t="s">
        <v>522</v>
      </c>
      <c r="C19" s="776" t="s">
        <v>927</v>
      </c>
      <c r="D19" s="1492"/>
      <c r="E19" s="1490"/>
      <c r="F19" s="769" t="s">
        <v>67</v>
      </c>
      <c r="G19" s="575">
        <v>1</v>
      </c>
      <c r="H19" s="584">
        <f>+IF(G19="","",(VLOOKUP($C19,'EQUIP RATE SCHEDULE'!$B$11:$F$162,5,FALSE)))</f>
        <v>120</v>
      </c>
      <c r="I19" s="591"/>
      <c r="J19" s="613">
        <f t="shared" si="19"/>
        <v>120</v>
      </c>
      <c r="K19" s="769" t="s">
        <v>67</v>
      </c>
      <c r="L19" s="575">
        <v>1</v>
      </c>
      <c r="M19" s="584">
        <f>+IF(L19="","",(VLOOKUP($C19,'EQUIP RATE SCHEDULE'!$B$11:$F$162,5,FALSE)))</f>
        <v>120</v>
      </c>
      <c r="N19" s="591"/>
      <c r="O19" s="613">
        <f t="shared" ref="O19:O82" si="20">+IF(N$7="","",IF(L19="","",(IF(N19="",M19*L19,N19*L19))))</f>
        <v>120</v>
      </c>
      <c r="P19" s="769" t="s">
        <v>67</v>
      </c>
      <c r="Q19" s="575">
        <v>1</v>
      </c>
      <c r="R19" s="584">
        <f>+IF(Q19="","",(VLOOKUP($C19,'EQUIP RATE SCHEDULE'!$B$11:$F$162,5,FALSE)))</f>
        <v>120</v>
      </c>
      <c r="S19" s="591"/>
      <c r="T19" s="613">
        <f t="shared" ref="T19:T82" si="21">+IF(S$7="","",IF(Q19="","",(IF(S19="",R19*Q19,S19*Q19))))</f>
        <v>120</v>
      </c>
      <c r="U19" s="769" t="s">
        <v>67</v>
      </c>
      <c r="V19" s="575">
        <v>1</v>
      </c>
      <c r="W19" s="584">
        <f>+IF(V19="","",(VLOOKUP($C19,'EQUIP RATE SCHEDULE'!$B$11:$F$162,5,FALSE)))</f>
        <v>120</v>
      </c>
      <c r="X19" s="591"/>
      <c r="Y19" s="613">
        <f t="shared" ref="Y19:Y82" si="22">+IF(X$7="","",IF(V19="","",(IF(X19="",W19*V19,X19*V19))))</f>
        <v>120</v>
      </c>
      <c r="Z19" s="769" t="s">
        <v>67</v>
      </c>
      <c r="AA19" s="575">
        <v>1</v>
      </c>
      <c r="AB19" s="584">
        <f>+IF(AA19="","",(VLOOKUP($C19,'EQUIP RATE SCHEDULE'!$B$11:$F$162,5,FALSE)))</f>
        <v>120</v>
      </c>
      <c r="AC19" s="591"/>
      <c r="AD19" s="613">
        <f t="shared" ref="AD19:AD82" si="23">+IF(AC$7="","",IF(AA19="","",(IF(AC19="",AB19*AA19,AC19*AA19))))</f>
        <v>120</v>
      </c>
      <c r="AE19" s="769" t="s">
        <v>67</v>
      </c>
      <c r="AF19" s="575">
        <v>1</v>
      </c>
      <c r="AG19" s="584">
        <f>+IF(AF19="","",(VLOOKUP($C19,'EQUIP RATE SCHEDULE'!$B$11:$F$162,5,FALSE)))</f>
        <v>120</v>
      </c>
      <c r="AH19" s="591"/>
      <c r="AI19" s="613">
        <f t="shared" ref="AI19:AI82" si="24">+IF(AH$7="","",IF(AF19="","",(IF(AH19="",AG19*AF19,AH19*AF19))))</f>
        <v>120</v>
      </c>
      <c r="AJ19" s="769" t="s">
        <v>67</v>
      </c>
      <c r="AK19" s="575">
        <v>1</v>
      </c>
      <c r="AL19" s="584">
        <f>+IF(AK19="","",(VLOOKUP($C19,'EQUIP RATE SCHEDULE'!$B$11:$F$162,5,FALSE)))</f>
        <v>120</v>
      </c>
      <c r="AM19" s="591"/>
      <c r="AN19" s="613">
        <f t="shared" ref="AN19:AN82" si="25">+IF(AM$7="","",IF(AK19="","",(IF(AM19="",AL19*AK19,AM19*AK19))))</f>
        <v>120</v>
      </c>
      <c r="AO19" s="769" t="s">
        <v>67</v>
      </c>
      <c r="AP19" s="575">
        <v>1</v>
      </c>
      <c r="AQ19" s="584">
        <f>+IF(AP19="","",(VLOOKUP($C19,'EQUIP RATE SCHEDULE'!$B$11:$F$162,5,FALSE)))</f>
        <v>120</v>
      </c>
      <c r="AR19" s="591"/>
      <c r="AS19" s="613">
        <f t="shared" ref="AS19:AS82" si="26">+IF(AR$7="","",IF(AP19="","",(IF(AR19="",AQ19*AP19,AR19*AP19))))</f>
        <v>120</v>
      </c>
      <c r="AT19" s="769" t="s">
        <v>67</v>
      </c>
      <c r="AU19" s="575">
        <v>1</v>
      </c>
      <c r="AV19" s="584">
        <f>+IF(AU19="","",(VLOOKUP($C19,'EQUIP RATE SCHEDULE'!$B$11:$F$162,5,FALSE)))</f>
        <v>120</v>
      </c>
      <c r="AW19" s="591"/>
      <c r="AX19" s="613">
        <f t="shared" ref="AX19:AX82" si="27">+IF(AW$7="","",IF(AU19="","",(IF(AW19="",AV19*AU19,AW19*AU19))))</f>
        <v>120</v>
      </c>
      <c r="AY19" s="769" t="s">
        <v>67</v>
      </c>
      <c r="AZ19" s="575">
        <v>1</v>
      </c>
      <c r="BA19" s="584">
        <f>+IF(AZ19="","",(VLOOKUP($C19,'EQUIP RATE SCHEDULE'!$B$11:$F$162,5,FALSE)))</f>
        <v>120</v>
      </c>
      <c r="BB19" s="591"/>
      <c r="BC19" s="613">
        <f t="shared" ref="BC19:BC82" si="28">+IF(BB$7="","",IF(AZ19="","",(IF(BB19="",BA19*AZ19,BB19*AZ19))))</f>
        <v>120</v>
      </c>
      <c r="BD19" s="769" t="s">
        <v>67</v>
      </c>
      <c r="BE19" s="575">
        <v>1</v>
      </c>
      <c r="BF19" s="584">
        <f>+IF(BE19="","",(VLOOKUP($C19,'EQUIP RATE SCHEDULE'!$B$11:$F$162,5,FALSE)))</f>
        <v>120</v>
      </c>
      <c r="BG19" s="591"/>
      <c r="BH19" s="613">
        <f t="shared" si="9"/>
        <v>120</v>
      </c>
      <c r="BI19" s="769" t="s">
        <v>67</v>
      </c>
      <c r="BJ19" s="575">
        <v>1</v>
      </c>
      <c r="BK19" s="584">
        <f>+IF(BJ19="","",(VLOOKUP($C19,'EQUIP RATE SCHEDULE'!$B$11:$F$162,5,FALSE)))</f>
        <v>120</v>
      </c>
      <c r="BL19" s="591"/>
      <c r="BM19" s="613">
        <f t="shared" si="10"/>
        <v>120</v>
      </c>
      <c r="BN19" s="769" t="s">
        <v>67</v>
      </c>
      <c r="BO19" s="575">
        <v>1</v>
      </c>
      <c r="BP19" s="584">
        <f>+IF(BO19="","",(VLOOKUP($C19,'EQUIP RATE SCHEDULE'!$B$11:$F$162,5,FALSE)))</f>
        <v>120</v>
      </c>
      <c r="BQ19" s="591"/>
      <c r="BR19" s="613">
        <f t="shared" si="11"/>
        <v>120</v>
      </c>
      <c r="BS19" s="769" t="s">
        <v>67</v>
      </c>
      <c r="BT19" s="575">
        <v>1</v>
      </c>
      <c r="BU19" s="584">
        <f>+IF(BT19="","",(VLOOKUP($C19,'EQUIP RATE SCHEDULE'!$B$11:$F$162,5,FALSE)))</f>
        <v>120</v>
      </c>
      <c r="BV19" s="591"/>
      <c r="BW19" s="613">
        <f t="shared" si="12"/>
        <v>120</v>
      </c>
      <c r="BX19" s="769" t="s">
        <v>67</v>
      </c>
      <c r="BY19" s="575">
        <v>1</v>
      </c>
      <c r="BZ19" s="584">
        <f>+IF(BY19="","",(VLOOKUP($C19,'EQUIP RATE SCHEDULE'!$B$11:$F$162,5,FALSE)))</f>
        <v>120</v>
      </c>
      <c r="CA19" s="591"/>
      <c r="CB19" s="613">
        <f t="shared" si="13"/>
        <v>120</v>
      </c>
      <c r="CC19" s="769" t="s">
        <v>67</v>
      </c>
      <c r="CD19" s="575">
        <v>1</v>
      </c>
      <c r="CE19" s="584">
        <f>+IF(CD19="","",(VLOOKUP($C19,'EQUIP RATE SCHEDULE'!$B$11:$F$162,5,FALSE)))</f>
        <v>120</v>
      </c>
      <c r="CF19" s="591"/>
      <c r="CG19" s="613">
        <f t="shared" si="14"/>
        <v>120</v>
      </c>
      <c r="CH19" s="769" t="s">
        <v>67</v>
      </c>
      <c r="CI19" s="575">
        <v>1</v>
      </c>
      <c r="CJ19" s="584">
        <f>+IF(CI19="","",(VLOOKUP($C19,'EQUIP RATE SCHEDULE'!$B$11:$F$162,5,FALSE)))</f>
        <v>120</v>
      </c>
      <c r="CK19" s="591"/>
      <c r="CL19" s="613">
        <f t="shared" si="15"/>
        <v>120</v>
      </c>
      <c r="CM19" s="769" t="s">
        <v>67</v>
      </c>
      <c r="CN19" s="575">
        <v>1</v>
      </c>
      <c r="CO19" s="584">
        <f>+IF(CN19="","",(VLOOKUP($C19,'EQUIP RATE SCHEDULE'!$B$11:$F$162,5,FALSE)))</f>
        <v>120</v>
      </c>
      <c r="CP19" s="591"/>
      <c r="CQ19" s="613">
        <f t="shared" si="16"/>
        <v>120</v>
      </c>
      <c r="CR19" s="769" t="s">
        <v>67</v>
      </c>
      <c r="CS19" s="575">
        <v>1</v>
      </c>
      <c r="CT19" s="584">
        <f>+IF(CS19="","",(VLOOKUP($C19,'EQUIP RATE SCHEDULE'!$B$11:$F$162,5,FALSE)))</f>
        <v>120</v>
      </c>
      <c r="CU19" s="591"/>
      <c r="CV19" s="613">
        <f t="shared" si="17"/>
        <v>120</v>
      </c>
      <c r="CW19" s="769" t="s">
        <v>67</v>
      </c>
      <c r="CX19" s="575">
        <v>1</v>
      </c>
      <c r="CY19" s="584">
        <f>+IF(CX19="","",(VLOOKUP($C19,'EQUIP RATE SCHEDULE'!$B$11:$F$162,5,FALSE)))</f>
        <v>120</v>
      </c>
      <c r="CZ19" s="591"/>
      <c r="DA19" s="613">
        <f t="shared" si="18"/>
        <v>120</v>
      </c>
    </row>
    <row r="20" spans="1:105" ht="30.4" customHeight="1" x14ac:dyDescent="0.25">
      <c r="A20" s="1513"/>
      <c r="B20" s="809" t="s">
        <v>522</v>
      </c>
      <c r="C20" s="776" t="s">
        <v>928</v>
      </c>
      <c r="D20" s="1491" t="s">
        <v>929</v>
      </c>
      <c r="E20" s="1488" t="s">
        <v>930</v>
      </c>
      <c r="F20" s="769" t="s">
        <v>66</v>
      </c>
      <c r="G20" s="575">
        <v>1</v>
      </c>
      <c r="H20" s="584">
        <f>+IF(G20="","",(VLOOKUP($C20,'EQUIP RATE SCHEDULE'!$B$11:$F$162,5,FALSE)))</f>
        <v>70</v>
      </c>
      <c r="I20" s="591"/>
      <c r="J20" s="613">
        <f t="shared" si="19"/>
        <v>70</v>
      </c>
      <c r="K20" s="769" t="s">
        <v>66</v>
      </c>
      <c r="L20" s="575">
        <v>1</v>
      </c>
      <c r="M20" s="584">
        <f>+IF(L20="","",(VLOOKUP($C20,'EQUIP RATE SCHEDULE'!$B$11:$F$162,5,FALSE)))</f>
        <v>70</v>
      </c>
      <c r="N20" s="591"/>
      <c r="O20" s="613">
        <f t="shared" si="20"/>
        <v>70</v>
      </c>
      <c r="P20" s="769" t="s">
        <v>66</v>
      </c>
      <c r="Q20" s="575">
        <v>1</v>
      </c>
      <c r="R20" s="584">
        <f>+IF(Q20="","",(VLOOKUP($C20,'EQUIP RATE SCHEDULE'!$B$11:$F$162,5,FALSE)))</f>
        <v>70</v>
      </c>
      <c r="S20" s="591"/>
      <c r="T20" s="613">
        <f t="shared" si="21"/>
        <v>70</v>
      </c>
      <c r="U20" s="769" t="s">
        <v>66</v>
      </c>
      <c r="V20" s="575">
        <v>1</v>
      </c>
      <c r="W20" s="584">
        <f>+IF(V20="","",(VLOOKUP($C20,'EQUIP RATE SCHEDULE'!$B$11:$F$162,5,FALSE)))</f>
        <v>70</v>
      </c>
      <c r="X20" s="591"/>
      <c r="Y20" s="613">
        <f t="shared" si="22"/>
        <v>70</v>
      </c>
      <c r="Z20" s="769" t="s">
        <v>66</v>
      </c>
      <c r="AA20" s="575">
        <v>1</v>
      </c>
      <c r="AB20" s="584">
        <f>+IF(AA20="","",(VLOOKUP($C20,'EQUIP RATE SCHEDULE'!$B$11:$F$162,5,FALSE)))</f>
        <v>70</v>
      </c>
      <c r="AC20" s="591"/>
      <c r="AD20" s="613">
        <f t="shared" si="23"/>
        <v>70</v>
      </c>
      <c r="AE20" s="769" t="s">
        <v>66</v>
      </c>
      <c r="AF20" s="575">
        <v>1</v>
      </c>
      <c r="AG20" s="584">
        <f>+IF(AF20="","",(VLOOKUP($C20,'EQUIP RATE SCHEDULE'!$B$11:$F$162,5,FALSE)))</f>
        <v>70</v>
      </c>
      <c r="AH20" s="591"/>
      <c r="AI20" s="613">
        <f t="shared" si="24"/>
        <v>70</v>
      </c>
      <c r="AJ20" s="769" t="s">
        <v>66</v>
      </c>
      <c r="AK20" s="575">
        <v>1</v>
      </c>
      <c r="AL20" s="584">
        <f>+IF(AK20="","",(VLOOKUP($C20,'EQUIP RATE SCHEDULE'!$B$11:$F$162,5,FALSE)))</f>
        <v>70</v>
      </c>
      <c r="AM20" s="591"/>
      <c r="AN20" s="613">
        <f t="shared" si="25"/>
        <v>70</v>
      </c>
      <c r="AO20" s="769" t="s">
        <v>66</v>
      </c>
      <c r="AP20" s="575">
        <v>1</v>
      </c>
      <c r="AQ20" s="584">
        <f>+IF(AP20="","",(VLOOKUP($C20,'EQUIP RATE SCHEDULE'!$B$11:$F$162,5,FALSE)))</f>
        <v>70</v>
      </c>
      <c r="AR20" s="591"/>
      <c r="AS20" s="613">
        <f t="shared" si="26"/>
        <v>70</v>
      </c>
      <c r="AT20" s="769" t="s">
        <v>66</v>
      </c>
      <c r="AU20" s="575">
        <v>1</v>
      </c>
      <c r="AV20" s="584">
        <f>+IF(AU20="","",(VLOOKUP($C20,'EQUIP RATE SCHEDULE'!$B$11:$F$162,5,FALSE)))</f>
        <v>70</v>
      </c>
      <c r="AW20" s="591"/>
      <c r="AX20" s="613">
        <f t="shared" si="27"/>
        <v>70</v>
      </c>
      <c r="AY20" s="769" t="s">
        <v>66</v>
      </c>
      <c r="AZ20" s="575">
        <v>1</v>
      </c>
      <c r="BA20" s="584">
        <f>+IF(AZ20="","",(VLOOKUP($C20,'EQUIP RATE SCHEDULE'!$B$11:$F$162,5,FALSE)))</f>
        <v>70</v>
      </c>
      <c r="BB20" s="591"/>
      <c r="BC20" s="613">
        <f t="shared" si="28"/>
        <v>70</v>
      </c>
      <c r="BD20" s="769" t="s">
        <v>66</v>
      </c>
      <c r="BE20" s="575">
        <v>1</v>
      </c>
      <c r="BF20" s="584">
        <f>+IF(BE20="","",(VLOOKUP($C20,'EQUIP RATE SCHEDULE'!$B$11:$F$162,5,FALSE)))</f>
        <v>70</v>
      </c>
      <c r="BG20" s="591"/>
      <c r="BH20" s="613">
        <f t="shared" si="9"/>
        <v>70</v>
      </c>
      <c r="BI20" s="769" t="s">
        <v>66</v>
      </c>
      <c r="BJ20" s="575">
        <v>1</v>
      </c>
      <c r="BK20" s="584">
        <f>+IF(BJ20="","",(VLOOKUP($C20,'EQUIP RATE SCHEDULE'!$B$11:$F$162,5,FALSE)))</f>
        <v>70</v>
      </c>
      <c r="BL20" s="591"/>
      <c r="BM20" s="613">
        <f t="shared" si="10"/>
        <v>70</v>
      </c>
      <c r="BN20" s="769" t="s">
        <v>66</v>
      </c>
      <c r="BO20" s="575">
        <v>1</v>
      </c>
      <c r="BP20" s="584">
        <f>+IF(BO20="","",(VLOOKUP($C20,'EQUIP RATE SCHEDULE'!$B$11:$F$162,5,FALSE)))</f>
        <v>70</v>
      </c>
      <c r="BQ20" s="591"/>
      <c r="BR20" s="613">
        <f t="shared" si="11"/>
        <v>70</v>
      </c>
      <c r="BS20" s="769" t="s">
        <v>66</v>
      </c>
      <c r="BT20" s="575">
        <v>1</v>
      </c>
      <c r="BU20" s="584">
        <f>+IF(BT20="","",(VLOOKUP($C20,'EQUIP RATE SCHEDULE'!$B$11:$F$162,5,FALSE)))</f>
        <v>70</v>
      </c>
      <c r="BV20" s="591"/>
      <c r="BW20" s="613">
        <f t="shared" si="12"/>
        <v>70</v>
      </c>
      <c r="BX20" s="769" t="s">
        <v>66</v>
      </c>
      <c r="BY20" s="575">
        <v>1</v>
      </c>
      <c r="BZ20" s="584">
        <f>+IF(BY20="","",(VLOOKUP($C20,'EQUIP RATE SCHEDULE'!$B$11:$F$162,5,FALSE)))</f>
        <v>70</v>
      </c>
      <c r="CA20" s="591"/>
      <c r="CB20" s="613">
        <f t="shared" si="13"/>
        <v>70</v>
      </c>
      <c r="CC20" s="769" t="s">
        <v>66</v>
      </c>
      <c r="CD20" s="575">
        <v>1</v>
      </c>
      <c r="CE20" s="584">
        <f>+IF(CD20="","",(VLOOKUP($C20,'EQUIP RATE SCHEDULE'!$B$11:$F$162,5,FALSE)))</f>
        <v>70</v>
      </c>
      <c r="CF20" s="591"/>
      <c r="CG20" s="613">
        <f t="shared" si="14"/>
        <v>70</v>
      </c>
      <c r="CH20" s="769" t="s">
        <v>66</v>
      </c>
      <c r="CI20" s="575">
        <v>1</v>
      </c>
      <c r="CJ20" s="584">
        <f>+IF(CI20="","",(VLOOKUP($C20,'EQUIP RATE SCHEDULE'!$B$11:$F$162,5,FALSE)))</f>
        <v>70</v>
      </c>
      <c r="CK20" s="591"/>
      <c r="CL20" s="613">
        <f t="shared" si="15"/>
        <v>70</v>
      </c>
      <c r="CM20" s="769" t="s">
        <v>66</v>
      </c>
      <c r="CN20" s="575">
        <v>1</v>
      </c>
      <c r="CO20" s="584">
        <f>+IF(CN20="","",(VLOOKUP($C20,'EQUIP RATE SCHEDULE'!$B$11:$F$162,5,FALSE)))</f>
        <v>70</v>
      </c>
      <c r="CP20" s="591"/>
      <c r="CQ20" s="613">
        <f t="shared" si="16"/>
        <v>70</v>
      </c>
      <c r="CR20" s="769" t="s">
        <v>66</v>
      </c>
      <c r="CS20" s="575">
        <v>1</v>
      </c>
      <c r="CT20" s="584">
        <f>+IF(CS20="","",(VLOOKUP($C20,'EQUIP RATE SCHEDULE'!$B$11:$F$162,5,FALSE)))</f>
        <v>70</v>
      </c>
      <c r="CU20" s="591"/>
      <c r="CV20" s="613">
        <f t="shared" si="17"/>
        <v>70</v>
      </c>
      <c r="CW20" s="769" t="s">
        <v>66</v>
      </c>
      <c r="CX20" s="575">
        <v>1</v>
      </c>
      <c r="CY20" s="584">
        <f>+IF(CX20="","",(VLOOKUP($C20,'EQUIP RATE SCHEDULE'!$B$11:$F$162,5,FALSE)))</f>
        <v>70</v>
      </c>
      <c r="CZ20" s="591"/>
      <c r="DA20" s="613">
        <f t="shared" si="18"/>
        <v>70</v>
      </c>
    </row>
    <row r="21" spans="1:105" ht="15" x14ac:dyDescent="0.25">
      <c r="A21" s="1513"/>
      <c r="B21" s="809" t="s">
        <v>522</v>
      </c>
      <c r="C21" s="776" t="s">
        <v>931</v>
      </c>
      <c r="D21" s="1492"/>
      <c r="E21" s="1490"/>
      <c r="F21" s="769" t="s">
        <v>67</v>
      </c>
      <c r="G21" s="575">
        <v>1</v>
      </c>
      <c r="H21" s="584">
        <f>+IF(G21="","",(VLOOKUP($C21,'EQUIP RATE SCHEDULE'!$B$11:$F$162,5,FALSE)))</f>
        <v>210</v>
      </c>
      <c r="I21" s="591"/>
      <c r="J21" s="613">
        <f t="shared" si="19"/>
        <v>210</v>
      </c>
      <c r="K21" s="769" t="s">
        <v>67</v>
      </c>
      <c r="L21" s="575">
        <v>1</v>
      </c>
      <c r="M21" s="584">
        <f>+IF(L21="","",(VLOOKUP($C21,'EQUIP RATE SCHEDULE'!$B$11:$F$162,5,FALSE)))</f>
        <v>210</v>
      </c>
      <c r="N21" s="591"/>
      <c r="O21" s="613">
        <f t="shared" si="20"/>
        <v>210</v>
      </c>
      <c r="P21" s="769" t="s">
        <v>67</v>
      </c>
      <c r="Q21" s="575">
        <v>1</v>
      </c>
      <c r="R21" s="584">
        <f>+IF(Q21="","",(VLOOKUP($C21,'EQUIP RATE SCHEDULE'!$B$11:$F$162,5,FALSE)))</f>
        <v>210</v>
      </c>
      <c r="S21" s="591"/>
      <c r="T21" s="613">
        <f t="shared" si="21"/>
        <v>210</v>
      </c>
      <c r="U21" s="769" t="s">
        <v>67</v>
      </c>
      <c r="V21" s="575">
        <v>1</v>
      </c>
      <c r="W21" s="584">
        <f>+IF(V21="","",(VLOOKUP($C21,'EQUIP RATE SCHEDULE'!$B$11:$F$162,5,FALSE)))</f>
        <v>210</v>
      </c>
      <c r="X21" s="591"/>
      <c r="Y21" s="613">
        <f t="shared" si="22"/>
        <v>210</v>
      </c>
      <c r="Z21" s="769" t="s">
        <v>67</v>
      </c>
      <c r="AA21" s="575">
        <v>1</v>
      </c>
      <c r="AB21" s="584">
        <f>+IF(AA21="","",(VLOOKUP($C21,'EQUIP RATE SCHEDULE'!$B$11:$F$162,5,FALSE)))</f>
        <v>210</v>
      </c>
      <c r="AC21" s="591"/>
      <c r="AD21" s="613">
        <f t="shared" si="23"/>
        <v>210</v>
      </c>
      <c r="AE21" s="769" t="s">
        <v>67</v>
      </c>
      <c r="AF21" s="575">
        <v>1</v>
      </c>
      <c r="AG21" s="584">
        <f>+IF(AF21="","",(VLOOKUP($C21,'EQUIP RATE SCHEDULE'!$B$11:$F$162,5,FALSE)))</f>
        <v>210</v>
      </c>
      <c r="AH21" s="591"/>
      <c r="AI21" s="613">
        <f t="shared" si="24"/>
        <v>210</v>
      </c>
      <c r="AJ21" s="769" t="s">
        <v>67</v>
      </c>
      <c r="AK21" s="575">
        <v>1</v>
      </c>
      <c r="AL21" s="584">
        <f>+IF(AK21="","",(VLOOKUP($C21,'EQUIP RATE SCHEDULE'!$B$11:$F$162,5,FALSE)))</f>
        <v>210</v>
      </c>
      <c r="AM21" s="591"/>
      <c r="AN21" s="613">
        <f t="shared" si="25"/>
        <v>210</v>
      </c>
      <c r="AO21" s="769" t="s">
        <v>67</v>
      </c>
      <c r="AP21" s="575">
        <v>1</v>
      </c>
      <c r="AQ21" s="584">
        <f>+IF(AP21="","",(VLOOKUP($C21,'EQUIP RATE SCHEDULE'!$B$11:$F$162,5,FALSE)))</f>
        <v>210</v>
      </c>
      <c r="AR21" s="591"/>
      <c r="AS21" s="613">
        <f t="shared" si="26"/>
        <v>210</v>
      </c>
      <c r="AT21" s="769" t="s">
        <v>67</v>
      </c>
      <c r="AU21" s="575">
        <v>1</v>
      </c>
      <c r="AV21" s="584">
        <f>+IF(AU21="","",(VLOOKUP($C21,'EQUIP RATE SCHEDULE'!$B$11:$F$162,5,FALSE)))</f>
        <v>210</v>
      </c>
      <c r="AW21" s="591"/>
      <c r="AX21" s="613">
        <f t="shared" si="27"/>
        <v>210</v>
      </c>
      <c r="AY21" s="769" t="s">
        <v>67</v>
      </c>
      <c r="AZ21" s="575">
        <v>1</v>
      </c>
      <c r="BA21" s="584">
        <f>+IF(AZ21="","",(VLOOKUP($C21,'EQUIP RATE SCHEDULE'!$B$11:$F$162,5,FALSE)))</f>
        <v>210</v>
      </c>
      <c r="BB21" s="591"/>
      <c r="BC21" s="613">
        <f t="shared" si="28"/>
        <v>210</v>
      </c>
      <c r="BD21" s="769" t="s">
        <v>67</v>
      </c>
      <c r="BE21" s="575">
        <v>1</v>
      </c>
      <c r="BF21" s="584">
        <f>+IF(BE21="","",(VLOOKUP($C21,'EQUIP RATE SCHEDULE'!$B$11:$F$162,5,FALSE)))</f>
        <v>210</v>
      </c>
      <c r="BG21" s="591"/>
      <c r="BH21" s="613">
        <f t="shared" si="9"/>
        <v>210</v>
      </c>
      <c r="BI21" s="769" t="s">
        <v>67</v>
      </c>
      <c r="BJ21" s="575">
        <v>1</v>
      </c>
      <c r="BK21" s="584">
        <f>+IF(BJ21="","",(VLOOKUP($C21,'EQUIP RATE SCHEDULE'!$B$11:$F$162,5,FALSE)))</f>
        <v>210</v>
      </c>
      <c r="BL21" s="591"/>
      <c r="BM21" s="613">
        <f t="shared" si="10"/>
        <v>210</v>
      </c>
      <c r="BN21" s="769" t="s">
        <v>67</v>
      </c>
      <c r="BO21" s="575">
        <v>1</v>
      </c>
      <c r="BP21" s="584">
        <f>+IF(BO21="","",(VLOOKUP($C21,'EQUIP RATE SCHEDULE'!$B$11:$F$162,5,FALSE)))</f>
        <v>210</v>
      </c>
      <c r="BQ21" s="591"/>
      <c r="BR21" s="613">
        <f t="shared" si="11"/>
        <v>210</v>
      </c>
      <c r="BS21" s="769" t="s">
        <v>67</v>
      </c>
      <c r="BT21" s="575">
        <v>1</v>
      </c>
      <c r="BU21" s="584">
        <f>+IF(BT21="","",(VLOOKUP($C21,'EQUIP RATE SCHEDULE'!$B$11:$F$162,5,FALSE)))</f>
        <v>210</v>
      </c>
      <c r="BV21" s="591"/>
      <c r="BW21" s="613">
        <f t="shared" si="12"/>
        <v>210</v>
      </c>
      <c r="BX21" s="769" t="s">
        <v>67</v>
      </c>
      <c r="BY21" s="575">
        <v>1</v>
      </c>
      <c r="BZ21" s="584">
        <f>+IF(BY21="","",(VLOOKUP($C21,'EQUIP RATE SCHEDULE'!$B$11:$F$162,5,FALSE)))</f>
        <v>210</v>
      </c>
      <c r="CA21" s="591"/>
      <c r="CB21" s="613">
        <f t="shared" si="13"/>
        <v>210</v>
      </c>
      <c r="CC21" s="769" t="s">
        <v>67</v>
      </c>
      <c r="CD21" s="575">
        <v>1</v>
      </c>
      <c r="CE21" s="584">
        <f>+IF(CD21="","",(VLOOKUP($C21,'EQUIP RATE SCHEDULE'!$B$11:$F$162,5,FALSE)))</f>
        <v>210</v>
      </c>
      <c r="CF21" s="591"/>
      <c r="CG21" s="613">
        <f t="shared" si="14"/>
        <v>210</v>
      </c>
      <c r="CH21" s="769" t="s">
        <v>67</v>
      </c>
      <c r="CI21" s="575">
        <v>1</v>
      </c>
      <c r="CJ21" s="584">
        <f>+IF(CI21="","",(VLOOKUP($C21,'EQUIP RATE SCHEDULE'!$B$11:$F$162,5,FALSE)))</f>
        <v>210</v>
      </c>
      <c r="CK21" s="591"/>
      <c r="CL21" s="613">
        <f t="shared" si="15"/>
        <v>210</v>
      </c>
      <c r="CM21" s="769" t="s">
        <v>67</v>
      </c>
      <c r="CN21" s="575">
        <v>1</v>
      </c>
      <c r="CO21" s="584">
        <f>+IF(CN21="","",(VLOOKUP($C21,'EQUIP RATE SCHEDULE'!$B$11:$F$162,5,FALSE)))</f>
        <v>210</v>
      </c>
      <c r="CP21" s="591"/>
      <c r="CQ21" s="613">
        <f t="shared" si="16"/>
        <v>210</v>
      </c>
      <c r="CR21" s="769" t="s">
        <v>67</v>
      </c>
      <c r="CS21" s="575">
        <v>1</v>
      </c>
      <c r="CT21" s="584">
        <f>+IF(CS21="","",(VLOOKUP($C21,'EQUIP RATE SCHEDULE'!$B$11:$F$162,5,FALSE)))</f>
        <v>210</v>
      </c>
      <c r="CU21" s="591"/>
      <c r="CV21" s="613">
        <f t="shared" si="17"/>
        <v>210</v>
      </c>
      <c r="CW21" s="769" t="s">
        <v>67</v>
      </c>
      <c r="CX21" s="575">
        <v>1</v>
      </c>
      <c r="CY21" s="584">
        <f>+IF(CX21="","",(VLOOKUP($C21,'EQUIP RATE SCHEDULE'!$B$11:$F$162,5,FALSE)))</f>
        <v>210</v>
      </c>
      <c r="CZ21" s="591"/>
      <c r="DA21" s="613">
        <f t="shared" si="18"/>
        <v>210</v>
      </c>
    </row>
    <row r="22" spans="1:105" ht="15" x14ac:dyDescent="0.25">
      <c r="A22" s="1513"/>
      <c r="B22" s="809" t="s">
        <v>522</v>
      </c>
      <c r="C22" s="776" t="s">
        <v>932</v>
      </c>
      <c r="D22" s="1491" t="s">
        <v>933</v>
      </c>
      <c r="E22" s="1488" t="s">
        <v>934</v>
      </c>
      <c r="F22" s="769" t="s">
        <v>66</v>
      </c>
      <c r="G22" s="575">
        <v>1</v>
      </c>
      <c r="H22" s="584">
        <f>+IF(G22="","",(VLOOKUP($C22,'EQUIP RATE SCHEDULE'!$B$11:$F$162,5,FALSE)))</f>
        <v>35</v>
      </c>
      <c r="I22" s="591"/>
      <c r="J22" s="613">
        <f t="shared" si="19"/>
        <v>35</v>
      </c>
      <c r="K22" s="769" t="s">
        <v>66</v>
      </c>
      <c r="L22" s="575">
        <v>1</v>
      </c>
      <c r="M22" s="584">
        <f>+IF(L22="","",(VLOOKUP($C22,'EQUIP RATE SCHEDULE'!$B$11:$F$162,5,FALSE)))</f>
        <v>35</v>
      </c>
      <c r="N22" s="591"/>
      <c r="O22" s="613">
        <f t="shared" si="20"/>
        <v>35</v>
      </c>
      <c r="P22" s="769" t="s">
        <v>66</v>
      </c>
      <c r="Q22" s="575">
        <v>1</v>
      </c>
      <c r="R22" s="584">
        <f>+IF(Q22="","",(VLOOKUP($C22,'EQUIP RATE SCHEDULE'!$B$11:$F$162,5,FALSE)))</f>
        <v>35</v>
      </c>
      <c r="S22" s="591"/>
      <c r="T22" s="613">
        <f t="shared" si="21"/>
        <v>35</v>
      </c>
      <c r="U22" s="769" t="s">
        <v>66</v>
      </c>
      <c r="V22" s="575">
        <v>1</v>
      </c>
      <c r="W22" s="584">
        <f>+IF(V22="","",(VLOOKUP($C22,'EQUIP RATE SCHEDULE'!$B$11:$F$162,5,FALSE)))</f>
        <v>35</v>
      </c>
      <c r="X22" s="591"/>
      <c r="Y22" s="613">
        <f t="shared" si="22"/>
        <v>35</v>
      </c>
      <c r="Z22" s="769" t="s">
        <v>66</v>
      </c>
      <c r="AA22" s="575">
        <v>1</v>
      </c>
      <c r="AB22" s="584">
        <f>+IF(AA22="","",(VLOOKUP($C22,'EQUIP RATE SCHEDULE'!$B$11:$F$162,5,FALSE)))</f>
        <v>35</v>
      </c>
      <c r="AC22" s="591"/>
      <c r="AD22" s="613">
        <f t="shared" si="23"/>
        <v>35</v>
      </c>
      <c r="AE22" s="769" t="s">
        <v>66</v>
      </c>
      <c r="AF22" s="575">
        <v>1</v>
      </c>
      <c r="AG22" s="584">
        <f>+IF(AF22="","",(VLOOKUP($C22,'EQUIP RATE SCHEDULE'!$B$11:$F$162,5,FALSE)))</f>
        <v>35</v>
      </c>
      <c r="AH22" s="591"/>
      <c r="AI22" s="613">
        <f t="shared" si="24"/>
        <v>35</v>
      </c>
      <c r="AJ22" s="769" t="s">
        <v>66</v>
      </c>
      <c r="AK22" s="575">
        <v>1</v>
      </c>
      <c r="AL22" s="584">
        <f>+IF(AK22="","",(VLOOKUP($C22,'EQUIP RATE SCHEDULE'!$B$11:$F$162,5,FALSE)))</f>
        <v>35</v>
      </c>
      <c r="AM22" s="591"/>
      <c r="AN22" s="613">
        <f t="shared" si="25"/>
        <v>35</v>
      </c>
      <c r="AO22" s="769" t="s">
        <v>66</v>
      </c>
      <c r="AP22" s="575">
        <v>1</v>
      </c>
      <c r="AQ22" s="584">
        <f>+IF(AP22="","",(VLOOKUP($C22,'EQUIP RATE SCHEDULE'!$B$11:$F$162,5,FALSE)))</f>
        <v>35</v>
      </c>
      <c r="AR22" s="591"/>
      <c r="AS22" s="613">
        <f t="shared" si="26"/>
        <v>35</v>
      </c>
      <c r="AT22" s="769" t="s">
        <v>66</v>
      </c>
      <c r="AU22" s="575">
        <v>1</v>
      </c>
      <c r="AV22" s="584">
        <f>+IF(AU22="","",(VLOOKUP($C22,'EQUIP RATE SCHEDULE'!$B$11:$F$162,5,FALSE)))</f>
        <v>35</v>
      </c>
      <c r="AW22" s="591"/>
      <c r="AX22" s="613">
        <f t="shared" si="27"/>
        <v>35</v>
      </c>
      <c r="AY22" s="769" t="s">
        <v>66</v>
      </c>
      <c r="AZ22" s="575">
        <v>1</v>
      </c>
      <c r="BA22" s="584">
        <f>+IF(AZ22="","",(VLOOKUP($C22,'EQUIP RATE SCHEDULE'!$B$11:$F$162,5,FALSE)))</f>
        <v>35</v>
      </c>
      <c r="BB22" s="591"/>
      <c r="BC22" s="613">
        <f t="shared" si="28"/>
        <v>35</v>
      </c>
      <c r="BD22" s="769" t="s">
        <v>66</v>
      </c>
      <c r="BE22" s="575">
        <v>1</v>
      </c>
      <c r="BF22" s="584">
        <f>+IF(BE22="","",(VLOOKUP($C22,'EQUIP RATE SCHEDULE'!$B$11:$F$162,5,FALSE)))</f>
        <v>35</v>
      </c>
      <c r="BG22" s="591"/>
      <c r="BH22" s="613">
        <f t="shared" si="9"/>
        <v>35</v>
      </c>
      <c r="BI22" s="769" t="s">
        <v>66</v>
      </c>
      <c r="BJ22" s="575">
        <v>1</v>
      </c>
      <c r="BK22" s="584">
        <f>+IF(BJ22="","",(VLOOKUP($C22,'EQUIP RATE SCHEDULE'!$B$11:$F$162,5,FALSE)))</f>
        <v>35</v>
      </c>
      <c r="BL22" s="591"/>
      <c r="BM22" s="613">
        <f t="shared" si="10"/>
        <v>35</v>
      </c>
      <c r="BN22" s="769" t="s">
        <v>66</v>
      </c>
      <c r="BO22" s="575">
        <v>1</v>
      </c>
      <c r="BP22" s="584">
        <f>+IF(BO22="","",(VLOOKUP($C22,'EQUIP RATE SCHEDULE'!$B$11:$F$162,5,FALSE)))</f>
        <v>35</v>
      </c>
      <c r="BQ22" s="591"/>
      <c r="BR22" s="613">
        <f t="shared" si="11"/>
        <v>35</v>
      </c>
      <c r="BS22" s="769" t="s">
        <v>66</v>
      </c>
      <c r="BT22" s="575">
        <v>1</v>
      </c>
      <c r="BU22" s="584">
        <f>+IF(BT22="","",(VLOOKUP($C22,'EQUIP RATE SCHEDULE'!$B$11:$F$162,5,FALSE)))</f>
        <v>35</v>
      </c>
      <c r="BV22" s="591"/>
      <c r="BW22" s="613">
        <f t="shared" si="12"/>
        <v>35</v>
      </c>
      <c r="BX22" s="769" t="s">
        <v>66</v>
      </c>
      <c r="BY22" s="575">
        <v>1</v>
      </c>
      <c r="BZ22" s="584">
        <f>+IF(BY22="","",(VLOOKUP($C22,'EQUIP RATE SCHEDULE'!$B$11:$F$162,5,FALSE)))</f>
        <v>35</v>
      </c>
      <c r="CA22" s="591"/>
      <c r="CB22" s="613">
        <f t="shared" si="13"/>
        <v>35</v>
      </c>
      <c r="CC22" s="769" t="s">
        <v>66</v>
      </c>
      <c r="CD22" s="575">
        <v>1</v>
      </c>
      <c r="CE22" s="584">
        <f>+IF(CD22="","",(VLOOKUP($C22,'EQUIP RATE SCHEDULE'!$B$11:$F$162,5,FALSE)))</f>
        <v>35</v>
      </c>
      <c r="CF22" s="591"/>
      <c r="CG22" s="613">
        <f t="shared" si="14"/>
        <v>35</v>
      </c>
      <c r="CH22" s="769" t="s">
        <v>66</v>
      </c>
      <c r="CI22" s="575">
        <v>1</v>
      </c>
      <c r="CJ22" s="584">
        <f>+IF(CI22="","",(VLOOKUP($C22,'EQUIP RATE SCHEDULE'!$B$11:$F$162,5,FALSE)))</f>
        <v>35</v>
      </c>
      <c r="CK22" s="591"/>
      <c r="CL22" s="613">
        <f t="shared" si="15"/>
        <v>35</v>
      </c>
      <c r="CM22" s="769" t="s">
        <v>66</v>
      </c>
      <c r="CN22" s="575">
        <v>1</v>
      </c>
      <c r="CO22" s="584">
        <f>+IF(CN22="","",(VLOOKUP($C22,'EQUIP RATE SCHEDULE'!$B$11:$F$162,5,FALSE)))</f>
        <v>35</v>
      </c>
      <c r="CP22" s="591"/>
      <c r="CQ22" s="613">
        <f t="shared" si="16"/>
        <v>35</v>
      </c>
      <c r="CR22" s="769" t="s">
        <v>66</v>
      </c>
      <c r="CS22" s="575">
        <v>1</v>
      </c>
      <c r="CT22" s="584">
        <f>+IF(CS22="","",(VLOOKUP($C22,'EQUIP RATE SCHEDULE'!$B$11:$F$162,5,FALSE)))</f>
        <v>35</v>
      </c>
      <c r="CU22" s="591"/>
      <c r="CV22" s="613">
        <f t="shared" si="17"/>
        <v>35</v>
      </c>
      <c r="CW22" s="769" t="s">
        <v>66</v>
      </c>
      <c r="CX22" s="575">
        <v>1</v>
      </c>
      <c r="CY22" s="584">
        <f>+IF(CX22="","",(VLOOKUP($C22,'EQUIP RATE SCHEDULE'!$B$11:$F$162,5,FALSE)))</f>
        <v>35</v>
      </c>
      <c r="CZ22" s="591"/>
      <c r="DA22" s="613">
        <f t="shared" si="18"/>
        <v>35</v>
      </c>
    </row>
    <row r="23" spans="1:105" ht="15" x14ac:dyDescent="0.25">
      <c r="A23" s="1513"/>
      <c r="B23" s="809" t="s">
        <v>522</v>
      </c>
      <c r="C23" s="776" t="s">
        <v>935</v>
      </c>
      <c r="D23" s="1492"/>
      <c r="E23" s="1490"/>
      <c r="F23" s="769" t="s">
        <v>67</v>
      </c>
      <c r="G23" s="575">
        <v>1</v>
      </c>
      <c r="H23" s="584">
        <f>+IF(G23="","",(VLOOKUP($C23,'EQUIP RATE SCHEDULE'!$B$11:$F$162,5,FALSE)))</f>
        <v>105</v>
      </c>
      <c r="I23" s="591"/>
      <c r="J23" s="613">
        <f t="shared" si="19"/>
        <v>105</v>
      </c>
      <c r="K23" s="769" t="s">
        <v>67</v>
      </c>
      <c r="L23" s="575">
        <v>1</v>
      </c>
      <c r="M23" s="584">
        <f>+IF(L23="","",(VLOOKUP($C23,'EQUIP RATE SCHEDULE'!$B$11:$F$162,5,FALSE)))</f>
        <v>105</v>
      </c>
      <c r="N23" s="591"/>
      <c r="O23" s="613">
        <f t="shared" si="20"/>
        <v>105</v>
      </c>
      <c r="P23" s="769" t="s">
        <v>67</v>
      </c>
      <c r="Q23" s="575">
        <v>1</v>
      </c>
      <c r="R23" s="584">
        <f>+IF(Q23="","",(VLOOKUP($C23,'EQUIP RATE SCHEDULE'!$B$11:$F$162,5,FALSE)))</f>
        <v>105</v>
      </c>
      <c r="S23" s="591"/>
      <c r="T23" s="613">
        <f t="shared" si="21"/>
        <v>105</v>
      </c>
      <c r="U23" s="769" t="s">
        <v>67</v>
      </c>
      <c r="V23" s="575">
        <v>1</v>
      </c>
      <c r="W23" s="584">
        <f>+IF(V23="","",(VLOOKUP($C23,'EQUIP RATE SCHEDULE'!$B$11:$F$162,5,FALSE)))</f>
        <v>105</v>
      </c>
      <c r="X23" s="591"/>
      <c r="Y23" s="613">
        <f t="shared" si="22"/>
        <v>105</v>
      </c>
      <c r="Z23" s="769" t="s">
        <v>67</v>
      </c>
      <c r="AA23" s="575">
        <v>1</v>
      </c>
      <c r="AB23" s="584">
        <f>+IF(AA23="","",(VLOOKUP($C23,'EQUIP RATE SCHEDULE'!$B$11:$F$162,5,FALSE)))</f>
        <v>105</v>
      </c>
      <c r="AC23" s="591"/>
      <c r="AD23" s="613">
        <f t="shared" si="23"/>
        <v>105</v>
      </c>
      <c r="AE23" s="769" t="s">
        <v>67</v>
      </c>
      <c r="AF23" s="575">
        <v>1</v>
      </c>
      <c r="AG23" s="584">
        <f>+IF(AF23="","",(VLOOKUP($C23,'EQUIP RATE SCHEDULE'!$B$11:$F$162,5,FALSE)))</f>
        <v>105</v>
      </c>
      <c r="AH23" s="591"/>
      <c r="AI23" s="613">
        <f t="shared" si="24"/>
        <v>105</v>
      </c>
      <c r="AJ23" s="769" t="s">
        <v>67</v>
      </c>
      <c r="AK23" s="575">
        <v>1</v>
      </c>
      <c r="AL23" s="584">
        <f>+IF(AK23="","",(VLOOKUP($C23,'EQUIP RATE SCHEDULE'!$B$11:$F$162,5,FALSE)))</f>
        <v>105</v>
      </c>
      <c r="AM23" s="591"/>
      <c r="AN23" s="613">
        <f t="shared" si="25"/>
        <v>105</v>
      </c>
      <c r="AO23" s="769" t="s">
        <v>67</v>
      </c>
      <c r="AP23" s="575">
        <v>1</v>
      </c>
      <c r="AQ23" s="584">
        <f>+IF(AP23="","",(VLOOKUP($C23,'EQUIP RATE SCHEDULE'!$B$11:$F$162,5,FALSE)))</f>
        <v>105</v>
      </c>
      <c r="AR23" s="591"/>
      <c r="AS23" s="613">
        <f t="shared" si="26"/>
        <v>105</v>
      </c>
      <c r="AT23" s="769" t="s">
        <v>67</v>
      </c>
      <c r="AU23" s="575">
        <v>1</v>
      </c>
      <c r="AV23" s="584">
        <f>+IF(AU23="","",(VLOOKUP($C23,'EQUIP RATE SCHEDULE'!$B$11:$F$162,5,FALSE)))</f>
        <v>105</v>
      </c>
      <c r="AW23" s="591"/>
      <c r="AX23" s="613">
        <f t="shared" si="27"/>
        <v>105</v>
      </c>
      <c r="AY23" s="769" t="s">
        <v>67</v>
      </c>
      <c r="AZ23" s="575">
        <v>1</v>
      </c>
      <c r="BA23" s="584">
        <f>+IF(AZ23="","",(VLOOKUP($C23,'EQUIP RATE SCHEDULE'!$B$11:$F$162,5,FALSE)))</f>
        <v>105</v>
      </c>
      <c r="BB23" s="591"/>
      <c r="BC23" s="613">
        <f t="shared" si="28"/>
        <v>105</v>
      </c>
      <c r="BD23" s="769" t="s">
        <v>67</v>
      </c>
      <c r="BE23" s="575">
        <v>1</v>
      </c>
      <c r="BF23" s="584">
        <f>+IF(BE23="","",(VLOOKUP($C23,'EQUIP RATE SCHEDULE'!$B$11:$F$162,5,FALSE)))</f>
        <v>105</v>
      </c>
      <c r="BG23" s="591"/>
      <c r="BH23" s="613">
        <f t="shared" si="9"/>
        <v>105</v>
      </c>
      <c r="BI23" s="769" t="s">
        <v>67</v>
      </c>
      <c r="BJ23" s="575">
        <v>1</v>
      </c>
      <c r="BK23" s="584">
        <f>+IF(BJ23="","",(VLOOKUP($C23,'EQUIP RATE SCHEDULE'!$B$11:$F$162,5,FALSE)))</f>
        <v>105</v>
      </c>
      <c r="BL23" s="591"/>
      <c r="BM23" s="613">
        <f t="shared" si="10"/>
        <v>105</v>
      </c>
      <c r="BN23" s="769" t="s">
        <v>67</v>
      </c>
      <c r="BO23" s="575">
        <v>1</v>
      </c>
      <c r="BP23" s="584">
        <f>+IF(BO23="","",(VLOOKUP($C23,'EQUIP RATE SCHEDULE'!$B$11:$F$162,5,FALSE)))</f>
        <v>105</v>
      </c>
      <c r="BQ23" s="591"/>
      <c r="BR23" s="613">
        <f t="shared" si="11"/>
        <v>105</v>
      </c>
      <c r="BS23" s="769" t="s">
        <v>67</v>
      </c>
      <c r="BT23" s="575">
        <v>1</v>
      </c>
      <c r="BU23" s="584">
        <f>+IF(BT23="","",(VLOOKUP($C23,'EQUIP RATE SCHEDULE'!$B$11:$F$162,5,FALSE)))</f>
        <v>105</v>
      </c>
      <c r="BV23" s="591"/>
      <c r="BW23" s="613">
        <f t="shared" si="12"/>
        <v>105</v>
      </c>
      <c r="BX23" s="769" t="s">
        <v>67</v>
      </c>
      <c r="BY23" s="575">
        <v>1</v>
      </c>
      <c r="BZ23" s="584">
        <f>+IF(BY23="","",(VLOOKUP($C23,'EQUIP RATE SCHEDULE'!$B$11:$F$162,5,FALSE)))</f>
        <v>105</v>
      </c>
      <c r="CA23" s="591"/>
      <c r="CB23" s="613">
        <f t="shared" si="13"/>
        <v>105</v>
      </c>
      <c r="CC23" s="769" t="s">
        <v>67</v>
      </c>
      <c r="CD23" s="575">
        <v>1</v>
      </c>
      <c r="CE23" s="584">
        <f>+IF(CD23="","",(VLOOKUP($C23,'EQUIP RATE SCHEDULE'!$B$11:$F$162,5,FALSE)))</f>
        <v>105</v>
      </c>
      <c r="CF23" s="591"/>
      <c r="CG23" s="613">
        <f t="shared" si="14"/>
        <v>105</v>
      </c>
      <c r="CH23" s="769" t="s">
        <v>67</v>
      </c>
      <c r="CI23" s="575">
        <v>1</v>
      </c>
      <c r="CJ23" s="584">
        <f>+IF(CI23="","",(VLOOKUP($C23,'EQUIP RATE SCHEDULE'!$B$11:$F$162,5,FALSE)))</f>
        <v>105</v>
      </c>
      <c r="CK23" s="591"/>
      <c r="CL23" s="613">
        <f t="shared" si="15"/>
        <v>105</v>
      </c>
      <c r="CM23" s="769" t="s">
        <v>67</v>
      </c>
      <c r="CN23" s="575">
        <v>1</v>
      </c>
      <c r="CO23" s="584">
        <f>+IF(CN23="","",(VLOOKUP($C23,'EQUIP RATE SCHEDULE'!$B$11:$F$162,5,FALSE)))</f>
        <v>105</v>
      </c>
      <c r="CP23" s="591"/>
      <c r="CQ23" s="613">
        <f t="shared" si="16"/>
        <v>105</v>
      </c>
      <c r="CR23" s="769" t="s">
        <v>67</v>
      </c>
      <c r="CS23" s="575">
        <v>1</v>
      </c>
      <c r="CT23" s="584">
        <f>+IF(CS23="","",(VLOOKUP($C23,'EQUIP RATE SCHEDULE'!$B$11:$F$162,5,FALSE)))</f>
        <v>105</v>
      </c>
      <c r="CU23" s="591"/>
      <c r="CV23" s="613">
        <f t="shared" si="17"/>
        <v>105</v>
      </c>
      <c r="CW23" s="769" t="s">
        <v>67</v>
      </c>
      <c r="CX23" s="575">
        <v>1</v>
      </c>
      <c r="CY23" s="584">
        <f>+IF(CX23="","",(VLOOKUP($C23,'EQUIP RATE SCHEDULE'!$B$11:$F$162,5,FALSE)))</f>
        <v>105</v>
      </c>
      <c r="CZ23" s="591"/>
      <c r="DA23" s="613">
        <f t="shared" si="18"/>
        <v>105</v>
      </c>
    </row>
    <row r="24" spans="1:105" ht="15" x14ac:dyDescent="0.25">
      <c r="A24" s="1513"/>
      <c r="B24" s="809" t="s">
        <v>522</v>
      </c>
      <c r="C24" s="776" t="s">
        <v>936</v>
      </c>
      <c r="D24" s="1491" t="s">
        <v>59</v>
      </c>
      <c r="E24" s="1488" t="s">
        <v>1219</v>
      </c>
      <c r="F24" s="769" t="s">
        <v>66</v>
      </c>
      <c r="G24" s="575">
        <v>1</v>
      </c>
      <c r="H24" s="584">
        <f>+IF(G24="","",(VLOOKUP($C24,'EQUIP RATE SCHEDULE'!$B$11:$F$162,5,FALSE)))</f>
        <v>35</v>
      </c>
      <c r="I24" s="591"/>
      <c r="J24" s="613">
        <f t="shared" si="19"/>
        <v>35</v>
      </c>
      <c r="K24" s="769" t="s">
        <v>66</v>
      </c>
      <c r="L24" s="575">
        <v>1</v>
      </c>
      <c r="M24" s="584">
        <f>+IF(L24="","",(VLOOKUP($C24,'EQUIP RATE SCHEDULE'!$B$11:$F$162,5,FALSE)))</f>
        <v>35</v>
      </c>
      <c r="N24" s="591"/>
      <c r="O24" s="613">
        <f t="shared" si="20"/>
        <v>35</v>
      </c>
      <c r="P24" s="769" t="s">
        <v>66</v>
      </c>
      <c r="Q24" s="575">
        <v>1</v>
      </c>
      <c r="R24" s="584">
        <f>+IF(Q24="","",(VLOOKUP($C24,'EQUIP RATE SCHEDULE'!$B$11:$F$162,5,FALSE)))</f>
        <v>35</v>
      </c>
      <c r="S24" s="591"/>
      <c r="T24" s="613">
        <f t="shared" si="21"/>
        <v>35</v>
      </c>
      <c r="U24" s="769" t="s">
        <v>66</v>
      </c>
      <c r="V24" s="575">
        <v>1</v>
      </c>
      <c r="W24" s="584">
        <f>+IF(V24="","",(VLOOKUP($C24,'EQUIP RATE SCHEDULE'!$B$11:$F$162,5,FALSE)))</f>
        <v>35</v>
      </c>
      <c r="X24" s="591"/>
      <c r="Y24" s="613">
        <f t="shared" si="22"/>
        <v>35</v>
      </c>
      <c r="Z24" s="769" t="s">
        <v>66</v>
      </c>
      <c r="AA24" s="575">
        <v>1</v>
      </c>
      <c r="AB24" s="584">
        <f>+IF(AA24="","",(VLOOKUP($C24,'EQUIP RATE SCHEDULE'!$B$11:$F$162,5,FALSE)))</f>
        <v>35</v>
      </c>
      <c r="AC24" s="591"/>
      <c r="AD24" s="613">
        <f t="shared" si="23"/>
        <v>35</v>
      </c>
      <c r="AE24" s="769" t="s">
        <v>66</v>
      </c>
      <c r="AF24" s="575">
        <v>1</v>
      </c>
      <c r="AG24" s="584">
        <f>+IF(AF24="","",(VLOOKUP($C24,'EQUIP RATE SCHEDULE'!$B$11:$F$162,5,FALSE)))</f>
        <v>35</v>
      </c>
      <c r="AH24" s="591"/>
      <c r="AI24" s="613">
        <f t="shared" si="24"/>
        <v>35</v>
      </c>
      <c r="AJ24" s="769" t="s">
        <v>66</v>
      </c>
      <c r="AK24" s="575">
        <v>1</v>
      </c>
      <c r="AL24" s="584">
        <f>+IF(AK24="","",(VLOOKUP($C24,'EQUIP RATE SCHEDULE'!$B$11:$F$162,5,FALSE)))</f>
        <v>35</v>
      </c>
      <c r="AM24" s="591"/>
      <c r="AN24" s="613">
        <f t="shared" si="25"/>
        <v>35</v>
      </c>
      <c r="AO24" s="769" t="s">
        <v>66</v>
      </c>
      <c r="AP24" s="575">
        <v>1</v>
      </c>
      <c r="AQ24" s="584">
        <f>+IF(AP24="","",(VLOOKUP($C24,'EQUIP RATE SCHEDULE'!$B$11:$F$162,5,FALSE)))</f>
        <v>35</v>
      </c>
      <c r="AR24" s="591"/>
      <c r="AS24" s="613">
        <f t="shared" si="26"/>
        <v>35</v>
      </c>
      <c r="AT24" s="769" t="s">
        <v>66</v>
      </c>
      <c r="AU24" s="575">
        <v>1</v>
      </c>
      <c r="AV24" s="584">
        <f>+IF(AU24="","",(VLOOKUP($C24,'EQUIP RATE SCHEDULE'!$B$11:$F$162,5,FALSE)))</f>
        <v>35</v>
      </c>
      <c r="AW24" s="591"/>
      <c r="AX24" s="613">
        <f t="shared" si="27"/>
        <v>35</v>
      </c>
      <c r="AY24" s="769" t="s">
        <v>66</v>
      </c>
      <c r="AZ24" s="575">
        <v>1</v>
      </c>
      <c r="BA24" s="584">
        <f>+IF(AZ24="","",(VLOOKUP($C24,'EQUIP RATE SCHEDULE'!$B$11:$F$162,5,FALSE)))</f>
        <v>35</v>
      </c>
      <c r="BB24" s="591"/>
      <c r="BC24" s="613">
        <f t="shared" si="28"/>
        <v>35</v>
      </c>
      <c r="BD24" s="769" t="s">
        <v>66</v>
      </c>
      <c r="BE24" s="575">
        <v>1</v>
      </c>
      <c r="BF24" s="584">
        <f>+IF(BE24="","",(VLOOKUP($C24,'EQUIP RATE SCHEDULE'!$B$11:$F$162,5,FALSE)))</f>
        <v>35</v>
      </c>
      <c r="BG24" s="591"/>
      <c r="BH24" s="613">
        <f t="shared" si="9"/>
        <v>35</v>
      </c>
      <c r="BI24" s="769" t="s">
        <v>66</v>
      </c>
      <c r="BJ24" s="575">
        <v>1</v>
      </c>
      <c r="BK24" s="584">
        <f>+IF(BJ24="","",(VLOOKUP($C24,'EQUIP RATE SCHEDULE'!$B$11:$F$162,5,FALSE)))</f>
        <v>35</v>
      </c>
      <c r="BL24" s="591"/>
      <c r="BM24" s="613">
        <f t="shared" si="10"/>
        <v>35</v>
      </c>
      <c r="BN24" s="769" t="s">
        <v>66</v>
      </c>
      <c r="BO24" s="575">
        <v>1</v>
      </c>
      <c r="BP24" s="584">
        <f>+IF(BO24="","",(VLOOKUP($C24,'EQUIP RATE SCHEDULE'!$B$11:$F$162,5,FALSE)))</f>
        <v>35</v>
      </c>
      <c r="BQ24" s="591"/>
      <c r="BR24" s="613">
        <f t="shared" si="11"/>
        <v>35</v>
      </c>
      <c r="BS24" s="769" t="s">
        <v>66</v>
      </c>
      <c r="BT24" s="575">
        <v>1</v>
      </c>
      <c r="BU24" s="584">
        <f>+IF(BT24="","",(VLOOKUP($C24,'EQUIP RATE SCHEDULE'!$B$11:$F$162,5,FALSE)))</f>
        <v>35</v>
      </c>
      <c r="BV24" s="591"/>
      <c r="BW24" s="613">
        <f t="shared" si="12"/>
        <v>35</v>
      </c>
      <c r="BX24" s="769" t="s">
        <v>66</v>
      </c>
      <c r="BY24" s="575">
        <v>1</v>
      </c>
      <c r="BZ24" s="584">
        <f>+IF(BY24="","",(VLOOKUP($C24,'EQUIP RATE SCHEDULE'!$B$11:$F$162,5,FALSE)))</f>
        <v>35</v>
      </c>
      <c r="CA24" s="591"/>
      <c r="CB24" s="613">
        <f t="shared" si="13"/>
        <v>35</v>
      </c>
      <c r="CC24" s="769" t="s">
        <v>66</v>
      </c>
      <c r="CD24" s="575">
        <v>1</v>
      </c>
      <c r="CE24" s="584">
        <f>+IF(CD24="","",(VLOOKUP($C24,'EQUIP RATE SCHEDULE'!$B$11:$F$162,5,FALSE)))</f>
        <v>35</v>
      </c>
      <c r="CF24" s="591"/>
      <c r="CG24" s="613">
        <f t="shared" si="14"/>
        <v>35</v>
      </c>
      <c r="CH24" s="769" t="s">
        <v>66</v>
      </c>
      <c r="CI24" s="575">
        <v>1</v>
      </c>
      <c r="CJ24" s="584">
        <f>+IF(CI24="","",(VLOOKUP($C24,'EQUIP RATE SCHEDULE'!$B$11:$F$162,5,FALSE)))</f>
        <v>35</v>
      </c>
      <c r="CK24" s="591"/>
      <c r="CL24" s="613">
        <f t="shared" si="15"/>
        <v>35</v>
      </c>
      <c r="CM24" s="769" t="s">
        <v>66</v>
      </c>
      <c r="CN24" s="575">
        <v>1</v>
      </c>
      <c r="CO24" s="584">
        <f>+IF(CN24="","",(VLOOKUP($C24,'EQUIP RATE SCHEDULE'!$B$11:$F$162,5,FALSE)))</f>
        <v>35</v>
      </c>
      <c r="CP24" s="591"/>
      <c r="CQ24" s="613">
        <f t="shared" si="16"/>
        <v>35</v>
      </c>
      <c r="CR24" s="769" t="s">
        <v>66</v>
      </c>
      <c r="CS24" s="575">
        <v>1</v>
      </c>
      <c r="CT24" s="584">
        <f>+IF(CS24="","",(VLOOKUP($C24,'EQUIP RATE SCHEDULE'!$B$11:$F$162,5,FALSE)))</f>
        <v>35</v>
      </c>
      <c r="CU24" s="591"/>
      <c r="CV24" s="613">
        <f t="shared" si="17"/>
        <v>35</v>
      </c>
      <c r="CW24" s="769" t="s">
        <v>66</v>
      </c>
      <c r="CX24" s="575">
        <v>1</v>
      </c>
      <c r="CY24" s="584">
        <f>+IF(CX24="","",(VLOOKUP($C24,'EQUIP RATE SCHEDULE'!$B$11:$F$162,5,FALSE)))</f>
        <v>35</v>
      </c>
      <c r="CZ24" s="591"/>
      <c r="DA24" s="613">
        <f t="shared" si="18"/>
        <v>35</v>
      </c>
    </row>
    <row r="25" spans="1:105" ht="15" x14ac:dyDescent="0.25">
      <c r="A25" s="1513"/>
      <c r="B25" s="809" t="s">
        <v>522</v>
      </c>
      <c r="C25" s="776" t="s">
        <v>938</v>
      </c>
      <c r="D25" s="1492"/>
      <c r="E25" s="1490"/>
      <c r="F25" s="769" t="s">
        <v>67</v>
      </c>
      <c r="G25" s="575">
        <v>1</v>
      </c>
      <c r="H25" s="584">
        <f>+IF(G25="","",(VLOOKUP($C25,'EQUIP RATE SCHEDULE'!$B$11:$F$162,5,FALSE)))</f>
        <v>105</v>
      </c>
      <c r="I25" s="591"/>
      <c r="J25" s="613">
        <f t="shared" si="19"/>
        <v>105</v>
      </c>
      <c r="K25" s="769" t="s">
        <v>67</v>
      </c>
      <c r="L25" s="575">
        <v>1</v>
      </c>
      <c r="M25" s="584">
        <f>+IF(L25="","",(VLOOKUP($C25,'EQUIP RATE SCHEDULE'!$B$11:$F$162,5,FALSE)))</f>
        <v>105</v>
      </c>
      <c r="N25" s="591"/>
      <c r="O25" s="613">
        <f t="shared" si="20"/>
        <v>105</v>
      </c>
      <c r="P25" s="769" t="s">
        <v>67</v>
      </c>
      <c r="Q25" s="575">
        <v>1</v>
      </c>
      <c r="R25" s="584">
        <f>+IF(Q25="","",(VLOOKUP($C25,'EQUIP RATE SCHEDULE'!$B$11:$F$162,5,FALSE)))</f>
        <v>105</v>
      </c>
      <c r="S25" s="591"/>
      <c r="T25" s="613">
        <f t="shared" si="21"/>
        <v>105</v>
      </c>
      <c r="U25" s="769" t="s">
        <v>67</v>
      </c>
      <c r="V25" s="575">
        <v>1</v>
      </c>
      <c r="W25" s="584">
        <f>+IF(V25="","",(VLOOKUP($C25,'EQUIP RATE SCHEDULE'!$B$11:$F$162,5,FALSE)))</f>
        <v>105</v>
      </c>
      <c r="X25" s="591"/>
      <c r="Y25" s="613">
        <f t="shared" si="22"/>
        <v>105</v>
      </c>
      <c r="Z25" s="769" t="s">
        <v>67</v>
      </c>
      <c r="AA25" s="575">
        <v>1</v>
      </c>
      <c r="AB25" s="584">
        <f>+IF(AA25="","",(VLOOKUP($C25,'EQUIP RATE SCHEDULE'!$B$11:$F$162,5,FALSE)))</f>
        <v>105</v>
      </c>
      <c r="AC25" s="591"/>
      <c r="AD25" s="613">
        <f t="shared" si="23"/>
        <v>105</v>
      </c>
      <c r="AE25" s="769" t="s">
        <v>67</v>
      </c>
      <c r="AF25" s="575">
        <v>1</v>
      </c>
      <c r="AG25" s="584">
        <f>+IF(AF25="","",(VLOOKUP($C25,'EQUIP RATE SCHEDULE'!$B$11:$F$162,5,FALSE)))</f>
        <v>105</v>
      </c>
      <c r="AH25" s="591"/>
      <c r="AI25" s="613">
        <f t="shared" si="24"/>
        <v>105</v>
      </c>
      <c r="AJ25" s="769" t="s">
        <v>67</v>
      </c>
      <c r="AK25" s="575">
        <v>1</v>
      </c>
      <c r="AL25" s="584">
        <f>+IF(AK25="","",(VLOOKUP($C25,'EQUIP RATE SCHEDULE'!$B$11:$F$162,5,FALSE)))</f>
        <v>105</v>
      </c>
      <c r="AM25" s="591"/>
      <c r="AN25" s="613">
        <f t="shared" si="25"/>
        <v>105</v>
      </c>
      <c r="AO25" s="769" t="s">
        <v>67</v>
      </c>
      <c r="AP25" s="575">
        <v>1</v>
      </c>
      <c r="AQ25" s="584">
        <f>+IF(AP25="","",(VLOOKUP($C25,'EQUIP RATE SCHEDULE'!$B$11:$F$162,5,FALSE)))</f>
        <v>105</v>
      </c>
      <c r="AR25" s="591"/>
      <c r="AS25" s="613">
        <f t="shared" si="26"/>
        <v>105</v>
      </c>
      <c r="AT25" s="769" t="s">
        <v>67</v>
      </c>
      <c r="AU25" s="575">
        <v>1</v>
      </c>
      <c r="AV25" s="584">
        <f>+IF(AU25="","",(VLOOKUP($C25,'EQUIP RATE SCHEDULE'!$B$11:$F$162,5,FALSE)))</f>
        <v>105</v>
      </c>
      <c r="AW25" s="591"/>
      <c r="AX25" s="613">
        <f t="shared" si="27"/>
        <v>105</v>
      </c>
      <c r="AY25" s="769" t="s">
        <v>67</v>
      </c>
      <c r="AZ25" s="575">
        <v>1</v>
      </c>
      <c r="BA25" s="584">
        <f>+IF(AZ25="","",(VLOOKUP($C25,'EQUIP RATE SCHEDULE'!$B$11:$F$162,5,FALSE)))</f>
        <v>105</v>
      </c>
      <c r="BB25" s="591"/>
      <c r="BC25" s="613">
        <f t="shared" si="28"/>
        <v>105</v>
      </c>
      <c r="BD25" s="769" t="s">
        <v>67</v>
      </c>
      <c r="BE25" s="575">
        <v>1</v>
      </c>
      <c r="BF25" s="584">
        <f>+IF(BE25="","",(VLOOKUP($C25,'EQUIP RATE SCHEDULE'!$B$11:$F$162,5,FALSE)))</f>
        <v>105</v>
      </c>
      <c r="BG25" s="591"/>
      <c r="BH25" s="613">
        <f t="shared" si="9"/>
        <v>105</v>
      </c>
      <c r="BI25" s="769" t="s">
        <v>67</v>
      </c>
      <c r="BJ25" s="575">
        <v>1</v>
      </c>
      <c r="BK25" s="584">
        <f>+IF(BJ25="","",(VLOOKUP($C25,'EQUIP RATE SCHEDULE'!$B$11:$F$162,5,FALSE)))</f>
        <v>105</v>
      </c>
      <c r="BL25" s="591"/>
      <c r="BM25" s="613">
        <f t="shared" si="10"/>
        <v>105</v>
      </c>
      <c r="BN25" s="769" t="s">
        <v>67</v>
      </c>
      <c r="BO25" s="575">
        <v>1</v>
      </c>
      <c r="BP25" s="584">
        <f>+IF(BO25="","",(VLOOKUP($C25,'EQUIP RATE SCHEDULE'!$B$11:$F$162,5,FALSE)))</f>
        <v>105</v>
      </c>
      <c r="BQ25" s="591"/>
      <c r="BR25" s="613">
        <f t="shared" si="11"/>
        <v>105</v>
      </c>
      <c r="BS25" s="769" t="s">
        <v>67</v>
      </c>
      <c r="BT25" s="575">
        <v>1</v>
      </c>
      <c r="BU25" s="584">
        <f>+IF(BT25="","",(VLOOKUP($C25,'EQUIP RATE SCHEDULE'!$B$11:$F$162,5,FALSE)))</f>
        <v>105</v>
      </c>
      <c r="BV25" s="591"/>
      <c r="BW25" s="613">
        <f t="shared" si="12"/>
        <v>105</v>
      </c>
      <c r="BX25" s="769" t="s">
        <v>67</v>
      </c>
      <c r="BY25" s="575">
        <v>1</v>
      </c>
      <c r="BZ25" s="584">
        <f>+IF(BY25="","",(VLOOKUP($C25,'EQUIP RATE SCHEDULE'!$B$11:$F$162,5,FALSE)))</f>
        <v>105</v>
      </c>
      <c r="CA25" s="591"/>
      <c r="CB25" s="613">
        <f t="shared" si="13"/>
        <v>105</v>
      </c>
      <c r="CC25" s="769" t="s">
        <v>67</v>
      </c>
      <c r="CD25" s="575">
        <v>1</v>
      </c>
      <c r="CE25" s="584">
        <f>+IF(CD25="","",(VLOOKUP($C25,'EQUIP RATE SCHEDULE'!$B$11:$F$162,5,FALSE)))</f>
        <v>105</v>
      </c>
      <c r="CF25" s="591"/>
      <c r="CG25" s="613">
        <f t="shared" si="14"/>
        <v>105</v>
      </c>
      <c r="CH25" s="769" t="s">
        <v>67</v>
      </c>
      <c r="CI25" s="575">
        <v>1</v>
      </c>
      <c r="CJ25" s="584">
        <f>+IF(CI25="","",(VLOOKUP($C25,'EQUIP RATE SCHEDULE'!$B$11:$F$162,5,FALSE)))</f>
        <v>105</v>
      </c>
      <c r="CK25" s="591"/>
      <c r="CL25" s="613">
        <f t="shared" si="15"/>
        <v>105</v>
      </c>
      <c r="CM25" s="769" t="s">
        <v>67</v>
      </c>
      <c r="CN25" s="575">
        <v>1</v>
      </c>
      <c r="CO25" s="584">
        <f>+IF(CN25="","",(VLOOKUP($C25,'EQUIP RATE SCHEDULE'!$B$11:$F$162,5,FALSE)))</f>
        <v>105</v>
      </c>
      <c r="CP25" s="591"/>
      <c r="CQ25" s="613">
        <f t="shared" si="16"/>
        <v>105</v>
      </c>
      <c r="CR25" s="769" t="s">
        <v>67</v>
      </c>
      <c r="CS25" s="575">
        <v>1</v>
      </c>
      <c r="CT25" s="584">
        <f>+IF(CS25="","",(VLOOKUP($C25,'EQUIP RATE SCHEDULE'!$B$11:$F$162,5,FALSE)))</f>
        <v>105</v>
      </c>
      <c r="CU25" s="591"/>
      <c r="CV25" s="613">
        <f t="shared" si="17"/>
        <v>105</v>
      </c>
      <c r="CW25" s="769" t="s">
        <v>67</v>
      </c>
      <c r="CX25" s="575">
        <v>1</v>
      </c>
      <c r="CY25" s="584">
        <f>+IF(CX25="","",(VLOOKUP($C25,'EQUIP RATE SCHEDULE'!$B$11:$F$162,5,FALSE)))</f>
        <v>105</v>
      </c>
      <c r="CZ25" s="591"/>
      <c r="DA25" s="613">
        <f t="shared" si="18"/>
        <v>105</v>
      </c>
    </row>
    <row r="26" spans="1:105" ht="15" x14ac:dyDescent="0.25">
      <c r="A26" s="1513"/>
      <c r="B26" s="809" t="s">
        <v>522</v>
      </c>
      <c r="C26" s="776" t="s">
        <v>939</v>
      </c>
      <c r="D26" s="1491" t="s">
        <v>940</v>
      </c>
      <c r="E26" s="1488" t="s">
        <v>1220</v>
      </c>
      <c r="F26" s="769" t="s">
        <v>66</v>
      </c>
      <c r="G26" s="575">
        <v>1</v>
      </c>
      <c r="H26" s="584">
        <f>+IF(G26="","",(VLOOKUP($C26,'EQUIP RATE SCHEDULE'!$B$11:$F$162,5,FALSE)))</f>
        <v>50</v>
      </c>
      <c r="I26" s="591"/>
      <c r="J26" s="613">
        <f t="shared" si="19"/>
        <v>50</v>
      </c>
      <c r="K26" s="769" t="s">
        <v>66</v>
      </c>
      <c r="L26" s="575">
        <v>1</v>
      </c>
      <c r="M26" s="584">
        <f>+IF(L26="","",(VLOOKUP($C26,'EQUIP RATE SCHEDULE'!$B$11:$F$162,5,FALSE)))</f>
        <v>50</v>
      </c>
      <c r="N26" s="591"/>
      <c r="O26" s="613">
        <f t="shared" si="20"/>
        <v>50</v>
      </c>
      <c r="P26" s="769" t="s">
        <v>66</v>
      </c>
      <c r="Q26" s="575">
        <v>1</v>
      </c>
      <c r="R26" s="584">
        <f>+IF(Q26="","",(VLOOKUP($C26,'EQUIP RATE SCHEDULE'!$B$11:$F$162,5,FALSE)))</f>
        <v>50</v>
      </c>
      <c r="S26" s="591"/>
      <c r="T26" s="613">
        <f t="shared" si="21"/>
        <v>50</v>
      </c>
      <c r="U26" s="769" t="s">
        <v>66</v>
      </c>
      <c r="V26" s="575">
        <v>1</v>
      </c>
      <c r="W26" s="584">
        <f>+IF(V26="","",(VLOOKUP($C26,'EQUIP RATE SCHEDULE'!$B$11:$F$162,5,FALSE)))</f>
        <v>50</v>
      </c>
      <c r="X26" s="591"/>
      <c r="Y26" s="613">
        <f t="shared" si="22"/>
        <v>50</v>
      </c>
      <c r="Z26" s="769" t="s">
        <v>66</v>
      </c>
      <c r="AA26" s="575">
        <v>1</v>
      </c>
      <c r="AB26" s="584">
        <f>+IF(AA26="","",(VLOOKUP($C26,'EQUIP RATE SCHEDULE'!$B$11:$F$162,5,FALSE)))</f>
        <v>50</v>
      </c>
      <c r="AC26" s="591"/>
      <c r="AD26" s="613">
        <f t="shared" si="23"/>
        <v>50</v>
      </c>
      <c r="AE26" s="769" t="s">
        <v>66</v>
      </c>
      <c r="AF26" s="575">
        <v>1</v>
      </c>
      <c r="AG26" s="584">
        <f>+IF(AF26="","",(VLOOKUP($C26,'EQUIP RATE SCHEDULE'!$B$11:$F$162,5,FALSE)))</f>
        <v>50</v>
      </c>
      <c r="AH26" s="591"/>
      <c r="AI26" s="613">
        <f t="shared" si="24"/>
        <v>50</v>
      </c>
      <c r="AJ26" s="769" t="s">
        <v>66</v>
      </c>
      <c r="AK26" s="575">
        <v>1</v>
      </c>
      <c r="AL26" s="584">
        <f>+IF(AK26="","",(VLOOKUP($C26,'EQUIP RATE SCHEDULE'!$B$11:$F$162,5,FALSE)))</f>
        <v>50</v>
      </c>
      <c r="AM26" s="591"/>
      <c r="AN26" s="613">
        <f t="shared" si="25"/>
        <v>50</v>
      </c>
      <c r="AO26" s="769" t="s">
        <v>66</v>
      </c>
      <c r="AP26" s="575">
        <v>1</v>
      </c>
      <c r="AQ26" s="584">
        <f>+IF(AP26="","",(VLOOKUP($C26,'EQUIP RATE SCHEDULE'!$B$11:$F$162,5,FALSE)))</f>
        <v>50</v>
      </c>
      <c r="AR26" s="591"/>
      <c r="AS26" s="613">
        <f t="shared" si="26"/>
        <v>50</v>
      </c>
      <c r="AT26" s="769" t="s">
        <v>66</v>
      </c>
      <c r="AU26" s="575">
        <v>1</v>
      </c>
      <c r="AV26" s="584">
        <f>+IF(AU26="","",(VLOOKUP($C26,'EQUIP RATE SCHEDULE'!$B$11:$F$162,5,FALSE)))</f>
        <v>50</v>
      </c>
      <c r="AW26" s="591"/>
      <c r="AX26" s="613">
        <f t="shared" si="27"/>
        <v>50</v>
      </c>
      <c r="AY26" s="769" t="s">
        <v>66</v>
      </c>
      <c r="AZ26" s="575">
        <v>1</v>
      </c>
      <c r="BA26" s="584">
        <f>+IF(AZ26="","",(VLOOKUP($C26,'EQUIP RATE SCHEDULE'!$B$11:$F$162,5,FALSE)))</f>
        <v>50</v>
      </c>
      <c r="BB26" s="591"/>
      <c r="BC26" s="613">
        <f t="shared" si="28"/>
        <v>50</v>
      </c>
      <c r="BD26" s="769" t="s">
        <v>66</v>
      </c>
      <c r="BE26" s="575">
        <v>1</v>
      </c>
      <c r="BF26" s="584">
        <f>+IF(BE26="","",(VLOOKUP($C26,'EQUIP RATE SCHEDULE'!$B$11:$F$162,5,FALSE)))</f>
        <v>50</v>
      </c>
      <c r="BG26" s="591"/>
      <c r="BH26" s="613">
        <f t="shared" si="9"/>
        <v>50</v>
      </c>
      <c r="BI26" s="769" t="s">
        <v>66</v>
      </c>
      <c r="BJ26" s="575">
        <v>1</v>
      </c>
      <c r="BK26" s="584">
        <f>+IF(BJ26="","",(VLOOKUP($C26,'EQUIP RATE SCHEDULE'!$B$11:$F$162,5,FALSE)))</f>
        <v>50</v>
      </c>
      <c r="BL26" s="591"/>
      <c r="BM26" s="613">
        <f t="shared" si="10"/>
        <v>50</v>
      </c>
      <c r="BN26" s="769" t="s">
        <v>66</v>
      </c>
      <c r="BO26" s="575"/>
      <c r="BP26" s="584" t="str">
        <f>+IF(BO26="","",(VLOOKUP($C26,'EQUIP RATE SCHEDULE'!$B$11:$F$162,5,FALSE)))</f>
        <v/>
      </c>
      <c r="BQ26" s="591"/>
      <c r="BR26" s="613" t="str">
        <f t="shared" si="11"/>
        <v/>
      </c>
      <c r="BS26" s="769" t="s">
        <v>66</v>
      </c>
      <c r="BT26" s="575">
        <v>1</v>
      </c>
      <c r="BU26" s="584">
        <f>+IF(BT26="","",(VLOOKUP($C26,'EQUIP RATE SCHEDULE'!$B$11:$F$162,5,FALSE)))</f>
        <v>50</v>
      </c>
      <c r="BV26" s="591"/>
      <c r="BW26" s="613">
        <f t="shared" si="12"/>
        <v>50</v>
      </c>
      <c r="BX26" s="769" t="s">
        <v>66</v>
      </c>
      <c r="BY26" s="575">
        <v>1</v>
      </c>
      <c r="BZ26" s="584">
        <f>+IF(BY26="","",(VLOOKUP($C26,'EQUIP RATE SCHEDULE'!$B$11:$F$162,5,FALSE)))</f>
        <v>50</v>
      </c>
      <c r="CA26" s="591"/>
      <c r="CB26" s="613">
        <f t="shared" si="13"/>
        <v>50</v>
      </c>
      <c r="CC26" s="769" t="s">
        <v>66</v>
      </c>
      <c r="CD26" s="575">
        <v>1</v>
      </c>
      <c r="CE26" s="584">
        <f>+IF(CD26="","",(VLOOKUP($C26,'EQUIP RATE SCHEDULE'!$B$11:$F$162,5,FALSE)))</f>
        <v>50</v>
      </c>
      <c r="CF26" s="591"/>
      <c r="CG26" s="613">
        <f t="shared" si="14"/>
        <v>50</v>
      </c>
      <c r="CH26" s="769" t="s">
        <v>66</v>
      </c>
      <c r="CI26" s="575">
        <v>1</v>
      </c>
      <c r="CJ26" s="584">
        <f>+IF(CI26="","",(VLOOKUP($C26,'EQUIP RATE SCHEDULE'!$B$11:$F$162,5,FALSE)))</f>
        <v>50</v>
      </c>
      <c r="CK26" s="591"/>
      <c r="CL26" s="613">
        <f t="shared" si="15"/>
        <v>50</v>
      </c>
      <c r="CM26" s="769" t="s">
        <v>66</v>
      </c>
      <c r="CN26" s="575">
        <v>1</v>
      </c>
      <c r="CO26" s="584">
        <f>+IF(CN26="","",(VLOOKUP($C26,'EQUIP RATE SCHEDULE'!$B$11:$F$162,5,FALSE)))</f>
        <v>50</v>
      </c>
      <c r="CP26" s="591"/>
      <c r="CQ26" s="613">
        <f t="shared" si="16"/>
        <v>50</v>
      </c>
      <c r="CR26" s="769" t="s">
        <v>66</v>
      </c>
      <c r="CS26" s="575">
        <v>1</v>
      </c>
      <c r="CT26" s="584">
        <f>+IF(CS26="","",(VLOOKUP($C26,'EQUIP RATE SCHEDULE'!$B$11:$F$162,5,FALSE)))</f>
        <v>50</v>
      </c>
      <c r="CU26" s="591"/>
      <c r="CV26" s="613">
        <f t="shared" si="17"/>
        <v>50</v>
      </c>
      <c r="CW26" s="769" t="s">
        <v>66</v>
      </c>
      <c r="CX26" s="575">
        <v>1</v>
      </c>
      <c r="CY26" s="584">
        <f>+IF(CX26="","",(VLOOKUP($C26,'EQUIP RATE SCHEDULE'!$B$11:$F$162,5,FALSE)))</f>
        <v>50</v>
      </c>
      <c r="CZ26" s="591"/>
      <c r="DA26" s="613">
        <f t="shared" si="18"/>
        <v>50</v>
      </c>
    </row>
    <row r="27" spans="1:105" ht="15" x14ac:dyDescent="0.25">
      <c r="A27" s="1513"/>
      <c r="B27" s="809" t="s">
        <v>522</v>
      </c>
      <c r="C27" s="776" t="s">
        <v>942</v>
      </c>
      <c r="D27" s="1492"/>
      <c r="E27" s="1490"/>
      <c r="F27" s="769" t="s">
        <v>67</v>
      </c>
      <c r="G27" s="575">
        <v>1</v>
      </c>
      <c r="H27" s="584">
        <f>+IF(G27="","",(VLOOKUP($C27,'EQUIP RATE SCHEDULE'!$B$11:$F$162,5,FALSE)))</f>
        <v>150</v>
      </c>
      <c r="I27" s="591"/>
      <c r="J27" s="613">
        <f t="shared" si="19"/>
        <v>150</v>
      </c>
      <c r="K27" s="769" t="s">
        <v>67</v>
      </c>
      <c r="L27" s="575">
        <v>1</v>
      </c>
      <c r="M27" s="584">
        <f>+IF(L27="","",(VLOOKUP($C27,'EQUIP RATE SCHEDULE'!$B$11:$F$162,5,FALSE)))</f>
        <v>150</v>
      </c>
      <c r="N27" s="591"/>
      <c r="O27" s="613">
        <f t="shared" si="20"/>
        <v>150</v>
      </c>
      <c r="P27" s="769" t="s">
        <v>67</v>
      </c>
      <c r="Q27" s="575">
        <v>1</v>
      </c>
      <c r="R27" s="584">
        <f>+IF(Q27="","",(VLOOKUP($C27,'EQUIP RATE SCHEDULE'!$B$11:$F$162,5,FALSE)))</f>
        <v>150</v>
      </c>
      <c r="S27" s="591"/>
      <c r="T27" s="613">
        <f t="shared" si="21"/>
        <v>150</v>
      </c>
      <c r="U27" s="769" t="s">
        <v>67</v>
      </c>
      <c r="V27" s="575">
        <v>1</v>
      </c>
      <c r="W27" s="584">
        <f>+IF(V27="","",(VLOOKUP($C27,'EQUIP RATE SCHEDULE'!$B$11:$F$162,5,FALSE)))</f>
        <v>150</v>
      </c>
      <c r="X27" s="591"/>
      <c r="Y27" s="613">
        <f t="shared" si="22"/>
        <v>150</v>
      </c>
      <c r="Z27" s="769" t="s">
        <v>67</v>
      </c>
      <c r="AA27" s="575">
        <v>1</v>
      </c>
      <c r="AB27" s="584">
        <f>+IF(AA27="","",(VLOOKUP($C27,'EQUIP RATE SCHEDULE'!$B$11:$F$162,5,FALSE)))</f>
        <v>150</v>
      </c>
      <c r="AC27" s="591"/>
      <c r="AD27" s="613">
        <f t="shared" si="23"/>
        <v>150</v>
      </c>
      <c r="AE27" s="769" t="s">
        <v>67</v>
      </c>
      <c r="AF27" s="575">
        <v>1</v>
      </c>
      <c r="AG27" s="584">
        <f>+IF(AF27="","",(VLOOKUP($C27,'EQUIP RATE SCHEDULE'!$B$11:$F$162,5,FALSE)))</f>
        <v>150</v>
      </c>
      <c r="AH27" s="591"/>
      <c r="AI27" s="613">
        <f t="shared" si="24"/>
        <v>150</v>
      </c>
      <c r="AJ27" s="769" t="s">
        <v>67</v>
      </c>
      <c r="AK27" s="575">
        <v>1</v>
      </c>
      <c r="AL27" s="584">
        <f>+IF(AK27="","",(VLOOKUP($C27,'EQUIP RATE SCHEDULE'!$B$11:$F$162,5,FALSE)))</f>
        <v>150</v>
      </c>
      <c r="AM27" s="591"/>
      <c r="AN27" s="613">
        <f t="shared" si="25"/>
        <v>150</v>
      </c>
      <c r="AO27" s="769" t="s">
        <v>67</v>
      </c>
      <c r="AP27" s="575">
        <v>1</v>
      </c>
      <c r="AQ27" s="584">
        <f>+IF(AP27="","",(VLOOKUP($C27,'EQUIP RATE SCHEDULE'!$B$11:$F$162,5,FALSE)))</f>
        <v>150</v>
      </c>
      <c r="AR27" s="591"/>
      <c r="AS27" s="613">
        <f t="shared" si="26"/>
        <v>150</v>
      </c>
      <c r="AT27" s="769" t="s">
        <v>67</v>
      </c>
      <c r="AU27" s="575">
        <v>1</v>
      </c>
      <c r="AV27" s="584">
        <f>+IF(AU27="","",(VLOOKUP($C27,'EQUIP RATE SCHEDULE'!$B$11:$F$162,5,FALSE)))</f>
        <v>150</v>
      </c>
      <c r="AW27" s="591"/>
      <c r="AX27" s="613">
        <f t="shared" si="27"/>
        <v>150</v>
      </c>
      <c r="AY27" s="769" t="s">
        <v>67</v>
      </c>
      <c r="AZ27" s="575">
        <v>1</v>
      </c>
      <c r="BA27" s="584">
        <f>+IF(AZ27="","",(VLOOKUP($C27,'EQUIP RATE SCHEDULE'!$B$11:$F$162,5,FALSE)))</f>
        <v>150</v>
      </c>
      <c r="BB27" s="591"/>
      <c r="BC27" s="613">
        <f t="shared" si="28"/>
        <v>150</v>
      </c>
      <c r="BD27" s="769" t="s">
        <v>67</v>
      </c>
      <c r="BE27" s="575">
        <v>1</v>
      </c>
      <c r="BF27" s="584">
        <f>+IF(BE27="","",(VLOOKUP($C27,'EQUIP RATE SCHEDULE'!$B$11:$F$162,5,FALSE)))</f>
        <v>150</v>
      </c>
      <c r="BG27" s="591"/>
      <c r="BH27" s="613">
        <f t="shared" si="9"/>
        <v>150</v>
      </c>
      <c r="BI27" s="769" t="s">
        <v>67</v>
      </c>
      <c r="BJ27" s="575">
        <v>1</v>
      </c>
      <c r="BK27" s="584">
        <f>+IF(BJ27="","",(VLOOKUP($C27,'EQUIP RATE SCHEDULE'!$B$11:$F$162,5,FALSE)))</f>
        <v>150</v>
      </c>
      <c r="BL27" s="591"/>
      <c r="BM27" s="613">
        <f t="shared" si="10"/>
        <v>150</v>
      </c>
      <c r="BN27" s="769" t="s">
        <v>67</v>
      </c>
      <c r="BO27" s="575">
        <v>1</v>
      </c>
      <c r="BP27" s="584">
        <f>+IF(BO27="","",(VLOOKUP($C27,'EQUIP RATE SCHEDULE'!$B$11:$F$162,5,FALSE)))</f>
        <v>150</v>
      </c>
      <c r="BQ27" s="591"/>
      <c r="BR27" s="613">
        <f t="shared" si="11"/>
        <v>150</v>
      </c>
      <c r="BS27" s="769" t="s">
        <v>67</v>
      </c>
      <c r="BT27" s="575">
        <v>1</v>
      </c>
      <c r="BU27" s="584">
        <f>+IF(BT27="","",(VLOOKUP($C27,'EQUIP RATE SCHEDULE'!$B$11:$F$162,5,FALSE)))</f>
        <v>150</v>
      </c>
      <c r="BV27" s="591"/>
      <c r="BW27" s="613">
        <f t="shared" si="12"/>
        <v>150</v>
      </c>
      <c r="BX27" s="769" t="s">
        <v>67</v>
      </c>
      <c r="BY27" s="575">
        <v>1</v>
      </c>
      <c r="BZ27" s="584">
        <f>+IF(BY27="","",(VLOOKUP($C27,'EQUIP RATE SCHEDULE'!$B$11:$F$162,5,FALSE)))</f>
        <v>150</v>
      </c>
      <c r="CA27" s="591"/>
      <c r="CB27" s="613">
        <f t="shared" si="13"/>
        <v>150</v>
      </c>
      <c r="CC27" s="769" t="s">
        <v>67</v>
      </c>
      <c r="CD27" s="575">
        <v>1</v>
      </c>
      <c r="CE27" s="584">
        <f>+IF(CD27="","",(VLOOKUP($C27,'EQUIP RATE SCHEDULE'!$B$11:$F$162,5,FALSE)))</f>
        <v>150</v>
      </c>
      <c r="CF27" s="591"/>
      <c r="CG27" s="613">
        <f t="shared" si="14"/>
        <v>150</v>
      </c>
      <c r="CH27" s="769" t="s">
        <v>67</v>
      </c>
      <c r="CI27" s="575">
        <v>1</v>
      </c>
      <c r="CJ27" s="584">
        <f>+IF(CI27="","",(VLOOKUP($C27,'EQUIP RATE SCHEDULE'!$B$11:$F$162,5,FALSE)))</f>
        <v>150</v>
      </c>
      <c r="CK27" s="591"/>
      <c r="CL27" s="613">
        <f t="shared" si="15"/>
        <v>150</v>
      </c>
      <c r="CM27" s="769" t="s">
        <v>67</v>
      </c>
      <c r="CN27" s="575">
        <v>1</v>
      </c>
      <c r="CO27" s="584">
        <f>+IF(CN27="","",(VLOOKUP($C27,'EQUIP RATE SCHEDULE'!$B$11:$F$162,5,FALSE)))</f>
        <v>150</v>
      </c>
      <c r="CP27" s="591"/>
      <c r="CQ27" s="613">
        <f t="shared" si="16"/>
        <v>150</v>
      </c>
      <c r="CR27" s="769" t="s">
        <v>67</v>
      </c>
      <c r="CS27" s="575">
        <v>1</v>
      </c>
      <c r="CT27" s="584">
        <f>+IF(CS27="","",(VLOOKUP($C27,'EQUIP RATE SCHEDULE'!$B$11:$F$162,5,FALSE)))</f>
        <v>150</v>
      </c>
      <c r="CU27" s="591"/>
      <c r="CV27" s="613">
        <f t="shared" si="17"/>
        <v>150</v>
      </c>
      <c r="CW27" s="769" t="s">
        <v>67</v>
      </c>
      <c r="CX27" s="575">
        <v>1</v>
      </c>
      <c r="CY27" s="584">
        <f>+IF(CX27="","",(VLOOKUP($C27,'EQUIP RATE SCHEDULE'!$B$11:$F$162,5,FALSE)))</f>
        <v>150</v>
      </c>
      <c r="CZ27" s="591"/>
      <c r="DA27" s="613">
        <f t="shared" si="18"/>
        <v>150</v>
      </c>
    </row>
    <row r="28" spans="1:105" ht="15" x14ac:dyDescent="0.25">
      <c r="A28" s="1513"/>
      <c r="B28" s="809" t="s">
        <v>522</v>
      </c>
      <c r="C28" s="776" t="s">
        <v>943</v>
      </c>
      <c r="D28" s="1491" t="s">
        <v>944</v>
      </c>
      <c r="E28" s="1488" t="s">
        <v>945</v>
      </c>
      <c r="F28" s="769" t="s">
        <v>66</v>
      </c>
      <c r="G28" s="575">
        <v>1</v>
      </c>
      <c r="H28" s="584">
        <f>+IF(G28="","",(VLOOKUP($C28,'EQUIP RATE SCHEDULE'!$B$11:$F$162,5,FALSE)))</f>
        <v>35</v>
      </c>
      <c r="I28" s="591"/>
      <c r="J28" s="613">
        <f t="shared" si="19"/>
        <v>35</v>
      </c>
      <c r="K28" s="769" t="s">
        <v>66</v>
      </c>
      <c r="L28" s="575">
        <v>1</v>
      </c>
      <c r="M28" s="584">
        <f>+IF(L28="","",(VLOOKUP($C28,'EQUIP RATE SCHEDULE'!$B$11:$F$162,5,FALSE)))</f>
        <v>35</v>
      </c>
      <c r="N28" s="591"/>
      <c r="O28" s="613">
        <f t="shared" si="20"/>
        <v>35</v>
      </c>
      <c r="P28" s="769" t="s">
        <v>66</v>
      </c>
      <c r="Q28" s="575">
        <v>1</v>
      </c>
      <c r="R28" s="584">
        <f>+IF(Q28="","",(VLOOKUP($C28,'EQUIP RATE SCHEDULE'!$B$11:$F$162,5,FALSE)))</f>
        <v>35</v>
      </c>
      <c r="S28" s="591"/>
      <c r="T28" s="613">
        <f t="shared" si="21"/>
        <v>35</v>
      </c>
      <c r="U28" s="769" t="s">
        <v>66</v>
      </c>
      <c r="V28" s="575">
        <v>1</v>
      </c>
      <c r="W28" s="584">
        <f>+IF(V28="","",(VLOOKUP($C28,'EQUIP RATE SCHEDULE'!$B$11:$F$162,5,FALSE)))</f>
        <v>35</v>
      </c>
      <c r="X28" s="591"/>
      <c r="Y28" s="613">
        <f t="shared" si="22"/>
        <v>35</v>
      </c>
      <c r="Z28" s="769" t="s">
        <v>66</v>
      </c>
      <c r="AA28" s="575">
        <v>1</v>
      </c>
      <c r="AB28" s="584">
        <f>+IF(AA28="","",(VLOOKUP($C28,'EQUIP RATE SCHEDULE'!$B$11:$F$162,5,FALSE)))</f>
        <v>35</v>
      </c>
      <c r="AC28" s="591"/>
      <c r="AD28" s="613">
        <f t="shared" si="23"/>
        <v>35</v>
      </c>
      <c r="AE28" s="769" t="s">
        <v>66</v>
      </c>
      <c r="AF28" s="575">
        <v>1</v>
      </c>
      <c r="AG28" s="584">
        <f>+IF(AF28="","",(VLOOKUP($C28,'EQUIP RATE SCHEDULE'!$B$11:$F$162,5,FALSE)))</f>
        <v>35</v>
      </c>
      <c r="AH28" s="591"/>
      <c r="AI28" s="613">
        <f t="shared" si="24"/>
        <v>35</v>
      </c>
      <c r="AJ28" s="769" t="s">
        <v>66</v>
      </c>
      <c r="AK28" s="575">
        <v>1</v>
      </c>
      <c r="AL28" s="584">
        <f>+IF(AK28="","",(VLOOKUP($C28,'EQUIP RATE SCHEDULE'!$B$11:$F$162,5,FALSE)))</f>
        <v>35</v>
      </c>
      <c r="AM28" s="591"/>
      <c r="AN28" s="613">
        <f t="shared" si="25"/>
        <v>35</v>
      </c>
      <c r="AO28" s="769" t="s">
        <v>66</v>
      </c>
      <c r="AP28" s="575">
        <v>1</v>
      </c>
      <c r="AQ28" s="584">
        <f>+IF(AP28="","",(VLOOKUP($C28,'EQUIP RATE SCHEDULE'!$B$11:$F$162,5,FALSE)))</f>
        <v>35</v>
      </c>
      <c r="AR28" s="591"/>
      <c r="AS28" s="613">
        <f t="shared" si="26"/>
        <v>35</v>
      </c>
      <c r="AT28" s="769" t="s">
        <v>66</v>
      </c>
      <c r="AU28" s="575">
        <v>1</v>
      </c>
      <c r="AV28" s="584">
        <f>+IF(AU28="","",(VLOOKUP($C28,'EQUIP RATE SCHEDULE'!$B$11:$F$162,5,FALSE)))</f>
        <v>35</v>
      </c>
      <c r="AW28" s="591"/>
      <c r="AX28" s="613">
        <f t="shared" si="27"/>
        <v>35</v>
      </c>
      <c r="AY28" s="769" t="s">
        <v>66</v>
      </c>
      <c r="AZ28" s="575">
        <v>1</v>
      </c>
      <c r="BA28" s="584">
        <f>+IF(AZ28="","",(VLOOKUP($C28,'EQUIP RATE SCHEDULE'!$B$11:$F$162,5,FALSE)))</f>
        <v>35</v>
      </c>
      <c r="BB28" s="591"/>
      <c r="BC28" s="613">
        <f t="shared" si="28"/>
        <v>35</v>
      </c>
      <c r="BD28" s="769" t="s">
        <v>66</v>
      </c>
      <c r="BE28" s="575">
        <v>1</v>
      </c>
      <c r="BF28" s="584">
        <f>+IF(BE28="","",(VLOOKUP($C28,'EQUIP RATE SCHEDULE'!$B$11:$F$162,5,FALSE)))</f>
        <v>35</v>
      </c>
      <c r="BG28" s="591"/>
      <c r="BH28" s="613">
        <f t="shared" si="9"/>
        <v>35</v>
      </c>
      <c r="BI28" s="769" t="s">
        <v>66</v>
      </c>
      <c r="BJ28" s="575">
        <v>1</v>
      </c>
      <c r="BK28" s="584">
        <f>+IF(BJ28="","",(VLOOKUP($C28,'EQUIP RATE SCHEDULE'!$B$11:$F$162,5,FALSE)))</f>
        <v>35</v>
      </c>
      <c r="BL28" s="591"/>
      <c r="BM28" s="613">
        <f t="shared" si="10"/>
        <v>35</v>
      </c>
      <c r="BN28" s="769" t="s">
        <v>66</v>
      </c>
      <c r="BO28" s="575">
        <v>1</v>
      </c>
      <c r="BP28" s="584">
        <f>+IF(BO28="","",(VLOOKUP($C28,'EQUIP RATE SCHEDULE'!$B$11:$F$162,5,FALSE)))</f>
        <v>35</v>
      </c>
      <c r="BQ28" s="591"/>
      <c r="BR28" s="613">
        <f t="shared" si="11"/>
        <v>35</v>
      </c>
      <c r="BS28" s="769" t="s">
        <v>66</v>
      </c>
      <c r="BT28" s="575">
        <v>1</v>
      </c>
      <c r="BU28" s="584">
        <f>+IF(BT28="","",(VLOOKUP($C28,'EQUIP RATE SCHEDULE'!$B$11:$F$162,5,FALSE)))</f>
        <v>35</v>
      </c>
      <c r="BV28" s="591"/>
      <c r="BW28" s="613">
        <f t="shared" si="12"/>
        <v>35</v>
      </c>
      <c r="BX28" s="769" t="s">
        <v>66</v>
      </c>
      <c r="BY28" s="575">
        <v>1</v>
      </c>
      <c r="BZ28" s="584">
        <f>+IF(BY28="","",(VLOOKUP($C28,'EQUIP RATE SCHEDULE'!$B$11:$F$162,5,FALSE)))</f>
        <v>35</v>
      </c>
      <c r="CA28" s="591"/>
      <c r="CB28" s="613">
        <f t="shared" si="13"/>
        <v>35</v>
      </c>
      <c r="CC28" s="769" t="s">
        <v>66</v>
      </c>
      <c r="CD28" s="575">
        <v>1</v>
      </c>
      <c r="CE28" s="584">
        <f>+IF(CD28="","",(VLOOKUP($C28,'EQUIP RATE SCHEDULE'!$B$11:$F$162,5,FALSE)))</f>
        <v>35</v>
      </c>
      <c r="CF28" s="591"/>
      <c r="CG28" s="613">
        <f t="shared" si="14"/>
        <v>35</v>
      </c>
      <c r="CH28" s="769" t="s">
        <v>66</v>
      </c>
      <c r="CI28" s="575">
        <v>1</v>
      </c>
      <c r="CJ28" s="584">
        <f>+IF(CI28="","",(VLOOKUP($C28,'EQUIP RATE SCHEDULE'!$B$11:$F$162,5,FALSE)))</f>
        <v>35</v>
      </c>
      <c r="CK28" s="591"/>
      <c r="CL28" s="613">
        <f t="shared" si="15"/>
        <v>35</v>
      </c>
      <c r="CM28" s="769" t="s">
        <v>66</v>
      </c>
      <c r="CN28" s="575">
        <v>1</v>
      </c>
      <c r="CO28" s="584">
        <f>+IF(CN28="","",(VLOOKUP($C28,'EQUIP RATE SCHEDULE'!$B$11:$F$162,5,FALSE)))</f>
        <v>35</v>
      </c>
      <c r="CP28" s="591"/>
      <c r="CQ28" s="613">
        <f t="shared" si="16"/>
        <v>35</v>
      </c>
      <c r="CR28" s="769" t="s">
        <v>66</v>
      </c>
      <c r="CS28" s="575">
        <v>1</v>
      </c>
      <c r="CT28" s="584">
        <f>+IF(CS28="","",(VLOOKUP($C28,'EQUIP RATE SCHEDULE'!$B$11:$F$162,5,FALSE)))</f>
        <v>35</v>
      </c>
      <c r="CU28" s="591"/>
      <c r="CV28" s="613">
        <f t="shared" si="17"/>
        <v>35</v>
      </c>
      <c r="CW28" s="769" t="s">
        <v>66</v>
      </c>
      <c r="CX28" s="575">
        <v>1</v>
      </c>
      <c r="CY28" s="584">
        <f>+IF(CX28="","",(VLOOKUP($C28,'EQUIP RATE SCHEDULE'!$B$11:$F$162,5,FALSE)))</f>
        <v>35</v>
      </c>
      <c r="CZ28" s="591"/>
      <c r="DA28" s="613">
        <f t="shared" si="18"/>
        <v>35</v>
      </c>
    </row>
    <row r="29" spans="1:105" ht="15" x14ac:dyDescent="0.25">
      <c r="A29" s="1513"/>
      <c r="B29" s="809" t="s">
        <v>522</v>
      </c>
      <c r="C29" s="776" t="s">
        <v>946</v>
      </c>
      <c r="D29" s="1492"/>
      <c r="E29" s="1490"/>
      <c r="F29" s="769" t="s">
        <v>67</v>
      </c>
      <c r="G29" s="575">
        <v>1</v>
      </c>
      <c r="H29" s="584">
        <f>+IF(G29="","",(VLOOKUP($C29,'EQUIP RATE SCHEDULE'!$B$11:$F$162,5,FALSE)))</f>
        <v>105</v>
      </c>
      <c r="I29" s="591"/>
      <c r="J29" s="613">
        <f t="shared" si="19"/>
        <v>105</v>
      </c>
      <c r="K29" s="769" t="s">
        <v>67</v>
      </c>
      <c r="L29" s="575">
        <v>1</v>
      </c>
      <c r="M29" s="584">
        <f>+IF(L29="","",(VLOOKUP($C29,'EQUIP RATE SCHEDULE'!$B$11:$F$162,5,FALSE)))</f>
        <v>105</v>
      </c>
      <c r="N29" s="591"/>
      <c r="O29" s="613">
        <f t="shared" si="20"/>
        <v>105</v>
      </c>
      <c r="P29" s="769" t="s">
        <v>67</v>
      </c>
      <c r="Q29" s="575">
        <v>1</v>
      </c>
      <c r="R29" s="584">
        <f>+IF(Q29="","",(VLOOKUP($C29,'EQUIP RATE SCHEDULE'!$B$11:$F$162,5,FALSE)))</f>
        <v>105</v>
      </c>
      <c r="S29" s="591"/>
      <c r="T29" s="613">
        <f t="shared" si="21"/>
        <v>105</v>
      </c>
      <c r="U29" s="769" t="s">
        <v>67</v>
      </c>
      <c r="V29" s="575">
        <v>1</v>
      </c>
      <c r="W29" s="584">
        <f>+IF(V29="","",(VLOOKUP($C29,'EQUIP RATE SCHEDULE'!$B$11:$F$162,5,FALSE)))</f>
        <v>105</v>
      </c>
      <c r="X29" s="591"/>
      <c r="Y29" s="613">
        <f t="shared" si="22"/>
        <v>105</v>
      </c>
      <c r="Z29" s="769" t="s">
        <v>67</v>
      </c>
      <c r="AA29" s="575">
        <v>1</v>
      </c>
      <c r="AB29" s="584">
        <f>+IF(AA29="","",(VLOOKUP($C29,'EQUIP RATE SCHEDULE'!$B$11:$F$162,5,FALSE)))</f>
        <v>105</v>
      </c>
      <c r="AC29" s="591"/>
      <c r="AD29" s="613">
        <f t="shared" si="23"/>
        <v>105</v>
      </c>
      <c r="AE29" s="769" t="s">
        <v>67</v>
      </c>
      <c r="AF29" s="575">
        <v>1</v>
      </c>
      <c r="AG29" s="584">
        <f>+IF(AF29="","",(VLOOKUP($C29,'EQUIP RATE SCHEDULE'!$B$11:$F$162,5,FALSE)))</f>
        <v>105</v>
      </c>
      <c r="AH29" s="591"/>
      <c r="AI29" s="613">
        <f t="shared" si="24"/>
        <v>105</v>
      </c>
      <c r="AJ29" s="769" t="s">
        <v>67</v>
      </c>
      <c r="AK29" s="575">
        <v>1</v>
      </c>
      <c r="AL29" s="584">
        <f>+IF(AK29="","",(VLOOKUP($C29,'EQUIP RATE SCHEDULE'!$B$11:$F$162,5,FALSE)))</f>
        <v>105</v>
      </c>
      <c r="AM29" s="591"/>
      <c r="AN29" s="613">
        <f t="shared" si="25"/>
        <v>105</v>
      </c>
      <c r="AO29" s="769" t="s">
        <v>67</v>
      </c>
      <c r="AP29" s="575">
        <v>1</v>
      </c>
      <c r="AQ29" s="584">
        <f>+IF(AP29="","",(VLOOKUP($C29,'EQUIP RATE SCHEDULE'!$B$11:$F$162,5,FALSE)))</f>
        <v>105</v>
      </c>
      <c r="AR29" s="591"/>
      <c r="AS29" s="613">
        <f t="shared" si="26"/>
        <v>105</v>
      </c>
      <c r="AT29" s="769" t="s">
        <v>67</v>
      </c>
      <c r="AU29" s="575">
        <v>1</v>
      </c>
      <c r="AV29" s="584">
        <f>+IF(AU29="","",(VLOOKUP($C29,'EQUIP RATE SCHEDULE'!$B$11:$F$162,5,FALSE)))</f>
        <v>105</v>
      </c>
      <c r="AW29" s="591"/>
      <c r="AX29" s="613">
        <f t="shared" si="27"/>
        <v>105</v>
      </c>
      <c r="AY29" s="769" t="s">
        <v>67</v>
      </c>
      <c r="AZ29" s="575">
        <v>1</v>
      </c>
      <c r="BA29" s="584">
        <f>+IF(AZ29="","",(VLOOKUP($C29,'EQUIP RATE SCHEDULE'!$B$11:$F$162,5,FALSE)))</f>
        <v>105</v>
      </c>
      <c r="BB29" s="591"/>
      <c r="BC29" s="613">
        <f t="shared" si="28"/>
        <v>105</v>
      </c>
      <c r="BD29" s="769" t="s">
        <v>67</v>
      </c>
      <c r="BE29" s="575">
        <v>1</v>
      </c>
      <c r="BF29" s="584">
        <f>+IF(BE29="","",(VLOOKUP($C29,'EQUIP RATE SCHEDULE'!$B$11:$F$162,5,FALSE)))</f>
        <v>105</v>
      </c>
      <c r="BG29" s="591"/>
      <c r="BH29" s="613">
        <f t="shared" si="9"/>
        <v>105</v>
      </c>
      <c r="BI29" s="769" t="s">
        <v>67</v>
      </c>
      <c r="BJ29" s="575">
        <v>1</v>
      </c>
      <c r="BK29" s="584">
        <f>+IF(BJ29="","",(VLOOKUP($C29,'EQUIP RATE SCHEDULE'!$B$11:$F$162,5,FALSE)))</f>
        <v>105</v>
      </c>
      <c r="BL29" s="591"/>
      <c r="BM29" s="613">
        <f t="shared" si="10"/>
        <v>105</v>
      </c>
      <c r="BN29" s="769" t="s">
        <v>67</v>
      </c>
      <c r="BO29" s="575">
        <v>1</v>
      </c>
      <c r="BP29" s="584">
        <f>+IF(BO29="","",(VLOOKUP($C29,'EQUIP RATE SCHEDULE'!$B$11:$F$162,5,FALSE)))</f>
        <v>105</v>
      </c>
      <c r="BQ29" s="591"/>
      <c r="BR29" s="613">
        <f t="shared" si="11"/>
        <v>105</v>
      </c>
      <c r="BS29" s="769" t="s">
        <v>67</v>
      </c>
      <c r="BT29" s="575">
        <v>1</v>
      </c>
      <c r="BU29" s="584">
        <f>+IF(BT29="","",(VLOOKUP($C29,'EQUIP RATE SCHEDULE'!$B$11:$F$162,5,FALSE)))</f>
        <v>105</v>
      </c>
      <c r="BV29" s="591"/>
      <c r="BW29" s="613">
        <f t="shared" si="12"/>
        <v>105</v>
      </c>
      <c r="BX29" s="769" t="s">
        <v>67</v>
      </c>
      <c r="BY29" s="575">
        <v>1</v>
      </c>
      <c r="BZ29" s="584">
        <f>+IF(BY29="","",(VLOOKUP($C29,'EQUIP RATE SCHEDULE'!$B$11:$F$162,5,FALSE)))</f>
        <v>105</v>
      </c>
      <c r="CA29" s="591"/>
      <c r="CB29" s="613">
        <f t="shared" si="13"/>
        <v>105</v>
      </c>
      <c r="CC29" s="769" t="s">
        <v>67</v>
      </c>
      <c r="CD29" s="575">
        <v>1</v>
      </c>
      <c r="CE29" s="584">
        <f>+IF(CD29="","",(VLOOKUP($C29,'EQUIP RATE SCHEDULE'!$B$11:$F$162,5,FALSE)))</f>
        <v>105</v>
      </c>
      <c r="CF29" s="591"/>
      <c r="CG29" s="613">
        <f t="shared" si="14"/>
        <v>105</v>
      </c>
      <c r="CH29" s="769" t="s">
        <v>67</v>
      </c>
      <c r="CI29" s="575">
        <v>1</v>
      </c>
      <c r="CJ29" s="584">
        <f>+IF(CI29="","",(VLOOKUP($C29,'EQUIP RATE SCHEDULE'!$B$11:$F$162,5,FALSE)))</f>
        <v>105</v>
      </c>
      <c r="CK29" s="591"/>
      <c r="CL29" s="613">
        <f t="shared" si="15"/>
        <v>105</v>
      </c>
      <c r="CM29" s="769" t="s">
        <v>67</v>
      </c>
      <c r="CN29" s="575">
        <v>1</v>
      </c>
      <c r="CO29" s="584">
        <f>+IF(CN29="","",(VLOOKUP($C29,'EQUIP RATE SCHEDULE'!$B$11:$F$162,5,FALSE)))</f>
        <v>105</v>
      </c>
      <c r="CP29" s="591"/>
      <c r="CQ29" s="613">
        <f t="shared" si="16"/>
        <v>105</v>
      </c>
      <c r="CR29" s="769" t="s">
        <v>67</v>
      </c>
      <c r="CS29" s="575">
        <v>1</v>
      </c>
      <c r="CT29" s="584">
        <f>+IF(CS29="","",(VLOOKUP($C29,'EQUIP RATE SCHEDULE'!$B$11:$F$162,5,FALSE)))</f>
        <v>105</v>
      </c>
      <c r="CU29" s="591"/>
      <c r="CV29" s="613">
        <f t="shared" si="17"/>
        <v>105</v>
      </c>
      <c r="CW29" s="769" t="s">
        <v>67</v>
      </c>
      <c r="CX29" s="575">
        <v>1</v>
      </c>
      <c r="CY29" s="584">
        <f>+IF(CX29="","",(VLOOKUP($C29,'EQUIP RATE SCHEDULE'!$B$11:$F$162,5,FALSE)))</f>
        <v>105</v>
      </c>
      <c r="CZ29" s="591"/>
      <c r="DA29" s="613">
        <f t="shared" si="18"/>
        <v>105</v>
      </c>
    </row>
    <row r="30" spans="1:105" ht="15" x14ac:dyDescent="0.25">
      <c r="A30" s="1513"/>
      <c r="B30" s="809" t="s">
        <v>522</v>
      </c>
      <c r="C30" s="776" t="s">
        <v>947</v>
      </c>
      <c r="D30" s="1491" t="s">
        <v>948</v>
      </c>
      <c r="E30" s="1488" t="s">
        <v>949</v>
      </c>
      <c r="F30" s="769" t="s">
        <v>66</v>
      </c>
      <c r="G30" s="575">
        <v>1</v>
      </c>
      <c r="H30" s="584">
        <f>+IF(G30="","",(VLOOKUP($C30,'EQUIP RATE SCHEDULE'!$B$11:$F$162,5,FALSE)))</f>
        <v>50</v>
      </c>
      <c r="I30" s="591"/>
      <c r="J30" s="613">
        <f t="shared" si="19"/>
        <v>50</v>
      </c>
      <c r="K30" s="769" t="s">
        <v>66</v>
      </c>
      <c r="L30" s="575">
        <v>1</v>
      </c>
      <c r="M30" s="584">
        <f>+IF(L30="","",(VLOOKUP($C30,'EQUIP RATE SCHEDULE'!$B$11:$F$162,5,FALSE)))</f>
        <v>50</v>
      </c>
      <c r="N30" s="591"/>
      <c r="O30" s="613">
        <f t="shared" si="20"/>
        <v>50</v>
      </c>
      <c r="P30" s="769" t="s">
        <v>66</v>
      </c>
      <c r="Q30" s="575">
        <v>1</v>
      </c>
      <c r="R30" s="584">
        <f>+IF(Q30="","",(VLOOKUP($C30,'EQUIP RATE SCHEDULE'!$B$11:$F$162,5,FALSE)))</f>
        <v>50</v>
      </c>
      <c r="S30" s="591"/>
      <c r="T30" s="613">
        <f t="shared" si="21"/>
        <v>50</v>
      </c>
      <c r="U30" s="769" t="s">
        <v>66</v>
      </c>
      <c r="V30" s="575">
        <v>1</v>
      </c>
      <c r="W30" s="584">
        <f>+IF(V30="","",(VLOOKUP($C30,'EQUIP RATE SCHEDULE'!$B$11:$F$162,5,FALSE)))</f>
        <v>50</v>
      </c>
      <c r="X30" s="591"/>
      <c r="Y30" s="613">
        <f t="shared" si="22"/>
        <v>50</v>
      </c>
      <c r="Z30" s="769" t="s">
        <v>66</v>
      </c>
      <c r="AA30" s="575">
        <v>1</v>
      </c>
      <c r="AB30" s="584">
        <f>+IF(AA30="","",(VLOOKUP($C30,'EQUIP RATE SCHEDULE'!$B$11:$F$162,5,FALSE)))</f>
        <v>50</v>
      </c>
      <c r="AC30" s="591"/>
      <c r="AD30" s="613">
        <f t="shared" si="23"/>
        <v>50</v>
      </c>
      <c r="AE30" s="769" t="s">
        <v>66</v>
      </c>
      <c r="AF30" s="575">
        <v>1</v>
      </c>
      <c r="AG30" s="584">
        <f>+IF(AF30="","",(VLOOKUP($C30,'EQUIP RATE SCHEDULE'!$B$11:$F$162,5,FALSE)))</f>
        <v>50</v>
      </c>
      <c r="AH30" s="591"/>
      <c r="AI30" s="613">
        <f t="shared" si="24"/>
        <v>50</v>
      </c>
      <c r="AJ30" s="769" t="s">
        <v>66</v>
      </c>
      <c r="AK30" s="575">
        <v>1</v>
      </c>
      <c r="AL30" s="584">
        <f>+IF(AK30="","",(VLOOKUP($C30,'EQUIP RATE SCHEDULE'!$B$11:$F$162,5,FALSE)))</f>
        <v>50</v>
      </c>
      <c r="AM30" s="591"/>
      <c r="AN30" s="613">
        <f t="shared" si="25"/>
        <v>50</v>
      </c>
      <c r="AO30" s="769" t="s">
        <v>66</v>
      </c>
      <c r="AP30" s="575">
        <v>1</v>
      </c>
      <c r="AQ30" s="584">
        <f>+IF(AP30="","",(VLOOKUP($C30,'EQUIP RATE SCHEDULE'!$B$11:$F$162,5,FALSE)))</f>
        <v>50</v>
      </c>
      <c r="AR30" s="591"/>
      <c r="AS30" s="613">
        <f t="shared" si="26"/>
        <v>50</v>
      </c>
      <c r="AT30" s="769" t="s">
        <v>66</v>
      </c>
      <c r="AU30" s="575">
        <v>1</v>
      </c>
      <c r="AV30" s="584">
        <f>+IF(AU30="","",(VLOOKUP($C30,'EQUIP RATE SCHEDULE'!$B$11:$F$162,5,FALSE)))</f>
        <v>50</v>
      </c>
      <c r="AW30" s="591"/>
      <c r="AX30" s="613">
        <f t="shared" si="27"/>
        <v>50</v>
      </c>
      <c r="AY30" s="769" t="s">
        <v>66</v>
      </c>
      <c r="AZ30" s="575">
        <v>1</v>
      </c>
      <c r="BA30" s="584">
        <f>+IF(AZ30="","",(VLOOKUP($C30,'EQUIP RATE SCHEDULE'!$B$11:$F$162,5,FALSE)))</f>
        <v>50</v>
      </c>
      <c r="BB30" s="591"/>
      <c r="BC30" s="613">
        <f t="shared" si="28"/>
        <v>50</v>
      </c>
      <c r="BD30" s="769" t="s">
        <v>66</v>
      </c>
      <c r="BE30" s="575">
        <v>1</v>
      </c>
      <c r="BF30" s="584">
        <f>+IF(BE30="","",(VLOOKUP($C30,'EQUIP RATE SCHEDULE'!$B$11:$F$162,5,FALSE)))</f>
        <v>50</v>
      </c>
      <c r="BG30" s="591"/>
      <c r="BH30" s="613">
        <f t="shared" si="9"/>
        <v>50</v>
      </c>
      <c r="BI30" s="769" t="s">
        <v>66</v>
      </c>
      <c r="BJ30" s="575">
        <v>1</v>
      </c>
      <c r="BK30" s="584">
        <f>+IF(BJ30="","",(VLOOKUP($C30,'EQUIP RATE SCHEDULE'!$B$11:$F$162,5,FALSE)))</f>
        <v>50</v>
      </c>
      <c r="BL30" s="591"/>
      <c r="BM30" s="613">
        <f t="shared" si="10"/>
        <v>50</v>
      </c>
      <c r="BN30" s="769" t="s">
        <v>66</v>
      </c>
      <c r="BO30" s="575">
        <v>1</v>
      </c>
      <c r="BP30" s="584">
        <f>+IF(BO30="","",(VLOOKUP($C30,'EQUIP RATE SCHEDULE'!$B$11:$F$162,5,FALSE)))</f>
        <v>50</v>
      </c>
      <c r="BQ30" s="591"/>
      <c r="BR30" s="613">
        <f t="shared" si="11"/>
        <v>50</v>
      </c>
      <c r="BS30" s="769" t="s">
        <v>66</v>
      </c>
      <c r="BT30" s="575">
        <v>1</v>
      </c>
      <c r="BU30" s="584">
        <f>+IF(BT30="","",(VLOOKUP($C30,'EQUIP RATE SCHEDULE'!$B$11:$F$162,5,FALSE)))</f>
        <v>50</v>
      </c>
      <c r="BV30" s="591"/>
      <c r="BW30" s="613">
        <f t="shared" si="12"/>
        <v>50</v>
      </c>
      <c r="BX30" s="769" t="s">
        <v>66</v>
      </c>
      <c r="BY30" s="575"/>
      <c r="BZ30" s="584" t="str">
        <f>+IF(BY30="","",(VLOOKUP($C30,'EQUIP RATE SCHEDULE'!$B$11:$F$162,5,FALSE)))</f>
        <v/>
      </c>
      <c r="CA30" s="591"/>
      <c r="CB30" s="613" t="str">
        <f t="shared" si="13"/>
        <v/>
      </c>
      <c r="CC30" s="769" t="s">
        <v>66</v>
      </c>
      <c r="CD30" s="575">
        <v>1</v>
      </c>
      <c r="CE30" s="584">
        <f>+IF(CD30="","",(VLOOKUP($C30,'EQUIP RATE SCHEDULE'!$B$11:$F$162,5,FALSE)))</f>
        <v>50</v>
      </c>
      <c r="CF30" s="591"/>
      <c r="CG30" s="613">
        <f t="shared" si="14"/>
        <v>50</v>
      </c>
      <c r="CH30" s="769" t="s">
        <v>66</v>
      </c>
      <c r="CI30" s="575">
        <v>1</v>
      </c>
      <c r="CJ30" s="584">
        <f>+IF(CI30="","",(VLOOKUP($C30,'EQUIP RATE SCHEDULE'!$B$11:$F$162,5,FALSE)))</f>
        <v>50</v>
      </c>
      <c r="CK30" s="591"/>
      <c r="CL30" s="613">
        <f t="shared" si="15"/>
        <v>50</v>
      </c>
      <c r="CM30" s="769" t="s">
        <v>66</v>
      </c>
      <c r="CN30" s="575">
        <v>1</v>
      </c>
      <c r="CO30" s="584">
        <f>+IF(CN30="","",(VLOOKUP($C30,'EQUIP RATE SCHEDULE'!$B$11:$F$162,5,FALSE)))</f>
        <v>50</v>
      </c>
      <c r="CP30" s="591"/>
      <c r="CQ30" s="613">
        <f t="shared" si="16"/>
        <v>50</v>
      </c>
      <c r="CR30" s="769" t="s">
        <v>66</v>
      </c>
      <c r="CS30" s="575">
        <v>1</v>
      </c>
      <c r="CT30" s="584">
        <f>+IF(CS30="","",(VLOOKUP($C30,'EQUIP RATE SCHEDULE'!$B$11:$F$162,5,FALSE)))</f>
        <v>50</v>
      </c>
      <c r="CU30" s="591"/>
      <c r="CV30" s="613">
        <f t="shared" si="17"/>
        <v>50</v>
      </c>
      <c r="CW30" s="769" t="s">
        <v>66</v>
      </c>
      <c r="CX30" s="575">
        <v>1</v>
      </c>
      <c r="CY30" s="584">
        <f>+IF(CX30="","",(VLOOKUP($C30,'EQUIP RATE SCHEDULE'!$B$11:$F$162,5,FALSE)))</f>
        <v>50</v>
      </c>
      <c r="CZ30" s="591"/>
      <c r="DA30" s="613">
        <f t="shared" si="18"/>
        <v>50</v>
      </c>
    </row>
    <row r="31" spans="1:105" ht="15" x14ac:dyDescent="0.25">
      <c r="A31" s="1513"/>
      <c r="B31" s="809" t="s">
        <v>522</v>
      </c>
      <c r="C31" s="776" t="s">
        <v>951</v>
      </c>
      <c r="D31" s="1492"/>
      <c r="E31" s="1490"/>
      <c r="F31" s="769" t="s">
        <v>67</v>
      </c>
      <c r="G31" s="575">
        <v>1</v>
      </c>
      <c r="H31" s="584">
        <f>+IF(G31="","",(VLOOKUP($C31,'EQUIP RATE SCHEDULE'!$B$11:$F$162,5,FALSE)))</f>
        <v>150</v>
      </c>
      <c r="I31" s="591"/>
      <c r="J31" s="613">
        <f t="shared" si="19"/>
        <v>150</v>
      </c>
      <c r="K31" s="769" t="s">
        <v>67</v>
      </c>
      <c r="L31" s="575">
        <v>1</v>
      </c>
      <c r="M31" s="584">
        <f>+IF(L31="","",(VLOOKUP($C31,'EQUIP RATE SCHEDULE'!$B$11:$F$162,5,FALSE)))</f>
        <v>150</v>
      </c>
      <c r="N31" s="591"/>
      <c r="O31" s="613">
        <f t="shared" si="20"/>
        <v>150</v>
      </c>
      <c r="P31" s="769" t="s">
        <v>67</v>
      </c>
      <c r="Q31" s="575">
        <v>1</v>
      </c>
      <c r="R31" s="584">
        <f>+IF(Q31="","",(VLOOKUP($C31,'EQUIP RATE SCHEDULE'!$B$11:$F$162,5,FALSE)))</f>
        <v>150</v>
      </c>
      <c r="S31" s="591"/>
      <c r="T31" s="613">
        <f t="shared" si="21"/>
        <v>150</v>
      </c>
      <c r="U31" s="769" t="s">
        <v>67</v>
      </c>
      <c r="V31" s="575">
        <v>1</v>
      </c>
      <c r="W31" s="584">
        <f>+IF(V31="","",(VLOOKUP($C31,'EQUIP RATE SCHEDULE'!$B$11:$F$162,5,FALSE)))</f>
        <v>150</v>
      </c>
      <c r="X31" s="591"/>
      <c r="Y31" s="613">
        <f t="shared" si="22"/>
        <v>150</v>
      </c>
      <c r="Z31" s="769" t="s">
        <v>67</v>
      </c>
      <c r="AA31" s="575">
        <v>1</v>
      </c>
      <c r="AB31" s="584">
        <f>+IF(AA31="","",(VLOOKUP($C31,'EQUIP RATE SCHEDULE'!$B$11:$F$162,5,FALSE)))</f>
        <v>150</v>
      </c>
      <c r="AC31" s="591"/>
      <c r="AD31" s="613">
        <f t="shared" si="23"/>
        <v>150</v>
      </c>
      <c r="AE31" s="769" t="s">
        <v>67</v>
      </c>
      <c r="AF31" s="575">
        <v>1</v>
      </c>
      <c r="AG31" s="584">
        <f>+IF(AF31="","",(VLOOKUP($C31,'EQUIP RATE SCHEDULE'!$B$11:$F$162,5,FALSE)))</f>
        <v>150</v>
      </c>
      <c r="AH31" s="591"/>
      <c r="AI31" s="613">
        <f t="shared" si="24"/>
        <v>150</v>
      </c>
      <c r="AJ31" s="769" t="s">
        <v>67</v>
      </c>
      <c r="AK31" s="575">
        <v>1</v>
      </c>
      <c r="AL31" s="584">
        <f>+IF(AK31="","",(VLOOKUP($C31,'EQUIP RATE SCHEDULE'!$B$11:$F$162,5,FALSE)))</f>
        <v>150</v>
      </c>
      <c r="AM31" s="591"/>
      <c r="AN31" s="613">
        <f t="shared" si="25"/>
        <v>150</v>
      </c>
      <c r="AO31" s="769" t="s">
        <v>67</v>
      </c>
      <c r="AP31" s="575">
        <v>1</v>
      </c>
      <c r="AQ31" s="584">
        <f>+IF(AP31="","",(VLOOKUP($C31,'EQUIP RATE SCHEDULE'!$B$11:$F$162,5,FALSE)))</f>
        <v>150</v>
      </c>
      <c r="AR31" s="591"/>
      <c r="AS31" s="613">
        <f t="shared" si="26"/>
        <v>150</v>
      </c>
      <c r="AT31" s="769" t="s">
        <v>67</v>
      </c>
      <c r="AU31" s="575">
        <v>1</v>
      </c>
      <c r="AV31" s="584">
        <f>+IF(AU31="","",(VLOOKUP($C31,'EQUIP RATE SCHEDULE'!$B$11:$F$162,5,FALSE)))</f>
        <v>150</v>
      </c>
      <c r="AW31" s="591"/>
      <c r="AX31" s="613">
        <f t="shared" si="27"/>
        <v>150</v>
      </c>
      <c r="AY31" s="769" t="s">
        <v>67</v>
      </c>
      <c r="AZ31" s="575">
        <v>1</v>
      </c>
      <c r="BA31" s="584">
        <f>+IF(AZ31="","",(VLOOKUP($C31,'EQUIP RATE SCHEDULE'!$B$11:$F$162,5,FALSE)))</f>
        <v>150</v>
      </c>
      <c r="BB31" s="591"/>
      <c r="BC31" s="613">
        <f t="shared" si="28"/>
        <v>150</v>
      </c>
      <c r="BD31" s="769" t="s">
        <v>67</v>
      </c>
      <c r="BE31" s="575">
        <v>1</v>
      </c>
      <c r="BF31" s="584">
        <f>+IF(BE31="","",(VLOOKUP($C31,'EQUIP RATE SCHEDULE'!$B$11:$F$162,5,FALSE)))</f>
        <v>150</v>
      </c>
      <c r="BG31" s="591"/>
      <c r="BH31" s="613">
        <f t="shared" si="9"/>
        <v>150</v>
      </c>
      <c r="BI31" s="769" t="s">
        <v>67</v>
      </c>
      <c r="BJ31" s="575">
        <v>1</v>
      </c>
      <c r="BK31" s="584">
        <f>+IF(BJ31="","",(VLOOKUP($C31,'EQUIP RATE SCHEDULE'!$B$11:$F$162,5,FALSE)))</f>
        <v>150</v>
      </c>
      <c r="BL31" s="591"/>
      <c r="BM31" s="613">
        <f t="shared" si="10"/>
        <v>150</v>
      </c>
      <c r="BN31" s="769" t="s">
        <v>67</v>
      </c>
      <c r="BO31" s="575">
        <v>1</v>
      </c>
      <c r="BP31" s="584">
        <f>+IF(BO31="","",(VLOOKUP($C31,'EQUIP RATE SCHEDULE'!$B$11:$F$162,5,FALSE)))</f>
        <v>150</v>
      </c>
      <c r="BQ31" s="591"/>
      <c r="BR31" s="613">
        <f t="shared" si="11"/>
        <v>150</v>
      </c>
      <c r="BS31" s="769" t="s">
        <v>67</v>
      </c>
      <c r="BT31" s="575">
        <v>1</v>
      </c>
      <c r="BU31" s="584">
        <f>+IF(BT31="","",(VLOOKUP($C31,'EQUIP RATE SCHEDULE'!$B$11:$F$162,5,FALSE)))</f>
        <v>150</v>
      </c>
      <c r="BV31" s="591"/>
      <c r="BW31" s="613">
        <f t="shared" si="12"/>
        <v>150</v>
      </c>
      <c r="BX31" s="769" t="s">
        <v>67</v>
      </c>
      <c r="BY31" s="575">
        <v>1</v>
      </c>
      <c r="BZ31" s="584">
        <f>+IF(BY31="","",(VLOOKUP($C31,'EQUIP RATE SCHEDULE'!$B$11:$F$162,5,FALSE)))</f>
        <v>150</v>
      </c>
      <c r="CA31" s="591"/>
      <c r="CB31" s="613">
        <f t="shared" si="13"/>
        <v>150</v>
      </c>
      <c r="CC31" s="769" t="s">
        <v>67</v>
      </c>
      <c r="CD31" s="575">
        <v>1</v>
      </c>
      <c r="CE31" s="584">
        <f>+IF(CD31="","",(VLOOKUP($C31,'EQUIP RATE SCHEDULE'!$B$11:$F$162,5,FALSE)))</f>
        <v>150</v>
      </c>
      <c r="CF31" s="591"/>
      <c r="CG31" s="613">
        <f t="shared" si="14"/>
        <v>150</v>
      </c>
      <c r="CH31" s="769" t="s">
        <v>67</v>
      </c>
      <c r="CI31" s="575">
        <v>1</v>
      </c>
      <c r="CJ31" s="584">
        <f>+IF(CI31="","",(VLOOKUP($C31,'EQUIP RATE SCHEDULE'!$B$11:$F$162,5,FALSE)))</f>
        <v>150</v>
      </c>
      <c r="CK31" s="591"/>
      <c r="CL31" s="613">
        <f t="shared" si="15"/>
        <v>150</v>
      </c>
      <c r="CM31" s="769" t="s">
        <v>67</v>
      </c>
      <c r="CN31" s="575">
        <v>1</v>
      </c>
      <c r="CO31" s="584">
        <f>+IF(CN31="","",(VLOOKUP($C31,'EQUIP RATE SCHEDULE'!$B$11:$F$162,5,FALSE)))</f>
        <v>150</v>
      </c>
      <c r="CP31" s="591"/>
      <c r="CQ31" s="613">
        <f t="shared" si="16"/>
        <v>150</v>
      </c>
      <c r="CR31" s="769" t="s">
        <v>67</v>
      </c>
      <c r="CS31" s="575">
        <v>1</v>
      </c>
      <c r="CT31" s="584">
        <f>+IF(CS31="","",(VLOOKUP($C31,'EQUIP RATE SCHEDULE'!$B$11:$F$162,5,FALSE)))</f>
        <v>150</v>
      </c>
      <c r="CU31" s="591"/>
      <c r="CV31" s="613">
        <f t="shared" si="17"/>
        <v>150</v>
      </c>
      <c r="CW31" s="769" t="s">
        <v>67</v>
      </c>
      <c r="CX31" s="575">
        <v>1</v>
      </c>
      <c r="CY31" s="584">
        <f>+IF(CX31="","",(VLOOKUP($C31,'EQUIP RATE SCHEDULE'!$B$11:$F$162,5,FALSE)))</f>
        <v>150</v>
      </c>
      <c r="CZ31" s="591"/>
      <c r="DA31" s="613">
        <f t="shared" si="18"/>
        <v>150</v>
      </c>
    </row>
    <row r="32" spans="1:105" ht="15" x14ac:dyDescent="0.25">
      <c r="A32" s="1513"/>
      <c r="B32" s="809" t="s">
        <v>522</v>
      </c>
      <c r="C32" s="776" t="s">
        <v>952</v>
      </c>
      <c r="D32" s="1491" t="s">
        <v>953</v>
      </c>
      <c r="E32" s="1488" t="s">
        <v>1217</v>
      </c>
      <c r="F32" s="769" t="s">
        <v>66</v>
      </c>
      <c r="G32" s="575">
        <v>1</v>
      </c>
      <c r="H32" s="584">
        <f>+IF(G32="","",(VLOOKUP($C32,'EQUIP RATE SCHEDULE'!$B$11:$F$162,5,FALSE)))</f>
        <v>100</v>
      </c>
      <c r="I32" s="591"/>
      <c r="J32" s="613">
        <f t="shared" si="19"/>
        <v>100</v>
      </c>
      <c r="K32" s="769" t="s">
        <v>66</v>
      </c>
      <c r="L32" s="575">
        <v>1</v>
      </c>
      <c r="M32" s="584">
        <f>+IF(L32="","",(VLOOKUP($C32,'EQUIP RATE SCHEDULE'!$B$11:$F$162,5,FALSE)))</f>
        <v>100</v>
      </c>
      <c r="N32" s="591"/>
      <c r="O32" s="613">
        <f t="shared" si="20"/>
        <v>100</v>
      </c>
      <c r="P32" s="769" t="s">
        <v>66</v>
      </c>
      <c r="Q32" s="575">
        <v>1</v>
      </c>
      <c r="R32" s="584">
        <f>+IF(Q32="","",(VLOOKUP($C32,'EQUIP RATE SCHEDULE'!$B$11:$F$162,5,FALSE)))</f>
        <v>100</v>
      </c>
      <c r="S32" s="591"/>
      <c r="T32" s="613">
        <f t="shared" si="21"/>
        <v>100</v>
      </c>
      <c r="U32" s="769" t="s">
        <v>66</v>
      </c>
      <c r="V32" s="575">
        <v>1</v>
      </c>
      <c r="W32" s="584">
        <f>+IF(V32="","",(VLOOKUP($C32,'EQUIP RATE SCHEDULE'!$B$11:$F$162,5,FALSE)))</f>
        <v>100</v>
      </c>
      <c r="X32" s="591"/>
      <c r="Y32" s="613">
        <f t="shared" si="22"/>
        <v>100</v>
      </c>
      <c r="Z32" s="769" t="s">
        <v>66</v>
      </c>
      <c r="AA32" s="575">
        <v>1</v>
      </c>
      <c r="AB32" s="584">
        <f>+IF(AA32="","",(VLOOKUP($C32,'EQUIP RATE SCHEDULE'!$B$11:$F$162,5,FALSE)))</f>
        <v>100</v>
      </c>
      <c r="AC32" s="591"/>
      <c r="AD32" s="613">
        <f t="shared" si="23"/>
        <v>100</v>
      </c>
      <c r="AE32" s="769" t="s">
        <v>66</v>
      </c>
      <c r="AF32" s="575">
        <v>1</v>
      </c>
      <c r="AG32" s="584">
        <f>+IF(AF32="","",(VLOOKUP($C32,'EQUIP RATE SCHEDULE'!$B$11:$F$162,5,FALSE)))</f>
        <v>100</v>
      </c>
      <c r="AH32" s="591"/>
      <c r="AI32" s="613">
        <f t="shared" si="24"/>
        <v>100</v>
      </c>
      <c r="AJ32" s="769" t="s">
        <v>66</v>
      </c>
      <c r="AK32" s="575">
        <v>1</v>
      </c>
      <c r="AL32" s="584">
        <f>+IF(AK32="","",(VLOOKUP($C32,'EQUIP RATE SCHEDULE'!$B$11:$F$162,5,FALSE)))</f>
        <v>100</v>
      </c>
      <c r="AM32" s="591"/>
      <c r="AN32" s="613">
        <f t="shared" si="25"/>
        <v>100</v>
      </c>
      <c r="AO32" s="769" t="s">
        <v>66</v>
      </c>
      <c r="AP32" s="575">
        <v>1</v>
      </c>
      <c r="AQ32" s="584">
        <f>+IF(AP32="","",(VLOOKUP($C32,'EQUIP RATE SCHEDULE'!$B$11:$F$162,5,FALSE)))</f>
        <v>100</v>
      </c>
      <c r="AR32" s="591"/>
      <c r="AS32" s="613">
        <f t="shared" si="26"/>
        <v>100</v>
      </c>
      <c r="AT32" s="769" t="s">
        <v>66</v>
      </c>
      <c r="AU32" s="575">
        <v>1</v>
      </c>
      <c r="AV32" s="584">
        <f>+IF(AU32="","",(VLOOKUP($C32,'EQUIP RATE SCHEDULE'!$B$11:$F$162,5,FALSE)))</f>
        <v>100</v>
      </c>
      <c r="AW32" s="591"/>
      <c r="AX32" s="613">
        <f t="shared" si="27"/>
        <v>100</v>
      </c>
      <c r="AY32" s="769" t="s">
        <v>66</v>
      </c>
      <c r="AZ32" s="575">
        <v>1</v>
      </c>
      <c r="BA32" s="584">
        <f>+IF(AZ32="","",(VLOOKUP($C32,'EQUIP RATE SCHEDULE'!$B$11:$F$162,5,FALSE)))</f>
        <v>100</v>
      </c>
      <c r="BB32" s="591"/>
      <c r="BC32" s="613">
        <f t="shared" si="28"/>
        <v>100</v>
      </c>
      <c r="BD32" s="769" t="s">
        <v>66</v>
      </c>
      <c r="BE32" s="575">
        <v>1</v>
      </c>
      <c r="BF32" s="584">
        <f>+IF(BE32="","",(VLOOKUP($C32,'EQUIP RATE SCHEDULE'!$B$11:$F$162,5,FALSE)))</f>
        <v>100</v>
      </c>
      <c r="BG32" s="591"/>
      <c r="BH32" s="613">
        <f t="shared" si="9"/>
        <v>100</v>
      </c>
      <c r="BI32" s="769" t="s">
        <v>66</v>
      </c>
      <c r="BJ32" s="575">
        <v>1</v>
      </c>
      <c r="BK32" s="584">
        <f>+IF(BJ32="","",(VLOOKUP($C32,'EQUIP RATE SCHEDULE'!$B$11:$F$162,5,FALSE)))</f>
        <v>100</v>
      </c>
      <c r="BL32" s="591"/>
      <c r="BM32" s="613">
        <f t="shared" si="10"/>
        <v>100</v>
      </c>
      <c r="BN32" s="769" t="s">
        <v>66</v>
      </c>
      <c r="BO32" s="575">
        <v>1</v>
      </c>
      <c r="BP32" s="584">
        <f>+IF(BO32="","",(VLOOKUP($C32,'EQUIP RATE SCHEDULE'!$B$11:$F$162,5,FALSE)))</f>
        <v>100</v>
      </c>
      <c r="BQ32" s="591"/>
      <c r="BR32" s="613">
        <f t="shared" si="11"/>
        <v>100</v>
      </c>
      <c r="BS32" s="769" t="s">
        <v>66</v>
      </c>
      <c r="BT32" s="575">
        <v>1</v>
      </c>
      <c r="BU32" s="584">
        <f>+IF(BT32="","",(VLOOKUP($C32,'EQUIP RATE SCHEDULE'!$B$11:$F$162,5,FALSE)))</f>
        <v>100</v>
      </c>
      <c r="BV32" s="591"/>
      <c r="BW32" s="613">
        <f t="shared" si="12"/>
        <v>100</v>
      </c>
      <c r="BX32" s="769" t="s">
        <v>66</v>
      </c>
      <c r="BY32" s="575">
        <v>1</v>
      </c>
      <c r="BZ32" s="584">
        <f>+IF(BY32="","",(VLOOKUP($C32,'EQUIP RATE SCHEDULE'!$B$11:$F$162,5,FALSE)))</f>
        <v>100</v>
      </c>
      <c r="CA32" s="591"/>
      <c r="CB32" s="613">
        <f t="shared" si="13"/>
        <v>100</v>
      </c>
      <c r="CC32" s="769" t="s">
        <v>66</v>
      </c>
      <c r="CD32" s="575">
        <v>1</v>
      </c>
      <c r="CE32" s="584">
        <f>+IF(CD32="","",(VLOOKUP($C32,'EQUIP RATE SCHEDULE'!$B$11:$F$162,5,FALSE)))</f>
        <v>100</v>
      </c>
      <c r="CF32" s="591"/>
      <c r="CG32" s="613">
        <f t="shared" si="14"/>
        <v>100</v>
      </c>
      <c r="CH32" s="769" t="s">
        <v>66</v>
      </c>
      <c r="CI32" s="575">
        <v>1</v>
      </c>
      <c r="CJ32" s="584">
        <f>+IF(CI32="","",(VLOOKUP($C32,'EQUIP RATE SCHEDULE'!$B$11:$F$162,5,FALSE)))</f>
        <v>100</v>
      </c>
      <c r="CK32" s="591"/>
      <c r="CL32" s="613">
        <f t="shared" si="15"/>
        <v>100</v>
      </c>
      <c r="CM32" s="769" t="s">
        <v>66</v>
      </c>
      <c r="CN32" s="575">
        <v>1</v>
      </c>
      <c r="CO32" s="584">
        <f>+IF(CN32="","",(VLOOKUP($C32,'EQUIP RATE SCHEDULE'!$B$11:$F$162,5,FALSE)))</f>
        <v>100</v>
      </c>
      <c r="CP32" s="591"/>
      <c r="CQ32" s="613">
        <f t="shared" si="16"/>
        <v>100</v>
      </c>
      <c r="CR32" s="769" t="s">
        <v>66</v>
      </c>
      <c r="CS32" s="575">
        <v>1</v>
      </c>
      <c r="CT32" s="584">
        <f>+IF(CS32="","",(VLOOKUP($C32,'EQUIP RATE SCHEDULE'!$B$11:$F$162,5,FALSE)))</f>
        <v>100</v>
      </c>
      <c r="CU32" s="591"/>
      <c r="CV32" s="613">
        <f t="shared" si="17"/>
        <v>100</v>
      </c>
      <c r="CW32" s="769" t="s">
        <v>66</v>
      </c>
      <c r="CX32" s="575">
        <v>1</v>
      </c>
      <c r="CY32" s="584">
        <f>+IF(CX32="","",(VLOOKUP($C32,'EQUIP RATE SCHEDULE'!$B$11:$F$162,5,FALSE)))</f>
        <v>100</v>
      </c>
      <c r="CZ32" s="591"/>
      <c r="DA32" s="613">
        <f t="shared" si="18"/>
        <v>100</v>
      </c>
    </row>
    <row r="33" spans="1:105" ht="15" x14ac:dyDescent="0.25">
      <c r="A33" s="1513"/>
      <c r="B33" s="809" t="s">
        <v>522</v>
      </c>
      <c r="C33" s="776" t="s">
        <v>955</v>
      </c>
      <c r="D33" s="1492"/>
      <c r="E33" s="1490"/>
      <c r="F33" s="769" t="s">
        <v>67</v>
      </c>
      <c r="G33" s="575">
        <v>1</v>
      </c>
      <c r="H33" s="584">
        <f>+IF(G33="","",(VLOOKUP($C33,'EQUIP RATE SCHEDULE'!$B$11:$F$162,5,FALSE)))</f>
        <v>300</v>
      </c>
      <c r="I33" s="591"/>
      <c r="J33" s="613">
        <f t="shared" si="19"/>
        <v>300</v>
      </c>
      <c r="K33" s="769" t="s">
        <v>67</v>
      </c>
      <c r="L33" s="575">
        <v>1</v>
      </c>
      <c r="M33" s="584">
        <f>+IF(L33="","",(VLOOKUP($C33,'EQUIP RATE SCHEDULE'!$B$11:$F$162,5,FALSE)))</f>
        <v>300</v>
      </c>
      <c r="N33" s="591"/>
      <c r="O33" s="613">
        <f t="shared" si="20"/>
        <v>300</v>
      </c>
      <c r="P33" s="769" t="s">
        <v>67</v>
      </c>
      <c r="Q33" s="575">
        <v>1</v>
      </c>
      <c r="R33" s="584">
        <f>+IF(Q33="","",(VLOOKUP($C33,'EQUIP RATE SCHEDULE'!$B$11:$F$162,5,FALSE)))</f>
        <v>300</v>
      </c>
      <c r="S33" s="591"/>
      <c r="T33" s="613">
        <f t="shared" si="21"/>
        <v>300</v>
      </c>
      <c r="U33" s="769" t="s">
        <v>67</v>
      </c>
      <c r="V33" s="575">
        <v>1</v>
      </c>
      <c r="W33" s="584">
        <f>+IF(V33="","",(VLOOKUP($C33,'EQUIP RATE SCHEDULE'!$B$11:$F$162,5,FALSE)))</f>
        <v>300</v>
      </c>
      <c r="X33" s="591"/>
      <c r="Y33" s="613">
        <f t="shared" si="22"/>
        <v>300</v>
      </c>
      <c r="Z33" s="769" t="s">
        <v>67</v>
      </c>
      <c r="AA33" s="575">
        <v>1</v>
      </c>
      <c r="AB33" s="584">
        <f>+IF(AA33="","",(VLOOKUP($C33,'EQUIP RATE SCHEDULE'!$B$11:$F$162,5,FALSE)))</f>
        <v>300</v>
      </c>
      <c r="AC33" s="591"/>
      <c r="AD33" s="613">
        <f t="shared" si="23"/>
        <v>300</v>
      </c>
      <c r="AE33" s="769" t="s">
        <v>67</v>
      </c>
      <c r="AF33" s="575">
        <v>1</v>
      </c>
      <c r="AG33" s="584">
        <f>+IF(AF33="","",(VLOOKUP($C33,'EQUIP RATE SCHEDULE'!$B$11:$F$162,5,FALSE)))</f>
        <v>300</v>
      </c>
      <c r="AH33" s="591"/>
      <c r="AI33" s="613">
        <f t="shared" si="24"/>
        <v>300</v>
      </c>
      <c r="AJ33" s="769" t="s">
        <v>67</v>
      </c>
      <c r="AK33" s="575">
        <v>1</v>
      </c>
      <c r="AL33" s="584">
        <f>+IF(AK33="","",(VLOOKUP($C33,'EQUIP RATE SCHEDULE'!$B$11:$F$162,5,FALSE)))</f>
        <v>300</v>
      </c>
      <c r="AM33" s="591"/>
      <c r="AN33" s="613">
        <f t="shared" si="25"/>
        <v>300</v>
      </c>
      <c r="AO33" s="769" t="s">
        <v>67</v>
      </c>
      <c r="AP33" s="575">
        <v>1</v>
      </c>
      <c r="AQ33" s="584">
        <f>+IF(AP33="","",(VLOOKUP($C33,'EQUIP RATE SCHEDULE'!$B$11:$F$162,5,FALSE)))</f>
        <v>300</v>
      </c>
      <c r="AR33" s="591"/>
      <c r="AS33" s="613">
        <f t="shared" si="26"/>
        <v>300</v>
      </c>
      <c r="AT33" s="769" t="s">
        <v>67</v>
      </c>
      <c r="AU33" s="575">
        <v>1</v>
      </c>
      <c r="AV33" s="584">
        <f>+IF(AU33="","",(VLOOKUP($C33,'EQUIP RATE SCHEDULE'!$B$11:$F$162,5,FALSE)))</f>
        <v>300</v>
      </c>
      <c r="AW33" s="591"/>
      <c r="AX33" s="613">
        <f t="shared" si="27"/>
        <v>300</v>
      </c>
      <c r="AY33" s="769" t="s">
        <v>67</v>
      </c>
      <c r="AZ33" s="575">
        <v>1</v>
      </c>
      <c r="BA33" s="584">
        <f>+IF(AZ33="","",(VLOOKUP($C33,'EQUIP RATE SCHEDULE'!$B$11:$F$162,5,FALSE)))</f>
        <v>300</v>
      </c>
      <c r="BB33" s="591"/>
      <c r="BC33" s="613">
        <f t="shared" si="28"/>
        <v>300</v>
      </c>
      <c r="BD33" s="769" t="s">
        <v>67</v>
      </c>
      <c r="BE33" s="575">
        <v>1</v>
      </c>
      <c r="BF33" s="584">
        <f>+IF(BE33="","",(VLOOKUP($C33,'EQUIP RATE SCHEDULE'!$B$11:$F$162,5,FALSE)))</f>
        <v>300</v>
      </c>
      <c r="BG33" s="591"/>
      <c r="BH33" s="613">
        <f t="shared" si="9"/>
        <v>300</v>
      </c>
      <c r="BI33" s="769" t="s">
        <v>67</v>
      </c>
      <c r="BJ33" s="575">
        <v>1</v>
      </c>
      <c r="BK33" s="584">
        <f>+IF(BJ33="","",(VLOOKUP($C33,'EQUIP RATE SCHEDULE'!$B$11:$F$162,5,FALSE)))</f>
        <v>300</v>
      </c>
      <c r="BL33" s="591"/>
      <c r="BM33" s="613">
        <f t="shared" si="10"/>
        <v>300</v>
      </c>
      <c r="BN33" s="769" t="s">
        <v>67</v>
      </c>
      <c r="BO33" s="575">
        <v>1</v>
      </c>
      <c r="BP33" s="584">
        <f>+IF(BO33="","",(VLOOKUP($C33,'EQUIP RATE SCHEDULE'!$B$11:$F$162,5,FALSE)))</f>
        <v>300</v>
      </c>
      <c r="BQ33" s="591"/>
      <c r="BR33" s="613">
        <f t="shared" si="11"/>
        <v>300</v>
      </c>
      <c r="BS33" s="769" t="s">
        <v>67</v>
      </c>
      <c r="BT33" s="575">
        <v>1</v>
      </c>
      <c r="BU33" s="584">
        <f>+IF(BT33="","",(VLOOKUP($C33,'EQUIP RATE SCHEDULE'!$B$11:$F$162,5,FALSE)))</f>
        <v>300</v>
      </c>
      <c r="BV33" s="591"/>
      <c r="BW33" s="613">
        <f t="shared" si="12"/>
        <v>300</v>
      </c>
      <c r="BX33" s="769" t="s">
        <v>67</v>
      </c>
      <c r="BY33" s="575">
        <v>1</v>
      </c>
      <c r="BZ33" s="584">
        <f>+IF(BY33="","",(VLOOKUP($C33,'EQUIP RATE SCHEDULE'!$B$11:$F$162,5,FALSE)))</f>
        <v>300</v>
      </c>
      <c r="CA33" s="591"/>
      <c r="CB33" s="613">
        <f t="shared" si="13"/>
        <v>300</v>
      </c>
      <c r="CC33" s="769" t="s">
        <v>67</v>
      </c>
      <c r="CD33" s="575">
        <v>1</v>
      </c>
      <c r="CE33" s="584">
        <f>+IF(CD33="","",(VLOOKUP($C33,'EQUIP RATE SCHEDULE'!$B$11:$F$162,5,FALSE)))</f>
        <v>300</v>
      </c>
      <c r="CF33" s="591"/>
      <c r="CG33" s="613">
        <f t="shared" si="14"/>
        <v>300</v>
      </c>
      <c r="CH33" s="769" t="s">
        <v>67</v>
      </c>
      <c r="CI33" s="575">
        <v>1</v>
      </c>
      <c r="CJ33" s="584">
        <f>+IF(CI33="","",(VLOOKUP($C33,'EQUIP RATE SCHEDULE'!$B$11:$F$162,5,FALSE)))</f>
        <v>300</v>
      </c>
      <c r="CK33" s="591"/>
      <c r="CL33" s="613">
        <f t="shared" si="15"/>
        <v>300</v>
      </c>
      <c r="CM33" s="769" t="s">
        <v>67</v>
      </c>
      <c r="CN33" s="575">
        <v>1</v>
      </c>
      <c r="CO33" s="584">
        <f>+IF(CN33="","",(VLOOKUP($C33,'EQUIP RATE SCHEDULE'!$B$11:$F$162,5,FALSE)))</f>
        <v>300</v>
      </c>
      <c r="CP33" s="591"/>
      <c r="CQ33" s="613">
        <f t="shared" si="16"/>
        <v>300</v>
      </c>
      <c r="CR33" s="769" t="s">
        <v>67</v>
      </c>
      <c r="CS33" s="575">
        <v>1</v>
      </c>
      <c r="CT33" s="584">
        <f>+IF(CS33="","",(VLOOKUP($C33,'EQUIP RATE SCHEDULE'!$B$11:$F$162,5,FALSE)))</f>
        <v>300</v>
      </c>
      <c r="CU33" s="591"/>
      <c r="CV33" s="613">
        <f t="shared" si="17"/>
        <v>300</v>
      </c>
      <c r="CW33" s="769" t="s">
        <v>67</v>
      </c>
      <c r="CX33" s="575">
        <v>1</v>
      </c>
      <c r="CY33" s="584">
        <f>+IF(CX33="","",(VLOOKUP($C33,'EQUIP RATE SCHEDULE'!$B$11:$F$162,5,FALSE)))</f>
        <v>300</v>
      </c>
      <c r="CZ33" s="591"/>
      <c r="DA33" s="613">
        <f t="shared" si="18"/>
        <v>300</v>
      </c>
    </row>
    <row r="34" spans="1:105" ht="15" x14ac:dyDescent="0.25">
      <c r="A34" s="1513"/>
      <c r="B34" s="809" t="s">
        <v>522</v>
      </c>
      <c r="C34" s="776" t="s">
        <v>956</v>
      </c>
      <c r="D34" s="1491" t="s">
        <v>957</v>
      </c>
      <c r="E34" s="1488" t="s">
        <v>958</v>
      </c>
      <c r="F34" s="769" t="s">
        <v>66</v>
      </c>
      <c r="G34" s="575">
        <v>1</v>
      </c>
      <c r="H34" s="584">
        <f>+IF(G34="","",(VLOOKUP($C34,'EQUIP RATE SCHEDULE'!$B$11:$F$162,5,FALSE)))</f>
        <v>50</v>
      </c>
      <c r="I34" s="591"/>
      <c r="J34" s="613">
        <f t="shared" si="19"/>
        <v>50</v>
      </c>
      <c r="K34" s="769" t="s">
        <v>66</v>
      </c>
      <c r="L34" s="575">
        <v>1</v>
      </c>
      <c r="M34" s="584">
        <f>+IF(L34="","",(VLOOKUP($C34,'EQUIP RATE SCHEDULE'!$B$11:$F$162,5,FALSE)))</f>
        <v>50</v>
      </c>
      <c r="N34" s="591"/>
      <c r="O34" s="613">
        <f t="shared" si="20"/>
        <v>50</v>
      </c>
      <c r="P34" s="769" t="s">
        <v>66</v>
      </c>
      <c r="Q34" s="575">
        <v>1</v>
      </c>
      <c r="R34" s="584">
        <f>+IF(Q34="","",(VLOOKUP($C34,'EQUIP RATE SCHEDULE'!$B$11:$F$162,5,FALSE)))</f>
        <v>50</v>
      </c>
      <c r="S34" s="591"/>
      <c r="T34" s="613">
        <f t="shared" si="21"/>
        <v>50</v>
      </c>
      <c r="U34" s="769" t="s">
        <v>66</v>
      </c>
      <c r="V34" s="575">
        <v>1</v>
      </c>
      <c r="W34" s="584">
        <f>+IF(V34="","",(VLOOKUP($C34,'EQUIP RATE SCHEDULE'!$B$11:$F$162,5,FALSE)))</f>
        <v>50</v>
      </c>
      <c r="X34" s="591"/>
      <c r="Y34" s="613">
        <f t="shared" si="22"/>
        <v>50</v>
      </c>
      <c r="Z34" s="769" t="s">
        <v>66</v>
      </c>
      <c r="AA34" s="575">
        <v>1</v>
      </c>
      <c r="AB34" s="584">
        <f>+IF(AA34="","",(VLOOKUP($C34,'EQUIP RATE SCHEDULE'!$B$11:$F$162,5,FALSE)))</f>
        <v>50</v>
      </c>
      <c r="AC34" s="591"/>
      <c r="AD34" s="613">
        <f t="shared" si="23"/>
        <v>50</v>
      </c>
      <c r="AE34" s="769" t="s">
        <v>66</v>
      </c>
      <c r="AF34" s="575">
        <v>1</v>
      </c>
      <c r="AG34" s="584">
        <f>+IF(AF34="","",(VLOOKUP($C34,'EQUIP RATE SCHEDULE'!$B$11:$F$162,5,FALSE)))</f>
        <v>50</v>
      </c>
      <c r="AH34" s="591"/>
      <c r="AI34" s="613">
        <f t="shared" si="24"/>
        <v>50</v>
      </c>
      <c r="AJ34" s="769" t="s">
        <v>66</v>
      </c>
      <c r="AK34" s="575">
        <v>1</v>
      </c>
      <c r="AL34" s="584">
        <f>+IF(AK34="","",(VLOOKUP($C34,'EQUIP RATE SCHEDULE'!$B$11:$F$162,5,FALSE)))</f>
        <v>50</v>
      </c>
      <c r="AM34" s="591"/>
      <c r="AN34" s="613">
        <f t="shared" si="25"/>
        <v>50</v>
      </c>
      <c r="AO34" s="769" t="s">
        <v>66</v>
      </c>
      <c r="AP34" s="575">
        <v>1</v>
      </c>
      <c r="AQ34" s="584">
        <f>+IF(AP34="","",(VLOOKUP($C34,'EQUIP RATE SCHEDULE'!$B$11:$F$162,5,FALSE)))</f>
        <v>50</v>
      </c>
      <c r="AR34" s="591"/>
      <c r="AS34" s="613">
        <f t="shared" si="26"/>
        <v>50</v>
      </c>
      <c r="AT34" s="769" t="s">
        <v>66</v>
      </c>
      <c r="AU34" s="575">
        <v>1</v>
      </c>
      <c r="AV34" s="584">
        <f>+IF(AU34="","",(VLOOKUP($C34,'EQUIP RATE SCHEDULE'!$B$11:$F$162,5,FALSE)))</f>
        <v>50</v>
      </c>
      <c r="AW34" s="591"/>
      <c r="AX34" s="613">
        <f t="shared" si="27"/>
        <v>50</v>
      </c>
      <c r="AY34" s="769" t="s">
        <v>66</v>
      </c>
      <c r="AZ34" s="575">
        <v>1</v>
      </c>
      <c r="BA34" s="584">
        <f>+IF(AZ34="","",(VLOOKUP($C34,'EQUIP RATE SCHEDULE'!$B$11:$F$162,5,FALSE)))</f>
        <v>50</v>
      </c>
      <c r="BB34" s="591"/>
      <c r="BC34" s="613">
        <f t="shared" si="28"/>
        <v>50</v>
      </c>
      <c r="BD34" s="769" t="s">
        <v>66</v>
      </c>
      <c r="BE34" s="575">
        <v>1</v>
      </c>
      <c r="BF34" s="584">
        <f>+IF(BE34="","",(VLOOKUP($C34,'EQUIP RATE SCHEDULE'!$B$11:$F$162,5,FALSE)))</f>
        <v>50</v>
      </c>
      <c r="BG34" s="591"/>
      <c r="BH34" s="613">
        <f t="shared" si="9"/>
        <v>50</v>
      </c>
      <c r="BI34" s="769" t="s">
        <v>66</v>
      </c>
      <c r="BJ34" s="575">
        <v>1</v>
      </c>
      <c r="BK34" s="584">
        <f>+IF(BJ34="","",(VLOOKUP($C34,'EQUIP RATE SCHEDULE'!$B$11:$F$162,5,FALSE)))</f>
        <v>50</v>
      </c>
      <c r="BL34" s="591"/>
      <c r="BM34" s="613">
        <f t="shared" si="10"/>
        <v>50</v>
      </c>
      <c r="BN34" s="769" t="s">
        <v>66</v>
      </c>
      <c r="BO34" s="575">
        <v>1</v>
      </c>
      <c r="BP34" s="584">
        <f>+IF(BO34="","",(VLOOKUP($C34,'EQUIP RATE SCHEDULE'!$B$11:$F$162,5,FALSE)))</f>
        <v>50</v>
      </c>
      <c r="BQ34" s="591"/>
      <c r="BR34" s="613">
        <f t="shared" si="11"/>
        <v>50</v>
      </c>
      <c r="BS34" s="769" t="s">
        <v>66</v>
      </c>
      <c r="BT34" s="575">
        <v>1</v>
      </c>
      <c r="BU34" s="584">
        <f>+IF(BT34="","",(VLOOKUP($C34,'EQUIP RATE SCHEDULE'!$B$11:$F$162,5,FALSE)))</f>
        <v>50</v>
      </c>
      <c r="BV34" s="591"/>
      <c r="BW34" s="613">
        <f t="shared" si="12"/>
        <v>50</v>
      </c>
      <c r="BX34" s="769" t="s">
        <v>66</v>
      </c>
      <c r="BY34" s="575">
        <v>1</v>
      </c>
      <c r="BZ34" s="584">
        <f>+IF(BY34="","",(VLOOKUP($C34,'EQUIP RATE SCHEDULE'!$B$11:$F$162,5,FALSE)))</f>
        <v>50</v>
      </c>
      <c r="CA34" s="591"/>
      <c r="CB34" s="613">
        <f t="shared" si="13"/>
        <v>50</v>
      </c>
      <c r="CC34" s="769" t="s">
        <v>66</v>
      </c>
      <c r="CD34" s="575">
        <v>1</v>
      </c>
      <c r="CE34" s="584">
        <f>+IF(CD34="","",(VLOOKUP($C34,'EQUIP RATE SCHEDULE'!$B$11:$F$162,5,FALSE)))</f>
        <v>50</v>
      </c>
      <c r="CF34" s="591"/>
      <c r="CG34" s="613">
        <f t="shared" si="14"/>
        <v>50</v>
      </c>
      <c r="CH34" s="769" t="s">
        <v>66</v>
      </c>
      <c r="CI34" s="575">
        <v>1</v>
      </c>
      <c r="CJ34" s="584">
        <f>+IF(CI34="","",(VLOOKUP($C34,'EQUIP RATE SCHEDULE'!$B$11:$F$162,5,FALSE)))</f>
        <v>50</v>
      </c>
      <c r="CK34" s="591"/>
      <c r="CL34" s="613">
        <f t="shared" si="15"/>
        <v>50</v>
      </c>
      <c r="CM34" s="769" t="s">
        <v>66</v>
      </c>
      <c r="CN34" s="575">
        <v>1</v>
      </c>
      <c r="CO34" s="584">
        <f>+IF(CN34="","",(VLOOKUP($C34,'EQUIP RATE SCHEDULE'!$B$11:$F$162,5,FALSE)))</f>
        <v>50</v>
      </c>
      <c r="CP34" s="591"/>
      <c r="CQ34" s="613">
        <f t="shared" si="16"/>
        <v>50</v>
      </c>
      <c r="CR34" s="769" t="s">
        <v>66</v>
      </c>
      <c r="CS34" s="575">
        <v>1</v>
      </c>
      <c r="CT34" s="584">
        <f>+IF(CS34="","",(VLOOKUP($C34,'EQUIP RATE SCHEDULE'!$B$11:$F$162,5,FALSE)))</f>
        <v>50</v>
      </c>
      <c r="CU34" s="591"/>
      <c r="CV34" s="613">
        <f t="shared" si="17"/>
        <v>50</v>
      </c>
      <c r="CW34" s="769" t="s">
        <v>66</v>
      </c>
      <c r="CX34" s="575">
        <v>1</v>
      </c>
      <c r="CY34" s="584">
        <f>+IF(CX34="","",(VLOOKUP($C34,'EQUIP RATE SCHEDULE'!$B$11:$F$162,5,FALSE)))</f>
        <v>50</v>
      </c>
      <c r="CZ34" s="591"/>
      <c r="DA34" s="613">
        <f t="shared" si="18"/>
        <v>50</v>
      </c>
    </row>
    <row r="35" spans="1:105" ht="15" x14ac:dyDescent="0.25">
      <c r="A35" s="1513"/>
      <c r="B35" s="809" t="s">
        <v>522</v>
      </c>
      <c r="C35" s="776" t="s">
        <v>959</v>
      </c>
      <c r="D35" s="1492"/>
      <c r="E35" s="1490"/>
      <c r="F35" s="769" t="s">
        <v>67</v>
      </c>
      <c r="G35" s="575">
        <v>1</v>
      </c>
      <c r="H35" s="584">
        <f>+IF(G35="","",(VLOOKUP($C35,'EQUIP RATE SCHEDULE'!$B$11:$F$162,5,FALSE)))</f>
        <v>150</v>
      </c>
      <c r="I35" s="591"/>
      <c r="J35" s="613">
        <f t="shared" si="19"/>
        <v>150</v>
      </c>
      <c r="K35" s="769" t="s">
        <v>67</v>
      </c>
      <c r="L35" s="575">
        <v>1</v>
      </c>
      <c r="M35" s="584">
        <f>+IF(L35="","",(VLOOKUP($C35,'EQUIP RATE SCHEDULE'!$B$11:$F$162,5,FALSE)))</f>
        <v>150</v>
      </c>
      <c r="N35" s="591"/>
      <c r="O35" s="613">
        <f t="shared" si="20"/>
        <v>150</v>
      </c>
      <c r="P35" s="769" t="s">
        <v>67</v>
      </c>
      <c r="Q35" s="575">
        <v>1</v>
      </c>
      <c r="R35" s="584">
        <f>+IF(Q35="","",(VLOOKUP($C35,'EQUIP RATE SCHEDULE'!$B$11:$F$162,5,FALSE)))</f>
        <v>150</v>
      </c>
      <c r="S35" s="591"/>
      <c r="T35" s="613">
        <f t="shared" si="21"/>
        <v>150</v>
      </c>
      <c r="U35" s="769" t="s">
        <v>67</v>
      </c>
      <c r="V35" s="575">
        <v>1</v>
      </c>
      <c r="W35" s="584">
        <f>+IF(V35="","",(VLOOKUP($C35,'EQUIP RATE SCHEDULE'!$B$11:$F$162,5,FALSE)))</f>
        <v>150</v>
      </c>
      <c r="X35" s="591"/>
      <c r="Y35" s="613">
        <f t="shared" si="22"/>
        <v>150</v>
      </c>
      <c r="Z35" s="769" t="s">
        <v>67</v>
      </c>
      <c r="AA35" s="575">
        <v>1</v>
      </c>
      <c r="AB35" s="584">
        <f>+IF(AA35="","",(VLOOKUP($C35,'EQUIP RATE SCHEDULE'!$B$11:$F$162,5,FALSE)))</f>
        <v>150</v>
      </c>
      <c r="AC35" s="591"/>
      <c r="AD35" s="613">
        <f t="shared" si="23"/>
        <v>150</v>
      </c>
      <c r="AE35" s="769" t="s">
        <v>67</v>
      </c>
      <c r="AF35" s="575">
        <v>1</v>
      </c>
      <c r="AG35" s="584">
        <f>+IF(AF35="","",(VLOOKUP($C35,'EQUIP RATE SCHEDULE'!$B$11:$F$162,5,FALSE)))</f>
        <v>150</v>
      </c>
      <c r="AH35" s="591"/>
      <c r="AI35" s="613">
        <f t="shared" si="24"/>
        <v>150</v>
      </c>
      <c r="AJ35" s="769" t="s">
        <v>67</v>
      </c>
      <c r="AK35" s="575">
        <v>1</v>
      </c>
      <c r="AL35" s="584">
        <f>+IF(AK35="","",(VLOOKUP($C35,'EQUIP RATE SCHEDULE'!$B$11:$F$162,5,FALSE)))</f>
        <v>150</v>
      </c>
      <c r="AM35" s="591"/>
      <c r="AN35" s="613">
        <f t="shared" si="25"/>
        <v>150</v>
      </c>
      <c r="AO35" s="769" t="s">
        <v>67</v>
      </c>
      <c r="AP35" s="575">
        <v>1</v>
      </c>
      <c r="AQ35" s="584">
        <f>+IF(AP35="","",(VLOOKUP($C35,'EQUIP RATE SCHEDULE'!$B$11:$F$162,5,FALSE)))</f>
        <v>150</v>
      </c>
      <c r="AR35" s="591"/>
      <c r="AS35" s="613">
        <f t="shared" si="26"/>
        <v>150</v>
      </c>
      <c r="AT35" s="769" t="s">
        <v>67</v>
      </c>
      <c r="AU35" s="575">
        <v>1</v>
      </c>
      <c r="AV35" s="584">
        <f>+IF(AU35="","",(VLOOKUP($C35,'EQUIP RATE SCHEDULE'!$B$11:$F$162,5,FALSE)))</f>
        <v>150</v>
      </c>
      <c r="AW35" s="591"/>
      <c r="AX35" s="613">
        <f t="shared" si="27"/>
        <v>150</v>
      </c>
      <c r="AY35" s="769" t="s">
        <v>67</v>
      </c>
      <c r="AZ35" s="575">
        <v>1</v>
      </c>
      <c r="BA35" s="584">
        <f>+IF(AZ35="","",(VLOOKUP($C35,'EQUIP RATE SCHEDULE'!$B$11:$F$162,5,FALSE)))</f>
        <v>150</v>
      </c>
      <c r="BB35" s="591"/>
      <c r="BC35" s="613">
        <f t="shared" si="28"/>
        <v>150</v>
      </c>
      <c r="BD35" s="769" t="s">
        <v>67</v>
      </c>
      <c r="BE35" s="575">
        <v>1</v>
      </c>
      <c r="BF35" s="584">
        <f>+IF(BE35="","",(VLOOKUP($C35,'EQUIP RATE SCHEDULE'!$B$11:$F$162,5,FALSE)))</f>
        <v>150</v>
      </c>
      <c r="BG35" s="591"/>
      <c r="BH35" s="613">
        <f t="shared" si="9"/>
        <v>150</v>
      </c>
      <c r="BI35" s="769" t="s">
        <v>67</v>
      </c>
      <c r="BJ35" s="575">
        <v>1</v>
      </c>
      <c r="BK35" s="584">
        <f>+IF(BJ35="","",(VLOOKUP($C35,'EQUIP RATE SCHEDULE'!$B$11:$F$162,5,FALSE)))</f>
        <v>150</v>
      </c>
      <c r="BL35" s="591"/>
      <c r="BM35" s="613">
        <f t="shared" si="10"/>
        <v>150</v>
      </c>
      <c r="BN35" s="769" t="s">
        <v>67</v>
      </c>
      <c r="BO35" s="575">
        <v>1</v>
      </c>
      <c r="BP35" s="584">
        <f>+IF(BO35="","",(VLOOKUP($C35,'EQUIP RATE SCHEDULE'!$B$11:$F$162,5,FALSE)))</f>
        <v>150</v>
      </c>
      <c r="BQ35" s="591"/>
      <c r="BR35" s="613">
        <f t="shared" si="11"/>
        <v>150</v>
      </c>
      <c r="BS35" s="769" t="s">
        <v>67</v>
      </c>
      <c r="BT35" s="575">
        <v>1</v>
      </c>
      <c r="BU35" s="584">
        <f>+IF(BT35="","",(VLOOKUP($C35,'EQUIP RATE SCHEDULE'!$B$11:$F$162,5,FALSE)))</f>
        <v>150</v>
      </c>
      <c r="BV35" s="591"/>
      <c r="BW35" s="613">
        <f t="shared" si="12"/>
        <v>150</v>
      </c>
      <c r="BX35" s="769" t="s">
        <v>67</v>
      </c>
      <c r="BY35" s="575">
        <v>1</v>
      </c>
      <c r="BZ35" s="584">
        <f>+IF(BY35="","",(VLOOKUP($C35,'EQUIP RATE SCHEDULE'!$B$11:$F$162,5,FALSE)))</f>
        <v>150</v>
      </c>
      <c r="CA35" s="591"/>
      <c r="CB35" s="613">
        <f t="shared" si="13"/>
        <v>150</v>
      </c>
      <c r="CC35" s="769" t="s">
        <v>67</v>
      </c>
      <c r="CD35" s="575">
        <v>1</v>
      </c>
      <c r="CE35" s="584">
        <f>+IF(CD35="","",(VLOOKUP($C35,'EQUIP RATE SCHEDULE'!$B$11:$F$162,5,FALSE)))</f>
        <v>150</v>
      </c>
      <c r="CF35" s="591"/>
      <c r="CG35" s="613">
        <f t="shared" si="14"/>
        <v>150</v>
      </c>
      <c r="CH35" s="769" t="s">
        <v>67</v>
      </c>
      <c r="CI35" s="575">
        <v>1</v>
      </c>
      <c r="CJ35" s="584">
        <f>+IF(CI35="","",(VLOOKUP($C35,'EQUIP RATE SCHEDULE'!$B$11:$F$162,5,FALSE)))</f>
        <v>150</v>
      </c>
      <c r="CK35" s="591"/>
      <c r="CL35" s="613">
        <f t="shared" si="15"/>
        <v>150</v>
      </c>
      <c r="CM35" s="769" t="s">
        <v>67</v>
      </c>
      <c r="CN35" s="575">
        <v>1</v>
      </c>
      <c r="CO35" s="584">
        <f>+IF(CN35="","",(VLOOKUP($C35,'EQUIP RATE SCHEDULE'!$B$11:$F$162,5,FALSE)))</f>
        <v>150</v>
      </c>
      <c r="CP35" s="591"/>
      <c r="CQ35" s="613">
        <f t="shared" si="16"/>
        <v>150</v>
      </c>
      <c r="CR35" s="769" t="s">
        <v>67</v>
      </c>
      <c r="CS35" s="575">
        <v>1</v>
      </c>
      <c r="CT35" s="584">
        <f>+IF(CS35="","",(VLOOKUP($C35,'EQUIP RATE SCHEDULE'!$B$11:$F$162,5,FALSE)))</f>
        <v>150</v>
      </c>
      <c r="CU35" s="591"/>
      <c r="CV35" s="613">
        <f t="shared" si="17"/>
        <v>150</v>
      </c>
      <c r="CW35" s="769" t="s">
        <v>67</v>
      </c>
      <c r="CX35" s="575">
        <v>1</v>
      </c>
      <c r="CY35" s="584">
        <f>+IF(CX35="","",(VLOOKUP($C35,'EQUIP RATE SCHEDULE'!$B$11:$F$162,5,FALSE)))</f>
        <v>150</v>
      </c>
      <c r="CZ35" s="591"/>
      <c r="DA35" s="613">
        <f t="shared" si="18"/>
        <v>150</v>
      </c>
    </row>
    <row r="36" spans="1:105" ht="30.4" customHeight="1" x14ac:dyDescent="0.25">
      <c r="A36" s="1513"/>
      <c r="B36" s="809" t="s">
        <v>522</v>
      </c>
      <c r="C36" s="776" t="s">
        <v>960</v>
      </c>
      <c r="D36" s="1491" t="s">
        <v>961</v>
      </c>
      <c r="E36" s="1488" t="s">
        <v>962</v>
      </c>
      <c r="F36" s="769" t="s">
        <v>66</v>
      </c>
      <c r="G36" s="575">
        <v>1</v>
      </c>
      <c r="H36" s="584">
        <f>+IF(G36="","",(VLOOKUP($C36,'EQUIP RATE SCHEDULE'!$B$11:$F$162,5,FALSE)))</f>
        <v>45</v>
      </c>
      <c r="I36" s="591"/>
      <c r="J36" s="613">
        <f t="shared" si="19"/>
        <v>45</v>
      </c>
      <c r="K36" s="769" t="s">
        <v>66</v>
      </c>
      <c r="L36" s="575">
        <v>1</v>
      </c>
      <c r="M36" s="584">
        <f>+IF(L36="","",(VLOOKUP($C36,'EQUIP RATE SCHEDULE'!$B$11:$F$162,5,FALSE)))</f>
        <v>45</v>
      </c>
      <c r="N36" s="591"/>
      <c r="O36" s="613">
        <f t="shared" si="20"/>
        <v>45</v>
      </c>
      <c r="P36" s="769" t="s">
        <v>66</v>
      </c>
      <c r="Q36" s="575">
        <v>1</v>
      </c>
      <c r="R36" s="584">
        <f>+IF(Q36="","",(VLOOKUP($C36,'EQUIP RATE SCHEDULE'!$B$11:$F$162,5,FALSE)))</f>
        <v>45</v>
      </c>
      <c r="S36" s="591"/>
      <c r="T36" s="613">
        <f t="shared" si="21"/>
        <v>45</v>
      </c>
      <c r="U36" s="769" t="s">
        <v>66</v>
      </c>
      <c r="V36" s="575">
        <v>1</v>
      </c>
      <c r="W36" s="584">
        <f>+IF(V36="","",(VLOOKUP($C36,'EQUIP RATE SCHEDULE'!$B$11:$F$162,5,FALSE)))</f>
        <v>45</v>
      </c>
      <c r="X36" s="591"/>
      <c r="Y36" s="613">
        <f t="shared" si="22"/>
        <v>45</v>
      </c>
      <c r="Z36" s="769" t="s">
        <v>66</v>
      </c>
      <c r="AA36" s="575">
        <v>1</v>
      </c>
      <c r="AB36" s="584">
        <f>+IF(AA36="","",(VLOOKUP($C36,'EQUIP RATE SCHEDULE'!$B$11:$F$162,5,FALSE)))</f>
        <v>45</v>
      </c>
      <c r="AC36" s="591"/>
      <c r="AD36" s="613">
        <f t="shared" si="23"/>
        <v>45</v>
      </c>
      <c r="AE36" s="769" t="s">
        <v>66</v>
      </c>
      <c r="AF36" s="575">
        <v>1</v>
      </c>
      <c r="AG36" s="584">
        <f>+IF(AF36="","",(VLOOKUP($C36,'EQUIP RATE SCHEDULE'!$B$11:$F$162,5,FALSE)))</f>
        <v>45</v>
      </c>
      <c r="AH36" s="591"/>
      <c r="AI36" s="613">
        <f t="shared" si="24"/>
        <v>45</v>
      </c>
      <c r="AJ36" s="769" t="s">
        <v>66</v>
      </c>
      <c r="AK36" s="575">
        <v>1</v>
      </c>
      <c r="AL36" s="584">
        <f>+IF(AK36="","",(VLOOKUP($C36,'EQUIP RATE SCHEDULE'!$B$11:$F$162,5,FALSE)))</f>
        <v>45</v>
      </c>
      <c r="AM36" s="591"/>
      <c r="AN36" s="613">
        <f t="shared" si="25"/>
        <v>45</v>
      </c>
      <c r="AO36" s="769" t="s">
        <v>66</v>
      </c>
      <c r="AP36" s="575">
        <v>1</v>
      </c>
      <c r="AQ36" s="584">
        <f>+IF(AP36="","",(VLOOKUP($C36,'EQUIP RATE SCHEDULE'!$B$11:$F$162,5,FALSE)))</f>
        <v>45</v>
      </c>
      <c r="AR36" s="591"/>
      <c r="AS36" s="613">
        <f t="shared" si="26"/>
        <v>45</v>
      </c>
      <c r="AT36" s="769" t="s">
        <v>66</v>
      </c>
      <c r="AU36" s="575">
        <v>1</v>
      </c>
      <c r="AV36" s="584">
        <f>+IF(AU36="","",(VLOOKUP($C36,'EQUIP RATE SCHEDULE'!$B$11:$F$162,5,FALSE)))</f>
        <v>45</v>
      </c>
      <c r="AW36" s="591"/>
      <c r="AX36" s="613">
        <f t="shared" si="27"/>
        <v>45</v>
      </c>
      <c r="AY36" s="769" t="s">
        <v>66</v>
      </c>
      <c r="AZ36" s="575">
        <v>1</v>
      </c>
      <c r="BA36" s="584">
        <f>+IF(AZ36="","",(VLOOKUP($C36,'EQUIP RATE SCHEDULE'!$B$11:$F$162,5,FALSE)))</f>
        <v>45</v>
      </c>
      <c r="BB36" s="591"/>
      <c r="BC36" s="613">
        <f t="shared" si="28"/>
        <v>45</v>
      </c>
      <c r="BD36" s="769" t="s">
        <v>66</v>
      </c>
      <c r="BE36" s="575">
        <v>1</v>
      </c>
      <c r="BF36" s="584">
        <f>+IF(BE36="","",(VLOOKUP($C36,'EQUIP RATE SCHEDULE'!$B$11:$F$162,5,FALSE)))</f>
        <v>45</v>
      </c>
      <c r="BG36" s="591"/>
      <c r="BH36" s="613">
        <f t="shared" si="9"/>
        <v>45</v>
      </c>
      <c r="BI36" s="769" t="s">
        <v>66</v>
      </c>
      <c r="BJ36" s="575">
        <v>1</v>
      </c>
      <c r="BK36" s="584">
        <f>+IF(BJ36="","",(VLOOKUP($C36,'EQUIP RATE SCHEDULE'!$B$11:$F$162,5,FALSE)))</f>
        <v>45</v>
      </c>
      <c r="BL36" s="591"/>
      <c r="BM36" s="613">
        <f t="shared" si="10"/>
        <v>45</v>
      </c>
      <c r="BN36" s="769" t="s">
        <v>66</v>
      </c>
      <c r="BO36" s="575">
        <v>1</v>
      </c>
      <c r="BP36" s="584">
        <f>+IF(BO36="","",(VLOOKUP($C36,'EQUIP RATE SCHEDULE'!$B$11:$F$162,5,FALSE)))</f>
        <v>45</v>
      </c>
      <c r="BQ36" s="591"/>
      <c r="BR36" s="613">
        <f t="shared" si="11"/>
        <v>45</v>
      </c>
      <c r="BS36" s="769" t="s">
        <v>66</v>
      </c>
      <c r="BT36" s="575">
        <v>1</v>
      </c>
      <c r="BU36" s="584">
        <f>+IF(BT36="","",(VLOOKUP($C36,'EQUIP RATE SCHEDULE'!$B$11:$F$162,5,FALSE)))</f>
        <v>45</v>
      </c>
      <c r="BV36" s="591"/>
      <c r="BW36" s="613">
        <f t="shared" si="12"/>
        <v>45</v>
      </c>
      <c r="BX36" s="769" t="s">
        <v>66</v>
      </c>
      <c r="BY36" s="575">
        <v>1</v>
      </c>
      <c r="BZ36" s="584">
        <f>+IF(BY36="","",(VLOOKUP($C36,'EQUIP RATE SCHEDULE'!$B$11:$F$162,5,FALSE)))</f>
        <v>45</v>
      </c>
      <c r="CA36" s="591"/>
      <c r="CB36" s="613">
        <f t="shared" si="13"/>
        <v>45</v>
      </c>
      <c r="CC36" s="769" t="s">
        <v>66</v>
      </c>
      <c r="CD36" s="575">
        <v>1</v>
      </c>
      <c r="CE36" s="584">
        <f>+IF(CD36="","",(VLOOKUP($C36,'EQUIP RATE SCHEDULE'!$B$11:$F$162,5,FALSE)))</f>
        <v>45</v>
      </c>
      <c r="CF36" s="591"/>
      <c r="CG36" s="613">
        <f t="shared" si="14"/>
        <v>45</v>
      </c>
      <c r="CH36" s="769" t="s">
        <v>66</v>
      </c>
      <c r="CI36" s="575">
        <v>1</v>
      </c>
      <c r="CJ36" s="584">
        <f>+IF(CI36="","",(VLOOKUP($C36,'EQUIP RATE SCHEDULE'!$B$11:$F$162,5,FALSE)))</f>
        <v>45</v>
      </c>
      <c r="CK36" s="591"/>
      <c r="CL36" s="613">
        <f t="shared" si="15"/>
        <v>45</v>
      </c>
      <c r="CM36" s="769" t="s">
        <v>66</v>
      </c>
      <c r="CN36" s="575">
        <v>1</v>
      </c>
      <c r="CO36" s="584">
        <f>+IF(CN36="","",(VLOOKUP($C36,'EQUIP RATE SCHEDULE'!$B$11:$F$162,5,FALSE)))</f>
        <v>45</v>
      </c>
      <c r="CP36" s="591"/>
      <c r="CQ36" s="613">
        <f t="shared" si="16"/>
        <v>45</v>
      </c>
      <c r="CR36" s="769" t="s">
        <v>66</v>
      </c>
      <c r="CS36" s="575">
        <v>1</v>
      </c>
      <c r="CT36" s="584">
        <f>+IF(CS36="","",(VLOOKUP($C36,'EQUIP RATE SCHEDULE'!$B$11:$F$162,5,FALSE)))</f>
        <v>45</v>
      </c>
      <c r="CU36" s="591"/>
      <c r="CV36" s="613">
        <f t="shared" si="17"/>
        <v>45</v>
      </c>
      <c r="CW36" s="769" t="s">
        <v>66</v>
      </c>
      <c r="CX36" s="575">
        <v>1</v>
      </c>
      <c r="CY36" s="584">
        <f>+IF(CX36="","",(VLOOKUP($C36,'EQUIP RATE SCHEDULE'!$B$11:$F$162,5,FALSE)))</f>
        <v>45</v>
      </c>
      <c r="CZ36" s="591"/>
      <c r="DA36" s="613">
        <f t="shared" si="18"/>
        <v>45</v>
      </c>
    </row>
    <row r="37" spans="1:105" ht="15" x14ac:dyDescent="0.25">
      <c r="A37" s="1513"/>
      <c r="B37" s="809" t="s">
        <v>522</v>
      </c>
      <c r="C37" s="776" t="s">
        <v>963</v>
      </c>
      <c r="D37" s="1492"/>
      <c r="E37" s="1490"/>
      <c r="F37" s="769" t="s">
        <v>67</v>
      </c>
      <c r="G37" s="575">
        <v>1</v>
      </c>
      <c r="H37" s="584">
        <f>+IF(G37="","",(VLOOKUP($C37,'EQUIP RATE SCHEDULE'!$B$11:$F$162,5,FALSE)))</f>
        <v>135</v>
      </c>
      <c r="I37" s="591"/>
      <c r="J37" s="613">
        <f t="shared" si="19"/>
        <v>135</v>
      </c>
      <c r="K37" s="769" t="s">
        <v>67</v>
      </c>
      <c r="L37" s="575">
        <v>1</v>
      </c>
      <c r="M37" s="584">
        <f>+IF(L37="","",(VLOOKUP($C37,'EQUIP RATE SCHEDULE'!$B$11:$F$162,5,FALSE)))</f>
        <v>135</v>
      </c>
      <c r="N37" s="591"/>
      <c r="O37" s="613">
        <f t="shared" si="20"/>
        <v>135</v>
      </c>
      <c r="P37" s="769" t="s">
        <v>67</v>
      </c>
      <c r="Q37" s="575">
        <v>1</v>
      </c>
      <c r="R37" s="584">
        <f>+IF(Q37="","",(VLOOKUP($C37,'EQUIP RATE SCHEDULE'!$B$11:$F$162,5,FALSE)))</f>
        <v>135</v>
      </c>
      <c r="S37" s="591"/>
      <c r="T37" s="613">
        <f t="shared" si="21"/>
        <v>135</v>
      </c>
      <c r="U37" s="769" t="s">
        <v>67</v>
      </c>
      <c r="V37" s="575">
        <v>1</v>
      </c>
      <c r="W37" s="584">
        <f>+IF(V37="","",(VLOOKUP($C37,'EQUIP RATE SCHEDULE'!$B$11:$F$162,5,FALSE)))</f>
        <v>135</v>
      </c>
      <c r="X37" s="591"/>
      <c r="Y37" s="613">
        <f t="shared" si="22"/>
        <v>135</v>
      </c>
      <c r="Z37" s="769" t="s">
        <v>67</v>
      </c>
      <c r="AA37" s="575">
        <v>1</v>
      </c>
      <c r="AB37" s="584">
        <f>+IF(AA37="","",(VLOOKUP($C37,'EQUIP RATE SCHEDULE'!$B$11:$F$162,5,FALSE)))</f>
        <v>135</v>
      </c>
      <c r="AC37" s="591"/>
      <c r="AD37" s="613">
        <f t="shared" si="23"/>
        <v>135</v>
      </c>
      <c r="AE37" s="769" t="s">
        <v>67</v>
      </c>
      <c r="AF37" s="575">
        <v>1</v>
      </c>
      <c r="AG37" s="584">
        <f>+IF(AF37="","",(VLOOKUP($C37,'EQUIP RATE SCHEDULE'!$B$11:$F$162,5,FALSE)))</f>
        <v>135</v>
      </c>
      <c r="AH37" s="591"/>
      <c r="AI37" s="613">
        <f t="shared" si="24"/>
        <v>135</v>
      </c>
      <c r="AJ37" s="769" t="s">
        <v>67</v>
      </c>
      <c r="AK37" s="575">
        <v>1</v>
      </c>
      <c r="AL37" s="584">
        <f>+IF(AK37="","",(VLOOKUP($C37,'EQUIP RATE SCHEDULE'!$B$11:$F$162,5,FALSE)))</f>
        <v>135</v>
      </c>
      <c r="AM37" s="591"/>
      <c r="AN37" s="613">
        <f t="shared" si="25"/>
        <v>135</v>
      </c>
      <c r="AO37" s="769" t="s">
        <v>67</v>
      </c>
      <c r="AP37" s="575">
        <v>1</v>
      </c>
      <c r="AQ37" s="584">
        <f>+IF(AP37="","",(VLOOKUP($C37,'EQUIP RATE SCHEDULE'!$B$11:$F$162,5,FALSE)))</f>
        <v>135</v>
      </c>
      <c r="AR37" s="591"/>
      <c r="AS37" s="613">
        <f t="shared" si="26"/>
        <v>135</v>
      </c>
      <c r="AT37" s="769" t="s">
        <v>67</v>
      </c>
      <c r="AU37" s="575">
        <v>1</v>
      </c>
      <c r="AV37" s="584">
        <f>+IF(AU37="","",(VLOOKUP($C37,'EQUIP RATE SCHEDULE'!$B$11:$F$162,5,FALSE)))</f>
        <v>135</v>
      </c>
      <c r="AW37" s="591"/>
      <c r="AX37" s="613">
        <f t="shared" si="27"/>
        <v>135</v>
      </c>
      <c r="AY37" s="769" t="s">
        <v>67</v>
      </c>
      <c r="AZ37" s="575">
        <v>1</v>
      </c>
      <c r="BA37" s="584">
        <f>+IF(AZ37="","",(VLOOKUP($C37,'EQUIP RATE SCHEDULE'!$B$11:$F$162,5,FALSE)))</f>
        <v>135</v>
      </c>
      <c r="BB37" s="591"/>
      <c r="BC37" s="613">
        <f t="shared" si="28"/>
        <v>135</v>
      </c>
      <c r="BD37" s="769" t="s">
        <v>67</v>
      </c>
      <c r="BE37" s="575">
        <v>1</v>
      </c>
      <c r="BF37" s="584">
        <f>+IF(BE37="","",(VLOOKUP($C37,'EQUIP RATE SCHEDULE'!$B$11:$F$162,5,FALSE)))</f>
        <v>135</v>
      </c>
      <c r="BG37" s="591"/>
      <c r="BH37" s="613">
        <f t="shared" si="9"/>
        <v>135</v>
      </c>
      <c r="BI37" s="769" t="s">
        <v>67</v>
      </c>
      <c r="BJ37" s="575">
        <v>1</v>
      </c>
      <c r="BK37" s="584">
        <f>+IF(BJ37="","",(VLOOKUP($C37,'EQUIP RATE SCHEDULE'!$B$11:$F$162,5,FALSE)))</f>
        <v>135</v>
      </c>
      <c r="BL37" s="591"/>
      <c r="BM37" s="613">
        <f t="shared" si="10"/>
        <v>135</v>
      </c>
      <c r="BN37" s="769" t="s">
        <v>67</v>
      </c>
      <c r="BO37" s="575">
        <v>1</v>
      </c>
      <c r="BP37" s="584">
        <f>+IF(BO37="","",(VLOOKUP($C37,'EQUIP RATE SCHEDULE'!$B$11:$F$162,5,FALSE)))</f>
        <v>135</v>
      </c>
      <c r="BQ37" s="591"/>
      <c r="BR37" s="613">
        <f t="shared" si="11"/>
        <v>135</v>
      </c>
      <c r="BS37" s="769" t="s">
        <v>67</v>
      </c>
      <c r="BT37" s="575">
        <v>1</v>
      </c>
      <c r="BU37" s="584">
        <f>+IF(BT37="","",(VLOOKUP($C37,'EQUIP RATE SCHEDULE'!$B$11:$F$162,5,FALSE)))</f>
        <v>135</v>
      </c>
      <c r="BV37" s="591"/>
      <c r="BW37" s="613">
        <f t="shared" si="12"/>
        <v>135</v>
      </c>
      <c r="BX37" s="769" t="s">
        <v>67</v>
      </c>
      <c r="BY37" s="575">
        <v>1</v>
      </c>
      <c r="BZ37" s="584">
        <f>+IF(BY37="","",(VLOOKUP($C37,'EQUIP RATE SCHEDULE'!$B$11:$F$162,5,FALSE)))</f>
        <v>135</v>
      </c>
      <c r="CA37" s="591"/>
      <c r="CB37" s="613">
        <f t="shared" si="13"/>
        <v>135</v>
      </c>
      <c r="CC37" s="769" t="s">
        <v>67</v>
      </c>
      <c r="CD37" s="575">
        <v>1</v>
      </c>
      <c r="CE37" s="584">
        <f>+IF(CD37="","",(VLOOKUP($C37,'EQUIP RATE SCHEDULE'!$B$11:$F$162,5,FALSE)))</f>
        <v>135</v>
      </c>
      <c r="CF37" s="591"/>
      <c r="CG37" s="613">
        <f t="shared" si="14"/>
        <v>135</v>
      </c>
      <c r="CH37" s="769" t="s">
        <v>67</v>
      </c>
      <c r="CI37" s="575">
        <v>1</v>
      </c>
      <c r="CJ37" s="584">
        <f>+IF(CI37="","",(VLOOKUP($C37,'EQUIP RATE SCHEDULE'!$B$11:$F$162,5,FALSE)))</f>
        <v>135</v>
      </c>
      <c r="CK37" s="591"/>
      <c r="CL37" s="613">
        <f t="shared" si="15"/>
        <v>135</v>
      </c>
      <c r="CM37" s="769" t="s">
        <v>67</v>
      </c>
      <c r="CN37" s="575">
        <v>1</v>
      </c>
      <c r="CO37" s="584">
        <f>+IF(CN37="","",(VLOOKUP($C37,'EQUIP RATE SCHEDULE'!$B$11:$F$162,5,FALSE)))</f>
        <v>135</v>
      </c>
      <c r="CP37" s="591"/>
      <c r="CQ37" s="613">
        <f t="shared" si="16"/>
        <v>135</v>
      </c>
      <c r="CR37" s="769" t="s">
        <v>67</v>
      </c>
      <c r="CS37" s="575">
        <v>1</v>
      </c>
      <c r="CT37" s="584">
        <f>+IF(CS37="","",(VLOOKUP($C37,'EQUIP RATE SCHEDULE'!$B$11:$F$162,5,FALSE)))</f>
        <v>135</v>
      </c>
      <c r="CU37" s="591"/>
      <c r="CV37" s="613">
        <f t="shared" si="17"/>
        <v>135</v>
      </c>
      <c r="CW37" s="769" t="s">
        <v>67</v>
      </c>
      <c r="CX37" s="575"/>
      <c r="CY37" s="584" t="str">
        <f>+IF(CX37="","",(VLOOKUP($C37,'EQUIP RATE SCHEDULE'!$B$11:$F$162,5,FALSE)))</f>
        <v/>
      </c>
      <c r="CZ37" s="591"/>
      <c r="DA37" s="613" t="str">
        <f t="shared" si="18"/>
        <v/>
      </c>
    </row>
    <row r="38" spans="1:105" ht="15" x14ac:dyDescent="0.25">
      <c r="A38" s="1513"/>
      <c r="B38" s="809" t="s">
        <v>522</v>
      </c>
      <c r="C38" s="776" t="s">
        <v>964</v>
      </c>
      <c r="D38" s="1491" t="s">
        <v>965</v>
      </c>
      <c r="E38" s="1488" t="s">
        <v>966</v>
      </c>
      <c r="F38" s="769" t="s">
        <v>66</v>
      </c>
      <c r="G38" s="575">
        <v>1</v>
      </c>
      <c r="H38" s="584">
        <f>+IF(G38="","",(VLOOKUP($C38,'EQUIP RATE SCHEDULE'!$B$11:$F$162,5,FALSE)))</f>
        <v>65</v>
      </c>
      <c r="I38" s="591"/>
      <c r="J38" s="613">
        <f t="shared" si="19"/>
        <v>65</v>
      </c>
      <c r="K38" s="769" t="s">
        <v>66</v>
      </c>
      <c r="L38" s="575">
        <v>1</v>
      </c>
      <c r="M38" s="584">
        <f>+IF(L38="","",(VLOOKUP($C38,'EQUIP RATE SCHEDULE'!$B$11:$F$162,5,FALSE)))</f>
        <v>65</v>
      </c>
      <c r="N38" s="591"/>
      <c r="O38" s="613">
        <f t="shared" si="20"/>
        <v>65</v>
      </c>
      <c r="P38" s="769" t="s">
        <v>66</v>
      </c>
      <c r="Q38" s="575">
        <v>1</v>
      </c>
      <c r="R38" s="584">
        <f>+IF(Q38="","",(VLOOKUP($C38,'EQUIP RATE SCHEDULE'!$B$11:$F$162,5,FALSE)))</f>
        <v>65</v>
      </c>
      <c r="S38" s="591"/>
      <c r="T38" s="613">
        <f t="shared" si="21"/>
        <v>65</v>
      </c>
      <c r="U38" s="769" t="s">
        <v>66</v>
      </c>
      <c r="V38" s="575">
        <v>1</v>
      </c>
      <c r="W38" s="584">
        <f>+IF(V38="","",(VLOOKUP($C38,'EQUIP RATE SCHEDULE'!$B$11:$F$162,5,FALSE)))</f>
        <v>65</v>
      </c>
      <c r="X38" s="591"/>
      <c r="Y38" s="613">
        <f t="shared" si="22"/>
        <v>65</v>
      </c>
      <c r="Z38" s="769" t="s">
        <v>66</v>
      </c>
      <c r="AA38" s="575">
        <v>1</v>
      </c>
      <c r="AB38" s="584">
        <f>+IF(AA38="","",(VLOOKUP($C38,'EQUIP RATE SCHEDULE'!$B$11:$F$162,5,FALSE)))</f>
        <v>65</v>
      </c>
      <c r="AC38" s="591"/>
      <c r="AD38" s="613">
        <f t="shared" si="23"/>
        <v>65</v>
      </c>
      <c r="AE38" s="769" t="s">
        <v>66</v>
      </c>
      <c r="AF38" s="575">
        <v>1</v>
      </c>
      <c r="AG38" s="584">
        <f>+IF(AF38="","",(VLOOKUP($C38,'EQUIP RATE SCHEDULE'!$B$11:$F$162,5,FALSE)))</f>
        <v>65</v>
      </c>
      <c r="AH38" s="591"/>
      <c r="AI38" s="613">
        <f t="shared" si="24"/>
        <v>65</v>
      </c>
      <c r="AJ38" s="769" t="s">
        <v>66</v>
      </c>
      <c r="AK38" s="575">
        <v>1</v>
      </c>
      <c r="AL38" s="584">
        <f>+IF(AK38="","",(VLOOKUP($C38,'EQUIP RATE SCHEDULE'!$B$11:$F$162,5,FALSE)))</f>
        <v>65</v>
      </c>
      <c r="AM38" s="591"/>
      <c r="AN38" s="613">
        <f t="shared" si="25"/>
        <v>65</v>
      </c>
      <c r="AO38" s="769" t="s">
        <v>66</v>
      </c>
      <c r="AP38" s="575">
        <v>1</v>
      </c>
      <c r="AQ38" s="584">
        <f>+IF(AP38="","",(VLOOKUP($C38,'EQUIP RATE SCHEDULE'!$B$11:$F$162,5,FALSE)))</f>
        <v>65</v>
      </c>
      <c r="AR38" s="591"/>
      <c r="AS38" s="613">
        <f t="shared" si="26"/>
        <v>65</v>
      </c>
      <c r="AT38" s="769" t="s">
        <v>66</v>
      </c>
      <c r="AU38" s="575">
        <v>1</v>
      </c>
      <c r="AV38" s="584">
        <f>+IF(AU38="","",(VLOOKUP($C38,'EQUIP RATE SCHEDULE'!$B$11:$F$162,5,FALSE)))</f>
        <v>65</v>
      </c>
      <c r="AW38" s="591"/>
      <c r="AX38" s="613">
        <f t="shared" si="27"/>
        <v>65</v>
      </c>
      <c r="AY38" s="769" t="s">
        <v>66</v>
      </c>
      <c r="AZ38" s="575">
        <v>1</v>
      </c>
      <c r="BA38" s="584">
        <f>+IF(AZ38="","",(VLOOKUP($C38,'EQUIP RATE SCHEDULE'!$B$11:$F$162,5,FALSE)))</f>
        <v>65</v>
      </c>
      <c r="BB38" s="591"/>
      <c r="BC38" s="613">
        <f t="shared" si="28"/>
        <v>65</v>
      </c>
      <c r="BD38" s="769" t="s">
        <v>66</v>
      </c>
      <c r="BE38" s="575">
        <v>1</v>
      </c>
      <c r="BF38" s="584">
        <f>+IF(BE38="","",(VLOOKUP($C38,'EQUIP RATE SCHEDULE'!$B$11:$F$162,5,FALSE)))</f>
        <v>65</v>
      </c>
      <c r="BG38" s="591"/>
      <c r="BH38" s="613">
        <f t="shared" si="9"/>
        <v>65</v>
      </c>
      <c r="BI38" s="769" t="s">
        <v>66</v>
      </c>
      <c r="BJ38" s="575">
        <v>1</v>
      </c>
      <c r="BK38" s="584">
        <f>+IF(BJ38="","",(VLOOKUP($C38,'EQUIP RATE SCHEDULE'!$B$11:$F$162,5,FALSE)))</f>
        <v>65</v>
      </c>
      <c r="BL38" s="591"/>
      <c r="BM38" s="613">
        <f t="shared" si="10"/>
        <v>65</v>
      </c>
      <c r="BN38" s="769" t="s">
        <v>66</v>
      </c>
      <c r="BO38" s="575">
        <v>1</v>
      </c>
      <c r="BP38" s="584">
        <f>+IF(BO38="","",(VLOOKUP($C38,'EQUIP RATE SCHEDULE'!$B$11:$F$162,5,FALSE)))</f>
        <v>65</v>
      </c>
      <c r="BQ38" s="591"/>
      <c r="BR38" s="613">
        <f t="shared" si="11"/>
        <v>65</v>
      </c>
      <c r="BS38" s="769" t="s">
        <v>66</v>
      </c>
      <c r="BT38" s="575">
        <v>1</v>
      </c>
      <c r="BU38" s="584">
        <f>+IF(BT38="","",(VLOOKUP($C38,'EQUIP RATE SCHEDULE'!$B$11:$F$162,5,FALSE)))</f>
        <v>65</v>
      </c>
      <c r="BV38" s="591"/>
      <c r="BW38" s="613">
        <f t="shared" si="12"/>
        <v>65</v>
      </c>
      <c r="BX38" s="769" t="s">
        <v>66</v>
      </c>
      <c r="BY38" s="575">
        <v>1</v>
      </c>
      <c r="BZ38" s="584">
        <f>+IF(BY38="","",(VLOOKUP($C38,'EQUIP RATE SCHEDULE'!$B$11:$F$162,5,FALSE)))</f>
        <v>65</v>
      </c>
      <c r="CA38" s="591"/>
      <c r="CB38" s="613">
        <f t="shared" si="13"/>
        <v>65</v>
      </c>
      <c r="CC38" s="769" t="s">
        <v>66</v>
      </c>
      <c r="CD38" s="575">
        <v>1</v>
      </c>
      <c r="CE38" s="584">
        <f>+IF(CD38="","",(VLOOKUP($C38,'EQUIP RATE SCHEDULE'!$B$11:$F$162,5,FALSE)))</f>
        <v>65</v>
      </c>
      <c r="CF38" s="591"/>
      <c r="CG38" s="613">
        <f t="shared" si="14"/>
        <v>65</v>
      </c>
      <c r="CH38" s="769" t="s">
        <v>66</v>
      </c>
      <c r="CI38" s="575">
        <v>1</v>
      </c>
      <c r="CJ38" s="584">
        <f>+IF(CI38="","",(VLOOKUP($C38,'EQUIP RATE SCHEDULE'!$B$11:$F$162,5,FALSE)))</f>
        <v>65</v>
      </c>
      <c r="CK38" s="591"/>
      <c r="CL38" s="613">
        <f t="shared" si="15"/>
        <v>65</v>
      </c>
      <c r="CM38" s="769" t="s">
        <v>66</v>
      </c>
      <c r="CN38" s="575">
        <v>1</v>
      </c>
      <c r="CO38" s="584">
        <f>+IF(CN38="","",(VLOOKUP($C38,'EQUIP RATE SCHEDULE'!$B$11:$F$162,5,FALSE)))</f>
        <v>65</v>
      </c>
      <c r="CP38" s="591"/>
      <c r="CQ38" s="613">
        <f t="shared" si="16"/>
        <v>65</v>
      </c>
      <c r="CR38" s="769" t="s">
        <v>66</v>
      </c>
      <c r="CS38" s="575">
        <v>1</v>
      </c>
      <c r="CT38" s="584">
        <f>+IF(CS38="","",(VLOOKUP($C38,'EQUIP RATE SCHEDULE'!$B$11:$F$162,5,FALSE)))</f>
        <v>65</v>
      </c>
      <c r="CU38" s="591"/>
      <c r="CV38" s="613">
        <f t="shared" si="17"/>
        <v>65</v>
      </c>
      <c r="CW38" s="769" t="s">
        <v>66</v>
      </c>
      <c r="CX38" s="575">
        <v>1</v>
      </c>
      <c r="CY38" s="584">
        <f>+IF(CX38="","",(VLOOKUP($C38,'EQUIP RATE SCHEDULE'!$B$11:$F$162,5,FALSE)))</f>
        <v>65</v>
      </c>
      <c r="CZ38" s="591"/>
      <c r="DA38" s="613">
        <f t="shared" si="18"/>
        <v>65</v>
      </c>
    </row>
    <row r="39" spans="1:105" ht="15" x14ac:dyDescent="0.25">
      <c r="A39" s="1513"/>
      <c r="B39" s="809" t="s">
        <v>522</v>
      </c>
      <c r="C39" s="776" t="s">
        <v>967</v>
      </c>
      <c r="D39" s="1492"/>
      <c r="E39" s="1490"/>
      <c r="F39" s="769" t="s">
        <v>67</v>
      </c>
      <c r="G39" s="575">
        <v>1</v>
      </c>
      <c r="H39" s="584">
        <f>+IF(G39="","",(VLOOKUP($C39,'EQUIP RATE SCHEDULE'!$B$11:$F$162,5,FALSE)))</f>
        <v>195</v>
      </c>
      <c r="I39" s="591"/>
      <c r="J39" s="613">
        <f t="shared" si="19"/>
        <v>195</v>
      </c>
      <c r="K39" s="769" t="s">
        <v>67</v>
      </c>
      <c r="L39" s="575">
        <v>1</v>
      </c>
      <c r="M39" s="584">
        <f>+IF(L39="","",(VLOOKUP($C39,'EQUIP RATE SCHEDULE'!$B$11:$F$162,5,FALSE)))</f>
        <v>195</v>
      </c>
      <c r="N39" s="591"/>
      <c r="O39" s="613">
        <f t="shared" si="20"/>
        <v>195</v>
      </c>
      <c r="P39" s="769" t="s">
        <v>67</v>
      </c>
      <c r="Q39" s="575">
        <v>1</v>
      </c>
      <c r="R39" s="584">
        <f>+IF(Q39="","",(VLOOKUP($C39,'EQUIP RATE SCHEDULE'!$B$11:$F$162,5,FALSE)))</f>
        <v>195</v>
      </c>
      <c r="S39" s="591"/>
      <c r="T39" s="613">
        <f t="shared" si="21"/>
        <v>195</v>
      </c>
      <c r="U39" s="769" t="s">
        <v>67</v>
      </c>
      <c r="V39" s="575">
        <v>1</v>
      </c>
      <c r="W39" s="584">
        <f>+IF(V39="","",(VLOOKUP($C39,'EQUIP RATE SCHEDULE'!$B$11:$F$162,5,FALSE)))</f>
        <v>195</v>
      </c>
      <c r="X39" s="591"/>
      <c r="Y39" s="613">
        <f t="shared" si="22"/>
        <v>195</v>
      </c>
      <c r="Z39" s="769" t="s">
        <v>67</v>
      </c>
      <c r="AA39" s="575">
        <v>1</v>
      </c>
      <c r="AB39" s="584">
        <f>+IF(AA39="","",(VLOOKUP($C39,'EQUIP RATE SCHEDULE'!$B$11:$F$162,5,FALSE)))</f>
        <v>195</v>
      </c>
      <c r="AC39" s="591"/>
      <c r="AD39" s="613">
        <f t="shared" si="23"/>
        <v>195</v>
      </c>
      <c r="AE39" s="769" t="s">
        <v>67</v>
      </c>
      <c r="AF39" s="575">
        <v>1</v>
      </c>
      <c r="AG39" s="584">
        <f>+IF(AF39="","",(VLOOKUP($C39,'EQUIP RATE SCHEDULE'!$B$11:$F$162,5,FALSE)))</f>
        <v>195</v>
      </c>
      <c r="AH39" s="591"/>
      <c r="AI39" s="613">
        <f t="shared" si="24"/>
        <v>195</v>
      </c>
      <c r="AJ39" s="769" t="s">
        <v>67</v>
      </c>
      <c r="AK39" s="575">
        <v>1</v>
      </c>
      <c r="AL39" s="584">
        <f>+IF(AK39="","",(VLOOKUP($C39,'EQUIP RATE SCHEDULE'!$B$11:$F$162,5,FALSE)))</f>
        <v>195</v>
      </c>
      <c r="AM39" s="591"/>
      <c r="AN39" s="613">
        <f t="shared" si="25"/>
        <v>195</v>
      </c>
      <c r="AO39" s="769" t="s">
        <v>67</v>
      </c>
      <c r="AP39" s="575"/>
      <c r="AQ39" s="584" t="str">
        <f>+IF(AP39="","",(VLOOKUP($C39,'EQUIP RATE SCHEDULE'!$B$11:$F$162,5,FALSE)))</f>
        <v/>
      </c>
      <c r="AR39" s="591"/>
      <c r="AS39" s="613" t="str">
        <f t="shared" si="26"/>
        <v/>
      </c>
      <c r="AT39" s="769" t="s">
        <v>67</v>
      </c>
      <c r="AU39" s="575">
        <v>1</v>
      </c>
      <c r="AV39" s="584">
        <f>+IF(AU39="","",(VLOOKUP($C39,'EQUIP RATE SCHEDULE'!$B$11:$F$162,5,FALSE)))</f>
        <v>195</v>
      </c>
      <c r="AW39" s="591"/>
      <c r="AX39" s="613">
        <f t="shared" si="27"/>
        <v>195</v>
      </c>
      <c r="AY39" s="769" t="s">
        <v>67</v>
      </c>
      <c r="AZ39" s="575">
        <v>1</v>
      </c>
      <c r="BA39" s="584">
        <f>+IF(AZ39="","",(VLOOKUP($C39,'EQUIP RATE SCHEDULE'!$B$11:$F$162,5,FALSE)))</f>
        <v>195</v>
      </c>
      <c r="BB39" s="591"/>
      <c r="BC39" s="613">
        <f t="shared" si="28"/>
        <v>195</v>
      </c>
      <c r="BD39" s="769" t="s">
        <v>67</v>
      </c>
      <c r="BE39" s="575">
        <v>1</v>
      </c>
      <c r="BF39" s="584">
        <f>+IF(BE39="","",(VLOOKUP($C39,'EQUIP RATE SCHEDULE'!$B$11:$F$162,5,FALSE)))</f>
        <v>195</v>
      </c>
      <c r="BG39" s="591"/>
      <c r="BH39" s="613">
        <f t="shared" si="9"/>
        <v>195</v>
      </c>
      <c r="BI39" s="769" t="s">
        <v>67</v>
      </c>
      <c r="BJ39" s="575">
        <v>1</v>
      </c>
      <c r="BK39" s="584">
        <f>+IF(BJ39="","",(VLOOKUP($C39,'EQUIP RATE SCHEDULE'!$B$11:$F$162,5,FALSE)))</f>
        <v>195</v>
      </c>
      <c r="BL39" s="591"/>
      <c r="BM39" s="613">
        <f t="shared" si="10"/>
        <v>195</v>
      </c>
      <c r="BN39" s="769" t="s">
        <v>67</v>
      </c>
      <c r="BO39" s="575">
        <v>1</v>
      </c>
      <c r="BP39" s="584">
        <f>+IF(BO39="","",(VLOOKUP($C39,'EQUIP RATE SCHEDULE'!$B$11:$F$162,5,FALSE)))</f>
        <v>195</v>
      </c>
      <c r="BQ39" s="591"/>
      <c r="BR39" s="613">
        <f t="shared" si="11"/>
        <v>195</v>
      </c>
      <c r="BS39" s="769" t="s">
        <v>67</v>
      </c>
      <c r="BT39" s="575">
        <v>1</v>
      </c>
      <c r="BU39" s="584">
        <f>+IF(BT39="","",(VLOOKUP($C39,'EQUIP RATE SCHEDULE'!$B$11:$F$162,5,FALSE)))</f>
        <v>195</v>
      </c>
      <c r="BV39" s="591"/>
      <c r="BW39" s="613">
        <f t="shared" si="12"/>
        <v>195</v>
      </c>
      <c r="BX39" s="769" t="s">
        <v>67</v>
      </c>
      <c r="BY39" s="575">
        <v>1</v>
      </c>
      <c r="BZ39" s="584">
        <f>+IF(BY39="","",(VLOOKUP($C39,'EQUIP RATE SCHEDULE'!$B$11:$F$162,5,FALSE)))</f>
        <v>195</v>
      </c>
      <c r="CA39" s="591"/>
      <c r="CB39" s="613">
        <f t="shared" si="13"/>
        <v>195</v>
      </c>
      <c r="CC39" s="769" t="s">
        <v>67</v>
      </c>
      <c r="CD39" s="575">
        <v>1</v>
      </c>
      <c r="CE39" s="584">
        <f>+IF(CD39="","",(VLOOKUP($C39,'EQUIP RATE SCHEDULE'!$B$11:$F$162,5,FALSE)))</f>
        <v>195</v>
      </c>
      <c r="CF39" s="591"/>
      <c r="CG39" s="613">
        <f t="shared" si="14"/>
        <v>195</v>
      </c>
      <c r="CH39" s="769" t="s">
        <v>67</v>
      </c>
      <c r="CI39" s="575">
        <v>1</v>
      </c>
      <c r="CJ39" s="584">
        <f>+IF(CI39="","",(VLOOKUP($C39,'EQUIP RATE SCHEDULE'!$B$11:$F$162,5,FALSE)))</f>
        <v>195</v>
      </c>
      <c r="CK39" s="591"/>
      <c r="CL39" s="613">
        <f t="shared" si="15"/>
        <v>195</v>
      </c>
      <c r="CM39" s="769" t="s">
        <v>67</v>
      </c>
      <c r="CN39" s="575">
        <v>1</v>
      </c>
      <c r="CO39" s="584">
        <f>+IF(CN39="","",(VLOOKUP($C39,'EQUIP RATE SCHEDULE'!$B$11:$F$162,5,FALSE)))</f>
        <v>195</v>
      </c>
      <c r="CP39" s="591"/>
      <c r="CQ39" s="613">
        <f t="shared" si="16"/>
        <v>195</v>
      </c>
      <c r="CR39" s="769" t="s">
        <v>67</v>
      </c>
      <c r="CS39" s="575">
        <v>1</v>
      </c>
      <c r="CT39" s="584">
        <f>+IF(CS39="","",(VLOOKUP($C39,'EQUIP RATE SCHEDULE'!$B$11:$F$162,5,FALSE)))</f>
        <v>195</v>
      </c>
      <c r="CU39" s="591"/>
      <c r="CV39" s="613">
        <f t="shared" si="17"/>
        <v>195</v>
      </c>
      <c r="CW39" s="769" t="s">
        <v>67</v>
      </c>
      <c r="CX39" s="575">
        <v>1</v>
      </c>
      <c r="CY39" s="584">
        <f>+IF(CX39="","",(VLOOKUP($C39,'EQUIP RATE SCHEDULE'!$B$11:$F$162,5,FALSE)))</f>
        <v>195</v>
      </c>
      <c r="CZ39" s="591"/>
      <c r="DA39" s="613">
        <f t="shared" si="18"/>
        <v>195</v>
      </c>
    </row>
    <row r="40" spans="1:105" ht="15" x14ac:dyDescent="0.25">
      <c r="A40" s="1513"/>
      <c r="B40" s="809" t="s">
        <v>522</v>
      </c>
      <c r="C40" s="776" t="s">
        <v>968</v>
      </c>
      <c r="D40" s="1491" t="s">
        <v>969</v>
      </c>
      <c r="E40" s="1488" t="s">
        <v>970</v>
      </c>
      <c r="F40" s="769" t="s">
        <v>66</v>
      </c>
      <c r="G40" s="575">
        <v>1</v>
      </c>
      <c r="H40" s="584">
        <f>+IF(G40="","",(VLOOKUP($C40,'EQUIP RATE SCHEDULE'!$B$11:$F$162,5,FALSE)))</f>
        <v>125</v>
      </c>
      <c r="I40" s="591"/>
      <c r="J40" s="613">
        <f t="shared" si="19"/>
        <v>125</v>
      </c>
      <c r="K40" s="769" t="s">
        <v>66</v>
      </c>
      <c r="L40" s="575">
        <v>1</v>
      </c>
      <c r="M40" s="584">
        <f>+IF(L40="","",(VLOOKUP($C40,'EQUIP RATE SCHEDULE'!$B$11:$F$162,5,FALSE)))</f>
        <v>125</v>
      </c>
      <c r="N40" s="591"/>
      <c r="O40" s="613">
        <f t="shared" si="20"/>
        <v>125</v>
      </c>
      <c r="P40" s="769" t="s">
        <v>66</v>
      </c>
      <c r="Q40" s="575">
        <v>1</v>
      </c>
      <c r="R40" s="584">
        <f>+IF(Q40="","",(VLOOKUP($C40,'EQUIP RATE SCHEDULE'!$B$11:$F$162,5,FALSE)))</f>
        <v>125</v>
      </c>
      <c r="S40" s="591"/>
      <c r="T40" s="613">
        <f t="shared" si="21"/>
        <v>125</v>
      </c>
      <c r="U40" s="769" t="s">
        <v>66</v>
      </c>
      <c r="V40" s="575">
        <v>1</v>
      </c>
      <c r="W40" s="584">
        <f>+IF(V40="","",(VLOOKUP($C40,'EQUIP RATE SCHEDULE'!$B$11:$F$162,5,FALSE)))</f>
        <v>125</v>
      </c>
      <c r="X40" s="591"/>
      <c r="Y40" s="613">
        <f t="shared" si="22"/>
        <v>125</v>
      </c>
      <c r="Z40" s="769" t="s">
        <v>66</v>
      </c>
      <c r="AA40" s="575">
        <v>1</v>
      </c>
      <c r="AB40" s="584">
        <f>+IF(AA40="","",(VLOOKUP($C40,'EQUIP RATE SCHEDULE'!$B$11:$F$162,5,FALSE)))</f>
        <v>125</v>
      </c>
      <c r="AC40" s="591"/>
      <c r="AD40" s="613">
        <f t="shared" si="23"/>
        <v>125</v>
      </c>
      <c r="AE40" s="769" t="s">
        <v>66</v>
      </c>
      <c r="AF40" s="575">
        <v>1</v>
      </c>
      <c r="AG40" s="584">
        <f>+IF(AF40="","",(VLOOKUP($C40,'EQUIP RATE SCHEDULE'!$B$11:$F$162,5,FALSE)))</f>
        <v>125</v>
      </c>
      <c r="AH40" s="591"/>
      <c r="AI40" s="613">
        <f t="shared" si="24"/>
        <v>125</v>
      </c>
      <c r="AJ40" s="769" t="s">
        <v>66</v>
      </c>
      <c r="AK40" s="575">
        <v>1</v>
      </c>
      <c r="AL40" s="584">
        <f>+IF(AK40="","",(VLOOKUP($C40,'EQUIP RATE SCHEDULE'!$B$11:$F$162,5,FALSE)))</f>
        <v>125</v>
      </c>
      <c r="AM40" s="591"/>
      <c r="AN40" s="613">
        <f t="shared" si="25"/>
        <v>125</v>
      </c>
      <c r="AO40" s="769" t="s">
        <v>66</v>
      </c>
      <c r="AP40" s="575">
        <v>1</v>
      </c>
      <c r="AQ40" s="584">
        <f>+IF(AP40="","",(VLOOKUP($C40,'EQUIP RATE SCHEDULE'!$B$11:$F$162,5,FALSE)))</f>
        <v>125</v>
      </c>
      <c r="AR40" s="591"/>
      <c r="AS40" s="613">
        <f t="shared" si="26"/>
        <v>125</v>
      </c>
      <c r="AT40" s="769" t="s">
        <v>66</v>
      </c>
      <c r="AU40" s="575">
        <v>1</v>
      </c>
      <c r="AV40" s="584">
        <f>+IF(AU40="","",(VLOOKUP($C40,'EQUIP RATE SCHEDULE'!$B$11:$F$162,5,FALSE)))</f>
        <v>125</v>
      </c>
      <c r="AW40" s="591"/>
      <c r="AX40" s="613">
        <f t="shared" si="27"/>
        <v>125</v>
      </c>
      <c r="AY40" s="769" t="s">
        <v>66</v>
      </c>
      <c r="AZ40" s="575">
        <v>1</v>
      </c>
      <c r="BA40" s="584">
        <f>+IF(AZ40="","",(VLOOKUP($C40,'EQUIP RATE SCHEDULE'!$B$11:$F$162,5,FALSE)))</f>
        <v>125</v>
      </c>
      <c r="BB40" s="591"/>
      <c r="BC40" s="613">
        <f t="shared" si="28"/>
        <v>125</v>
      </c>
      <c r="BD40" s="769" t="s">
        <v>66</v>
      </c>
      <c r="BE40" s="575">
        <v>1</v>
      </c>
      <c r="BF40" s="584">
        <f>+IF(BE40="","",(VLOOKUP($C40,'EQUIP RATE SCHEDULE'!$B$11:$F$162,5,FALSE)))</f>
        <v>125</v>
      </c>
      <c r="BG40" s="591"/>
      <c r="BH40" s="613">
        <f t="shared" si="9"/>
        <v>125</v>
      </c>
      <c r="BI40" s="769" t="s">
        <v>66</v>
      </c>
      <c r="BJ40" s="575">
        <v>1</v>
      </c>
      <c r="BK40" s="584">
        <f>+IF(BJ40="","",(VLOOKUP($C40,'EQUIP RATE SCHEDULE'!$B$11:$F$162,5,FALSE)))</f>
        <v>125</v>
      </c>
      <c r="BL40" s="591"/>
      <c r="BM40" s="613">
        <f t="shared" si="10"/>
        <v>125</v>
      </c>
      <c r="BN40" s="769" t="s">
        <v>66</v>
      </c>
      <c r="BO40" s="575">
        <v>1</v>
      </c>
      <c r="BP40" s="584">
        <f>+IF(BO40="","",(VLOOKUP($C40,'EQUIP RATE SCHEDULE'!$B$11:$F$162,5,FALSE)))</f>
        <v>125</v>
      </c>
      <c r="BQ40" s="591"/>
      <c r="BR40" s="613">
        <f t="shared" si="11"/>
        <v>125</v>
      </c>
      <c r="BS40" s="769" t="s">
        <v>66</v>
      </c>
      <c r="BT40" s="575">
        <v>1</v>
      </c>
      <c r="BU40" s="584">
        <f>+IF(BT40="","",(VLOOKUP($C40,'EQUIP RATE SCHEDULE'!$B$11:$F$162,5,FALSE)))</f>
        <v>125</v>
      </c>
      <c r="BV40" s="591"/>
      <c r="BW40" s="613">
        <f t="shared" si="12"/>
        <v>125</v>
      </c>
      <c r="BX40" s="769" t="s">
        <v>66</v>
      </c>
      <c r="BY40" s="575">
        <v>1</v>
      </c>
      <c r="BZ40" s="584">
        <f>+IF(BY40="","",(VLOOKUP($C40,'EQUIP RATE SCHEDULE'!$B$11:$F$162,5,FALSE)))</f>
        <v>125</v>
      </c>
      <c r="CA40" s="591"/>
      <c r="CB40" s="613">
        <f t="shared" si="13"/>
        <v>125</v>
      </c>
      <c r="CC40" s="769" t="s">
        <v>66</v>
      </c>
      <c r="CD40" s="575">
        <v>1</v>
      </c>
      <c r="CE40" s="584">
        <f>+IF(CD40="","",(VLOOKUP($C40,'EQUIP RATE SCHEDULE'!$B$11:$F$162,5,FALSE)))</f>
        <v>125</v>
      </c>
      <c r="CF40" s="591"/>
      <c r="CG40" s="613">
        <f t="shared" si="14"/>
        <v>125</v>
      </c>
      <c r="CH40" s="769" t="s">
        <v>66</v>
      </c>
      <c r="CI40" s="575">
        <v>1</v>
      </c>
      <c r="CJ40" s="584">
        <f>+IF(CI40="","",(VLOOKUP($C40,'EQUIP RATE SCHEDULE'!$B$11:$F$162,5,FALSE)))</f>
        <v>125</v>
      </c>
      <c r="CK40" s="591"/>
      <c r="CL40" s="613">
        <f t="shared" si="15"/>
        <v>125</v>
      </c>
      <c r="CM40" s="769" t="s">
        <v>66</v>
      </c>
      <c r="CN40" s="575">
        <v>1</v>
      </c>
      <c r="CO40" s="584">
        <f>+IF(CN40="","",(VLOOKUP($C40,'EQUIP RATE SCHEDULE'!$B$11:$F$162,5,FALSE)))</f>
        <v>125</v>
      </c>
      <c r="CP40" s="591"/>
      <c r="CQ40" s="613">
        <f t="shared" si="16"/>
        <v>125</v>
      </c>
      <c r="CR40" s="769" t="s">
        <v>66</v>
      </c>
      <c r="CS40" s="575">
        <v>1</v>
      </c>
      <c r="CT40" s="584">
        <f>+IF(CS40="","",(VLOOKUP($C40,'EQUIP RATE SCHEDULE'!$B$11:$F$162,5,FALSE)))</f>
        <v>125</v>
      </c>
      <c r="CU40" s="591"/>
      <c r="CV40" s="613">
        <f t="shared" si="17"/>
        <v>125</v>
      </c>
      <c r="CW40" s="769" t="s">
        <v>66</v>
      </c>
      <c r="CX40" s="575">
        <v>1</v>
      </c>
      <c r="CY40" s="584">
        <f>+IF(CX40="","",(VLOOKUP($C40,'EQUIP RATE SCHEDULE'!$B$11:$F$162,5,FALSE)))</f>
        <v>125</v>
      </c>
      <c r="CZ40" s="591"/>
      <c r="DA40" s="613">
        <f t="shared" si="18"/>
        <v>125</v>
      </c>
    </row>
    <row r="41" spans="1:105" ht="15" x14ac:dyDescent="0.25">
      <c r="A41" s="1513"/>
      <c r="B41" s="809" t="s">
        <v>522</v>
      </c>
      <c r="C41" s="776" t="s">
        <v>971</v>
      </c>
      <c r="D41" s="1492"/>
      <c r="E41" s="1490"/>
      <c r="F41" s="769" t="s">
        <v>67</v>
      </c>
      <c r="G41" s="575">
        <v>1</v>
      </c>
      <c r="H41" s="584">
        <f>+IF(G41="","",(VLOOKUP($C41,'EQUIP RATE SCHEDULE'!$B$11:$F$162,5,FALSE)))</f>
        <v>375</v>
      </c>
      <c r="I41" s="591"/>
      <c r="J41" s="613">
        <f t="shared" si="19"/>
        <v>375</v>
      </c>
      <c r="K41" s="769" t="s">
        <v>67</v>
      </c>
      <c r="L41" s="575">
        <v>1</v>
      </c>
      <c r="M41" s="584">
        <f>+IF(L41="","",(VLOOKUP($C41,'EQUIP RATE SCHEDULE'!$B$11:$F$162,5,FALSE)))</f>
        <v>375</v>
      </c>
      <c r="N41" s="591"/>
      <c r="O41" s="613">
        <f t="shared" si="20"/>
        <v>375</v>
      </c>
      <c r="P41" s="769" t="s">
        <v>67</v>
      </c>
      <c r="Q41" s="575">
        <v>1</v>
      </c>
      <c r="R41" s="584">
        <f>+IF(Q41="","",(VLOOKUP($C41,'EQUIP RATE SCHEDULE'!$B$11:$F$162,5,FALSE)))</f>
        <v>375</v>
      </c>
      <c r="S41" s="591"/>
      <c r="T41" s="613">
        <f t="shared" si="21"/>
        <v>375</v>
      </c>
      <c r="U41" s="769" t="s">
        <v>67</v>
      </c>
      <c r="V41" s="575">
        <v>1</v>
      </c>
      <c r="W41" s="584">
        <f>+IF(V41="","",(VLOOKUP($C41,'EQUIP RATE SCHEDULE'!$B$11:$F$162,5,FALSE)))</f>
        <v>375</v>
      </c>
      <c r="X41" s="591"/>
      <c r="Y41" s="613">
        <f t="shared" si="22"/>
        <v>375</v>
      </c>
      <c r="Z41" s="769" t="s">
        <v>67</v>
      </c>
      <c r="AA41" s="575">
        <v>1</v>
      </c>
      <c r="AB41" s="584">
        <f>+IF(AA41="","",(VLOOKUP($C41,'EQUIP RATE SCHEDULE'!$B$11:$F$162,5,FALSE)))</f>
        <v>375</v>
      </c>
      <c r="AC41" s="591"/>
      <c r="AD41" s="613">
        <f t="shared" si="23"/>
        <v>375</v>
      </c>
      <c r="AE41" s="769" t="s">
        <v>67</v>
      </c>
      <c r="AF41" s="575">
        <v>1</v>
      </c>
      <c r="AG41" s="584">
        <f>+IF(AF41="","",(VLOOKUP($C41,'EQUIP RATE SCHEDULE'!$B$11:$F$162,5,FALSE)))</f>
        <v>375</v>
      </c>
      <c r="AH41" s="591"/>
      <c r="AI41" s="613">
        <f t="shared" si="24"/>
        <v>375</v>
      </c>
      <c r="AJ41" s="769" t="s">
        <v>67</v>
      </c>
      <c r="AK41" s="575">
        <v>1</v>
      </c>
      <c r="AL41" s="584">
        <f>+IF(AK41="","",(VLOOKUP($C41,'EQUIP RATE SCHEDULE'!$B$11:$F$162,5,FALSE)))</f>
        <v>375</v>
      </c>
      <c r="AM41" s="591"/>
      <c r="AN41" s="613">
        <f t="shared" si="25"/>
        <v>375</v>
      </c>
      <c r="AO41" s="769" t="s">
        <v>67</v>
      </c>
      <c r="AP41" s="575">
        <v>1</v>
      </c>
      <c r="AQ41" s="584">
        <f>+IF(AP41="","",(VLOOKUP($C41,'EQUIP RATE SCHEDULE'!$B$11:$F$162,5,FALSE)))</f>
        <v>375</v>
      </c>
      <c r="AR41" s="591"/>
      <c r="AS41" s="613">
        <f t="shared" si="26"/>
        <v>375</v>
      </c>
      <c r="AT41" s="769" t="s">
        <v>67</v>
      </c>
      <c r="AU41" s="575">
        <v>1</v>
      </c>
      <c r="AV41" s="584">
        <f>+IF(AU41="","",(VLOOKUP($C41,'EQUIP RATE SCHEDULE'!$B$11:$F$162,5,FALSE)))</f>
        <v>375</v>
      </c>
      <c r="AW41" s="591"/>
      <c r="AX41" s="613">
        <f t="shared" si="27"/>
        <v>375</v>
      </c>
      <c r="AY41" s="769" t="s">
        <v>67</v>
      </c>
      <c r="AZ41" s="575">
        <v>1</v>
      </c>
      <c r="BA41" s="584">
        <f>+IF(AZ41="","",(VLOOKUP($C41,'EQUIP RATE SCHEDULE'!$B$11:$F$162,5,FALSE)))</f>
        <v>375</v>
      </c>
      <c r="BB41" s="591"/>
      <c r="BC41" s="613">
        <f t="shared" si="28"/>
        <v>375</v>
      </c>
      <c r="BD41" s="769" t="s">
        <v>67</v>
      </c>
      <c r="BE41" s="575">
        <v>1</v>
      </c>
      <c r="BF41" s="584">
        <f>+IF(BE41="","",(VLOOKUP($C41,'EQUIP RATE SCHEDULE'!$B$11:$F$162,5,FALSE)))</f>
        <v>375</v>
      </c>
      <c r="BG41" s="591"/>
      <c r="BH41" s="613">
        <f t="shared" si="9"/>
        <v>375</v>
      </c>
      <c r="BI41" s="769" t="s">
        <v>67</v>
      </c>
      <c r="BJ41" s="575">
        <v>1</v>
      </c>
      <c r="BK41" s="584">
        <f>+IF(BJ41="","",(VLOOKUP($C41,'EQUIP RATE SCHEDULE'!$B$11:$F$162,5,FALSE)))</f>
        <v>375</v>
      </c>
      <c r="BL41" s="591"/>
      <c r="BM41" s="613">
        <f t="shared" si="10"/>
        <v>375</v>
      </c>
      <c r="BN41" s="769" t="s">
        <v>67</v>
      </c>
      <c r="BO41" s="575">
        <v>1</v>
      </c>
      <c r="BP41" s="584">
        <f>+IF(BO41="","",(VLOOKUP($C41,'EQUIP RATE SCHEDULE'!$B$11:$F$162,5,FALSE)))</f>
        <v>375</v>
      </c>
      <c r="BQ41" s="591"/>
      <c r="BR41" s="613">
        <f t="shared" si="11"/>
        <v>375</v>
      </c>
      <c r="BS41" s="769" t="s">
        <v>67</v>
      </c>
      <c r="BT41" s="575">
        <v>1</v>
      </c>
      <c r="BU41" s="584">
        <f>+IF(BT41="","",(VLOOKUP($C41,'EQUIP RATE SCHEDULE'!$B$11:$F$162,5,FALSE)))</f>
        <v>375</v>
      </c>
      <c r="BV41" s="591"/>
      <c r="BW41" s="613">
        <f t="shared" si="12"/>
        <v>375</v>
      </c>
      <c r="BX41" s="769" t="s">
        <v>67</v>
      </c>
      <c r="BY41" s="575">
        <v>1</v>
      </c>
      <c r="BZ41" s="584">
        <f>+IF(BY41="","",(VLOOKUP($C41,'EQUIP RATE SCHEDULE'!$B$11:$F$162,5,FALSE)))</f>
        <v>375</v>
      </c>
      <c r="CA41" s="591"/>
      <c r="CB41" s="613">
        <f t="shared" si="13"/>
        <v>375</v>
      </c>
      <c r="CC41" s="769" t="s">
        <v>67</v>
      </c>
      <c r="CD41" s="575">
        <v>1</v>
      </c>
      <c r="CE41" s="584">
        <f>+IF(CD41="","",(VLOOKUP($C41,'EQUIP RATE SCHEDULE'!$B$11:$F$162,5,FALSE)))</f>
        <v>375</v>
      </c>
      <c r="CF41" s="591"/>
      <c r="CG41" s="613">
        <f t="shared" si="14"/>
        <v>375</v>
      </c>
      <c r="CH41" s="769" t="s">
        <v>67</v>
      </c>
      <c r="CI41" s="575">
        <v>1</v>
      </c>
      <c r="CJ41" s="584">
        <f>+IF(CI41="","",(VLOOKUP($C41,'EQUIP RATE SCHEDULE'!$B$11:$F$162,5,FALSE)))</f>
        <v>375</v>
      </c>
      <c r="CK41" s="591"/>
      <c r="CL41" s="613">
        <f t="shared" si="15"/>
        <v>375</v>
      </c>
      <c r="CM41" s="769" t="s">
        <v>67</v>
      </c>
      <c r="CN41" s="575">
        <v>1</v>
      </c>
      <c r="CO41" s="584">
        <f>+IF(CN41="","",(VLOOKUP($C41,'EQUIP RATE SCHEDULE'!$B$11:$F$162,5,FALSE)))</f>
        <v>375</v>
      </c>
      <c r="CP41" s="591"/>
      <c r="CQ41" s="613">
        <f t="shared" si="16"/>
        <v>375</v>
      </c>
      <c r="CR41" s="769" t="s">
        <v>67</v>
      </c>
      <c r="CS41" s="575">
        <v>1</v>
      </c>
      <c r="CT41" s="584">
        <f>+IF(CS41="","",(VLOOKUP($C41,'EQUIP RATE SCHEDULE'!$B$11:$F$162,5,FALSE)))</f>
        <v>375</v>
      </c>
      <c r="CU41" s="591"/>
      <c r="CV41" s="613">
        <f t="shared" si="17"/>
        <v>375</v>
      </c>
      <c r="CW41" s="769" t="s">
        <v>67</v>
      </c>
      <c r="CX41" s="575">
        <v>1</v>
      </c>
      <c r="CY41" s="584">
        <f>+IF(CX41="","",(VLOOKUP($C41,'EQUIP RATE SCHEDULE'!$B$11:$F$162,5,FALSE)))</f>
        <v>375</v>
      </c>
      <c r="CZ41" s="591"/>
      <c r="DA41" s="613">
        <f t="shared" si="18"/>
        <v>375</v>
      </c>
    </row>
    <row r="42" spans="1:105" ht="15" x14ac:dyDescent="0.25">
      <c r="A42" s="1513"/>
      <c r="B42" s="809" t="s">
        <v>522</v>
      </c>
      <c r="C42" s="776" t="s">
        <v>972</v>
      </c>
      <c r="D42" s="1491" t="s">
        <v>973</v>
      </c>
      <c r="E42" s="1488" t="s">
        <v>1221</v>
      </c>
      <c r="F42" s="769" t="s">
        <v>66</v>
      </c>
      <c r="G42" s="575">
        <v>1</v>
      </c>
      <c r="H42" s="584">
        <f>+IF(G42="","",(VLOOKUP($C42,'EQUIP RATE SCHEDULE'!$B$11:$F$162,5,FALSE)))</f>
        <v>30</v>
      </c>
      <c r="I42" s="591"/>
      <c r="J42" s="613">
        <f t="shared" si="19"/>
        <v>30</v>
      </c>
      <c r="K42" s="769" t="s">
        <v>66</v>
      </c>
      <c r="L42" s="575">
        <v>1</v>
      </c>
      <c r="M42" s="584">
        <f>+IF(L42="","",(VLOOKUP($C42,'EQUIP RATE SCHEDULE'!$B$11:$F$162,5,FALSE)))</f>
        <v>30</v>
      </c>
      <c r="N42" s="591"/>
      <c r="O42" s="613">
        <f t="shared" si="20"/>
        <v>30</v>
      </c>
      <c r="P42" s="769" t="s">
        <v>66</v>
      </c>
      <c r="Q42" s="575">
        <v>1</v>
      </c>
      <c r="R42" s="584">
        <f>+IF(Q42="","",(VLOOKUP($C42,'EQUIP RATE SCHEDULE'!$B$11:$F$162,5,FALSE)))</f>
        <v>30</v>
      </c>
      <c r="S42" s="591"/>
      <c r="T42" s="613">
        <f t="shared" si="21"/>
        <v>30</v>
      </c>
      <c r="U42" s="769" t="s">
        <v>66</v>
      </c>
      <c r="V42" s="575">
        <v>1</v>
      </c>
      <c r="W42" s="584">
        <f>+IF(V42="","",(VLOOKUP($C42,'EQUIP RATE SCHEDULE'!$B$11:$F$162,5,FALSE)))</f>
        <v>30</v>
      </c>
      <c r="X42" s="591"/>
      <c r="Y42" s="613">
        <f t="shared" si="22"/>
        <v>30</v>
      </c>
      <c r="Z42" s="769" t="s">
        <v>66</v>
      </c>
      <c r="AA42" s="575">
        <v>1</v>
      </c>
      <c r="AB42" s="584">
        <f>+IF(AA42="","",(VLOOKUP($C42,'EQUIP RATE SCHEDULE'!$B$11:$F$162,5,FALSE)))</f>
        <v>30</v>
      </c>
      <c r="AC42" s="591"/>
      <c r="AD42" s="613">
        <f t="shared" si="23"/>
        <v>30</v>
      </c>
      <c r="AE42" s="769" t="s">
        <v>66</v>
      </c>
      <c r="AF42" s="575">
        <v>1</v>
      </c>
      <c r="AG42" s="584">
        <f>+IF(AF42="","",(VLOOKUP($C42,'EQUIP RATE SCHEDULE'!$B$11:$F$162,5,FALSE)))</f>
        <v>30</v>
      </c>
      <c r="AH42" s="591"/>
      <c r="AI42" s="613">
        <f t="shared" si="24"/>
        <v>30</v>
      </c>
      <c r="AJ42" s="769" t="s">
        <v>66</v>
      </c>
      <c r="AK42" s="575">
        <v>1</v>
      </c>
      <c r="AL42" s="584">
        <f>+IF(AK42="","",(VLOOKUP($C42,'EQUIP RATE SCHEDULE'!$B$11:$F$162,5,FALSE)))</f>
        <v>30</v>
      </c>
      <c r="AM42" s="591"/>
      <c r="AN42" s="613">
        <f t="shared" si="25"/>
        <v>30</v>
      </c>
      <c r="AO42" s="769" t="s">
        <v>66</v>
      </c>
      <c r="AP42" s="575">
        <v>1</v>
      </c>
      <c r="AQ42" s="584">
        <f>+IF(AP42="","",(VLOOKUP($C42,'EQUIP RATE SCHEDULE'!$B$11:$F$162,5,FALSE)))</f>
        <v>30</v>
      </c>
      <c r="AR42" s="591"/>
      <c r="AS42" s="613">
        <f t="shared" si="26"/>
        <v>30</v>
      </c>
      <c r="AT42" s="769" t="s">
        <v>66</v>
      </c>
      <c r="AU42" s="575">
        <v>1</v>
      </c>
      <c r="AV42" s="584">
        <f>+IF(AU42="","",(VLOOKUP($C42,'EQUIP RATE SCHEDULE'!$B$11:$F$162,5,FALSE)))</f>
        <v>30</v>
      </c>
      <c r="AW42" s="591"/>
      <c r="AX42" s="613">
        <f t="shared" si="27"/>
        <v>30</v>
      </c>
      <c r="AY42" s="769" t="s">
        <v>66</v>
      </c>
      <c r="AZ42" s="575">
        <v>1</v>
      </c>
      <c r="BA42" s="584">
        <f>+IF(AZ42="","",(VLOOKUP($C42,'EQUIP RATE SCHEDULE'!$B$11:$F$162,5,FALSE)))</f>
        <v>30</v>
      </c>
      <c r="BB42" s="591"/>
      <c r="BC42" s="613">
        <f t="shared" si="28"/>
        <v>30</v>
      </c>
      <c r="BD42" s="769" t="s">
        <v>66</v>
      </c>
      <c r="BE42" s="575">
        <v>1</v>
      </c>
      <c r="BF42" s="584">
        <f>+IF(BE42="","",(VLOOKUP($C42,'EQUIP RATE SCHEDULE'!$B$11:$F$162,5,FALSE)))</f>
        <v>30</v>
      </c>
      <c r="BG42" s="591"/>
      <c r="BH42" s="613">
        <f t="shared" si="9"/>
        <v>30</v>
      </c>
      <c r="BI42" s="769" t="s">
        <v>66</v>
      </c>
      <c r="BJ42" s="575">
        <v>1</v>
      </c>
      <c r="BK42" s="584">
        <f>+IF(BJ42="","",(VLOOKUP($C42,'EQUIP RATE SCHEDULE'!$B$11:$F$162,5,FALSE)))</f>
        <v>30</v>
      </c>
      <c r="BL42" s="591"/>
      <c r="BM42" s="613">
        <f t="shared" si="10"/>
        <v>30</v>
      </c>
      <c r="BN42" s="769" t="s">
        <v>66</v>
      </c>
      <c r="BO42" s="575">
        <v>1</v>
      </c>
      <c r="BP42" s="584">
        <f>+IF(BO42="","",(VLOOKUP($C42,'EQUIP RATE SCHEDULE'!$B$11:$F$162,5,FALSE)))</f>
        <v>30</v>
      </c>
      <c r="BQ42" s="591"/>
      <c r="BR42" s="613">
        <f t="shared" si="11"/>
        <v>30</v>
      </c>
      <c r="BS42" s="769" t="s">
        <v>66</v>
      </c>
      <c r="BT42" s="575">
        <v>1</v>
      </c>
      <c r="BU42" s="584">
        <f>+IF(BT42="","",(VLOOKUP($C42,'EQUIP RATE SCHEDULE'!$B$11:$F$162,5,FALSE)))</f>
        <v>30</v>
      </c>
      <c r="BV42" s="591"/>
      <c r="BW42" s="613">
        <f t="shared" si="12"/>
        <v>30</v>
      </c>
      <c r="BX42" s="769" t="s">
        <v>66</v>
      </c>
      <c r="BY42" s="575">
        <v>1</v>
      </c>
      <c r="BZ42" s="584">
        <f>+IF(BY42="","",(VLOOKUP($C42,'EQUIP RATE SCHEDULE'!$B$11:$F$162,5,FALSE)))</f>
        <v>30</v>
      </c>
      <c r="CA42" s="591"/>
      <c r="CB42" s="613">
        <f t="shared" si="13"/>
        <v>30</v>
      </c>
      <c r="CC42" s="769" t="s">
        <v>66</v>
      </c>
      <c r="CD42" s="575">
        <v>1</v>
      </c>
      <c r="CE42" s="584">
        <f>+IF(CD42="","",(VLOOKUP($C42,'EQUIP RATE SCHEDULE'!$B$11:$F$162,5,FALSE)))</f>
        <v>30</v>
      </c>
      <c r="CF42" s="591"/>
      <c r="CG42" s="613">
        <f t="shared" si="14"/>
        <v>30</v>
      </c>
      <c r="CH42" s="769" t="s">
        <v>66</v>
      </c>
      <c r="CI42" s="575">
        <v>1</v>
      </c>
      <c r="CJ42" s="584">
        <f>+IF(CI42="","",(VLOOKUP($C42,'EQUIP RATE SCHEDULE'!$B$11:$F$162,5,FALSE)))</f>
        <v>30</v>
      </c>
      <c r="CK42" s="591"/>
      <c r="CL42" s="613">
        <f t="shared" si="15"/>
        <v>30</v>
      </c>
      <c r="CM42" s="769" t="s">
        <v>66</v>
      </c>
      <c r="CN42" s="575">
        <v>1</v>
      </c>
      <c r="CO42" s="584">
        <f>+IF(CN42="","",(VLOOKUP($C42,'EQUIP RATE SCHEDULE'!$B$11:$F$162,5,FALSE)))</f>
        <v>30</v>
      </c>
      <c r="CP42" s="591"/>
      <c r="CQ42" s="613">
        <f t="shared" si="16"/>
        <v>30</v>
      </c>
      <c r="CR42" s="769" t="s">
        <v>66</v>
      </c>
      <c r="CS42" s="575">
        <v>1</v>
      </c>
      <c r="CT42" s="584">
        <f>+IF(CS42="","",(VLOOKUP($C42,'EQUIP RATE SCHEDULE'!$B$11:$F$162,5,FALSE)))</f>
        <v>30</v>
      </c>
      <c r="CU42" s="591"/>
      <c r="CV42" s="613">
        <f t="shared" si="17"/>
        <v>30</v>
      </c>
      <c r="CW42" s="769" t="s">
        <v>66</v>
      </c>
      <c r="CX42" s="575">
        <v>1</v>
      </c>
      <c r="CY42" s="584">
        <f>+IF(CX42="","",(VLOOKUP($C42,'EQUIP RATE SCHEDULE'!$B$11:$F$162,5,FALSE)))</f>
        <v>30</v>
      </c>
      <c r="CZ42" s="591"/>
      <c r="DA42" s="613">
        <f t="shared" si="18"/>
        <v>30</v>
      </c>
    </row>
    <row r="43" spans="1:105" ht="15" x14ac:dyDescent="0.25">
      <c r="A43" s="1513"/>
      <c r="B43" s="809" t="s">
        <v>522</v>
      </c>
      <c r="C43" s="776" t="s">
        <v>975</v>
      </c>
      <c r="D43" s="1492"/>
      <c r="E43" s="1490"/>
      <c r="F43" s="769" t="s">
        <v>67</v>
      </c>
      <c r="G43" s="575">
        <v>1</v>
      </c>
      <c r="H43" s="584">
        <f>+IF(G43="","",(VLOOKUP($C43,'EQUIP RATE SCHEDULE'!$B$11:$F$162,5,FALSE)))</f>
        <v>90</v>
      </c>
      <c r="I43" s="591"/>
      <c r="J43" s="613">
        <f t="shared" si="19"/>
        <v>90</v>
      </c>
      <c r="K43" s="769" t="s">
        <v>67</v>
      </c>
      <c r="L43" s="575">
        <v>1</v>
      </c>
      <c r="M43" s="584">
        <f>+IF(L43="","",(VLOOKUP($C43,'EQUIP RATE SCHEDULE'!$B$11:$F$162,5,FALSE)))</f>
        <v>90</v>
      </c>
      <c r="N43" s="591"/>
      <c r="O43" s="613">
        <f t="shared" si="20"/>
        <v>90</v>
      </c>
      <c r="P43" s="769" t="s">
        <v>67</v>
      </c>
      <c r="Q43" s="575">
        <v>1</v>
      </c>
      <c r="R43" s="584">
        <f>+IF(Q43="","",(VLOOKUP($C43,'EQUIP RATE SCHEDULE'!$B$11:$F$162,5,FALSE)))</f>
        <v>90</v>
      </c>
      <c r="S43" s="591"/>
      <c r="T43" s="613">
        <f t="shared" si="21"/>
        <v>90</v>
      </c>
      <c r="U43" s="769" t="s">
        <v>67</v>
      </c>
      <c r="V43" s="575">
        <v>1</v>
      </c>
      <c r="W43" s="584">
        <f>+IF(V43="","",(VLOOKUP($C43,'EQUIP RATE SCHEDULE'!$B$11:$F$162,5,FALSE)))</f>
        <v>90</v>
      </c>
      <c r="X43" s="591"/>
      <c r="Y43" s="613">
        <f t="shared" si="22"/>
        <v>90</v>
      </c>
      <c r="Z43" s="769" t="s">
        <v>67</v>
      </c>
      <c r="AA43" s="575">
        <v>1</v>
      </c>
      <c r="AB43" s="584">
        <f>+IF(AA43="","",(VLOOKUP($C43,'EQUIP RATE SCHEDULE'!$B$11:$F$162,5,FALSE)))</f>
        <v>90</v>
      </c>
      <c r="AC43" s="591"/>
      <c r="AD43" s="613">
        <f t="shared" si="23"/>
        <v>90</v>
      </c>
      <c r="AE43" s="769" t="s">
        <v>67</v>
      </c>
      <c r="AF43" s="575">
        <v>1</v>
      </c>
      <c r="AG43" s="584">
        <f>+IF(AF43="","",(VLOOKUP($C43,'EQUIP RATE SCHEDULE'!$B$11:$F$162,5,FALSE)))</f>
        <v>90</v>
      </c>
      <c r="AH43" s="591"/>
      <c r="AI43" s="613">
        <f t="shared" si="24"/>
        <v>90</v>
      </c>
      <c r="AJ43" s="769" t="s">
        <v>67</v>
      </c>
      <c r="AK43" s="575">
        <v>1</v>
      </c>
      <c r="AL43" s="584">
        <f>+IF(AK43="","",(VLOOKUP($C43,'EQUIP RATE SCHEDULE'!$B$11:$F$162,5,FALSE)))</f>
        <v>90</v>
      </c>
      <c r="AM43" s="591"/>
      <c r="AN43" s="613">
        <f t="shared" si="25"/>
        <v>90</v>
      </c>
      <c r="AO43" s="769" t="s">
        <v>67</v>
      </c>
      <c r="AP43" s="575"/>
      <c r="AQ43" s="584" t="str">
        <f>+IF(AP43="","",(VLOOKUP($C43,'EQUIP RATE SCHEDULE'!$B$11:$F$162,5,FALSE)))</f>
        <v/>
      </c>
      <c r="AR43" s="591"/>
      <c r="AS43" s="613" t="str">
        <f t="shared" si="26"/>
        <v/>
      </c>
      <c r="AT43" s="769" t="s">
        <v>67</v>
      </c>
      <c r="AU43" s="575">
        <v>1</v>
      </c>
      <c r="AV43" s="584">
        <f>+IF(AU43="","",(VLOOKUP($C43,'EQUIP RATE SCHEDULE'!$B$11:$F$162,5,FALSE)))</f>
        <v>90</v>
      </c>
      <c r="AW43" s="591"/>
      <c r="AX43" s="613">
        <f t="shared" si="27"/>
        <v>90</v>
      </c>
      <c r="AY43" s="769" t="s">
        <v>67</v>
      </c>
      <c r="AZ43" s="575">
        <v>1</v>
      </c>
      <c r="BA43" s="584">
        <f>+IF(AZ43="","",(VLOOKUP($C43,'EQUIP RATE SCHEDULE'!$B$11:$F$162,5,FALSE)))</f>
        <v>90</v>
      </c>
      <c r="BB43" s="591"/>
      <c r="BC43" s="613">
        <f t="shared" si="28"/>
        <v>90</v>
      </c>
      <c r="BD43" s="769" t="s">
        <v>67</v>
      </c>
      <c r="BE43" s="575">
        <v>1</v>
      </c>
      <c r="BF43" s="584">
        <f>+IF(BE43="","",(VLOOKUP($C43,'EQUIP RATE SCHEDULE'!$B$11:$F$162,5,FALSE)))</f>
        <v>90</v>
      </c>
      <c r="BG43" s="591"/>
      <c r="BH43" s="613">
        <f t="shared" si="9"/>
        <v>90</v>
      </c>
      <c r="BI43" s="769" t="s">
        <v>67</v>
      </c>
      <c r="BJ43" s="575">
        <v>1</v>
      </c>
      <c r="BK43" s="584">
        <f>+IF(BJ43="","",(VLOOKUP($C43,'EQUIP RATE SCHEDULE'!$B$11:$F$162,5,FALSE)))</f>
        <v>90</v>
      </c>
      <c r="BL43" s="591"/>
      <c r="BM43" s="613">
        <f t="shared" si="10"/>
        <v>90</v>
      </c>
      <c r="BN43" s="769" t="s">
        <v>67</v>
      </c>
      <c r="BO43" s="575">
        <v>1</v>
      </c>
      <c r="BP43" s="584">
        <f>+IF(BO43="","",(VLOOKUP($C43,'EQUIP RATE SCHEDULE'!$B$11:$F$162,5,FALSE)))</f>
        <v>90</v>
      </c>
      <c r="BQ43" s="591"/>
      <c r="BR43" s="613">
        <f t="shared" si="11"/>
        <v>90</v>
      </c>
      <c r="BS43" s="769" t="s">
        <v>67</v>
      </c>
      <c r="BT43" s="575">
        <v>1</v>
      </c>
      <c r="BU43" s="584">
        <f>+IF(BT43="","",(VLOOKUP($C43,'EQUIP RATE SCHEDULE'!$B$11:$F$162,5,FALSE)))</f>
        <v>90</v>
      </c>
      <c r="BV43" s="591"/>
      <c r="BW43" s="613">
        <f t="shared" si="12"/>
        <v>90</v>
      </c>
      <c r="BX43" s="769" t="s">
        <v>67</v>
      </c>
      <c r="BY43" s="575">
        <v>1</v>
      </c>
      <c r="BZ43" s="584">
        <f>+IF(BY43="","",(VLOOKUP($C43,'EQUIP RATE SCHEDULE'!$B$11:$F$162,5,FALSE)))</f>
        <v>90</v>
      </c>
      <c r="CA43" s="591"/>
      <c r="CB43" s="613">
        <f t="shared" si="13"/>
        <v>90</v>
      </c>
      <c r="CC43" s="769" t="s">
        <v>67</v>
      </c>
      <c r="CD43" s="575">
        <v>1</v>
      </c>
      <c r="CE43" s="584">
        <f>+IF(CD43="","",(VLOOKUP($C43,'EQUIP RATE SCHEDULE'!$B$11:$F$162,5,FALSE)))</f>
        <v>90</v>
      </c>
      <c r="CF43" s="591"/>
      <c r="CG43" s="613">
        <f t="shared" si="14"/>
        <v>90</v>
      </c>
      <c r="CH43" s="769" t="s">
        <v>67</v>
      </c>
      <c r="CI43" s="575">
        <v>1</v>
      </c>
      <c r="CJ43" s="584">
        <f>+IF(CI43="","",(VLOOKUP($C43,'EQUIP RATE SCHEDULE'!$B$11:$F$162,5,FALSE)))</f>
        <v>90</v>
      </c>
      <c r="CK43" s="591"/>
      <c r="CL43" s="613">
        <f t="shared" si="15"/>
        <v>90</v>
      </c>
      <c r="CM43" s="769" t="s">
        <v>67</v>
      </c>
      <c r="CN43" s="575">
        <v>1</v>
      </c>
      <c r="CO43" s="584">
        <f>+IF(CN43="","",(VLOOKUP($C43,'EQUIP RATE SCHEDULE'!$B$11:$F$162,5,FALSE)))</f>
        <v>90</v>
      </c>
      <c r="CP43" s="591"/>
      <c r="CQ43" s="613">
        <f t="shared" si="16"/>
        <v>90</v>
      </c>
      <c r="CR43" s="769" t="s">
        <v>67</v>
      </c>
      <c r="CS43" s="575">
        <v>1</v>
      </c>
      <c r="CT43" s="584">
        <f>+IF(CS43="","",(VLOOKUP($C43,'EQUIP RATE SCHEDULE'!$B$11:$F$162,5,FALSE)))</f>
        <v>90</v>
      </c>
      <c r="CU43" s="591"/>
      <c r="CV43" s="613">
        <f t="shared" si="17"/>
        <v>90</v>
      </c>
      <c r="CW43" s="769" t="s">
        <v>67</v>
      </c>
      <c r="CX43" s="575">
        <v>1</v>
      </c>
      <c r="CY43" s="584">
        <f>+IF(CX43="","",(VLOOKUP($C43,'EQUIP RATE SCHEDULE'!$B$11:$F$162,5,FALSE)))</f>
        <v>90</v>
      </c>
      <c r="CZ43" s="591"/>
      <c r="DA43" s="613">
        <f t="shared" si="18"/>
        <v>90</v>
      </c>
    </row>
    <row r="44" spans="1:105" ht="15" x14ac:dyDescent="0.25">
      <c r="A44" s="1513"/>
      <c r="B44" s="809" t="s">
        <v>522</v>
      </c>
      <c r="C44" s="776" t="s">
        <v>976</v>
      </c>
      <c r="D44" s="1491" t="s">
        <v>977</v>
      </c>
      <c r="E44" s="1488" t="s">
        <v>949</v>
      </c>
      <c r="F44" s="769" t="s">
        <v>66</v>
      </c>
      <c r="G44" s="575">
        <v>1</v>
      </c>
      <c r="H44" s="584">
        <f>+IF(G44="","",(VLOOKUP($C44,'EQUIP RATE SCHEDULE'!$B$11:$F$162,5,FALSE)))</f>
        <v>40</v>
      </c>
      <c r="I44" s="591"/>
      <c r="J44" s="613">
        <f t="shared" si="19"/>
        <v>40</v>
      </c>
      <c r="K44" s="769" t="s">
        <v>66</v>
      </c>
      <c r="L44" s="575">
        <v>1</v>
      </c>
      <c r="M44" s="584">
        <f>+IF(L44="","",(VLOOKUP($C44,'EQUIP RATE SCHEDULE'!$B$11:$F$162,5,FALSE)))</f>
        <v>40</v>
      </c>
      <c r="N44" s="591"/>
      <c r="O44" s="613">
        <f t="shared" si="20"/>
        <v>40</v>
      </c>
      <c r="P44" s="769" t="s">
        <v>66</v>
      </c>
      <c r="Q44" s="575">
        <v>1</v>
      </c>
      <c r="R44" s="584">
        <f>+IF(Q44="","",(VLOOKUP($C44,'EQUIP RATE SCHEDULE'!$B$11:$F$162,5,FALSE)))</f>
        <v>40</v>
      </c>
      <c r="S44" s="591"/>
      <c r="T44" s="613">
        <f t="shared" si="21"/>
        <v>40</v>
      </c>
      <c r="U44" s="769" t="s">
        <v>66</v>
      </c>
      <c r="V44" s="575">
        <v>1</v>
      </c>
      <c r="W44" s="584">
        <f>+IF(V44="","",(VLOOKUP($C44,'EQUIP RATE SCHEDULE'!$B$11:$F$162,5,FALSE)))</f>
        <v>40</v>
      </c>
      <c r="X44" s="591"/>
      <c r="Y44" s="613">
        <f t="shared" si="22"/>
        <v>40</v>
      </c>
      <c r="Z44" s="769" t="s">
        <v>66</v>
      </c>
      <c r="AA44" s="575">
        <v>1</v>
      </c>
      <c r="AB44" s="584">
        <f>+IF(AA44="","",(VLOOKUP($C44,'EQUIP RATE SCHEDULE'!$B$11:$F$162,5,FALSE)))</f>
        <v>40</v>
      </c>
      <c r="AC44" s="591"/>
      <c r="AD44" s="613">
        <f t="shared" si="23"/>
        <v>40</v>
      </c>
      <c r="AE44" s="769" t="s">
        <v>66</v>
      </c>
      <c r="AF44" s="575">
        <v>1</v>
      </c>
      <c r="AG44" s="584">
        <f>+IF(AF44="","",(VLOOKUP($C44,'EQUIP RATE SCHEDULE'!$B$11:$F$162,5,FALSE)))</f>
        <v>40</v>
      </c>
      <c r="AH44" s="591"/>
      <c r="AI44" s="613">
        <f t="shared" si="24"/>
        <v>40</v>
      </c>
      <c r="AJ44" s="769" t="s">
        <v>66</v>
      </c>
      <c r="AK44" s="575">
        <v>1</v>
      </c>
      <c r="AL44" s="584">
        <f>+IF(AK44="","",(VLOOKUP($C44,'EQUIP RATE SCHEDULE'!$B$11:$F$162,5,FALSE)))</f>
        <v>40</v>
      </c>
      <c r="AM44" s="591"/>
      <c r="AN44" s="613">
        <f t="shared" si="25"/>
        <v>40</v>
      </c>
      <c r="AO44" s="769" t="s">
        <v>66</v>
      </c>
      <c r="AP44" s="575">
        <v>1</v>
      </c>
      <c r="AQ44" s="584">
        <f>+IF(AP44="","",(VLOOKUP($C44,'EQUIP RATE SCHEDULE'!$B$11:$F$162,5,FALSE)))</f>
        <v>40</v>
      </c>
      <c r="AR44" s="591"/>
      <c r="AS44" s="613">
        <f t="shared" si="26"/>
        <v>40</v>
      </c>
      <c r="AT44" s="769" t="s">
        <v>66</v>
      </c>
      <c r="AU44" s="575">
        <v>1</v>
      </c>
      <c r="AV44" s="584">
        <f>+IF(AU44="","",(VLOOKUP($C44,'EQUIP RATE SCHEDULE'!$B$11:$F$162,5,FALSE)))</f>
        <v>40</v>
      </c>
      <c r="AW44" s="591"/>
      <c r="AX44" s="613">
        <f t="shared" si="27"/>
        <v>40</v>
      </c>
      <c r="AY44" s="769" t="s">
        <v>66</v>
      </c>
      <c r="AZ44" s="575">
        <v>1</v>
      </c>
      <c r="BA44" s="584">
        <f>+IF(AZ44="","",(VLOOKUP($C44,'EQUIP RATE SCHEDULE'!$B$11:$F$162,5,FALSE)))</f>
        <v>40</v>
      </c>
      <c r="BB44" s="591"/>
      <c r="BC44" s="613">
        <f t="shared" si="28"/>
        <v>40</v>
      </c>
      <c r="BD44" s="769" t="s">
        <v>66</v>
      </c>
      <c r="BE44" s="575">
        <v>1</v>
      </c>
      <c r="BF44" s="584">
        <f>+IF(BE44="","",(VLOOKUP($C44,'EQUIP RATE SCHEDULE'!$B$11:$F$162,5,FALSE)))</f>
        <v>40</v>
      </c>
      <c r="BG44" s="591"/>
      <c r="BH44" s="613">
        <f t="shared" si="9"/>
        <v>40</v>
      </c>
      <c r="BI44" s="769" t="s">
        <v>66</v>
      </c>
      <c r="BJ44" s="575">
        <v>1</v>
      </c>
      <c r="BK44" s="584">
        <f>+IF(BJ44="","",(VLOOKUP($C44,'EQUIP RATE SCHEDULE'!$B$11:$F$162,5,FALSE)))</f>
        <v>40</v>
      </c>
      <c r="BL44" s="591"/>
      <c r="BM44" s="613">
        <f t="shared" si="10"/>
        <v>40</v>
      </c>
      <c r="BN44" s="769" t="s">
        <v>66</v>
      </c>
      <c r="BO44" s="575">
        <v>1</v>
      </c>
      <c r="BP44" s="584">
        <f>+IF(BO44="","",(VLOOKUP($C44,'EQUIP RATE SCHEDULE'!$B$11:$F$162,5,FALSE)))</f>
        <v>40</v>
      </c>
      <c r="BQ44" s="591"/>
      <c r="BR44" s="613">
        <f t="shared" si="11"/>
        <v>40</v>
      </c>
      <c r="BS44" s="769" t="s">
        <v>66</v>
      </c>
      <c r="BT44" s="575">
        <v>1</v>
      </c>
      <c r="BU44" s="584">
        <f>+IF(BT44="","",(VLOOKUP($C44,'EQUIP RATE SCHEDULE'!$B$11:$F$162,5,FALSE)))</f>
        <v>40</v>
      </c>
      <c r="BV44" s="591"/>
      <c r="BW44" s="613">
        <f t="shared" si="12"/>
        <v>40</v>
      </c>
      <c r="BX44" s="769" t="s">
        <v>66</v>
      </c>
      <c r="BY44" s="575">
        <v>1</v>
      </c>
      <c r="BZ44" s="584">
        <f>+IF(BY44="","",(VLOOKUP($C44,'EQUIP RATE SCHEDULE'!$B$11:$F$162,5,FALSE)))</f>
        <v>40</v>
      </c>
      <c r="CA44" s="591"/>
      <c r="CB44" s="613">
        <f t="shared" si="13"/>
        <v>40</v>
      </c>
      <c r="CC44" s="769" t="s">
        <v>66</v>
      </c>
      <c r="CD44" s="575">
        <v>1</v>
      </c>
      <c r="CE44" s="584">
        <f>+IF(CD44="","",(VLOOKUP($C44,'EQUIP RATE SCHEDULE'!$B$11:$F$162,5,FALSE)))</f>
        <v>40</v>
      </c>
      <c r="CF44" s="591"/>
      <c r="CG44" s="613">
        <f t="shared" si="14"/>
        <v>40</v>
      </c>
      <c r="CH44" s="769" t="s">
        <v>66</v>
      </c>
      <c r="CI44" s="575">
        <v>1</v>
      </c>
      <c r="CJ44" s="584">
        <f>+IF(CI44="","",(VLOOKUP($C44,'EQUIP RATE SCHEDULE'!$B$11:$F$162,5,FALSE)))</f>
        <v>40</v>
      </c>
      <c r="CK44" s="591"/>
      <c r="CL44" s="613">
        <f t="shared" si="15"/>
        <v>40</v>
      </c>
      <c r="CM44" s="769" t="s">
        <v>66</v>
      </c>
      <c r="CN44" s="575">
        <v>1</v>
      </c>
      <c r="CO44" s="584">
        <f>+IF(CN44="","",(VLOOKUP($C44,'EQUIP RATE SCHEDULE'!$B$11:$F$162,5,FALSE)))</f>
        <v>40</v>
      </c>
      <c r="CP44" s="591"/>
      <c r="CQ44" s="613">
        <f t="shared" si="16"/>
        <v>40</v>
      </c>
      <c r="CR44" s="769" t="s">
        <v>66</v>
      </c>
      <c r="CS44" s="575">
        <v>1</v>
      </c>
      <c r="CT44" s="584">
        <f>+IF(CS44="","",(VLOOKUP($C44,'EQUIP RATE SCHEDULE'!$B$11:$F$162,5,FALSE)))</f>
        <v>40</v>
      </c>
      <c r="CU44" s="591"/>
      <c r="CV44" s="613">
        <f t="shared" si="17"/>
        <v>40</v>
      </c>
      <c r="CW44" s="769" t="s">
        <v>66</v>
      </c>
      <c r="CX44" s="575">
        <v>1</v>
      </c>
      <c r="CY44" s="584">
        <f>+IF(CX44="","",(VLOOKUP($C44,'EQUIP RATE SCHEDULE'!$B$11:$F$162,5,FALSE)))</f>
        <v>40</v>
      </c>
      <c r="CZ44" s="591"/>
      <c r="DA44" s="613">
        <f t="shared" si="18"/>
        <v>40</v>
      </c>
    </row>
    <row r="45" spans="1:105" ht="15" x14ac:dyDescent="0.25">
      <c r="A45" s="1513"/>
      <c r="B45" s="809" t="s">
        <v>522</v>
      </c>
      <c r="C45" s="776" t="s">
        <v>978</v>
      </c>
      <c r="D45" s="1492"/>
      <c r="E45" s="1490"/>
      <c r="F45" s="769" t="s">
        <v>67</v>
      </c>
      <c r="G45" s="575">
        <v>1</v>
      </c>
      <c r="H45" s="584">
        <f>+IF(G45="","",(VLOOKUP($C45,'EQUIP RATE SCHEDULE'!$B$11:$F$162,5,FALSE)))</f>
        <v>120</v>
      </c>
      <c r="I45" s="591"/>
      <c r="J45" s="613">
        <f t="shared" si="19"/>
        <v>120</v>
      </c>
      <c r="K45" s="769" t="s">
        <v>67</v>
      </c>
      <c r="L45" s="575">
        <v>1</v>
      </c>
      <c r="M45" s="584">
        <f>+IF(L45="","",(VLOOKUP($C45,'EQUIP RATE SCHEDULE'!$B$11:$F$162,5,FALSE)))</f>
        <v>120</v>
      </c>
      <c r="N45" s="591"/>
      <c r="O45" s="613">
        <f t="shared" si="20"/>
        <v>120</v>
      </c>
      <c r="P45" s="769" t="s">
        <v>67</v>
      </c>
      <c r="Q45" s="575">
        <v>1</v>
      </c>
      <c r="R45" s="584">
        <f>+IF(Q45="","",(VLOOKUP($C45,'EQUIP RATE SCHEDULE'!$B$11:$F$162,5,FALSE)))</f>
        <v>120</v>
      </c>
      <c r="S45" s="591"/>
      <c r="T45" s="613">
        <f t="shared" si="21"/>
        <v>120</v>
      </c>
      <c r="U45" s="769" t="s">
        <v>67</v>
      </c>
      <c r="V45" s="575">
        <v>1</v>
      </c>
      <c r="W45" s="584">
        <f>+IF(V45="","",(VLOOKUP($C45,'EQUIP RATE SCHEDULE'!$B$11:$F$162,5,FALSE)))</f>
        <v>120</v>
      </c>
      <c r="X45" s="591"/>
      <c r="Y45" s="613">
        <f t="shared" si="22"/>
        <v>120</v>
      </c>
      <c r="Z45" s="769" t="s">
        <v>67</v>
      </c>
      <c r="AA45" s="575">
        <v>1</v>
      </c>
      <c r="AB45" s="584">
        <f>+IF(AA45="","",(VLOOKUP($C45,'EQUIP RATE SCHEDULE'!$B$11:$F$162,5,FALSE)))</f>
        <v>120</v>
      </c>
      <c r="AC45" s="591"/>
      <c r="AD45" s="613">
        <f t="shared" si="23"/>
        <v>120</v>
      </c>
      <c r="AE45" s="769" t="s">
        <v>67</v>
      </c>
      <c r="AF45" s="575">
        <v>1</v>
      </c>
      <c r="AG45" s="584">
        <f>+IF(AF45="","",(VLOOKUP($C45,'EQUIP RATE SCHEDULE'!$B$11:$F$162,5,FALSE)))</f>
        <v>120</v>
      </c>
      <c r="AH45" s="591"/>
      <c r="AI45" s="613">
        <f t="shared" si="24"/>
        <v>120</v>
      </c>
      <c r="AJ45" s="769" t="s">
        <v>67</v>
      </c>
      <c r="AK45" s="575">
        <v>1</v>
      </c>
      <c r="AL45" s="584">
        <f>+IF(AK45="","",(VLOOKUP($C45,'EQUIP RATE SCHEDULE'!$B$11:$F$162,5,FALSE)))</f>
        <v>120</v>
      </c>
      <c r="AM45" s="591"/>
      <c r="AN45" s="613">
        <f t="shared" si="25"/>
        <v>120</v>
      </c>
      <c r="AO45" s="769" t="s">
        <v>67</v>
      </c>
      <c r="AP45" s="575">
        <v>1</v>
      </c>
      <c r="AQ45" s="584">
        <f>+IF(AP45="","",(VLOOKUP($C45,'EQUIP RATE SCHEDULE'!$B$11:$F$162,5,FALSE)))</f>
        <v>120</v>
      </c>
      <c r="AR45" s="591"/>
      <c r="AS45" s="613">
        <f t="shared" si="26"/>
        <v>120</v>
      </c>
      <c r="AT45" s="769" t="s">
        <v>67</v>
      </c>
      <c r="AU45" s="575">
        <v>1</v>
      </c>
      <c r="AV45" s="584">
        <f>+IF(AU45="","",(VLOOKUP($C45,'EQUIP RATE SCHEDULE'!$B$11:$F$162,5,FALSE)))</f>
        <v>120</v>
      </c>
      <c r="AW45" s="591"/>
      <c r="AX45" s="613">
        <f t="shared" si="27"/>
        <v>120</v>
      </c>
      <c r="AY45" s="769" t="s">
        <v>67</v>
      </c>
      <c r="AZ45" s="575">
        <v>1</v>
      </c>
      <c r="BA45" s="584">
        <f>+IF(AZ45="","",(VLOOKUP($C45,'EQUIP RATE SCHEDULE'!$B$11:$F$162,5,FALSE)))</f>
        <v>120</v>
      </c>
      <c r="BB45" s="591"/>
      <c r="BC45" s="613">
        <f t="shared" si="28"/>
        <v>120</v>
      </c>
      <c r="BD45" s="769" t="s">
        <v>67</v>
      </c>
      <c r="BE45" s="575">
        <v>1</v>
      </c>
      <c r="BF45" s="584">
        <f>+IF(BE45="","",(VLOOKUP($C45,'EQUIP RATE SCHEDULE'!$B$11:$F$162,5,FALSE)))</f>
        <v>120</v>
      </c>
      <c r="BG45" s="591"/>
      <c r="BH45" s="613">
        <f t="shared" si="9"/>
        <v>120</v>
      </c>
      <c r="BI45" s="769" t="s">
        <v>67</v>
      </c>
      <c r="BJ45" s="575">
        <v>1</v>
      </c>
      <c r="BK45" s="584">
        <f>+IF(BJ45="","",(VLOOKUP($C45,'EQUIP RATE SCHEDULE'!$B$11:$F$162,5,FALSE)))</f>
        <v>120</v>
      </c>
      <c r="BL45" s="591"/>
      <c r="BM45" s="613">
        <f t="shared" si="10"/>
        <v>120</v>
      </c>
      <c r="BN45" s="769" t="s">
        <v>67</v>
      </c>
      <c r="BO45" s="575">
        <v>1</v>
      </c>
      <c r="BP45" s="584">
        <f>+IF(BO45="","",(VLOOKUP($C45,'EQUIP RATE SCHEDULE'!$B$11:$F$162,5,FALSE)))</f>
        <v>120</v>
      </c>
      <c r="BQ45" s="591"/>
      <c r="BR45" s="613">
        <f t="shared" si="11"/>
        <v>120</v>
      </c>
      <c r="BS45" s="769" t="s">
        <v>67</v>
      </c>
      <c r="BT45" s="575">
        <v>1</v>
      </c>
      <c r="BU45" s="584">
        <f>+IF(BT45="","",(VLOOKUP($C45,'EQUIP RATE SCHEDULE'!$B$11:$F$162,5,FALSE)))</f>
        <v>120</v>
      </c>
      <c r="BV45" s="591"/>
      <c r="BW45" s="613">
        <f t="shared" si="12"/>
        <v>120</v>
      </c>
      <c r="BX45" s="769" t="s">
        <v>67</v>
      </c>
      <c r="BY45" s="575">
        <v>1</v>
      </c>
      <c r="BZ45" s="584">
        <f>+IF(BY45="","",(VLOOKUP($C45,'EQUIP RATE SCHEDULE'!$B$11:$F$162,5,FALSE)))</f>
        <v>120</v>
      </c>
      <c r="CA45" s="591"/>
      <c r="CB45" s="613">
        <f t="shared" si="13"/>
        <v>120</v>
      </c>
      <c r="CC45" s="769" t="s">
        <v>67</v>
      </c>
      <c r="CD45" s="575">
        <v>1</v>
      </c>
      <c r="CE45" s="584">
        <f>+IF(CD45="","",(VLOOKUP($C45,'EQUIP RATE SCHEDULE'!$B$11:$F$162,5,FALSE)))</f>
        <v>120</v>
      </c>
      <c r="CF45" s="591"/>
      <c r="CG45" s="613">
        <f t="shared" si="14"/>
        <v>120</v>
      </c>
      <c r="CH45" s="769" t="s">
        <v>67</v>
      </c>
      <c r="CI45" s="575">
        <v>1</v>
      </c>
      <c r="CJ45" s="584">
        <f>+IF(CI45="","",(VLOOKUP($C45,'EQUIP RATE SCHEDULE'!$B$11:$F$162,5,FALSE)))</f>
        <v>120</v>
      </c>
      <c r="CK45" s="591"/>
      <c r="CL45" s="613">
        <f t="shared" si="15"/>
        <v>120</v>
      </c>
      <c r="CM45" s="769" t="s">
        <v>67</v>
      </c>
      <c r="CN45" s="575">
        <v>1</v>
      </c>
      <c r="CO45" s="584">
        <f>+IF(CN45="","",(VLOOKUP($C45,'EQUIP RATE SCHEDULE'!$B$11:$F$162,5,FALSE)))</f>
        <v>120</v>
      </c>
      <c r="CP45" s="591"/>
      <c r="CQ45" s="613">
        <f t="shared" si="16"/>
        <v>120</v>
      </c>
      <c r="CR45" s="769" t="s">
        <v>67</v>
      </c>
      <c r="CS45" s="575">
        <v>1</v>
      </c>
      <c r="CT45" s="584">
        <f>+IF(CS45="","",(VLOOKUP($C45,'EQUIP RATE SCHEDULE'!$B$11:$F$162,5,FALSE)))</f>
        <v>120</v>
      </c>
      <c r="CU45" s="591"/>
      <c r="CV45" s="613">
        <f t="shared" si="17"/>
        <v>120</v>
      </c>
      <c r="CW45" s="769" t="s">
        <v>67</v>
      </c>
      <c r="CX45" s="575">
        <v>1</v>
      </c>
      <c r="CY45" s="584">
        <f>+IF(CX45="","",(VLOOKUP($C45,'EQUIP RATE SCHEDULE'!$B$11:$F$162,5,FALSE)))</f>
        <v>120</v>
      </c>
      <c r="CZ45" s="591"/>
      <c r="DA45" s="613">
        <f t="shared" si="18"/>
        <v>120</v>
      </c>
    </row>
    <row r="46" spans="1:105" ht="15" x14ac:dyDescent="0.25">
      <c r="A46" s="1513"/>
      <c r="B46" s="809" t="s">
        <v>522</v>
      </c>
      <c r="C46" s="776" t="s">
        <v>979</v>
      </c>
      <c r="D46" s="1491" t="s">
        <v>980</v>
      </c>
      <c r="E46" s="1488" t="s">
        <v>981</v>
      </c>
      <c r="F46" s="769" t="s">
        <v>66</v>
      </c>
      <c r="G46" s="575">
        <v>1</v>
      </c>
      <c r="H46" s="584">
        <f>+IF(G46="","",(VLOOKUP($C46,'EQUIP RATE SCHEDULE'!$B$11:$F$162,5,FALSE)))</f>
        <v>60</v>
      </c>
      <c r="I46" s="591"/>
      <c r="J46" s="613">
        <f t="shared" si="19"/>
        <v>60</v>
      </c>
      <c r="K46" s="769" t="s">
        <v>66</v>
      </c>
      <c r="L46" s="575">
        <v>1</v>
      </c>
      <c r="M46" s="584">
        <f>+IF(L46="","",(VLOOKUP($C46,'EQUIP RATE SCHEDULE'!$B$11:$F$162,5,FALSE)))</f>
        <v>60</v>
      </c>
      <c r="N46" s="591"/>
      <c r="O46" s="613">
        <f t="shared" si="20"/>
        <v>60</v>
      </c>
      <c r="P46" s="769" t="s">
        <v>66</v>
      </c>
      <c r="Q46" s="575">
        <v>1</v>
      </c>
      <c r="R46" s="584">
        <f>+IF(Q46="","",(VLOOKUP($C46,'EQUIP RATE SCHEDULE'!$B$11:$F$162,5,FALSE)))</f>
        <v>60</v>
      </c>
      <c r="S46" s="591"/>
      <c r="T46" s="613">
        <f t="shared" si="21"/>
        <v>60</v>
      </c>
      <c r="U46" s="769" t="s">
        <v>66</v>
      </c>
      <c r="V46" s="575">
        <v>1</v>
      </c>
      <c r="W46" s="584">
        <f>+IF(V46="","",(VLOOKUP($C46,'EQUIP RATE SCHEDULE'!$B$11:$F$162,5,FALSE)))</f>
        <v>60</v>
      </c>
      <c r="X46" s="591"/>
      <c r="Y46" s="613">
        <f t="shared" si="22"/>
        <v>60</v>
      </c>
      <c r="Z46" s="769" t="s">
        <v>66</v>
      </c>
      <c r="AA46" s="575">
        <v>1</v>
      </c>
      <c r="AB46" s="584">
        <f>+IF(AA46="","",(VLOOKUP($C46,'EQUIP RATE SCHEDULE'!$B$11:$F$162,5,FALSE)))</f>
        <v>60</v>
      </c>
      <c r="AC46" s="591"/>
      <c r="AD46" s="613">
        <f t="shared" si="23"/>
        <v>60</v>
      </c>
      <c r="AE46" s="769" t="s">
        <v>66</v>
      </c>
      <c r="AF46" s="575">
        <v>1</v>
      </c>
      <c r="AG46" s="584">
        <f>+IF(AF46="","",(VLOOKUP($C46,'EQUIP RATE SCHEDULE'!$B$11:$F$162,5,FALSE)))</f>
        <v>60</v>
      </c>
      <c r="AH46" s="591"/>
      <c r="AI46" s="613">
        <f t="shared" si="24"/>
        <v>60</v>
      </c>
      <c r="AJ46" s="769" t="s">
        <v>66</v>
      </c>
      <c r="AK46" s="575">
        <v>1</v>
      </c>
      <c r="AL46" s="584">
        <f>+IF(AK46="","",(VLOOKUP($C46,'EQUIP RATE SCHEDULE'!$B$11:$F$162,5,FALSE)))</f>
        <v>60</v>
      </c>
      <c r="AM46" s="591"/>
      <c r="AN46" s="613">
        <f t="shared" si="25"/>
        <v>60</v>
      </c>
      <c r="AO46" s="769" t="s">
        <v>66</v>
      </c>
      <c r="AP46" s="575">
        <v>1</v>
      </c>
      <c r="AQ46" s="584">
        <f>+IF(AP46="","",(VLOOKUP($C46,'EQUIP RATE SCHEDULE'!$B$11:$F$162,5,FALSE)))</f>
        <v>60</v>
      </c>
      <c r="AR46" s="591"/>
      <c r="AS46" s="613">
        <f t="shared" si="26"/>
        <v>60</v>
      </c>
      <c r="AT46" s="769" t="s">
        <v>66</v>
      </c>
      <c r="AU46" s="575">
        <v>1</v>
      </c>
      <c r="AV46" s="584">
        <f>+IF(AU46="","",(VLOOKUP($C46,'EQUIP RATE SCHEDULE'!$B$11:$F$162,5,FALSE)))</f>
        <v>60</v>
      </c>
      <c r="AW46" s="591"/>
      <c r="AX46" s="613">
        <f t="shared" si="27"/>
        <v>60</v>
      </c>
      <c r="AY46" s="769" t="s">
        <v>66</v>
      </c>
      <c r="AZ46" s="575">
        <v>1</v>
      </c>
      <c r="BA46" s="584">
        <f>+IF(AZ46="","",(VLOOKUP($C46,'EQUIP RATE SCHEDULE'!$B$11:$F$162,5,FALSE)))</f>
        <v>60</v>
      </c>
      <c r="BB46" s="591"/>
      <c r="BC46" s="613">
        <f t="shared" si="28"/>
        <v>60</v>
      </c>
      <c r="BD46" s="769" t="s">
        <v>66</v>
      </c>
      <c r="BE46" s="575">
        <v>1</v>
      </c>
      <c r="BF46" s="584">
        <f>+IF(BE46="","",(VLOOKUP($C46,'EQUIP RATE SCHEDULE'!$B$11:$F$162,5,FALSE)))</f>
        <v>60</v>
      </c>
      <c r="BG46" s="591"/>
      <c r="BH46" s="613">
        <f t="shared" si="9"/>
        <v>60</v>
      </c>
      <c r="BI46" s="769" t="s">
        <v>66</v>
      </c>
      <c r="BJ46" s="575">
        <v>1</v>
      </c>
      <c r="BK46" s="584">
        <f>+IF(BJ46="","",(VLOOKUP($C46,'EQUIP RATE SCHEDULE'!$B$11:$F$162,5,FALSE)))</f>
        <v>60</v>
      </c>
      <c r="BL46" s="591"/>
      <c r="BM46" s="613">
        <f t="shared" si="10"/>
        <v>60</v>
      </c>
      <c r="BN46" s="769" t="s">
        <v>66</v>
      </c>
      <c r="BO46" s="575">
        <v>1</v>
      </c>
      <c r="BP46" s="584">
        <f>+IF(BO46="","",(VLOOKUP($C46,'EQUIP RATE SCHEDULE'!$B$11:$F$162,5,FALSE)))</f>
        <v>60</v>
      </c>
      <c r="BQ46" s="591"/>
      <c r="BR46" s="613">
        <f t="shared" si="11"/>
        <v>60</v>
      </c>
      <c r="BS46" s="769" t="s">
        <v>66</v>
      </c>
      <c r="BT46" s="575">
        <v>1</v>
      </c>
      <c r="BU46" s="584">
        <f>+IF(BT46="","",(VLOOKUP($C46,'EQUIP RATE SCHEDULE'!$B$11:$F$162,5,FALSE)))</f>
        <v>60</v>
      </c>
      <c r="BV46" s="591"/>
      <c r="BW46" s="613">
        <f t="shared" si="12"/>
        <v>60</v>
      </c>
      <c r="BX46" s="769" t="s">
        <v>66</v>
      </c>
      <c r="BY46" s="575">
        <v>1</v>
      </c>
      <c r="BZ46" s="584">
        <f>+IF(BY46="","",(VLOOKUP($C46,'EQUIP RATE SCHEDULE'!$B$11:$F$162,5,FALSE)))</f>
        <v>60</v>
      </c>
      <c r="CA46" s="591"/>
      <c r="CB46" s="613">
        <f t="shared" si="13"/>
        <v>60</v>
      </c>
      <c r="CC46" s="769" t="s">
        <v>66</v>
      </c>
      <c r="CD46" s="575">
        <v>1</v>
      </c>
      <c r="CE46" s="584">
        <f>+IF(CD46="","",(VLOOKUP($C46,'EQUIP RATE SCHEDULE'!$B$11:$F$162,5,FALSE)))</f>
        <v>60</v>
      </c>
      <c r="CF46" s="591"/>
      <c r="CG46" s="613">
        <f t="shared" si="14"/>
        <v>60</v>
      </c>
      <c r="CH46" s="769" t="s">
        <v>66</v>
      </c>
      <c r="CI46" s="575">
        <v>1</v>
      </c>
      <c r="CJ46" s="584">
        <f>+IF(CI46="","",(VLOOKUP($C46,'EQUIP RATE SCHEDULE'!$B$11:$F$162,5,FALSE)))</f>
        <v>60</v>
      </c>
      <c r="CK46" s="591"/>
      <c r="CL46" s="613">
        <f t="shared" si="15"/>
        <v>60</v>
      </c>
      <c r="CM46" s="769" t="s">
        <v>66</v>
      </c>
      <c r="CN46" s="575">
        <v>1</v>
      </c>
      <c r="CO46" s="584">
        <f>+IF(CN46="","",(VLOOKUP($C46,'EQUIP RATE SCHEDULE'!$B$11:$F$162,5,FALSE)))</f>
        <v>60</v>
      </c>
      <c r="CP46" s="591"/>
      <c r="CQ46" s="613">
        <f t="shared" si="16"/>
        <v>60</v>
      </c>
      <c r="CR46" s="769" t="s">
        <v>66</v>
      </c>
      <c r="CS46" s="575">
        <v>1</v>
      </c>
      <c r="CT46" s="584">
        <f>+IF(CS46="","",(VLOOKUP($C46,'EQUIP RATE SCHEDULE'!$B$11:$F$162,5,FALSE)))</f>
        <v>60</v>
      </c>
      <c r="CU46" s="591"/>
      <c r="CV46" s="613">
        <f t="shared" si="17"/>
        <v>60</v>
      </c>
      <c r="CW46" s="769" t="s">
        <v>66</v>
      </c>
      <c r="CX46" s="575">
        <v>1</v>
      </c>
      <c r="CY46" s="584">
        <f>+IF(CX46="","",(VLOOKUP($C46,'EQUIP RATE SCHEDULE'!$B$11:$F$162,5,FALSE)))</f>
        <v>60</v>
      </c>
      <c r="CZ46" s="591"/>
      <c r="DA46" s="613">
        <f t="shared" si="18"/>
        <v>60</v>
      </c>
    </row>
    <row r="47" spans="1:105" ht="15" x14ac:dyDescent="0.25">
      <c r="A47" s="1513"/>
      <c r="B47" s="809" t="s">
        <v>522</v>
      </c>
      <c r="C47" s="776" t="s">
        <v>982</v>
      </c>
      <c r="D47" s="1492"/>
      <c r="E47" s="1490"/>
      <c r="F47" s="769" t="s">
        <v>67</v>
      </c>
      <c r="G47" s="575">
        <v>1</v>
      </c>
      <c r="H47" s="584">
        <f>+IF(G47="","",(VLOOKUP($C47,'EQUIP RATE SCHEDULE'!$B$11:$F$162,5,FALSE)))</f>
        <v>180</v>
      </c>
      <c r="I47" s="591"/>
      <c r="J47" s="613">
        <f t="shared" si="19"/>
        <v>180</v>
      </c>
      <c r="K47" s="769" t="s">
        <v>67</v>
      </c>
      <c r="L47" s="575">
        <v>1</v>
      </c>
      <c r="M47" s="584">
        <f>+IF(L47="","",(VLOOKUP($C47,'EQUIP RATE SCHEDULE'!$B$11:$F$162,5,FALSE)))</f>
        <v>180</v>
      </c>
      <c r="N47" s="591"/>
      <c r="O47" s="613">
        <f t="shared" si="20"/>
        <v>180</v>
      </c>
      <c r="P47" s="769" t="s">
        <v>67</v>
      </c>
      <c r="Q47" s="575">
        <v>1</v>
      </c>
      <c r="R47" s="584">
        <f>+IF(Q47="","",(VLOOKUP($C47,'EQUIP RATE SCHEDULE'!$B$11:$F$162,5,FALSE)))</f>
        <v>180</v>
      </c>
      <c r="S47" s="591"/>
      <c r="T47" s="613">
        <f t="shared" si="21"/>
        <v>180</v>
      </c>
      <c r="U47" s="769" t="s">
        <v>67</v>
      </c>
      <c r="V47" s="575">
        <v>1</v>
      </c>
      <c r="W47" s="584">
        <f>+IF(V47="","",(VLOOKUP($C47,'EQUIP RATE SCHEDULE'!$B$11:$F$162,5,FALSE)))</f>
        <v>180</v>
      </c>
      <c r="X47" s="591"/>
      <c r="Y47" s="613">
        <f t="shared" si="22"/>
        <v>180</v>
      </c>
      <c r="Z47" s="769" t="s">
        <v>67</v>
      </c>
      <c r="AA47" s="575">
        <v>1</v>
      </c>
      <c r="AB47" s="584">
        <f>+IF(AA47="","",(VLOOKUP($C47,'EQUIP RATE SCHEDULE'!$B$11:$F$162,5,FALSE)))</f>
        <v>180</v>
      </c>
      <c r="AC47" s="591"/>
      <c r="AD47" s="613">
        <f t="shared" si="23"/>
        <v>180</v>
      </c>
      <c r="AE47" s="769" t="s">
        <v>67</v>
      </c>
      <c r="AF47" s="575">
        <v>1</v>
      </c>
      <c r="AG47" s="584">
        <f>+IF(AF47="","",(VLOOKUP($C47,'EQUIP RATE SCHEDULE'!$B$11:$F$162,5,FALSE)))</f>
        <v>180</v>
      </c>
      <c r="AH47" s="591"/>
      <c r="AI47" s="613">
        <f t="shared" si="24"/>
        <v>180</v>
      </c>
      <c r="AJ47" s="769" t="s">
        <v>67</v>
      </c>
      <c r="AK47" s="575">
        <v>1</v>
      </c>
      <c r="AL47" s="584">
        <f>+IF(AK47="","",(VLOOKUP($C47,'EQUIP RATE SCHEDULE'!$B$11:$F$162,5,FALSE)))</f>
        <v>180</v>
      </c>
      <c r="AM47" s="591"/>
      <c r="AN47" s="613">
        <f t="shared" si="25"/>
        <v>180</v>
      </c>
      <c r="AO47" s="769" t="s">
        <v>67</v>
      </c>
      <c r="AP47" s="575">
        <v>1</v>
      </c>
      <c r="AQ47" s="584">
        <f>+IF(AP47="","",(VLOOKUP($C47,'EQUIP RATE SCHEDULE'!$B$11:$F$162,5,FALSE)))</f>
        <v>180</v>
      </c>
      <c r="AR47" s="591"/>
      <c r="AS47" s="613">
        <f t="shared" si="26"/>
        <v>180</v>
      </c>
      <c r="AT47" s="769" t="s">
        <v>67</v>
      </c>
      <c r="AU47" s="575">
        <v>1</v>
      </c>
      <c r="AV47" s="584">
        <f>+IF(AU47="","",(VLOOKUP($C47,'EQUIP RATE SCHEDULE'!$B$11:$F$162,5,FALSE)))</f>
        <v>180</v>
      </c>
      <c r="AW47" s="591"/>
      <c r="AX47" s="613">
        <f t="shared" si="27"/>
        <v>180</v>
      </c>
      <c r="AY47" s="769" t="s">
        <v>67</v>
      </c>
      <c r="AZ47" s="575">
        <v>1</v>
      </c>
      <c r="BA47" s="584">
        <f>+IF(AZ47="","",(VLOOKUP($C47,'EQUIP RATE SCHEDULE'!$B$11:$F$162,5,FALSE)))</f>
        <v>180</v>
      </c>
      <c r="BB47" s="591"/>
      <c r="BC47" s="613">
        <f t="shared" si="28"/>
        <v>180</v>
      </c>
      <c r="BD47" s="769" t="s">
        <v>67</v>
      </c>
      <c r="BE47" s="575">
        <v>1</v>
      </c>
      <c r="BF47" s="584">
        <f>+IF(BE47="","",(VLOOKUP($C47,'EQUIP RATE SCHEDULE'!$B$11:$F$162,5,FALSE)))</f>
        <v>180</v>
      </c>
      <c r="BG47" s="591"/>
      <c r="BH47" s="613">
        <f t="shared" si="9"/>
        <v>180</v>
      </c>
      <c r="BI47" s="769" t="s">
        <v>67</v>
      </c>
      <c r="BJ47" s="575">
        <v>1</v>
      </c>
      <c r="BK47" s="584">
        <f>+IF(BJ47="","",(VLOOKUP($C47,'EQUIP RATE SCHEDULE'!$B$11:$F$162,5,FALSE)))</f>
        <v>180</v>
      </c>
      <c r="BL47" s="591"/>
      <c r="BM47" s="613">
        <f t="shared" si="10"/>
        <v>180</v>
      </c>
      <c r="BN47" s="769" t="s">
        <v>67</v>
      </c>
      <c r="BO47" s="575">
        <v>1</v>
      </c>
      <c r="BP47" s="584">
        <f>+IF(BO47="","",(VLOOKUP($C47,'EQUIP RATE SCHEDULE'!$B$11:$F$162,5,FALSE)))</f>
        <v>180</v>
      </c>
      <c r="BQ47" s="591"/>
      <c r="BR47" s="613">
        <f t="shared" si="11"/>
        <v>180</v>
      </c>
      <c r="BS47" s="769" t="s">
        <v>67</v>
      </c>
      <c r="BT47" s="575">
        <v>1</v>
      </c>
      <c r="BU47" s="584">
        <f>+IF(BT47="","",(VLOOKUP($C47,'EQUIP RATE SCHEDULE'!$B$11:$F$162,5,FALSE)))</f>
        <v>180</v>
      </c>
      <c r="BV47" s="591"/>
      <c r="BW47" s="613">
        <f t="shared" si="12"/>
        <v>180</v>
      </c>
      <c r="BX47" s="769" t="s">
        <v>67</v>
      </c>
      <c r="BY47" s="575">
        <v>1</v>
      </c>
      <c r="BZ47" s="584">
        <f>+IF(BY47="","",(VLOOKUP($C47,'EQUIP RATE SCHEDULE'!$B$11:$F$162,5,FALSE)))</f>
        <v>180</v>
      </c>
      <c r="CA47" s="591"/>
      <c r="CB47" s="613">
        <f t="shared" si="13"/>
        <v>180</v>
      </c>
      <c r="CC47" s="769" t="s">
        <v>67</v>
      </c>
      <c r="CD47" s="575">
        <v>1</v>
      </c>
      <c r="CE47" s="584">
        <f>+IF(CD47="","",(VLOOKUP($C47,'EQUIP RATE SCHEDULE'!$B$11:$F$162,5,FALSE)))</f>
        <v>180</v>
      </c>
      <c r="CF47" s="591"/>
      <c r="CG47" s="613">
        <f t="shared" si="14"/>
        <v>180</v>
      </c>
      <c r="CH47" s="769" t="s">
        <v>67</v>
      </c>
      <c r="CI47" s="575">
        <v>1</v>
      </c>
      <c r="CJ47" s="584">
        <f>+IF(CI47="","",(VLOOKUP($C47,'EQUIP RATE SCHEDULE'!$B$11:$F$162,5,FALSE)))</f>
        <v>180</v>
      </c>
      <c r="CK47" s="591"/>
      <c r="CL47" s="613">
        <f t="shared" si="15"/>
        <v>180</v>
      </c>
      <c r="CM47" s="769" t="s">
        <v>67</v>
      </c>
      <c r="CN47" s="575">
        <v>1</v>
      </c>
      <c r="CO47" s="584">
        <f>+IF(CN47="","",(VLOOKUP($C47,'EQUIP RATE SCHEDULE'!$B$11:$F$162,5,FALSE)))</f>
        <v>180</v>
      </c>
      <c r="CP47" s="591"/>
      <c r="CQ47" s="613">
        <f t="shared" si="16"/>
        <v>180</v>
      </c>
      <c r="CR47" s="769" t="s">
        <v>67</v>
      </c>
      <c r="CS47" s="575">
        <v>1</v>
      </c>
      <c r="CT47" s="584">
        <f>+IF(CS47="","",(VLOOKUP($C47,'EQUIP RATE SCHEDULE'!$B$11:$F$162,5,FALSE)))</f>
        <v>180</v>
      </c>
      <c r="CU47" s="591"/>
      <c r="CV47" s="613">
        <f t="shared" si="17"/>
        <v>180</v>
      </c>
      <c r="CW47" s="769" t="s">
        <v>67</v>
      </c>
      <c r="CX47" s="575">
        <v>1</v>
      </c>
      <c r="CY47" s="584">
        <f>+IF(CX47="","",(VLOOKUP($C47,'EQUIP RATE SCHEDULE'!$B$11:$F$162,5,FALSE)))</f>
        <v>180</v>
      </c>
      <c r="CZ47" s="591"/>
      <c r="DA47" s="613">
        <f t="shared" si="18"/>
        <v>180</v>
      </c>
    </row>
    <row r="48" spans="1:105" ht="15" x14ac:dyDescent="0.25">
      <c r="A48" s="1513"/>
      <c r="B48" s="809" t="s">
        <v>522</v>
      </c>
      <c r="C48" s="776" t="s">
        <v>983</v>
      </c>
      <c r="D48" s="779" t="s">
        <v>984</v>
      </c>
      <c r="E48" s="780" t="s">
        <v>985</v>
      </c>
      <c r="F48" s="769" t="s">
        <v>920</v>
      </c>
      <c r="G48" s="575">
        <v>1</v>
      </c>
      <c r="H48" s="584">
        <f>+IF(G48="","",(VLOOKUP($C48,'EQUIP RATE SCHEDULE'!$B$11:$F$162,5,FALSE)))</f>
        <v>15</v>
      </c>
      <c r="I48" s="591"/>
      <c r="J48" s="613">
        <f t="shared" si="19"/>
        <v>15</v>
      </c>
      <c r="K48" s="769" t="s">
        <v>920</v>
      </c>
      <c r="L48" s="575">
        <v>1</v>
      </c>
      <c r="M48" s="584">
        <f>+IF(L48="","",(VLOOKUP($C48,'EQUIP RATE SCHEDULE'!$B$11:$F$162,5,FALSE)))</f>
        <v>15</v>
      </c>
      <c r="N48" s="591"/>
      <c r="O48" s="613">
        <f t="shared" si="20"/>
        <v>15</v>
      </c>
      <c r="P48" s="769" t="s">
        <v>920</v>
      </c>
      <c r="Q48" s="575">
        <v>1</v>
      </c>
      <c r="R48" s="584">
        <f>+IF(Q48="","",(VLOOKUP($C48,'EQUIP RATE SCHEDULE'!$B$11:$F$162,5,FALSE)))</f>
        <v>15</v>
      </c>
      <c r="S48" s="591"/>
      <c r="T48" s="613">
        <f t="shared" si="21"/>
        <v>15</v>
      </c>
      <c r="U48" s="769" t="s">
        <v>920</v>
      </c>
      <c r="V48" s="575">
        <v>1</v>
      </c>
      <c r="W48" s="584">
        <f>+IF(V48="","",(VLOOKUP($C48,'EQUIP RATE SCHEDULE'!$B$11:$F$162,5,FALSE)))</f>
        <v>15</v>
      </c>
      <c r="X48" s="591"/>
      <c r="Y48" s="613">
        <f t="shared" si="22"/>
        <v>15</v>
      </c>
      <c r="Z48" s="769" t="s">
        <v>920</v>
      </c>
      <c r="AA48" s="575">
        <v>1</v>
      </c>
      <c r="AB48" s="584">
        <f>+IF(AA48="","",(VLOOKUP($C48,'EQUIP RATE SCHEDULE'!$B$11:$F$162,5,FALSE)))</f>
        <v>15</v>
      </c>
      <c r="AC48" s="591"/>
      <c r="AD48" s="613">
        <f t="shared" si="23"/>
        <v>15</v>
      </c>
      <c r="AE48" s="769" t="s">
        <v>920</v>
      </c>
      <c r="AF48" s="575">
        <v>1</v>
      </c>
      <c r="AG48" s="584">
        <f>+IF(AF48="","",(VLOOKUP($C48,'EQUIP RATE SCHEDULE'!$B$11:$F$162,5,FALSE)))</f>
        <v>15</v>
      </c>
      <c r="AH48" s="591"/>
      <c r="AI48" s="613">
        <f t="shared" si="24"/>
        <v>15</v>
      </c>
      <c r="AJ48" s="769" t="s">
        <v>920</v>
      </c>
      <c r="AK48" s="575">
        <v>1</v>
      </c>
      <c r="AL48" s="584">
        <f>+IF(AK48="","",(VLOOKUP($C48,'EQUIP RATE SCHEDULE'!$B$11:$F$162,5,FALSE)))</f>
        <v>15</v>
      </c>
      <c r="AM48" s="591"/>
      <c r="AN48" s="613">
        <f t="shared" si="25"/>
        <v>15</v>
      </c>
      <c r="AO48" s="769" t="s">
        <v>920</v>
      </c>
      <c r="AP48" s="575">
        <v>1</v>
      </c>
      <c r="AQ48" s="584">
        <f>+IF(AP48="","",(VLOOKUP($C48,'EQUIP RATE SCHEDULE'!$B$11:$F$162,5,FALSE)))</f>
        <v>15</v>
      </c>
      <c r="AR48" s="591"/>
      <c r="AS48" s="613">
        <f t="shared" si="26"/>
        <v>15</v>
      </c>
      <c r="AT48" s="769" t="s">
        <v>920</v>
      </c>
      <c r="AU48" s="575">
        <v>1</v>
      </c>
      <c r="AV48" s="584">
        <f>+IF(AU48="","",(VLOOKUP($C48,'EQUIP RATE SCHEDULE'!$B$11:$F$162,5,FALSE)))</f>
        <v>15</v>
      </c>
      <c r="AW48" s="591"/>
      <c r="AX48" s="613">
        <f t="shared" si="27"/>
        <v>15</v>
      </c>
      <c r="AY48" s="769" t="s">
        <v>920</v>
      </c>
      <c r="AZ48" s="575">
        <v>1</v>
      </c>
      <c r="BA48" s="584">
        <f>+IF(AZ48="","",(VLOOKUP($C48,'EQUIP RATE SCHEDULE'!$B$11:$F$162,5,FALSE)))</f>
        <v>15</v>
      </c>
      <c r="BB48" s="591"/>
      <c r="BC48" s="613">
        <f t="shared" si="28"/>
        <v>15</v>
      </c>
      <c r="BD48" s="769" t="s">
        <v>920</v>
      </c>
      <c r="BE48" s="575">
        <v>1</v>
      </c>
      <c r="BF48" s="584">
        <f>+IF(BE48="","",(VLOOKUP($C48,'EQUIP RATE SCHEDULE'!$B$11:$F$162,5,FALSE)))</f>
        <v>15</v>
      </c>
      <c r="BG48" s="591"/>
      <c r="BH48" s="613">
        <f t="shared" si="9"/>
        <v>15</v>
      </c>
      <c r="BI48" s="769" t="s">
        <v>920</v>
      </c>
      <c r="BJ48" s="575">
        <v>1</v>
      </c>
      <c r="BK48" s="584">
        <f>+IF(BJ48="","",(VLOOKUP($C48,'EQUIP RATE SCHEDULE'!$B$11:$F$162,5,FALSE)))</f>
        <v>15</v>
      </c>
      <c r="BL48" s="591"/>
      <c r="BM48" s="613">
        <f t="shared" si="10"/>
        <v>15</v>
      </c>
      <c r="BN48" s="769" t="s">
        <v>920</v>
      </c>
      <c r="BO48" s="575">
        <v>1</v>
      </c>
      <c r="BP48" s="584">
        <f>+IF(BO48="","",(VLOOKUP($C48,'EQUIP RATE SCHEDULE'!$B$11:$F$162,5,FALSE)))</f>
        <v>15</v>
      </c>
      <c r="BQ48" s="591"/>
      <c r="BR48" s="613">
        <f t="shared" si="11"/>
        <v>15</v>
      </c>
      <c r="BS48" s="769" t="s">
        <v>920</v>
      </c>
      <c r="BT48" s="575">
        <v>1</v>
      </c>
      <c r="BU48" s="584">
        <f>+IF(BT48="","",(VLOOKUP($C48,'EQUIP RATE SCHEDULE'!$B$11:$F$162,5,FALSE)))</f>
        <v>15</v>
      </c>
      <c r="BV48" s="591"/>
      <c r="BW48" s="613">
        <f>+IF(BV$7="","",IF(BT48="","",(IF(BV48="",BU48*BT48,BV48*BT48))))</f>
        <v>15</v>
      </c>
      <c r="BX48" s="769" t="s">
        <v>920</v>
      </c>
      <c r="BY48" s="575">
        <v>1</v>
      </c>
      <c r="BZ48" s="584">
        <f>+IF(BY48="","",(VLOOKUP($C48,'EQUIP RATE SCHEDULE'!$B$11:$F$162,5,FALSE)))</f>
        <v>15</v>
      </c>
      <c r="CA48" s="591"/>
      <c r="CB48" s="613">
        <f t="shared" si="13"/>
        <v>15</v>
      </c>
      <c r="CC48" s="769" t="s">
        <v>920</v>
      </c>
      <c r="CD48" s="575">
        <v>1</v>
      </c>
      <c r="CE48" s="584">
        <f>+IF(CD48="","",(VLOOKUP($C48,'EQUIP RATE SCHEDULE'!$B$11:$F$162,5,FALSE)))</f>
        <v>15</v>
      </c>
      <c r="CF48" s="591"/>
      <c r="CG48" s="613">
        <f t="shared" si="14"/>
        <v>15</v>
      </c>
      <c r="CH48" s="769" t="s">
        <v>920</v>
      </c>
      <c r="CI48" s="575">
        <v>1</v>
      </c>
      <c r="CJ48" s="584">
        <f>+IF(CI48="","",(VLOOKUP($C48,'EQUIP RATE SCHEDULE'!$B$11:$F$162,5,FALSE)))</f>
        <v>15</v>
      </c>
      <c r="CK48" s="591"/>
      <c r="CL48" s="613">
        <f t="shared" si="15"/>
        <v>15</v>
      </c>
      <c r="CM48" s="769" t="s">
        <v>920</v>
      </c>
      <c r="CN48" s="575">
        <v>1</v>
      </c>
      <c r="CO48" s="584">
        <f>+IF(CN48="","",(VLOOKUP($C48,'EQUIP RATE SCHEDULE'!$B$11:$F$162,5,FALSE)))</f>
        <v>15</v>
      </c>
      <c r="CP48" s="591"/>
      <c r="CQ48" s="613">
        <f t="shared" si="16"/>
        <v>15</v>
      </c>
      <c r="CR48" s="769" t="s">
        <v>920</v>
      </c>
      <c r="CS48" s="575">
        <v>1</v>
      </c>
      <c r="CT48" s="584">
        <f>+IF(CS48="","",(VLOOKUP($C48,'EQUIP RATE SCHEDULE'!$B$11:$F$162,5,FALSE)))</f>
        <v>15</v>
      </c>
      <c r="CU48" s="591"/>
      <c r="CV48" s="613">
        <f t="shared" si="17"/>
        <v>15</v>
      </c>
      <c r="CW48" s="769" t="s">
        <v>920</v>
      </c>
      <c r="CX48" s="575">
        <v>1</v>
      </c>
      <c r="CY48" s="584">
        <f>+IF(CX48="","",(VLOOKUP($C48,'EQUIP RATE SCHEDULE'!$B$11:$F$162,5,FALSE)))</f>
        <v>15</v>
      </c>
      <c r="CZ48" s="591"/>
      <c r="DA48" s="613">
        <f t="shared" si="18"/>
        <v>15</v>
      </c>
    </row>
    <row r="49" spans="1:105" ht="30" x14ac:dyDescent="0.25">
      <c r="A49" s="1513"/>
      <c r="B49" s="809" t="s">
        <v>522</v>
      </c>
      <c r="C49" s="776" t="s">
        <v>986</v>
      </c>
      <c r="D49" s="779" t="s">
        <v>987</v>
      </c>
      <c r="E49" s="780" t="s">
        <v>988</v>
      </c>
      <c r="F49" s="769" t="s">
        <v>920</v>
      </c>
      <c r="G49" s="575">
        <v>1</v>
      </c>
      <c r="H49" s="584">
        <f>+IF(G49="","",(VLOOKUP($C49,'EQUIP RATE SCHEDULE'!$B$11:$F$162,5,FALSE)))</f>
        <v>12</v>
      </c>
      <c r="I49" s="591"/>
      <c r="J49" s="613">
        <f t="shared" si="19"/>
        <v>12</v>
      </c>
      <c r="K49" s="769" t="s">
        <v>920</v>
      </c>
      <c r="L49" s="575">
        <v>1</v>
      </c>
      <c r="M49" s="584">
        <f>+IF(L49="","",(VLOOKUP($C49,'EQUIP RATE SCHEDULE'!$B$11:$F$162,5,FALSE)))</f>
        <v>12</v>
      </c>
      <c r="N49" s="591"/>
      <c r="O49" s="613">
        <f t="shared" si="20"/>
        <v>12</v>
      </c>
      <c r="P49" s="769" t="s">
        <v>920</v>
      </c>
      <c r="Q49" s="575">
        <v>1</v>
      </c>
      <c r="R49" s="584">
        <f>+IF(Q49="","",(VLOOKUP($C49,'EQUIP RATE SCHEDULE'!$B$11:$F$162,5,FALSE)))</f>
        <v>12</v>
      </c>
      <c r="S49" s="591"/>
      <c r="T49" s="613">
        <f t="shared" si="21"/>
        <v>12</v>
      </c>
      <c r="U49" s="769" t="s">
        <v>920</v>
      </c>
      <c r="V49" s="575">
        <v>1</v>
      </c>
      <c r="W49" s="584">
        <f>+IF(V49="","",(VLOOKUP($C49,'EQUIP RATE SCHEDULE'!$B$11:$F$162,5,FALSE)))</f>
        <v>12</v>
      </c>
      <c r="X49" s="591"/>
      <c r="Y49" s="613">
        <f t="shared" si="22"/>
        <v>12</v>
      </c>
      <c r="Z49" s="769" t="s">
        <v>920</v>
      </c>
      <c r="AA49" s="575">
        <v>1</v>
      </c>
      <c r="AB49" s="584">
        <f>+IF(AA49="","",(VLOOKUP($C49,'EQUIP RATE SCHEDULE'!$B$11:$F$162,5,FALSE)))</f>
        <v>12</v>
      </c>
      <c r="AC49" s="591"/>
      <c r="AD49" s="613">
        <f t="shared" si="23"/>
        <v>12</v>
      </c>
      <c r="AE49" s="769" t="s">
        <v>920</v>
      </c>
      <c r="AF49" s="575">
        <v>1</v>
      </c>
      <c r="AG49" s="584">
        <f>+IF(AF49="","",(VLOOKUP($C49,'EQUIP RATE SCHEDULE'!$B$11:$F$162,5,FALSE)))</f>
        <v>12</v>
      </c>
      <c r="AH49" s="591"/>
      <c r="AI49" s="613">
        <f t="shared" si="24"/>
        <v>12</v>
      </c>
      <c r="AJ49" s="769" t="s">
        <v>920</v>
      </c>
      <c r="AK49" s="575">
        <v>1</v>
      </c>
      <c r="AL49" s="584">
        <f>+IF(AK49="","",(VLOOKUP($C49,'EQUIP RATE SCHEDULE'!$B$11:$F$162,5,FALSE)))</f>
        <v>12</v>
      </c>
      <c r="AM49" s="591"/>
      <c r="AN49" s="613">
        <f t="shared" si="25"/>
        <v>12</v>
      </c>
      <c r="AO49" s="769" t="s">
        <v>920</v>
      </c>
      <c r="AP49" s="575">
        <v>1</v>
      </c>
      <c r="AQ49" s="584">
        <f>+IF(AP49="","",(VLOOKUP($C49,'EQUIP RATE SCHEDULE'!$B$11:$F$162,5,FALSE)))</f>
        <v>12</v>
      </c>
      <c r="AR49" s="591"/>
      <c r="AS49" s="613">
        <f t="shared" si="26"/>
        <v>12</v>
      </c>
      <c r="AT49" s="769" t="s">
        <v>920</v>
      </c>
      <c r="AU49" s="575">
        <v>1</v>
      </c>
      <c r="AV49" s="584">
        <f>+IF(AU49="","",(VLOOKUP($C49,'EQUIP RATE SCHEDULE'!$B$11:$F$162,5,FALSE)))</f>
        <v>12</v>
      </c>
      <c r="AW49" s="591"/>
      <c r="AX49" s="613">
        <f t="shared" si="27"/>
        <v>12</v>
      </c>
      <c r="AY49" s="769" t="s">
        <v>920</v>
      </c>
      <c r="AZ49" s="575">
        <v>1</v>
      </c>
      <c r="BA49" s="584">
        <f>+IF(AZ49="","",(VLOOKUP($C49,'EQUIP RATE SCHEDULE'!$B$11:$F$162,5,FALSE)))</f>
        <v>12</v>
      </c>
      <c r="BB49" s="591"/>
      <c r="BC49" s="613">
        <f t="shared" si="28"/>
        <v>12</v>
      </c>
      <c r="BD49" s="769" t="s">
        <v>920</v>
      </c>
      <c r="BE49" s="575">
        <v>1</v>
      </c>
      <c r="BF49" s="584">
        <f>+IF(BE49="","",(VLOOKUP($C49,'EQUIP RATE SCHEDULE'!$B$11:$F$162,5,FALSE)))</f>
        <v>12</v>
      </c>
      <c r="BG49" s="591"/>
      <c r="BH49" s="613">
        <f t="shared" si="9"/>
        <v>12</v>
      </c>
      <c r="BI49" s="769" t="s">
        <v>920</v>
      </c>
      <c r="BJ49" s="575">
        <v>1</v>
      </c>
      <c r="BK49" s="584">
        <f>+IF(BJ49="","",(VLOOKUP($C49,'EQUIP RATE SCHEDULE'!$B$11:$F$162,5,FALSE)))</f>
        <v>12</v>
      </c>
      <c r="BL49" s="591"/>
      <c r="BM49" s="613">
        <f t="shared" si="10"/>
        <v>12</v>
      </c>
      <c r="BN49" s="769" t="s">
        <v>920</v>
      </c>
      <c r="BO49" s="575">
        <v>1</v>
      </c>
      <c r="BP49" s="584">
        <f>+IF(BO49="","",(VLOOKUP($C49,'EQUIP RATE SCHEDULE'!$B$11:$F$162,5,FALSE)))</f>
        <v>12</v>
      </c>
      <c r="BQ49" s="591"/>
      <c r="BR49" s="613">
        <f t="shared" si="11"/>
        <v>12</v>
      </c>
      <c r="BS49" s="769" t="s">
        <v>920</v>
      </c>
      <c r="BT49" s="575"/>
      <c r="BU49" s="584" t="str">
        <f>+IF(BT49="","",(VLOOKUP($C49,'EQUIP RATE SCHEDULE'!$B$11:$F$162,5,FALSE)))</f>
        <v/>
      </c>
      <c r="BV49" s="591"/>
      <c r="BW49" s="613" t="str">
        <f>+IF(BV$7="","",IF(BT49="","",(IF(BV49="",BU49*BT49,BV49*BT49))))</f>
        <v/>
      </c>
      <c r="BX49" s="769" t="s">
        <v>920</v>
      </c>
      <c r="BY49" s="575">
        <v>1</v>
      </c>
      <c r="BZ49" s="584">
        <f>+IF(BY49="","",(VLOOKUP($C49,'EQUIP RATE SCHEDULE'!$B$11:$F$162,5,FALSE)))</f>
        <v>12</v>
      </c>
      <c r="CA49" s="591"/>
      <c r="CB49" s="613">
        <f t="shared" si="13"/>
        <v>12</v>
      </c>
      <c r="CC49" s="769" t="s">
        <v>920</v>
      </c>
      <c r="CD49" s="575">
        <v>1</v>
      </c>
      <c r="CE49" s="584">
        <f>+IF(CD49="","",(VLOOKUP($C49,'EQUIP RATE SCHEDULE'!$B$11:$F$162,5,FALSE)))</f>
        <v>12</v>
      </c>
      <c r="CF49" s="591"/>
      <c r="CG49" s="613">
        <f t="shared" si="14"/>
        <v>12</v>
      </c>
      <c r="CH49" s="769" t="s">
        <v>920</v>
      </c>
      <c r="CI49" s="575">
        <v>1</v>
      </c>
      <c r="CJ49" s="584">
        <f>+IF(CI49="","",(VLOOKUP($C49,'EQUIP RATE SCHEDULE'!$B$11:$F$162,5,FALSE)))</f>
        <v>12</v>
      </c>
      <c r="CK49" s="591"/>
      <c r="CL49" s="613">
        <f t="shared" si="15"/>
        <v>12</v>
      </c>
      <c r="CM49" s="769" t="s">
        <v>920</v>
      </c>
      <c r="CN49" s="575">
        <v>1</v>
      </c>
      <c r="CO49" s="584">
        <f>+IF(CN49="","",(VLOOKUP($C49,'EQUIP RATE SCHEDULE'!$B$11:$F$162,5,FALSE)))</f>
        <v>12</v>
      </c>
      <c r="CP49" s="591"/>
      <c r="CQ49" s="613">
        <f t="shared" si="16"/>
        <v>12</v>
      </c>
      <c r="CR49" s="769" t="s">
        <v>920</v>
      </c>
      <c r="CS49" s="575">
        <v>1</v>
      </c>
      <c r="CT49" s="584">
        <f>+IF(CS49="","",(VLOOKUP($C49,'EQUIP RATE SCHEDULE'!$B$11:$F$162,5,FALSE)))</f>
        <v>12</v>
      </c>
      <c r="CU49" s="591"/>
      <c r="CV49" s="613">
        <f t="shared" si="17"/>
        <v>12</v>
      </c>
      <c r="CW49" s="769" t="s">
        <v>920</v>
      </c>
      <c r="CX49" s="575">
        <v>1</v>
      </c>
      <c r="CY49" s="584">
        <f>+IF(CX49="","",(VLOOKUP($C49,'EQUIP RATE SCHEDULE'!$B$11:$F$162,5,FALSE)))</f>
        <v>12</v>
      </c>
      <c r="CZ49" s="591"/>
      <c r="DA49" s="613">
        <f t="shared" si="18"/>
        <v>12</v>
      </c>
    </row>
    <row r="50" spans="1:105" ht="15" x14ac:dyDescent="0.25">
      <c r="A50" s="1513"/>
      <c r="B50" s="809" t="s">
        <v>522</v>
      </c>
      <c r="C50" s="776" t="s">
        <v>989</v>
      </c>
      <c r="D50" s="1491" t="s">
        <v>990</v>
      </c>
      <c r="E50" s="1488" t="s">
        <v>991</v>
      </c>
      <c r="F50" s="769" t="s">
        <v>66</v>
      </c>
      <c r="G50" s="575">
        <v>1</v>
      </c>
      <c r="H50" s="584">
        <f>+IF(G50="","",(VLOOKUP($C50,'EQUIP RATE SCHEDULE'!$B$11:$F$162,5,FALSE)))</f>
        <v>50</v>
      </c>
      <c r="I50" s="591"/>
      <c r="J50" s="613">
        <f t="shared" si="19"/>
        <v>50</v>
      </c>
      <c r="K50" s="769" t="s">
        <v>66</v>
      </c>
      <c r="L50" s="575">
        <v>1</v>
      </c>
      <c r="M50" s="584">
        <f>+IF(L50="","",(VLOOKUP($C50,'EQUIP RATE SCHEDULE'!$B$11:$F$162,5,FALSE)))</f>
        <v>50</v>
      </c>
      <c r="N50" s="591"/>
      <c r="O50" s="613">
        <f t="shared" si="20"/>
        <v>50</v>
      </c>
      <c r="P50" s="769" t="s">
        <v>66</v>
      </c>
      <c r="Q50" s="575">
        <v>1</v>
      </c>
      <c r="R50" s="584">
        <f>+IF(Q50="","",(VLOOKUP($C50,'EQUIP RATE SCHEDULE'!$B$11:$F$162,5,FALSE)))</f>
        <v>50</v>
      </c>
      <c r="S50" s="591"/>
      <c r="T50" s="613">
        <f t="shared" si="21"/>
        <v>50</v>
      </c>
      <c r="U50" s="769" t="s">
        <v>66</v>
      </c>
      <c r="V50" s="575"/>
      <c r="W50" s="584" t="str">
        <f>+IF(V50="","",(VLOOKUP($C50,'EQUIP RATE SCHEDULE'!$B$11:$F$162,5,FALSE)))</f>
        <v/>
      </c>
      <c r="X50" s="591"/>
      <c r="Y50" s="613" t="str">
        <f t="shared" si="22"/>
        <v/>
      </c>
      <c r="Z50" s="769" t="s">
        <v>66</v>
      </c>
      <c r="AA50" s="575">
        <v>1</v>
      </c>
      <c r="AB50" s="584">
        <f>+IF(AA50="","",(VLOOKUP($C50,'EQUIP RATE SCHEDULE'!$B$11:$F$162,5,FALSE)))</f>
        <v>50</v>
      </c>
      <c r="AC50" s="591"/>
      <c r="AD50" s="613">
        <f t="shared" si="23"/>
        <v>50</v>
      </c>
      <c r="AE50" s="769" t="s">
        <v>66</v>
      </c>
      <c r="AF50" s="575">
        <v>1</v>
      </c>
      <c r="AG50" s="584">
        <f>+IF(AF50="","",(VLOOKUP($C50,'EQUIP RATE SCHEDULE'!$B$11:$F$162,5,FALSE)))</f>
        <v>50</v>
      </c>
      <c r="AH50" s="591"/>
      <c r="AI50" s="613">
        <f t="shared" si="24"/>
        <v>50</v>
      </c>
      <c r="AJ50" s="769" t="s">
        <v>66</v>
      </c>
      <c r="AK50" s="575">
        <v>1</v>
      </c>
      <c r="AL50" s="584">
        <f>+IF(AK50="","",(VLOOKUP($C50,'EQUIP RATE SCHEDULE'!$B$11:$F$162,5,FALSE)))</f>
        <v>50</v>
      </c>
      <c r="AM50" s="591"/>
      <c r="AN50" s="613">
        <f t="shared" si="25"/>
        <v>50</v>
      </c>
      <c r="AO50" s="769" t="s">
        <v>66</v>
      </c>
      <c r="AP50" s="575">
        <v>1</v>
      </c>
      <c r="AQ50" s="584">
        <f>+IF(AP50="","",(VLOOKUP($C50,'EQUIP RATE SCHEDULE'!$B$11:$F$162,5,FALSE)))</f>
        <v>50</v>
      </c>
      <c r="AR50" s="591"/>
      <c r="AS50" s="613">
        <f t="shared" si="26"/>
        <v>50</v>
      </c>
      <c r="AT50" s="769" t="s">
        <v>66</v>
      </c>
      <c r="AU50" s="575">
        <v>1</v>
      </c>
      <c r="AV50" s="584">
        <f>+IF(AU50="","",(VLOOKUP($C50,'EQUIP RATE SCHEDULE'!$B$11:$F$162,5,FALSE)))</f>
        <v>50</v>
      </c>
      <c r="AW50" s="591"/>
      <c r="AX50" s="613">
        <f t="shared" si="27"/>
        <v>50</v>
      </c>
      <c r="AY50" s="769" t="s">
        <v>66</v>
      </c>
      <c r="AZ50" s="575">
        <v>1</v>
      </c>
      <c r="BA50" s="584">
        <f>+IF(AZ50="","",(VLOOKUP($C50,'EQUIP RATE SCHEDULE'!$B$11:$F$162,5,FALSE)))</f>
        <v>50</v>
      </c>
      <c r="BB50" s="591"/>
      <c r="BC50" s="613">
        <f t="shared" si="28"/>
        <v>50</v>
      </c>
      <c r="BD50" s="769" t="s">
        <v>66</v>
      </c>
      <c r="BE50" s="575">
        <v>1</v>
      </c>
      <c r="BF50" s="584">
        <f>+IF(BE50="","",(VLOOKUP($C50,'EQUIP RATE SCHEDULE'!$B$11:$F$162,5,FALSE)))</f>
        <v>50</v>
      </c>
      <c r="BG50" s="591"/>
      <c r="BH50" s="613">
        <f t="shared" si="9"/>
        <v>50</v>
      </c>
      <c r="BI50" s="769" t="s">
        <v>66</v>
      </c>
      <c r="BJ50" s="575">
        <v>1</v>
      </c>
      <c r="BK50" s="584">
        <f>+IF(BJ50="","",(VLOOKUP($C50,'EQUIP RATE SCHEDULE'!$B$11:$F$162,5,FALSE)))</f>
        <v>50</v>
      </c>
      <c r="BL50" s="591"/>
      <c r="BM50" s="613">
        <f t="shared" si="10"/>
        <v>50</v>
      </c>
      <c r="BN50" s="769" t="s">
        <v>66</v>
      </c>
      <c r="BO50" s="575">
        <v>1</v>
      </c>
      <c r="BP50" s="584">
        <f>+IF(BO50="","",(VLOOKUP($C50,'EQUIP RATE SCHEDULE'!$B$11:$F$162,5,FALSE)))</f>
        <v>50</v>
      </c>
      <c r="BQ50" s="591"/>
      <c r="BR50" s="613">
        <f t="shared" si="11"/>
        <v>50</v>
      </c>
      <c r="BS50" s="769" t="s">
        <v>66</v>
      </c>
      <c r="BT50" s="575">
        <v>1</v>
      </c>
      <c r="BU50" s="584">
        <f>+IF(BT50="","",(VLOOKUP($C50,'EQUIP RATE SCHEDULE'!$B$11:$F$162,5,FALSE)))</f>
        <v>50</v>
      </c>
      <c r="BV50" s="591"/>
      <c r="BW50" s="613">
        <f t="shared" si="12"/>
        <v>50</v>
      </c>
      <c r="BX50" s="769" t="s">
        <v>66</v>
      </c>
      <c r="BY50" s="575">
        <v>1</v>
      </c>
      <c r="BZ50" s="584">
        <f>+IF(BY50="","",(VLOOKUP($C50,'EQUIP RATE SCHEDULE'!$B$11:$F$162,5,FALSE)))</f>
        <v>50</v>
      </c>
      <c r="CA50" s="591"/>
      <c r="CB50" s="613">
        <f t="shared" si="13"/>
        <v>50</v>
      </c>
      <c r="CC50" s="769" t="s">
        <v>66</v>
      </c>
      <c r="CD50" s="575">
        <v>1</v>
      </c>
      <c r="CE50" s="584">
        <f>+IF(CD50="","",(VLOOKUP($C50,'EQUIP RATE SCHEDULE'!$B$11:$F$162,5,FALSE)))</f>
        <v>50</v>
      </c>
      <c r="CF50" s="591"/>
      <c r="CG50" s="613">
        <f t="shared" si="14"/>
        <v>50</v>
      </c>
      <c r="CH50" s="769" t="s">
        <v>66</v>
      </c>
      <c r="CI50" s="575">
        <v>1</v>
      </c>
      <c r="CJ50" s="584">
        <f>+IF(CI50="","",(VLOOKUP($C50,'EQUIP RATE SCHEDULE'!$B$11:$F$162,5,FALSE)))</f>
        <v>50</v>
      </c>
      <c r="CK50" s="591"/>
      <c r="CL50" s="613">
        <f t="shared" si="15"/>
        <v>50</v>
      </c>
      <c r="CM50" s="769" t="s">
        <v>66</v>
      </c>
      <c r="CN50" s="575">
        <v>1</v>
      </c>
      <c r="CO50" s="584">
        <f>+IF(CN50="","",(VLOOKUP($C50,'EQUIP RATE SCHEDULE'!$B$11:$F$162,5,FALSE)))</f>
        <v>50</v>
      </c>
      <c r="CP50" s="591"/>
      <c r="CQ50" s="613">
        <f t="shared" si="16"/>
        <v>50</v>
      </c>
      <c r="CR50" s="769" t="s">
        <v>66</v>
      </c>
      <c r="CS50" s="575">
        <v>1</v>
      </c>
      <c r="CT50" s="584">
        <f>+IF(CS50="","",(VLOOKUP($C50,'EQUIP RATE SCHEDULE'!$B$11:$F$162,5,FALSE)))</f>
        <v>50</v>
      </c>
      <c r="CU50" s="591"/>
      <c r="CV50" s="613">
        <f t="shared" si="17"/>
        <v>50</v>
      </c>
      <c r="CW50" s="769" t="s">
        <v>66</v>
      </c>
      <c r="CX50" s="575">
        <v>1</v>
      </c>
      <c r="CY50" s="584">
        <f>+IF(CX50="","",(VLOOKUP($C50,'EQUIP RATE SCHEDULE'!$B$11:$F$162,5,FALSE)))</f>
        <v>50</v>
      </c>
      <c r="CZ50" s="591"/>
      <c r="DA50" s="613">
        <f t="shared" si="18"/>
        <v>50</v>
      </c>
    </row>
    <row r="51" spans="1:105" ht="15" x14ac:dyDescent="0.25">
      <c r="A51" s="1513"/>
      <c r="B51" s="809" t="s">
        <v>522</v>
      </c>
      <c r="C51" s="776" t="s">
        <v>992</v>
      </c>
      <c r="D51" s="1492"/>
      <c r="E51" s="1490"/>
      <c r="F51" s="769" t="s">
        <v>67</v>
      </c>
      <c r="G51" s="575">
        <v>1</v>
      </c>
      <c r="H51" s="584">
        <f>+IF(G51="","",(VLOOKUP($C51,'EQUIP RATE SCHEDULE'!$B$11:$F$162,5,FALSE)))</f>
        <v>150</v>
      </c>
      <c r="I51" s="591"/>
      <c r="J51" s="613">
        <f t="shared" si="19"/>
        <v>150</v>
      </c>
      <c r="K51" s="769" t="s">
        <v>67</v>
      </c>
      <c r="L51" s="575">
        <v>1</v>
      </c>
      <c r="M51" s="584">
        <f>+IF(L51="","",(VLOOKUP($C51,'EQUIP RATE SCHEDULE'!$B$11:$F$162,5,FALSE)))</f>
        <v>150</v>
      </c>
      <c r="N51" s="591"/>
      <c r="O51" s="613">
        <f t="shared" si="20"/>
        <v>150</v>
      </c>
      <c r="P51" s="769" t="s">
        <v>67</v>
      </c>
      <c r="Q51" s="575">
        <v>1</v>
      </c>
      <c r="R51" s="584">
        <f>+IF(Q51="","",(VLOOKUP($C51,'EQUIP RATE SCHEDULE'!$B$11:$F$162,5,FALSE)))</f>
        <v>150</v>
      </c>
      <c r="S51" s="591"/>
      <c r="T51" s="613">
        <f t="shared" si="21"/>
        <v>150</v>
      </c>
      <c r="U51" s="769" t="s">
        <v>67</v>
      </c>
      <c r="V51" s="575">
        <v>1</v>
      </c>
      <c r="W51" s="584">
        <f>+IF(V51="","",(VLOOKUP($C51,'EQUIP RATE SCHEDULE'!$B$11:$F$162,5,FALSE)))</f>
        <v>150</v>
      </c>
      <c r="X51" s="591"/>
      <c r="Y51" s="613">
        <f t="shared" si="22"/>
        <v>150</v>
      </c>
      <c r="Z51" s="769" t="s">
        <v>67</v>
      </c>
      <c r="AA51" s="575">
        <v>1</v>
      </c>
      <c r="AB51" s="584">
        <f>+IF(AA51="","",(VLOOKUP($C51,'EQUIP RATE SCHEDULE'!$B$11:$F$162,5,FALSE)))</f>
        <v>150</v>
      </c>
      <c r="AC51" s="591"/>
      <c r="AD51" s="613">
        <f t="shared" si="23"/>
        <v>150</v>
      </c>
      <c r="AE51" s="769" t="s">
        <v>67</v>
      </c>
      <c r="AF51" s="575"/>
      <c r="AG51" s="584" t="str">
        <f>+IF(AF51="","",(VLOOKUP($C51,'EQUIP RATE SCHEDULE'!$B$11:$F$162,5,FALSE)))</f>
        <v/>
      </c>
      <c r="AH51" s="591"/>
      <c r="AI51" s="613" t="str">
        <f t="shared" si="24"/>
        <v/>
      </c>
      <c r="AJ51" s="769" t="s">
        <v>67</v>
      </c>
      <c r="AK51" s="575">
        <v>1</v>
      </c>
      <c r="AL51" s="584">
        <f>+IF(AK51="","",(VLOOKUP($C51,'EQUIP RATE SCHEDULE'!$B$11:$F$162,5,FALSE)))</f>
        <v>150</v>
      </c>
      <c r="AM51" s="591"/>
      <c r="AN51" s="613">
        <f t="shared" si="25"/>
        <v>150</v>
      </c>
      <c r="AO51" s="769" t="s">
        <v>67</v>
      </c>
      <c r="AP51" s="575">
        <v>1</v>
      </c>
      <c r="AQ51" s="584">
        <f>+IF(AP51="","",(VLOOKUP($C51,'EQUIP RATE SCHEDULE'!$B$11:$F$162,5,FALSE)))</f>
        <v>150</v>
      </c>
      <c r="AR51" s="591"/>
      <c r="AS51" s="613">
        <f t="shared" si="26"/>
        <v>150</v>
      </c>
      <c r="AT51" s="769" t="s">
        <v>67</v>
      </c>
      <c r="AU51" s="575">
        <v>1</v>
      </c>
      <c r="AV51" s="584">
        <f>+IF(AU51="","",(VLOOKUP($C51,'EQUIP RATE SCHEDULE'!$B$11:$F$162,5,FALSE)))</f>
        <v>150</v>
      </c>
      <c r="AW51" s="591"/>
      <c r="AX51" s="613">
        <f t="shared" si="27"/>
        <v>150</v>
      </c>
      <c r="AY51" s="769" t="s">
        <v>67</v>
      </c>
      <c r="AZ51" s="575">
        <v>1</v>
      </c>
      <c r="BA51" s="584">
        <f>+IF(AZ51="","",(VLOOKUP($C51,'EQUIP RATE SCHEDULE'!$B$11:$F$162,5,FALSE)))</f>
        <v>150</v>
      </c>
      <c r="BB51" s="591"/>
      <c r="BC51" s="613">
        <f t="shared" si="28"/>
        <v>150</v>
      </c>
      <c r="BD51" s="769" t="s">
        <v>67</v>
      </c>
      <c r="BE51" s="575">
        <v>1</v>
      </c>
      <c r="BF51" s="584">
        <f>+IF(BE51="","",(VLOOKUP($C51,'EQUIP RATE SCHEDULE'!$B$11:$F$162,5,FALSE)))</f>
        <v>150</v>
      </c>
      <c r="BG51" s="591"/>
      <c r="BH51" s="613">
        <f t="shared" si="9"/>
        <v>150</v>
      </c>
      <c r="BI51" s="769" t="s">
        <v>67</v>
      </c>
      <c r="BJ51" s="575">
        <v>1</v>
      </c>
      <c r="BK51" s="584">
        <f>+IF(BJ51="","",(VLOOKUP($C51,'EQUIP RATE SCHEDULE'!$B$11:$F$162,5,FALSE)))</f>
        <v>150</v>
      </c>
      <c r="BL51" s="591"/>
      <c r="BM51" s="613">
        <f t="shared" si="10"/>
        <v>150</v>
      </c>
      <c r="BN51" s="769" t="s">
        <v>67</v>
      </c>
      <c r="BO51" s="575">
        <v>1</v>
      </c>
      <c r="BP51" s="584">
        <f>+IF(BO51="","",(VLOOKUP($C51,'EQUIP RATE SCHEDULE'!$B$11:$F$162,5,FALSE)))</f>
        <v>150</v>
      </c>
      <c r="BQ51" s="591"/>
      <c r="BR51" s="613">
        <f t="shared" si="11"/>
        <v>150</v>
      </c>
      <c r="BS51" s="769" t="s">
        <v>67</v>
      </c>
      <c r="BT51" s="575">
        <v>1</v>
      </c>
      <c r="BU51" s="584">
        <f>+IF(BT51="","",(VLOOKUP($C51,'EQUIP RATE SCHEDULE'!$B$11:$F$162,5,FALSE)))</f>
        <v>150</v>
      </c>
      <c r="BV51" s="591"/>
      <c r="BW51" s="613">
        <f t="shared" si="12"/>
        <v>150</v>
      </c>
      <c r="BX51" s="769" t="s">
        <v>67</v>
      </c>
      <c r="BY51" s="575">
        <v>1</v>
      </c>
      <c r="BZ51" s="584">
        <f>+IF(BY51="","",(VLOOKUP($C51,'EQUIP RATE SCHEDULE'!$B$11:$F$162,5,FALSE)))</f>
        <v>150</v>
      </c>
      <c r="CA51" s="591"/>
      <c r="CB51" s="613">
        <f t="shared" si="13"/>
        <v>150</v>
      </c>
      <c r="CC51" s="769" t="s">
        <v>67</v>
      </c>
      <c r="CD51" s="575">
        <v>1</v>
      </c>
      <c r="CE51" s="584">
        <f>+IF(CD51="","",(VLOOKUP($C51,'EQUIP RATE SCHEDULE'!$B$11:$F$162,5,FALSE)))</f>
        <v>150</v>
      </c>
      <c r="CF51" s="591"/>
      <c r="CG51" s="613">
        <f t="shared" si="14"/>
        <v>150</v>
      </c>
      <c r="CH51" s="769" t="s">
        <v>67</v>
      </c>
      <c r="CI51" s="575">
        <v>1</v>
      </c>
      <c r="CJ51" s="584">
        <f>+IF(CI51="","",(VLOOKUP($C51,'EQUIP RATE SCHEDULE'!$B$11:$F$162,5,FALSE)))</f>
        <v>150</v>
      </c>
      <c r="CK51" s="591"/>
      <c r="CL51" s="613">
        <f t="shared" si="15"/>
        <v>150</v>
      </c>
      <c r="CM51" s="769" t="s">
        <v>67</v>
      </c>
      <c r="CN51" s="575">
        <v>1</v>
      </c>
      <c r="CO51" s="584">
        <f>+IF(CN51="","",(VLOOKUP($C51,'EQUIP RATE SCHEDULE'!$B$11:$F$162,5,FALSE)))</f>
        <v>150</v>
      </c>
      <c r="CP51" s="591"/>
      <c r="CQ51" s="613">
        <f t="shared" si="16"/>
        <v>150</v>
      </c>
      <c r="CR51" s="769" t="s">
        <v>67</v>
      </c>
      <c r="CS51" s="575">
        <v>1</v>
      </c>
      <c r="CT51" s="584">
        <f>+IF(CS51="","",(VLOOKUP($C51,'EQUIP RATE SCHEDULE'!$B$11:$F$162,5,FALSE)))</f>
        <v>150</v>
      </c>
      <c r="CU51" s="591"/>
      <c r="CV51" s="613">
        <f t="shared" si="17"/>
        <v>150</v>
      </c>
      <c r="CW51" s="769" t="s">
        <v>67</v>
      </c>
      <c r="CX51" s="575">
        <v>1</v>
      </c>
      <c r="CY51" s="584">
        <f>+IF(CX51="","",(VLOOKUP($C51,'EQUIP RATE SCHEDULE'!$B$11:$F$162,5,FALSE)))</f>
        <v>150</v>
      </c>
      <c r="CZ51" s="591"/>
      <c r="DA51" s="613">
        <f t="shared" si="18"/>
        <v>150</v>
      </c>
    </row>
    <row r="52" spans="1:105" ht="15" x14ac:dyDescent="0.25">
      <c r="A52" s="1513"/>
      <c r="B52" s="809" t="s">
        <v>522</v>
      </c>
      <c r="C52" s="776" t="s">
        <v>993</v>
      </c>
      <c r="D52" s="1491" t="s">
        <v>994</v>
      </c>
      <c r="E52" s="1488" t="s">
        <v>995</v>
      </c>
      <c r="F52" s="769" t="s">
        <v>66</v>
      </c>
      <c r="G52" s="575">
        <v>1</v>
      </c>
      <c r="H52" s="584">
        <f>+IF(G52="","",(VLOOKUP($C52,'EQUIP RATE SCHEDULE'!$B$11:$F$162,5,FALSE)))</f>
        <v>75</v>
      </c>
      <c r="I52" s="591"/>
      <c r="J52" s="613">
        <f t="shared" si="19"/>
        <v>75</v>
      </c>
      <c r="K52" s="769" t="s">
        <v>66</v>
      </c>
      <c r="L52" s="575">
        <v>1</v>
      </c>
      <c r="M52" s="584">
        <f>+IF(L52="","",(VLOOKUP($C52,'EQUIP RATE SCHEDULE'!$B$11:$F$162,5,FALSE)))</f>
        <v>75</v>
      </c>
      <c r="N52" s="591"/>
      <c r="O52" s="613">
        <f t="shared" si="20"/>
        <v>75</v>
      </c>
      <c r="P52" s="769" t="s">
        <v>66</v>
      </c>
      <c r="Q52" s="575">
        <v>1</v>
      </c>
      <c r="R52" s="584">
        <f>+IF(Q52="","",(VLOOKUP($C52,'EQUIP RATE SCHEDULE'!$B$11:$F$162,5,FALSE)))</f>
        <v>75</v>
      </c>
      <c r="S52" s="591"/>
      <c r="T52" s="613">
        <f t="shared" si="21"/>
        <v>75</v>
      </c>
      <c r="U52" s="769" t="s">
        <v>66</v>
      </c>
      <c r="V52" s="575">
        <v>1</v>
      </c>
      <c r="W52" s="584">
        <f>+IF(V52="","",(VLOOKUP($C52,'EQUIP RATE SCHEDULE'!$B$11:$F$162,5,FALSE)))</f>
        <v>75</v>
      </c>
      <c r="X52" s="591"/>
      <c r="Y52" s="613">
        <f t="shared" si="22"/>
        <v>75</v>
      </c>
      <c r="Z52" s="769" t="s">
        <v>66</v>
      </c>
      <c r="AA52" s="575">
        <v>1</v>
      </c>
      <c r="AB52" s="584">
        <f>+IF(AA52="","",(VLOOKUP($C52,'EQUIP RATE SCHEDULE'!$B$11:$F$162,5,FALSE)))</f>
        <v>75</v>
      </c>
      <c r="AC52" s="591"/>
      <c r="AD52" s="613">
        <f t="shared" si="23"/>
        <v>75</v>
      </c>
      <c r="AE52" s="769" t="s">
        <v>66</v>
      </c>
      <c r="AF52" s="575">
        <v>1</v>
      </c>
      <c r="AG52" s="584">
        <f>+IF(AF52="","",(VLOOKUP($C52,'EQUIP RATE SCHEDULE'!$B$11:$F$162,5,FALSE)))</f>
        <v>75</v>
      </c>
      <c r="AH52" s="591"/>
      <c r="AI52" s="613">
        <f t="shared" si="24"/>
        <v>75</v>
      </c>
      <c r="AJ52" s="769" t="s">
        <v>66</v>
      </c>
      <c r="AK52" s="575">
        <v>1</v>
      </c>
      <c r="AL52" s="584">
        <f>+IF(AK52="","",(VLOOKUP($C52,'EQUIP RATE SCHEDULE'!$B$11:$F$162,5,FALSE)))</f>
        <v>75</v>
      </c>
      <c r="AM52" s="591"/>
      <c r="AN52" s="613">
        <f t="shared" si="25"/>
        <v>75</v>
      </c>
      <c r="AO52" s="769" t="s">
        <v>66</v>
      </c>
      <c r="AP52" s="575">
        <v>1</v>
      </c>
      <c r="AQ52" s="584">
        <f>+IF(AP52="","",(VLOOKUP($C52,'EQUIP RATE SCHEDULE'!$B$11:$F$162,5,FALSE)))</f>
        <v>75</v>
      </c>
      <c r="AR52" s="591"/>
      <c r="AS52" s="613">
        <f t="shared" si="26"/>
        <v>75</v>
      </c>
      <c r="AT52" s="769" t="s">
        <v>66</v>
      </c>
      <c r="AU52" s="575">
        <v>1</v>
      </c>
      <c r="AV52" s="584">
        <f>+IF(AU52="","",(VLOOKUP($C52,'EQUIP RATE SCHEDULE'!$B$11:$F$162,5,FALSE)))</f>
        <v>75</v>
      </c>
      <c r="AW52" s="591"/>
      <c r="AX52" s="613">
        <f t="shared" si="27"/>
        <v>75</v>
      </c>
      <c r="AY52" s="769" t="s">
        <v>66</v>
      </c>
      <c r="AZ52" s="575">
        <v>1</v>
      </c>
      <c r="BA52" s="584">
        <f>+IF(AZ52="","",(VLOOKUP($C52,'EQUIP RATE SCHEDULE'!$B$11:$F$162,5,FALSE)))</f>
        <v>75</v>
      </c>
      <c r="BB52" s="591"/>
      <c r="BC52" s="613">
        <f t="shared" si="28"/>
        <v>75</v>
      </c>
      <c r="BD52" s="769" t="s">
        <v>66</v>
      </c>
      <c r="BE52" s="575">
        <v>1</v>
      </c>
      <c r="BF52" s="584">
        <f>+IF(BE52="","",(VLOOKUP($C52,'EQUIP RATE SCHEDULE'!$B$11:$F$162,5,FALSE)))</f>
        <v>75</v>
      </c>
      <c r="BG52" s="591"/>
      <c r="BH52" s="613">
        <f t="shared" si="9"/>
        <v>75</v>
      </c>
      <c r="BI52" s="769" t="s">
        <v>66</v>
      </c>
      <c r="BJ52" s="575">
        <v>1</v>
      </c>
      <c r="BK52" s="584">
        <f>+IF(BJ52="","",(VLOOKUP($C52,'EQUIP RATE SCHEDULE'!$B$11:$F$162,5,FALSE)))</f>
        <v>75</v>
      </c>
      <c r="BL52" s="591"/>
      <c r="BM52" s="613">
        <f t="shared" si="10"/>
        <v>75</v>
      </c>
      <c r="BN52" s="769" t="s">
        <v>66</v>
      </c>
      <c r="BO52" s="575">
        <v>1</v>
      </c>
      <c r="BP52" s="584">
        <f>+IF(BO52="","",(VLOOKUP($C52,'EQUIP RATE SCHEDULE'!$B$11:$F$162,5,FALSE)))</f>
        <v>75</v>
      </c>
      <c r="BQ52" s="591"/>
      <c r="BR52" s="613">
        <f t="shared" si="11"/>
        <v>75</v>
      </c>
      <c r="BS52" s="769" t="s">
        <v>66</v>
      </c>
      <c r="BT52" s="575">
        <v>1</v>
      </c>
      <c r="BU52" s="584">
        <f>+IF(BT52="","",(VLOOKUP($C52,'EQUIP RATE SCHEDULE'!$B$11:$F$162,5,FALSE)))</f>
        <v>75</v>
      </c>
      <c r="BV52" s="591"/>
      <c r="BW52" s="613">
        <f t="shared" si="12"/>
        <v>75</v>
      </c>
      <c r="BX52" s="769" t="s">
        <v>66</v>
      </c>
      <c r="BY52" s="575">
        <v>1</v>
      </c>
      <c r="BZ52" s="584">
        <f>+IF(BY52="","",(VLOOKUP($C52,'EQUIP RATE SCHEDULE'!$B$11:$F$162,5,FALSE)))</f>
        <v>75</v>
      </c>
      <c r="CA52" s="591"/>
      <c r="CB52" s="613">
        <f t="shared" si="13"/>
        <v>75</v>
      </c>
      <c r="CC52" s="769" t="s">
        <v>66</v>
      </c>
      <c r="CD52" s="575">
        <v>1</v>
      </c>
      <c r="CE52" s="584">
        <f>+IF(CD52="","",(VLOOKUP($C52,'EQUIP RATE SCHEDULE'!$B$11:$F$162,5,FALSE)))</f>
        <v>75</v>
      </c>
      <c r="CF52" s="591"/>
      <c r="CG52" s="613">
        <f t="shared" si="14"/>
        <v>75</v>
      </c>
      <c r="CH52" s="769" t="s">
        <v>66</v>
      </c>
      <c r="CI52" s="575">
        <v>1</v>
      </c>
      <c r="CJ52" s="584">
        <f>+IF(CI52="","",(VLOOKUP($C52,'EQUIP RATE SCHEDULE'!$B$11:$F$162,5,FALSE)))</f>
        <v>75</v>
      </c>
      <c r="CK52" s="591"/>
      <c r="CL52" s="613">
        <f t="shared" si="15"/>
        <v>75</v>
      </c>
      <c r="CM52" s="769" t="s">
        <v>66</v>
      </c>
      <c r="CN52" s="575">
        <v>1</v>
      </c>
      <c r="CO52" s="584">
        <f>+IF(CN52="","",(VLOOKUP($C52,'EQUIP RATE SCHEDULE'!$B$11:$F$162,5,FALSE)))</f>
        <v>75</v>
      </c>
      <c r="CP52" s="591"/>
      <c r="CQ52" s="613">
        <f t="shared" si="16"/>
        <v>75</v>
      </c>
      <c r="CR52" s="769" t="s">
        <v>66</v>
      </c>
      <c r="CS52" s="575">
        <v>1</v>
      </c>
      <c r="CT52" s="584">
        <f>+IF(CS52="","",(VLOOKUP($C52,'EQUIP RATE SCHEDULE'!$B$11:$F$162,5,FALSE)))</f>
        <v>75</v>
      </c>
      <c r="CU52" s="591"/>
      <c r="CV52" s="613">
        <f t="shared" si="17"/>
        <v>75</v>
      </c>
      <c r="CW52" s="769" t="s">
        <v>66</v>
      </c>
      <c r="CX52" s="575">
        <v>1</v>
      </c>
      <c r="CY52" s="584">
        <f>+IF(CX52="","",(VLOOKUP($C52,'EQUIP RATE SCHEDULE'!$B$11:$F$162,5,FALSE)))</f>
        <v>75</v>
      </c>
      <c r="CZ52" s="591"/>
      <c r="DA52" s="613">
        <f t="shared" si="18"/>
        <v>75</v>
      </c>
    </row>
    <row r="53" spans="1:105" ht="15" x14ac:dyDescent="0.25">
      <c r="A53" s="1513"/>
      <c r="B53" s="809" t="s">
        <v>522</v>
      </c>
      <c r="C53" s="776" t="s">
        <v>996</v>
      </c>
      <c r="D53" s="1492"/>
      <c r="E53" s="1490"/>
      <c r="F53" s="769" t="s">
        <v>67</v>
      </c>
      <c r="G53" s="575">
        <v>1</v>
      </c>
      <c r="H53" s="584">
        <f>+IF(G53="","",(VLOOKUP($C53,'EQUIP RATE SCHEDULE'!$B$11:$F$162,5,FALSE)))</f>
        <v>225</v>
      </c>
      <c r="I53" s="591"/>
      <c r="J53" s="613">
        <f t="shared" si="19"/>
        <v>225</v>
      </c>
      <c r="K53" s="769" t="s">
        <v>67</v>
      </c>
      <c r="L53" s="575">
        <v>1</v>
      </c>
      <c r="M53" s="584">
        <f>+IF(L53="","",(VLOOKUP($C53,'EQUIP RATE SCHEDULE'!$B$11:$F$162,5,FALSE)))</f>
        <v>225</v>
      </c>
      <c r="N53" s="591"/>
      <c r="O53" s="613">
        <f t="shared" si="20"/>
        <v>225</v>
      </c>
      <c r="P53" s="769" t="s">
        <v>67</v>
      </c>
      <c r="Q53" s="575">
        <v>1</v>
      </c>
      <c r="R53" s="584">
        <f>+IF(Q53="","",(VLOOKUP($C53,'EQUIP RATE SCHEDULE'!$B$11:$F$162,5,FALSE)))</f>
        <v>225</v>
      </c>
      <c r="S53" s="591"/>
      <c r="T53" s="613">
        <f t="shared" si="21"/>
        <v>225</v>
      </c>
      <c r="U53" s="769" t="s">
        <v>67</v>
      </c>
      <c r="V53" s="575">
        <v>1</v>
      </c>
      <c r="W53" s="584">
        <f>+IF(V53="","",(VLOOKUP($C53,'EQUIP RATE SCHEDULE'!$B$11:$F$162,5,FALSE)))</f>
        <v>225</v>
      </c>
      <c r="X53" s="591"/>
      <c r="Y53" s="613">
        <f t="shared" si="22"/>
        <v>225</v>
      </c>
      <c r="Z53" s="769" t="s">
        <v>67</v>
      </c>
      <c r="AA53" s="575">
        <v>1</v>
      </c>
      <c r="AB53" s="584">
        <f>+IF(AA53="","",(VLOOKUP($C53,'EQUIP RATE SCHEDULE'!$B$11:$F$162,5,FALSE)))</f>
        <v>225</v>
      </c>
      <c r="AC53" s="591"/>
      <c r="AD53" s="613">
        <f t="shared" si="23"/>
        <v>225</v>
      </c>
      <c r="AE53" s="769" t="s">
        <v>67</v>
      </c>
      <c r="AF53" s="575">
        <v>1</v>
      </c>
      <c r="AG53" s="584">
        <f>+IF(AF53="","",(VLOOKUP($C53,'EQUIP RATE SCHEDULE'!$B$11:$F$162,5,FALSE)))</f>
        <v>225</v>
      </c>
      <c r="AH53" s="591"/>
      <c r="AI53" s="613">
        <f t="shared" si="24"/>
        <v>225</v>
      </c>
      <c r="AJ53" s="769" t="s">
        <v>67</v>
      </c>
      <c r="AK53" s="575">
        <v>1</v>
      </c>
      <c r="AL53" s="584">
        <f>+IF(AK53="","",(VLOOKUP($C53,'EQUIP RATE SCHEDULE'!$B$11:$F$162,5,FALSE)))</f>
        <v>225</v>
      </c>
      <c r="AM53" s="591"/>
      <c r="AN53" s="613">
        <f t="shared" si="25"/>
        <v>225</v>
      </c>
      <c r="AO53" s="769" t="s">
        <v>67</v>
      </c>
      <c r="AP53" s="575">
        <v>1</v>
      </c>
      <c r="AQ53" s="584">
        <f>+IF(AP53="","",(VLOOKUP($C53,'EQUIP RATE SCHEDULE'!$B$11:$F$162,5,FALSE)))</f>
        <v>225</v>
      </c>
      <c r="AR53" s="591"/>
      <c r="AS53" s="613">
        <f t="shared" si="26"/>
        <v>225</v>
      </c>
      <c r="AT53" s="769" t="s">
        <v>67</v>
      </c>
      <c r="AU53" s="575">
        <v>1</v>
      </c>
      <c r="AV53" s="584">
        <f>+IF(AU53="","",(VLOOKUP($C53,'EQUIP RATE SCHEDULE'!$B$11:$F$162,5,FALSE)))</f>
        <v>225</v>
      </c>
      <c r="AW53" s="591"/>
      <c r="AX53" s="613">
        <f t="shared" si="27"/>
        <v>225</v>
      </c>
      <c r="AY53" s="769" t="s">
        <v>67</v>
      </c>
      <c r="AZ53" s="575">
        <v>1</v>
      </c>
      <c r="BA53" s="584">
        <f>+IF(AZ53="","",(VLOOKUP($C53,'EQUIP RATE SCHEDULE'!$B$11:$F$162,5,FALSE)))</f>
        <v>225</v>
      </c>
      <c r="BB53" s="591"/>
      <c r="BC53" s="613">
        <f t="shared" si="28"/>
        <v>225</v>
      </c>
      <c r="BD53" s="769" t="s">
        <v>67</v>
      </c>
      <c r="BE53" s="575">
        <v>1</v>
      </c>
      <c r="BF53" s="584">
        <f>+IF(BE53="","",(VLOOKUP($C53,'EQUIP RATE SCHEDULE'!$B$11:$F$162,5,FALSE)))</f>
        <v>225</v>
      </c>
      <c r="BG53" s="591"/>
      <c r="BH53" s="613">
        <f t="shared" si="9"/>
        <v>225</v>
      </c>
      <c r="BI53" s="769" t="s">
        <v>67</v>
      </c>
      <c r="BJ53" s="575">
        <v>1</v>
      </c>
      <c r="BK53" s="584">
        <f>+IF(BJ53="","",(VLOOKUP($C53,'EQUIP RATE SCHEDULE'!$B$11:$F$162,5,FALSE)))</f>
        <v>225</v>
      </c>
      <c r="BL53" s="591"/>
      <c r="BM53" s="613">
        <f t="shared" si="10"/>
        <v>225</v>
      </c>
      <c r="BN53" s="769" t="s">
        <v>67</v>
      </c>
      <c r="BO53" s="575">
        <v>1</v>
      </c>
      <c r="BP53" s="584">
        <f>+IF(BO53="","",(VLOOKUP($C53,'EQUIP RATE SCHEDULE'!$B$11:$F$162,5,FALSE)))</f>
        <v>225</v>
      </c>
      <c r="BQ53" s="591"/>
      <c r="BR53" s="613">
        <f t="shared" si="11"/>
        <v>225</v>
      </c>
      <c r="BS53" s="769" t="s">
        <v>67</v>
      </c>
      <c r="BT53" s="575">
        <v>1</v>
      </c>
      <c r="BU53" s="584">
        <f>+IF(BT53="","",(VLOOKUP($C53,'EQUIP RATE SCHEDULE'!$B$11:$F$162,5,FALSE)))</f>
        <v>225</v>
      </c>
      <c r="BV53" s="591"/>
      <c r="BW53" s="613">
        <f t="shared" si="12"/>
        <v>225</v>
      </c>
      <c r="BX53" s="769" t="s">
        <v>67</v>
      </c>
      <c r="BY53" s="575">
        <v>1</v>
      </c>
      <c r="BZ53" s="584">
        <f>+IF(BY53="","",(VLOOKUP($C53,'EQUIP RATE SCHEDULE'!$B$11:$F$162,5,FALSE)))</f>
        <v>225</v>
      </c>
      <c r="CA53" s="591"/>
      <c r="CB53" s="613">
        <f t="shared" si="13"/>
        <v>225</v>
      </c>
      <c r="CC53" s="769" t="s">
        <v>67</v>
      </c>
      <c r="CD53" s="575">
        <v>1</v>
      </c>
      <c r="CE53" s="584">
        <f>+IF(CD53="","",(VLOOKUP($C53,'EQUIP RATE SCHEDULE'!$B$11:$F$162,5,FALSE)))</f>
        <v>225</v>
      </c>
      <c r="CF53" s="591"/>
      <c r="CG53" s="613">
        <f t="shared" si="14"/>
        <v>225</v>
      </c>
      <c r="CH53" s="769" t="s">
        <v>67</v>
      </c>
      <c r="CI53" s="575">
        <v>1</v>
      </c>
      <c r="CJ53" s="584">
        <f>+IF(CI53="","",(VLOOKUP($C53,'EQUIP RATE SCHEDULE'!$B$11:$F$162,5,FALSE)))</f>
        <v>225</v>
      </c>
      <c r="CK53" s="591"/>
      <c r="CL53" s="613">
        <f t="shared" si="15"/>
        <v>225</v>
      </c>
      <c r="CM53" s="769" t="s">
        <v>67</v>
      </c>
      <c r="CN53" s="575">
        <v>1</v>
      </c>
      <c r="CO53" s="584">
        <f>+IF(CN53="","",(VLOOKUP($C53,'EQUIP RATE SCHEDULE'!$B$11:$F$162,5,FALSE)))</f>
        <v>225</v>
      </c>
      <c r="CP53" s="591"/>
      <c r="CQ53" s="613">
        <f t="shared" si="16"/>
        <v>225</v>
      </c>
      <c r="CR53" s="769" t="s">
        <v>67</v>
      </c>
      <c r="CS53" s="575">
        <v>1</v>
      </c>
      <c r="CT53" s="584">
        <f>+IF(CS53="","",(VLOOKUP($C53,'EQUIP RATE SCHEDULE'!$B$11:$F$162,5,FALSE)))</f>
        <v>225</v>
      </c>
      <c r="CU53" s="591"/>
      <c r="CV53" s="613">
        <f t="shared" si="17"/>
        <v>225</v>
      </c>
      <c r="CW53" s="769" t="s">
        <v>67</v>
      </c>
      <c r="CX53" s="575">
        <v>1</v>
      </c>
      <c r="CY53" s="584">
        <f>+IF(CX53="","",(VLOOKUP($C53,'EQUIP RATE SCHEDULE'!$B$11:$F$162,5,FALSE)))</f>
        <v>225</v>
      </c>
      <c r="CZ53" s="591"/>
      <c r="DA53" s="613">
        <f t="shared" si="18"/>
        <v>225</v>
      </c>
    </row>
    <row r="54" spans="1:105" ht="15" x14ac:dyDescent="0.25">
      <c r="A54" s="1513"/>
      <c r="B54" s="809" t="s">
        <v>522</v>
      </c>
      <c r="C54" s="776" t="s">
        <v>997</v>
      </c>
      <c r="D54" s="1491" t="s">
        <v>998</v>
      </c>
      <c r="E54" s="1488" t="s">
        <v>999</v>
      </c>
      <c r="F54" s="769" t="s">
        <v>66</v>
      </c>
      <c r="G54" s="575">
        <v>1</v>
      </c>
      <c r="H54" s="584">
        <f>+IF(G54="","",(VLOOKUP($C54,'EQUIP RATE SCHEDULE'!$B$11:$F$162,5,FALSE)))</f>
        <v>40</v>
      </c>
      <c r="I54" s="591"/>
      <c r="J54" s="613">
        <f t="shared" si="19"/>
        <v>40</v>
      </c>
      <c r="K54" s="769" t="s">
        <v>66</v>
      </c>
      <c r="L54" s="575">
        <v>1</v>
      </c>
      <c r="M54" s="584">
        <f>+IF(L54="","",(VLOOKUP($C54,'EQUIP RATE SCHEDULE'!$B$11:$F$162,5,FALSE)))</f>
        <v>40</v>
      </c>
      <c r="N54" s="591"/>
      <c r="O54" s="613">
        <f t="shared" si="20"/>
        <v>40</v>
      </c>
      <c r="P54" s="769" t="s">
        <v>66</v>
      </c>
      <c r="Q54" s="575">
        <v>1</v>
      </c>
      <c r="R54" s="584">
        <f>+IF(Q54="","",(VLOOKUP($C54,'EQUIP RATE SCHEDULE'!$B$11:$F$162,5,FALSE)))</f>
        <v>40</v>
      </c>
      <c r="S54" s="591"/>
      <c r="T54" s="613">
        <f t="shared" si="21"/>
        <v>40</v>
      </c>
      <c r="U54" s="769" t="s">
        <v>66</v>
      </c>
      <c r="V54" s="575">
        <v>1</v>
      </c>
      <c r="W54" s="584">
        <f>+IF(V54="","",(VLOOKUP($C54,'EQUIP RATE SCHEDULE'!$B$11:$F$162,5,FALSE)))</f>
        <v>40</v>
      </c>
      <c r="X54" s="591"/>
      <c r="Y54" s="613">
        <f t="shared" si="22"/>
        <v>40</v>
      </c>
      <c r="Z54" s="769" t="s">
        <v>66</v>
      </c>
      <c r="AA54" s="575">
        <v>1</v>
      </c>
      <c r="AB54" s="584">
        <f>+IF(AA54="","",(VLOOKUP($C54,'EQUIP RATE SCHEDULE'!$B$11:$F$162,5,FALSE)))</f>
        <v>40</v>
      </c>
      <c r="AC54" s="591"/>
      <c r="AD54" s="613">
        <f t="shared" si="23"/>
        <v>40</v>
      </c>
      <c r="AE54" s="769" t="s">
        <v>66</v>
      </c>
      <c r="AF54" s="575">
        <v>1</v>
      </c>
      <c r="AG54" s="584">
        <f>+IF(AF54="","",(VLOOKUP($C54,'EQUIP RATE SCHEDULE'!$B$11:$F$162,5,FALSE)))</f>
        <v>40</v>
      </c>
      <c r="AH54" s="591"/>
      <c r="AI54" s="613">
        <f t="shared" si="24"/>
        <v>40</v>
      </c>
      <c r="AJ54" s="769" t="s">
        <v>66</v>
      </c>
      <c r="AK54" s="575">
        <v>1</v>
      </c>
      <c r="AL54" s="584">
        <f>+IF(AK54="","",(VLOOKUP($C54,'EQUIP RATE SCHEDULE'!$B$11:$F$162,5,FALSE)))</f>
        <v>40</v>
      </c>
      <c r="AM54" s="591"/>
      <c r="AN54" s="613">
        <f t="shared" si="25"/>
        <v>40</v>
      </c>
      <c r="AO54" s="769" t="s">
        <v>66</v>
      </c>
      <c r="AP54" s="575">
        <v>1</v>
      </c>
      <c r="AQ54" s="584">
        <f>+IF(AP54="","",(VLOOKUP($C54,'EQUIP RATE SCHEDULE'!$B$11:$F$162,5,FALSE)))</f>
        <v>40</v>
      </c>
      <c r="AR54" s="591"/>
      <c r="AS54" s="613">
        <f t="shared" si="26"/>
        <v>40</v>
      </c>
      <c r="AT54" s="769" t="s">
        <v>66</v>
      </c>
      <c r="AU54" s="575">
        <v>1</v>
      </c>
      <c r="AV54" s="584">
        <f>+IF(AU54="","",(VLOOKUP($C54,'EQUIP RATE SCHEDULE'!$B$11:$F$162,5,FALSE)))</f>
        <v>40</v>
      </c>
      <c r="AW54" s="591"/>
      <c r="AX54" s="613">
        <f t="shared" si="27"/>
        <v>40</v>
      </c>
      <c r="AY54" s="769" t="s">
        <v>66</v>
      </c>
      <c r="AZ54" s="575">
        <v>1</v>
      </c>
      <c r="BA54" s="584">
        <f>+IF(AZ54="","",(VLOOKUP($C54,'EQUIP RATE SCHEDULE'!$B$11:$F$162,5,FALSE)))</f>
        <v>40</v>
      </c>
      <c r="BB54" s="591"/>
      <c r="BC54" s="613">
        <f t="shared" si="28"/>
        <v>40</v>
      </c>
      <c r="BD54" s="769" t="s">
        <v>66</v>
      </c>
      <c r="BE54" s="575">
        <v>1</v>
      </c>
      <c r="BF54" s="584">
        <f>+IF(BE54="","",(VLOOKUP($C54,'EQUIP RATE SCHEDULE'!$B$11:$F$162,5,FALSE)))</f>
        <v>40</v>
      </c>
      <c r="BG54" s="591"/>
      <c r="BH54" s="613">
        <f t="shared" si="9"/>
        <v>40</v>
      </c>
      <c r="BI54" s="769" t="s">
        <v>66</v>
      </c>
      <c r="BJ54" s="575">
        <v>1</v>
      </c>
      <c r="BK54" s="584">
        <f>+IF(BJ54="","",(VLOOKUP($C54,'EQUIP RATE SCHEDULE'!$B$11:$F$162,5,FALSE)))</f>
        <v>40</v>
      </c>
      <c r="BL54" s="591"/>
      <c r="BM54" s="613">
        <f t="shared" si="10"/>
        <v>40</v>
      </c>
      <c r="BN54" s="769" t="s">
        <v>66</v>
      </c>
      <c r="BO54" s="575">
        <v>1</v>
      </c>
      <c r="BP54" s="584">
        <f>+IF(BO54="","",(VLOOKUP($C54,'EQUIP RATE SCHEDULE'!$B$11:$F$162,5,FALSE)))</f>
        <v>40</v>
      </c>
      <c r="BQ54" s="591"/>
      <c r="BR54" s="613">
        <f t="shared" si="11"/>
        <v>40</v>
      </c>
      <c r="BS54" s="769" t="s">
        <v>66</v>
      </c>
      <c r="BT54" s="575">
        <v>1</v>
      </c>
      <c r="BU54" s="584">
        <f>+IF(BT54="","",(VLOOKUP($C54,'EQUIP RATE SCHEDULE'!$B$11:$F$162,5,FALSE)))</f>
        <v>40</v>
      </c>
      <c r="BV54" s="591"/>
      <c r="BW54" s="613">
        <f t="shared" si="12"/>
        <v>40</v>
      </c>
      <c r="BX54" s="769" t="s">
        <v>66</v>
      </c>
      <c r="BY54" s="575">
        <v>1</v>
      </c>
      <c r="BZ54" s="584">
        <f>+IF(BY54="","",(VLOOKUP($C54,'EQUIP RATE SCHEDULE'!$B$11:$F$162,5,FALSE)))</f>
        <v>40</v>
      </c>
      <c r="CA54" s="591"/>
      <c r="CB54" s="613">
        <f t="shared" si="13"/>
        <v>40</v>
      </c>
      <c r="CC54" s="769" t="s">
        <v>66</v>
      </c>
      <c r="CD54" s="575">
        <v>1</v>
      </c>
      <c r="CE54" s="584">
        <f>+IF(CD54="","",(VLOOKUP($C54,'EQUIP RATE SCHEDULE'!$B$11:$F$162,5,FALSE)))</f>
        <v>40</v>
      </c>
      <c r="CF54" s="591"/>
      <c r="CG54" s="613">
        <f t="shared" si="14"/>
        <v>40</v>
      </c>
      <c r="CH54" s="769" t="s">
        <v>66</v>
      </c>
      <c r="CI54" s="575">
        <v>1</v>
      </c>
      <c r="CJ54" s="584">
        <f>+IF(CI54="","",(VLOOKUP($C54,'EQUIP RATE SCHEDULE'!$B$11:$F$162,5,FALSE)))</f>
        <v>40</v>
      </c>
      <c r="CK54" s="591"/>
      <c r="CL54" s="613">
        <f t="shared" si="15"/>
        <v>40</v>
      </c>
      <c r="CM54" s="769" t="s">
        <v>66</v>
      </c>
      <c r="CN54" s="575">
        <v>1</v>
      </c>
      <c r="CO54" s="584">
        <f>+IF(CN54="","",(VLOOKUP($C54,'EQUIP RATE SCHEDULE'!$B$11:$F$162,5,FALSE)))</f>
        <v>40</v>
      </c>
      <c r="CP54" s="591"/>
      <c r="CQ54" s="613">
        <f t="shared" si="16"/>
        <v>40</v>
      </c>
      <c r="CR54" s="769" t="s">
        <v>66</v>
      </c>
      <c r="CS54" s="575">
        <v>1</v>
      </c>
      <c r="CT54" s="584">
        <f>+IF(CS54="","",(VLOOKUP($C54,'EQUIP RATE SCHEDULE'!$B$11:$F$162,5,FALSE)))</f>
        <v>40</v>
      </c>
      <c r="CU54" s="591"/>
      <c r="CV54" s="613">
        <f t="shared" si="17"/>
        <v>40</v>
      </c>
      <c r="CW54" s="769" t="s">
        <v>66</v>
      </c>
      <c r="CX54" s="575">
        <v>1</v>
      </c>
      <c r="CY54" s="584">
        <f>+IF(CX54="","",(VLOOKUP($C54,'EQUIP RATE SCHEDULE'!$B$11:$F$162,5,FALSE)))</f>
        <v>40</v>
      </c>
      <c r="CZ54" s="591"/>
      <c r="DA54" s="613">
        <f t="shared" si="18"/>
        <v>40</v>
      </c>
    </row>
    <row r="55" spans="1:105" ht="15" x14ac:dyDescent="0.25">
      <c r="A55" s="1513"/>
      <c r="B55" s="809" t="s">
        <v>522</v>
      </c>
      <c r="C55" s="776" t="s">
        <v>1000</v>
      </c>
      <c r="D55" s="1492"/>
      <c r="E55" s="1490"/>
      <c r="F55" s="769" t="s">
        <v>67</v>
      </c>
      <c r="G55" s="575">
        <v>1</v>
      </c>
      <c r="H55" s="584">
        <f>+IF(G55="","",(VLOOKUP($C55,'EQUIP RATE SCHEDULE'!$B$11:$F$162,5,FALSE)))</f>
        <v>120</v>
      </c>
      <c r="I55" s="591"/>
      <c r="J55" s="613">
        <f t="shared" si="19"/>
        <v>120</v>
      </c>
      <c r="K55" s="769" t="s">
        <v>67</v>
      </c>
      <c r="L55" s="575">
        <v>1</v>
      </c>
      <c r="M55" s="584">
        <f>+IF(L55="","",(VLOOKUP($C55,'EQUIP RATE SCHEDULE'!$B$11:$F$162,5,FALSE)))</f>
        <v>120</v>
      </c>
      <c r="N55" s="591"/>
      <c r="O55" s="613">
        <f t="shared" si="20"/>
        <v>120</v>
      </c>
      <c r="P55" s="769" t="s">
        <v>67</v>
      </c>
      <c r="Q55" s="575">
        <v>1</v>
      </c>
      <c r="R55" s="584">
        <f>+IF(Q55="","",(VLOOKUP($C55,'EQUIP RATE SCHEDULE'!$B$11:$F$162,5,FALSE)))</f>
        <v>120</v>
      </c>
      <c r="S55" s="591"/>
      <c r="T55" s="613">
        <f t="shared" si="21"/>
        <v>120</v>
      </c>
      <c r="U55" s="769" t="s">
        <v>67</v>
      </c>
      <c r="V55" s="575">
        <v>1</v>
      </c>
      <c r="W55" s="584">
        <f>+IF(V55="","",(VLOOKUP($C55,'EQUIP RATE SCHEDULE'!$B$11:$F$162,5,FALSE)))</f>
        <v>120</v>
      </c>
      <c r="X55" s="591"/>
      <c r="Y55" s="613">
        <f t="shared" si="22"/>
        <v>120</v>
      </c>
      <c r="Z55" s="769" t="s">
        <v>67</v>
      </c>
      <c r="AA55" s="575">
        <v>1</v>
      </c>
      <c r="AB55" s="584">
        <f>+IF(AA55="","",(VLOOKUP($C55,'EQUIP RATE SCHEDULE'!$B$11:$F$162,5,FALSE)))</f>
        <v>120</v>
      </c>
      <c r="AC55" s="591"/>
      <c r="AD55" s="613">
        <f t="shared" si="23"/>
        <v>120</v>
      </c>
      <c r="AE55" s="769" t="s">
        <v>67</v>
      </c>
      <c r="AF55" s="575">
        <v>1</v>
      </c>
      <c r="AG55" s="584">
        <f>+IF(AF55="","",(VLOOKUP($C55,'EQUIP RATE SCHEDULE'!$B$11:$F$162,5,FALSE)))</f>
        <v>120</v>
      </c>
      <c r="AH55" s="591"/>
      <c r="AI55" s="613">
        <f t="shared" si="24"/>
        <v>120</v>
      </c>
      <c r="AJ55" s="769" t="s">
        <v>67</v>
      </c>
      <c r="AK55" s="575">
        <v>1</v>
      </c>
      <c r="AL55" s="584">
        <f>+IF(AK55="","",(VLOOKUP($C55,'EQUIP RATE SCHEDULE'!$B$11:$F$162,5,FALSE)))</f>
        <v>120</v>
      </c>
      <c r="AM55" s="591"/>
      <c r="AN55" s="613">
        <f t="shared" si="25"/>
        <v>120</v>
      </c>
      <c r="AO55" s="769" t="s">
        <v>67</v>
      </c>
      <c r="AP55" s="575">
        <v>1</v>
      </c>
      <c r="AQ55" s="584">
        <f>+IF(AP55="","",(VLOOKUP($C55,'EQUIP RATE SCHEDULE'!$B$11:$F$162,5,FALSE)))</f>
        <v>120</v>
      </c>
      <c r="AR55" s="591"/>
      <c r="AS55" s="613">
        <f t="shared" si="26"/>
        <v>120</v>
      </c>
      <c r="AT55" s="769" t="s">
        <v>67</v>
      </c>
      <c r="AU55" s="575">
        <v>1</v>
      </c>
      <c r="AV55" s="584">
        <f>+IF(AU55="","",(VLOOKUP($C55,'EQUIP RATE SCHEDULE'!$B$11:$F$162,5,FALSE)))</f>
        <v>120</v>
      </c>
      <c r="AW55" s="591"/>
      <c r="AX55" s="613">
        <f t="shared" si="27"/>
        <v>120</v>
      </c>
      <c r="AY55" s="769" t="s">
        <v>67</v>
      </c>
      <c r="AZ55" s="575">
        <v>1</v>
      </c>
      <c r="BA55" s="584">
        <f>+IF(AZ55="","",(VLOOKUP($C55,'EQUIP RATE SCHEDULE'!$B$11:$F$162,5,FALSE)))</f>
        <v>120</v>
      </c>
      <c r="BB55" s="591"/>
      <c r="BC55" s="613">
        <f t="shared" si="28"/>
        <v>120</v>
      </c>
      <c r="BD55" s="769" t="s">
        <v>67</v>
      </c>
      <c r="BE55" s="575">
        <v>1</v>
      </c>
      <c r="BF55" s="584">
        <f>+IF(BE55="","",(VLOOKUP($C55,'EQUIP RATE SCHEDULE'!$B$11:$F$162,5,FALSE)))</f>
        <v>120</v>
      </c>
      <c r="BG55" s="591"/>
      <c r="BH55" s="613">
        <f t="shared" si="9"/>
        <v>120</v>
      </c>
      <c r="BI55" s="769" t="s">
        <v>67</v>
      </c>
      <c r="BJ55" s="575">
        <v>1</v>
      </c>
      <c r="BK55" s="584">
        <f>+IF(BJ55="","",(VLOOKUP($C55,'EQUIP RATE SCHEDULE'!$B$11:$F$162,5,FALSE)))</f>
        <v>120</v>
      </c>
      <c r="BL55" s="591"/>
      <c r="BM55" s="613">
        <f t="shared" si="10"/>
        <v>120</v>
      </c>
      <c r="BN55" s="769" t="s">
        <v>67</v>
      </c>
      <c r="BO55" s="575">
        <v>1</v>
      </c>
      <c r="BP55" s="584">
        <f>+IF(BO55="","",(VLOOKUP($C55,'EQUIP RATE SCHEDULE'!$B$11:$F$162,5,FALSE)))</f>
        <v>120</v>
      </c>
      <c r="BQ55" s="591"/>
      <c r="BR55" s="613">
        <f t="shared" si="11"/>
        <v>120</v>
      </c>
      <c r="BS55" s="769" t="s">
        <v>67</v>
      </c>
      <c r="BT55" s="575">
        <v>1</v>
      </c>
      <c r="BU55" s="584">
        <f>+IF(BT55="","",(VLOOKUP($C55,'EQUIP RATE SCHEDULE'!$B$11:$F$162,5,FALSE)))</f>
        <v>120</v>
      </c>
      <c r="BV55" s="591"/>
      <c r="BW55" s="613">
        <f t="shared" si="12"/>
        <v>120</v>
      </c>
      <c r="BX55" s="769" t="s">
        <v>67</v>
      </c>
      <c r="BY55" s="575">
        <v>1</v>
      </c>
      <c r="BZ55" s="584">
        <f>+IF(BY55="","",(VLOOKUP($C55,'EQUIP RATE SCHEDULE'!$B$11:$F$162,5,FALSE)))</f>
        <v>120</v>
      </c>
      <c r="CA55" s="591"/>
      <c r="CB55" s="613">
        <f t="shared" si="13"/>
        <v>120</v>
      </c>
      <c r="CC55" s="769" t="s">
        <v>67</v>
      </c>
      <c r="CD55" s="575">
        <v>1</v>
      </c>
      <c r="CE55" s="584">
        <f>+IF(CD55="","",(VLOOKUP($C55,'EQUIP RATE SCHEDULE'!$B$11:$F$162,5,FALSE)))</f>
        <v>120</v>
      </c>
      <c r="CF55" s="591"/>
      <c r="CG55" s="613">
        <f t="shared" si="14"/>
        <v>120</v>
      </c>
      <c r="CH55" s="769" t="s">
        <v>67</v>
      </c>
      <c r="CI55" s="575">
        <v>1</v>
      </c>
      <c r="CJ55" s="584">
        <f>+IF(CI55="","",(VLOOKUP($C55,'EQUIP RATE SCHEDULE'!$B$11:$F$162,5,FALSE)))</f>
        <v>120</v>
      </c>
      <c r="CK55" s="591"/>
      <c r="CL55" s="613">
        <f t="shared" si="15"/>
        <v>120</v>
      </c>
      <c r="CM55" s="769" t="s">
        <v>67</v>
      </c>
      <c r="CN55" s="575">
        <v>1</v>
      </c>
      <c r="CO55" s="584">
        <f>+IF(CN55="","",(VLOOKUP($C55,'EQUIP RATE SCHEDULE'!$B$11:$F$162,5,FALSE)))</f>
        <v>120</v>
      </c>
      <c r="CP55" s="591"/>
      <c r="CQ55" s="613">
        <f t="shared" si="16"/>
        <v>120</v>
      </c>
      <c r="CR55" s="769" t="s">
        <v>67</v>
      </c>
      <c r="CS55" s="575">
        <v>1</v>
      </c>
      <c r="CT55" s="584">
        <f>+IF(CS55="","",(VLOOKUP($C55,'EQUIP RATE SCHEDULE'!$B$11:$F$162,5,FALSE)))</f>
        <v>120</v>
      </c>
      <c r="CU55" s="591"/>
      <c r="CV55" s="613">
        <f t="shared" si="17"/>
        <v>120</v>
      </c>
      <c r="CW55" s="769" t="s">
        <v>67</v>
      </c>
      <c r="CX55" s="575">
        <v>1</v>
      </c>
      <c r="CY55" s="584">
        <f>+IF(CX55="","",(VLOOKUP($C55,'EQUIP RATE SCHEDULE'!$B$11:$F$162,5,FALSE)))</f>
        <v>120</v>
      </c>
      <c r="CZ55" s="591"/>
      <c r="DA55" s="613">
        <f t="shared" si="18"/>
        <v>120</v>
      </c>
    </row>
    <row r="56" spans="1:105" ht="15" x14ac:dyDescent="0.25">
      <c r="A56" s="1513"/>
      <c r="B56" s="809" t="s">
        <v>522</v>
      </c>
      <c r="C56" s="776" t="s">
        <v>1001</v>
      </c>
      <c r="D56" s="779" t="s">
        <v>1228</v>
      </c>
      <c r="E56" s="780" t="s">
        <v>1003</v>
      </c>
      <c r="F56" s="769" t="s">
        <v>920</v>
      </c>
      <c r="G56" s="575">
        <v>1</v>
      </c>
      <c r="H56" s="584">
        <f>+IF(G56="","",(VLOOKUP($C56,'EQUIP RATE SCHEDULE'!$B$11:$F$162,5,FALSE)))</f>
        <v>7</v>
      </c>
      <c r="I56" s="591"/>
      <c r="J56" s="613">
        <f t="shared" si="19"/>
        <v>7</v>
      </c>
      <c r="K56" s="769" t="s">
        <v>920</v>
      </c>
      <c r="L56" s="575">
        <v>1</v>
      </c>
      <c r="M56" s="584">
        <f>+IF(L56="","",(VLOOKUP($C56,'EQUIP RATE SCHEDULE'!$B$11:$F$162,5,FALSE)))</f>
        <v>7</v>
      </c>
      <c r="N56" s="591"/>
      <c r="O56" s="613">
        <f t="shared" si="20"/>
        <v>7</v>
      </c>
      <c r="P56" s="769" t="s">
        <v>920</v>
      </c>
      <c r="Q56" s="575">
        <v>1</v>
      </c>
      <c r="R56" s="584">
        <f>+IF(Q56="","",(VLOOKUP($C56,'EQUIP RATE SCHEDULE'!$B$11:$F$162,5,FALSE)))</f>
        <v>7</v>
      </c>
      <c r="S56" s="591"/>
      <c r="T56" s="613">
        <f t="shared" si="21"/>
        <v>7</v>
      </c>
      <c r="U56" s="769" t="s">
        <v>920</v>
      </c>
      <c r="V56" s="575">
        <v>1</v>
      </c>
      <c r="W56" s="584">
        <f>+IF(V56="","",(VLOOKUP($C56,'EQUIP RATE SCHEDULE'!$B$11:$F$162,5,FALSE)))</f>
        <v>7</v>
      </c>
      <c r="X56" s="591"/>
      <c r="Y56" s="613">
        <f t="shared" si="22"/>
        <v>7</v>
      </c>
      <c r="Z56" s="769" t="s">
        <v>920</v>
      </c>
      <c r="AA56" s="575">
        <v>1</v>
      </c>
      <c r="AB56" s="584">
        <f>+IF(AA56="","",(VLOOKUP($C56,'EQUIP RATE SCHEDULE'!$B$11:$F$162,5,FALSE)))</f>
        <v>7</v>
      </c>
      <c r="AC56" s="591"/>
      <c r="AD56" s="613">
        <f t="shared" si="23"/>
        <v>7</v>
      </c>
      <c r="AE56" s="769" t="s">
        <v>920</v>
      </c>
      <c r="AF56" s="575">
        <v>1</v>
      </c>
      <c r="AG56" s="584">
        <f>+IF(AF56="","",(VLOOKUP($C56,'EQUIP RATE SCHEDULE'!$B$11:$F$162,5,FALSE)))</f>
        <v>7</v>
      </c>
      <c r="AH56" s="591"/>
      <c r="AI56" s="613">
        <f t="shared" si="24"/>
        <v>7</v>
      </c>
      <c r="AJ56" s="769" t="s">
        <v>920</v>
      </c>
      <c r="AK56" s="575">
        <v>1</v>
      </c>
      <c r="AL56" s="584">
        <f>+IF(AK56="","",(VLOOKUP($C56,'EQUIP RATE SCHEDULE'!$B$11:$F$162,5,FALSE)))</f>
        <v>7</v>
      </c>
      <c r="AM56" s="591"/>
      <c r="AN56" s="613">
        <f t="shared" si="25"/>
        <v>7</v>
      </c>
      <c r="AO56" s="769" t="s">
        <v>920</v>
      </c>
      <c r="AP56" s="575">
        <v>1</v>
      </c>
      <c r="AQ56" s="584">
        <f>+IF(AP56="","",(VLOOKUP($C56,'EQUIP RATE SCHEDULE'!$B$11:$F$162,5,FALSE)))</f>
        <v>7</v>
      </c>
      <c r="AR56" s="591"/>
      <c r="AS56" s="613">
        <f t="shared" si="26"/>
        <v>7</v>
      </c>
      <c r="AT56" s="769" t="s">
        <v>920</v>
      </c>
      <c r="AU56" s="575">
        <v>1</v>
      </c>
      <c r="AV56" s="584">
        <f>+IF(AU56="","",(VLOOKUP($C56,'EQUIP RATE SCHEDULE'!$B$11:$F$162,5,FALSE)))</f>
        <v>7</v>
      </c>
      <c r="AW56" s="591"/>
      <c r="AX56" s="613">
        <f t="shared" si="27"/>
        <v>7</v>
      </c>
      <c r="AY56" s="769" t="s">
        <v>920</v>
      </c>
      <c r="AZ56" s="575">
        <v>1</v>
      </c>
      <c r="BA56" s="584">
        <f>+IF(AZ56="","",(VLOOKUP($C56,'EQUIP RATE SCHEDULE'!$B$11:$F$162,5,FALSE)))</f>
        <v>7</v>
      </c>
      <c r="BB56" s="591"/>
      <c r="BC56" s="613">
        <f t="shared" si="28"/>
        <v>7</v>
      </c>
      <c r="BD56" s="769" t="s">
        <v>920</v>
      </c>
      <c r="BE56" s="575">
        <v>1</v>
      </c>
      <c r="BF56" s="584">
        <f>+IF(BE56="","",(VLOOKUP($C56,'EQUIP RATE SCHEDULE'!$B$11:$F$162,5,FALSE)))</f>
        <v>7</v>
      </c>
      <c r="BG56" s="591"/>
      <c r="BH56" s="613">
        <f t="shared" si="9"/>
        <v>7</v>
      </c>
      <c r="BI56" s="769" t="s">
        <v>920</v>
      </c>
      <c r="BJ56" s="575">
        <v>1</v>
      </c>
      <c r="BK56" s="584">
        <f>+IF(BJ56="","",(VLOOKUP($C56,'EQUIP RATE SCHEDULE'!$B$11:$F$162,5,FALSE)))</f>
        <v>7</v>
      </c>
      <c r="BL56" s="591"/>
      <c r="BM56" s="613">
        <f t="shared" si="10"/>
        <v>7</v>
      </c>
      <c r="BN56" s="769" t="s">
        <v>920</v>
      </c>
      <c r="BO56" s="575">
        <v>1</v>
      </c>
      <c r="BP56" s="584">
        <f>+IF(BO56="","",(VLOOKUP($C56,'EQUIP RATE SCHEDULE'!$B$11:$F$162,5,FALSE)))</f>
        <v>7</v>
      </c>
      <c r="BQ56" s="591"/>
      <c r="BR56" s="613">
        <f t="shared" si="11"/>
        <v>7</v>
      </c>
      <c r="BS56" s="769" t="s">
        <v>920</v>
      </c>
      <c r="BT56" s="575">
        <v>1</v>
      </c>
      <c r="BU56" s="584">
        <f>+IF(BT56="","",(VLOOKUP($C56,'EQUIP RATE SCHEDULE'!$B$11:$F$162,5,FALSE)))</f>
        <v>7</v>
      </c>
      <c r="BV56" s="591"/>
      <c r="BW56" s="613">
        <f t="shared" si="12"/>
        <v>7</v>
      </c>
      <c r="BX56" s="769" t="s">
        <v>920</v>
      </c>
      <c r="BY56" s="575">
        <v>1</v>
      </c>
      <c r="BZ56" s="584">
        <f>+IF(BY56="","",(VLOOKUP($C56,'EQUIP RATE SCHEDULE'!$B$11:$F$162,5,FALSE)))</f>
        <v>7</v>
      </c>
      <c r="CA56" s="591"/>
      <c r="CB56" s="613">
        <f t="shared" si="13"/>
        <v>7</v>
      </c>
      <c r="CC56" s="769" t="s">
        <v>920</v>
      </c>
      <c r="CD56" s="575">
        <v>1</v>
      </c>
      <c r="CE56" s="584">
        <f>+IF(CD56="","",(VLOOKUP($C56,'EQUIP RATE SCHEDULE'!$B$11:$F$162,5,FALSE)))</f>
        <v>7</v>
      </c>
      <c r="CF56" s="591"/>
      <c r="CG56" s="613">
        <f t="shared" si="14"/>
        <v>7</v>
      </c>
      <c r="CH56" s="769" t="s">
        <v>920</v>
      </c>
      <c r="CI56" s="575">
        <v>1</v>
      </c>
      <c r="CJ56" s="584">
        <f>+IF(CI56="","",(VLOOKUP($C56,'EQUIP RATE SCHEDULE'!$B$11:$F$162,5,FALSE)))</f>
        <v>7</v>
      </c>
      <c r="CK56" s="591"/>
      <c r="CL56" s="613">
        <f t="shared" si="15"/>
        <v>7</v>
      </c>
      <c r="CM56" s="769" t="s">
        <v>920</v>
      </c>
      <c r="CN56" s="575">
        <v>1</v>
      </c>
      <c r="CO56" s="584">
        <f>+IF(CN56="","",(VLOOKUP($C56,'EQUIP RATE SCHEDULE'!$B$11:$F$162,5,FALSE)))</f>
        <v>7</v>
      </c>
      <c r="CP56" s="591"/>
      <c r="CQ56" s="613">
        <f t="shared" si="16"/>
        <v>7</v>
      </c>
      <c r="CR56" s="769" t="s">
        <v>920</v>
      </c>
      <c r="CS56" s="575">
        <v>1</v>
      </c>
      <c r="CT56" s="584">
        <f>+IF(CS56="","",(VLOOKUP($C56,'EQUIP RATE SCHEDULE'!$B$11:$F$162,5,FALSE)))</f>
        <v>7</v>
      </c>
      <c r="CU56" s="591"/>
      <c r="CV56" s="613">
        <f t="shared" si="17"/>
        <v>7</v>
      </c>
      <c r="CW56" s="769" t="s">
        <v>920</v>
      </c>
      <c r="CX56" s="575"/>
      <c r="CY56" s="584" t="str">
        <f>+IF(CX56="","",(VLOOKUP($C56,'EQUIP RATE SCHEDULE'!$B$11:$F$162,5,FALSE)))</f>
        <v/>
      </c>
      <c r="CZ56" s="591"/>
      <c r="DA56" s="613" t="str">
        <f t="shared" si="18"/>
        <v/>
      </c>
    </row>
    <row r="57" spans="1:105" ht="15" x14ac:dyDescent="0.25">
      <c r="A57" s="1513"/>
      <c r="B57" s="809" t="s">
        <v>522</v>
      </c>
      <c r="C57" s="776" t="s">
        <v>1004</v>
      </c>
      <c r="D57" s="779" t="s">
        <v>1229</v>
      </c>
      <c r="E57" s="780" t="s">
        <v>1006</v>
      </c>
      <c r="F57" s="769" t="s">
        <v>920</v>
      </c>
      <c r="G57" s="575">
        <v>1</v>
      </c>
      <c r="H57" s="584">
        <f>+IF(G57="","",(VLOOKUP($C57,'EQUIP RATE SCHEDULE'!$B$11:$F$162,5,FALSE)))</f>
        <v>15</v>
      </c>
      <c r="I57" s="591"/>
      <c r="J57" s="613">
        <f t="shared" si="19"/>
        <v>15</v>
      </c>
      <c r="K57" s="769" t="s">
        <v>920</v>
      </c>
      <c r="L57" s="575">
        <v>1</v>
      </c>
      <c r="M57" s="584">
        <f>+IF(L57="","",(VLOOKUP($C57,'EQUIP RATE SCHEDULE'!$B$11:$F$162,5,FALSE)))</f>
        <v>15</v>
      </c>
      <c r="N57" s="591"/>
      <c r="O57" s="613">
        <f t="shared" si="20"/>
        <v>15</v>
      </c>
      <c r="P57" s="769" t="s">
        <v>920</v>
      </c>
      <c r="Q57" s="575">
        <v>1</v>
      </c>
      <c r="R57" s="584">
        <f>+IF(Q57="","",(VLOOKUP($C57,'EQUIP RATE SCHEDULE'!$B$11:$F$162,5,FALSE)))</f>
        <v>15</v>
      </c>
      <c r="S57" s="591"/>
      <c r="T57" s="613">
        <f t="shared" si="21"/>
        <v>15</v>
      </c>
      <c r="U57" s="769" t="s">
        <v>920</v>
      </c>
      <c r="V57" s="575">
        <v>1</v>
      </c>
      <c r="W57" s="584">
        <f>+IF(V57="","",(VLOOKUP($C57,'EQUIP RATE SCHEDULE'!$B$11:$F$162,5,FALSE)))</f>
        <v>15</v>
      </c>
      <c r="X57" s="591"/>
      <c r="Y57" s="613">
        <f t="shared" si="22"/>
        <v>15</v>
      </c>
      <c r="Z57" s="769" t="s">
        <v>920</v>
      </c>
      <c r="AA57" s="575">
        <v>1</v>
      </c>
      <c r="AB57" s="584">
        <f>+IF(AA57="","",(VLOOKUP($C57,'EQUIP RATE SCHEDULE'!$B$11:$F$162,5,FALSE)))</f>
        <v>15</v>
      </c>
      <c r="AC57" s="591"/>
      <c r="AD57" s="613">
        <f t="shared" si="23"/>
        <v>15</v>
      </c>
      <c r="AE57" s="769" t="s">
        <v>920</v>
      </c>
      <c r="AF57" s="575">
        <v>1</v>
      </c>
      <c r="AG57" s="584">
        <f>+IF(AF57="","",(VLOOKUP($C57,'EQUIP RATE SCHEDULE'!$B$11:$F$162,5,FALSE)))</f>
        <v>15</v>
      </c>
      <c r="AH57" s="591"/>
      <c r="AI57" s="613">
        <f t="shared" si="24"/>
        <v>15</v>
      </c>
      <c r="AJ57" s="769" t="s">
        <v>920</v>
      </c>
      <c r="AK57" s="575">
        <v>1</v>
      </c>
      <c r="AL57" s="584">
        <f>+IF(AK57="","",(VLOOKUP($C57,'EQUIP RATE SCHEDULE'!$B$11:$F$162,5,FALSE)))</f>
        <v>15</v>
      </c>
      <c r="AM57" s="591"/>
      <c r="AN57" s="613">
        <f t="shared" si="25"/>
        <v>15</v>
      </c>
      <c r="AO57" s="769" t="s">
        <v>920</v>
      </c>
      <c r="AP57" s="575">
        <v>1</v>
      </c>
      <c r="AQ57" s="584">
        <f>+IF(AP57="","",(VLOOKUP($C57,'EQUIP RATE SCHEDULE'!$B$11:$F$162,5,FALSE)))</f>
        <v>15</v>
      </c>
      <c r="AR57" s="591"/>
      <c r="AS57" s="613">
        <f t="shared" si="26"/>
        <v>15</v>
      </c>
      <c r="AT57" s="769" t="s">
        <v>920</v>
      </c>
      <c r="AU57" s="575">
        <v>1</v>
      </c>
      <c r="AV57" s="584">
        <f>+IF(AU57="","",(VLOOKUP($C57,'EQUIP RATE SCHEDULE'!$B$11:$F$162,5,FALSE)))</f>
        <v>15</v>
      </c>
      <c r="AW57" s="591"/>
      <c r="AX57" s="613">
        <f t="shared" si="27"/>
        <v>15</v>
      </c>
      <c r="AY57" s="769" t="s">
        <v>920</v>
      </c>
      <c r="AZ57" s="575">
        <v>1</v>
      </c>
      <c r="BA57" s="584">
        <f>+IF(AZ57="","",(VLOOKUP($C57,'EQUIP RATE SCHEDULE'!$B$11:$F$162,5,FALSE)))</f>
        <v>15</v>
      </c>
      <c r="BB57" s="591"/>
      <c r="BC57" s="613">
        <f t="shared" si="28"/>
        <v>15</v>
      </c>
      <c r="BD57" s="769" t="s">
        <v>920</v>
      </c>
      <c r="BE57" s="575">
        <v>1</v>
      </c>
      <c r="BF57" s="584">
        <f>+IF(BE57="","",(VLOOKUP($C57,'EQUIP RATE SCHEDULE'!$B$11:$F$162,5,FALSE)))</f>
        <v>15</v>
      </c>
      <c r="BG57" s="591"/>
      <c r="BH57" s="613">
        <f t="shared" si="9"/>
        <v>15</v>
      </c>
      <c r="BI57" s="769" t="s">
        <v>920</v>
      </c>
      <c r="BJ57" s="575">
        <v>1</v>
      </c>
      <c r="BK57" s="584">
        <f>+IF(BJ57="","",(VLOOKUP($C57,'EQUIP RATE SCHEDULE'!$B$11:$F$162,5,FALSE)))</f>
        <v>15</v>
      </c>
      <c r="BL57" s="591"/>
      <c r="BM57" s="613">
        <f t="shared" si="10"/>
        <v>15</v>
      </c>
      <c r="BN57" s="769" t="s">
        <v>920</v>
      </c>
      <c r="BO57" s="575">
        <v>1</v>
      </c>
      <c r="BP57" s="584">
        <f>+IF(BO57="","",(VLOOKUP($C57,'EQUIP RATE SCHEDULE'!$B$11:$F$162,5,FALSE)))</f>
        <v>15</v>
      </c>
      <c r="BQ57" s="591"/>
      <c r="BR57" s="613">
        <f t="shared" si="11"/>
        <v>15</v>
      </c>
      <c r="BS57" s="769" t="s">
        <v>920</v>
      </c>
      <c r="BT57" s="575">
        <v>1</v>
      </c>
      <c r="BU57" s="584">
        <f>+IF(BT57="","",(VLOOKUP($C57,'EQUIP RATE SCHEDULE'!$B$11:$F$162,5,FALSE)))</f>
        <v>15</v>
      </c>
      <c r="BV57" s="591"/>
      <c r="BW57" s="613">
        <f t="shared" si="12"/>
        <v>15</v>
      </c>
      <c r="BX57" s="769" t="s">
        <v>920</v>
      </c>
      <c r="BY57" s="575">
        <v>1</v>
      </c>
      <c r="BZ57" s="584">
        <f>+IF(BY57="","",(VLOOKUP($C57,'EQUIP RATE SCHEDULE'!$B$11:$F$162,5,FALSE)))</f>
        <v>15</v>
      </c>
      <c r="CA57" s="591"/>
      <c r="CB57" s="613">
        <f t="shared" si="13"/>
        <v>15</v>
      </c>
      <c r="CC57" s="769" t="s">
        <v>920</v>
      </c>
      <c r="CD57" s="575">
        <v>1</v>
      </c>
      <c r="CE57" s="584">
        <f>+IF(CD57="","",(VLOOKUP($C57,'EQUIP RATE SCHEDULE'!$B$11:$F$162,5,FALSE)))</f>
        <v>15</v>
      </c>
      <c r="CF57" s="591"/>
      <c r="CG57" s="613">
        <f t="shared" si="14"/>
        <v>15</v>
      </c>
      <c r="CH57" s="769" t="s">
        <v>920</v>
      </c>
      <c r="CI57" s="575">
        <v>1</v>
      </c>
      <c r="CJ57" s="584">
        <f>+IF(CI57="","",(VLOOKUP($C57,'EQUIP RATE SCHEDULE'!$B$11:$F$162,5,FALSE)))</f>
        <v>15</v>
      </c>
      <c r="CK57" s="591"/>
      <c r="CL57" s="613">
        <f t="shared" si="15"/>
        <v>15</v>
      </c>
      <c r="CM57" s="769" t="s">
        <v>920</v>
      </c>
      <c r="CN57" s="575">
        <v>1</v>
      </c>
      <c r="CO57" s="584">
        <f>+IF(CN57="","",(VLOOKUP($C57,'EQUIP RATE SCHEDULE'!$B$11:$F$162,5,FALSE)))</f>
        <v>15</v>
      </c>
      <c r="CP57" s="591"/>
      <c r="CQ57" s="613">
        <f t="shared" si="16"/>
        <v>15</v>
      </c>
      <c r="CR57" s="769" t="s">
        <v>920</v>
      </c>
      <c r="CS57" s="575">
        <v>1</v>
      </c>
      <c r="CT57" s="584">
        <f>+IF(CS57="","",(VLOOKUP($C57,'EQUIP RATE SCHEDULE'!$B$11:$F$162,5,FALSE)))</f>
        <v>15</v>
      </c>
      <c r="CU57" s="591"/>
      <c r="CV57" s="613">
        <f t="shared" si="17"/>
        <v>15</v>
      </c>
      <c r="CW57" s="769" t="s">
        <v>920</v>
      </c>
      <c r="CX57" s="575">
        <v>1</v>
      </c>
      <c r="CY57" s="584">
        <f>+IF(CX57="","",(VLOOKUP($C57,'EQUIP RATE SCHEDULE'!$B$11:$F$162,5,FALSE)))</f>
        <v>15</v>
      </c>
      <c r="CZ57" s="591"/>
      <c r="DA57" s="613">
        <f t="shared" si="18"/>
        <v>15</v>
      </c>
    </row>
    <row r="58" spans="1:105" ht="15" x14ac:dyDescent="0.25">
      <c r="A58" s="1513"/>
      <c r="B58" s="809" t="s">
        <v>522</v>
      </c>
      <c r="C58" s="776" t="s">
        <v>1007</v>
      </c>
      <c r="D58" s="779" t="s">
        <v>1008</v>
      </c>
      <c r="E58" s="780" t="s">
        <v>1009</v>
      </c>
      <c r="F58" s="769" t="s">
        <v>920</v>
      </c>
      <c r="G58" s="575">
        <v>1</v>
      </c>
      <c r="H58" s="584">
        <f>+IF(G58="","",(VLOOKUP($C58,'EQUIP RATE SCHEDULE'!$B$11:$F$162,5,FALSE)))</f>
        <v>35</v>
      </c>
      <c r="I58" s="591"/>
      <c r="J58" s="613">
        <f t="shared" si="19"/>
        <v>35</v>
      </c>
      <c r="K58" s="769" t="s">
        <v>920</v>
      </c>
      <c r="L58" s="575">
        <v>1</v>
      </c>
      <c r="M58" s="584">
        <f>+IF(L58="","",(VLOOKUP($C58,'EQUIP RATE SCHEDULE'!$B$11:$F$162,5,FALSE)))</f>
        <v>35</v>
      </c>
      <c r="N58" s="591"/>
      <c r="O58" s="613">
        <f t="shared" si="20"/>
        <v>35</v>
      </c>
      <c r="P58" s="769" t="s">
        <v>920</v>
      </c>
      <c r="Q58" s="575">
        <v>1</v>
      </c>
      <c r="R58" s="584">
        <f>+IF(Q58="","",(VLOOKUP($C58,'EQUIP RATE SCHEDULE'!$B$11:$F$162,5,FALSE)))</f>
        <v>35</v>
      </c>
      <c r="S58" s="591"/>
      <c r="T58" s="613">
        <f t="shared" si="21"/>
        <v>35</v>
      </c>
      <c r="U58" s="769" t="s">
        <v>920</v>
      </c>
      <c r="V58" s="575">
        <v>1</v>
      </c>
      <c r="W58" s="584">
        <f>+IF(V58="","",(VLOOKUP($C58,'EQUIP RATE SCHEDULE'!$B$11:$F$162,5,FALSE)))</f>
        <v>35</v>
      </c>
      <c r="X58" s="591"/>
      <c r="Y58" s="613">
        <f t="shared" si="22"/>
        <v>35</v>
      </c>
      <c r="Z58" s="769" t="s">
        <v>920</v>
      </c>
      <c r="AA58" s="575">
        <v>1</v>
      </c>
      <c r="AB58" s="584">
        <f>+IF(AA58="","",(VLOOKUP($C58,'EQUIP RATE SCHEDULE'!$B$11:$F$162,5,FALSE)))</f>
        <v>35</v>
      </c>
      <c r="AC58" s="591"/>
      <c r="AD58" s="613">
        <f t="shared" si="23"/>
        <v>35</v>
      </c>
      <c r="AE58" s="769" t="s">
        <v>920</v>
      </c>
      <c r="AF58" s="575">
        <v>1</v>
      </c>
      <c r="AG58" s="584">
        <f>+IF(AF58="","",(VLOOKUP($C58,'EQUIP RATE SCHEDULE'!$B$11:$F$162,5,FALSE)))</f>
        <v>35</v>
      </c>
      <c r="AH58" s="591"/>
      <c r="AI58" s="613">
        <f t="shared" si="24"/>
        <v>35</v>
      </c>
      <c r="AJ58" s="769" t="s">
        <v>920</v>
      </c>
      <c r="AK58" s="575">
        <v>1</v>
      </c>
      <c r="AL58" s="584">
        <f>+IF(AK58="","",(VLOOKUP($C58,'EQUIP RATE SCHEDULE'!$B$11:$F$162,5,FALSE)))</f>
        <v>35</v>
      </c>
      <c r="AM58" s="591"/>
      <c r="AN58" s="613">
        <f t="shared" si="25"/>
        <v>35</v>
      </c>
      <c r="AO58" s="769" t="s">
        <v>920</v>
      </c>
      <c r="AP58" s="575">
        <v>1</v>
      </c>
      <c r="AQ58" s="584">
        <f>+IF(AP58="","",(VLOOKUP($C58,'EQUIP RATE SCHEDULE'!$B$11:$F$162,5,FALSE)))</f>
        <v>35</v>
      </c>
      <c r="AR58" s="591"/>
      <c r="AS58" s="613">
        <f t="shared" si="26"/>
        <v>35</v>
      </c>
      <c r="AT58" s="769" t="s">
        <v>920</v>
      </c>
      <c r="AU58" s="575">
        <v>1</v>
      </c>
      <c r="AV58" s="584">
        <f>+IF(AU58="","",(VLOOKUP($C58,'EQUIP RATE SCHEDULE'!$B$11:$F$162,5,FALSE)))</f>
        <v>35</v>
      </c>
      <c r="AW58" s="591"/>
      <c r="AX58" s="613">
        <f t="shared" si="27"/>
        <v>35</v>
      </c>
      <c r="AY58" s="769" t="s">
        <v>920</v>
      </c>
      <c r="AZ58" s="575">
        <v>1</v>
      </c>
      <c r="BA58" s="584">
        <f>+IF(AZ58="","",(VLOOKUP($C58,'EQUIP RATE SCHEDULE'!$B$11:$F$162,5,FALSE)))</f>
        <v>35</v>
      </c>
      <c r="BB58" s="591"/>
      <c r="BC58" s="613">
        <f t="shared" si="28"/>
        <v>35</v>
      </c>
      <c r="BD58" s="769" t="s">
        <v>920</v>
      </c>
      <c r="BE58" s="575">
        <v>1</v>
      </c>
      <c r="BF58" s="584">
        <f>+IF(BE58="","",(VLOOKUP($C58,'EQUIP RATE SCHEDULE'!$B$11:$F$162,5,FALSE)))</f>
        <v>35</v>
      </c>
      <c r="BG58" s="591"/>
      <c r="BH58" s="613">
        <f t="shared" si="9"/>
        <v>35</v>
      </c>
      <c r="BI58" s="769" t="s">
        <v>920</v>
      </c>
      <c r="BJ58" s="575">
        <v>1</v>
      </c>
      <c r="BK58" s="584">
        <f>+IF(BJ58="","",(VLOOKUP($C58,'EQUIP RATE SCHEDULE'!$B$11:$F$162,5,FALSE)))</f>
        <v>35</v>
      </c>
      <c r="BL58" s="591"/>
      <c r="BM58" s="613">
        <f t="shared" si="10"/>
        <v>35</v>
      </c>
      <c r="BN58" s="769" t="s">
        <v>920</v>
      </c>
      <c r="BO58" s="575">
        <v>1</v>
      </c>
      <c r="BP58" s="584">
        <f>+IF(BO58="","",(VLOOKUP($C58,'EQUIP RATE SCHEDULE'!$B$11:$F$162,5,FALSE)))</f>
        <v>35</v>
      </c>
      <c r="BQ58" s="591"/>
      <c r="BR58" s="613">
        <f t="shared" si="11"/>
        <v>35</v>
      </c>
      <c r="BS58" s="769" t="s">
        <v>920</v>
      </c>
      <c r="BT58" s="575">
        <v>1</v>
      </c>
      <c r="BU58" s="584">
        <f>+IF(BT58="","",(VLOOKUP($C58,'EQUIP RATE SCHEDULE'!$B$11:$F$162,5,FALSE)))</f>
        <v>35</v>
      </c>
      <c r="BV58" s="591"/>
      <c r="BW58" s="613">
        <f t="shared" si="12"/>
        <v>35</v>
      </c>
      <c r="BX58" s="769" t="s">
        <v>920</v>
      </c>
      <c r="BY58" s="575">
        <v>1</v>
      </c>
      <c r="BZ58" s="584">
        <f>+IF(BY58="","",(VLOOKUP($C58,'EQUIP RATE SCHEDULE'!$B$11:$F$162,5,FALSE)))</f>
        <v>35</v>
      </c>
      <c r="CA58" s="591"/>
      <c r="CB58" s="613">
        <f t="shared" si="13"/>
        <v>35</v>
      </c>
      <c r="CC58" s="769" t="s">
        <v>920</v>
      </c>
      <c r="CD58" s="575">
        <v>1</v>
      </c>
      <c r="CE58" s="584">
        <f>+IF(CD58="","",(VLOOKUP($C58,'EQUIP RATE SCHEDULE'!$B$11:$F$162,5,FALSE)))</f>
        <v>35</v>
      </c>
      <c r="CF58" s="591"/>
      <c r="CG58" s="613">
        <f t="shared" si="14"/>
        <v>35</v>
      </c>
      <c r="CH58" s="769" t="s">
        <v>920</v>
      </c>
      <c r="CI58" s="575">
        <v>1</v>
      </c>
      <c r="CJ58" s="584">
        <f>+IF(CI58="","",(VLOOKUP($C58,'EQUIP RATE SCHEDULE'!$B$11:$F$162,5,FALSE)))</f>
        <v>35</v>
      </c>
      <c r="CK58" s="591"/>
      <c r="CL58" s="613">
        <f t="shared" si="15"/>
        <v>35</v>
      </c>
      <c r="CM58" s="769" t="s">
        <v>920</v>
      </c>
      <c r="CN58" s="575">
        <v>1</v>
      </c>
      <c r="CO58" s="584">
        <f>+IF(CN58="","",(VLOOKUP($C58,'EQUIP RATE SCHEDULE'!$B$11:$F$162,5,FALSE)))</f>
        <v>35</v>
      </c>
      <c r="CP58" s="591"/>
      <c r="CQ58" s="613">
        <f t="shared" si="16"/>
        <v>35</v>
      </c>
      <c r="CR58" s="769" t="s">
        <v>920</v>
      </c>
      <c r="CS58" s="575">
        <v>1</v>
      </c>
      <c r="CT58" s="584">
        <f>+IF(CS58="","",(VLOOKUP($C58,'EQUIP RATE SCHEDULE'!$B$11:$F$162,5,FALSE)))</f>
        <v>35</v>
      </c>
      <c r="CU58" s="591"/>
      <c r="CV58" s="613">
        <f t="shared" si="17"/>
        <v>35</v>
      </c>
      <c r="CW58" s="769" t="s">
        <v>920</v>
      </c>
      <c r="CX58" s="575"/>
      <c r="CY58" s="584" t="str">
        <f>+IF(CX58="","",(VLOOKUP($C58,'EQUIP RATE SCHEDULE'!$B$11:$F$162,5,FALSE)))</f>
        <v/>
      </c>
      <c r="CZ58" s="591"/>
      <c r="DA58" s="613" t="str">
        <f t="shared" si="18"/>
        <v/>
      </c>
    </row>
    <row r="59" spans="1:105" ht="15" x14ac:dyDescent="0.25">
      <c r="A59" s="1513"/>
      <c r="B59" s="809" t="s">
        <v>522</v>
      </c>
      <c r="C59" s="776" t="s">
        <v>1010</v>
      </c>
      <c r="D59" s="779" t="s">
        <v>1008</v>
      </c>
      <c r="E59" s="780" t="s">
        <v>1011</v>
      </c>
      <c r="F59" s="769" t="s">
        <v>920</v>
      </c>
      <c r="G59" s="575">
        <v>1</v>
      </c>
      <c r="H59" s="584">
        <f>+IF(G59="","",(VLOOKUP($C59,'EQUIP RATE SCHEDULE'!$B$11:$F$162,5,FALSE)))</f>
        <v>25</v>
      </c>
      <c r="I59" s="591"/>
      <c r="J59" s="613">
        <f t="shared" si="19"/>
        <v>25</v>
      </c>
      <c r="K59" s="769" t="s">
        <v>920</v>
      </c>
      <c r="L59" s="575">
        <v>1</v>
      </c>
      <c r="M59" s="584">
        <f>+IF(L59="","",(VLOOKUP($C59,'EQUIP RATE SCHEDULE'!$B$11:$F$162,5,FALSE)))</f>
        <v>25</v>
      </c>
      <c r="N59" s="591"/>
      <c r="O59" s="613">
        <f t="shared" si="20"/>
        <v>25</v>
      </c>
      <c r="P59" s="769" t="s">
        <v>920</v>
      </c>
      <c r="Q59" s="575">
        <v>1</v>
      </c>
      <c r="R59" s="584">
        <f>+IF(Q59="","",(VLOOKUP($C59,'EQUIP RATE SCHEDULE'!$B$11:$F$162,5,FALSE)))</f>
        <v>25</v>
      </c>
      <c r="S59" s="591"/>
      <c r="T59" s="613">
        <f t="shared" si="21"/>
        <v>25</v>
      </c>
      <c r="U59" s="769" t="s">
        <v>920</v>
      </c>
      <c r="V59" s="575">
        <v>1</v>
      </c>
      <c r="W59" s="584">
        <f>+IF(V59="","",(VLOOKUP($C59,'EQUIP RATE SCHEDULE'!$B$11:$F$162,5,FALSE)))</f>
        <v>25</v>
      </c>
      <c r="X59" s="591"/>
      <c r="Y59" s="613">
        <f t="shared" si="22"/>
        <v>25</v>
      </c>
      <c r="Z59" s="769" t="s">
        <v>920</v>
      </c>
      <c r="AA59" s="575">
        <v>1</v>
      </c>
      <c r="AB59" s="584">
        <f>+IF(AA59="","",(VLOOKUP($C59,'EQUIP RATE SCHEDULE'!$B$11:$F$162,5,FALSE)))</f>
        <v>25</v>
      </c>
      <c r="AC59" s="591"/>
      <c r="AD59" s="613">
        <f t="shared" si="23"/>
        <v>25</v>
      </c>
      <c r="AE59" s="769" t="s">
        <v>920</v>
      </c>
      <c r="AF59" s="575">
        <v>1</v>
      </c>
      <c r="AG59" s="584">
        <f>+IF(AF59="","",(VLOOKUP($C59,'EQUIP RATE SCHEDULE'!$B$11:$F$162,5,FALSE)))</f>
        <v>25</v>
      </c>
      <c r="AH59" s="591"/>
      <c r="AI59" s="613">
        <f t="shared" si="24"/>
        <v>25</v>
      </c>
      <c r="AJ59" s="769" t="s">
        <v>920</v>
      </c>
      <c r="AK59" s="575">
        <v>1</v>
      </c>
      <c r="AL59" s="584">
        <f>+IF(AK59="","",(VLOOKUP($C59,'EQUIP RATE SCHEDULE'!$B$11:$F$162,5,FALSE)))</f>
        <v>25</v>
      </c>
      <c r="AM59" s="591"/>
      <c r="AN59" s="613">
        <f t="shared" si="25"/>
        <v>25</v>
      </c>
      <c r="AO59" s="769" t="s">
        <v>920</v>
      </c>
      <c r="AP59" s="575">
        <v>1</v>
      </c>
      <c r="AQ59" s="584">
        <f>+IF(AP59="","",(VLOOKUP($C59,'EQUIP RATE SCHEDULE'!$B$11:$F$162,5,FALSE)))</f>
        <v>25</v>
      </c>
      <c r="AR59" s="591"/>
      <c r="AS59" s="613">
        <f t="shared" si="26"/>
        <v>25</v>
      </c>
      <c r="AT59" s="769" t="s">
        <v>920</v>
      </c>
      <c r="AU59" s="575">
        <v>1</v>
      </c>
      <c r="AV59" s="584">
        <f>+IF(AU59="","",(VLOOKUP($C59,'EQUIP RATE SCHEDULE'!$B$11:$F$162,5,FALSE)))</f>
        <v>25</v>
      </c>
      <c r="AW59" s="591"/>
      <c r="AX59" s="613">
        <f t="shared" si="27"/>
        <v>25</v>
      </c>
      <c r="AY59" s="769" t="s">
        <v>920</v>
      </c>
      <c r="AZ59" s="575">
        <v>1</v>
      </c>
      <c r="BA59" s="584">
        <f>+IF(AZ59="","",(VLOOKUP($C59,'EQUIP RATE SCHEDULE'!$B$11:$F$162,5,FALSE)))</f>
        <v>25</v>
      </c>
      <c r="BB59" s="591"/>
      <c r="BC59" s="613">
        <f t="shared" si="28"/>
        <v>25</v>
      </c>
      <c r="BD59" s="769" t="s">
        <v>920</v>
      </c>
      <c r="BE59" s="575">
        <v>1</v>
      </c>
      <c r="BF59" s="584">
        <f>+IF(BE59="","",(VLOOKUP($C59,'EQUIP RATE SCHEDULE'!$B$11:$F$162,5,FALSE)))</f>
        <v>25</v>
      </c>
      <c r="BG59" s="591"/>
      <c r="BH59" s="613">
        <f t="shared" si="9"/>
        <v>25</v>
      </c>
      <c r="BI59" s="769" t="s">
        <v>920</v>
      </c>
      <c r="BJ59" s="575">
        <v>1</v>
      </c>
      <c r="BK59" s="584">
        <f>+IF(BJ59="","",(VLOOKUP($C59,'EQUIP RATE SCHEDULE'!$B$11:$F$162,5,FALSE)))</f>
        <v>25</v>
      </c>
      <c r="BL59" s="591"/>
      <c r="BM59" s="613">
        <f t="shared" si="10"/>
        <v>25</v>
      </c>
      <c r="BN59" s="769" t="s">
        <v>920</v>
      </c>
      <c r="BO59" s="575">
        <v>1</v>
      </c>
      <c r="BP59" s="584">
        <f>+IF(BO59="","",(VLOOKUP($C59,'EQUIP RATE SCHEDULE'!$B$11:$F$162,5,FALSE)))</f>
        <v>25</v>
      </c>
      <c r="BQ59" s="591"/>
      <c r="BR59" s="613">
        <f t="shared" si="11"/>
        <v>25</v>
      </c>
      <c r="BS59" s="769" t="s">
        <v>920</v>
      </c>
      <c r="BT59" s="575">
        <v>1</v>
      </c>
      <c r="BU59" s="584">
        <f>+IF(BT59="","",(VLOOKUP($C59,'EQUIP RATE SCHEDULE'!$B$11:$F$162,5,FALSE)))</f>
        <v>25</v>
      </c>
      <c r="BV59" s="591"/>
      <c r="BW59" s="613">
        <f t="shared" si="12"/>
        <v>25</v>
      </c>
      <c r="BX59" s="769" t="s">
        <v>920</v>
      </c>
      <c r="BY59" s="575">
        <v>1</v>
      </c>
      <c r="BZ59" s="584">
        <f>+IF(BY59="","",(VLOOKUP($C59,'EQUIP RATE SCHEDULE'!$B$11:$F$162,5,FALSE)))</f>
        <v>25</v>
      </c>
      <c r="CA59" s="591"/>
      <c r="CB59" s="613">
        <f t="shared" si="13"/>
        <v>25</v>
      </c>
      <c r="CC59" s="769" t="s">
        <v>920</v>
      </c>
      <c r="CD59" s="575">
        <v>1</v>
      </c>
      <c r="CE59" s="584">
        <f>+IF(CD59="","",(VLOOKUP($C59,'EQUIP RATE SCHEDULE'!$B$11:$F$162,5,FALSE)))</f>
        <v>25</v>
      </c>
      <c r="CF59" s="591"/>
      <c r="CG59" s="613">
        <f t="shared" si="14"/>
        <v>25</v>
      </c>
      <c r="CH59" s="769" t="s">
        <v>920</v>
      </c>
      <c r="CI59" s="575">
        <v>1</v>
      </c>
      <c r="CJ59" s="584">
        <f>+IF(CI59="","",(VLOOKUP($C59,'EQUIP RATE SCHEDULE'!$B$11:$F$162,5,FALSE)))</f>
        <v>25</v>
      </c>
      <c r="CK59" s="591"/>
      <c r="CL59" s="613">
        <f t="shared" si="15"/>
        <v>25</v>
      </c>
      <c r="CM59" s="769" t="s">
        <v>920</v>
      </c>
      <c r="CN59" s="575">
        <v>1</v>
      </c>
      <c r="CO59" s="584">
        <f>+IF(CN59="","",(VLOOKUP($C59,'EQUIP RATE SCHEDULE'!$B$11:$F$162,5,FALSE)))</f>
        <v>25</v>
      </c>
      <c r="CP59" s="591"/>
      <c r="CQ59" s="613">
        <f t="shared" si="16"/>
        <v>25</v>
      </c>
      <c r="CR59" s="769" t="s">
        <v>920</v>
      </c>
      <c r="CS59" s="575">
        <v>1</v>
      </c>
      <c r="CT59" s="584">
        <f>+IF(CS59="","",(VLOOKUP($C59,'EQUIP RATE SCHEDULE'!$B$11:$F$162,5,FALSE)))</f>
        <v>25</v>
      </c>
      <c r="CU59" s="591"/>
      <c r="CV59" s="613">
        <f t="shared" si="17"/>
        <v>25</v>
      </c>
      <c r="CW59" s="769" t="s">
        <v>920</v>
      </c>
      <c r="CX59" s="575">
        <v>1</v>
      </c>
      <c r="CY59" s="584">
        <f>+IF(CX59="","",(VLOOKUP($C59,'EQUIP RATE SCHEDULE'!$B$11:$F$162,5,FALSE)))</f>
        <v>25</v>
      </c>
      <c r="CZ59" s="591"/>
      <c r="DA59" s="613">
        <f t="shared" si="18"/>
        <v>25</v>
      </c>
    </row>
    <row r="60" spans="1:105" ht="15" x14ac:dyDescent="0.25">
      <c r="A60" s="1513"/>
      <c r="B60" s="809" t="s">
        <v>522</v>
      </c>
      <c r="C60" s="776" t="s">
        <v>1012</v>
      </c>
      <c r="D60" s="779" t="s">
        <v>1013</v>
      </c>
      <c r="E60" s="780" t="s">
        <v>1014</v>
      </c>
      <c r="F60" s="769" t="s">
        <v>920</v>
      </c>
      <c r="G60" s="575">
        <v>1</v>
      </c>
      <c r="H60" s="584">
        <f>+IF(G60="","",(VLOOKUP($C60,'EQUIP RATE SCHEDULE'!$B$11:$F$162,5,FALSE)))</f>
        <v>20</v>
      </c>
      <c r="I60" s="591"/>
      <c r="J60" s="613">
        <f t="shared" si="19"/>
        <v>20</v>
      </c>
      <c r="K60" s="769" t="s">
        <v>920</v>
      </c>
      <c r="L60" s="575">
        <v>1</v>
      </c>
      <c r="M60" s="584">
        <f>+IF(L60="","",(VLOOKUP($C60,'EQUIP RATE SCHEDULE'!$B$11:$F$162,5,FALSE)))</f>
        <v>20</v>
      </c>
      <c r="N60" s="591"/>
      <c r="O60" s="613">
        <f t="shared" si="20"/>
        <v>20</v>
      </c>
      <c r="P60" s="769" t="s">
        <v>920</v>
      </c>
      <c r="Q60" s="575">
        <v>1</v>
      </c>
      <c r="R60" s="584">
        <f>+IF(Q60="","",(VLOOKUP($C60,'EQUIP RATE SCHEDULE'!$B$11:$F$162,5,FALSE)))</f>
        <v>20</v>
      </c>
      <c r="S60" s="591"/>
      <c r="T60" s="613">
        <f t="shared" si="21"/>
        <v>20</v>
      </c>
      <c r="U60" s="769" t="s">
        <v>920</v>
      </c>
      <c r="V60" s="575">
        <v>1</v>
      </c>
      <c r="W60" s="584">
        <f>+IF(V60="","",(VLOOKUP($C60,'EQUIP RATE SCHEDULE'!$B$11:$F$162,5,FALSE)))</f>
        <v>20</v>
      </c>
      <c r="X60" s="591"/>
      <c r="Y60" s="613">
        <f t="shared" si="22"/>
        <v>20</v>
      </c>
      <c r="Z60" s="769" t="s">
        <v>920</v>
      </c>
      <c r="AA60" s="575">
        <v>1</v>
      </c>
      <c r="AB60" s="584">
        <f>+IF(AA60="","",(VLOOKUP($C60,'EQUIP RATE SCHEDULE'!$B$11:$F$162,5,FALSE)))</f>
        <v>20</v>
      </c>
      <c r="AC60" s="591"/>
      <c r="AD60" s="613">
        <f t="shared" si="23"/>
        <v>20</v>
      </c>
      <c r="AE60" s="769" t="s">
        <v>920</v>
      </c>
      <c r="AF60" s="575">
        <v>1</v>
      </c>
      <c r="AG60" s="584">
        <f>+IF(AF60="","",(VLOOKUP($C60,'EQUIP RATE SCHEDULE'!$B$11:$F$162,5,FALSE)))</f>
        <v>20</v>
      </c>
      <c r="AH60" s="591"/>
      <c r="AI60" s="613">
        <f t="shared" si="24"/>
        <v>20</v>
      </c>
      <c r="AJ60" s="769" t="s">
        <v>920</v>
      </c>
      <c r="AK60" s="575">
        <v>1</v>
      </c>
      <c r="AL60" s="584">
        <f>+IF(AK60="","",(VLOOKUP($C60,'EQUIP RATE SCHEDULE'!$B$11:$F$162,5,FALSE)))</f>
        <v>20</v>
      </c>
      <c r="AM60" s="591"/>
      <c r="AN60" s="613">
        <f t="shared" si="25"/>
        <v>20</v>
      </c>
      <c r="AO60" s="769" t="s">
        <v>920</v>
      </c>
      <c r="AP60" s="575">
        <v>1</v>
      </c>
      <c r="AQ60" s="584">
        <f>+IF(AP60="","",(VLOOKUP($C60,'EQUIP RATE SCHEDULE'!$B$11:$F$162,5,FALSE)))</f>
        <v>20</v>
      </c>
      <c r="AR60" s="591"/>
      <c r="AS60" s="613">
        <f t="shared" si="26"/>
        <v>20</v>
      </c>
      <c r="AT60" s="769" t="s">
        <v>920</v>
      </c>
      <c r="AU60" s="575">
        <v>1</v>
      </c>
      <c r="AV60" s="584">
        <f>+IF(AU60="","",(VLOOKUP($C60,'EQUIP RATE SCHEDULE'!$B$11:$F$162,5,FALSE)))</f>
        <v>20</v>
      </c>
      <c r="AW60" s="591"/>
      <c r="AX60" s="613">
        <f t="shared" si="27"/>
        <v>20</v>
      </c>
      <c r="AY60" s="769" t="s">
        <v>920</v>
      </c>
      <c r="AZ60" s="575">
        <v>1</v>
      </c>
      <c r="BA60" s="584">
        <f>+IF(AZ60="","",(VLOOKUP($C60,'EQUIP RATE SCHEDULE'!$B$11:$F$162,5,FALSE)))</f>
        <v>20</v>
      </c>
      <c r="BB60" s="591"/>
      <c r="BC60" s="613">
        <f t="shared" si="28"/>
        <v>20</v>
      </c>
      <c r="BD60" s="769" t="s">
        <v>920</v>
      </c>
      <c r="BE60" s="575">
        <v>1</v>
      </c>
      <c r="BF60" s="584">
        <f>+IF(BE60="","",(VLOOKUP($C60,'EQUIP RATE SCHEDULE'!$B$11:$F$162,5,FALSE)))</f>
        <v>20</v>
      </c>
      <c r="BG60" s="591"/>
      <c r="BH60" s="613">
        <f t="shared" si="9"/>
        <v>20</v>
      </c>
      <c r="BI60" s="769" t="s">
        <v>920</v>
      </c>
      <c r="BJ60" s="575">
        <v>1</v>
      </c>
      <c r="BK60" s="584">
        <f>+IF(BJ60="","",(VLOOKUP($C60,'EQUIP RATE SCHEDULE'!$B$11:$F$162,5,FALSE)))</f>
        <v>20</v>
      </c>
      <c r="BL60" s="591"/>
      <c r="BM60" s="613">
        <f t="shared" si="10"/>
        <v>20</v>
      </c>
      <c r="BN60" s="769" t="s">
        <v>920</v>
      </c>
      <c r="BO60" s="575">
        <v>1</v>
      </c>
      <c r="BP60" s="584">
        <f>+IF(BO60="","",(VLOOKUP($C60,'EQUIP RATE SCHEDULE'!$B$11:$F$162,5,FALSE)))</f>
        <v>20</v>
      </c>
      <c r="BQ60" s="591"/>
      <c r="BR60" s="613">
        <f t="shared" si="11"/>
        <v>20</v>
      </c>
      <c r="BS60" s="769" t="s">
        <v>920</v>
      </c>
      <c r="BT60" s="575">
        <v>1</v>
      </c>
      <c r="BU60" s="584">
        <f>+IF(BT60="","",(VLOOKUP($C60,'EQUIP RATE SCHEDULE'!$B$11:$F$162,5,FALSE)))</f>
        <v>20</v>
      </c>
      <c r="BV60" s="591"/>
      <c r="BW60" s="613">
        <f t="shared" si="12"/>
        <v>20</v>
      </c>
      <c r="BX60" s="769" t="s">
        <v>920</v>
      </c>
      <c r="BY60" s="575">
        <v>1</v>
      </c>
      <c r="BZ60" s="584">
        <f>+IF(BY60="","",(VLOOKUP($C60,'EQUIP RATE SCHEDULE'!$B$11:$F$162,5,FALSE)))</f>
        <v>20</v>
      </c>
      <c r="CA60" s="591"/>
      <c r="CB60" s="613">
        <f t="shared" si="13"/>
        <v>20</v>
      </c>
      <c r="CC60" s="769" t="s">
        <v>920</v>
      </c>
      <c r="CD60" s="575">
        <v>1</v>
      </c>
      <c r="CE60" s="584">
        <f>+IF(CD60="","",(VLOOKUP($C60,'EQUIP RATE SCHEDULE'!$B$11:$F$162,5,FALSE)))</f>
        <v>20</v>
      </c>
      <c r="CF60" s="591"/>
      <c r="CG60" s="613">
        <f t="shared" si="14"/>
        <v>20</v>
      </c>
      <c r="CH60" s="769" t="s">
        <v>920</v>
      </c>
      <c r="CI60" s="575">
        <v>1</v>
      </c>
      <c r="CJ60" s="584">
        <f>+IF(CI60="","",(VLOOKUP($C60,'EQUIP RATE SCHEDULE'!$B$11:$F$162,5,FALSE)))</f>
        <v>20</v>
      </c>
      <c r="CK60" s="591"/>
      <c r="CL60" s="613">
        <f t="shared" si="15"/>
        <v>20</v>
      </c>
      <c r="CM60" s="769" t="s">
        <v>920</v>
      </c>
      <c r="CN60" s="575">
        <v>1</v>
      </c>
      <c r="CO60" s="584">
        <f>+IF(CN60="","",(VLOOKUP($C60,'EQUIP RATE SCHEDULE'!$B$11:$F$162,5,FALSE)))</f>
        <v>20</v>
      </c>
      <c r="CP60" s="591"/>
      <c r="CQ60" s="613">
        <f t="shared" si="16"/>
        <v>20</v>
      </c>
      <c r="CR60" s="769" t="s">
        <v>920</v>
      </c>
      <c r="CS60" s="575">
        <v>1</v>
      </c>
      <c r="CT60" s="584">
        <f>+IF(CS60="","",(VLOOKUP($C60,'EQUIP RATE SCHEDULE'!$B$11:$F$162,5,FALSE)))</f>
        <v>20</v>
      </c>
      <c r="CU60" s="591"/>
      <c r="CV60" s="613">
        <f t="shared" si="17"/>
        <v>20</v>
      </c>
      <c r="CW60" s="769" t="s">
        <v>920</v>
      </c>
      <c r="CX60" s="575">
        <v>1</v>
      </c>
      <c r="CY60" s="584">
        <f>+IF(CX60="","",(VLOOKUP($C60,'EQUIP RATE SCHEDULE'!$B$11:$F$162,5,FALSE)))</f>
        <v>20</v>
      </c>
      <c r="CZ60" s="591"/>
      <c r="DA60" s="613">
        <f t="shared" si="18"/>
        <v>20</v>
      </c>
    </row>
    <row r="61" spans="1:105" s="150" customFormat="1" ht="15" x14ac:dyDescent="0.25">
      <c r="A61" s="1513"/>
      <c r="B61" s="809" t="s">
        <v>522</v>
      </c>
      <c r="C61" s="776" t="s">
        <v>1015</v>
      </c>
      <c r="D61" s="779" t="s">
        <v>1016</v>
      </c>
      <c r="E61" s="780" t="s">
        <v>1017</v>
      </c>
      <c r="F61" s="769" t="s">
        <v>920</v>
      </c>
      <c r="G61" s="575">
        <v>1</v>
      </c>
      <c r="H61" s="584">
        <f>+IF(G61="","",(VLOOKUP($C61,'EQUIP RATE SCHEDULE'!$B$11:$F$162,5,FALSE)))</f>
        <v>15</v>
      </c>
      <c r="I61" s="591"/>
      <c r="J61" s="613">
        <f t="shared" si="19"/>
        <v>15</v>
      </c>
      <c r="K61" s="769" t="s">
        <v>920</v>
      </c>
      <c r="L61" s="575">
        <v>1</v>
      </c>
      <c r="M61" s="584">
        <f>+IF(L61="","",(VLOOKUP($C61,'EQUIP RATE SCHEDULE'!$B$11:$F$162,5,FALSE)))</f>
        <v>15</v>
      </c>
      <c r="N61" s="591"/>
      <c r="O61" s="613">
        <f t="shared" si="20"/>
        <v>15</v>
      </c>
      <c r="P61" s="769" t="s">
        <v>920</v>
      </c>
      <c r="Q61" s="575">
        <v>1</v>
      </c>
      <c r="R61" s="584">
        <f>+IF(Q61="","",(VLOOKUP($C61,'EQUIP RATE SCHEDULE'!$B$11:$F$162,5,FALSE)))</f>
        <v>15</v>
      </c>
      <c r="S61" s="591"/>
      <c r="T61" s="613">
        <f t="shared" si="21"/>
        <v>15</v>
      </c>
      <c r="U61" s="769" t="s">
        <v>920</v>
      </c>
      <c r="V61" s="575">
        <v>1</v>
      </c>
      <c r="W61" s="584">
        <f>+IF(V61="","",(VLOOKUP($C61,'EQUIP RATE SCHEDULE'!$B$11:$F$162,5,FALSE)))</f>
        <v>15</v>
      </c>
      <c r="X61" s="591"/>
      <c r="Y61" s="613">
        <f t="shared" si="22"/>
        <v>15</v>
      </c>
      <c r="Z61" s="769" t="s">
        <v>920</v>
      </c>
      <c r="AA61" s="575">
        <v>1</v>
      </c>
      <c r="AB61" s="584">
        <f>+IF(AA61="","",(VLOOKUP($C61,'EQUIP RATE SCHEDULE'!$B$11:$F$162,5,FALSE)))</f>
        <v>15</v>
      </c>
      <c r="AC61" s="591"/>
      <c r="AD61" s="613">
        <f t="shared" si="23"/>
        <v>15</v>
      </c>
      <c r="AE61" s="769" t="s">
        <v>920</v>
      </c>
      <c r="AF61" s="575">
        <v>1</v>
      </c>
      <c r="AG61" s="584">
        <f>+IF(AF61="","",(VLOOKUP($C61,'EQUIP RATE SCHEDULE'!$B$11:$F$162,5,FALSE)))</f>
        <v>15</v>
      </c>
      <c r="AH61" s="591"/>
      <c r="AI61" s="613">
        <f t="shared" si="24"/>
        <v>15</v>
      </c>
      <c r="AJ61" s="769" t="s">
        <v>920</v>
      </c>
      <c r="AK61" s="575">
        <v>1</v>
      </c>
      <c r="AL61" s="584">
        <f>+IF(AK61="","",(VLOOKUP($C61,'EQUIP RATE SCHEDULE'!$B$11:$F$162,5,FALSE)))</f>
        <v>15</v>
      </c>
      <c r="AM61" s="591"/>
      <c r="AN61" s="613">
        <f t="shared" si="25"/>
        <v>15</v>
      </c>
      <c r="AO61" s="769" t="s">
        <v>920</v>
      </c>
      <c r="AP61" s="575">
        <v>1</v>
      </c>
      <c r="AQ61" s="584">
        <f>+IF(AP61="","",(VLOOKUP($C61,'EQUIP RATE SCHEDULE'!$B$11:$F$162,5,FALSE)))</f>
        <v>15</v>
      </c>
      <c r="AR61" s="591"/>
      <c r="AS61" s="613">
        <f t="shared" si="26"/>
        <v>15</v>
      </c>
      <c r="AT61" s="769" t="s">
        <v>920</v>
      </c>
      <c r="AU61" s="575">
        <v>1</v>
      </c>
      <c r="AV61" s="584">
        <f>+IF(AU61="","",(VLOOKUP($C61,'EQUIP RATE SCHEDULE'!$B$11:$F$162,5,FALSE)))</f>
        <v>15</v>
      </c>
      <c r="AW61" s="591"/>
      <c r="AX61" s="613">
        <f t="shared" si="27"/>
        <v>15</v>
      </c>
      <c r="AY61" s="769" t="s">
        <v>920</v>
      </c>
      <c r="AZ61" s="575">
        <v>1</v>
      </c>
      <c r="BA61" s="584">
        <f>+IF(AZ61="","",(VLOOKUP($C61,'EQUIP RATE SCHEDULE'!$B$11:$F$162,5,FALSE)))</f>
        <v>15</v>
      </c>
      <c r="BB61" s="591"/>
      <c r="BC61" s="613">
        <f t="shared" si="28"/>
        <v>15</v>
      </c>
      <c r="BD61" s="769" t="s">
        <v>920</v>
      </c>
      <c r="BE61" s="575">
        <v>1</v>
      </c>
      <c r="BF61" s="584">
        <f>+IF(BE61="","",(VLOOKUP($C61,'EQUIP RATE SCHEDULE'!$B$11:$F$162,5,FALSE)))</f>
        <v>15</v>
      </c>
      <c r="BG61" s="591"/>
      <c r="BH61" s="613">
        <f t="shared" si="9"/>
        <v>15</v>
      </c>
      <c r="BI61" s="769" t="s">
        <v>920</v>
      </c>
      <c r="BJ61" s="575">
        <v>1</v>
      </c>
      <c r="BK61" s="584">
        <f>+IF(BJ61="","",(VLOOKUP($C61,'EQUIP RATE SCHEDULE'!$B$11:$F$162,5,FALSE)))</f>
        <v>15</v>
      </c>
      <c r="BL61" s="591"/>
      <c r="BM61" s="613">
        <f t="shared" si="10"/>
        <v>15</v>
      </c>
      <c r="BN61" s="769" t="s">
        <v>920</v>
      </c>
      <c r="BO61" s="575">
        <v>1</v>
      </c>
      <c r="BP61" s="584">
        <f>+IF(BO61="","",(VLOOKUP($C61,'EQUIP RATE SCHEDULE'!$B$11:$F$162,5,FALSE)))</f>
        <v>15</v>
      </c>
      <c r="BQ61" s="591"/>
      <c r="BR61" s="613">
        <f t="shared" si="11"/>
        <v>15</v>
      </c>
      <c r="BS61" s="769" t="s">
        <v>920</v>
      </c>
      <c r="BT61" s="575">
        <v>1</v>
      </c>
      <c r="BU61" s="584">
        <f>+IF(BT61="","",(VLOOKUP($C61,'EQUIP RATE SCHEDULE'!$B$11:$F$162,5,FALSE)))</f>
        <v>15</v>
      </c>
      <c r="BV61" s="591"/>
      <c r="BW61" s="613">
        <f t="shared" si="12"/>
        <v>15</v>
      </c>
      <c r="BX61" s="769" t="s">
        <v>920</v>
      </c>
      <c r="BY61" s="575">
        <v>1</v>
      </c>
      <c r="BZ61" s="584">
        <f>+IF(BY61="","",(VLOOKUP($C61,'EQUIP RATE SCHEDULE'!$B$11:$F$162,5,FALSE)))</f>
        <v>15</v>
      </c>
      <c r="CA61" s="591"/>
      <c r="CB61" s="613">
        <f t="shared" si="13"/>
        <v>15</v>
      </c>
      <c r="CC61" s="769" t="s">
        <v>920</v>
      </c>
      <c r="CD61" s="575">
        <v>1</v>
      </c>
      <c r="CE61" s="584">
        <f>+IF(CD61="","",(VLOOKUP($C61,'EQUIP RATE SCHEDULE'!$B$11:$F$162,5,FALSE)))</f>
        <v>15</v>
      </c>
      <c r="CF61" s="591"/>
      <c r="CG61" s="613">
        <f t="shared" si="14"/>
        <v>15</v>
      </c>
      <c r="CH61" s="769" t="s">
        <v>920</v>
      </c>
      <c r="CI61" s="575">
        <v>1</v>
      </c>
      <c r="CJ61" s="584">
        <f>+IF(CI61="","",(VLOOKUP($C61,'EQUIP RATE SCHEDULE'!$B$11:$F$162,5,FALSE)))</f>
        <v>15</v>
      </c>
      <c r="CK61" s="591"/>
      <c r="CL61" s="613">
        <f t="shared" si="15"/>
        <v>15</v>
      </c>
      <c r="CM61" s="769" t="s">
        <v>920</v>
      </c>
      <c r="CN61" s="575">
        <v>1</v>
      </c>
      <c r="CO61" s="584">
        <f>+IF(CN61="","",(VLOOKUP($C61,'EQUIP RATE SCHEDULE'!$B$11:$F$162,5,FALSE)))</f>
        <v>15</v>
      </c>
      <c r="CP61" s="591"/>
      <c r="CQ61" s="613">
        <f t="shared" si="16"/>
        <v>15</v>
      </c>
      <c r="CR61" s="769" t="s">
        <v>920</v>
      </c>
      <c r="CS61" s="575">
        <v>1</v>
      </c>
      <c r="CT61" s="584">
        <f>+IF(CS61="","",(VLOOKUP($C61,'EQUIP RATE SCHEDULE'!$B$11:$F$162,5,FALSE)))</f>
        <v>15</v>
      </c>
      <c r="CU61" s="591"/>
      <c r="CV61" s="613">
        <f t="shared" si="17"/>
        <v>15</v>
      </c>
      <c r="CW61" s="769" t="s">
        <v>920</v>
      </c>
      <c r="CX61" s="575">
        <v>1</v>
      </c>
      <c r="CY61" s="584">
        <f>+IF(CX61="","",(VLOOKUP($C61,'EQUIP RATE SCHEDULE'!$B$11:$F$162,5,FALSE)))</f>
        <v>15</v>
      </c>
      <c r="CZ61" s="591"/>
      <c r="DA61" s="613">
        <f t="shared" si="18"/>
        <v>15</v>
      </c>
    </row>
    <row r="62" spans="1:105" ht="15" x14ac:dyDescent="0.25">
      <c r="A62" s="1513"/>
      <c r="B62" s="809" t="s">
        <v>522</v>
      </c>
      <c r="C62" s="776" t="s">
        <v>1018</v>
      </c>
      <c r="D62" s="779" t="s">
        <v>1019</v>
      </c>
      <c r="E62" s="780" t="s">
        <v>1020</v>
      </c>
      <c r="F62" s="769" t="s">
        <v>920</v>
      </c>
      <c r="G62" s="575">
        <v>1</v>
      </c>
      <c r="H62" s="584">
        <f>+IF(G62="","",(VLOOKUP($C62,'EQUIP RATE SCHEDULE'!$B$11:$F$162,5,FALSE)))</f>
        <v>12</v>
      </c>
      <c r="I62" s="591"/>
      <c r="J62" s="613">
        <f t="shared" si="19"/>
        <v>12</v>
      </c>
      <c r="K62" s="769" t="s">
        <v>920</v>
      </c>
      <c r="L62" s="575">
        <v>1</v>
      </c>
      <c r="M62" s="584">
        <f>+IF(L62="","",(VLOOKUP($C62,'EQUIP RATE SCHEDULE'!$B$11:$F$162,5,FALSE)))</f>
        <v>12</v>
      </c>
      <c r="N62" s="591"/>
      <c r="O62" s="613">
        <f t="shared" si="20"/>
        <v>12</v>
      </c>
      <c r="P62" s="769" t="s">
        <v>920</v>
      </c>
      <c r="Q62" s="575">
        <v>1</v>
      </c>
      <c r="R62" s="584">
        <f>+IF(Q62="","",(VLOOKUP($C62,'EQUIP RATE SCHEDULE'!$B$11:$F$162,5,FALSE)))</f>
        <v>12</v>
      </c>
      <c r="S62" s="591"/>
      <c r="T62" s="613">
        <f t="shared" si="21"/>
        <v>12</v>
      </c>
      <c r="U62" s="769" t="s">
        <v>920</v>
      </c>
      <c r="V62" s="575">
        <v>1</v>
      </c>
      <c r="W62" s="584">
        <f>+IF(V62="","",(VLOOKUP($C62,'EQUIP RATE SCHEDULE'!$B$11:$F$162,5,FALSE)))</f>
        <v>12</v>
      </c>
      <c r="X62" s="591"/>
      <c r="Y62" s="613">
        <f t="shared" si="22"/>
        <v>12</v>
      </c>
      <c r="Z62" s="769" t="s">
        <v>920</v>
      </c>
      <c r="AA62" s="575">
        <v>1</v>
      </c>
      <c r="AB62" s="584">
        <f>+IF(AA62="","",(VLOOKUP($C62,'EQUIP RATE SCHEDULE'!$B$11:$F$162,5,FALSE)))</f>
        <v>12</v>
      </c>
      <c r="AC62" s="591"/>
      <c r="AD62" s="613">
        <f t="shared" si="23"/>
        <v>12</v>
      </c>
      <c r="AE62" s="769" t="s">
        <v>920</v>
      </c>
      <c r="AF62" s="575">
        <v>1</v>
      </c>
      <c r="AG62" s="584">
        <f>+IF(AF62="","",(VLOOKUP($C62,'EQUIP RATE SCHEDULE'!$B$11:$F$162,5,FALSE)))</f>
        <v>12</v>
      </c>
      <c r="AH62" s="591"/>
      <c r="AI62" s="613">
        <f t="shared" si="24"/>
        <v>12</v>
      </c>
      <c r="AJ62" s="769" t="s">
        <v>920</v>
      </c>
      <c r="AK62" s="575">
        <v>1</v>
      </c>
      <c r="AL62" s="584">
        <f>+IF(AK62="","",(VLOOKUP($C62,'EQUIP RATE SCHEDULE'!$B$11:$F$162,5,FALSE)))</f>
        <v>12</v>
      </c>
      <c r="AM62" s="591"/>
      <c r="AN62" s="613">
        <f t="shared" si="25"/>
        <v>12</v>
      </c>
      <c r="AO62" s="769" t="s">
        <v>920</v>
      </c>
      <c r="AP62" s="575">
        <v>1</v>
      </c>
      <c r="AQ62" s="584">
        <f>+IF(AP62="","",(VLOOKUP($C62,'EQUIP RATE SCHEDULE'!$B$11:$F$162,5,FALSE)))</f>
        <v>12</v>
      </c>
      <c r="AR62" s="591"/>
      <c r="AS62" s="613">
        <f t="shared" si="26"/>
        <v>12</v>
      </c>
      <c r="AT62" s="769" t="s">
        <v>920</v>
      </c>
      <c r="AU62" s="575">
        <v>1</v>
      </c>
      <c r="AV62" s="584">
        <f>+IF(AU62="","",(VLOOKUP($C62,'EQUIP RATE SCHEDULE'!$B$11:$F$162,5,FALSE)))</f>
        <v>12</v>
      </c>
      <c r="AW62" s="591"/>
      <c r="AX62" s="613">
        <f t="shared" si="27"/>
        <v>12</v>
      </c>
      <c r="AY62" s="769" t="s">
        <v>920</v>
      </c>
      <c r="AZ62" s="575">
        <v>1</v>
      </c>
      <c r="BA62" s="584">
        <f>+IF(AZ62="","",(VLOOKUP($C62,'EQUIP RATE SCHEDULE'!$B$11:$F$162,5,FALSE)))</f>
        <v>12</v>
      </c>
      <c r="BB62" s="591"/>
      <c r="BC62" s="613">
        <f t="shared" si="28"/>
        <v>12</v>
      </c>
      <c r="BD62" s="769" t="s">
        <v>920</v>
      </c>
      <c r="BE62" s="575">
        <v>1</v>
      </c>
      <c r="BF62" s="584">
        <f>+IF(BE62="","",(VLOOKUP($C62,'EQUIP RATE SCHEDULE'!$B$11:$F$162,5,FALSE)))</f>
        <v>12</v>
      </c>
      <c r="BG62" s="591"/>
      <c r="BH62" s="613">
        <f t="shared" si="9"/>
        <v>12</v>
      </c>
      <c r="BI62" s="769" t="s">
        <v>920</v>
      </c>
      <c r="BJ62" s="575">
        <v>1</v>
      </c>
      <c r="BK62" s="584">
        <f>+IF(BJ62="","",(VLOOKUP($C62,'EQUIP RATE SCHEDULE'!$B$11:$F$162,5,FALSE)))</f>
        <v>12</v>
      </c>
      <c r="BL62" s="591"/>
      <c r="BM62" s="613">
        <f t="shared" si="10"/>
        <v>12</v>
      </c>
      <c r="BN62" s="769" t="s">
        <v>920</v>
      </c>
      <c r="BO62" s="575">
        <v>1</v>
      </c>
      <c r="BP62" s="584">
        <f>+IF(BO62="","",(VLOOKUP($C62,'EQUIP RATE SCHEDULE'!$B$11:$F$162,5,FALSE)))</f>
        <v>12</v>
      </c>
      <c r="BQ62" s="591"/>
      <c r="BR62" s="613">
        <f t="shared" si="11"/>
        <v>12</v>
      </c>
      <c r="BS62" s="769" t="s">
        <v>920</v>
      </c>
      <c r="BT62" s="575">
        <v>1</v>
      </c>
      <c r="BU62" s="584">
        <f>+IF(BT62="","",(VLOOKUP($C62,'EQUIP RATE SCHEDULE'!$B$11:$F$162,5,FALSE)))</f>
        <v>12</v>
      </c>
      <c r="BV62" s="591"/>
      <c r="BW62" s="613">
        <f t="shared" si="12"/>
        <v>12</v>
      </c>
      <c r="BX62" s="769" t="s">
        <v>920</v>
      </c>
      <c r="BY62" s="575">
        <v>1</v>
      </c>
      <c r="BZ62" s="584">
        <f>+IF(BY62="","",(VLOOKUP($C62,'EQUIP RATE SCHEDULE'!$B$11:$F$162,5,FALSE)))</f>
        <v>12</v>
      </c>
      <c r="CA62" s="591"/>
      <c r="CB62" s="613">
        <f t="shared" si="13"/>
        <v>12</v>
      </c>
      <c r="CC62" s="769" t="s">
        <v>920</v>
      </c>
      <c r="CD62" s="575">
        <v>1</v>
      </c>
      <c r="CE62" s="584">
        <f>+IF(CD62="","",(VLOOKUP($C62,'EQUIP RATE SCHEDULE'!$B$11:$F$162,5,FALSE)))</f>
        <v>12</v>
      </c>
      <c r="CF62" s="591"/>
      <c r="CG62" s="613">
        <f t="shared" si="14"/>
        <v>12</v>
      </c>
      <c r="CH62" s="769" t="s">
        <v>920</v>
      </c>
      <c r="CI62" s="575">
        <v>1</v>
      </c>
      <c r="CJ62" s="584">
        <f>+IF(CI62="","",(VLOOKUP($C62,'EQUIP RATE SCHEDULE'!$B$11:$F$162,5,FALSE)))</f>
        <v>12</v>
      </c>
      <c r="CK62" s="591"/>
      <c r="CL62" s="613">
        <f t="shared" si="15"/>
        <v>12</v>
      </c>
      <c r="CM62" s="769" t="s">
        <v>920</v>
      </c>
      <c r="CN62" s="575">
        <v>1</v>
      </c>
      <c r="CO62" s="584">
        <f>+IF(CN62="","",(VLOOKUP($C62,'EQUIP RATE SCHEDULE'!$B$11:$F$162,5,FALSE)))</f>
        <v>12</v>
      </c>
      <c r="CP62" s="591"/>
      <c r="CQ62" s="613">
        <f t="shared" si="16"/>
        <v>12</v>
      </c>
      <c r="CR62" s="769" t="s">
        <v>920</v>
      </c>
      <c r="CS62" s="575">
        <v>1</v>
      </c>
      <c r="CT62" s="584">
        <f>+IF(CS62="","",(VLOOKUP($C62,'EQUIP RATE SCHEDULE'!$B$11:$F$162,5,FALSE)))</f>
        <v>12</v>
      </c>
      <c r="CU62" s="591"/>
      <c r="CV62" s="613">
        <f t="shared" si="17"/>
        <v>12</v>
      </c>
      <c r="CW62" s="769" t="s">
        <v>920</v>
      </c>
      <c r="CX62" s="575">
        <v>1</v>
      </c>
      <c r="CY62" s="584">
        <f>+IF(CX62="","",(VLOOKUP($C62,'EQUIP RATE SCHEDULE'!$B$11:$F$162,5,FALSE)))</f>
        <v>12</v>
      </c>
      <c r="CZ62" s="591"/>
      <c r="DA62" s="613">
        <f t="shared" si="18"/>
        <v>12</v>
      </c>
    </row>
    <row r="63" spans="1:105" s="150" customFormat="1" ht="15" x14ac:dyDescent="0.25">
      <c r="A63" s="1513"/>
      <c r="B63" s="809" t="s">
        <v>522</v>
      </c>
      <c r="C63" s="776" t="s">
        <v>1021</v>
      </c>
      <c r="D63" s="779" t="s">
        <v>1022</v>
      </c>
      <c r="E63" s="780"/>
      <c r="F63" s="769" t="s">
        <v>920</v>
      </c>
      <c r="G63" s="575">
        <v>1</v>
      </c>
      <c r="H63" s="584">
        <f>+IF(G63="","",(VLOOKUP($C63,'EQUIP RATE SCHEDULE'!$B$11:$F$162,5,FALSE)))</f>
        <v>22</v>
      </c>
      <c r="I63" s="591"/>
      <c r="J63" s="613">
        <f t="shared" si="19"/>
        <v>22</v>
      </c>
      <c r="K63" s="769" t="s">
        <v>920</v>
      </c>
      <c r="L63" s="575">
        <v>1</v>
      </c>
      <c r="M63" s="584">
        <f>+IF(L63="","",(VLOOKUP($C63,'EQUIP RATE SCHEDULE'!$B$11:$F$162,5,FALSE)))</f>
        <v>22</v>
      </c>
      <c r="N63" s="591"/>
      <c r="O63" s="613">
        <f t="shared" si="20"/>
        <v>22</v>
      </c>
      <c r="P63" s="769" t="s">
        <v>920</v>
      </c>
      <c r="Q63" s="575">
        <v>1</v>
      </c>
      <c r="R63" s="584">
        <f>+IF(Q63="","",(VLOOKUP($C63,'EQUIP RATE SCHEDULE'!$B$11:$F$162,5,FALSE)))</f>
        <v>22</v>
      </c>
      <c r="S63" s="591"/>
      <c r="T63" s="613">
        <f t="shared" si="21"/>
        <v>22</v>
      </c>
      <c r="U63" s="769" t="s">
        <v>920</v>
      </c>
      <c r="V63" s="575">
        <v>1</v>
      </c>
      <c r="W63" s="584">
        <f>+IF(V63="","",(VLOOKUP($C63,'EQUIP RATE SCHEDULE'!$B$11:$F$162,5,FALSE)))</f>
        <v>22</v>
      </c>
      <c r="X63" s="591"/>
      <c r="Y63" s="613">
        <f t="shared" si="22"/>
        <v>22</v>
      </c>
      <c r="Z63" s="769" t="s">
        <v>920</v>
      </c>
      <c r="AA63" s="575">
        <v>1</v>
      </c>
      <c r="AB63" s="584">
        <f>+IF(AA63="","",(VLOOKUP($C63,'EQUIP RATE SCHEDULE'!$B$11:$F$162,5,FALSE)))</f>
        <v>22</v>
      </c>
      <c r="AC63" s="591"/>
      <c r="AD63" s="613">
        <f t="shared" si="23"/>
        <v>22</v>
      </c>
      <c r="AE63" s="769" t="s">
        <v>920</v>
      </c>
      <c r="AF63" s="575">
        <v>1</v>
      </c>
      <c r="AG63" s="584">
        <f>+IF(AF63="","",(VLOOKUP($C63,'EQUIP RATE SCHEDULE'!$B$11:$F$162,5,FALSE)))</f>
        <v>22</v>
      </c>
      <c r="AH63" s="591"/>
      <c r="AI63" s="613">
        <f t="shared" si="24"/>
        <v>22</v>
      </c>
      <c r="AJ63" s="769" t="s">
        <v>920</v>
      </c>
      <c r="AK63" s="575">
        <v>1</v>
      </c>
      <c r="AL63" s="584">
        <f>+IF(AK63="","",(VLOOKUP($C63,'EQUIP RATE SCHEDULE'!$B$11:$F$162,5,FALSE)))</f>
        <v>22</v>
      </c>
      <c r="AM63" s="591"/>
      <c r="AN63" s="613">
        <f t="shared" si="25"/>
        <v>22</v>
      </c>
      <c r="AO63" s="769" t="s">
        <v>920</v>
      </c>
      <c r="AP63" s="575">
        <v>1</v>
      </c>
      <c r="AQ63" s="584">
        <f>+IF(AP63="","",(VLOOKUP($C63,'EQUIP RATE SCHEDULE'!$B$11:$F$162,5,FALSE)))</f>
        <v>22</v>
      </c>
      <c r="AR63" s="591"/>
      <c r="AS63" s="613">
        <f t="shared" si="26"/>
        <v>22</v>
      </c>
      <c r="AT63" s="769" t="s">
        <v>920</v>
      </c>
      <c r="AU63" s="575">
        <v>1</v>
      </c>
      <c r="AV63" s="584">
        <f>+IF(AU63="","",(VLOOKUP($C63,'EQUIP RATE SCHEDULE'!$B$11:$F$162,5,FALSE)))</f>
        <v>22</v>
      </c>
      <c r="AW63" s="591"/>
      <c r="AX63" s="613">
        <f t="shared" si="27"/>
        <v>22</v>
      </c>
      <c r="AY63" s="769" t="s">
        <v>920</v>
      </c>
      <c r="AZ63" s="575">
        <v>1</v>
      </c>
      <c r="BA63" s="584">
        <f>+IF(AZ63="","",(VLOOKUP($C63,'EQUIP RATE SCHEDULE'!$B$11:$F$162,5,FALSE)))</f>
        <v>22</v>
      </c>
      <c r="BB63" s="591"/>
      <c r="BC63" s="613">
        <f t="shared" si="28"/>
        <v>22</v>
      </c>
      <c r="BD63" s="769" t="s">
        <v>920</v>
      </c>
      <c r="BE63" s="575">
        <v>1</v>
      </c>
      <c r="BF63" s="584">
        <f>+IF(BE63="","",(VLOOKUP($C63,'EQUIP RATE SCHEDULE'!$B$11:$F$162,5,FALSE)))</f>
        <v>22</v>
      </c>
      <c r="BG63" s="591"/>
      <c r="BH63" s="613">
        <f t="shared" si="9"/>
        <v>22</v>
      </c>
      <c r="BI63" s="769" t="s">
        <v>920</v>
      </c>
      <c r="BJ63" s="575">
        <v>1</v>
      </c>
      <c r="BK63" s="584">
        <f>+IF(BJ63="","",(VLOOKUP($C63,'EQUIP RATE SCHEDULE'!$B$11:$F$162,5,FALSE)))</f>
        <v>22</v>
      </c>
      <c r="BL63" s="591"/>
      <c r="BM63" s="613">
        <f t="shared" si="10"/>
        <v>22</v>
      </c>
      <c r="BN63" s="769" t="s">
        <v>920</v>
      </c>
      <c r="BO63" s="575">
        <v>1</v>
      </c>
      <c r="BP63" s="584">
        <f>+IF(BO63="","",(VLOOKUP($C63,'EQUIP RATE SCHEDULE'!$B$11:$F$162,5,FALSE)))</f>
        <v>22</v>
      </c>
      <c r="BQ63" s="591"/>
      <c r="BR63" s="613">
        <f t="shared" si="11"/>
        <v>22</v>
      </c>
      <c r="BS63" s="769" t="s">
        <v>920</v>
      </c>
      <c r="BT63" s="575">
        <v>1</v>
      </c>
      <c r="BU63" s="584">
        <f>+IF(BT63="","",(VLOOKUP($C63,'EQUIP RATE SCHEDULE'!$B$11:$F$162,5,FALSE)))</f>
        <v>22</v>
      </c>
      <c r="BV63" s="591"/>
      <c r="BW63" s="613">
        <f t="shared" si="12"/>
        <v>22</v>
      </c>
      <c r="BX63" s="769" t="s">
        <v>920</v>
      </c>
      <c r="BY63" s="575">
        <v>1</v>
      </c>
      <c r="BZ63" s="584">
        <f>+IF(BY63="","",(VLOOKUP($C63,'EQUIP RATE SCHEDULE'!$B$11:$F$162,5,FALSE)))</f>
        <v>22</v>
      </c>
      <c r="CA63" s="591"/>
      <c r="CB63" s="613">
        <f t="shared" si="13"/>
        <v>22</v>
      </c>
      <c r="CC63" s="769" t="s">
        <v>920</v>
      </c>
      <c r="CD63" s="575">
        <v>1</v>
      </c>
      <c r="CE63" s="584">
        <f>+IF(CD63="","",(VLOOKUP($C63,'EQUIP RATE SCHEDULE'!$B$11:$F$162,5,FALSE)))</f>
        <v>22</v>
      </c>
      <c r="CF63" s="591"/>
      <c r="CG63" s="613">
        <f t="shared" si="14"/>
        <v>22</v>
      </c>
      <c r="CH63" s="769" t="s">
        <v>920</v>
      </c>
      <c r="CI63" s="575">
        <v>1</v>
      </c>
      <c r="CJ63" s="584">
        <f>+IF(CI63="","",(VLOOKUP($C63,'EQUIP RATE SCHEDULE'!$B$11:$F$162,5,FALSE)))</f>
        <v>22</v>
      </c>
      <c r="CK63" s="591"/>
      <c r="CL63" s="613">
        <f t="shared" si="15"/>
        <v>22</v>
      </c>
      <c r="CM63" s="769" t="s">
        <v>920</v>
      </c>
      <c r="CN63" s="575">
        <v>1</v>
      </c>
      <c r="CO63" s="584">
        <f>+IF(CN63="","",(VLOOKUP($C63,'EQUIP RATE SCHEDULE'!$B$11:$F$162,5,FALSE)))</f>
        <v>22</v>
      </c>
      <c r="CP63" s="591"/>
      <c r="CQ63" s="613">
        <f t="shared" si="16"/>
        <v>22</v>
      </c>
      <c r="CR63" s="769" t="s">
        <v>920</v>
      </c>
      <c r="CS63" s="575">
        <v>1</v>
      </c>
      <c r="CT63" s="584">
        <f>+IF(CS63="","",(VLOOKUP($C63,'EQUIP RATE SCHEDULE'!$B$11:$F$162,5,FALSE)))</f>
        <v>22</v>
      </c>
      <c r="CU63" s="591"/>
      <c r="CV63" s="613">
        <f t="shared" si="17"/>
        <v>22</v>
      </c>
      <c r="CW63" s="769" t="s">
        <v>920</v>
      </c>
      <c r="CX63" s="575">
        <v>1</v>
      </c>
      <c r="CY63" s="584">
        <f>+IF(CX63="","",(VLOOKUP($C63,'EQUIP RATE SCHEDULE'!$B$11:$F$162,5,FALSE)))</f>
        <v>22</v>
      </c>
      <c r="CZ63" s="591"/>
      <c r="DA63" s="613">
        <f t="shared" si="18"/>
        <v>22</v>
      </c>
    </row>
    <row r="64" spans="1:105" s="150" customFormat="1" ht="15" x14ac:dyDescent="0.25">
      <c r="A64" s="1513"/>
      <c r="B64" s="809" t="s">
        <v>522</v>
      </c>
      <c r="C64" s="776" t="s">
        <v>1023</v>
      </c>
      <c r="D64" s="779" t="s">
        <v>1024</v>
      </c>
      <c r="E64" s="780"/>
      <c r="F64" s="769" t="s">
        <v>920</v>
      </c>
      <c r="G64" s="575">
        <v>1</v>
      </c>
      <c r="H64" s="584">
        <f>+IF(G64="","",(VLOOKUP($C64,'EQUIP RATE SCHEDULE'!$B$11:$F$162,5,FALSE)))</f>
        <v>15</v>
      </c>
      <c r="I64" s="591"/>
      <c r="J64" s="613">
        <f t="shared" si="19"/>
        <v>15</v>
      </c>
      <c r="K64" s="769" t="s">
        <v>920</v>
      </c>
      <c r="L64" s="575">
        <v>1</v>
      </c>
      <c r="M64" s="584">
        <f>+IF(L64="","",(VLOOKUP($C64,'EQUIP RATE SCHEDULE'!$B$11:$F$162,5,FALSE)))</f>
        <v>15</v>
      </c>
      <c r="N64" s="591"/>
      <c r="O64" s="613">
        <f t="shared" si="20"/>
        <v>15</v>
      </c>
      <c r="P64" s="769" t="s">
        <v>920</v>
      </c>
      <c r="Q64" s="575">
        <v>1</v>
      </c>
      <c r="R64" s="584">
        <f>+IF(Q64="","",(VLOOKUP($C64,'EQUIP RATE SCHEDULE'!$B$11:$F$162,5,FALSE)))</f>
        <v>15</v>
      </c>
      <c r="S64" s="591"/>
      <c r="T64" s="613">
        <f t="shared" si="21"/>
        <v>15</v>
      </c>
      <c r="U64" s="769" t="s">
        <v>920</v>
      </c>
      <c r="V64" s="575">
        <v>1</v>
      </c>
      <c r="W64" s="584">
        <f>+IF(V64="","",(VLOOKUP($C64,'EQUIP RATE SCHEDULE'!$B$11:$F$162,5,FALSE)))</f>
        <v>15</v>
      </c>
      <c r="X64" s="591"/>
      <c r="Y64" s="613">
        <f t="shared" si="22"/>
        <v>15</v>
      </c>
      <c r="Z64" s="769" t="s">
        <v>920</v>
      </c>
      <c r="AA64" s="575">
        <v>1</v>
      </c>
      <c r="AB64" s="584">
        <f>+IF(AA64="","",(VLOOKUP($C64,'EQUIP RATE SCHEDULE'!$B$11:$F$162,5,FALSE)))</f>
        <v>15</v>
      </c>
      <c r="AC64" s="591"/>
      <c r="AD64" s="613">
        <f t="shared" si="23"/>
        <v>15</v>
      </c>
      <c r="AE64" s="769" t="s">
        <v>920</v>
      </c>
      <c r="AF64" s="575">
        <v>1</v>
      </c>
      <c r="AG64" s="584">
        <f>+IF(AF64="","",(VLOOKUP($C64,'EQUIP RATE SCHEDULE'!$B$11:$F$162,5,FALSE)))</f>
        <v>15</v>
      </c>
      <c r="AH64" s="591"/>
      <c r="AI64" s="613">
        <f t="shared" si="24"/>
        <v>15</v>
      </c>
      <c r="AJ64" s="769" t="s">
        <v>920</v>
      </c>
      <c r="AK64" s="575">
        <v>1</v>
      </c>
      <c r="AL64" s="584">
        <f>+IF(AK64="","",(VLOOKUP($C64,'EQUIP RATE SCHEDULE'!$B$11:$F$162,5,FALSE)))</f>
        <v>15</v>
      </c>
      <c r="AM64" s="591"/>
      <c r="AN64" s="613">
        <f t="shared" si="25"/>
        <v>15</v>
      </c>
      <c r="AO64" s="769" t="s">
        <v>920</v>
      </c>
      <c r="AP64" s="575">
        <v>1</v>
      </c>
      <c r="AQ64" s="584">
        <f>+IF(AP64="","",(VLOOKUP($C64,'EQUIP RATE SCHEDULE'!$B$11:$F$162,5,FALSE)))</f>
        <v>15</v>
      </c>
      <c r="AR64" s="591"/>
      <c r="AS64" s="613">
        <f t="shared" si="26"/>
        <v>15</v>
      </c>
      <c r="AT64" s="769" t="s">
        <v>920</v>
      </c>
      <c r="AU64" s="575">
        <v>1</v>
      </c>
      <c r="AV64" s="584">
        <f>+IF(AU64="","",(VLOOKUP($C64,'EQUIP RATE SCHEDULE'!$B$11:$F$162,5,FALSE)))</f>
        <v>15</v>
      </c>
      <c r="AW64" s="591"/>
      <c r="AX64" s="613">
        <f t="shared" si="27"/>
        <v>15</v>
      </c>
      <c r="AY64" s="769" t="s">
        <v>920</v>
      </c>
      <c r="AZ64" s="575">
        <v>1</v>
      </c>
      <c r="BA64" s="584">
        <f>+IF(AZ64="","",(VLOOKUP($C64,'EQUIP RATE SCHEDULE'!$B$11:$F$162,5,FALSE)))</f>
        <v>15</v>
      </c>
      <c r="BB64" s="591"/>
      <c r="BC64" s="613">
        <f t="shared" si="28"/>
        <v>15</v>
      </c>
      <c r="BD64" s="769" t="s">
        <v>920</v>
      </c>
      <c r="BE64" s="575">
        <v>1</v>
      </c>
      <c r="BF64" s="584">
        <f>+IF(BE64="","",(VLOOKUP($C64,'EQUIP RATE SCHEDULE'!$B$11:$F$162,5,FALSE)))</f>
        <v>15</v>
      </c>
      <c r="BG64" s="591"/>
      <c r="BH64" s="613">
        <f t="shared" si="9"/>
        <v>15</v>
      </c>
      <c r="BI64" s="769" t="s">
        <v>920</v>
      </c>
      <c r="BJ64" s="575">
        <v>1</v>
      </c>
      <c r="BK64" s="584">
        <f>+IF(BJ64="","",(VLOOKUP($C64,'EQUIP RATE SCHEDULE'!$B$11:$F$162,5,FALSE)))</f>
        <v>15</v>
      </c>
      <c r="BL64" s="591"/>
      <c r="BM64" s="613">
        <f t="shared" si="10"/>
        <v>15</v>
      </c>
      <c r="BN64" s="769" t="s">
        <v>920</v>
      </c>
      <c r="BO64" s="575">
        <v>1</v>
      </c>
      <c r="BP64" s="584">
        <f>+IF(BO64="","",(VLOOKUP($C64,'EQUIP RATE SCHEDULE'!$B$11:$F$162,5,FALSE)))</f>
        <v>15</v>
      </c>
      <c r="BQ64" s="591"/>
      <c r="BR64" s="613">
        <f t="shared" si="11"/>
        <v>15</v>
      </c>
      <c r="BS64" s="769" t="s">
        <v>920</v>
      </c>
      <c r="BT64" s="575">
        <v>1</v>
      </c>
      <c r="BU64" s="584">
        <f>+IF(BT64="","",(VLOOKUP($C64,'EQUIP RATE SCHEDULE'!$B$11:$F$162,5,FALSE)))</f>
        <v>15</v>
      </c>
      <c r="BV64" s="591"/>
      <c r="BW64" s="613">
        <f t="shared" si="12"/>
        <v>15</v>
      </c>
      <c r="BX64" s="769" t="s">
        <v>920</v>
      </c>
      <c r="BY64" s="575">
        <v>1</v>
      </c>
      <c r="BZ64" s="584">
        <f>+IF(BY64="","",(VLOOKUP($C64,'EQUIP RATE SCHEDULE'!$B$11:$F$162,5,FALSE)))</f>
        <v>15</v>
      </c>
      <c r="CA64" s="591"/>
      <c r="CB64" s="613">
        <f t="shared" si="13"/>
        <v>15</v>
      </c>
      <c r="CC64" s="769" t="s">
        <v>920</v>
      </c>
      <c r="CD64" s="575">
        <v>1</v>
      </c>
      <c r="CE64" s="584">
        <f>+IF(CD64="","",(VLOOKUP($C64,'EQUIP RATE SCHEDULE'!$B$11:$F$162,5,FALSE)))</f>
        <v>15</v>
      </c>
      <c r="CF64" s="591"/>
      <c r="CG64" s="613">
        <f t="shared" si="14"/>
        <v>15</v>
      </c>
      <c r="CH64" s="769" t="s">
        <v>920</v>
      </c>
      <c r="CI64" s="575">
        <v>1</v>
      </c>
      <c r="CJ64" s="584">
        <f>+IF(CI64="","",(VLOOKUP($C64,'EQUIP RATE SCHEDULE'!$B$11:$F$162,5,FALSE)))</f>
        <v>15</v>
      </c>
      <c r="CK64" s="591"/>
      <c r="CL64" s="613">
        <f t="shared" si="15"/>
        <v>15</v>
      </c>
      <c r="CM64" s="769" t="s">
        <v>920</v>
      </c>
      <c r="CN64" s="575">
        <v>1</v>
      </c>
      <c r="CO64" s="584">
        <f>+IF(CN64="","",(VLOOKUP($C64,'EQUIP RATE SCHEDULE'!$B$11:$F$162,5,FALSE)))</f>
        <v>15</v>
      </c>
      <c r="CP64" s="591"/>
      <c r="CQ64" s="613">
        <f t="shared" si="16"/>
        <v>15</v>
      </c>
      <c r="CR64" s="769" t="s">
        <v>920</v>
      </c>
      <c r="CS64" s="575">
        <v>1</v>
      </c>
      <c r="CT64" s="584">
        <f>+IF(CS64="","",(VLOOKUP($C64,'EQUIP RATE SCHEDULE'!$B$11:$F$162,5,FALSE)))</f>
        <v>15</v>
      </c>
      <c r="CU64" s="591"/>
      <c r="CV64" s="613">
        <f t="shared" si="17"/>
        <v>15</v>
      </c>
      <c r="CW64" s="769" t="s">
        <v>920</v>
      </c>
      <c r="CX64" s="575">
        <v>1</v>
      </c>
      <c r="CY64" s="584">
        <f>+IF(CX64="","",(VLOOKUP($C64,'EQUIP RATE SCHEDULE'!$B$11:$F$162,5,FALSE)))</f>
        <v>15</v>
      </c>
      <c r="CZ64" s="591"/>
      <c r="DA64" s="613">
        <f t="shared" si="18"/>
        <v>15</v>
      </c>
    </row>
    <row r="65" spans="1:105" ht="15" x14ac:dyDescent="0.25">
      <c r="A65" s="1513"/>
      <c r="B65" s="809" t="s">
        <v>522</v>
      </c>
      <c r="C65" s="776" t="s">
        <v>1025</v>
      </c>
      <c r="D65" s="779" t="s">
        <v>1026</v>
      </c>
      <c r="E65" s="780" t="s">
        <v>1027</v>
      </c>
      <c r="F65" s="769" t="s">
        <v>1101</v>
      </c>
      <c r="G65" s="575">
        <v>1</v>
      </c>
      <c r="H65" s="584">
        <f>+IF(G65="","",(VLOOKUP($C65,'EQUIP RATE SCHEDULE'!$B$11:$F$162,5,FALSE)))</f>
        <v>3</v>
      </c>
      <c r="I65" s="591"/>
      <c r="J65" s="613">
        <f t="shared" si="19"/>
        <v>3</v>
      </c>
      <c r="K65" s="769" t="s">
        <v>1101</v>
      </c>
      <c r="L65" s="575">
        <v>1</v>
      </c>
      <c r="M65" s="584">
        <f>+IF(L65="","",(VLOOKUP($C65,'EQUIP RATE SCHEDULE'!$B$11:$F$162,5,FALSE)))</f>
        <v>3</v>
      </c>
      <c r="N65" s="591"/>
      <c r="O65" s="613">
        <f t="shared" si="20"/>
        <v>3</v>
      </c>
      <c r="P65" s="769" t="s">
        <v>1101</v>
      </c>
      <c r="Q65" s="575">
        <v>1</v>
      </c>
      <c r="R65" s="584">
        <f>+IF(Q65="","",(VLOOKUP($C65,'EQUIP RATE SCHEDULE'!$B$11:$F$162,5,FALSE)))</f>
        <v>3</v>
      </c>
      <c r="S65" s="591"/>
      <c r="T65" s="613">
        <f t="shared" si="21"/>
        <v>3</v>
      </c>
      <c r="U65" s="769" t="s">
        <v>1101</v>
      </c>
      <c r="V65" s="575">
        <v>1</v>
      </c>
      <c r="W65" s="584">
        <f>+IF(V65="","",(VLOOKUP($C65,'EQUIP RATE SCHEDULE'!$B$11:$F$162,5,FALSE)))</f>
        <v>3</v>
      </c>
      <c r="X65" s="591"/>
      <c r="Y65" s="613">
        <f t="shared" si="22"/>
        <v>3</v>
      </c>
      <c r="Z65" s="769" t="s">
        <v>1101</v>
      </c>
      <c r="AA65" s="575">
        <v>1</v>
      </c>
      <c r="AB65" s="584">
        <f>+IF(AA65="","",(VLOOKUP($C65,'EQUIP RATE SCHEDULE'!$B$11:$F$162,5,FALSE)))</f>
        <v>3</v>
      </c>
      <c r="AC65" s="591"/>
      <c r="AD65" s="613">
        <f t="shared" si="23"/>
        <v>3</v>
      </c>
      <c r="AE65" s="769" t="s">
        <v>1101</v>
      </c>
      <c r="AF65" s="575">
        <v>1</v>
      </c>
      <c r="AG65" s="584">
        <f>+IF(AF65="","",(VLOOKUP($C65,'EQUIP RATE SCHEDULE'!$B$11:$F$162,5,FALSE)))</f>
        <v>3</v>
      </c>
      <c r="AH65" s="591"/>
      <c r="AI65" s="613">
        <f t="shared" si="24"/>
        <v>3</v>
      </c>
      <c r="AJ65" s="769" t="s">
        <v>1101</v>
      </c>
      <c r="AK65" s="575">
        <v>1</v>
      </c>
      <c r="AL65" s="584">
        <f>+IF(AK65="","",(VLOOKUP($C65,'EQUIP RATE SCHEDULE'!$B$11:$F$162,5,FALSE)))</f>
        <v>3</v>
      </c>
      <c r="AM65" s="591"/>
      <c r="AN65" s="613">
        <f t="shared" si="25"/>
        <v>3</v>
      </c>
      <c r="AO65" s="769" t="s">
        <v>1101</v>
      </c>
      <c r="AP65" s="575">
        <v>1</v>
      </c>
      <c r="AQ65" s="584">
        <f>+IF(AP65="","",(VLOOKUP($C65,'EQUIP RATE SCHEDULE'!$B$11:$F$162,5,FALSE)))</f>
        <v>3</v>
      </c>
      <c r="AR65" s="591"/>
      <c r="AS65" s="613">
        <f t="shared" si="26"/>
        <v>3</v>
      </c>
      <c r="AT65" s="769" t="s">
        <v>1101</v>
      </c>
      <c r="AU65" s="575">
        <v>1</v>
      </c>
      <c r="AV65" s="584">
        <f>+IF(AU65="","",(VLOOKUP($C65,'EQUIP RATE SCHEDULE'!$B$11:$F$162,5,FALSE)))</f>
        <v>3</v>
      </c>
      <c r="AW65" s="591"/>
      <c r="AX65" s="613">
        <f t="shared" si="27"/>
        <v>3</v>
      </c>
      <c r="AY65" s="769" t="s">
        <v>1101</v>
      </c>
      <c r="AZ65" s="575">
        <v>1</v>
      </c>
      <c r="BA65" s="584">
        <f>+IF(AZ65="","",(VLOOKUP($C65,'EQUIP RATE SCHEDULE'!$B$11:$F$162,5,FALSE)))</f>
        <v>3</v>
      </c>
      <c r="BB65" s="591"/>
      <c r="BC65" s="613">
        <f t="shared" si="28"/>
        <v>3</v>
      </c>
      <c r="BD65" s="769" t="s">
        <v>1101</v>
      </c>
      <c r="BE65" s="575">
        <v>1</v>
      </c>
      <c r="BF65" s="584">
        <f>+IF(BE65="","",(VLOOKUP($C65,'EQUIP RATE SCHEDULE'!$B$11:$F$162,5,FALSE)))</f>
        <v>3</v>
      </c>
      <c r="BG65" s="591"/>
      <c r="BH65" s="613">
        <f t="shared" si="9"/>
        <v>3</v>
      </c>
      <c r="BI65" s="769" t="s">
        <v>1101</v>
      </c>
      <c r="BJ65" s="575">
        <v>1</v>
      </c>
      <c r="BK65" s="584">
        <f>+IF(BJ65="","",(VLOOKUP($C65,'EQUIP RATE SCHEDULE'!$B$11:$F$162,5,FALSE)))</f>
        <v>3</v>
      </c>
      <c r="BL65" s="591"/>
      <c r="BM65" s="613">
        <f t="shared" si="10"/>
        <v>3</v>
      </c>
      <c r="BN65" s="769" t="s">
        <v>1101</v>
      </c>
      <c r="BO65" s="575">
        <v>1</v>
      </c>
      <c r="BP65" s="584">
        <f>+IF(BO65="","",(VLOOKUP($C65,'EQUIP RATE SCHEDULE'!$B$11:$F$162,5,FALSE)))</f>
        <v>3</v>
      </c>
      <c r="BQ65" s="591"/>
      <c r="BR65" s="613">
        <f t="shared" si="11"/>
        <v>3</v>
      </c>
      <c r="BS65" s="769" t="s">
        <v>1101</v>
      </c>
      <c r="BT65" s="575">
        <v>1</v>
      </c>
      <c r="BU65" s="584">
        <f>+IF(BT65="","",(VLOOKUP($C65,'EQUIP RATE SCHEDULE'!$B$11:$F$162,5,FALSE)))</f>
        <v>3</v>
      </c>
      <c r="BV65" s="591"/>
      <c r="BW65" s="613">
        <f t="shared" si="12"/>
        <v>3</v>
      </c>
      <c r="BX65" s="769" t="s">
        <v>1101</v>
      </c>
      <c r="BY65" s="575">
        <v>1</v>
      </c>
      <c r="BZ65" s="584">
        <f>+IF(BY65="","",(VLOOKUP($C65,'EQUIP RATE SCHEDULE'!$B$11:$F$162,5,FALSE)))</f>
        <v>3</v>
      </c>
      <c r="CA65" s="591"/>
      <c r="CB65" s="613">
        <f t="shared" si="13"/>
        <v>3</v>
      </c>
      <c r="CC65" s="769" t="s">
        <v>1101</v>
      </c>
      <c r="CD65" s="575">
        <v>1</v>
      </c>
      <c r="CE65" s="584">
        <f>+IF(CD65="","",(VLOOKUP($C65,'EQUIP RATE SCHEDULE'!$B$11:$F$162,5,FALSE)))</f>
        <v>3</v>
      </c>
      <c r="CF65" s="591"/>
      <c r="CG65" s="613">
        <f t="shared" si="14"/>
        <v>3</v>
      </c>
      <c r="CH65" s="769" t="s">
        <v>1101</v>
      </c>
      <c r="CI65" s="575">
        <v>1</v>
      </c>
      <c r="CJ65" s="584">
        <f>+IF(CI65="","",(VLOOKUP($C65,'EQUIP RATE SCHEDULE'!$B$11:$F$162,5,FALSE)))</f>
        <v>3</v>
      </c>
      <c r="CK65" s="591"/>
      <c r="CL65" s="613">
        <f t="shared" si="15"/>
        <v>3</v>
      </c>
      <c r="CM65" s="769" t="s">
        <v>1101</v>
      </c>
      <c r="CN65" s="575">
        <v>1</v>
      </c>
      <c r="CO65" s="584">
        <f>+IF(CN65="","",(VLOOKUP($C65,'EQUIP RATE SCHEDULE'!$B$11:$F$162,5,FALSE)))</f>
        <v>3</v>
      </c>
      <c r="CP65" s="591"/>
      <c r="CQ65" s="613">
        <f t="shared" si="16"/>
        <v>3</v>
      </c>
      <c r="CR65" s="769" t="s">
        <v>1101</v>
      </c>
      <c r="CS65" s="575">
        <v>1</v>
      </c>
      <c r="CT65" s="584">
        <f>+IF(CS65="","",(VLOOKUP($C65,'EQUIP RATE SCHEDULE'!$B$11:$F$162,5,FALSE)))</f>
        <v>3</v>
      </c>
      <c r="CU65" s="591"/>
      <c r="CV65" s="613">
        <f t="shared" si="17"/>
        <v>3</v>
      </c>
      <c r="CW65" s="769" t="s">
        <v>1101</v>
      </c>
      <c r="CX65" s="575">
        <v>1</v>
      </c>
      <c r="CY65" s="584">
        <f>+IF(CX65="","",(VLOOKUP($C65,'EQUIP RATE SCHEDULE'!$B$11:$F$162,5,FALSE)))</f>
        <v>3</v>
      </c>
      <c r="CZ65" s="591"/>
      <c r="DA65" s="613">
        <f t="shared" si="18"/>
        <v>3</v>
      </c>
    </row>
    <row r="66" spans="1:105" ht="15" x14ac:dyDescent="0.25">
      <c r="A66" s="1513"/>
      <c r="B66" s="809" t="s">
        <v>522</v>
      </c>
      <c r="C66" s="776" t="s">
        <v>1028</v>
      </c>
      <c r="D66" s="779" t="s">
        <v>1029</v>
      </c>
      <c r="E66" s="780" t="s">
        <v>1030</v>
      </c>
      <c r="F66" s="770" t="s">
        <v>1101</v>
      </c>
      <c r="G66" s="575">
        <v>1</v>
      </c>
      <c r="H66" s="584">
        <f>+IF(G66="","",(VLOOKUP($C66,'EQUIP RATE SCHEDULE'!$B$11:$F$162,5,FALSE)))</f>
        <v>2.5</v>
      </c>
      <c r="I66" s="591"/>
      <c r="J66" s="613">
        <f t="shared" si="19"/>
        <v>2.5</v>
      </c>
      <c r="K66" s="770" t="s">
        <v>1101</v>
      </c>
      <c r="L66" s="575">
        <v>1</v>
      </c>
      <c r="M66" s="584">
        <f>+IF(L66="","",(VLOOKUP($C66,'EQUIP RATE SCHEDULE'!$B$11:$F$162,5,FALSE)))</f>
        <v>2.5</v>
      </c>
      <c r="N66" s="615"/>
      <c r="O66" s="589">
        <f t="shared" si="20"/>
        <v>2.5</v>
      </c>
      <c r="P66" s="770" t="s">
        <v>1101</v>
      </c>
      <c r="Q66" s="575">
        <v>1</v>
      </c>
      <c r="R66" s="583">
        <f>+IF(Q66="","",(VLOOKUP($C66,'EQUIP RATE SCHEDULE'!$B$11:$F$162,5,FALSE)))</f>
        <v>2.5</v>
      </c>
      <c r="S66" s="615"/>
      <c r="T66" s="589">
        <f t="shared" si="21"/>
        <v>2.5</v>
      </c>
      <c r="U66" s="770" t="s">
        <v>1101</v>
      </c>
      <c r="V66" s="575">
        <v>1</v>
      </c>
      <c r="W66" s="583">
        <f>+IF(V66="","",(VLOOKUP($C66,'EQUIP RATE SCHEDULE'!$B$11:$F$162,5,FALSE)))</f>
        <v>2.5</v>
      </c>
      <c r="X66" s="615"/>
      <c r="Y66" s="589">
        <f t="shared" si="22"/>
        <v>2.5</v>
      </c>
      <c r="Z66" s="770" t="s">
        <v>1101</v>
      </c>
      <c r="AA66" s="575">
        <v>1</v>
      </c>
      <c r="AB66" s="583">
        <f>+IF(AA66="","",(VLOOKUP($C66,'EQUIP RATE SCHEDULE'!$B$11:$F$162,5,FALSE)))</f>
        <v>2.5</v>
      </c>
      <c r="AC66" s="615"/>
      <c r="AD66" s="589">
        <f t="shared" si="23"/>
        <v>2.5</v>
      </c>
      <c r="AE66" s="770" t="s">
        <v>1101</v>
      </c>
      <c r="AF66" s="575">
        <v>1</v>
      </c>
      <c r="AG66" s="583">
        <f>+IF(AF66="","",(VLOOKUP($C66,'EQUIP RATE SCHEDULE'!$B$11:$F$162,5,FALSE)))</f>
        <v>2.5</v>
      </c>
      <c r="AH66" s="615"/>
      <c r="AI66" s="589">
        <f t="shared" si="24"/>
        <v>2.5</v>
      </c>
      <c r="AJ66" s="770" t="s">
        <v>1101</v>
      </c>
      <c r="AK66" s="575">
        <v>1</v>
      </c>
      <c r="AL66" s="583">
        <f>+IF(AK66="","",(VLOOKUP($C66,'EQUIP RATE SCHEDULE'!$B$11:$F$162,5,FALSE)))</f>
        <v>2.5</v>
      </c>
      <c r="AM66" s="615"/>
      <c r="AN66" s="589">
        <f t="shared" si="25"/>
        <v>2.5</v>
      </c>
      <c r="AO66" s="770" t="s">
        <v>1101</v>
      </c>
      <c r="AP66" s="575">
        <v>1</v>
      </c>
      <c r="AQ66" s="583">
        <f>+IF(AP66="","",(VLOOKUP($C66,'EQUIP RATE SCHEDULE'!$B$11:$F$162,5,FALSE)))</f>
        <v>2.5</v>
      </c>
      <c r="AR66" s="615"/>
      <c r="AS66" s="589">
        <f t="shared" si="26"/>
        <v>2.5</v>
      </c>
      <c r="AT66" s="770" t="s">
        <v>1101</v>
      </c>
      <c r="AU66" s="575">
        <v>1</v>
      </c>
      <c r="AV66" s="583">
        <f>+IF(AU66="","",(VLOOKUP($C66,'EQUIP RATE SCHEDULE'!$B$11:$F$162,5,FALSE)))</f>
        <v>2.5</v>
      </c>
      <c r="AW66" s="615"/>
      <c r="AX66" s="589">
        <f t="shared" si="27"/>
        <v>2.5</v>
      </c>
      <c r="AY66" s="770" t="s">
        <v>1101</v>
      </c>
      <c r="AZ66" s="575">
        <v>1</v>
      </c>
      <c r="BA66" s="583">
        <f>+IF(AZ66="","",(VLOOKUP($C66,'EQUIP RATE SCHEDULE'!$B$11:$F$162,5,FALSE)))</f>
        <v>2.5</v>
      </c>
      <c r="BB66" s="615"/>
      <c r="BC66" s="589">
        <f t="shared" si="28"/>
        <v>2.5</v>
      </c>
      <c r="BD66" s="770" t="s">
        <v>1101</v>
      </c>
      <c r="BE66" s="575">
        <v>1</v>
      </c>
      <c r="BF66" s="583">
        <f>+IF(BE66="","",(VLOOKUP($C66,'EQUIP RATE SCHEDULE'!$B$11:$F$162,5,FALSE)))</f>
        <v>2.5</v>
      </c>
      <c r="BG66" s="615"/>
      <c r="BH66" s="589">
        <f t="shared" si="9"/>
        <v>2.5</v>
      </c>
      <c r="BI66" s="770" t="s">
        <v>1101</v>
      </c>
      <c r="BJ66" s="575">
        <v>1</v>
      </c>
      <c r="BK66" s="583">
        <f>+IF(BJ66="","",(VLOOKUP($C66,'EQUIP RATE SCHEDULE'!$B$11:$F$162,5,FALSE)))</f>
        <v>2.5</v>
      </c>
      <c r="BL66" s="615"/>
      <c r="BM66" s="589">
        <f t="shared" si="10"/>
        <v>2.5</v>
      </c>
      <c r="BN66" s="770" t="s">
        <v>1101</v>
      </c>
      <c r="BO66" s="575">
        <v>1</v>
      </c>
      <c r="BP66" s="583">
        <f>+IF(BO66="","",(VLOOKUP($C66,'EQUIP RATE SCHEDULE'!$B$11:$F$162,5,FALSE)))</f>
        <v>2.5</v>
      </c>
      <c r="BQ66" s="615"/>
      <c r="BR66" s="589">
        <f t="shared" si="11"/>
        <v>2.5</v>
      </c>
      <c r="BS66" s="770" t="s">
        <v>1101</v>
      </c>
      <c r="BT66" s="575">
        <v>1</v>
      </c>
      <c r="BU66" s="583">
        <f>+IF(BT66="","",(VLOOKUP($C66,'EQUIP RATE SCHEDULE'!$B$11:$F$162,5,FALSE)))</f>
        <v>2.5</v>
      </c>
      <c r="BV66" s="615"/>
      <c r="BW66" s="589">
        <f t="shared" si="12"/>
        <v>2.5</v>
      </c>
      <c r="BX66" s="770" t="s">
        <v>1101</v>
      </c>
      <c r="BY66" s="575">
        <v>1</v>
      </c>
      <c r="BZ66" s="583">
        <f>+IF(BY66="","",(VLOOKUP($C66,'EQUIP RATE SCHEDULE'!$B$11:$F$162,5,FALSE)))</f>
        <v>2.5</v>
      </c>
      <c r="CA66" s="615"/>
      <c r="CB66" s="589">
        <f t="shared" si="13"/>
        <v>2.5</v>
      </c>
      <c r="CC66" s="770" t="s">
        <v>1101</v>
      </c>
      <c r="CD66" s="575">
        <v>1</v>
      </c>
      <c r="CE66" s="583">
        <f>+IF(CD66="","",(VLOOKUP($C66,'EQUIP RATE SCHEDULE'!$B$11:$F$162,5,FALSE)))</f>
        <v>2.5</v>
      </c>
      <c r="CF66" s="615"/>
      <c r="CG66" s="589">
        <f t="shared" si="14"/>
        <v>2.5</v>
      </c>
      <c r="CH66" s="770" t="s">
        <v>1101</v>
      </c>
      <c r="CI66" s="575">
        <v>1</v>
      </c>
      <c r="CJ66" s="583">
        <f>+IF(CI66="","",(VLOOKUP($C66,'EQUIP RATE SCHEDULE'!$B$11:$F$162,5,FALSE)))</f>
        <v>2.5</v>
      </c>
      <c r="CK66" s="615"/>
      <c r="CL66" s="589">
        <f t="shared" si="15"/>
        <v>2.5</v>
      </c>
      <c r="CM66" s="770" t="s">
        <v>1101</v>
      </c>
      <c r="CN66" s="575">
        <v>1</v>
      </c>
      <c r="CO66" s="583">
        <f>+IF(CN66="","",(VLOOKUP($C66,'EQUIP RATE SCHEDULE'!$B$11:$F$162,5,FALSE)))</f>
        <v>2.5</v>
      </c>
      <c r="CP66" s="615"/>
      <c r="CQ66" s="589">
        <f t="shared" si="16"/>
        <v>2.5</v>
      </c>
      <c r="CR66" s="770" t="s">
        <v>1101</v>
      </c>
      <c r="CS66" s="575">
        <v>1</v>
      </c>
      <c r="CT66" s="583">
        <f>+IF(CS66="","",(VLOOKUP($C66,'EQUIP RATE SCHEDULE'!$B$11:$F$162,5,FALSE)))</f>
        <v>2.5</v>
      </c>
      <c r="CU66" s="615"/>
      <c r="CV66" s="589">
        <f t="shared" si="17"/>
        <v>2.5</v>
      </c>
      <c r="CW66" s="770" t="s">
        <v>1101</v>
      </c>
      <c r="CX66" s="575">
        <v>1</v>
      </c>
      <c r="CY66" s="583">
        <f>+IF(CX66="","",(VLOOKUP($C66,'EQUIP RATE SCHEDULE'!$B$11:$F$162,5,FALSE)))</f>
        <v>2.5</v>
      </c>
      <c r="CZ66" s="615"/>
      <c r="DA66" s="589">
        <f t="shared" si="18"/>
        <v>2.5</v>
      </c>
    </row>
    <row r="67" spans="1:105" ht="15" x14ac:dyDescent="0.25">
      <c r="A67" s="1513"/>
      <c r="B67" s="809" t="s">
        <v>522</v>
      </c>
      <c r="C67" s="776" t="s">
        <v>1031</v>
      </c>
      <c r="D67" s="779" t="s">
        <v>1224</v>
      </c>
      <c r="E67" s="780" t="s">
        <v>1225</v>
      </c>
      <c r="F67" s="769" t="s">
        <v>1101</v>
      </c>
      <c r="G67" s="575">
        <v>1</v>
      </c>
      <c r="H67" s="584">
        <f>+IF(G67="","",(VLOOKUP($C67,'EQUIP RATE SCHEDULE'!$B$11:$F$162,5,FALSE)))</f>
        <v>0.15</v>
      </c>
      <c r="I67" s="591"/>
      <c r="J67" s="613">
        <f t="shared" si="19"/>
        <v>0.15</v>
      </c>
      <c r="K67" s="769" t="s">
        <v>1101</v>
      </c>
      <c r="L67" s="575"/>
      <c r="M67" s="584" t="str">
        <f>+IF(L67="","",(VLOOKUP($C67,'EQUIP RATE SCHEDULE'!$B$11:$F$162,5,FALSE)))</f>
        <v/>
      </c>
      <c r="N67" s="591"/>
      <c r="O67" s="613" t="str">
        <f t="shared" si="20"/>
        <v/>
      </c>
      <c r="P67" s="769" t="s">
        <v>1101</v>
      </c>
      <c r="Q67" s="575">
        <v>1</v>
      </c>
      <c r="R67" s="584">
        <f>+IF(Q67="","",(VLOOKUP($C67,'EQUIP RATE SCHEDULE'!$B$11:$F$162,5,FALSE)))</f>
        <v>0.15</v>
      </c>
      <c r="S67" s="591"/>
      <c r="T67" s="613">
        <f t="shared" si="21"/>
        <v>0.15</v>
      </c>
      <c r="U67" s="769" t="s">
        <v>1101</v>
      </c>
      <c r="V67" s="575">
        <v>1</v>
      </c>
      <c r="W67" s="584">
        <f>+IF(V67="","",(VLOOKUP($C67,'EQUIP RATE SCHEDULE'!$B$11:$F$162,5,FALSE)))</f>
        <v>0.15</v>
      </c>
      <c r="X67" s="591"/>
      <c r="Y67" s="613">
        <f t="shared" si="22"/>
        <v>0.15</v>
      </c>
      <c r="Z67" s="769" t="s">
        <v>1101</v>
      </c>
      <c r="AA67" s="575">
        <v>1</v>
      </c>
      <c r="AB67" s="584">
        <f>+IF(AA67="","",(VLOOKUP($C67,'EQUIP RATE SCHEDULE'!$B$11:$F$162,5,FALSE)))</f>
        <v>0.15</v>
      </c>
      <c r="AC67" s="591"/>
      <c r="AD67" s="613">
        <f t="shared" si="23"/>
        <v>0.15</v>
      </c>
      <c r="AE67" s="769" t="s">
        <v>1101</v>
      </c>
      <c r="AF67" s="575">
        <v>1</v>
      </c>
      <c r="AG67" s="584">
        <f>+IF(AF67="","",(VLOOKUP($C67,'EQUIP RATE SCHEDULE'!$B$11:$F$162,5,FALSE)))</f>
        <v>0.15</v>
      </c>
      <c r="AH67" s="591"/>
      <c r="AI67" s="613">
        <f t="shared" si="24"/>
        <v>0.15</v>
      </c>
      <c r="AJ67" s="769" t="s">
        <v>1101</v>
      </c>
      <c r="AK67" s="575">
        <v>1</v>
      </c>
      <c r="AL67" s="584">
        <f>+IF(AK67="","",(VLOOKUP($C67,'EQUIP RATE SCHEDULE'!$B$11:$F$162,5,FALSE)))</f>
        <v>0.15</v>
      </c>
      <c r="AM67" s="591"/>
      <c r="AN67" s="613">
        <f t="shared" si="25"/>
        <v>0.15</v>
      </c>
      <c r="AO67" s="769" t="s">
        <v>1101</v>
      </c>
      <c r="AP67" s="575">
        <v>1</v>
      </c>
      <c r="AQ67" s="584">
        <f>+IF(AP67="","",(VLOOKUP($C67,'EQUIP RATE SCHEDULE'!$B$11:$F$162,5,FALSE)))</f>
        <v>0.15</v>
      </c>
      <c r="AR67" s="591"/>
      <c r="AS67" s="613">
        <f t="shared" si="26"/>
        <v>0.15</v>
      </c>
      <c r="AT67" s="769" t="s">
        <v>1101</v>
      </c>
      <c r="AU67" s="575">
        <v>1</v>
      </c>
      <c r="AV67" s="584">
        <f>+IF(AU67="","",(VLOOKUP($C67,'EQUIP RATE SCHEDULE'!$B$11:$F$162,5,FALSE)))</f>
        <v>0.15</v>
      </c>
      <c r="AW67" s="591"/>
      <c r="AX67" s="613">
        <f t="shared" si="27"/>
        <v>0.15</v>
      </c>
      <c r="AY67" s="769" t="s">
        <v>1101</v>
      </c>
      <c r="AZ67" s="575">
        <v>1</v>
      </c>
      <c r="BA67" s="584">
        <f>+IF(AZ67="","",(VLOOKUP($C67,'EQUIP RATE SCHEDULE'!$B$11:$F$162,5,FALSE)))</f>
        <v>0.15</v>
      </c>
      <c r="BB67" s="591"/>
      <c r="BC67" s="613">
        <f t="shared" si="28"/>
        <v>0.15</v>
      </c>
      <c r="BD67" s="769" t="s">
        <v>1101</v>
      </c>
      <c r="BE67" s="575">
        <v>1</v>
      </c>
      <c r="BF67" s="584">
        <f>+IF(BE67="","",(VLOOKUP($C67,'EQUIP RATE SCHEDULE'!$B$11:$F$162,5,FALSE)))</f>
        <v>0.15</v>
      </c>
      <c r="BG67" s="591"/>
      <c r="BH67" s="613">
        <f t="shared" si="9"/>
        <v>0.15</v>
      </c>
      <c r="BI67" s="769" t="s">
        <v>1101</v>
      </c>
      <c r="BJ67" s="575">
        <v>1</v>
      </c>
      <c r="BK67" s="584">
        <f>+IF(BJ67="","",(VLOOKUP($C67,'EQUIP RATE SCHEDULE'!$B$11:$F$162,5,FALSE)))</f>
        <v>0.15</v>
      </c>
      <c r="BL67" s="591"/>
      <c r="BM67" s="613">
        <f t="shared" si="10"/>
        <v>0.15</v>
      </c>
      <c r="BN67" s="769" t="s">
        <v>1101</v>
      </c>
      <c r="BO67" s="575">
        <v>1</v>
      </c>
      <c r="BP67" s="584">
        <f>+IF(BO67="","",(VLOOKUP($C67,'EQUIP RATE SCHEDULE'!$B$11:$F$162,5,FALSE)))</f>
        <v>0.15</v>
      </c>
      <c r="BQ67" s="591"/>
      <c r="BR67" s="613">
        <f t="shared" si="11"/>
        <v>0.15</v>
      </c>
      <c r="BS67" s="769" t="s">
        <v>1101</v>
      </c>
      <c r="BT67" s="575">
        <v>1</v>
      </c>
      <c r="BU67" s="584">
        <f>+IF(BT67="","",(VLOOKUP($C67,'EQUIP RATE SCHEDULE'!$B$11:$F$162,5,FALSE)))</f>
        <v>0.15</v>
      </c>
      <c r="BV67" s="591"/>
      <c r="BW67" s="613">
        <f t="shared" si="12"/>
        <v>0.15</v>
      </c>
      <c r="BX67" s="769" t="s">
        <v>1101</v>
      </c>
      <c r="BY67" s="575">
        <v>1</v>
      </c>
      <c r="BZ67" s="584">
        <f>+IF(BY67="","",(VLOOKUP($C67,'EQUIP RATE SCHEDULE'!$B$11:$F$162,5,FALSE)))</f>
        <v>0.15</v>
      </c>
      <c r="CA67" s="591"/>
      <c r="CB67" s="613">
        <f t="shared" si="13"/>
        <v>0.15</v>
      </c>
      <c r="CC67" s="769" t="s">
        <v>1101</v>
      </c>
      <c r="CD67" s="575">
        <v>1</v>
      </c>
      <c r="CE67" s="584">
        <f>+IF(CD67="","",(VLOOKUP($C67,'EQUIP RATE SCHEDULE'!$B$11:$F$162,5,FALSE)))</f>
        <v>0.15</v>
      </c>
      <c r="CF67" s="591"/>
      <c r="CG67" s="613">
        <f t="shared" si="14"/>
        <v>0.15</v>
      </c>
      <c r="CH67" s="769" t="s">
        <v>1101</v>
      </c>
      <c r="CI67" s="575">
        <v>1</v>
      </c>
      <c r="CJ67" s="584">
        <f>+IF(CI67="","",(VLOOKUP($C67,'EQUIP RATE SCHEDULE'!$B$11:$F$162,5,FALSE)))</f>
        <v>0.15</v>
      </c>
      <c r="CK67" s="591"/>
      <c r="CL67" s="613">
        <f t="shared" si="15"/>
        <v>0.15</v>
      </c>
      <c r="CM67" s="769" t="s">
        <v>1101</v>
      </c>
      <c r="CN67" s="575">
        <v>1</v>
      </c>
      <c r="CO67" s="584">
        <f>+IF(CN67="","",(VLOOKUP($C67,'EQUIP RATE SCHEDULE'!$B$11:$F$162,5,FALSE)))</f>
        <v>0.15</v>
      </c>
      <c r="CP67" s="591"/>
      <c r="CQ67" s="613">
        <f t="shared" si="16"/>
        <v>0.15</v>
      </c>
      <c r="CR67" s="769" t="s">
        <v>1101</v>
      </c>
      <c r="CS67" s="575">
        <v>1</v>
      </c>
      <c r="CT67" s="584">
        <f>+IF(CS67="","",(VLOOKUP($C67,'EQUIP RATE SCHEDULE'!$B$11:$F$162,5,FALSE)))</f>
        <v>0.15</v>
      </c>
      <c r="CU67" s="591"/>
      <c r="CV67" s="613">
        <f t="shared" si="17"/>
        <v>0.15</v>
      </c>
      <c r="CW67" s="769" t="s">
        <v>1101</v>
      </c>
      <c r="CX67" s="575">
        <v>1</v>
      </c>
      <c r="CY67" s="584">
        <f>+IF(CX67="","",(VLOOKUP($C67,'EQUIP RATE SCHEDULE'!$B$11:$F$162,5,FALSE)))</f>
        <v>0.15</v>
      </c>
      <c r="CZ67" s="591"/>
      <c r="DA67" s="613">
        <f t="shared" si="18"/>
        <v>0.15</v>
      </c>
    </row>
    <row r="68" spans="1:105" ht="15" x14ac:dyDescent="0.25">
      <c r="A68" s="1513"/>
      <c r="B68" s="809" t="s">
        <v>522</v>
      </c>
      <c r="C68" s="776" t="s">
        <v>1034</v>
      </c>
      <c r="D68" s="1491" t="s">
        <v>1035</v>
      </c>
      <c r="E68" s="1503"/>
      <c r="F68" s="769" t="s">
        <v>66</v>
      </c>
      <c r="G68" s="575">
        <v>1</v>
      </c>
      <c r="H68" s="584">
        <f>+IF(G68="","",(VLOOKUP($C68,'EQUIP RATE SCHEDULE'!$B$11:$F$162,5,FALSE)))</f>
        <v>10</v>
      </c>
      <c r="I68" s="591"/>
      <c r="J68" s="613">
        <f t="shared" si="19"/>
        <v>10</v>
      </c>
      <c r="K68" s="769" t="s">
        <v>66</v>
      </c>
      <c r="L68" s="575">
        <v>1</v>
      </c>
      <c r="M68" s="584">
        <f>+IF(L68="","",(VLOOKUP($C68,'EQUIP RATE SCHEDULE'!$B$11:$F$162,5,FALSE)))</f>
        <v>10</v>
      </c>
      <c r="N68" s="591"/>
      <c r="O68" s="613">
        <f t="shared" si="20"/>
        <v>10</v>
      </c>
      <c r="P68" s="769" t="s">
        <v>66</v>
      </c>
      <c r="Q68" s="575">
        <v>1</v>
      </c>
      <c r="R68" s="584">
        <f>+IF(Q68="","",(VLOOKUP($C68,'EQUIP RATE SCHEDULE'!$B$11:$F$162,5,FALSE)))</f>
        <v>10</v>
      </c>
      <c r="S68" s="591"/>
      <c r="T68" s="613">
        <f t="shared" si="21"/>
        <v>10</v>
      </c>
      <c r="U68" s="769" t="s">
        <v>66</v>
      </c>
      <c r="V68" s="575">
        <v>1</v>
      </c>
      <c r="W68" s="584">
        <f>+IF(V68="","",(VLOOKUP($C68,'EQUIP RATE SCHEDULE'!$B$11:$F$162,5,FALSE)))</f>
        <v>10</v>
      </c>
      <c r="X68" s="591"/>
      <c r="Y68" s="613">
        <f t="shared" si="22"/>
        <v>10</v>
      </c>
      <c r="Z68" s="769" t="s">
        <v>66</v>
      </c>
      <c r="AA68" s="575">
        <v>1</v>
      </c>
      <c r="AB68" s="584">
        <f>+IF(AA68="","",(VLOOKUP($C68,'EQUIP RATE SCHEDULE'!$B$11:$F$162,5,FALSE)))</f>
        <v>10</v>
      </c>
      <c r="AC68" s="591"/>
      <c r="AD68" s="613">
        <f t="shared" si="23"/>
        <v>10</v>
      </c>
      <c r="AE68" s="769" t="s">
        <v>66</v>
      </c>
      <c r="AF68" s="575">
        <v>1</v>
      </c>
      <c r="AG68" s="584">
        <f>+IF(AF68="","",(VLOOKUP($C68,'EQUIP RATE SCHEDULE'!$B$11:$F$162,5,FALSE)))</f>
        <v>10</v>
      </c>
      <c r="AH68" s="591"/>
      <c r="AI68" s="613">
        <f t="shared" si="24"/>
        <v>10</v>
      </c>
      <c r="AJ68" s="769" t="s">
        <v>66</v>
      </c>
      <c r="AK68" s="575">
        <v>1</v>
      </c>
      <c r="AL68" s="584">
        <f>+IF(AK68="","",(VLOOKUP($C68,'EQUIP RATE SCHEDULE'!$B$11:$F$162,5,FALSE)))</f>
        <v>10</v>
      </c>
      <c r="AM68" s="591"/>
      <c r="AN68" s="613">
        <f t="shared" si="25"/>
        <v>10</v>
      </c>
      <c r="AO68" s="769" t="s">
        <v>66</v>
      </c>
      <c r="AP68" s="575">
        <v>1</v>
      </c>
      <c r="AQ68" s="584">
        <f>+IF(AP68="","",(VLOOKUP($C68,'EQUIP RATE SCHEDULE'!$B$11:$F$162,5,FALSE)))</f>
        <v>10</v>
      </c>
      <c r="AR68" s="591"/>
      <c r="AS68" s="613">
        <f t="shared" si="26"/>
        <v>10</v>
      </c>
      <c r="AT68" s="769" t="s">
        <v>66</v>
      </c>
      <c r="AU68" s="575">
        <v>1</v>
      </c>
      <c r="AV68" s="584">
        <f>+IF(AU68="","",(VLOOKUP($C68,'EQUIP RATE SCHEDULE'!$B$11:$F$162,5,FALSE)))</f>
        <v>10</v>
      </c>
      <c r="AW68" s="591"/>
      <c r="AX68" s="613">
        <f t="shared" si="27"/>
        <v>10</v>
      </c>
      <c r="AY68" s="769" t="s">
        <v>66</v>
      </c>
      <c r="AZ68" s="575">
        <v>1</v>
      </c>
      <c r="BA68" s="584">
        <f>+IF(AZ68="","",(VLOOKUP($C68,'EQUIP RATE SCHEDULE'!$B$11:$F$162,5,FALSE)))</f>
        <v>10</v>
      </c>
      <c r="BB68" s="591"/>
      <c r="BC68" s="613">
        <f t="shared" si="28"/>
        <v>10</v>
      </c>
      <c r="BD68" s="769" t="s">
        <v>66</v>
      </c>
      <c r="BE68" s="575">
        <v>1</v>
      </c>
      <c r="BF68" s="584">
        <f>+IF(BE68="","",(VLOOKUP($C68,'EQUIP RATE SCHEDULE'!$B$11:$F$162,5,FALSE)))</f>
        <v>10</v>
      </c>
      <c r="BG68" s="591"/>
      <c r="BH68" s="613">
        <f t="shared" si="9"/>
        <v>10</v>
      </c>
      <c r="BI68" s="769" t="s">
        <v>66</v>
      </c>
      <c r="BJ68" s="575">
        <v>1</v>
      </c>
      <c r="BK68" s="584">
        <f>+IF(BJ68="","",(VLOOKUP($C68,'EQUIP RATE SCHEDULE'!$B$11:$F$162,5,FALSE)))</f>
        <v>10</v>
      </c>
      <c r="BL68" s="591"/>
      <c r="BM68" s="613">
        <f t="shared" si="10"/>
        <v>10</v>
      </c>
      <c r="BN68" s="769" t="s">
        <v>66</v>
      </c>
      <c r="BO68" s="575">
        <v>1</v>
      </c>
      <c r="BP68" s="584">
        <f>+IF(BO68="","",(VLOOKUP($C68,'EQUIP RATE SCHEDULE'!$B$11:$F$162,5,FALSE)))</f>
        <v>10</v>
      </c>
      <c r="BQ68" s="591"/>
      <c r="BR68" s="613">
        <f t="shared" si="11"/>
        <v>10</v>
      </c>
      <c r="BS68" s="769" t="s">
        <v>66</v>
      </c>
      <c r="BT68" s="575">
        <v>1</v>
      </c>
      <c r="BU68" s="584">
        <f>+IF(BT68="","",(VLOOKUP($C68,'EQUIP RATE SCHEDULE'!$B$11:$F$162,5,FALSE)))</f>
        <v>10</v>
      </c>
      <c r="BV68" s="591"/>
      <c r="BW68" s="613">
        <f t="shared" si="12"/>
        <v>10</v>
      </c>
      <c r="BX68" s="769" t="s">
        <v>66</v>
      </c>
      <c r="BY68" s="575">
        <v>1</v>
      </c>
      <c r="BZ68" s="584">
        <f>+IF(BY68="","",(VLOOKUP($C68,'EQUIP RATE SCHEDULE'!$B$11:$F$162,5,FALSE)))</f>
        <v>10</v>
      </c>
      <c r="CA68" s="591"/>
      <c r="CB68" s="613">
        <f t="shared" si="13"/>
        <v>10</v>
      </c>
      <c r="CC68" s="769" t="s">
        <v>66</v>
      </c>
      <c r="CD68" s="575">
        <v>1</v>
      </c>
      <c r="CE68" s="584">
        <f>+IF(CD68="","",(VLOOKUP($C68,'EQUIP RATE SCHEDULE'!$B$11:$F$162,5,FALSE)))</f>
        <v>10</v>
      </c>
      <c r="CF68" s="591"/>
      <c r="CG68" s="613">
        <f t="shared" si="14"/>
        <v>10</v>
      </c>
      <c r="CH68" s="769" t="s">
        <v>66</v>
      </c>
      <c r="CI68" s="575">
        <v>1</v>
      </c>
      <c r="CJ68" s="584">
        <f>+IF(CI68="","",(VLOOKUP($C68,'EQUIP RATE SCHEDULE'!$B$11:$F$162,5,FALSE)))</f>
        <v>10</v>
      </c>
      <c r="CK68" s="591"/>
      <c r="CL68" s="613">
        <f t="shared" si="15"/>
        <v>10</v>
      </c>
      <c r="CM68" s="769" t="s">
        <v>66</v>
      </c>
      <c r="CN68" s="575">
        <v>1</v>
      </c>
      <c r="CO68" s="584">
        <f>+IF(CN68="","",(VLOOKUP($C68,'EQUIP RATE SCHEDULE'!$B$11:$F$162,5,FALSE)))</f>
        <v>10</v>
      </c>
      <c r="CP68" s="591"/>
      <c r="CQ68" s="613">
        <f t="shared" si="16"/>
        <v>10</v>
      </c>
      <c r="CR68" s="769" t="s">
        <v>66</v>
      </c>
      <c r="CS68" s="575">
        <v>1</v>
      </c>
      <c r="CT68" s="584">
        <f>+IF(CS68="","",(VLOOKUP($C68,'EQUIP RATE SCHEDULE'!$B$11:$F$162,5,FALSE)))</f>
        <v>10</v>
      </c>
      <c r="CU68" s="591"/>
      <c r="CV68" s="613">
        <f t="shared" si="17"/>
        <v>10</v>
      </c>
      <c r="CW68" s="769" t="s">
        <v>66</v>
      </c>
      <c r="CX68" s="575">
        <v>1</v>
      </c>
      <c r="CY68" s="584">
        <f>+IF(CX68="","",(VLOOKUP($C68,'EQUIP RATE SCHEDULE'!$B$11:$F$162,5,FALSE)))</f>
        <v>10</v>
      </c>
      <c r="CZ68" s="591"/>
      <c r="DA68" s="613">
        <f t="shared" si="18"/>
        <v>10</v>
      </c>
    </row>
    <row r="69" spans="1:105" thickBot="1" x14ac:dyDescent="0.3">
      <c r="A69" s="1514"/>
      <c r="B69" s="810" t="s">
        <v>522</v>
      </c>
      <c r="C69" s="781" t="s">
        <v>1036</v>
      </c>
      <c r="D69" s="1495"/>
      <c r="E69" s="1515"/>
      <c r="F69" s="771" t="s">
        <v>67</v>
      </c>
      <c r="G69" s="577">
        <v>1</v>
      </c>
      <c r="H69" s="594">
        <f>+IF(G69="","",(VLOOKUP($C69,'EQUIP RATE SCHEDULE'!$B$11:$F$162,5,FALSE)))</f>
        <v>30</v>
      </c>
      <c r="I69" s="593"/>
      <c r="J69" s="756">
        <f t="shared" si="19"/>
        <v>30</v>
      </c>
      <c r="K69" s="771" t="s">
        <v>67</v>
      </c>
      <c r="L69" s="577">
        <v>1</v>
      </c>
      <c r="M69" s="594">
        <f>+IF(L69="","",(VLOOKUP($C69,'EQUIP RATE SCHEDULE'!$B$11:$F$162,5,FALSE)))</f>
        <v>30</v>
      </c>
      <c r="N69" s="593"/>
      <c r="O69" s="756">
        <f t="shared" si="20"/>
        <v>30</v>
      </c>
      <c r="P69" s="771" t="s">
        <v>67</v>
      </c>
      <c r="Q69" s="577">
        <v>1</v>
      </c>
      <c r="R69" s="594">
        <f>+IF(Q69="","",(VLOOKUP($C69,'EQUIP RATE SCHEDULE'!$B$11:$F$162,5,FALSE)))</f>
        <v>30</v>
      </c>
      <c r="S69" s="593"/>
      <c r="T69" s="756">
        <f t="shared" si="21"/>
        <v>30</v>
      </c>
      <c r="U69" s="771" t="s">
        <v>67</v>
      </c>
      <c r="V69" s="577">
        <v>1</v>
      </c>
      <c r="W69" s="594">
        <f>+IF(V69="","",(VLOOKUP($C69,'EQUIP RATE SCHEDULE'!$B$11:$F$162,5,FALSE)))</f>
        <v>30</v>
      </c>
      <c r="X69" s="593"/>
      <c r="Y69" s="756">
        <f t="shared" si="22"/>
        <v>30</v>
      </c>
      <c r="Z69" s="771" t="s">
        <v>67</v>
      </c>
      <c r="AA69" s="577">
        <v>1</v>
      </c>
      <c r="AB69" s="594">
        <f>+IF(AA69="","",(VLOOKUP($C69,'EQUIP RATE SCHEDULE'!$B$11:$F$162,5,FALSE)))</f>
        <v>30</v>
      </c>
      <c r="AC69" s="593"/>
      <c r="AD69" s="756">
        <f t="shared" si="23"/>
        <v>30</v>
      </c>
      <c r="AE69" s="771" t="s">
        <v>67</v>
      </c>
      <c r="AF69" s="577">
        <v>1</v>
      </c>
      <c r="AG69" s="594">
        <f>+IF(AF69="","",(VLOOKUP($C69,'EQUIP RATE SCHEDULE'!$B$11:$F$162,5,FALSE)))</f>
        <v>30</v>
      </c>
      <c r="AH69" s="593"/>
      <c r="AI69" s="756">
        <f t="shared" si="24"/>
        <v>30</v>
      </c>
      <c r="AJ69" s="771" t="s">
        <v>67</v>
      </c>
      <c r="AK69" s="577">
        <v>1</v>
      </c>
      <c r="AL69" s="594">
        <f>+IF(AK69="","",(VLOOKUP($C69,'EQUIP RATE SCHEDULE'!$B$11:$F$162,5,FALSE)))</f>
        <v>30</v>
      </c>
      <c r="AM69" s="593"/>
      <c r="AN69" s="756">
        <f t="shared" si="25"/>
        <v>30</v>
      </c>
      <c r="AO69" s="771" t="s">
        <v>67</v>
      </c>
      <c r="AP69" s="577">
        <v>1</v>
      </c>
      <c r="AQ69" s="594">
        <f>+IF(AP69="","",(VLOOKUP($C69,'EQUIP RATE SCHEDULE'!$B$11:$F$162,5,FALSE)))</f>
        <v>30</v>
      </c>
      <c r="AR69" s="593"/>
      <c r="AS69" s="756">
        <f t="shared" si="26"/>
        <v>30</v>
      </c>
      <c r="AT69" s="771" t="s">
        <v>67</v>
      </c>
      <c r="AU69" s="577">
        <v>1</v>
      </c>
      <c r="AV69" s="594">
        <f>+IF(AU69="","",(VLOOKUP($C69,'EQUIP RATE SCHEDULE'!$B$11:$F$162,5,FALSE)))</f>
        <v>30</v>
      </c>
      <c r="AW69" s="593"/>
      <c r="AX69" s="756">
        <f t="shared" si="27"/>
        <v>30</v>
      </c>
      <c r="AY69" s="771" t="s">
        <v>67</v>
      </c>
      <c r="AZ69" s="577">
        <v>1</v>
      </c>
      <c r="BA69" s="594">
        <f>+IF(AZ69="","",(VLOOKUP($C69,'EQUIP RATE SCHEDULE'!$B$11:$F$162,5,FALSE)))</f>
        <v>30</v>
      </c>
      <c r="BB69" s="593"/>
      <c r="BC69" s="756">
        <f t="shared" si="28"/>
        <v>30</v>
      </c>
      <c r="BD69" s="771" t="s">
        <v>67</v>
      </c>
      <c r="BE69" s="577">
        <v>1</v>
      </c>
      <c r="BF69" s="594">
        <f>+IF(BE69="","",(VLOOKUP($C69,'EQUIP RATE SCHEDULE'!$B$11:$F$162,5,FALSE)))</f>
        <v>30</v>
      </c>
      <c r="BG69" s="593"/>
      <c r="BH69" s="756">
        <f t="shared" si="9"/>
        <v>30</v>
      </c>
      <c r="BI69" s="771" t="s">
        <v>67</v>
      </c>
      <c r="BJ69" s="577">
        <v>1</v>
      </c>
      <c r="BK69" s="594">
        <f>+IF(BJ69="","",(VLOOKUP($C69,'EQUIP RATE SCHEDULE'!$B$11:$F$162,5,FALSE)))</f>
        <v>30</v>
      </c>
      <c r="BL69" s="593"/>
      <c r="BM69" s="756">
        <f t="shared" si="10"/>
        <v>30</v>
      </c>
      <c r="BN69" s="771" t="s">
        <v>67</v>
      </c>
      <c r="BO69" s="577">
        <v>1</v>
      </c>
      <c r="BP69" s="594">
        <f>+IF(BO69="","",(VLOOKUP($C69,'EQUIP RATE SCHEDULE'!$B$11:$F$162,5,FALSE)))</f>
        <v>30</v>
      </c>
      <c r="BQ69" s="593"/>
      <c r="BR69" s="756">
        <f t="shared" si="11"/>
        <v>30</v>
      </c>
      <c r="BS69" s="771" t="s">
        <v>67</v>
      </c>
      <c r="BT69" s="577">
        <v>1</v>
      </c>
      <c r="BU69" s="594">
        <f>+IF(BT69="","",(VLOOKUP($C69,'EQUIP RATE SCHEDULE'!$B$11:$F$162,5,FALSE)))</f>
        <v>30</v>
      </c>
      <c r="BV69" s="593"/>
      <c r="BW69" s="756">
        <f t="shared" si="12"/>
        <v>30</v>
      </c>
      <c r="BX69" s="771" t="s">
        <v>67</v>
      </c>
      <c r="BY69" s="577">
        <v>1</v>
      </c>
      <c r="BZ69" s="594">
        <f>+IF(BY69="","",(VLOOKUP($C69,'EQUIP RATE SCHEDULE'!$B$11:$F$162,5,FALSE)))</f>
        <v>30</v>
      </c>
      <c r="CA69" s="593"/>
      <c r="CB69" s="756">
        <f t="shared" si="13"/>
        <v>30</v>
      </c>
      <c r="CC69" s="771" t="s">
        <v>67</v>
      </c>
      <c r="CD69" s="577">
        <v>1</v>
      </c>
      <c r="CE69" s="594">
        <f>+IF(CD69="","",(VLOOKUP($C69,'EQUIP RATE SCHEDULE'!$B$11:$F$162,5,FALSE)))</f>
        <v>30</v>
      </c>
      <c r="CF69" s="593"/>
      <c r="CG69" s="756">
        <f t="shared" si="14"/>
        <v>30</v>
      </c>
      <c r="CH69" s="771" t="s">
        <v>67</v>
      </c>
      <c r="CI69" s="577">
        <v>1</v>
      </c>
      <c r="CJ69" s="594">
        <f>+IF(CI69="","",(VLOOKUP($C69,'EQUIP RATE SCHEDULE'!$B$11:$F$162,5,FALSE)))</f>
        <v>30</v>
      </c>
      <c r="CK69" s="593"/>
      <c r="CL69" s="756">
        <f t="shared" si="15"/>
        <v>30</v>
      </c>
      <c r="CM69" s="771" t="s">
        <v>67</v>
      </c>
      <c r="CN69" s="577">
        <v>1</v>
      </c>
      <c r="CO69" s="594">
        <f>+IF(CN69="","",(VLOOKUP($C69,'EQUIP RATE SCHEDULE'!$B$11:$F$162,5,FALSE)))</f>
        <v>30</v>
      </c>
      <c r="CP69" s="593"/>
      <c r="CQ69" s="756">
        <f t="shared" si="16"/>
        <v>30</v>
      </c>
      <c r="CR69" s="771" t="s">
        <v>67</v>
      </c>
      <c r="CS69" s="577">
        <v>1</v>
      </c>
      <c r="CT69" s="594">
        <f>+IF(CS69="","",(VLOOKUP($C69,'EQUIP RATE SCHEDULE'!$B$11:$F$162,5,FALSE)))</f>
        <v>30</v>
      </c>
      <c r="CU69" s="593"/>
      <c r="CV69" s="756">
        <f t="shared" si="17"/>
        <v>30</v>
      </c>
      <c r="CW69" s="771" t="s">
        <v>67</v>
      </c>
      <c r="CX69" s="577">
        <v>1</v>
      </c>
      <c r="CY69" s="594">
        <f>+IF(CX69="","",(VLOOKUP($C69,'EQUIP RATE SCHEDULE'!$B$11:$F$162,5,FALSE)))</f>
        <v>30</v>
      </c>
      <c r="CZ69" s="593"/>
      <c r="DA69" s="756">
        <f t="shared" si="18"/>
        <v>30</v>
      </c>
    </row>
    <row r="70" spans="1:105" ht="15" x14ac:dyDescent="0.25">
      <c r="A70" s="1497" t="s">
        <v>1215</v>
      </c>
      <c r="B70" s="808" t="s">
        <v>522</v>
      </c>
      <c r="C70" s="782" t="s">
        <v>1038</v>
      </c>
      <c r="D70" s="1493" t="s">
        <v>61</v>
      </c>
      <c r="E70" s="1494"/>
      <c r="F70" s="772" t="s">
        <v>66</v>
      </c>
      <c r="G70" s="576">
        <v>1</v>
      </c>
      <c r="H70" s="583">
        <f>+IF(G70="","",(VLOOKUP($C70,'EQUIP RATE SCHEDULE'!$B$11:$F$162,5,FALSE)))</f>
        <v>35</v>
      </c>
      <c r="I70" s="615"/>
      <c r="J70" s="589">
        <f t="shared" si="19"/>
        <v>35</v>
      </c>
      <c r="K70" s="772" t="s">
        <v>66</v>
      </c>
      <c r="L70" s="576">
        <v>1</v>
      </c>
      <c r="M70" s="583">
        <f>+IF(L70="","",(VLOOKUP($C70,'EQUIP RATE SCHEDULE'!$B$11:$F$162,5,FALSE)))</f>
        <v>35</v>
      </c>
      <c r="N70" s="615"/>
      <c r="O70" s="589">
        <f t="shared" si="20"/>
        <v>35</v>
      </c>
      <c r="P70" s="772" t="s">
        <v>66</v>
      </c>
      <c r="Q70" s="576">
        <v>1</v>
      </c>
      <c r="R70" s="583">
        <f>+IF(Q70="","",(VLOOKUP($C70,'EQUIP RATE SCHEDULE'!$B$11:$F$162,5,FALSE)))</f>
        <v>35</v>
      </c>
      <c r="S70" s="615"/>
      <c r="T70" s="589">
        <f t="shared" si="21"/>
        <v>35</v>
      </c>
      <c r="U70" s="772" t="s">
        <v>66</v>
      </c>
      <c r="V70" s="576">
        <v>1</v>
      </c>
      <c r="W70" s="583">
        <f>+IF(V70="","",(VLOOKUP($C70,'EQUIP RATE SCHEDULE'!$B$11:$F$162,5,FALSE)))</f>
        <v>35</v>
      </c>
      <c r="X70" s="615"/>
      <c r="Y70" s="589">
        <f t="shared" si="22"/>
        <v>35</v>
      </c>
      <c r="Z70" s="772" t="s">
        <v>66</v>
      </c>
      <c r="AA70" s="576">
        <v>1</v>
      </c>
      <c r="AB70" s="583">
        <f>+IF(AA70="","",(VLOOKUP($C70,'EQUIP RATE SCHEDULE'!$B$11:$F$162,5,FALSE)))</f>
        <v>35</v>
      </c>
      <c r="AC70" s="615"/>
      <c r="AD70" s="589">
        <f t="shared" si="23"/>
        <v>35</v>
      </c>
      <c r="AE70" s="772" t="s">
        <v>66</v>
      </c>
      <c r="AF70" s="576">
        <v>1</v>
      </c>
      <c r="AG70" s="583">
        <f>+IF(AF70="","",(VLOOKUP($C70,'EQUIP RATE SCHEDULE'!$B$11:$F$162,5,FALSE)))</f>
        <v>35</v>
      </c>
      <c r="AH70" s="615"/>
      <c r="AI70" s="589">
        <f t="shared" si="24"/>
        <v>35</v>
      </c>
      <c r="AJ70" s="772" t="s">
        <v>66</v>
      </c>
      <c r="AK70" s="576">
        <v>1</v>
      </c>
      <c r="AL70" s="583">
        <f>+IF(AK70="","",(VLOOKUP($C70,'EQUIP RATE SCHEDULE'!$B$11:$F$162,5,FALSE)))</f>
        <v>35</v>
      </c>
      <c r="AM70" s="615"/>
      <c r="AN70" s="589">
        <f t="shared" si="25"/>
        <v>35</v>
      </c>
      <c r="AO70" s="772" t="s">
        <v>66</v>
      </c>
      <c r="AP70" s="576">
        <v>1</v>
      </c>
      <c r="AQ70" s="583">
        <f>+IF(AP70="","",(VLOOKUP($C70,'EQUIP RATE SCHEDULE'!$B$11:$F$162,5,FALSE)))</f>
        <v>35</v>
      </c>
      <c r="AR70" s="615"/>
      <c r="AS70" s="589">
        <f t="shared" si="26"/>
        <v>35</v>
      </c>
      <c r="AT70" s="772" t="s">
        <v>66</v>
      </c>
      <c r="AU70" s="576">
        <v>1</v>
      </c>
      <c r="AV70" s="583">
        <f>+IF(AU70="","",(VLOOKUP($C70,'EQUIP RATE SCHEDULE'!$B$11:$F$162,5,FALSE)))</f>
        <v>35</v>
      </c>
      <c r="AW70" s="615"/>
      <c r="AX70" s="589">
        <f t="shared" si="27"/>
        <v>35</v>
      </c>
      <c r="AY70" s="772" t="s">
        <v>66</v>
      </c>
      <c r="AZ70" s="576">
        <v>1</v>
      </c>
      <c r="BA70" s="583">
        <f>+IF(AZ70="","",(VLOOKUP($C70,'EQUIP RATE SCHEDULE'!$B$11:$F$162,5,FALSE)))</f>
        <v>35</v>
      </c>
      <c r="BB70" s="615"/>
      <c r="BC70" s="589">
        <f t="shared" si="28"/>
        <v>35</v>
      </c>
      <c r="BD70" s="772" t="s">
        <v>66</v>
      </c>
      <c r="BE70" s="576">
        <v>1</v>
      </c>
      <c r="BF70" s="583">
        <f>+IF(BE70="","",(VLOOKUP($C70,'EQUIP RATE SCHEDULE'!$B$11:$F$162,5,FALSE)))</f>
        <v>35</v>
      </c>
      <c r="BG70" s="615"/>
      <c r="BH70" s="589">
        <f t="shared" si="9"/>
        <v>35</v>
      </c>
      <c r="BI70" s="772" t="s">
        <v>66</v>
      </c>
      <c r="BJ70" s="576">
        <v>1</v>
      </c>
      <c r="BK70" s="583">
        <f>+IF(BJ70="","",(VLOOKUP($C70,'EQUIP RATE SCHEDULE'!$B$11:$F$162,5,FALSE)))</f>
        <v>35</v>
      </c>
      <c r="BL70" s="615"/>
      <c r="BM70" s="589">
        <f t="shared" si="10"/>
        <v>35</v>
      </c>
      <c r="BN70" s="772" t="s">
        <v>66</v>
      </c>
      <c r="BO70" s="576">
        <v>1</v>
      </c>
      <c r="BP70" s="583">
        <f>+IF(BO70="","",(VLOOKUP($C70,'EQUIP RATE SCHEDULE'!$B$11:$F$162,5,FALSE)))</f>
        <v>35</v>
      </c>
      <c r="BQ70" s="615"/>
      <c r="BR70" s="589">
        <f t="shared" si="11"/>
        <v>35</v>
      </c>
      <c r="BS70" s="772" t="s">
        <v>66</v>
      </c>
      <c r="BT70" s="576">
        <v>1</v>
      </c>
      <c r="BU70" s="583">
        <f>+IF(BT70="","",(VLOOKUP($C70,'EQUIP RATE SCHEDULE'!$B$11:$F$162,5,FALSE)))</f>
        <v>35</v>
      </c>
      <c r="BV70" s="615"/>
      <c r="BW70" s="589">
        <f t="shared" si="12"/>
        <v>35</v>
      </c>
      <c r="BX70" s="772" t="s">
        <v>66</v>
      </c>
      <c r="BY70" s="576">
        <v>1</v>
      </c>
      <c r="BZ70" s="583">
        <f>+IF(BY70="","",(VLOOKUP($C70,'EQUIP RATE SCHEDULE'!$B$11:$F$162,5,FALSE)))</f>
        <v>35</v>
      </c>
      <c r="CA70" s="615"/>
      <c r="CB70" s="589">
        <f t="shared" si="13"/>
        <v>35</v>
      </c>
      <c r="CC70" s="772" t="s">
        <v>66</v>
      </c>
      <c r="CD70" s="576">
        <v>1</v>
      </c>
      <c r="CE70" s="583">
        <f>+IF(CD70="","",(VLOOKUP($C70,'EQUIP RATE SCHEDULE'!$B$11:$F$162,5,FALSE)))</f>
        <v>35</v>
      </c>
      <c r="CF70" s="615"/>
      <c r="CG70" s="589">
        <f t="shared" si="14"/>
        <v>35</v>
      </c>
      <c r="CH70" s="772" t="s">
        <v>66</v>
      </c>
      <c r="CI70" s="576">
        <v>1</v>
      </c>
      <c r="CJ70" s="583">
        <f>+IF(CI70="","",(VLOOKUP($C70,'EQUIP RATE SCHEDULE'!$B$11:$F$162,5,FALSE)))</f>
        <v>35</v>
      </c>
      <c r="CK70" s="615"/>
      <c r="CL70" s="589">
        <f t="shared" si="15"/>
        <v>35</v>
      </c>
      <c r="CM70" s="772" t="s">
        <v>66</v>
      </c>
      <c r="CN70" s="576">
        <v>1</v>
      </c>
      <c r="CO70" s="583">
        <f>+IF(CN70="","",(VLOOKUP($C70,'EQUIP RATE SCHEDULE'!$B$11:$F$162,5,FALSE)))</f>
        <v>35</v>
      </c>
      <c r="CP70" s="615"/>
      <c r="CQ70" s="589">
        <f t="shared" si="16"/>
        <v>35</v>
      </c>
      <c r="CR70" s="772" t="s">
        <v>66</v>
      </c>
      <c r="CS70" s="576">
        <v>1</v>
      </c>
      <c r="CT70" s="583">
        <f>+IF(CS70="","",(VLOOKUP($C70,'EQUIP RATE SCHEDULE'!$B$11:$F$162,5,FALSE)))</f>
        <v>35</v>
      </c>
      <c r="CU70" s="615"/>
      <c r="CV70" s="589">
        <f t="shared" si="17"/>
        <v>35</v>
      </c>
      <c r="CW70" s="772" t="s">
        <v>66</v>
      </c>
      <c r="CX70" s="576">
        <v>1</v>
      </c>
      <c r="CY70" s="583">
        <f>+IF(CX70="","",(VLOOKUP($C70,'EQUIP RATE SCHEDULE'!$B$11:$F$162,5,FALSE)))</f>
        <v>35</v>
      </c>
      <c r="CZ70" s="615"/>
      <c r="DA70" s="589">
        <f t="shared" si="18"/>
        <v>35</v>
      </c>
    </row>
    <row r="71" spans="1:105" ht="15" x14ac:dyDescent="0.25">
      <c r="A71" s="1498"/>
      <c r="B71" s="809" t="s">
        <v>522</v>
      </c>
      <c r="C71" s="776" t="s">
        <v>1039</v>
      </c>
      <c r="D71" s="1492"/>
      <c r="E71" s="1490"/>
      <c r="F71" s="769" t="s">
        <v>67</v>
      </c>
      <c r="G71" s="575">
        <v>1</v>
      </c>
      <c r="H71" s="584">
        <f>+IF(G71="","",(VLOOKUP($C71,'EQUIP RATE SCHEDULE'!$B$11:$F$162,5,FALSE)))</f>
        <v>105</v>
      </c>
      <c r="I71" s="591"/>
      <c r="J71" s="613">
        <f t="shared" si="19"/>
        <v>105</v>
      </c>
      <c r="K71" s="769" t="s">
        <v>67</v>
      </c>
      <c r="L71" s="575">
        <v>1</v>
      </c>
      <c r="M71" s="584">
        <f>+IF(L71="","",(VLOOKUP($C71,'EQUIP RATE SCHEDULE'!$B$11:$F$162,5,FALSE)))</f>
        <v>105</v>
      </c>
      <c r="N71" s="591"/>
      <c r="O71" s="613">
        <f t="shared" si="20"/>
        <v>105</v>
      </c>
      <c r="P71" s="769" t="s">
        <v>67</v>
      </c>
      <c r="Q71" s="575">
        <v>1</v>
      </c>
      <c r="R71" s="584">
        <f>+IF(Q71="","",(VLOOKUP($C71,'EQUIP RATE SCHEDULE'!$B$11:$F$162,5,FALSE)))</f>
        <v>105</v>
      </c>
      <c r="S71" s="591"/>
      <c r="T71" s="613">
        <f t="shared" si="21"/>
        <v>105</v>
      </c>
      <c r="U71" s="769" t="s">
        <v>67</v>
      </c>
      <c r="V71" s="575">
        <v>1</v>
      </c>
      <c r="W71" s="584">
        <f>+IF(V71="","",(VLOOKUP($C71,'EQUIP RATE SCHEDULE'!$B$11:$F$162,5,FALSE)))</f>
        <v>105</v>
      </c>
      <c r="X71" s="591"/>
      <c r="Y71" s="613">
        <f t="shared" si="22"/>
        <v>105</v>
      </c>
      <c r="Z71" s="769" t="s">
        <v>67</v>
      </c>
      <c r="AA71" s="575">
        <v>1</v>
      </c>
      <c r="AB71" s="584">
        <f>+IF(AA71="","",(VLOOKUP($C71,'EQUIP RATE SCHEDULE'!$B$11:$F$162,5,FALSE)))</f>
        <v>105</v>
      </c>
      <c r="AC71" s="591"/>
      <c r="AD71" s="613">
        <f t="shared" si="23"/>
        <v>105</v>
      </c>
      <c r="AE71" s="769" t="s">
        <v>67</v>
      </c>
      <c r="AF71" s="575">
        <v>1</v>
      </c>
      <c r="AG71" s="584">
        <f>+IF(AF71="","",(VLOOKUP($C71,'EQUIP RATE SCHEDULE'!$B$11:$F$162,5,FALSE)))</f>
        <v>105</v>
      </c>
      <c r="AH71" s="591"/>
      <c r="AI71" s="613">
        <f t="shared" si="24"/>
        <v>105</v>
      </c>
      <c r="AJ71" s="769" t="s">
        <v>67</v>
      </c>
      <c r="AK71" s="575">
        <v>1</v>
      </c>
      <c r="AL71" s="584">
        <f>+IF(AK71="","",(VLOOKUP($C71,'EQUIP RATE SCHEDULE'!$B$11:$F$162,5,FALSE)))</f>
        <v>105</v>
      </c>
      <c r="AM71" s="591"/>
      <c r="AN71" s="613">
        <f t="shared" si="25"/>
        <v>105</v>
      </c>
      <c r="AO71" s="769" t="s">
        <v>67</v>
      </c>
      <c r="AP71" s="575">
        <v>1</v>
      </c>
      <c r="AQ71" s="584">
        <f>+IF(AP71="","",(VLOOKUP($C71,'EQUIP RATE SCHEDULE'!$B$11:$F$162,5,FALSE)))</f>
        <v>105</v>
      </c>
      <c r="AR71" s="591"/>
      <c r="AS71" s="613">
        <f t="shared" si="26"/>
        <v>105</v>
      </c>
      <c r="AT71" s="769" t="s">
        <v>67</v>
      </c>
      <c r="AU71" s="575">
        <v>1</v>
      </c>
      <c r="AV71" s="584">
        <f>+IF(AU71="","",(VLOOKUP($C71,'EQUIP RATE SCHEDULE'!$B$11:$F$162,5,FALSE)))</f>
        <v>105</v>
      </c>
      <c r="AW71" s="591"/>
      <c r="AX71" s="613">
        <f t="shared" si="27"/>
        <v>105</v>
      </c>
      <c r="AY71" s="769" t="s">
        <v>67</v>
      </c>
      <c r="AZ71" s="575">
        <v>1</v>
      </c>
      <c r="BA71" s="584">
        <f>+IF(AZ71="","",(VLOOKUP($C71,'EQUIP RATE SCHEDULE'!$B$11:$F$162,5,FALSE)))</f>
        <v>105</v>
      </c>
      <c r="BB71" s="591"/>
      <c r="BC71" s="613">
        <f t="shared" si="28"/>
        <v>105</v>
      </c>
      <c r="BD71" s="769" t="s">
        <v>67</v>
      </c>
      <c r="BE71" s="575">
        <v>1</v>
      </c>
      <c r="BF71" s="584">
        <f>+IF(BE71="","",(VLOOKUP($C71,'EQUIP RATE SCHEDULE'!$B$11:$F$162,5,FALSE)))</f>
        <v>105</v>
      </c>
      <c r="BG71" s="591"/>
      <c r="BH71" s="613">
        <f t="shared" si="9"/>
        <v>105</v>
      </c>
      <c r="BI71" s="769" t="s">
        <v>67</v>
      </c>
      <c r="BJ71" s="575">
        <v>1</v>
      </c>
      <c r="BK71" s="584">
        <f>+IF(BJ71="","",(VLOOKUP($C71,'EQUIP RATE SCHEDULE'!$B$11:$F$162,5,FALSE)))</f>
        <v>105</v>
      </c>
      <c r="BL71" s="591"/>
      <c r="BM71" s="613">
        <f t="shared" si="10"/>
        <v>105</v>
      </c>
      <c r="BN71" s="769" t="s">
        <v>67</v>
      </c>
      <c r="BO71" s="575">
        <v>1</v>
      </c>
      <c r="BP71" s="584">
        <f>+IF(BO71="","",(VLOOKUP($C71,'EQUIP RATE SCHEDULE'!$B$11:$F$162,5,FALSE)))</f>
        <v>105</v>
      </c>
      <c r="BQ71" s="591"/>
      <c r="BR71" s="613">
        <f t="shared" si="11"/>
        <v>105</v>
      </c>
      <c r="BS71" s="769" t="s">
        <v>67</v>
      </c>
      <c r="BT71" s="575">
        <v>1</v>
      </c>
      <c r="BU71" s="584">
        <f>+IF(BT71="","",(VLOOKUP($C71,'EQUIP RATE SCHEDULE'!$B$11:$F$162,5,FALSE)))</f>
        <v>105</v>
      </c>
      <c r="BV71" s="591"/>
      <c r="BW71" s="613">
        <f t="shared" si="12"/>
        <v>105</v>
      </c>
      <c r="BX71" s="769" t="s">
        <v>67</v>
      </c>
      <c r="BY71" s="575">
        <v>1</v>
      </c>
      <c r="BZ71" s="584">
        <f>+IF(BY71="","",(VLOOKUP($C71,'EQUIP RATE SCHEDULE'!$B$11:$F$162,5,FALSE)))</f>
        <v>105</v>
      </c>
      <c r="CA71" s="591"/>
      <c r="CB71" s="613">
        <f t="shared" si="13"/>
        <v>105</v>
      </c>
      <c r="CC71" s="769" t="s">
        <v>67</v>
      </c>
      <c r="CD71" s="575">
        <v>1</v>
      </c>
      <c r="CE71" s="584">
        <f>+IF(CD71="","",(VLOOKUP($C71,'EQUIP RATE SCHEDULE'!$B$11:$F$162,5,FALSE)))</f>
        <v>105</v>
      </c>
      <c r="CF71" s="591"/>
      <c r="CG71" s="613">
        <f t="shared" si="14"/>
        <v>105</v>
      </c>
      <c r="CH71" s="769" t="s">
        <v>67</v>
      </c>
      <c r="CI71" s="575">
        <v>1</v>
      </c>
      <c r="CJ71" s="584">
        <f>+IF(CI71="","",(VLOOKUP($C71,'EQUIP RATE SCHEDULE'!$B$11:$F$162,5,FALSE)))</f>
        <v>105</v>
      </c>
      <c r="CK71" s="591"/>
      <c r="CL71" s="613">
        <f t="shared" si="15"/>
        <v>105</v>
      </c>
      <c r="CM71" s="769" t="s">
        <v>67</v>
      </c>
      <c r="CN71" s="575">
        <v>1</v>
      </c>
      <c r="CO71" s="584">
        <f>+IF(CN71="","",(VLOOKUP($C71,'EQUIP RATE SCHEDULE'!$B$11:$F$162,5,FALSE)))</f>
        <v>105</v>
      </c>
      <c r="CP71" s="591"/>
      <c r="CQ71" s="613">
        <f t="shared" si="16"/>
        <v>105</v>
      </c>
      <c r="CR71" s="769" t="s">
        <v>67</v>
      </c>
      <c r="CS71" s="575">
        <v>1</v>
      </c>
      <c r="CT71" s="584">
        <f>+IF(CS71="","",(VLOOKUP($C71,'EQUIP RATE SCHEDULE'!$B$11:$F$162,5,FALSE)))</f>
        <v>105</v>
      </c>
      <c r="CU71" s="591"/>
      <c r="CV71" s="613">
        <f t="shared" si="17"/>
        <v>105</v>
      </c>
      <c r="CW71" s="769" t="s">
        <v>67</v>
      </c>
      <c r="CX71" s="575">
        <v>1</v>
      </c>
      <c r="CY71" s="584">
        <f>+IF(CX71="","",(VLOOKUP($C71,'EQUIP RATE SCHEDULE'!$B$11:$F$162,5,FALSE)))</f>
        <v>105</v>
      </c>
      <c r="CZ71" s="591"/>
      <c r="DA71" s="613">
        <f t="shared" si="18"/>
        <v>105</v>
      </c>
    </row>
    <row r="72" spans="1:105" ht="15" x14ac:dyDescent="0.25">
      <c r="A72" s="1498"/>
      <c r="B72" s="809" t="s">
        <v>522</v>
      </c>
      <c r="C72" s="776" t="s">
        <v>1040</v>
      </c>
      <c r="D72" s="1491" t="s">
        <v>1041</v>
      </c>
      <c r="E72" s="1488"/>
      <c r="F72" s="769" t="s">
        <v>66</v>
      </c>
      <c r="G72" s="575">
        <v>1</v>
      </c>
      <c r="H72" s="584">
        <f>+IF(G72="","",(VLOOKUP($C72,'EQUIP RATE SCHEDULE'!$B$11:$F$162,5,FALSE)))</f>
        <v>15</v>
      </c>
      <c r="I72" s="591"/>
      <c r="J72" s="613">
        <f t="shared" si="19"/>
        <v>15</v>
      </c>
      <c r="K72" s="769" t="s">
        <v>66</v>
      </c>
      <c r="L72" s="575">
        <v>1</v>
      </c>
      <c r="M72" s="584">
        <f>+IF(L72="","",(VLOOKUP($C72,'EQUIP RATE SCHEDULE'!$B$11:$F$162,5,FALSE)))</f>
        <v>15</v>
      </c>
      <c r="N72" s="591"/>
      <c r="O72" s="613">
        <f t="shared" si="20"/>
        <v>15</v>
      </c>
      <c r="P72" s="769" t="s">
        <v>66</v>
      </c>
      <c r="Q72" s="575">
        <v>1</v>
      </c>
      <c r="R72" s="584">
        <f>+IF(Q72="","",(VLOOKUP($C72,'EQUIP RATE SCHEDULE'!$B$11:$F$162,5,FALSE)))</f>
        <v>15</v>
      </c>
      <c r="S72" s="591"/>
      <c r="T72" s="613">
        <f t="shared" si="21"/>
        <v>15</v>
      </c>
      <c r="U72" s="769" t="s">
        <v>66</v>
      </c>
      <c r="V72" s="575">
        <v>1</v>
      </c>
      <c r="W72" s="584">
        <f>+IF(V72="","",(VLOOKUP($C72,'EQUIP RATE SCHEDULE'!$B$11:$F$162,5,FALSE)))</f>
        <v>15</v>
      </c>
      <c r="X72" s="591"/>
      <c r="Y72" s="613">
        <f t="shared" si="22"/>
        <v>15</v>
      </c>
      <c r="Z72" s="769" t="s">
        <v>66</v>
      </c>
      <c r="AA72" s="575">
        <v>1</v>
      </c>
      <c r="AB72" s="584">
        <f>+IF(AA72="","",(VLOOKUP($C72,'EQUIP RATE SCHEDULE'!$B$11:$F$162,5,FALSE)))</f>
        <v>15</v>
      </c>
      <c r="AC72" s="591"/>
      <c r="AD72" s="613">
        <f t="shared" si="23"/>
        <v>15</v>
      </c>
      <c r="AE72" s="769" t="s">
        <v>66</v>
      </c>
      <c r="AF72" s="575">
        <v>1</v>
      </c>
      <c r="AG72" s="584">
        <f>+IF(AF72="","",(VLOOKUP($C72,'EQUIP RATE SCHEDULE'!$B$11:$F$162,5,FALSE)))</f>
        <v>15</v>
      </c>
      <c r="AH72" s="591"/>
      <c r="AI72" s="613">
        <f t="shared" si="24"/>
        <v>15</v>
      </c>
      <c r="AJ72" s="769" t="s">
        <v>66</v>
      </c>
      <c r="AK72" s="575">
        <v>1</v>
      </c>
      <c r="AL72" s="584">
        <f>+IF(AK72="","",(VLOOKUP($C72,'EQUIP RATE SCHEDULE'!$B$11:$F$162,5,FALSE)))</f>
        <v>15</v>
      </c>
      <c r="AM72" s="591"/>
      <c r="AN72" s="613">
        <f t="shared" si="25"/>
        <v>15</v>
      </c>
      <c r="AO72" s="769" t="s">
        <v>66</v>
      </c>
      <c r="AP72" s="575">
        <v>1</v>
      </c>
      <c r="AQ72" s="584">
        <f>+IF(AP72="","",(VLOOKUP($C72,'EQUIP RATE SCHEDULE'!$B$11:$F$162,5,FALSE)))</f>
        <v>15</v>
      </c>
      <c r="AR72" s="591"/>
      <c r="AS72" s="613">
        <f t="shared" si="26"/>
        <v>15</v>
      </c>
      <c r="AT72" s="769" t="s">
        <v>66</v>
      </c>
      <c r="AU72" s="575">
        <v>1</v>
      </c>
      <c r="AV72" s="584">
        <f>+IF(AU72="","",(VLOOKUP($C72,'EQUIP RATE SCHEDULE'!$B$11:$F$162,5,FALSE)))</f>
        <v>15</v>
      </c>
      <c r="AW72" s="591"/>
      <c r="AX72" s="613">
        <f t="shared" si="27"/>
        <v>15</v>
      </c>
      <c r="AY72" s="769" t="s">
        <v>66</v>
      </c>
      <c r="AZ72" s="575">
        <v>1</v>
      </c>
      <c r="BA72" s="584">
        <f>+IF(AZ72="","",(VLOOKUP($C72,'EQUIP RATE SCHEDULE'!$B$11:$F$162,5,FALSE)))</f>
        <v>15</v>
      </c>
      <c r="BB72" s="591"/>
      <c r="BC72" s="613">
        <f t="shared" si="28"/>
        <v>15</v>
      </c>
      <c r="BD72" s="769" t="s">
        <v>66</v>
      </c>
      <c r="BE72" s="575">
        <v>1</v>
      </c>
      <c r="BF72" s="584">
        <f>+IF(BE72="","",(VLOOKUP($C72,'EQUIP RATE SCHEDULE'!$B$11:$F$162,5,FALSE)))</f>
        <v>15</v>
      </c>
      <c r="BG72" s="591"/>
      <c r="BH72" s="613">
        <f t="shared" si="9"/>
        <v>15</v>
      </c>
      <c r="BI72" s="769" t="s">
        <v>66</v>
      </c>
      <c r="BJ72" s="575">
        <v>1</v>
      </c>
      <c r="BK72" s="584">
        <f>+IF(BJ72="","",(VLOOKUP($C72,'EQUIP RATE SCHEDULE'!$B$11:$F$162,5,FALSE)))</f>
        <v>15</v>
      </c>
      <c r="BL72" s="591"/>
      <c r="BM72" s="613">
        <f t="shared" si="10"/>
        <v>15</v>
      </c>
      <c r="BN72" s="769" t="s">
        <v>66</v>
      </c>
      <c r="BO72" s="575">
        <v>1</v>
      </c>
      <c r="BP72" s="584">
        <f>+IF(BO72="","",(VLOOKUP($C72,'EQUIP RATE SCHEDULE'!$B$11:$F$162,5,FALSE)))</f>
        <v>15</v>
      </c>
      <c r="BQ72" s="591"/>
      <c r="BR72" s="613">
        <f t="shared" si="11"/>
        <v>15</v>
      </c>
      <c r="BS72" s="769" t="s">
        <v>66</v>
      </c>
      <c r="BT72" s="575">
        <v>1</v>
      </c>
      <c r="BU72" s="584">
        <f>+IF(BT72="","",(VLOOKUP($C72,'EQUIP RATE SCHEDULE'!$B$11:$F$162,5,FALSE)))</f>
        <v>15</v>
      </c>
      <c r="BV72" s="591"/>
      <c r="BW72" s="613">
        <f t="shared" si="12"/>
        <v>15</v>
      </c>
      <c r="BX72" s="769" t="s">
        <v>66</v>
      </c>
      <c r="BY72" s="575">
        <v>1</v>
      </c>
      <c r="BZ72" s="584">
        <f>+IF(BY72="","",(VLOOKUP($C72,'EQUIP RATE SCHEDULE'!$B$11:$F$162,5,FALSE)))</f>
        <v>15</v>
      </c>
      <c r="CA72" s="591"/>
      <c r="CB72" s="613">
        <f t="shared" si="13"/>
        <v>15</v>
      </c>
      <c r="CC72" s="769" t="s">
        <v>66</v>
      </c>
      <c r="CD72" s="575">
        <v>1</v>
      </c>
      <c r="CE72" s="584">
        <f>+IF(CD72="","",(VLOOKUP($C72,'EQUIP RATE SCHEDULE'!$B$11:$F$162,5,FALSE)))</f>
        <v>15</v>
      </c>
      <c r="CF72" s="591"/>
      <c r="CG72" s="613">
        <f t="shared" si="14"/>
        <v>15</v>
      </c>
      <c r="CH72" s="769" t="s">
        <v>66</v>
      </c>
      <c r="CI72" s="575">
        <v>1</v>
      </c>
      <c r="CJ72" s="584">
        <f>+IF(CI72="","",(VLOOKUP($C72,'EQUIP RATE SCHEDULE'!$B$11:$F$162,5,FALSE)))</f>
        <v>15</v>
      </c>
      <c r="CK72" s="591"/>
      <c r="CL72" s="613">
        <f t="shared" si="15"/>
        <v>15</v>
      </c>
      <c r="CM72" s="769" t="s">
        <v>66</v>
      </c>
      <c r="CN72" s="575">
        <v>1</v>
      </c>
      <c r="CO72" s="584">
        <f>+IF(CN72="","",(VLOOKUP($C72,'EQUIP RATE SCHEDULE'!$B$11:$F$162,5,FALSE)))</f>
        <v>15</v>
      </c>
      <c r="CP72" s="591"/>
      <c r="CQ72" s="613">
        <f t="shared" si="16"/>
        <v>15</v>
      </c>
      <c r="CR72" s="769" t="s">
        <v>66</v>
      </c>
      <c r="CS72" s="575">
        <v>1</v>
      </c>
      <c r="CT72" s="584">
        <f>+IF(CS72="","",(VLOOKUP($C72,'EQUIP RATE SCHEDULE'!$B$11:$F$162,5,FALSE)))</f>
        <v>15</v>
      </c>
      <c r="CU72" s="591"/>
      <c r="CV72" s="613">
        <f t="shared" si="17"/>
        <v>15</v>
      </c>
      <c r="CW72" s="769" t="s">
        <v>66</v>
      </c>
      <c r="CX72" s="575">
        <v>1</v>
      </c>
      <c r="CY72" s="584">
        <f>+IF(CX72="","",(VLOOKUP($C72,'EQUIP RATE SCHEDULE'!$B$11:$F$162,5,FALSE)))</f>
        <v>15</v>
      </c>
      <c r="CZ72" s="591"/>
      <c r="DA72" s="613">
        <f t="shared" si="18"/>
        <v>15</v>
      </c>
    </row>
    <row r="73" spans="1:105" ht="15" x14ac:dyDescent="0.25">
      <c r="A73" s="1498"/>
      <c r="B73" s="809" t="s">
        <v>522</v>
      </c>
      <c r="C73" s="776" t="s">
        <v>1042</v>
      </c>
      <c r="D73" s="1492"/>
      <c r="E73" s="1490"/>
      <c r="F73" s="769" t="s">
        <v>67</v>
      </c>
      <c r="G73" s="575">
        <v>1</v>
      </c>
      <c r="H73" s="584">
        <f>+IF(G73="","",(VLOOKUP($C73,'EQUIP RATE SCHEDULE'!$B$11:$F$162,5,FALSE)))</f>
        <v>45</v>
      </c>
      <c r="I73" s="591"/>
      <c r="J73" s="613">
        <f t="shared" si="19"/>
        <v>45</v>
      </c>
      <c r="K73" s="769" t="s">
        <v>67</v>
      </c>
      <c r="L73" s="575">
        <v>1</v>
      </c>
      <c r="M73" s="584">
        <f>+IF(L73="","",(VLOOKUP($C73,'EQUIP RATE SCHEDULE'!$B$11:$F$162,5,FALSE)))</f>
        <v>45</v>
      </c>
      <c r="N73" s="591"/>
      <c r="O73" s="613">
        <f t="shared" si="20"/>
        <v>45</v>
      </c>
      <c r="P73" s="769" t="s">
        <v>67</v>
      </c>
      <c r="Q73" s="575">
        <v>1</v>
      </c>
      <c r="R73" s="584">
        <f>+IF(Q73="","",(VLOOKUP($C73,'EQUIP RATE SCHEDULE'!$B$11:$F$162,5,FALSE)))</f>
        <v>45</v>
      </c>
      <c r="S73" s="591"/>
      <c r="T73" s="613">
        <f t="shared" si="21"/>
        <v>45</v>
      </c>
      <c r="U73" s="769" t="s">
        <v>67</v>
      </c>
      <c r="V73" s="575">
        <v>1</v>
      </c>
      <c r="W73" s="584">
        <f>+IF(V73="","",(VLOOKUP($C73,'EQUIP RATE SCHEDULE'!$B$11:$F$162,5,FALSE)))</f>
        <v>45</v>
      </c>
      <c r="X73" s="591"/>
      <c r="Y73" s="613">
        <f t="shared" si="22"/>
        <v>45</v>
      </c>
      <c r="Z73" s="769" t="s">
        <v>67</v>
      </c>
      <c r="AA73" s="575">
        <v>1</v>
      </c>
      <c r="AB73" s="584">
        <f>+IF(AA73="","",(VLOOKUP($C73,'EQUIP RATE SCHEDULE'!$B$11:$F$162,5,FALSE)))</f>
        <v>45</v>
      </c>
      <c r="AC73" s="591"/>
      <c r="AD73" s="613">
        <f t="shared" si="23"/>
        <v>45</v>
      </c>
      <c r="AE73" s="769" t="s">
        <v>67</v>
      </c>
      <c r="AF73" s="575">
        <v>1</v>
      </c>
      <c r="AG73" s="584">
        <f>+IF(AF73="","",(VLOOKUP($C73,'EQUIP RATE SCHEDULE'!$B$11:$F$162,5,FALSE)))</f>
        <v>45</v>
      </c>
      <c r="AH73" s="591"/>
      <c r="AI73" s="613">
        <f t="shared" si="24"/>
        <v>45</v>
      </c>
      <c r="AJ73" s="769" t="s">
        <v>67</v>
      </c>
      <c r="AK73" s="575">
        <v>1</v>
      </c>
      <c r="AL73" s="584">
        <f>+IF(AK73="","",(VLOOKUP($C73,'EQUIP RATE SCHEDULE'!$B$11:$F$162,5,FALSE)))</f>
        <v>45</v>
      </c>
      <c r="AM73" s="591"/>
      <c r="AN73" s="613">
        <f t="shared" si="25"/>
        <v>45</v>
      </c>
      <c r="AO73" s="769" t="s">
        <v>67</v>
      </c>
      <c r="AP73" s="575">
        <v>1</v>
      </c>
      <c r="AQ73" s="584">
        <f>+IF(AP73="","",(VLOOKUP($C73,'EQUIP RATE SCHEDULE'!$B$11:$F$162,5,FALSE)))</f>
        <v>45</v>
      </c>
      <c r="AR73" s="591"/>
      <c r="AS73" s="613">
        <f t="shared" si="26"/>
        <v>45</v>
      </c>
      <c r="AT73" s="769" t="s">
        <v>67</v>
      </c>
      <c r="AU73" s="575">
        <v>1</v>
      </c>
      <c r="AV73" s="584">
        <f>+IF(AU73="","",(VLOOKUP($C73,'EQUIP RATE SCHEDULE'!$B$11:$F$162,5,FALSE)))</f>
        <v>45</v>
      </c>
      <c r="AW73" s="591"/>
      <c r="AX73" s="613">
        <f t="shared" si="27"/>
        <v>45</v>
      </c>
      <c r="AY73" s="769" t="s">
        <v>67</v>
      </c>
      <c r="AZ73" s="575">
        <v>1</v>
      </c>
      <c r="BA73" s="584">
        <f>+IF(AZ73="","",(VLOOKUP($C73,'EQUIP RATE SCHEDULE'!$B$11:$F$162,5,FALSE)))</f>
        <v>45</v>
      </c>
      <c r="BB73" s="591"/>
      <c r="BC73" s="613">
        <f t="shared" si="28"/>
        <v>45</v>
      </c>
      <c r="BD73" s="769" t="s">
        <v>67</v>
      </c>
      <c r="BE73" s="575">
        <v>1</v>
      </c>
      <c r="BF73" s="584">
        <f>+IF(BE73="","",(VLOOKUP($C73,'EQUIP RATE SCHEDULE'!$B$11:$F$162,5,FALSE)))</f>
        <v>45</v>
      </c>
      <c r="BG73" s="591"/>
      <c r="BH73" s="613">
        <f t="shared" ref="BH73:BH136" si="29">+IF(BG$7="","",IF(BE73="","",(IF(BG73="",BF73*BE73,BG73*BE73))))</f>
        <v>45</v>
      </c>
      <c r="BI73" s="769" t="s">
        <v>67</v>
      </c>
      <c r="BJ73" s="575">
        <v>1</v>
      </c>
      <c r="BK73" s="584">
        <f>+IF(BJ73="","",(VLOOKUP($C73,'EQUIP RATE SCHEDULE'!$B$11:$F$162,5,FALSE)))</f>
        <v>45</v>
      </c>
      <c r="BL73" s="591"/>
      <c r="BM73" s="613">
        <f t="shared" ref="BM73:BM136" si="30">+IF(BL$7="","",IF(BJ73="","",(IF(BL73="",BK73*BJ73,BL73*BJ73))))</f>
        <v>45</v>
      </c>
      <c r="BN73" s="769" t="s">
        <v>67</v>
      </c>
      <c r="BO73" s="575">
        <v>1</v>
      </c>
      <c r="BP73" s="584">
        <f>+IF(BO73="","",(VLOOKUP($C73,'EQUIP RATE SCHEDULE'!$B$11:$F$162,5,FALSE)))</f>
        <v>45</v>
      </c>
      <c r="BQ73" s="591"/>
      <c r="BR73" s="613">
        <f t="shared" ref="BR73:BR136" si="31">+IF(BQ$7="","",IF(BO73="","",(IF(BQ73="",BP73*BO73,BQ73*BO73))))</f>
        <v>45</v>
      </c>
      <c r="BS73" s="769" t="s">
        <v>67</v>
      </c>
      <c r="BT73" s="575">
        <v>1</v>
      </c>
      <c r="BU73" s="584">
        <f>+IF(BT73="","",(VLOOKUP($C73,'EQUIP RATE SCHEDULE'!$B$11:$F$162,5,FALSE)))</f>
        <v>45</v>
      </c>
      <c r="BV73" s="591"/>
      <c r="BW73" s="613">
        <f t="shared" ref="BW73:BW136" si="32">+IF(BV$7="","",IF(BT73="","",(IF(BV73="",BU73*BT73,BV73*BT73))))</f>
        <v>45</v>
      </c>
      <c r="BX73" s="769" t="s">
        <v>67</v>
      </c>
      <c r="BY73" s="575">
        <v>1</v>
      </c>
      <c r="BZ73" s="584">
        <f>+IF(BY73="","",(VLOOKUP($C73,'EQUIP RATE SCHEDULE'!$B$11:$F$162,5,FALSE)))</f>
        <v>45</v>
      </c>
      <c r="CA73" s="591"/>
      <c r="CB73" s="613">
        <f t="shared" ref="CB73:CB136" si="33">+IF(CA$7="","",IF(BY73="","",(IF(CA73="",BZ73*BY73,CA73*BY73))))</f>
        <v>45</v>
      </c>
      <c r="CC73" s="769" t="s">
        <v>67</v>
      </c>
      <c r="CD73" s="575">
        <v>1</v>
      </c>
      <c r="CE73" s="584">
        <f>+IF(CD73="","",(VLOOKUP($C73,'EQUIP RATE SCHEDULE'!$B$11:$F$162,5,FALSE)))</f>
        <v>45</v>
      </c>
      <c r="CF73" s="591"/>
      <c r="CG73" s="613">
        <f t="shared" ref="CG73:CG136" si="34">+IF(CF$7="","",IF(CD73="","",(IF(CF73="",CE73*CD73,CF73*CD73))))</f>
        <v>45</v>
      </c>
      <c r="CH73" s="769" t="s">
        <v>67</v>
      </c>
      <c r="CI73" s="575">
        <v>1</v>
      </c>
      <c r="CJ73" s="584">
        <f>+IF(CI73="","",(VLOOKUP($C73,'EQUIP RATE SCHEDULE'!$B$11:$F$162,5,FALSE)))</f>
        <v>45</v>
      </c>
      <c r="CK73" s="591"/>
      <c r="CL73" s="613">
        <f t="shared" ref="CL73:CL136" si="35">+IF(CK$7="","",IF(CI73="","",(IF(CK73="",CJ73*CI73,CK73*CI73))))</f>
        <v>45</v>
      </c>
      <c r="CM73" s="769" t="s">
        <v>67</v>
      </c>
      <c r="CN73" s="575">
        <v>1</v>
      </c>
      <c r="CO73" s="584">
        <f>+IF(CN73="","",(VLOOKUP($C73,'EQUIP RATE SCHEDULE'!$B$11:$F$162,5,FALSE)))</f>
        <v>45</v>
      </c>
      <c r="CP73" s="591"/>
      <c r="CQ73" s="613">
        <f t="shared" ref="CQ73:CQ136" si="36">+IF(CP$7="","",IF(CN73="","",(IF(CP73="",CO73*CN73,CP73*CN73))))</f>
        <v>45</v>
      </c>
      <c r="CR73" s="769" t="s">
        <v>67</v>
      </c>
      <c r="CS73" s="575">
        <v>1</v>
      </c>
      <c r="CT73" s="584">
        <f>+IF(CS73="","",(VLOOKUP($C73,'EQUIP RATE SCHEDULE'!$B$11:$F$162,5,FALSE)))</f>
        <v>45</v>
      </c>
      <c r="CU73" s="591"/>
      <c r="CV73" s="613">
        <f t="shared" ref="CV73:CV136" si="37">+IF(CU$7="","",IF(CS73="","",(IF(CU73="",CT73*CS73,CU73*CS73))))</f>
        <v>45</v>
      </c>
      <c r="CW73" s="769" t="s">
        <v>67</v>
      </c>
      <c r="CX73" s="575">
        <v>1</v>
      </c>
      <c r="CY73" s="584">
        <f>+IF(CX73="","",(VLOOKUP($C73,'EQUIP RATE SCHEDULE'!$B$11:$F$162,5,FALSE)))</f>
        <v>45</v>
      </c>
      <c r="CZ73" s="591"/>
      <c r="DA73" s="613">
        <f t="shared" ref="DA73:DA136" si="38">+IF(CZ$7="","",IF(CX73="","",(IF(CZ73="",CY73*CX73,CZ73*CX73))))</f>
        <v>45</v>
      </c>
    </row>
    <row r="74" spans="1:105" ht="15" x14ac:dyDescent="0.25">
      <c r="A74" s="1498"/>
      <c r="B74" s="809" t="s">
        <v>522</v>
      </c>
      <c r="C74" s="776" t="s">
        <v>1043</v>
      </c>
      <c r="D74" s="1491" t="s">
        <v>1044</v>
      </c>
      <c r="E74" s="1488" t="s">
        <v>1045</v>
      </c>
      <c r="F74" s="769" t="s">
        <v>66</v>
      </c>
      <c r="G74" s="575">
        <v>1</v>
      </c>
      <c r="H74" s="584">
        <f>+IF(G74="","",(VLOOKUP($C74,'EQUIP RATE SCHEDULE'!$B$11:$F$162,5,FALSE)))</f>
        <v>54</v>
      </c>
      <c r="I74" s="591"/>
      <c r="J74" s="613">
        <f t="shared" ref="J74:J140" si="39">+IF(I$7="","",IF(G74="","",(IF(I74="",H74*G74,I74*G74))))</f>
        <v>54</v>
      </c>
      <c r="K74" s="769" t="s">
        <v>66</v>
      </c>
      <c r="L74" s="575">
        <v>1</v>
      </c>
      <c r="M74" s="584">
        <f>+IF(L74="","",(VLOOKUP($C74,'EQUIP RATE SCHEDULE'!$B$11:$F$162,5,FALSE)))</f>
        <v>54</v>
      </c>
      <c r="N74" s="591"/>
      <c r="O74" s="613">
        <f t="shared" si="20"/>
        <v>54</v>
      </c>
      <c r="P74" s="769" t="s">
        <v>66</v>
      </c>
      <c r="Q74" s="575">
        <v>1</v>
      </c>
      <c r="R74" s="584">
        <f>+IF(Q74="","",(VLOOKUP($C74,'EQUIP RATE SCHEDULE'!$B$11:$F$162,5,FALSE)))</f>
        <v>54</v>
      </c>
      <c r="S74" s="591"/>
      <c r="T74" s="613">
        <f t="shared" si="21"/>
        <v>54</v>
      </c>
      <c r="U74" s="769" t="s">
        <v>66</v>
      </c>
      <c r="V74" s="575">
        <v>1</v>
      </c>
      <c r="W74" s="584">
        <f>+IF(V74="","",(VLOOKUP($C74,'EQUIP RATE SCHEDULE'!$B$11:$F$162,5,FALSE)))</f>
        <v>54</v>
      </c>
      <c r="X74" s="591"/>
      <c r="Y74" s="613">
        <f t="shared" si="22"/>
        <v>54</v>
      </c>
      <c r="Z74" s="769" t="s">
        <v>66</v>
      </c>
      <c r="AA74" s="575">
        <v>1</v>
      </c>
      <c r="AB74" s="584">
        <f>+IF(AA74="","",(VLOOKUP($C74,'EQUIP RATE SCHEDULE'!$B$11:$F$162,5,FALSE)))</f>
        <v>54</v>
      </c>
      <c r="AC74" s="591"/>
      <c r="AD74" s="613">
        <f t="shared" si="23"/>
        <v>54</v>
      </c>
      <c r="AE74" s="769" t="s">
        <v>66</v>
      </c>
      <c r="AF74" s="575">
        <v>1</v>
      </c>
      <c r="AG74" s="584">
        <f>+IF(AF74="","",(VLOOKUP($C74,'EQUIP RATE SCHEDULE'!$B$11:$F$162,5,FALSE)))</f>
        <v>54</v>
      </c>
      <c r="AH74" s="591"/>
      <c r="AI74" s="613">
        <f t="shared" si="24"/>
        <v>54</v>
      </c>
      <c r="AJ74" s="769" t="s">
        <v>66</v>
      </c>
      <c r="AK74" s="575">
        <v>1</v>
      </c>
      <c r="AL74" s="584">
        <f>+IF(AK74="","",(VLOOKUP($C74,'EQUIP RATE SCHEDULE'!$B$11:$F$162,5,FALSE)))</f>
        <v>54</v>
      </c>
      <c r="AM74" s="591"/>
      <c r="AN74" s="613">
        <f t="shared" si="25"/>
        <v>54</v>
      </c>
      <c r="AO74" s="769" t="s">
        <v>66</v>
      </c>
      <c r="AP74" s="575">
        <v>1</v>
      </c>
      <c r="AQ74" s="584">
        <f>+IF(AP74="","",(VLOOKUP($C74,'EQUIP RATE SCHEDULE'!$B$11:$F$162,5,FALSE)))</f>
        <v>54</v>
      </c>
      <c r="AR74" s="591"/>
      <c r="AS74" s="613">
        <f t="shared" si="26"/>
        <v>54</v>
      </c>
      <c r="AT74" s="769" t="s">
        <v>66</v>
      </c>
      <c r="AU74" s="575">
        <v>1</v>
      </c>
      <c r="AV74" s="584">
        <f>+IF(AU74="","",(VLOOKUP($C74,'EQUIP RATE SCHEDULE'!$B$11:$F$162,5,FALSE)))</f>
        <v>54</v>
      </c>
      <c r="AW74" s="591"/>
      <c r="AX74" s="613">
        <f t="shared" si="27"/>
        <v>54</v>
      </c>
      <c r="AY74" s="769" t="s">
        <v>66</v>
      </c>
      <c r="AZ74" s="575">
        <v>1</v>
      </c>
      <c r="BA74" s="584">
        <f>+IF(AZ74="","",(VLOOKUP($C74,'EQUIP RATE SCHEDULE'!$B$11:$F$162,5,FALSE)))</f>
        <v>54</v>
      </c>
      <c r="BB74" s="591"/>
      <c r="BC74" s="613">
        <f t="shared" si="28"/>
        <v>54</v>
      </c>
      <c r="BD74" s="769" t="s">
        <v>66</v>
      </c>
      <c r="BE74" s="575">
        <v>1</v>
      </c>
      <c r="BF74" s="584">
        <f>+IF(BE74="","",(VLOOKUP($C74,'EQUIP RATE SCHEDULE'!$B$11:$F$162,5,FALSE)))</f>
        <v>54</v>
      </c>
      <c r="BG74" s="591"/>
      <c r="BH74" s="613">
        <f t="shared" si="29"/>
        <v>54</v>
      </c>
      <c r="BI74" s="769" t="s">
        <v>66</v>
      </c>
      <c r="BJ74" s="575">
        <v>1</v>
      </c>
      <c r="BK74" s="584">
        <f>+IF(BJ74="","",(VLOOKUP($C74,'EQUIP RATE SCHEDULE'!$B$11:$F$162,5,FALSE)))</f>
        <v>54</v>
      </c>
      <c r="BL74" s="591"/>
      <c r="BM74" s="613">
        <f t="shared" si="30"/>
        <v>54</v>
      </c>
      <c r="BN74" s="769" t="s">
        <v>66</v>
      </c>
      <c r="BO74" s="575">
        <v>1</v>
      </c>
      <c r="BP74" s="584">
        <f>+IF(BO74="","",(VLOOKUP($C74,'EQUIP RATE SCHEDULE'!$B$11:$F$162,5,FALSE)))</f>
        <v>54</v>
      </c>
      <c r="BQ74" s="591"/>
      <c r="BR74" s="613">
        <f t="shared" si="31"/>
        <v>54</v>
      </c>
      <c r="BS74" s="769" t="s">
        <v>66</v>
      </c>
      <c r="BT74" s="575">
        <v>1</v>
      </c>
      <c r="BU74" s="584">
        <f>+IF(BT74="","",(VLOOKUP($C74,'EQUIP RATE SCHEDULE'!$B$11:$F$162,5,FALSE)))</f>
        <v>54</v>
      </c>
      <c r="BV74" s="591"/>
      <c r="BW74" s="613">
        <f t="shared" si="32"/>
        <v>54</v>
      </c>
      <c r="BX74" s="769" t="s">
        <v>66</v>
      </c>
      <c r="BY74" s="575">
        <v>1</v>
      </c>
      <c r="BZ74" s="584">
        <f>+IF(BY74="","",(VLOOKUP($C74,'EQUIP RATE SCHEDULE'!$B$11:$F$162,5,FALSE)))</f>
        <v>54</v>
      </c>
      <c r="CA74" s="591"/>
      <c r="CB74" s="613">
        <f t="shared" si="33"/>
        <v>54</v>
      </c>
      <c r="CC74" s="769" t="s">
        <v>66</v>
      </c>
      <c r="CD74" s="575">
        <v>1</v>
      </c>
      <c r="CE74" s="584">
        <f>+IF(CD74="","",(VLOOKUP($C74,'EQUIP RATE SCHEDULE'!$B$11:$F$162,5,FALSE)))</f>
        <v>54</v>
      </c>
      <c r="CF74" s="591"/>
      <c r="CG74" s="613">
        <f t="shared" si="34"/>
        <v>54</v>
      </c>
      <c r="CH74" s="769" t="s">
        <v>66</v>
      </c>
      <c r="CI74" s="575">
        <v>1</v>
      </c>
      <c r="CJ74" s="584">
        <f>+IF(CI74="","",(VLOOKUP($C74,'EQUIP RATE SCHEDULE'!$B$11:$F$162,5,FALSE)))</f>
        <v>54</v>
      </c>
      <c r="CK74" s="591"/>
      <c r="CL74" s="613">
        <f t="shared" si="35"/>
        <v>54</v>
      </c>
      <c r="CM74" s="769" t="s">
        <v>66</v>
      </c>
      <c r="CN74" s="575">
        <v>1</v>
      </c>
      <c r="CO74" s="584">
        <f>+IF(CN74="","",(VLOOKUP($C74,'EQUIP RATE SCHEDULE'!$B$11:$F$162,5,FALSE)))</f>
        <v>54</v>
      </c>
      <c r="CP74" s="591"/>
      <c r="CQ74" s="613">
        <f t="shared" si="36"/>
        <v>54</v>
      </c>
      <c r="CR74" s="769" t="s">
        <v>66</v>
      </c>
      <c r="CS74" s="575">
        <v>1</v>
      </c>
      <c r="CT74" s="584">
        <f>+IF(CS74="","",(VLOOKUP($C74,'EQUIP RATE SCHEDULE'!$B$11:$F$162,5,FALSE)))</f>
        <v>54</v>
      </c>
      <c r="CU74" s="591"/>
      <c r="CV74" s="613">
        <f t="shared" si="37"/>
        <v>54</v>
      </c>
      <c r="CW74" s="769" t="s">
        <v>66</v>
      </c>
      <c r="CX74" s="575">
        <v>1</v>
      </c>
      <c r="CY74" s="584">
        <f>+IF(CX74="","",(VLOOKUP($C74,'EQUIP RATE SCHEDULE'!$B$11:$F$162,5,FALSE)))</f>
        <v>54</v>
      </c>
      <c r="CZ74" s="591"/>
      <c r="DA74" s="613">
        <f t="shared" si="38"/>
        <v>54</v>
      </c>
    </row>
    <row r="75" spans="1:105" ht="15" x14ac:dyDescent="0.25">
      <c r="A75" s="1498"/>
      <c r="B75" s="809" t="s">
        <v>522</v>
      </c>
      <c r="C75" s="776" t="s">
        <v>1046</v>
      </c>
      <c r="D75" s="1492"/>
      <c r="E75" s="1490"/>
      <c r="F75" s="769" t="s">
        <v>67</v>
      </c>
      <c r="G75" s="575"/>
      <c r="H75" s="584" t="str">
        <f>+IF(G75="","",(VLOOKUP($C75,'EQUIP RATE SCHEDULE'!$B$11:$F$162,5,FALSE)))</f>
        <v/>
      </c>
      <c r="I75" s="591"/>
      <c r="J75" s="613" t="str">
        <f t="shared" si="39"/>
        <v/>
      </c>
      <c r="K75" s="769" t="s">
        <v>67</v>
      </c>
      <c r="L75" s="575">
        <v>1</v>
      </c>
      <c r="M75" s="584">
        <f>+IF(L75="","",(VLOOKUP($C75,'EQUIP RATE SCHEDULE'!$B$11:$F$162,5,FALSE)))</f>
        <v>162</v>
      </c>
      <c r="N75" s="591"/>
      <c r="O75" s="613">
        <f t="shared" si="20"/>
        <v>162</v>
      </c>
      <c r="P75" s="769" t="s">
        <v>67</v>
      </c>
      <c r="Q75" s="575">
        <v>1</v>
      </c>
      <c r="R75" s="584">
        <f>+IF(Q75="","",(VLOOKUP($C75,'EQUIP RATE SCHEDULE'!$B$11:$F$162,5,FALSE)))</f>
        <v>162</v>
      </c>
      <c r="S75" s="591"/>
      <c r="T75" s="613">
        <f t="shared" si="21"/>
        <v>162</v>
      </c>
      <c r="U75" s="769" t="s">
        <v>67</v>
      </c>
      <c r="V75" s="575">
        <v>1</v>
      </c>
      <c r="W75" s="584">
        <f>+IF(V75="","",(VLOOKUP($C75,'EQUIP RATE SCHEDULE'!$B$11:$F$162,5,FALSE)))</f>
        <v>162</v>
      </c>
      <c r="X75" s="591"/>
      <c r="Y75" s="613">
        <f t="shared" si="22"/>
        <v>162</v>
      </c>
      <c r="Z75" s="769" t="s">
        <v>67</v>
      </c>
      <c r="AA75" s="575">
        <v>1</v>
      </c>
      <c r="AB75" s="584">
        <f>+IF(AA75="","",(VLOOKUP($C75,'EQUIP RATE SCHEDULE'!$B$11:$F$162,5,FALSE)))</f>
        <v>162</v>
      </c>
      <c r="AC75" s="591"/>
      <c r="AD75" s="613">
        <f t="shared" si="23"/>
        <v>162</v>
      </c>
      <c r="AE75" s="769" t="s">
        <v>67</v>
      </c>
      <c r="AF75" s="575">
        <v>1</v>
      </c>
      <c r="AG75" s="584">
        <f>+IF(AF75="","",(VLOOKUP($C75,'EQUIP RATE SCHEDULE'!$B$11:$F$162,5,FALSE)))</f>
        <v>162</v>
      </c>
      <c r="AH75" s="591"/>
      <c r="AI75" s="613">
        <f t="shared" si="24"/>
        <v>162</v>
      </c>
      <c r="AJ75" s="769" t="s">
        <v>67</v>
      </c>
      <c r="AK75" s="575">
        <v>1</v>
      </c>
      <c r="AL75" s="584">
        <f>+IF(AK75="","",(VLOOKUP($C75,'EQUIP RATE SCHEDULE'!$B$11:$F$162,5,FALSE)))</f>
        <v>162</v>
      </c>
      <c r="AM75" s="591"/>
      <c r="AN75" s="613">
        <f t="shared" si="25"/>
        <v>162</v>
      </c>
      <c r="AO75" s="769" t="s">
        <v>67</v>
      </c>
      <c r="AP75" s="575">
        <v>1</v>
      </c>
      <c r="AQ75" s="584">
        <f>+IF(AP75="","",(VLOOKUP($C75,'EQUIP RATE SCHEDULE'!$B$11:$F$162,5,FALSE)))</f>
        <v>162</v>
      </c>
      <c r="AR75" s="591"/>
      <c r="AS75" s="613">
        <f t="shared" si="26"/>
        <v>162</v>
      </c>
      <c r="AT75" s="769" t="s">
        <v>67</v>
      </c>
      <c r="AU75" s="575">
        <v>1</v>
      </c>
      <c r="AV75" s="584">
        <f>+IF(AU75="","",(VLOOKUP($C75,'EQUIP RATE SCHEDULE'!$B$11:$F$162,5,FALSE)))</f>
        <v>162</v>
      </c>
      <c r="AW75" s="591"/>
      <c r="AX75" s="613">
        <f t="shared" si="27"/>
        <v>162</v>
      </c>
      <c r="AY75" s="769" t="s">
        <v>67</v>
      </c>
      <c r="AZ75" s="575">
        <v>1</v>
      </c>
      <c r="BA75" s="584">
        <f>+IF(AZ75="","",(VLOOKUP($C75,'EQUIP RATE SCHEDULE'!$B$11:$F$162,5,FALSE)))</f>
        <v>162</v>
      </c>
      <c r="BB75" s="591"/>
      <c r="BC75" s="613">
        <f t="shared" si="28"/>
        <v>162</v>
      </c>
      <c r="BD75" s="769" t="s">
        <v>67</v>
      </c>
      <c r="BE75" s="575">
        <v>1</v>
      </c>
      <c r="BF75" s="584">
        <f>+IF(BE75="","",(VLOOKUP($C75,'EQUIP RATE SCHEDULE'!$B$11:$F$162,5,FALSE)))</f>
        <v>162</v>
      </c>
      <c r="BG75" s="591"/>
      <c r="BH75" s="613">
        <f t="shared" si="29"/>
        <v>162</v>
      </c>
      <c r="BI75" s="769" t="s">
        <v>67</v>
      </c>
      <c r="BJ75" s="575">
        <v>1</v>
      </c>
      <c r="BK75" s="584">
        <f>+IF(BJ75="","",(VLOOKUP($C75,'EQUIP RATE SCHEDULE'!$B$11:$F$162,5,FALSE)))</f>
        <v>162</v>
      </c>
      <c r="BL75" s="591"/>
      <c r="BM75" s="613">
        <f t="shared" si="30"/>
        <v>162</v>
      </c>
      <c r="BN75" s="769" t="s">
        <v>67</v>
      </c>
      <c r="BO75" s="575">
        <v>1</v>
      </c>
      <c r="BP75" s="584">
        <f>+IF(BO75="","",(VLOOKUP($C75,'EQUIP RATE SCHEDULE'!$B$11:$F$162,5,FALSE)))</f>
        <v>162</v>
      </c>
      <c r="BQ75" s="591"/>
      <c r="BR75" s="613">
        <f t="shared" si="31"/>
        <v>162</v>
      </c>
      <c r="BS75" s="769" t="s">
        <v>67</v>
      </c>
      <c r="BT75" s="575">
        <v>1</v>
      </c>
      <c r="BU75" s="584">
        <f>+IF(BT75="","",(VLOOKUP($C75,'EQUIP RATE SCHEDULE'!$B$11:$F$162,5,FALSE)))</f>
        <v>162</v>
      </c>
      <c r="BV75" s="591"/>
      <c r="BW75" s="613">
        <f t="shared" si="32"/>
        <v>162</v>
      </c>
      <c r="BX75" s="769" t="s">
        <v>67</v>
      </c>
      <c r="BY75" s="575">
        <v>1</v>
      </c>
      <c r="BZ75" s="584">
        <f>+IF(BY75="","",(VLOOKUP($C75,'EQUIP RATE SCHEDULE'!$B$11:$F$162,5,FALSE)))</f>
        <v>162</v>
      </c>
      <c r="CA75" s="591"/>
      <c r="CB75" s="613">
        <f t="shared" si="33"/>
        <v>162</v>
      </c>
      <c r="CC75" s="769" t="s">
        <v>67</v>
      </c>
      <c r="CD75" s="575">
        <v>1</v>
      </c>
      <c r="CE75" s="584">
        <f>+IF(CD75="","",(VLOOKUP($C75,'EQUIP RATE SCHEDULE'!$B$11:$F$162,5,FALSE)))</f>
        <v>162</v>
      </c>
      <c r="CF75" s="591"/>
      <c r="CG75" s="613">
        <f t="shared" si="34"/>
        <v>162</v>
      </c>
      <c r="CH75" s="769" t="s">
        <v>67</v>
      </c>
      <c r="CI75" s="575">
        <v>1</v>
      </c>
      <c r="CJ75" s="584">
        <f>+IF(CI75="","",(VLOOKUP($C75,'EQUIP RATE SCHEDULE'!$B$11:$F$162,5,FALSE)))</f>
        <v>162</v>
      </c>
      <c r="CK75" s="591"/>
      <c r="CL75" s="613">
        <f t="shared" si="35"/>
        <v>162</v>
      </c>
      <c r="CM75" s="769" t="s">
        <v>67</v>
      </c>
      <c r="CN75" s="575">
        <v>1</v>
      </c>
      <c r="CO75" s="584">
        <f>+IF(CN75="","",(VLOOKUP($C75,'EQUIP RATE SCHEDULE'!$B$11:$F$162,5,FALSE)))</f>
        <v>162</v>
      </c>
      <c r="CP75" s="591"/>
      <c r="CQ75" s="613">
        <f t="shared" si="36"/>
        <v>162</v>
      </c>
      <c r="CR75" s="769" t="s">
        <v>67</v>
      </c>
      <c r="CS75" s="575">
        <v>1</v>
      </c>
      <c r="CT75" s="584">
        <f>+IF(CS75="","",(VLOOKUP($C75,'EQUIP RATE SCHEDULE'!$B$11:$F$162,5,FALSE)))</f>
        <v>162</v>
      </c>
      <c r="CU75" s="591"/>
      <c r="CV75" s="613">
        <f t="shared" si="37"/>
        <v>162</v>
      </c>
      <c r="CW75" s="769" t="s">
        <v>67</v>
      </c>
      <c r="CX75" s="575">
        <v>1</v>
      </c>
      <c r="CY75" s="584">
        <f>+IF(CX75="","",(VLOOKUP($C75,'EQUIP RATE SCHEDULE'!$B$11:$F$162,5,FALSE)))</f>
        <v>162</v>
      </c>
      <c r="CZ75" s="591"/>
      <c r="DA75" s="613">
        <f t="shared" si="38"/>
        <v>162</v>
      </c>
    </row>
    <row r="76" spans="1:105" ht="15" x14ac:dyDescent="0.25">
      <c r="A76" s="1498"/>
      <c r="B76" s="809" t="s">
        <v>522</v>
      </c>
      <c r="C76" s="776" t="s">
        <v>1047</v>
      </c>
      <c r="D76" s="777" t="s">
        <v>1048</v>
      </c>
      <c r="E76" s="778" t="s">
        <v>1049</v>
      </c>
      <c r="F76" s="769" t="s">
        <v>920</v>
      </c>
      <c r="G76" s="575">
        <v>1</v>
      </c>
      <c r="H76" s="584">
        <f>+IF(G76="","",(VLOOKUP($C76,'EQUIP RATE SCHEDULE'!$B$11:$F$162,5,FALSE)))</f>
        <v>23</v>
      </c>
      <c r="I76" s="591"/>
      <c r="J76" s="613">
        <f t="shared" si="39"/>
        <v>23</v>
      </c>
      <c r="K76" s="769" t="s">
        <v>920</v>
      </c>
      <c r="L76" s="575">
        <v>1</v>
      </c>
      <c r="M76" s="584">
        <f>+IF(L76="","",(VLOOKUP($C76,'EQUIP RATE SCHEDULE'!$B$11:$F$162,5,FALSE)))</f>
        <v>23</v>
      </c>
      <c r="N76" s="591"/>
      <c r="O76" s="613">
        <f t="shared" si="20"/>
        <v>23</v>
      </c>
      <c r="P76" s="769" t="s">
        <v>920</v>
      </c>
      <c r="Q76" s="575">
        <v>1</v>
      </c>
      <c r="R76" s="584">
        <f>+IF(Q76="","",(VLOOKUP($C76,'EQUIP RATE SCHEDULE'!$B$11:$F$162,5,FALSE)))</f>
        <v>23</v>
      </c>
      <c r="S76" s="591"/>
      <c r="T76" s="613">
        <f t="shared" si="21"/>
        <v>23</v>
      </c>
      <c r="U76" s="769" t="s">
        <v>920</v>
      </c>
      <c r="V76" s="575">
        <v>1</v>
      </c>
      <c r="W76" s="584">
        <f>+IF(V76="","",(VLOOKUP($C76,'EQUIP RATE SCHEDULE'!$B$11:$F$162,5,FALSE)))</f>
        <v>23</v>
      </c>
      <c r="X76" s="591"/>
      <c r="Y76" s="613">
        <f t="shared" si="22"/>
        <v>23</v>
      </c>
      <c r="Z76" s="769" t="s">
        <v>920</v>
      </c>
      <c r="AA76" s="575">
        <v>1</v>
      </c>
      <c r="AB76" s="584">
        <f>+IF(AA76="","",(VLOOKUP($C76,'EQUIP RATE SCHEDULE'!$B$11:$F$162,5,FALSE)))</f>
        <v>23</v>
      </c>
      <c r="AC76" s="591"/>
      <c r="AD76" s="613">
        <f t="shared" si="23"/>
        <v>23</v>
      </c>
      <c r="AE76" s="769" t="s">
        <v>920</v>
      </c>
      <c r="AF76" s="575">
        <v>1</v>
      </c>
      <c r="AG76" s="584">
        <f>+IF(AF76="","",(VLOOKUP($C76,'EQUIP RATE SCHEDULE'!$B$11:$F$162,5,FALSE)))</f>
        <v>23</v>
      </c>
      <c r="AH76" s="591"/>
      <c r="AI76" s="613">
        <f t="shared" si="24"/>
        <v>23</v>
      </c>
      <c r="AJ76" s="769" t="s">
        <v>920</v>
      </c>
      <c r="AK76" s="575">
        <v>1</v>
      </c>
      <c r="AL76" s="584">
        <f>+IF(AK76="","",(VLOOKUP($C76,'EQUIP RATE SCHEDULE'!$B$11:$F$162,5,FALSE)))</f>
        <v>23</v>
      </c>
      <c r="AM76" s="591"/>
      <c r="AN76" s="613">
        <f t="shared" si="25"/>
        <v>23</v>
      </c>
      <c r="AO76" s="769" t="s">
        <v>920</v>
      </c>
      <c r="AP76" s="575">
        <v>1</v>
      </c>
      <c r="AQ76" s="584">
        <f>+IF(AP76="","",(VLOOKUP($C76,'EQUIP RATE SCHEDULE'!$B$11:$F$162,5,FALSE)))</f>
        <v>23</v>
      </c>
      <c r="AR76" s="591"/>
      <c r="AS76" s="613">
        <f t="shared" si="26"/>
        <v>23</v>
      </c>
      <c r="AT76" s="769" t="s">
        <v>920</v>
      </c>
      <c r="AU76" s="575">
        <v>1</v>
      </c>
      <c r="AV76" s="584">
        <f>+IF(AU76="","",(VLOOKUP($C76,'EQUIP RATE SCHEDULE'!$B$11:$F$162,5,FALSE)))</f>
        <v>23</v>
      </c>
      <c r="AW76" s="591"/>
      <c r="AX76" s="613">
        <f t="shared" si="27"/>
        <v>23</v>
      </c>
      <c r="AY76" s="769" t="s">
        <v>920</v>
      </c>
      <c r="AZ76" s="575">
        <v>1</v>
      </c>
      <c r="BA76" s="584">
        <f>+IF(AZ76="","",(VLOOKUP($C76,'EQUIP RATE SCHEDULE'!$B$11:$F$162,5,FALSE)))</f>
        <v>23</v>
      </c>
      <c r="BB76" s="591"/>
      <c r="BC76" s="613">
        <f t="shared" si="28"/>
        <v>23</v>
      </c>
      <c r="BD76" s="769" t="s">
        <v>920</v>
      </c>
      <c r="BE76" s="575">
        <v>1</v>
      </c>
      <c r="BF76" s="584">
        <f>+IF(BE76="","",(VLOOKUP($C76,'EQUIP RATE SCHEDULE'!$B$11:$F$162,5,FALSE)))</f>
        <v>23</v>
      </c>
      <c r="BG76" s="591"/>
      <c r="BH76" s="613">
        <f t="shared" si="29"/>
        <v>23</v>
      </c>
      <c r="BI76" s="769" t="s">
        <v>920</v>
      </c>
      <c r="BJ76" s="575">
        <v>1</v>
      </c>
      <c r="BK76" s="584">
        <f>+IF(BJ76="","",(VLOOKUP($C76,'EQUIP RATE SCHEDULE'!$B$11:$F$162,5,FALSE)))</f>
        <v>23</v>
      </c>
      <c r="BL76" s="591"/>
      <c r="BM76" s="613">
        <f t="shared" si="30"/>
        <v>23</v>
      </c>
      <c r="BN76" s="769" t="s">
        <v>920</v>
      </c>
      <c r="BO76" s="575">
        <v>1</v>
      </c>
      <c r="BP76" s="584">
        <f>+IF(BO76="","",(VLOOKUP($C76,'EQUIP RATE SCHEDULE'!$B$11:$F$162,5,FALSE)))</f>
        <v>23</v>
      </c>
      <c r="BQ76" s="591"/>
      <c r="BR76" s="613">
        <f t="shared" si="31"/>
        <v>23</v>
      </c>
      <c r="BS76" s="769" t="s">
        <v>920</v>
      </c>
      <c r="BT76" s="575">
        <v>1</v>
      </c>
      <c r="BU76" s="584">
        <f>+IF(BT76="","",(VLOOKUP($C76,'EQUIP RATE SCHEDULE'!$B$11:$F$162,5,FALSE)))</f>
        <v>23</v>
      </c>
      <c r="BV76" s="591"/>
      <c r="BW76" s="613">
        <f t="shared" si="32"/>
        <v>23</v>
      </c>
      <c r="BX76" s="769" t="s">
        <v>920</v>
      </c>
      <c r="BY76" s="575">
        <v>1</v>
      </c>
      <c r="BZ76" s="584">
        <f>+IF(BY76="","",(VLOOKUP($C76,'EQUIP RATE SCHEDULE'!$B$11:$F$162,5,FALSE)))</f>
        <v>23</v>
      </c>
      <c r="CA76" s="591"/>
      <c r="CB76" s="613">
        <f t="shared" si="33"/>
        <v>23</v>
      </c>
      <c r="CC76" s="769" t="s">
        <v>920</v>
      </c>
      <c r="CD76" s="575">
        <v>1</v>
      </c>
      <c r="CE76" s="584">
        <f>+IF(CD76="","",(VLOOKUP($C76,'EQUIP RATE SCHEDULE'!$B$11:$F$162,5,FALSE)))</f>
        <v>23</v>
      </c>
      <c r="CF76" s="591"/>
      <c r="CG76" s="613">
        <f t="shared" si="34"/>
        <v>23</v>
      </c>
      <c r="CH76" s="769" t="s">
        <v>920</v>
      </c>
      <c r="CI76" s="575">
        <v>1</v>
      </c>
      <c r="CJ76" s="584">
        <f>+IF(CI76="","",(VLOOKUP($C76,'EQUIP RATE SCHEDULE'!$B$11:$F$162,5,FALSE)))</f>
        <v>23</v>
      </c>
      <c r="CK76" s="591"/>
      <c r="CL76" s="613">
        <f t="shared" si="35"/>
        <v>23</v>
      </c>
      <c r="CM76" s="769" t="s">
        <v>920</v>
      </c>
      <c r="CN76" s="575">
        <v>1</v>
      </c>
      <c r="CO76" s="584">
        <f>+IF(CN76="","",(VLOOKUP($C76,'EQUIP RATE SCHEDULE'!$B$11:$F$162,5,FALSE)))</f>
        <v>23</v>
      </c>
      <c r="CP76" s="591"/>
      <c r="CQ76" s="613">
        <f t="shared" si="36"/>
        <v>23</v>
      </c>
      <c r="CR76" s="769" t="s">
        <v>920</v>
      </c>
      <c r="CS76" s="575">
        <v>1</v>
      </c>
      <c r="CT76" s="584">
        <f>+IF(CS76="","",(VLOOKUP($C76,'EQUIP RATE SCHEDULE'!$B$11:$F$162,5,FALSE)))</f>
        <v>23</v>
      </c>
      <c r="CU76" s="591"/>
      <c r="CV76" s="613">
        <f t="shared" si="37"/>
        <v>23</v>
      </c>
      <c r="CW76" s="769" t="s">
        <v>920</v>
      </c>
      <c r="CX76" s="575">
        <v>1</v>
      </c>
      <c r="CY76" s="584">
        <f>+IF(CX76="","",(VLOOKUP($C76,'EQUIP RATE SCHEDULE'!$B$11:$F$162,5,FALSE)))</f>
        <v>23</v>
      </c>
      <c r="CZ76" s="591"/>
      <c r="DA76" s="613">
        <f t="shared" si="38"/>
        <v>23</v>
      </c>
    </row>
    <row r="77" spans="1:105" ht="15" x14ac:dyDescent="0.25">
      <c r="A77" s="1498"/>
      <c r="B77" s="809" t="s">
        <v>522</v>
      </c>
      <c r="C77" s="776" t="s">
        <v>1050</v>
      </c>
      <c r="D77" s="1491" t="s">
        <v>1230</v>
      </c>
      <c r="E77" s="1488" t="s">
        <v>1231</v>
      </c>
      <c r="F77" s="769" t="s">
        <v>66</v>
      </c>
      <c r="G77" s="575">
        <v>1</v>
      </c>
      <c r="H77" s="584">
        <f>+IF(G77="","",(VLOOKUP($C77,'EQUIP RATE SCHEDULE'!$B$11:$F$162,5,FALSE)))</f>
        <v>90</v>
      </c>
      <c r="I77" s="591"/>
      <c r="J77" s="613">
        <f t="shared" si="39"/>
        <v>90</v>
      </c>
      <c r="K77" s="769" t="s">
        <v>66</v>
      </c>
      <c r="L77" s="575">
        <v>1</v>
      </c>
      <c r="M77" s="584">
        <f>+IF(L77="","",(VLOOKUP($C77,'EQUIP RATE SCHEDULE'!$B$11:$F$162,5,FALSE)))</f>
        <v>90</v>
      </c>
      <c r="N77" s="591"/>
      <c r="O77" s="613">
        <f t="shared" si="20"/>
        <v>90</v>
      </c>
      <c r="P77" s="769" t="s">
        <v>66</v>
      </c>
      <c r="Q77" s="575">
        <v>1</v>
      </c>
      <c r="R77" s="584">
        <f>+IF(Q77="","",(VLOOKUP($C77,'EQUIP RATE SCHEDULE'!$B$11:$F$162,5,FALSE)))</f>
        <v>90</v>
      </c>
      <c r="S77" s="591"/>
      <c r="T77" s="613">
        <f t="shared" si="21"/>
        <v>90</v>
      </c>
      <c r="U77" s="769" t="s">
        <v>66</v>
      </c>
      <c r="V77" s="575">
        <v>1</v>
      </c>
      <c r="W77" s="584">
        <f>+IF(V77="","",(VLOOKUP($C77,'EQUIP RATE SCHEDULE'!$B$11:$F$162,5,FALSE)))</f>
        <v>90</v>
      </c>
      <c r="X77" s="591"/>
      <c r="Y77" s="613">
        <f t="shared" si="22"/>
        <v>90</v>
      </c>
      <c r="Z77" s="769" t="s">
        <v>66</v>
      </c>
      <c r="AA77" s="575">
        <v>1</v>
      </c>
      <c r="AB77" s="584">
        <f>+IF(AA77="","",(VLOOKUP($C77,'EQUIP RATE SCHEDULE'!$B$11:$F$162,5,FALSE)))</f>
        <v>90</v>
      </c>
      <c r="AC77" s="591"/>
      <c r="AD77" s="613">
        <f t="shared" si="23"/>
        <v>90</v>
      </c>
      <c r="AE77" s="769" t="s">
        <v>66</v>
      </c>
      <c r="AF77" s="575">
        <v>1</v>
      </c>
      <c r="AG77" s="584">
        <f>+IF(AF77="","",(VLOOKUP($C77,'EQUIP RATE SCHEDULE'!$B$11:$F$162,5,FALSE)))</f>
        <v>90</v>
      </c>
      <c r="AH77" s="591"/>
      <c r="AI77" s="613">
        <f t="shared" si="24"/>
        <v>90</v>
      </c>
      <c r="AJ77" s="769" t="s">
        <v>66</v>
      </c>
      <c r="AK77" s="575">
        <v>1</v>
      </c>
      <c r="AL77" s="584">
        <f>+IF(AK77="","",(VLOOKUP($C77,'EQUIP RATE SCHEDULE'!$B$11:$F$162,5,FALSE)))</f>
        <v>90</v>
      </c>
      <c r="AM77" s="591"/>
      <c r="AN77" s="613">
        <f t="shared" si="25"/>
        <v>90</v>
      </c>
      <c r="AO77" s="769" t="s">
        <v>66</v>
      </c>
      <c r="AP77" s="575">
        <v>1</v>
      </c>
      <c r="AQ77" s="584">
        <f>+IF(AP77="","",(VLOOKUP($C77,'EQUIP RATE SCHEDULE'!$B$11:$F$162,5,FALSE)))</f>
        <v>90</v>
      </c>
      <c r="AR77" s="591"/>
      <c r="AS77" s="613">
        <f t="shared" si="26"/>
        <v>90</v>
      </c>
      <c r="AT77" s="769" t="s">
        <v>66</v>
      </c>
      <c r="AU77" s="575">
        <v>1</v>
      </c>
      <c r="AV77" s="584">
        <f>+IF(AU77="","",(VLOOKUP($C77,'EQUIP RATE SCHEDULE'!$B$11:$F$162,5,FALSE)))</f>
        <v>90</v>
      </c>
      <c r="AW77" s="591"/>
      <c r="AX77" s="613">
        <f t="shared" si="27"/>
        <v>90</v>
      </c>
      <c r="AY77" s="769" t="s">
        <v>66</v>
      </c>
      <c r="AZ77" s="575">
        <v>1</v>
      </c>
      <c r="BA77" s="584">
        <f>+IF(AZ77="","",(VLOOKUP($C77,'EQUIP RATE SCHEDULE'!$B$11:$F$162,5,FALSE)))</f>
        <v>90</v>
      </c>
      <c r="BB77" s="591"/>
      <c r="BC77" s="613">
        <f t="shared" si="28"/>
        <v>90</v>
      </c>
      <c r="BD77" s="769" t="s">
        <v>66</v>
      </c>
      <c r="BE77" s="575">
        <v>1</v>
      </c>
      <c r="BF77" s="584">
        <f>+IF(BE77="","",(VLOOKUP($C77,'EQUIP RATE SCHEDULE'!$B$11:$F$162,5,FALSE)))</f>
        <v>90</v>
      </c>
      <c r="BG77" s="591"/>
      <c r="BH77" s="613">
        <f t="shared" si="29"/>
        <v>90</v>
      </c>
      <c r="BI77" s="769" t="s">
        <v>66</v>
      </c>
      <c r="BJ77" s="575">
        <v>1</v>
      </c>
      <c r="BK77" s="584">
        <f>+IF(BJ77="","",(VLOOKUP($C77,'EQUIP RATE SCHEDULE'!$B$11:$F$162,5,FALSE)))</f>
        <v>90</v>
      </c>
      <c r="BL77" s="591"/>
      <c r="BM77" s="613">
        <f t="shared" si="30"/>
        <v>90</v>
      </c>
      <c r="BN77" s="769" t="s">
        <v>66</v>
      </c>
      <c r="BO77" s="575">
        <v>1</v>
      </c>
      <c r="BP77" s="584">
        <f>+IF(BO77="","",(VLOOKUP($C77,'EQUIP RATE SCHEDULE'!$B$11:$F$162,5,FALSE)))</f>
        <v>90</v>
      </c>
      <c r="BQ77" s="591"/>
      <c r="BR77" s="613">
        <f t="shared" si="31"/>
        <v>90</v>
      </c>
      <c r="BS77" s="769" t="s">
        <v>66</v>
      </c>
      <c r="BT77" s="575">
        <v>1</v>
      </c>
      <c r="BU77" s="584">
        <f>+IF(BT77="","",(VLOOKUP($C77,'EQUIP RATE SCHEDULE'!$B$11:$F$162,5,FALSE)))</f>
        <v>90</v>
      </c>
      <c r="BV77" s="591"/>
      <c r="BW77" s="613">
        <f t="shared" si="32"/>
        <v>90</v>
      </c>
      <c r="BX77" s="769" t="s">
        <v>66</v>
      </c>
      <c r="BY77" s="575">
        <v>1</v>
      </c>
      <c r="BZ77" s="584">
        <f>+IF(BY77="","",(VLOOKUP($C77,'EQUIP RATE SCHEDULE'!$B$11:$F$162,5,FALSE)))</f>
        <v>90</v>
      </c>
      <c r="CA77" s="591"/>
      <c r="CB77" s="613">
        <f t="shared" si="33"/>
        <v>90</v>
      </c>
      <c r="CC77" s="769" t="s">
        <v>66</v>
      </c>
      <c r="CD77" s="575">
        <v>1</v>
      </c>
      <c r="CE77" s="584">
        <f>+IF(CD77="","",(VLOOKUP($C77,'EQUIP RATE SCHEDULE'!$B$11:$F$162,5,FALSE)))</f>
        <v>90</v>
      </c>
      <c r="CF77" s="591"/>
      <c r="CG77" s="613">
        <f t="shared" si="34"/>
        <v>90</v>
      </c>
      <c r="CH77" s="769" t="s">
        <v>66</v>
      </c>
      <c r="CI77" s="575">
        <v>1</v>
      </c>
      <c r="CJ77" s="584">
        <f>+IF(CI77="","",(VLOOKUP($C77,'EQUIP RATE SCHEDULE'!$B$11:$F$162,5,FALSE)))</f>
        <v>90</v>
      </c>
      <c r="CK77" s="591"/>
      <c r="CL77" s="613">
        <f t="shared" si="35"/>
        <v>90</v>
      </c>
      <c r="CM77" s="769" t="s">
        <v>66</v>
      </c>
      <c r="CN77" s="575">
        <v>1</v>
      </c>
      <c r="CO77" s="584">
        <f>+IF(CN77="","",(VLOOKUP($C77,'EQUIP RATE SCHEDULE'!$B$11:$F$162,5,FALSE)))</f>
        <v>90</v>
      </c>
      <c r="CP77" s="591"/>
      <c r="CQ77" s="613">
        <f t="shared" si="36"/>
        <v>90</v>
      </c>
      <c r="CR77" s="769" t="s">
        <v>66</v>
      </c>
      <c r="CS77" s="575">
        <v>1</v>
      </c>
      <c r="CT77" s="584">
        <f>+IF(CS77="","",(VLOOKUP($C77,'EQUIP RATE SCHEDULE'!$B$11:$F$162,5,FALSE)))</f>
        <v>90</v>
      </c>
      <c r="CU77" s="591"/>
      <c r="CV77" s="613">
        <f t="shared" si="37"/>
        <v>90</v>
      </c>
      <c r="CW77" s="769" t="s">
        <v>66</v>
      </c>
      <c r="CX77" s="575">
        <v>1</v>
      </c>
      <c r="CY77" s="584">
        <f>+IF(CX77="","",(VLOOKUP($C77,'EQUIP RATE SCHEDULE'!$B$11:$F$162,5,FALSE)))</f>
        <v>90</v>
      </c>
      <c r="CZ77" s="591"/>
      <c r="DA77" s="613">
        <f t="shared" si="38"/>
        <v>90</v>
      </c>
    </row>
    <row r="78" spans="1:105" ht="15" x14ac:dyDescent="0.25">
      <c r="A78" s="1498"/>
      <c r="B78" s="809" t="s">
        <v>522</v>
      </c>
      <c r="C78" s="776" t="s">
        <v>1052</v>
      </c>
      <c r="D78" s="1492"/>
      <c r="E78" s="1490"/>
      <c r="F78" s="769" t="s">
        <v>67</v>
      </c>
      <c r="G78" s="575">
        <v>1</v>
      </c>
      <c r="H78" s="584">
        <f>+IF(G78="","",(VLOOKUP($C78,'EQUIP RATE SCHEDULE'!$B$11:$F$162,5,FALSE)))</f>
        <v>270</v>
      </c>
      <c r="I78" s="591"/>
      <c r="J78" s="613">
        <f t="shared" si="39"/>
        <v>270</v>
      </c>
      <c r="K78" s="769" t="s">
        <v>67</v>
      </c>
      <c r="L78" s="575">
        <v>1</v>
      </c>
      <c r="M78" s="584">
        <f>+IF(L78="","",(VLOOKUP($C78,'EQUIP RATE SCHEDULE'!$B$11:$F$162,5,FALSE)))</f>
        <v>270</v>
      </c>
      <c r="N78" s="591"/>
      <c r="O78" s="613">
        <f t="shared" si="20"/>
        <v>270</v>
      </c>
      <c r="P78" s="769" t="s">
        <v>67</v>
      </c>
      <c r="Q78" s="575">
        <v>1</v>
      </c>
      <c r="R78" s="584">
        <f>+IF(Q78="","",(VLOOKUP($C78,'EQUIP RATE SCHEDULE'!$B$11:$F$162,5,FALSE)))</f>
        <v>270</v>
      </c>
      <c r="S78" s="591"/>
      <c r="T78" s="613">
        <f t="shared" si="21"/>
        <v>270</v>
      </c>
      <c r="U78" s="769" t="s">
        <v>67</v>
      </c>
      <c r="V78" s="575">
        <v>1</v>
      </c>
      <c r="W78" s="584">
        <f>+IF(V78="","",(VLOOKUP($C78,'EQUIP RATE SCHEDULE'!$B$11:$F$162,5,FALSE)))</f>
        <v>270</v>
      </c>
      <c r="X78" s="591"/>
      <c r="Y78" s="613">
        <f t="shared" si="22"/>
        <v>270</v>
      </c>
      <c r="Z78" s="769" t="s">
        <v>67</v>
      </c>
      <c r="AA78" s="575">
        <v>1</v>
      </c>
      <c r="AB78" s="584">
        <f>+IF(AA78="","",(VLOOKUP($C78,'EQUIP RATE SCHEDULE'!$B$11:$F$162,5,FALSE)))</f>
        <v>270</v>
      </c>
      <c r="AC78" s="591"/>
      <c r="AD78" s="613">
        <f t="shared" si="23"/>
        <v>270</v>
      </c>
      <c r="AE78" s="769" t="s">
        <v>67</v>
      </c>
      <c r="AF78" s="575">
        <v>1</v>
      </c>
      <c r="AG78" s="584">
        <f>+IF(AF78="","",(VLOOKUP($C78,'EQUIP RATE SCHEDULE'!$B$11:$F$162,5,FALSE)))</f>
        <v>270</v>
      </c>
      <c r="AH78" s="591"/>
      <c r="AI78" s="613">
        <f t="shared" si="24"/>
        <v>270</v>
      </c>
      <c r="AJ78" s="769" t="s">
        <v>67</v>
      </c>
      <c r="AK78" s="575">
        <v>1</v>
      </c>
      <c r="AL78" s="584">
        <f>+IF(AK78="","",(VLOOKUP($C78,'EQUIP RATE SCHEDULE'!$B$11:$F$162,5,FALSE)))</f>
        <v>270</v>
      </c>
      <c r="AM78" s="591"/>
      <c r="AN78" s="613">
        <f t="shared" si="25"/>
        <v>270</v>
      </c>
      <c r="AO78" s="769" t="s">
        <v>67</v>
      </c>
      <c r="AP78" s="575">
        <v>1</v>
      </c>
      <c r="AQ78" s="584">
        <f>+IF(AP78="","",(VLOOKUP($C78,'EQUIP RATE SCHEDULE'!$B$11:$F$162,5,FALSE)))</f>
        <v>270</v>
      </c>
      <c r="AR78" s="591"/>
      <c r="AS78" s="613">
        <f t="shared" si="26"/>
        <v>270</v>
      </c>
      <c r="AT78" s="769" t="s">
        <v>67</v>
      </c>
      <c r="AU78" s="575">
        <v>1</v>
      </c>
      <c r="AV78" s="584">
        <f>+IF(AU78="","",(VLOOKUP($C78,'EQUIP RATE SCHEDULE'!$B$11:$F$162,5,FALSE)))</f>
        <v>270</v>
      </c>
      <c r="AW78" s="591"/>
      <c r="AX78" s="613">
        <f t="shared" si="27"/>
        <v>270</v>
      </c>
      <c r="AY78" s="769" t="s">
        <v>67</v>
      </c>
      <c r="AZ78" s="575">
        <v>1</v>
      </c>
      <c r="BA78" s="584">
        <f>+IF(AZ78="","",(VLOOKUP($C78,'EQUIP RATE SCHEDULE'!$B$11:$F$162,5,FALSE)))</f>
        <v>270</v>
      </c>
      <c r="BB78" s="591"/>
      <c r="BC78" s="613">
        <f t="shared" si="28"/>
        <v>270</v>
      </c>
      <c r="BD78" s="769" t="s">
        <v>67</v>
      </c>
      <c r="BE78" s="575">
        <v>1</v>
      </c>
      <c r="BF78" s="584">
        <f>+IF(BE78="","",(VLOOKUP($C78,'EQUIP RATE SCHEDULE'!$B$11:$F$162,5,FALSE)))</f>
        <v>270</v>
      </c>
      <c r="BG78" s="591"/>
      <c r="BH78" s="613">
        <f t="shared" si="29"/>
        <v>270</v>
      </c>
      <c r="BI78" s="769" t="s">
        <v>67</v>
      </c>
      <c r="BJ78" s="575">
        <v>1</v>
      </c>
      <c r="BK78" s="584">
        <f>+IF(BJ78="","",(VLOOKUP($C78,'EQUIP RATE SCHEDULE'!$B$11:$F$162,5,FALSE)))</f>
        <v>270</v>
      </c>
      <c r="BL78" s="591"/>
      <c r="BM78" s="613">
        <f t="shared" si="30"/>
        <v>270</v>
      </c>
      <c r="BN78" s="769" t="s">
        <v>67</v>
      </c>
      <c r="BO78" s="575">
        <v>1</v>
      </c>
      <c r="BP78" s="584">
        <f>+IF(BO78="","",(VLOOKUP($C78,'EQUIP RATE SCHEDULE'!$B$11:$F$162,5,FALSE)))</f>
        <v>270</v>
      </c>
      <c r="BQ78" s="591"/>
      <c r="BR78" s="613">
        <f t="shared" si="31"/>
        <v>270</v>
      </c>
      <c r="BS78" s="769" t="s">
        <v>67</v>
      </c>
      <c r="BT78" s="575">
        <v>1</v>
      </c>
      <c r="BU78" s="584">
        <f>+IF(BT78="","",(VLOOKUP($C78,'EQUIP RATE SCHEDULE'!$B$11:$F$162,5,FALSE)))</f>
        <v>270</v>
      </c>
      <c r="BV78" s="591"/>
      <c r="BW78" s="613">
        <f t="shared" si="32"/>
        <v>270</v>
      </c>
      <c r="BX78" s="769" t="s">
        <v>67</v>
      </c>
      <c r="BY78" s="575">
        <v>1</v>
      </c>
      <c r="BZ78" s="584">
        <f>+IF(BY78="","",(VLOOKUP($C78,'EQUIP RATE SCHEDULE'!$B$11:$F$162,5,FALSE)))</f>
        <v>270</v>
      </c>
      <c r="CA78" s="591"/>
      <c r="CB78" s="613">
        <f t="shared" si="33"/>
        <v>270</v>
      </c>
      <c r="CC78" s="769" t="s">
        <v>67</v>
      </c>
      <c r="CD78" s="575">
        <v>1</v>
      </c>
      <c r="CE78" s="584">
        <f>+IF(CD78="","",(VLOOKUP($C78,'EQUIP RATE SCHEDULE'!$B$11:$F$162,5,FALSE)))</f>
        <v>270</v>
      </c>
      <c r="CF78" s="591"/>
      <c r="CG78" s="613">
        <f t="shared" si="34"/>
        <v>270</v>
      </c>
      <c r="CH78" s="769" t="s">
        <v>67</v>
      </c>
      <c r="CI78" s="575">
        <v>1</v>
      </c>
      <c r="CJ78" s="584">
        <f>+IF(CI78="","",(VLOOKUP($C78,'EQUIP RATE SCHEDULE'!$B$11:$F$162,5,FALSE)))</f>
        <v>270</v>
      </c>
      <c r="CK78" s="591"/>
      <c r="CL78" s="613">
        <f t="shared" si="35"/>
        <v>270</v>
      </c>
      <c r="CM78" s="769" t="s">
        <v>67</v>
      </c>
      <c r="CN78" s="575">
        <v>1</v>
      </c>
      <c r="CO78" s="584">
        <f>+IF(CN78="","",(VLOOKUP($C78,'EQUIP RATE SCHEDULE'!$B$11:$F$162,5,FALSE)))</f>
        <v>270</v>
      </c>
      <c r="CP78" s="591"/>
      <c r="CQ78" s="613">
        <f t="shared" si="36"/>
        <v>270</v>
      </c>
      <c r="CR78" s="769" t="s">
        <v>67</v>
      </c>
      <c r="CS78" s="575">
        <v>1</v>
      </c>
      <c r="CT78" s="584">
        <f>+IF(CS78="","",(VLOOKUP($C78,'EQUIP RATE SCHEDULE'!$B$11:$F$162,5,FALSE)))</f>
        <v>270</v>
      </c>
      <c r="CU78" s="591"/>
      <c r="CV78" s="613">
        <f t="shared" si="37"/>
        <v>270</v>
      </c>
      <c r="CW78" s="769" t="s">
        <v>67</v>
      </c>
      <c r="CX78" s="575">
        <v>1</v>
      </c>
      <c r="CY78" s="584">
        <f>+IF(CX78="","",(VLOOKUP($C78,'EQUIP RATE SCHEDULE'!$B$11:$F$162,5,FALSE)))</f>
        <v>270</v>
      </c>
      <c r="CZ78" s="591"/>
      <c r="DA78" s="613">
        <f t="shared" si="38"/>
        <v>270</v>
      </c>
    </row>
    <row r="79" spans="1:105" ht="15" x14ac:dyDescent="0.25">
      <c r="A79" s="1498"/>
      <c r="B79" s="809" t="s">
        <v>522</v>
      </c>
      <c r="C79" s="776" t="s">
        <v>1053</v>
      </c>
      <c r="D79" s="1491" t="s">
        <v>1232</v>
      </c>
      <c r="E79" s="1488" t="s">
        <v>1233</v>
      </c>
      <c r="F79" s="769" t="s">
        <v>66</v>
      </c>
      <c r="G79" s="575">
        <v>1</v>
      </c>
      <c r="H79" s="584">
        <f>+IF(G79="","",(VLOOKUP($C79,'EQUIP RATE SCHEDULE'!$B$11:$F$162,5,FALSE)))</f>
        <v>90</v>
      </c>
      <c r="I79" s="591"/>
      <c r="J79" s="613">
        <f t="shared" si="39"/>
        <v>90</v>
      </c>
      <c r="K79" s="769" t="s">
        <v>66</v>
      </c>
      <c r="L79" s="575">
        <v>1</v>
      </c>
      <c r="M79" s="584">
        <f>+IF(L79="","",(VLOOKUP($C79,'EQUIP RATE SCHEDULE'!$B$11:$F$162,5,FALSE)))</f>
        <v>90</v>
      </c>
      <c r="N79" s="591"/>
      <c r="O79" s="613">
        <f t="shared" si="20"/>
        <v>90</v>
      </c>
      <c r="P79" s="769" t="s">
        <v>66</v>
      </c>
      <c r="Q79" s="575">
        <v>1</v>
      </c>
      <c r="R79" s="584">
        <f>+IF(Q79="","",(VLOOKUP($C79,'EQUIP RATE SCHEDULE'!$B$11:$F$162,5,FALSE)))</f>
        <v>90</v>
      </c>
      <c r="S79" s="591"/>
      <c r="T79" s="613">
        <f t="shared" si="21"/>
        <v>90</v>
      </c>
      <c r="U79" s="769" t="s">
        <v>66</v>
      </c>
      <c r="V79" s="575">
        <v>1</v>
      </c>
      <c r="W79" s="584">
        <f>+IF(V79="","",(VLOOKUP($C79,'EQUIP RATE SCHEDULE'!$B$11:$F$162,5,FALSE)))</f>
        <v>90</v>
      </c>
      <c r="X79" s="591"/>
      <c r="Y79" s="613">
        <f t="shared" si="22"/>
        <v>90</v>
      </c>
      <c r="Z79" s="769" t="s">
        <v>66</v>
      </c>
      <c r="AA79" s="575">
        <v>1</v>
      </c>
      <c r="AB79" s="584">
        <f>+IF(AA79="","",(VLOOKUP($C79,'EQUIP RATE SCHEDULE'!$B$11:$F$162,5,FALSE)))</f>
        <v>90</v>
      </c>
      <c r="AC79" s="591"/>
      <c r="AD79" s="613">
        <f t="shared" si="23"/>
        <v>90</v>
      </c>
      <c r="AE79" s="769" t="s">
        <v>66</v>
      </c>
      <c r="AF79" s="575">
        <v>1</v>
      </c>
      <c r="AG79" s="584">
        <f>+IF(AF79="","",(VLOOKUP($C79,'EQUIP RATE SCHEDULE'!$B$11:$F$162,5,FALSE)))</f>
        <v>90</v>
      </c>
      <c r="AH79" s="591"/>
      <c r="AI79" s="613">
        <f t="shared" si="24"/>
        <v>90</v>
      </c>
      <c r="AJ79" s="769" t="s">
        <v>66</v>
      </c>
      <c r="AK79" s="575">
        <v>1</v>
      </c>
      <c r="AL79" s="584">
        <f>+IF(AK79="","",(VLOOKUP($C79,'EQUIP RATE SCHEDULE'!$B$11:$F$162,5,FALSE)))</f>
        <v>90</v>
      </c>
      <c r="AM79" s="591"/>
      <c r="AN79" s="613">
        <f t="shared" si="25"/>
        <v>90</v>
      </c>
      <c r="AO79" s="769" t="s">
        <v>66</v>
      </c>
      <c r="AP79" s="575">
        <v>1</v>
      </c>
      <c r="AQ79" s="584">
        <f>+IF(AP79="","",(VLOOKUP($C79,'EQUIP RATE SCHEDULE'!$B$11:$F$162,5,FALSE)))</f>
        <v>90</v>
      </c>
      <c r="AR79" s="591"/>
      <c r="AS79" s="613">
        <f t="shared" si="26"/>
        <v>90</v>
      </c>
      <c r="AT79" s="769" t="s">
        <v>66</v>
      </c>
      <c r="AU79" s="575">
        <v>1</v>
      </c>
      <c r="AV79" s="584">
        <f>+IF(AU79="","",(VLOOKUP($C79,'EQUIP RATE SCHEDULE'!$B$11:$F$162,5,FALSE)))</f>
        <v>90</v>
      </c>
      <c r="AW79" s="591"/>
      <c r="AX79" s="613">
        <f t="shared" si="27"/>
        <v>90</v>
      </c>
      <c r="AY79" s="769" t="s">
        <v>66</v>
      </c>
      <c r="AZ79" s="575">
        <v>1</v>
      </c>
      <c r="BA79" s="584">
        <f>+IF(AZ79="","",(VLOOKUP($C79,'EQUIP RATE SCHEDULE'!$B$11:$F$162,5,FALSE)))</f>
        <v>90</v>
      </c>
      <c r="BB79" s="591"/>
      <c r="BC79" s="613">
        <f t="shared" si="28"/>
        <v>90</v>
      </c>
      <c r="BD79" s="769" t="s">
        <v>66</v>
      </c>
      <c r="BE79" s="575">
        <v>1</v>
      </c>
      <c r="BF79" s="584">
        <f>+IF(BE79="","",(VLOOKUP($C79,'EQUIP RATE SCHEDULE'!$B$11:$F$162,5,FALSE)))</f>
        <v>90</v>
      </c>
      <c r="BG79" s="591"/>
      <c r="BH79" s="613">
        <f t="shared" si="29"/>
        <v>90</v>
      </c>
      <c r="BI79" s="769" t="s">
        <v>66</v>
      </c>
      <c r="BJ79" s="575">
        <v>1</v>
      </c>
      <c r="BK79" s="584">
        <f>+IF(BJ79="","",(VLOOKUP($C79,'EQUIP RATE SCHEDULE'!$B$11:$F$162,5,FALSE)))</f>
        <v>90</v>
      </c>
      <c r="BL79" s="591"/>
      <c r="BM79" s="613">
        <f t="shared" si="30"/>
        <v>90</v>
      </c>
      <c r="BN79" s="769" t="s">
        <v>66</v>
      </c>
      <c r="BO79" s="575">
        <v>1</v>
      </c>
      <c r="BP79" s="584">
        <f>+IF(BO79="","",(VLOOKUP($C79,'EQUIP RATE SCHEDULE'!$B$11:$F$162,5,FALSE)))</f>
        <v>90</v>
      </c>
      <c r="BQ79" s="591"/>
      <c r="BR79" s="613">
        <f t="shared" si="31"/>
        <v>90</v>
      </c>
      <c r="BS79" s="769" t="s">
        <v>66</v>
      </c>
      <c r="BT79" s="575">
        <v>1</v>
      </c>
      <c r="BU79" s="584">
        <f>+IF(BT79="","",(VLOOKUP($C79,'EQUIP RATE SCHEDULE'!$B$11:$F$162,5,FALSE)))</f>
        <v>90</v>
      </c>
      <c r="BV79" s="591"/>
      <c r="BW79" s="613">
        <f t="shared" si="32"/>
        <v>90</v>
      </c>
      <c r="BX79" s="769" t="s">
        <v>66</v>
      </c>
      <c r="BY79" s="575">
        <v>1</v>
      </c>
      <c r="BZ79" s="584">
        <f>+IF(BY79="","",(VLOOKUP($C79,'EQUIP RATE SCHEDULE'!$B$11:$F$162,5,FALSE)))</f>
        <v>90</v>
      </c>
      <c r="CA79" s="591"/>
      <c r="CB79" s="613">
        <f t="shared" si="33"/>
        <v>90</v>
      </c>
      <c r="CC79" s="769" t="s">
        <v>66</v>
      </c>
      <c r="CD79" s="575">
        <v>1</v>
      </c>
      <c r="CE79" s="584">
        <f>+IF(CD79="","",(VLOOKUP($C79,'EQUIP RATE SCHEDULE'!$B$11:$F$162,5,FALSE)))</f>
        <v>90</v>
      </c>
      <c r="CF79" s="591"/>
      <c r="CG79" s="613">
        <f t="shared" si="34"/>
        <v>90</v>
      </c>
      <c r="CH79" s="769" t="s">
        <v>66</v>
      </c>
      <c r="CI79" s="575">
        <v>1</v>
      </c>
      <c r="CJ79" s="584">
        <f>+IF(CI79="","",(VLOOKUP($C79,'EQUIP RATE SCHEDULE'!$B$11:$F$162,5,FALSE)))</f>
        <v>90</v>
      </c>
      <c r="CK79" s="591"/>
      <c r="CL79" s="613">
        <f t="shared" si="35"/>
        <v>90</v>
      </c>
      <c r="CM79" s="769" t="s">
        <v>66</v>
      </c>
      <c r="CN79" s="575">
        <v>1</v>
      </c>
      <c r="CO79" s="584">
        <f>+IF(CN79="","",(VLOOKUP($C79,'EQUIP RATE SCHEDULE'!$B$11:$F$162,5,FALSE)))</f>
        <v>90</v>
      </c>
      <c r="CP79" s="591"/>
      <c r="CQ79" s="613">
        <f t="shared" si="36"/>
        <v>90</v>
      </c>
      <c r="CR79" s="769" t="s">
        <v>66</v>
      </c>
      <c r="CS79" s="575">
        <v>1</v>
      </c>
      <c r="CT79" s="584">
        <f>+IF(CS79="","",(VLOOKUP($C79,'EQUIP RATE SCHEDULE'!$B$11:$F$162,5,FALSE)))</f>
        <v>90</v>
      </c>
      <c r="CU79" s="591"/>
      <c r="CV79" s="613">
        <f t="shared" si="37"/>
        <v>90</v>
      </c>
      <c r="CW79" s="769" t="s">
        <v>66</v>
      </c>
      <c r="CX79" s="575">
        <v>1</v>
      </c>
      <c r="CY79" s="584">
        <f>+IF(CX79="","",(VLOOKUP($C79,'EQUIP RATE SCHEDULE'!$B$11:$F$162,5,FALSE)))</f>
        <v>90</v>
      </c>
      <c r="CZ79" s="591"/>
      <c r="DA79" s="613">
        <f t="shared" si="38"/>
        <v>90</v>
      </c>
    </row>
    <row r="80" spans="1:105" ht="15" x14ac:dyDescent="0.25">
      <c r="A80" s="1498"/>
      <c r="B80" s="809" t="s">
        <v>522</v>
      </c>
      <c r="C80" s="776" t="s">
        <v>1055</v>
      </c>
      <c r="D80" s="1492"/>
      <c r="E80" s="1490"/>
      <c r="F80" s="769" t="s">
        <v>67</v>
      </c>
      <c r="G80" s="575">
        <v>1</v>
      </c>
      <c r="H80" s="584">
        <f>+IF(G80="","",(VLOOKUP($C80,'EQUIP RATE SCHEDULE'!$B$11:$F$162,5,FALSE)))</f>
        <v>270</v>
      </c>
      <c r="I80" s="591"/>
      <c r="J80" s="613">
        <f t="shared" si="39"/>
        <v>270</v>
      </c>
      <c r="K80" s="769" t="s">
        <v>67</v>
      </c>
      <c r="L80" s="575">
        <v>1</v>
      </c>
      <c r="M80" s="584">
        <f>+IF(L80="","",(VLOOKUP($C80,'EQUIP RATE SCHEDULE'!$B$11:$F$162,5,FALSE)))</f>
        <v>270</v>
      </c>
      <c r="N80" s="591"/>
      <c r="O80" s="613">
        <f t="shared" si="20"/>
        <v>270</v>
      </c>
      <c r="P80" s="769" t="s">
        <v>67</v>
      </c>
      <c r="Q80" s="575">
        <v>1</v>
      </c>
      <c r="R80" s="584">
        <f>+IF(Q80="","",(VLOOKUP($C80,'EQUIP RATE SCHEDULE'!$B$11:$F$162,5,FALSE)))</f>
        <v>270</v>
      </c>
      <c r="S80" s="591"/>
      <c r="T80" s="613">
        <f t="shared" si="21"/>
        <v>270</v>
      </c>
      <c r="U80" s="769" t="s">
        <v>67</v>
      </c>
      <c r="V80" s="575">
        <v>1</v>
      </c>
      <c r="W80" s="584">
        <f>+IF(V80="","",(VLOOKUP($C80,'EQUIP RATE SCHEDULE'!$B$11:$F$162,5,FALSE)))</f>
        <v>270</v>
      </c>
      <c r="X80" s="591"/>
      <c r="Y80" s="613">
        <f t="shared" si="22"/>
        <v>270</v>
      </c>
      <c r="Z80" s="769" t="s">
        <v>67</v>
      </c>
      <c r="AA80" s="575">
        <v>1</v>
      </c>
      <c r="AB80" s="584">
        <f>+IF(AA80="","",(VLOOKUP($C80,'EQUIP RATE SCHEDULE'!$B$11:$F$162,5,FALSE)))</f>
        <v>270</v>
      </c>
      <c r="AC80" s="591"/>
      <c r="AD80" s="613">
        <f t="shared" si="23"/>
        <v>270</v>
      </c>
      <c r="AE80" s="769" t="s">
        <v>67</v>
      </c>
      <c r="AF80" s="575">
        <v>1</v>
      </c>
      <c r="AG80" s="584">
        <f>+IF(AF80="","",(VLOOKUP($C80,'EQUIP RATE SCHEDULE'!$B$11:$F$162,5,FALSE)))</f>
        <v>270</v>
      </c>
      <c r="AH80" s="591"/>
      <c r="AI80" s="613">
        <f t="shared" si="24"/>
        <v>270</v>
      </c>
      <c r="AJ80" s="769" t="s">
        <v>67</v>
      </c>
      <c r="AK80" s="575">
        <v>1</v>
      </c>
      <c r="AL80" s="584">
        <f>+IF(AK80="","",(VLOOKUP($C80,'EQUIP RATE SCHEDULE'!$B$11:$F$162,5,FALSE)))</f>
        <v>270</v>
      </c>
      <c r="AM80" s="591"/>
      <c r="AN80" s="613">
        <f t="shared" si="25"/>
        <v>270</v>
      </c>
      <c r="AO80" s="769" t="s">
        <v>67</v>
      </c>
      <c r="AP80" s="575">
        <v>1</v>
      </c>
      <c r="AQ80" s="584">
        <f>+IF(AP80="","",(VLOOKUP($C80,'EQUIP RATE SCHEDULE'!$B$11:$F$162,5,FALSE)))</f>
        <v>270</v>
      </c>
      <c r="AR80" s="591"/>
      <c r="AS80" s="613">
        <f t="shared" si="26"/>
        <v>270</v>
      </c>
      <c r="AT80" s="769" t="s">
        <v>67</v>
      </c>
      <c r="AU80" s="575">
        <v>1</v>
      </c>
      <c r="AV80" s="584">
        <f>+IF(AU80="","",(VLOOKUP($C80,'EQUIP RATE SCHEDULE'!$B$11:$F$162,5,FALSE)))</f>
        <v>270</v>
      </c>
      <c r="AW80" s="591"/>
      <c r="AX80" s="613">
        <f t="shared" si="27"/>
        <v>270</v>
      </c>
      <c r="AY80" s="769" t="s">
        <v>67</v>
      </c>
      <c r="AZ80" s="575">
        <v>1</v>
      </c>
      <c r="BA80" s="584">
        <f>+IF(AZ80="","",(VLOOKUP($C80,'EQUIP RATE SCHEDULE'!$B$11:$F$162,5,FALSE)))</f>
        <v>270</v>
      </c>
      <c r="BB80" s="591"/>
      <c r="BC80" s="613">
        <f t="shared" si="28"/>
        <v>270</v>
      </c>
      <c r="BD80" s="769" t="s">
        <v>67</v>
      </c>
      <c r="BE80" s="575">
        <v>1</v>
      </c>
      <c r="BF80" s="584">
        <f>+IF(BE80="","",(VLOOKUP($C80,'EQUIP RATE SCHEDULE'!$B$11:$F$162,5,FALSE)))</f>
        <v>270</v>
      </c>
      <c r="BG80" s="591"/>
      <c r="BH80" s="613">
        <f t="shared" si="29"/>
        <v>270</v>
      </c>
      <c r="BI80" s="769" t="s">
        <v>67</v>
      </c>
      <c r="BJ80" s="575">
        <v>1</v>
      </c>
      <c r="BK80" s="584">
        <f>+IF(BJ80="","",(VLOOKUP($C80,'EQUIP RATE SCHEDULE'!$B$11:$F$162,5,FALSE)))</f>
        <v>270</v>
      </c>
      <c r="BL80" s="591"/>
      <c r="BM80" s="613">
        <f t="shared" si="30"/>
        <v>270</v>
      </c>
      <c r="BN80" s="769" t="s">
        <v>67</v>
      </c>
      <c r="BO80" s="575">
        <v>1</v>
      </c>
      <c r="BP80" s="584">
        <f>+IF(BO80="","",(VLOOKUP($C80,'EQUIP RATE SCHEDULE'!$B$11:$F$162,5,FALSE)))</f>
        <v>270</v>
      </c>
      <c r="BQ80" s="591"/>
      <c r="BR80" s="613">
        <f t="shared" si="31"/>
        <v>270</v>
      </c>
      <c r="BS80" s="769" t="s">
        <v>67</v>
      </c>
      <c r="BT80" s="575">
        <v>1</v>
      </c>
      <c r="BU80" s="584">
        <f>+IF(BT80="","",(VLOOKUP($C80,'EQUIP RATE SCHEDULE'!$B$11:$F$162,5,FALSE)))</f>
        <v>270</v>
      </c>
      <c r="BV80" s="591"/>
      <c r="BW80" s="613">
        <f t="shared" si="32"/>
        <v>270</v>
      </c>
      <c r="BX80" s="769" t="s">
        <v>67</v>
      </c>
      <c r="BY80" s="575">
        <v>1</v>
      </c>
      <c r="BZ80" s="584">
        <f>+IF(BY80="","",(VLOOKUP($C80,'EQUIP RATE SCHEDULE'!$B$11:$F$162,5,FALSE)))</f>
        <v>270</v>
      </c>
      <c r="CA80" s="591"/>
      <c r="CB80" s="613">
        <f t="shared" si="33"/>
        <v>270</v>
      </c>
      <c r="CC80" s="769" t="s">
        <v>67</v>
      </c>
      <c r="CD80" s="575">
        <v>1</v>
      </c>
      <c r="CE80" s="584">
        <f>+IF(CD80="","",(VLOOKUP($C80,'EQUIP RATE SCHEDULE'!$B$11:$F$162,5,FALSE)))</f>
        <v>270</v>
      </c>
      <c r="CF80" s="591"/>
      <c r="CG80" s="613">
        <f t="shared" si="34"/>
        <v>270</v>
      </c>
      <c r="CH80" s="769" t="s">
        <v>67</v>
      </c>
      <c r="CI80" s="575">
        <v>1</v>
      </c>
      <c r="CJ80" s="584">
        <f>+IF(CI80="","",(VLOOKUP($C80,'EQUIP RATE SCHEDULE'!$B$11:$F$162,5,FALSE)))</f>
        <v>270</v>
      </c>
      <c r="CK80" s="591"/>
      <c r="CL80" s="613">
        <f t="shared" si="35"/>
        <v>270</v>
      </c>
      <c r="CM80" s="769" t="s">
        <v>67</v>
      </c>
      <c r="CN80" s="575">
        <v>1</v>
      </c>
      <c r="CO80" s="584">
        <f>+IF(CN80="","",(VLOOKUP($C80,'EQUIP RATE SCHEDULE'!$B$11:$F$162,5,FALSE)))</f>
        <v>270</v>
      </c>
      <c r="CP80" s="591"/>
      <c r="CQ80" s="613">
        <f t="shared" si="36"/>
        <v>270</v>
      </c>
      <c r="CR80" s="769" t="s">
        <v>67</v>
      </c>
      <c r="CS80" s="575">
        <v>1</v>
      </c>
      <c r="CT80" s="584">
        <f>+IF(CS80="","",(VLOOKUP($C80,'EQUIP RATE SCHEDULE'!$B$11:$F$162,5,FALSE)))</f>
        <v>270</v>
      </c>
      <c r="CU80" s="591"/>
      <c r="CV80" s="613">
        <f t="shared" si="37"/>
        <v>270</v>
      </c>
      <c r="CW80" s="769" t="s">
        <v>67</v>
      </c>
      <c r="CX80" s="575">
        <v>1</v>
      </c>
      <c r="CY80" s="584">
        <f>+IF(CX80="","",(VLOOKUP($C80,'EQUIP RATE SCHEDULE'!$B$11:$F$162,5,FALSE)))</f>
        <v>270</v>
      </c>
      <c r="CZ80" s="591"/>
      <c r="DA80" s="613">
        <f t="shared" si="38"/>
        <v>270</v>
      </c>
    </row>
    <row r="81" spans="1:105" ht="15" x14ac:dyDescent="0.25">
      <c r="A81" s="1498"/>
      <c r="B81" s="809" t="s">
        <v>522</v>
      </c>
      <c r="C81" s="776" t="s">
        <v>1056</v>
      </c>
      <c r="D81" s="1491" t="s">
        <v>1057</v>
      </c>
      <c r="E81" s="1488"/>
      <c r="F81" s="769" t="s">
        <v>66</v>
      </c>
      <c r="G81" s="575"/>
      <c r="H81" s="584" t="str">
        <f>+IF(G81="","",(VLOOKUP($C81,'EQUIP RATE SCHEDULE'!$B$11:$F$162,5,FALSE)))</f>
        <v/>
      </c>
      <c r="I81" s="591"/>
      <c r="J81" s="613" t="str">
        <f t="shared" si="39"/>
        <v/>
      </c>
      <c r="K81" s="769" t="s">
        <v>66</v>
      </c>
      <c r="L81" s="575">
        <v>1</v>
      </c>
      <c r="M81" s="584">
        <f>+IF(L81="","",(VLOOKUP($C81,'EQUIP RATE SCHEDULE'!$B$11:$F$162,5,FALSE)))</f>
        <v>20</v>
      </c>
      <c r="N81" s="591"/>
      <c r="O81" s="613">
        <f t="shared" si="20"/>
        <v>20</v>
      </c>
      <c r="P81" s="769" t="s">
        <v>66</v>
      </c>
      <c r="Q81" s="575"/>
      <c r="R81" s="584" t="str">
        <f>+IF(Q81="","",(VLOOKUP($C81,'EQUIP RATE SCHEDULE'!$B$11:$F$162,5,FALSE)))</f>
        <v/>
      </c>
      <c r="S81" s="591"/>
      <c r="T81" s="613" t="str">
        <f t="shared" si="21"/>
        <v/>
      </c>
      <c r="U81" s="769" t="s">
        <v>66</v>
      </c>
      <c r="V81" s="575">
        <v>1</v>
      </c>
      <c r="W81" s="584">
        <f>+IF(V81="","",(VLOOKUP($C81,'EQUIP RATE SCHEDULE'!$B$11:$F$162,5,FALSE)))</f>
        <v>20</v>
      </c>
      <c r="X81" s="591"/>
      <c r="Y81" s="613">
        <f t="shared" si="22"/>
        <v>20</v>
      </c>
      <c r="Z81" s="769" t="s">
        <v>66</v>
      </c>
      <c r="AA81" s="575">
        <v>1</v>
      </c>
      <c r="AB81" s="584">
        <f>+IF(AA81="","",(VLOOKUP($C81,'EQUIP RATE SCHEDULE'!$B$11:$F$162,5,FALSE)))</f>
        <v>20</v>
      </c>
      <c r="AC81" s="591"/>
      <c r="AD81" s="613">
        <f t="shared" si="23"/>
        <v>20</v>
      </c>
      <c r="AE81" s="769" t="s">
        <v>66</v>
      </c>
      <c r="AF81" s="575">
        <v>1</v>
      </c>
      <c r="AG81" s="584">
        <f>+IF(AF81="","",(VLOOKUP($C81,'EQUIP RATE SCHEDULE'!$B$11:$F$162,5,FALSE)))</f>
        <v>20</v>
      </c>
      <c r="AH81" s="591"/>
      <c r="AI81" s="613">
        <f t="shared" si="24"/>
        <v>20</v>
      </c>
      <c r="AJ81" s="769" t="s">
        <v>66</v>
      </c>
      <c r="AK81" s="575">
        <v>1</v>
      </c>
      <c r="AL81" s="584">
        <f>+IF(AK81="","",(VLOOKUP($C81,'EQUIP RATE SCHEDULE'!$B$11:$F$162,5,FALSE)))</f>
        <v>20</v>
      </c>
      <c r="AM81" s="591"/>
      <c r="AN81" s="613">
        <f t="shared" si="25"/>
        <v>20</v>
      </c>
      <c r="AO81" s="769" t="s">
        <v>66</v>
      </c>
      <c r="AP81" s="575">
        <v>1</v>
      </c>
      <c r="AQ81" s="584">
        <f>+IF(AP81="","",(VLOOKUP($C81,'EQUIP RATE SCHEDULE'!$B$11:$F$162,5,FALSE)))</f>
        <v>20</v>
      </c>
      <c r="AR81" s="591"/>
      <c r="AS81" s="613">
        <f t="shared" si="26"/>
        <v>20</v>
      </c>
      <c r="AT81" s="769" t="s">
        <v>66</v>
      </c>
      <c r="AU81" s="575">
        <v>1</v>
      </c>
      <c r="AV81" s="584">
        <f>+IF(AU81="","",(VLOOKUP($C81,'EQUIP RATE SCHEDULE'!$B$11:$F$162,5,FALSE)))</f>
        <v>20</v>
      </c>
      <c r="AW81" s="591"/>
      <c r="AX81" s="613">
        <f t="shared" si="27"/>
        <v>20</v>
      </c>
      <c r="AY81" s="769" t="s">
        <v>66</v>
      </c>
      <c r="AZ81" s="575"/>
      <c r="BA81" s="584" t="str">
        <f>+IF(AZ81="","",(VLOOKUP($C81,'EQUIP RATE SCHEDULE'!$B$11:$F$162,5,FALSE)))</f>
        <v/>
      </c>
      <c r="BB81" s="591"/>
      <c r="BC81" s="613" t="str">
        <f t="shared" si="28"/>
        <v/>
      </c>
      <c r="BD81" s="769" t="s">
        <v>66</v>
      </c>
      <c r="BE81" s="575">
        <v>1</v>
      </c>
      <c r="BF81" s="584">
        <f>+IF(BE81="","",(VLOOKUP($C81,'EQUIP RATE SCHEDULE'!$B$11:$F$162,5,FALSE)))</f>
        <v>20</v>
      </c>
      <c r="BG81" s="591"/>
      <c r="BH81" s="613">
        <f t="shared" si="29"/>
        <v>20</v>
      </c>
      <c r="BI81" s="769" t="s">
        <v>66</v>
      </c>
      <c r="BJ81" s="575">
        <v>1</v>
      </c>
      <c r="BK81" s="584">
        <f>+IF(BJ81="","",(VLOOKUP($C81,'EQUIP RATE SCHEDULE'!$B$11:$F$162,5,FALSE)))</f>
        <v>20</v>
      </c>
      <c r="BL81" s="591"/>
      <c r="BM81" s="613">
        <f t="shared" si="30"/>
        <v>20</v>
      </c>
      <c r="BN81" s="769" t="s">
        <v>66</v>
      </c>
      <c r="BO81" s="575">
        <v>1</v>
      </c>
      <c r="BP81" s="584">
        <f>+IF(BO81="","",(VLOOKUP($C81,'EQUIP RATE SCHEDULE'!$B$11:$F$162,5,FALSE)))</f>
        <v>20</v>
      </c>
      <c r="BQ81" s="591"/>
      <c r="BR81" s="613">
        <f t="shared" si="31"/>
        <v>20</v>
      </c>
      <c r="BS81" s="769" t="s">
        <v>66</v>
      </c>
      <c r="BT81" s="575">
        <v>1</v>
      </c>
      <c r="BU81" s="584">
        <f>+IF(BT81="","",(VLOOKUP($C81,'EQUIP RATE SCHEDULE'!$B$11:$F$162,5,FALSE)))</f>
        <v>20</v>
      </c>
      <c r="BV81" s="591"/>
      <c r="BW81" s="613">
        <f t="shared" si="32"/>
        <v>20</v>
      </c>
      <c r="BX81" s="769" t="s">
        <v>66</v>
      </c>
      <c r="BY81" s="575">
        <v>1</v>
      </c>
      <c r="BZ81" s="584">
        <f>+IF(BY81="","",(VLOOKUP($C81,'EQUIP RATE SCHEDULE'!$B$11:$F$162,5,FALSE)))</f>
        <v>20</v>
      </c>
      <c r="CA81" s="591"/>
      <c r="CB81" s="613">
        <f t="shared" si="33"/>
        <v>20</v>
      </c>
      <c r="CC81" s="769" t="s">
        <v>66</v>
      </c>
      <c r="CD81" s="575">
        <v>1</v>
      </c>
      <c r="CE81" s="584">
        <f>+IF(CD81="","",(VLOOKUP($C81,'EQUIP RATE SCHEDULE'!$B$11:$F$162,5,FALSE)))</f>
        <v>20</v>
      </c>
      <c r="CF81" s="591"/>
      <c r="CG81" s="613">
        <f t="shared" si="34"/>
        <v>20</v>
      </c>
      <c r="CH81" s="769" t="s">
        <v>66</v>
      </c>
      <c r="CI81" s="575">
        <v>1</v>
      </c>
      <c r="CJ81" s="584">
        <f>+IF(CI81="","",(VLOOKUP($C81,'EQUIP RATE SCHEDULE'!$B$11:$F$162,5,FALSE)))</f>
        <v>20</v>
      </c>
      <c r="CK81" s="591"/>
      <c r="CL81" s="613">
        <f t="shared" si="35"/>
        <v>20</v>
      </c>
      <c r="CM81" s="769" t="s">
        <v>66</v>
      </c>
      <c r="CN81" s="575">
        <v>1</v>
      </c>
      <c r="CO81" s="584">
        <f>+IF(CN81="","",(VLOOKUP($C81,'EQUIP RATE SCHEDULE'!$B$11:$F$162,5,FALSE)))</f>
        <v>20</v>
      </c>
      <c r="CP81" s="591"/>
      <c r="CQ81" s="613">
        <f t="shared" si="36"/>
        <v>20</v>
      </c>
      <c r="CR81" s="769" t="s">
        <v>66</v>
      </c>
      <c r="CS81" s="575">
        <v>1</v>
      </c>
      <c r="CT81" s="584">
        <f>+IF(CS81="","",(VLOOKUP($C81,'EQUIP RATE SCHEDULE'!$B$11:$F$162,5,FALSE)))</f>
        <v>20</v>
      </c>
      <c r="CU81" s="591"/>
      <c r="CV81" s="613">
        <f t="shared" si="37"/>
        <v>20</v>
      </c>
      <c r="CW81" s="769" t="s">
        <v>66</v>
      </c>
      <c r="CX81" s="575">
        <v>1</v>
      </c>
      <c r="CY81" s="584">
        <f>+IF(CX81="","",(VLOOKUP($C81,'EQUIP RATE SCHEDULE'!$B$11:$F$162,5,FALSE)))</f>
        <v>20</v>
      </c>
      <c r="CZ81" s="591"/>
      <c r="DA81" s="613">
        <f t="shared" si="38"/>
        <v>20</v>
      </c>
    </row>
    <row r="82" spans="1:105" thickBot="1" x14ac:dyDescent="0.3">
      <c r="A82" s="1498"/>
      <c r="B82" s="810" t="s">
        <v>522</v>
      </c>
      <c r="C82" s="783" t="s">
        <v>1058</v>
      </c>
      <c r="D82" s="1495"/>
      <c r="E82" s="1496"/>
      <c r="F82" s="771" t="s">
        <v>67</v>
      </c>
      <c r="G82" s="577">
        <v>1</v>
      </c>
      <c r="H82" s="594">
        <f>+IF(G82="","",(VLOOKUP($C82,'EQUIP RATE SCHEDULE'!$B$11:$F$162,5,FALSE)))</f>
        <v>60</v>
      </c>
      <c r="I82" s="593"/>
      <c r="J82" s="756">
        <f t="shared" si="39"/>
        <v>60</v>
      </c>
      <c r="K82" s="773" t="s">
        <v>67</v>
      </c>
      <c r="L82" s="577">
        <v>1</v>
      </c>
      <c r="M82" s="594">
        <f>+IF(L82="","",(VLOOKUP($C82,'EQUIP RATE SCHEDULE'!$B$11:$F$162,5,FALSE)))</f>
        <v>60</v>
      </c>
      <c r="N82" s="593"/>
      <c r="O82" s="767">
        <f t="shared" si="20"/>
        <v>60</v>
      </c>
      <c r="P82" s="773" t="s">
        <v>67</v>
      </c>
      <c r="Q82" s="577">
        <v>1</v>
      </c>
      <c r="R82" s="585">
        <f>+IF(Q82="","",(VLOOKUP($C82,'EQUIP RATE SCHEDULE'!$B$11:$F$162,5,FALSE)))</f>
        <v>60</v>
      </c>
      <c r="S82" s="592"/>
      <c r="T82" s="614">
        <f t="shared" si="21"/>
        <v>60</v>
      </c>
      <c r="U82" s="773" t="s">
        <v>67</v>
      </c>
      <c r="V82" s="577">
        <v>1</v>
      </c>
      <c r="W82" s="585">
        <f>+IF(V82="","",(VLOOKUP($C82,'EQUIP RATE SCHEDULE'!$B$11:$F$162,5,FALSE)))</f>
        <v>60</v>
      </c>
      <c r="X82" s="592"/>
      <c r="Y82" s="614">
        <f t="shared" si="22"/>
        <v>60</v>
      </c>
      <c r="Z82" s="773" t="s">
        <v>67</v>
      </c>
      <c r="AA82" s="577">
        <v>1</v>
      </c>
      <c r="AB82" s="585">
        <f>+IF(AA82="","",(VLOOKUP($C82,'EQUIP RATE SCHEDULE'!$B$11:$F$162,5,FALSE)))</f>
        <v>60</v>
      </c>
      <c r="AC82" s="592"/>
      <c r="AD82" s="614">
        <f t="shared" si="23"/>
        <v>60</v>
      </c>
      <c r="AE82" s="773" t="s">
        <v>67</v>
      </c>
      <c r="AF82" s="577">
        <v>1</v>
      </c>
      <c r="AG82" s="585">
        <f>+IF(AF82="","",(VLOOKUP($C82,'EQUIP RATE SCHEDULE'!$B$11:$F$162,5,FALSE)))</f>
        <v>60</v>
      </c>
      <c r="AH82" s="592"/>
      <c r="AI82" s="614">
        <f t="shared" si="24"/>
        <v>60</v>
      </c>
      <c r="AJ82" s="773" t="s">
        <v>67</v>
      </c>
      <c r="AK82" s="577">
        <v>1</v>
      </c>
      <c r="AL82" s="585">
        <f>+IF(AK82="","",(VLOOKUP($C82,'EQUIP RATE SCHEDULE'!$B$11:$F$162,5,FALSE)))</f>
        <v>60</v>
      </c>
      <c r="AM82" s="592"/>
      <c r="AN82" s="614">
        <f t="shared" si="25"/>
        <v>60</v>
      </c>
      <c r="AO82" s="773" t="s">
        <v>67</v>
      </c>
      <c r="AP82" s="577">
        <v>1</v>
      </c>
      <c r="AQ82" s="585">
        <f>+IF(AP82="","",(VLOOKUP($C82,'EQUIP RATE SCHEDULE'!$B$11:$F$162,5,FALSE)))</f>
        <v>60</v>
      </c>
      <c r="AR82" s="592"/>
      <c r="AS82" s="614">
        <f t="shared" si="26"/>
        <v>60</v>
      </c>
      <c r="AT82" s="773" t="s">
        <v>67</v>
      </c>
      <c r="AU82" s="577">
        <v>1</v>
      </c>
      <c r="AV82" s="585">
        <f>+IF(AU82="","",(VLOOKUP($C82,'EQUIP RATE SCHEDULE'!$B$11:$F$162,5,FALSE)))</f>
        <v>60</v>
      </c>
      <c r="AW82" s="592"/>
      <c r="AX82" s="614">
        <f t="shared" si="27"/>
        <v>60</v>
      </c>
      <c r="AY82" s="773" t="s">
        <v>67</v>
      </c>
      <c r="AZ82" s="577">
        <v>1</v>
      </c>
      <c r="BA82" s="585">
        <f>+IF(AZ82="","",(VLOOKUP($C82,'EQUIP RATE SCHEDULE'!$B$11:$F$162,5,FALSE)))</f>
        <v>60</v>
      </c>
      <c r="BB82" s="592"/>
      <c r="BC82" s="614">
        <f t="shared" si="28"/>
        <v>60</v>
      </c>
      <c r="BD82" s="773" t="s">
        <v>67</v>
      </c>
      <c r="BE82" s="577">
        <v>1</v>
      </c>
      <c r="BF82" s="585">
        <f>+IF(BE82="","",(VLOOKUP($C82,'EQUIP RATE SCHEDULE'!$B$11:$F$162,5,FALSE)))</f>
        <v>60</v>
      </c>
      <c r="BG82" s="592"/>
      <c r="BH82" s="614">
        <f t="shared" si="29"/>
        <v>60</v>
      </c>
      <c r="BI82" s="773" t="s">
        <v>67</v>
      </c>
      <c r="BJ82" s="577">
        <v>1</v>
      </c>
      <c r="BK82" s="585">
        <f>+IF(BJ82="","",(VLOOKUP($C82,'EQUIP RATE SCHEDULE'!$B$11:$F$162,5,FALSE)))</f>
        <v>60</v>
      </c>
      <c r="BL82" s="592"/>
      <c r="BM82" s="614">
        <f t="shared" si="30"/>
        <v>60</v>
      </c>
      <c r="BN82" s="773" t="s">
        <v>67</v>
      </c>
      <c r="BO82" s="577">
        <v>1</v>
      </c>
      <c r="BP82" s="585">
        <f>+IF(BO82="","",(VLOOKUP($C82,'EQUIP RATE SCHEDULE'!$B$11:$F$162,5,FALSE)))</f>
        <v>60</v>
      </c>
      <c r="BQ82" s="592"/>
      <c r="BR82" s="614">
        <f t="shared" si="31"/>
        <v>60</v>
      </c>
      <c r="BS82" s="773" t="s">
        <v>67</v>
      </c>
      <c r="BT82" s="577">
        <v>1</v>
      </c>
      <c r="BU82" s="585">
        <f>+IF(BT82="","",(VLOOKUP($C82,'EQUIP RATE SCHEDULE'!$B$11:$F$162,5,FALSE)))</f>
        <v>60</v>
      </c>
      <c r="BV82" s="592"/>
      <c r="BW82" s="614">
        <f t="shared" si="32"/>
        <v>60</v>
      </c>
      <c r="BX82" s="773" t="s">
        <v>67</v>
      </c>
      <c r="BY82" s="577">
        <v>1</v>
      </c>
      <c r="BZ82" s="585">
        <f>+IF(BY82="","",(VLOOKUP($C82,'EQUIP RATE SCHEDULE'!$B$11:$F$162,5,FALSE)))</f>
        <v>60</v>
      </c>
      <c r="CA82" s="592"/>
      <c r="CB82" s="614">
        <f t="shared" si="33"/>
        <v>60</v>
      </c>
      <c r="CC82" s="773" t="s">
        <v>67</v>
      </c>
      <c r="CD82" s="577">
        <v>1</v>
      </c>
      <c r="CE82" s="585">
        <f>+IF(CD82="","",(VLOOKUP($C82,'EQUIP RATE SCHEDULE'!$B$11:$F$162,5,FALSE)))</f>
        <v>60</v>
      </c>
      <c r="CF82" s="592"/>
      <c r="CG82" s="614">
        <f t="shared" si="34"/>
        <v>60</v>
      </c>
      <c r="CH82" s="773" t="s">
        <v>67</v>
      </c>
      <c r="CI82" s="577">
        <v>1</v>
      </c>
      <c r="CJ82" s="585">
        <f>+IF(CI82="","",(VLOOKUP($C82,'EQUIP RATE SCHEDULE'!$B$11:$F$162,5,FALSE)))</f>
        <v>60</v>
      </c>
      <c r="CK82" s="592"/>
      <c r="CL82" s="614">
        <f t="shared" si="35"/>
        <v>60</v>
      </c>
      <c r="CM82" s="773" t="s">
        <v>67</v>
      </c>
      <c r="CN82" s="577">
        <v>1</v>
      </c>
      <c r="CO82" s="585">
        <f>+IF(CN82="","",(VLOOKUP($C82,'EQUIP RATE SCHEDULE'!$B$11:$F$162,5,FALSE)))</f>
        <v>60</v>
      </c>
      <c r="CP82" s="592"/>
      <c r="CQ82" s="614">
        <f t="shared" si="36"/>
        <v>60</v>
      </c>
      <c r="CR82" s="773" t="s">
        <v>67</v>
      </c>
      <c r="CS82" s="577">
        <v>1</v>
      </c>
      <c r="CT82" s="585">
        <f>+IF(CS82="","",(VLOOKUP($C82,'EQUIP RATE SCHEDULE'!$B$11:$F$162,5,FALSE)))</f>
        <v>60</v>
      </c>
      <c r="CU82" s="592"/>
      <c r="CV82" s="614">
        <f t="shared" si="37"/>
        <v>60</v>
      </c>
      <c r="CW82" s="773" t="s">
        <v>67</v>
      </c>
      <c r="CX82" s="577">
        <v>1</v>
      </c>
      <c r="CY82" s="585">
        <f>+IF(CX82="","",(VLOOKUP($C82,'EQUIP RATE SCHEDULE'!$B$11:$F$162,5,FALSE)))</f>
        <v>60</v>
      </c>
      <c r="CZ82" s="592"/>
      <c r="DA82" s="614">
        <f t="shared" si="38"/>
        <v>60</v>
      </c>
    </row>
    <row r="83" spans="1:105" ht="24.6" customHeight="1" x14ac:dyDescent="0.25">
      <c r="A83" s="1497" t="s">
        <v>1059</v>
      </c>
      <c r="B83" s="808" t="s">
        <v>522</v>
      </c>
      <c r="C83" s="775" t="s">
        <v>1060</v>
      </c>
      <c r="D83" s="1493" t="s">
        <v>1061</v>
      </c>
      <c r="E83" s="1494" t="s">
        <v>1062</v>
      </c>
      <c r="F83" s="768" t="s">
        <v>66</v>
      </c>
      <c r="G83" s="576">
        <v>1</v>
      </c>
      <c r="H83" s="583">
        <f>+IF(G83="","",(VLOOKUP($C83,'EQUIP RATE SCHEDULE'!$B$11:$F$162,5,FALSE)))</f>
        <v>35</v>
      </c>
      <c r="I83" s="615"/>
      <c r="J83" s="589">
        <f t="shared" si="39"/>
        <v>35</v>
      </c>
      <c r="K83" s="768" t="s">
        <v>66</v>
      </c>
      <c r="L83" s="576">
        <v>1</v>
      </c>
      <c r="M83" s="583">
        <f>+IF(L83="","",(VLOOKUP($C83,'EQUIP RATE SCHEDULE'!$B$11:$F$162,5,FALSE)))</f>
        <v>35</v>
      </c>
      <c r="N83" s="615"/>
      <c r="O83" s="589">
        <f t="shared" ref="O83:O152" si="40">+IF(N$7="","",IF(L83="","",(IF(N83="",M83*L83,N83*L83))))</f>
        <v>35</v>
      </c>
      <c r="P83" s="768" t="s">
        <v>66</v>
      </c>
      <c r="Q83" s="576">
        <v>1</v>
      </c>
      <c r="R83" s="587">
        <f>+IF(Q83="","",(VLOOKUP($C83,'EQUIP RATE SCHEDULE'!$B$11:$F$162,5,FALSE)))</f>
        <v>35</v>
      </c>
      <c r="S83" s="590"/>
      <c r="T83" s="588">
        <f t="shared" ref="T83:T152" si="41">+IF(S$7="","",IF(Q83="","",(IF(S83="",R83*Q83,S83*Q83))))</f>
        <v>35</v>
      </c>
      <c r="U83" s="768" t="s">
        <v>66</v>
      </c>
      <c r="V83" s="576"/>
      <c r="W83" s="587" t="str">
        <f>+IF(V83="","",(VLOOKUP($C83,'EQUIP RATE SCHEDULE'!$B$11:$F$162,5,FALSE)))</f>
        <v/>
      </c>
      <c r="X83" s="590"/>
      <c r="Y83" s="588" t="str">
        <f t="shared" ref="Y83:Y152" si="42">+IF(X$7="","",IF(V83="","",(IF(X83="",W83*V83,X83*V83))))</f>
        <v/>
      </c>
      <c r="Z83" s="768" t="s">
        <v>66</v>
      </c>
      <c r="AA83" s="576">
        <v>1</v>
      </c>
      <c r="AB83" s="587">
        <f>+IF(AA83="","",(VLOOKUP($C83,'EQUIP RATE SCHEDULE'!$B$11:$F$162,5,FALSE)))</f>
        <v>35</v>
      </c>
      <c r="AC83" s="590"/>
      <c r="AD83" s="588">
        <f t="shared" ref="AD83:AD152" si="43">+IF(AC$7="","",IF(AA83="","",(IF(AC83="",AB83*AA83,AC83*AA83))))</f>
        <v>35</v>
      </c>
      <c r="AE83" s="768" t="s">
        <v>66</v>
      </c>
      <c r="AF83" s="576">
        <v>1</v>
      </c>
      <c r="AG83" s="587">
        <f>+IF(AF83="","",(VLOOKUP($C83,'EQUIP RATE SCHEDULE'!$B$11:$F$162,5,FALSE)))</f>
        <v>35</v>
      </c>
      <c r="AH83" s="590"/>
      <c r="AI83" s="588">
        <f t="shared" ref="AI83:AI152" si="44">+IF(AH$7="","",IF(AF83="","",(IF(AH83="",AG83*AF83,AH83*AF83))))</f>
        <v>35</v>
      </c>
      <c r="AJ83" s="768" t="s">
        <v>66</v>
      </c>
      <c r="AK83" s="576">
        <v>1</v>
      </c>
      <c r="AL83" s="587">
        <f>+IF(AK83="","",(VLOOKUP($C83,'EQUIP RATE SCHEDULE'!$B$11:$F$162,5,FALSE)))</f>
        <v>35</v>
      </c>
      <c r="AM83" s="590"/>
      <c r="AN83" s="588">
        <f t="shared" ref="AN83:AN152" si="45">+IF(AM$7="","",IF(AK83="","",(IF(AM83="",AL83*AK83,AM83*AK83))))</f>
        <v>35</v>
      </c>
      <c r="AO83" s="768" t="s">
        <v>66</v>
      </c>
      <c r="AP83" s="576">
        <v>1</v>
      </c>
      <c r="AQ83" s="587">
        <f>+IF(AP83="","",(VLOOKUP($C83,'EQUIP RATE SCHEDULE'!$B$11:$F$162,5,FALSE)))</f>
        <v>35</v>
      </c>
      <c r="AR83" s="590"/>
      <c r="AS83" s="588">
        <f t="shared" ref="AS83:AS152" si="46">+IF(AR$7="","",IF(AP83="","",(IF(AR83="",AQ83*AP83,AR83*AP83))))</f>
        <v>35</v>
      </c>
      <c r="AT83" s="768" t="s">
        <v>66</v>
      </c>
      <c r="AU83" s="576">
        <v>1</v>
      </c>
      <c r="AV83" s="587">
        <f>+IF(AU83="","",(VLOOKUP($C83,'EQUIP RATE SCHEDULE'!$B$11:$F$162,5,FALSE)))</f>
        <v>35</v>
      </c>
      <c r="AW83" s="590"/>
      <c r="AX83" s="588">
        <f t="shared" ref="AX83:AX152" si="47">+IF(AW$7="","",IF(AU83="","",(IF(AW83="",AV83*AU83,AW83*AU83))))</f>
        <v>35</v>
      </c>
      <c r="AY83" s="768" t="s">
        <v>66</v>
      </c>
      <c r="AZ83" s="576">
        <v>1</v>
      </c>
      <c r="BA83" s="587">
        <f>+IF(AZ83="","",(VLOOKUP($C83,'EQUIP RATE SCHEDULE'!$B$11:$F$162,5,FALSE)))</f>
        <v>35</v>
      </c>
      <c r="BB83" s="590"/>
      <c r="BC83" s="588">
        <f t="shared" ref="BC83:BC152" si="48">+IF(BB$7="","",IF(AZ83="","",(IF(BB83="",BA83*AZ83,BB83*AZ83))))</f>
        <v>35</v>
      </c>
      <c r="BD83" s="768" t="s">
        <v>66</v>
      </c>
      <c r="BE83" s="576">
        <v>1</v>
      </c>
      <c r="BF83" s="587">
        <f>+IF(BE83="","",(VLOOKUP($C83,'EQUIP RATE SCHEDULE'!$B$11:$F$162,5,FALSE)))</f>
        <v>35</v>
      </c>
      <c r="BG83" s="590"/>
      <c r="BH83" s="588">
        <f t="shared" si="29"/>
        <v>35</v>
      </c>
      <c r="BI83" s="768" t="s">
        <v>66</v>
      </c>
      <c r="BJ83" s="576">
        <v>1</v>
      </c>
      <c r="BK83" s="587">
        <f>+IF(BJ83="","",(VLOOKUP($C83,'EQUIP RATE SCHEDULE'!$B$11:$F$162,5,FALSE)))</f>
        <v>35</v>
      </c>
      <c r="BL83" s="590"/>
      <c r="BM83" s="588">
        <f t="shared" si="30"/>
        <v>35</v>
      </c>
      <c r="BN83" s="768" t="s">
        <v>66</v>
      </c>
      <c r="BO83" s="576">
        <v>1</v>
      </c>
      <c r="BP83" s="587">
        <f>+IF(BO83="","",(VLOOKUP($C83,'EQUIP RATE SCHEDULE'!$B$11:$F$162,5,FALSE)))</f>
        <v>35</v>
      </c>
      <c r="BQ83" s="590"/>
      <c r="BR83" s="588">
        <f t="shared" si="31"/>
        <v>35</v>
      </c>
      <c r="BS83" s="768" t="s">
        <v>66</v>
      </c>
      <c r="BT83" s="576">
        <v>1</v>
      </c>
      <c r="BU83" s="587">
        <f>+IF(BT83="","",(VLOOKUP($C83,'EQUIP RATE SCHEDULE'!$B$11:$F$162,5,FALSE)))</f>
        <v>35</v>
      </c>
      <c r="BV83" s="590"/>
      <c r="BW83" s="588">
        <f t="shared" si="32"/>
        <v>35</v>
      </c>
      <c r="BX83" s="768" t="s">
        <v>66</v>
      </c>
      <c r="BY83" s="576">
        <v>1</v>
      </c>
      <c r="BZ83" s="587">
        <f>+IF(BY83="","",(VLOOKUP($C83,'EQUIP RATE SCHEDULE'!$B$11:$F$162,5,FALSE)))</f>
        <v>35</v>
      </c>
      <c r="CA83" s="590"/>
      <c r="CB83" s="588">
        <f t="shared" si="33"/>
        <v>35</v>
      </c>
      <c r="CC83" s="768" t="s">
        <v>66</v>
      </c>
      <c r="CD83" s="576">
        <v>1</v>
      </c>
      <c r="CE83" s="587">
        <f>+IF(CD83="","",(VLOOKUP($C83,'EQUIP RATE SCHEDULE'!$B$11:$F$162,5,FALSE)))</f>
        <v>35</v>
      </c>
      <c r="CF83" s="590"/>
      <c r="CG83" s="588">
        <f t="shared" si="34"/>
        <v>35</v>
      </c>
      <c r="CH83" s="768" t="s">
        <v>66</v>
      </c>
      <c r="CI83" s="576">
        <v>1</v>
      </c>
      <c r="CJ83" s="587">
        <f>+IF(CI83="","",(VLOOKUP($C83,'EQUIP RATE SCHEDULE'!$B$11:$F$162,5,FALSE)))</f>
        <v>35</v>
      </c>
      <c r="CK83" s="590"/>
      <c r="CL83" s="588">
        <f t="shared" si="35"/>
        <v>35</v>
      </c>
      <c r="CM83" s="768" t="s">
        <v>66</v>
      </c>
      <c r="CN83" s="576">
        <v>1</v>
      </c>
      <c r="CO83" s="587">
        <f>+IF(CN83="","",(VLOOKUP($C83,'EQUIP RATE SCHEDULE'!$B$11:$F$162,5,FALSE)))</f>
        <v>35</v>
      </c>
      <c r="CP83" s="590"/>
      <c r="CQ83" s="588">
        <f t="shared" si="36"/>
        <v>35</v>
      </c>
      <c r="CR83" s="768" t="s">
        <v>66</v>
      </c>
      <c r="CS83" s="576">
        <v>1</v>
      </c>
      <c r="CT83" s="587">
        <f>+IF(CS83="","",(VLOOKUP($C83,'EQUIP RATE SCHEDULE'!$B$11:$F$162,5,FALSE)))</f>
        <v>35</v>
      </c>
      <c r="CU83" s="590"/>
      <c r="CV83" s="588">
        <f t="shared" si="37"/>
        <v>35</v>
      </c>
      <c r="CW83" s="768" t="s">
        <v>66</v>
      </c>
      <c r="CX83" s="576">
        <v>1</v>
      </c>
      <c r="CY83" s="587">
        <f>+IF(CX83="","",(VLOOKUP($C83,'EQUIP RATE SCHEDULE'!$B$11:$F$162,5,FALSE)))</f>
        <v>35</v>
      </c>
      <c r="CZ83" s="590"/>
      <c r="DA83" s="588">
        <f t="shared" si="38"/>
        <v>35</v>
      </c>
    </row>
    <row r="84" spans="1:105" ht="22.15" customHeight="1" x14ac:dyDescent="0.25">
      <c r="A84" s="1498"/>
      <c r="B84" s="809" t="s">
        <v>522</v>
      </c>
      <c r="C84" s="776" t="s">
        <v>1063</v>
      </c>
      <c r="D84" s="1492"/>
      <c r="E84" s="1490"/>
      <c r="F84" s="769" t="s">
        <v>67</v>
      </c>
      <c r="G84" s="575">
        <v>1</v>
      </c>
      <c r="H84" s="584">
        <f>+IF(G84="","",(VLOOKUP($C84,'EQUIP RATE SCHEDULE'!$B$11:$F$162,5,FALSE)))</f>
        <v>105</v>
      </c>
      <c r="I84" s="591"/>
      <c r="J84" s="613">
        <f t="shared" si="39"/>
        <v>105</v>
      </c>
      <c r="K84" s="769" t="s">
        <v>67</v>
      </c>
      <c r="L84" s="575">
        <v>1</v>
      </c>
      <c r="M84" s="584">
        <f>+IF(L84="","",(VLOOKUP($C84,'EQUIP RATE SCHEDULE'!$B$11:$F$162,5,FALSE)))</f>
        <v>105</v>
      </c>
      <c r="N84" s="591"/>
      <c r="O84" s="613">
        <f t="shared" si="40"/>
        <v>105</v>
      </c>
      <c r="P84" s="769" t="s">
        <v>67</v>
      </c>
      <c r="Q84" s="575">
        <v>1</v>
      </c>
      <c r="R84" s="584">
        <f>+IF(Q84="","",(VLOOKUP($C84,'EQUIP RATE SCHEDULE'!$B$11:$F$162,5,FALSE)))</f>
        <v>105</v>
      </c>
      <c r="S84" s="591"/>
      <c r="T84" s="613">
        <f t="shared" si="41"/>
        <v>105</v>
      </c>
      <c r="U84" s="769" t="s">
        <v>67</v>
      </c>
      <c r="V84" s="575">
        <v>1</v>
      </c>
      <c r="W84" s="584">
        <f>+IF(V84="","",(VLOOKUP($C84,'EQUIP RATE SCHEDULE'!$B$11:$F$162,5,FALSE)))</f>
        <v>105</v>
      </c>
      <c r="X84" s="591"/>
      <c r="Y84" s="613">
        <f t="shared" si="42"/>
        <v>105</v>
      </c>
      <c r="Z84" s="769" t="s">
        <v>67</v>
      </c>
      <c r="AA84" s="575">
        <v>1</v>
      </c>
      <c r="AB84" s="584">
        <f>+IF(AA84="","",(VLOOKUP($C84,'EQUIP RATE SCHEDULE'!$B$11:$F$162,5,FALSE)))</f>
        <v>105</v>
      </c>
      <c r="AC84" s="591"/>
      <c r="AD84" s="613">
        <f t="shared" si="43"/>
        <v>105</v>
      </c>
      <c r="AE84" s="769" t="s">
        <v>67</v>
      </c>
      <c r="AF84" s="575">
        <v>1</v>
      </c>
      <c r="AG84" s="584">
        <f>+IF(AF84="","",(VLOOKUP($C84,'EQUIP RATE SCHEDULE'!$B$11:$F$162,5,FALSE)))</f>
        <v>105</v>
      </c>
      <c r="AH84" s="591"/>
      <c r="AI84" s="613">
        <f t="shared" si="44"/>
        <v>105</v>
      </c>
      <c r="AJ84" s="769" t="s">
        <v>67</v>
      </c>
      <c r="AK84" s="575">
        <v>1</v>
      </c>
      <c r="AL84" s="584">
        <f>+IF(AK84="","",(VLOOKUP($C84,'EQUIP RATE SCHEDULE'!$B$11:$F$162,5,FALSE)))</f>
        <v>105</v>
      </c>
      <c r="AM84" s="591"/>
      <c r="AN84" s="613">
        <f t="shared" si="45"/>
        <v>105</v>
      </c>
      <c r="AO84" s="769" t="s">
        <v>67</v>
      </c>
      <c r="AP84" s="575">
        <v>1</v>
      </c>
      <c r="AQ84" s="584">
        <f>+IF(AP84="","",(VLOOKUP($C84,'EQUIP RATE SCHEDULE'!$B$11:$F$162,5,FALSE)))</f>
        <v>105</v>
      </c>
      <c r="AR84" s="591"/>
      <c r="AS84" s="613">
        <f t="shared" si="46"/>
        <v>105</v>
      </c>
      <c r="AT84" s="769" t="s">
        <v>67</v>
      </c>
      <c r="AU84" s="575">
        <v>1</v>
      </c>
      <c r="AV84" s="584">
        <f>+IF(AU84="","",(VLOOKUP($C84,'EQUIP RATE SCHEDULE'!$B$11:$F$162,5,FALSE)))</f>
        <v>105</v>
      </c>
      <c r="AW84" s="591"/>
      <c r="AX84" s="613">
        <f t="shared" si="47"/>
        <v>105</v>
      </c>
      <c r="AY84" s="769" t="s">
        <v>67</v>
      </c>
      <c r="AZ84" s="575">
        <v>1</v>
      </c>
      <c r="BA84" s="584">
        <f>+IF(AZ84="","",(VLOOKUP($C84,'EQUIP RATE SCHEDULE'!$B$11:$F$162,5,FALSE)))</f>
        <v>105</v>
      </c>
      <c r="BB84" s="591"/>
      <c r="BC84" s="613">
        <f t="shared" si="48"/>
        <v>105</v>
      </c>
      <c r="BD84" s="769" t="s">
        <v>67</v>
      </c>
      <c r="BE84" s="575">
        <v>1</v>
      </c>
      <c r="BF84" s="584">
        <f>+IF(BE84="","",(VLOOKUP($C84,'EQUIP RATE SCHEDULE'!$B$11:$F$162,5,FALSE)))</f>
        <v>105</v>
      </c>
      <c r="BG84" s="591"/>
      <c r="BH84" s="613">
        <f t="shared" si="29"/>
        <v>105</v>
      </c>
      <c r="BI84" s="769" t="s">
        <v>67</v>
      </c>
      <c r="BJ84" s="575">
        <v>1</v>
      </c>
      <c r="BK84" s="584">
        <f>+IF(BJ84="","",(VLOOKUP($C84,'EQUIP RATE SCHEDULE'!$B$11:$F$162,5,FALSE)))</f>
        <v>105</v>
      </c>
      <c r="BL84" s="591"/>
      <c r="BM84" s="613">
        <f t="shared" si="30"/>
        <v>105</v>
      </c>
      <c r="BN84" s="769" t="s">
        <v>67</v>
      </c>
      <c r="BO84" s="575">
        <v>1</v>
      </c>
      <c r="BP84" s="584">
        <f>+IF(BO84="","",(VLOOKUP($C84,'EQUIP RATE SCHEDULE'!$B$11:$F$162,5,FALSE)))</f>
        <v>105</v>
      </c>
      <c r="BQ84" s="591"/>
      <c r="BR84" s="613">
        <f t="shared" si="31"/>
        <v>105</v>
      </c>
      <c r="BS84" s="769" t="s">
        <v>67</v>
      </c>
      <c r="BT84" s="575">
        <v>1</v>
      </c>
      <c r="BU84" s="584">
        <f>+IF(BT84="","",(VLOOKUP($C84,'EQUIP RATE SCHEDULE'!$B$11:$F$162,5,FALSE)))</f>
        <v>105</v>
      </c>
      <c r="BV84" s="591"/>
      <c r="BW84" s="613">
        <f t="shared" si="32"/>
        <v>105</v>
      </c>
      <c r="BX84" s="769" t="s">
        <v>67</v>
      </c>
      <c r="BY84" s="575">
        <v>1</v>
      </c>
      <c r="BZ84" s="584">
        <f>+IF(BY84="","",(VLOOKUP($C84,'EQUIP RATE SCHEDULE'!$B$11:$F$162,5,FALSE)))</f>
        <v>105</v>
      </c>
      <c r="CA84" s="591"/>
      <c r="CB84" s="613">
        <f t="shared" si="33"/>
        <v>105</v>
      </c>
      <c r="CC84" s="769" t="s">
        <v>67</v>
      </c>
      <c r="CD84" s="575">
        <v>1</v>
      </c>
      <c r="CE84" s="584">
        <f>+IF(CD84="","",(VLOOKUP($C84,'EQUIP RATE SCHEDULE'!$B$11:$F$162,5,FALSE)))</f>
        <v>105</v>
      </c>
      <c r="CF84" s="591"/>
      <c r="CG84" s="613">
        <f t="shared" si="34"/>
        <v>105</v>
      </c>
      <c r="CH84" s="769" t="s">
        <v>67</v>
      </c>
      <c r="CI84" s="575">
        <v>1</v>
      </c>
      <c r="CJ84" s="584">
        <f>+IF(CI84="","",(VLOOKUP($C84,'EQUIP RATE SCHEDULE'!$B$11:$F$162,5,FALSE)))</f>
        <v>105</v>
      </c>
      <c r="CK84" s="591"/>
      <c r="CL84" s="613">
        <f t="shared" si="35"/>
        <v>105</v>
      </c>
      <c r="CM84" s="769" t="s">
        <v>67</v>
      </c>
      <c r="CN84" s="575">
        <v>1</v>
      </c>
      <c r="CO84" s="584">
        <f>+IF(CN84="","",(VLOOKUP($C84,'EQUIP RATE SCHEDULE'!$B$11:$F$162,5,FALSE)))</f>
        <v>105</v>
      </c>
      <c r="CP84" s="591"/>
      <c r="CQ84" s="613">
        <f t="shared" si="36"/>
        <v>105</v>
      </c>
      <c r="CR84" s="769" t="s">
        <v>67</v>
      </c>
      <c r="CS84" s="575">
        <v>1</v>
      </c>
      <c r="CT84" s="584">
        <f>+IF(CS84="","",(VLOOKUP($C84,'EQUIP RATE SCHEDULE'!$B$11:$F$162,5,FALSE)))</f>
        <v>105</v>
      </c>
      <c r="CU84" s="591"/>
      <c r="CV84" s="613">
        <f t="shared" si="37"/>
        <v>105</v>
      </c>
      <c r="CW84" s="769" t="s">
        <v>67</v>
      </c>
      <c r="CX84" s="575">
        <v>1</v>
      </c>
      <c r="CY84" s="584">
        <f>+IF(CX84="","",(VLOOKUP($C84,'EQUIP RATE SCHEDULE'!$B$11:$F$162,5,FALSE)))</f>
        <v>105</v>
      </c>
      <c r="CZ84" s="591"/>
      <c r="DA84" s="613">
        <f t="shared" si="38"/>
        <v>105</v>
      </c>
    </row>
    <row r="85" spans="1:105" ht="15" x14ac:dyDescent="0.25">
      <c r="A85" s="1498"/>
      <c r="B85" s="809" t="s">
        <v>522</v>
      </c>
      <c r="C85" s="776" t="s">
        <v>1064</v>
      </c>
      <c r="D85" s="1491" t="s">
        <v>1065</v>
      </c>
      <c r="E85" s="1488" t="s">
        <v>1066</v>
      </c>
      <c r="F85" s="769" t="s">
        <v>66</v>
      </c>
      <c r="G85" s="575">
        <v>1</v>
      </c>
      <c r="H85" s="584">
        <f>+IF(G85="","",(VLOOKUP($C85,'EQUIP RATE SCHEDULE'!$B$11:$F$162,5,FALSE)))</f>
        <v>50</v>
      </c>
      <c r="I85" s="591"/>
      <c r="J85" s="613">
        <f t="shared" si="39"/>
        <v>50</v>
      </c>
      <c r="K85" s="769" t="s">
        <v>66</v>
      </c>
      <c r="L85" s="575">
        <v>1</v>
      </c>
      <c r="M85" s="584">
        <f>+IF(L85="","",(VLOOKUP($C85,'EQUIP RATE SCHEDULE'!$B$11:$F$162,5,FALSE)))</f>
        <v>50</v>
      </c>
      <c r="N85" s="591"/>
      <c r="O85" s="613">
        <f t="shared" si="40"/>
        <v>50</v>
      </c>
      <c r="P85" s="769" t="s">
        <v>66</v>
      </c>
      <c r="Q85" s="575">
        <v>1</v>
      </c>
      <c r="R85" s="584">
        <f>+IF(Q85="","",(VLOOKUP($C85,'EQUIP RATE SCHEDULE'!$B$11:$F$162,5,FALSE)))</f>
        <v>50</v>
      </c>
      <c r="S85" s="591"/>
      <c r="T85" s="613">
        <f t="shared" si="41"/>
        <v>50</v>
      </c>
      <c r="U85" s="769" t="s">
        <v>66</v>
      </c>
      <c r="V85" s="575">
        <v>1</v>
      </c>
      <c r="W85" s="584">
        <f>+IF(V85="","",(VLOOKUP($C85,'EQUIP RATE SCHEDULE'!$B$11:$F$162,5,FALSE)))</f>
        <v>50</v>
      </c>
      <c r="X85" s="591"/>
      <c r="Y85" s="613">
        <f t="shared" si="42"/>
        <v>50</v>
      </c>
      <c r="Z85" s="769" t="s">
        <v>66</v>
      </c>
      <c r="AA85" s="575">
        <v>1</v>
      </c>
      <c r="AB85" s="584">
        <f>+IF(AA85="","",(VLOOKUP($C85,'EQUIP RATE SCHEDULE'!$B$11:$F$162,5,FALSE)))</f>
        <v>50</v>
      </c>
      <c r="AC85" s="591"/>
      <c r="AD85" s="613">
        <f t="shared" si="43"/>
        <v>50</v>
      </c>
      <c r="AE85" s="769" t="s">
        <v>66</v>
      </c>
      <c r="AF85" s="575">
        <v>1</v>
      </c>
      <c r="AG85" s="584">
        <f>+IF(AF85="","",(VLOOKUP($C85,'EQUIP RATE SCHEDULE'!$B$11:$F$162,5,FALSE)))</f>
        <v>50</v>
      </c>
      <c r="AH85" s="591"/>
      <c r="AI85" s="613">
        <f t="shared" si="44"/>
        <v>50</v>
      </c>
      <c r="AJ85" s="769" t="s">
        <v>66</v>
      </c>
      <c r="AK85" s="575">
        <v>1</v>
      </c>
      <c r="AL85" s="584">
        <f>+IF(AK85="","",(VLOOKUP($C85,'EQUIP RATE SCHEDULE'!$B$11:$F$162,5,FALSE)))</f>
        <v>50</v>
      </c>
      <c r="AM85" s="591"/>
      <c r="AN85" s="613">
        <f t="shared" si="45"/>
        <v>50</v>
      </c>
      <c r="AO85" s="769" t="s">
        <v>66</v>
      </c>
      <c r="AP85" s="575">
        <v>1</v>
      </c>
      <c r="AQ85" s="584">
        <f>+IF(AP85="","",(VLOOKUP($C85,'EQUIP RATE SCHEDULE'!$B$11:$F$162,5,FALSE)))</f>
        <v>50</v>
      </c>
      <c r="AR85" s="591"/>
      <c r="AS85" s="613">
        <f t="shared" si="46"/>
        <v>50</v>
      </c>
      <c r="AT85" s="769" t="s">
        <v>66</v>
      </c>
      <c r="AU85" s="575">
        <v>1</v>
      </c>
      <c r="AV85" s="584">
        <f>+IF(AU85="","",(VLOOKUP($C85,'EQUIP RATE SCHEDULE'!$B$11:$F$162,5,FALSE)))</f>
        <v>50</v>
      </c>
      <c r="AW85" s="591"/>
      <c r="AX85" s="613">
        <f t="shared" si="47"/>
        <v>50</v>
      </c>
      <c r="AY85" s="769" t="s">
        <v>66</v>
      </c>
      <c r="AZ85" s="575">
        <v>1</v>
      </c>
      <c r="BA85" s="584">
        <f>+IF(AZ85="","",(VLOOKUP($C85,'EQUIP RATE SCHEDULE'!$B$11:$F$162,5,FALSE)))</f>
        <v>50</v>
      </c>
      <c r="BB85" s="591"/>
      <c r="BC85" s="613">
        <f t="shared" si="48"/>
        <v>50</v>
      </c>
      <c r="BD85" s="769" t="s">
        <v>66</v>
      </c>
      <c r="BE85" s="575">
        <v>1</v>
      </c>
      <c r="BF85" s="584">
        <f>+IF(BE85="","",(VLOOKUP($C85,'EQUIP RATE SCHEDULE'!$B$11:$F$162,5,FALSE)))</f>
        <v>50</v>
      </c>
      <c r="BG85" s="591"/>
      <c r="BH85" s="613">
        <f t="shared" si="29"/>
        <v>50</v>
      </c>
      <c r="BI85" s="769" t="s">
        <v>66</v>
      </c>
      <c r="BJ85" s="575">
        <v>1</v>
      </c>
      <c r="BK85" s="584">
        <f>+IF(BJ85="","",(VLOOKUP($C85,'EQUIP RATE SCHEDULE'!$B$11:$F$162,5,FALSE)))</f>
        <v>50</v>
      </c>
      <c r="BL85" s="591"/>
      <c r="BM85" s="613">
        <f t="shared" si="30"/>
        <v>50</v>
      </c>
      <c r="BN85" s="769" t="s">
        <v>66</v>
      </c>
      <c r="BO85" s="575">
        <v>1</v>
      </c>
      <c r="BP85" s="584">
        <f>+IF(BO85="","",(VLOOKUP($C85,'EQUIP RATE SCHEDULE'!$B$11:$F$162,5,FALSE)))</f>
        <v>50</v>
      </c>
      <c r="BQ85" s="591"/>
      <c r="BR85" s="613">
        <f t="shared" si="31"/>
        <v>50</v>
      </c>
      <c r="BS85" s="769" t="s">
        <v>66</v>
      </c>
      <c r="BT85" s="575">
        <v>1</v>
      </c>
      <c r="BU85" s="584">
        <f>+IF(BT85="","",(VLOOKUP($C85,'EQUIP RATE SCHEDULE'!$B$11:$F$162,5,FALSE)))</f>
        <v>50</v>
      </c>
      <c r="BV85" s="591"/>
      <c r="BW85" s="613">
        <f t="shared" si="32"/>
        <v>50</v>
      </c>
      <c r="BX85" s="769" t="s">
        <v>66</v>
      </c>
      <c r="BY85" s="575">
        <v>1</v>
      </c>
      <c r="BZ85" s="584">
        <f>+IF(BY85="","",(VLOOKUP($C85,'EQUIP RATE SCHEDULE'!$B$11:$F$162,5,FALSE)))</f>
        <v>50</v>
      </c>
      <c r="CA85" s="591"/>
      <c r="CB85" s="613">
        <f t="shared" si="33"/>
        <v>50</v>
      </c>
      <c r="CC85" s="769" t="s">
        <v>66</v>
      </c>
      <c r="CD85" s="575">
        <v>1</v>
      </c>
      <c r="CE85" s="584">
        <f>+IF(CD85="","",(VLOOKUP($C85,'EQUIP RATE SCHEDULE'!$B$11:$F$162,5,FALSE)))</f>
        <v>50</v>
      </c>
      <c r="CF85" s="591"/>
      <c r="CG85" s="613">
        <f t="shared" si="34"/>
        <v>50</v>
      </c>
      <c r="CH85" s="769" t="s">
        <v>66</v>
      </c>
      <c r="CI85" s="575">
        <v>1</v>
      </c>
      <c r="CJ85" s="584">
        <f>+IF(CI85="","",(VLOOKUP($C85,'EQUIP RATE SCHEDULE'!$B$11:$F$162,5,FALSE)))</f>
        <v>50</v>
      </c>
      <c r="CK85" s="591"/>
      <c r="CL85" s="613">
        <f t="shared" si="35"/>
        <v>50</v>
      </c>
      <c r="CM85" s="769" t="s">
        <v>66</v>
      </c>
      <c r="CN85" s="575">
        <v>1</v>
      </c>
      <c r="CO85" s="584">
        <f>+IF(CN85="","",(VLOOKUP($C85,'EQUIP RATE SCHEDULE'!$B$11:$F$162,5,FALSE)))</f>
        <v>50</v>
      </c>
      <c r="CP85" s="591"/>
      <c r="CQ85" s="613">
        <f t="shared" si="36"/>
        <v>50</v>
      </c>
      <c r="CR85" s="769" t="s">
        <v>66</v>
      </c>
      <c r="CS85" s="575">
        <v>1</v>
      </c>
      <c r="CT85" s="584">
        <f>+IF(CS85="","",(VLOOKUP($C85,'EQUIP RATE SCHEDULE'!$B$11:$F$162,5,FALSE)))</f>
        <v>50</v>
      </c>
      <c r="CU85" s="591"/>
      <c r="CV85" s="613">
        <f t="shared" si="37"/>
        <v>50</v>
      </c>
      <c r="CW85" s="769" t="s">
        <v>66</v>
      </c>
      <c r="CX85" s="575">
        <v>1</v>
      </c>
      <c r="CY85" s="584">
        <f>+IF(CX85="","",(VLOOKUP($C85,'EQUIP RATE SCHEDULE'!$B$11:$F$162,5,FALSE)))</f>
        <v>50</v>
      </c>
      <c r="CZ85" s="591"/>
      <c r="DA85" s="613">
        <f t="shared" si="38"/>
        <v>50</v>
      </c>
    </row>
    <row r="86" spans="1:105" ht="15" x14ac:dyDescent="0.25">
      <c r="A86" s="1498"/>
      <c r="B86" s="809" t="s">
        <v>522</v>
      </c>
      <c r="C86" s="776" t="s">
        <v>1067</v>
      </c>
      <c r="D86" s="1492"/>
      <c r="E86" s="1490"/>
      <c r="F86" s="769" t="s">
        <v>67</v>
      </c>
      <c r="G86" s="575">
        <v>1</v>
      </c>
      <c r="H86" s="584">
        <f>+IF(G86="","",(VLOOKUP($C86,'EQUIP RATE SCHEDULE'!$B$11:$F$162,5,FALSE)))</f>
        <v>150</v>
      </c>
      <c r="I86" s="591"/>
      <c r="J86" s="613">
        <f t="shared" si="39"/>
        <v>150</v>
      </c>
      <c r="K86" s="769" t="s">
        <v>67</v>
      </c>
      <c r="L86" s="575">
        <v>1</v>
      </c>
      <c r="M86" s="584">
        <f>+IF(L86="","",(VLOOKUP($C86,'EQUIP RATE SCHEDULE'!$B$11:$F$162,5,FALSE)))</f>
        <v>150</v>
      </c>
      <c r="N86" s="591"/>
      <c r="O86" s="613">
        <f t="shared" si="40"/>
        <v>150</v>
      </c>
      <c r="P86" s="769" t="s">
        <v>67</v>
      </c>
      <c r="Q86" s="575">
        <v>1</v>
      </c>
      <c r="R86" s="584">
        <f>+IF(Q86="","",(VLOOKUP($C86,'EQUIP RATE SCHEDULE'!$B$11:$F$162,5,FALSE)))</f>
        <v>150</v>
      </c>
      <c r="S86" s="591"/>
      <c r="T86" s="613">
        <f t="shared" si="41"/>
        <v>150</v>
      </c>
      <c r="U86" s="769" t="s">
        <v>67</v>
      </c>
      <c r="V86" s="575">
        <v>1</v>
      </c>
      <c r="W86" s="584">
        <f>+IF(V86="","",(VLOOKUP($C86,'EQUIP RATE SCHEDULE'!$B$11:$F$162,5,FALSE)))</f>
        <v>150</v>
      </c>
      <c r="X86" s="591"/>
      <c r="Y86" s="613">
        <f t="shared" si="42"/>
        <v>150</v>
      </c>
      <c r="Z86" s="769" t="s">
        <v>67</v>
      </c>
      <c r="AA86" s="575">
        <v>1</v>
      </c>
      <c r="AB86" s="584">
        <f>+IF(AA86="","",(VLOOKUP($C86,'EQUIP RATE SCHEDULE'!$B$11:$F$162,5,FALSE)))</f>
        <v>150</v>
      </c>
      <c r="AC86" s="591"/>
      <c r="AD86" s="613">
        <f t="shared" si="43"/>
        <v>150</v>
      </c>
      <c r="AE86" s="769" t="s">
        <v>67</v>
      </c>
      <c r="AF86" s="575">
        <v>1</v>
      </c>
      <c r="AG86" s="584">
        <f>+IF(AF86="","",(VLOOKUP($C86,'EQUIP RATE SCHEDULE'!$B$11:$F$162,5,FALSE)))</f>
        <v>150</v>
      </c>
      <c r="AH86" s="591"/>
      <c r="AI86" s="613">
        <f t="shared" si="44"/>
        <v>150</v>
      </c>
      <c r="AJ86" s="769" t="s">
        <v>67</v>
      </c>
      <c r="AK86" s="575">
        <v>1</v>
      </c>
      <c r="AL86" s="584">
        <f>+IF(AK86="","",(VLOOKUP($C86,'EQUIP RATE SCHEDULE'!$B$11:$F$162,5,FALSE)))</f>
        <v>150</v>
      </c>
      <c r="AM86" s="591"/>
      <c r="AN86" s="613">
        <f t="shared" si="45"/>
        <v>150</v>
      </c>
      <c r="AO86" s="769" t="s">
        <v>67</v>
      </c>
      <c r="AP86" s="575">
        <v>1</v>
      </c>
      <c r="AQ86" s="584">
        <f>+IF(AP86="","",(VLOOKUP($C86,'EQUIP RATE SCHEDULE'!$B$11:$F$162,5,FALSE)))</f>
        <v>150</v>
      </c>
      <c r="AR86" s="591"/>
      <c r="AS86" s="613">
        <f t="shared" si="46"/>
        <v>150</v>
      </c>
      <c r="AT86" s="769" t="s">
        <v>67</v>
      </c>
      <c r="AU86" s="575">
        <v>1</v>
      </c>
      <c r="AV86" s="584">
        <f>+IF(AU86="","",(VLOOKUP($C86,'EQUIP RATE SCHEDULE'!$B$11:$F$162,5,FALSE)))</f>
        <v>150</v>
      </c>
      <c r="AW86" s="591"/>
      <c r="AX86" s="613">
        <f t="shared" si="47"/>
        <v>150</v>
      </c>
      <c r="AY86" s="769" t="s">
        <v>67</v>
      </c>
      <c r="AZ86" s="575">
        <v>1</v>
      </c>
      <c r="BA86" s="584">
        <f>+IF(AZ86="","",(VLOOKUP($C86,'EQUIP RATE SCHEDULE'!$B$11:$F$162,5,FALSE)))</f>
        <v>150</v>
      </c>
      <c r="BB86" s="591"/>
      <c r="BC86" s="613">
        <f t="shared" si="48"/>
        <v>150</v>
      </c>
      <c r="BD86" s="769" t="s">
        <v>67</v>
      </c>
      <c r="BE86" s="575">
        <v>1</v>
      </c>
      <c r="BF86" s="584">
        <f>+IF(BE86="","",(VLOOKUP($C86,'EQUIP RATE SCHEDULE'!$B$11:$F$162,5,FALSE)))</f>
        <v>150</v>
      </c>
      <c r="BG86" s="591"/>
      <c r="BH86" s="613">
        <f t="shared" si="29"/>
        <v>150</v>
      </c>
      <c r="BI86" s="769" t="s">
        <v>67</v>
      </c>
      <c r="BJ86" s="575">
        <v>1</v>
      </c>
      <c r="BK86" s="584">
        <f>+IF(BJ86="","",(VLOOKUP($C86,'EQUIP RATE SCHEDULE'!$B$11:$F$162,5,FALSE)))</f>
        <v>150</v>
      </c>
      <c r="BL86" s="591"/>
      <c r="BM86" s="613">
        <f t="shared" si="30"/>
        <v>150</v>
      </c>
      <c r="BN86" s="769" t="s">
        <v>67</v>
      </c>
      <c r="BO86" s="575">
        <v>1</v>
      </c>
      <c r="BP86" s="584">
        <f>+IF(BO86="","",(VLOOKUP($C86,'EQUIP RATE SCHEDULE'!$B$11:$F$162,5,FALSE)))</f>
        <v>150</v>
      </c>
      <c r="BQ86" s="591"/>
      <c r="BR86" s="613">
        <f t="shared" si="31"/>
        <v>150</v>
      </c>
      <c r="BS86" s="769" t="s">
        <v>67</v>
      </c>
      <c r="BT86" s="575">
        <v>1</v>
      </c>
      <c r="BU86" s="584">
        <f>+IF(BT86="","",(VLOOKUP($C86,'EQUIP RATE SCHEDULE'!$B$11:$F$162,5,FALSE)))</f>
        <v>150</v>
      </c>
      <c r="BV86" s="591"/>
      <c r="BW86" s="613">
        <f t="shared" si="32"/>
        <v>150</v>
      </c>
      <c r="BX86" s="769" t="s">
        <v>67</v>
      </c>
      <c r="BY86" s="575">
        <v>1</v>
      </c>
      <c r="BZ86" s="584">
        <f>+IF(BY86="","",(VLOOKUP($C86,'EQUIP RATE SCHEDULE'!$B$11:$F$162,5,FALSE)))</f>
        <v>150</v>
      </c>
      <c r="CA86" s="591"/>
      <c r="CB86" s="613">
        <f t="shared" si="33"/>
        <v>150</v>
      </c>
      <c r="CC86" s="769" t="s">
        <v>67</v>
      </c>
      <c r="CD86" s="575">
        <v>1</v>
      </c>
      <c r="CE86" s="584">
        <f>+IF(CD86="","",(VLOOKUP($C86,'EQUIP RATE SCHEDULE'!$B$11:$F$162,5,FALSE)))</f>
        <v>150</v>
      </c>
      <c r="CF86" s="591"/>
      <c r="CG86" s="613">
        <f t="shared" si="34"/>
        <v>150</v>
      </c>
      <c r="CH86" s="769" t="s">
        <v>67</v>
      </c>
      <c r="CI86" s="575">
        <v>1</v>
      </c>
      <c r="CJ86" s="584">
        <f>+IF(CI86="","",(VLOOKUP($C86,'EQUIP RATE SCHEDULE'!$B$11:$F$162,5,FALSE)))</f>
        <v>150</v>
      </c>
      <c r="CK86" s="591"/>
      <c r="CL86" s="613">
        <f t="shared" si="35"/>
        <v>150</v>
      </c>
      <c r="CM86" s="769" t="s">
        <v>67</v>
      </c>
      <c r="CN86" s="575">
        <v>1</v>
      </c>
      <c r="CO86" s="584">
        <f>+IF(CN86="","",(VLOOKUP($C86,'EQUIP RATE SCHEDULE'!$B$11:$F$162,5,FALSE)))</f>
        <v>150</v>
      </c>
      <c r="CP86" s="591"/>
      <c r="CQ86" s="613">
        <f t="shared" si="36"/>
        <v>150</v>
      </c>
      <c r="CR86" s="769" t="s">
        <v>67</v>
      </c>
      <c r="CS86" s="575">
        <v>1</v>
      </c>
      <c r="CT86" s="584">
        <f>+IF(CS86="","",(VLOOKUP($C86,'EQUIP RATE SCHEDULE'!$B$11:$F$162,5,FALSE)))</f>
        <v>150</v>
      </c>
      <c r="CU86" s="591"/>
      <c r="CV86" s="613">
        <f t="shared" si="37"/>
        <v>150</v>
      </c>
      <c r="CW86" s="769" t="s">
        <v>67</v>
      </c>
      <c r="CX86" s="575">
        <v>1</v>
      </c>
      <c r="CY86" s="584">
        <f>+IF(CX86="","",(VLOOKUP($C86,'EQUIP RATE SCHEDULE'!$B$11:$F$162,5,FALSE)))</f>
        <v>150</v>
      </c>
      <c r="CZ86" s="591"/>
      <c r="DA86" s="613">
        <f t="shared" si="38"/>
        <v>150</v>
      </c>
    </row>
    <row r="87" spans="1:105" ht="15" x14ac:dyDescent="0.25">
      <c r="A87" s="1498"/>
      <c r="B87" s="809" t="s">
        <v>522</v>
      </c>
      <c r="C87" s="776" t="s">
        <v>1068</v>
      </c>
      <c r="D87" s="1491" t="s">
        <v>1069</v>
      </c>
      <c r="E87" s="1488" t="s">
        <v>1070</v>
      </c>
      <c r="F87" s="769" t="s">
        <v>66</v>
      </c>
      <c r="G87" s="575">
        <v>1</v>
      </c>
      <c r="H87" s="584">
        <f>+IF(G87="","",(VLOOKUP($C87,'EQUIP RATE SCHEDULE'!$B$11:$F$162,5,FALSE)))</f>
        <v>135</v>
      </c>
      <c r="I87" s="591"/>
      <c r="J87" s="613">
        <f t="shared" si="39"/>
        <v>135</v>
      </c>
      <c r="K87" s="769" t="s">
        <v>66</v>
      </c>
      <c r="L87" s="575">
        <v>1</v>
      </c>
      <c r="M87" s="584">
        <f>+IF(L87="","",(VLOOKUP($C87,'EQUIP RATE SCHEDULE'!$B$11:$F$162,5,FALSE)))</f>
        <v>135</v>
      </c>
      <c r="N87" s="591"/>
      <c r="O87" s="613">
        <f t="shared" si="40"/>
        <v>135</v>
      </c>
      <c r="P87" s="769" t="s">
        <v>66</v>
      </c>
      <c r="Q87" s="575">
        <v>1</v>
      </c>
      <c r="R87" s="584">
        <f>+IF(Q87="","",(VLOOKUP($C87,'EQUIP RATE SCHEDULE'!$B$11:$F$162,5,FALSE)))</f>
        <v>135</v>
      </c>
      <c r="S87" s="591"/>
      <c r="T87" s="613">
        <f t="shared" si="41"/>
        <v>135</v>
      </c>
      <c r="U87" s="769" t="s">
        <v>66</v>
      </c>
      <c r="V87" s="575">
        <v>1</v>
      </c>
      <c r="W87" s="584">
        <f>+IF(V87="","",(VLOOKUP($C87,'EQUIP RATE SCHEDULE'!$B$11:$F$162,5,FALSE)))</f>
        <v>135</v>
      </c>
      <c r="X87" s="591"/>
      <c r="Y87" s="613">
        <f t="shared" si="42"/>
        <v>135</v>
      </c>
      <c r="Z87" s="769" t="s">
        <v>66</v>
      </c>
      <c r="AA87" s="575">
        <v>1</v>
      </c>
      <c r="AB87" s="584">
        <f>+IF(AA87="","",(VLOOKUP($C87,'EQUIP RATE SCHEDULE'!$B$11:$F$162,5,FALSE)))</f>
        <v>135</v>
      </c>
      <c r="AC87" s="591"/>
      <c r="AD87" s="613">
        <f t="shared" si="43"/>
        <v>135</v>
      </c>
      <c r="AE87" s="769" t="s">
        <v>66</v>
      </c>
      <c r="AF87" s="575">
        <v>1</v>
      </c>
      <c r="AG87" s="584">
        <f>+IF(AF87="","",(VLOOKUP($C87,'EQUIP RATE SCHEDULE'!$B$11:$F$162,5,FALSE)))</f>
        <v>135</v>
      </c>
      <c r="AH87" s="591"/>
      <c r="AI87" s="613">
        <f t="shared" si="44"/>
        <v>135</v>
      </c>
      <c r="AJ87" s="769" t="s">
        <v>66</v>
      </c>
      <c r="AK87" s="575">
        <v>1</v>
      </c>
      <c r="AL87" s="584">
        <f>+IF(AK87="","",(VLOOKUP($C87,'EQUIP RATE SCHEDULE'!$B$11:$F$162,5,FALSE)))</f>
        <v>135</v>
      </c>
      <c r="AM87" s="591"/>
      <c r="AN87" s="613">
        <f t="shared" si="45"/>
        <v>135</v>
      </c>
      <c r="AO87" s="769" t="s">
        <v>66</v>
      </c>
      <c r="AP87" s="575">
        <v>1</v>
      </c>
      <c r="AQ87" s="584">
        <f>+IF(AP87="","",(VLOOKUP($C87,'EQUIP RATE SCHEDULE'!$B$11:$F$162,5,FALSE)))</f>
        <v>135</v>
      </c>
      <c r="AR87" s="591"/>
      <c r="AS87" s="613">
        <f t="shared" si="46"/>
        <v>135</v>
      </c>
      <c r="AT87" s="769" t="s">
        <v>66</v>
      </c>
      <c r="AU87" s="575">
        <v>1</v>
      </c>
      <c r="AV87" s="584">
        <f>+IF(AU87="","",(VLOOKUP($C87,'EQUIP RATE SCHEDULE'!$B$11:$F$162,5,FALSE)))</f>
        <v>135</v>
      </c>
      <c r="AW87" s="591"/>
      <c r="AX87" s="613">
        <f t="shared" si="47"/>
        <v>135</v>
      </c>
      <c r="AY87" s="769" t="s">
        <v>66</v>
      </c>
      <c r="AZ87" s="575">
        <v>1</v>
      </c>
      <c r="BA87" s="584">
        <f>+IF(AZ87="","",(VLOOKUP($C87,'EQUIP RATE SCHEDULE'!$B$11:$F$162,5,FALSE)))</f>
        <v>135</v>
      </c>
      <c r="BB87" s="591"/>
      <c r="BC87" s="613">
        <f t="shared" si="48"/>
        <v>135</v>
      </c>
      <c r="BD87" s="769" t="s">
        <v>66</v>
      </c>
      <c r="BE87" s="575">
        <v>1</v>
      </c>
      <c r="BF87" s="584">
        <f>+IF(BE87="","",(VLOOKUP($C87,'EQUIP RATE SCHEDULE'!$B$11:$F$162,5,FALSE)))</f>
        <v>135</v>
      </c>
      <c r="BG87" s="591"/>
      <c r="BH87" s="613">
        <f t="shared" si="29"/>
        <v>135</v>
      </c>
      <c r="BI87" s="769" t="s">
        <v>66</v>
      </c>
      <c r="BJ87" s="575">
        <v>1</v>
      </c>
      <c r="BK87" s="584">
        <f>+IF(BJ87="","",(VLOOKUP($C87,'EQUIP RATE SCHEDULE'!$B$11:$F$162,5,FALSE)))</f>
        <v>135</v>
      </c>
      <c r="BL87" s="591"/>
      <c r="BM87" s="613">
        <f t="shared" si="30"/>
        <v>135</v>
      </c>
      <c r="BN87" s="769" t="s">
        <v>66</v>
      </c>
      <c r="BO87" s="575">
        <v>1</v>
      </c>
      <c r="BP87" s="584">
        <f>+IF(BO87="","",(VLOOKUP($C87,'EQUIP RATE SCHEDULE'!$B$11:$F$162,5,FALSE)))</f>
        <v>135</v>
      </c>
      <c r="BQ87" s="591"/>
      <c r="BR87" s="613">
        <f t="shared" si="31"/>
        <v>135</v>
      </c>
      <c r="BS87" s="769" t="s">
        <v>66</v>
      </c>
      <c r="BT87" s="575">
        <v>1</v>
      </c>
      <c r="BU87" s="584">
        <f>+IF(BT87="","",(VLOOKUP($C87,'EQUIP RATE SCHEDULE'!$B$11:$F$162,5,FALSE)))</f>
        <v>135</v>
      </c>
      <c r="BV87" s="591"/>
      <c r="BW87" s="613">
        <f t="shared" si="32"/>
        <v>135</v>
      </c>
      <c r="BX87" s="769" t="s">
        <v>66</v>
      </c>
      <c r="BY87" s="575">
        <v>1</v>
      </c>
      <c r="BZ87" s="584">
        <f>+IF(BY87="","",(VLOOKUP($C87,'EQUIP RATE SCHEDULE'!$B$11:$F$162,5,FALSE)))</f>
        <v>135</v>
      </c>
      <c r="CA87" s="591"/>
      <c r="CB87" s="613">
        <f t="shared" si="33"/>
        <v>135</v>
      </c>
      <c r="CC87" s="769" t="s">
        <v>66</v>
      </c>
      <c r="CD87" s="575">
        <v>1</v>
      </c>
      <c r="CE87" s="584">
        <f>+IF(CD87="","",(VLOOKUP($C87,'EQUIP RATE SCHEDULE'!$B$11:$F$162,5,FALSE)))</f>
        <v>135</v>
      </c>
      <c r="CF87" s="591"/>
      <c r="CG87" s="613">
        <f t="shared" si="34"/>
        <v>135</v>
      </c>
      <c r="CH87" s="769" t="s">
        <v>66</v>
      </c>
      <c r="CI87" s="575">
        <v>1</v>
      </c>
      <c r="CJ87" s="584">
        <f>+IF(CI87="","",(VLOOKUP($C87,'EQUIP RATE SCHEDULE'!$B$11:$F$162,5,FALSE)))</f>
        <v>135</v>
      </c>
      <c r="CK87" s="591"/>
      <c r="CL87" s="613">
        <f t="shared" si="35"/>
        <v>135</v>
      </c>
      <c r="CM87" s="769" t="s">
        <v>66</v>
      </c>
      <c r="CN87" s="575">
        <v>1</v>
      </c>
      <c r="CO87" s="584">
        <f>+IF(CN87="","",(VLOOKUP($C87,'EQUIP RATE SCHEDULE'!$B$11:$F$162,5,FALSE)))</f>
        <v>135</v>
      </c>
      <c r="CP87" s="591"/>
      <c r="CQ87" s="613">
        <f t="shared" si="36"/>
        <v>135</v>
      </c>
      <c r="CR87" s="769" t="s">
        <v>66</v>
      </c>
      <c r="CS87" s="575">
        <v>1</v>
      </c>
      <c r="CT87" s="584">
        <f>+IF(CS87="","",(VLOOKUP($C87,'EQUIP RATE SCHEDULE'!$B$11:$F$162,5,FALSE)))</f>
        <v>135</v>
      </c>
      <c r="CU87" s="591"/>
      <c r="CV87" s="613">
        <f t="shared" si="37"/>
        <v>135</v>
      </c>
      <c r="CW87" s="769" t="s">
        <v>66</v>
      </c>
      <c r="CX87" s="575">
        <v>1</v>
      </c>
      <c r="CY87" s="584">
        <f>+IF(CX87="","",(VLOOKUP($C87,'EQUIP RATE SCHEDULE'!$B$11:$F$162,5,FALSE)))</f>
        <v>135</v>
      </c>
      <c r="CZ87" s="591"/>
      <c r="DA87" s="613">
        <f t="shared" si="38"/>
        <v>135</v>
      </c>
    </row>
    <row r="88" spans="1:105" ht="15" x14ac:dyDescent="0.25">
      <c r="A88" s="1498"/>
      <c r="B88" s="809" t="s">
        <v>522</v>
      </c>
      <c r="C88" s="776" t="s">
        <v>1071</v>
      </c>
      <c r="D88" s="1492"/>
      <c r="E88" s="1490"/>
      <c r="F88" s="769" t="s">
        <v>67</v>
      </c>
      <c r="G88" s="575">
        <v>1</v>
      </c>
      <c r="H88" s="584">
        <f>+IF(G88="","",(VLOOKUP($C88,'EQUIP RATE SCHEDULE'!$B$11:$F$162,5,FALSE)))</f>
        <v>405</v>
      </c>
      <c r="I88" s="591"/>
      <c r="J88" s="613">
        <f t="shared" si="39"/>
        <v>405</v>
      </c>
      <c r="K88" s="769" t="s">
        <v>67</v>
      </c>
      <c r="L88" s="575">
        <v>1</v>
      </c>
      <c r="M88" s="584">
        <f>+IF(L88="","",(VLOOKUP($C88,'EQUIP RATE SCHEDULE'!$B$11:$F$162,5,FALSE)))</f>
        <v>405</v>
      </c>
      <c r="N88" s="591"/>
      <c r="O88" s="613">
        <f t="shared" si="40"/>
        <v>405</v>
      </c>
      <c r="P88" s="769" t="s">
        <v>67</v>
      </c>
      <c r="Q88" s="575">
        <v>1</v>
      </c>
      <c r="R88" s="584">
        <f>+IF(Q88="","",(VLOOKUP($C88,'EQUIP RATE SCHEDULE'!$B$11:$F$162,5,FALSE)))</f>
        <v>405</v>
      </c>
      <c r="S88" s="591"/>
      <c r="T88" s="613">
        <f t="shared" si="41"/>
        <v>405</v>
      </c>
      <c r="U88" s="769" t="s">
        <v>67</v>
      </c>
      <c r="V88" s="575">
        <v>1</v>
      </c>
      <c r="W88" s="584">
        <f>+IF(V88="","",(VLOOKUP($C88,'EQUIP RATE SCHEDULE'!$B$11:$F$162,5,FALSE)))</f>
        <v>405</v>
      </c>
      <c r="X88" s="591"/>
      <c r="Y88" s="613">
        <f t="shared" si="42"/>
        <v>405</v>
      </c>
      <c r="Z88" s="769" t="s">
        <v>67</v>
      </c>
      <c r="AA88" s="575">
        <v>1</v>
      </c>
      <c r="AB88" s="584">
        <f>+IF(AA88="","",(VLOOKUP($C88,'EQUIP RATE SCHEDULE'!$B$11:$F$162,5,FALSE)))</f>
        <v>405</v>
      </c>
      <c r="AC88" s="591"/>
      <c r="AD88" s="613">
        <f t="shared" si="43"/>
        <v>405</v>
      </c>
      <c r="AE88" s="769" t="s">
        <v>67</v>
      </c>
      <c r="AF88" s="575">
        <v>1</v>
      </c>
      <c r="AG88" s="584">
        <f>+IF(AF88="","",(VLOOKUP($C88,'EQUIP RATE SCHEDULE'!$B$11:$F$162,5,FALSE)))</f>
        <v>405</v>
      </c>
      <c r="AH88" s="591"/>
      <c r="AI88" s="613">
        <f t="shared" si="44"/>
        <v>405</v>
      </c>
      <c r="AJ88" s="769" t="s">
        <v>67</v>
      </c>
      <c r="AK88" s="575">
        <v>1</v>
      </c>
      <c r="AL88" s="584">
        <f>+IF(AK88="","",(VLOOKUP($C88,'EQUIP RATE SCHEDULE'!$B$11:$F$162,5,FALSE)))</f>
        <v>405</v>
      </c>
      <c r="AM88" s="591"/>
      <c r="AN88" s="613">
        <f t="shared" si="45"/>
        <v>405</v>
      </c>
      <c r="AO88" s="769" t="s">
        <v>67</v>
      </c>
      <c r="AP88" s="575">
        <v>1</v>
      </c>
      <c r="AQ88" s="584">
        <f>+IF(AP88="","",(VLOOKUP($C88,'EQUIP RATE SCHEDULE'!$B$11:$F$162,5,FALSE)))</f>
        <v>405</v>
      </c>
      <c r="AR88" s="591"/>
      <c r="AS88" s="613">
        <f t="shared" si="46"/>
        <v>405</v>
      </c>
      <c r="AT88" s="769" t="s">
        <v>67</v>
      </c>
      <c r="AU88" s="575">
        <v>1</v>
      </c>
      <c r="AV88" s="584">
        <f>+IF(AU88="","",(VLOOKUP($C88,'EQUIP RATE SCHEDULE'!$B$11:$F$162,5,FALSE)))</f>
        <v>405</v>
      </c>
      <c r="AW88" s="591"/>
      <c r="AX88" s="613">
        <f t="shared" si="47"/>
        <v>405</v>
      </c>
      <c r="AY88" s="769" t="s">
        <v>67</v>
      </c>
      <c r="AZ88" s="575">
        <v>1</v>
      </c>
      <c r="BA88" s="584">
        <f>+IF(AZ88="","",(VLOOKUP($C88,'EQUIP RATE SCHEDULE'!$B$11:$F$162,5,FALSE)))</f>
        <v>405</v>
      </c>
      <c r="BB88" s="591"/>
      <c r="BC88" s="613">
        <f t="shared" si="48"/>
        <v>405</v>
      </c>
      <c r="BD88" s="769" t="s">
        <v>67</v>
      </c>
      <c r="BE88" s="575">
        <v>1</v>
      </c>
      <c r="BF88" s="584">
        <f>+IF(BE88="","",(VLOOKUP($C88,'EQUIP RATE SCHEDULE'!$B$11:$F$162,5,FALSE)))</f>
        <v>405</v>
      </c>
      <c r="BG88" s="591"/>
      <c r="BH88" s="613">
        <f t="shared" si="29"/>
        <v>405</v>
      </c>
      <c r="BI88" s="769" t="s">
        <v>67</v>
      </c>
      <c r="BJ88" s="575">
        <v>1</v>
      </c>
      <c r="BK88" s="584">
        <f>+IF(BJ88="","",(VLOOKUP($C88,'EQUIP RATE SCHEDULE'!$B$11:$F$162,5,FALSE)))</f>
        <v>405</v>
      </c>
      <c r="BL88" s="591"/>
      <c r="BM88" s="613">
        <f t="shared" si="30"/>
        <v>405</v>
      </c>
      <c r="BN88" s="769" t="s">
        <v>67</v>
      </c>
      <c r="BO88" s="575">
        <v>1</v>
      </c>
      <c r="BP88" s="584">
        <f>+IF(BO88="","",(VLOOKUP($C88,'EQUIP RATE SCHEDULE'!$B$11:$F$162,5,FALSE)))</f>
        <v>405</v>
      </c>
      <c r="BQ88" s="591"/>
      <c r="BR88" s="613">
        <f t="shared" si="31"/>
        <v>405</v>
      </c>
      <c r="BS88" s="769" t="s">
        <v>67</v>
      </c>
      <c r="BT88" s="575">
        <v>1</v>
      </c>
      <c r="BU88" s="584">
        <f>+IF(BT88="","",(VLOOKUP($C88,'EQUIP RATE SCHEDULE'!$B$11:$F$162,5,FALSE)))</f>
        <v>405</v>
      </c>
      <c r="BV88" s="591"/>
      <c r="BW88" s="613">
        <f t="shared" si="32"/>
        <v>405</v>
      </c>
      <c r="BX88" s="769" t="s">
        <v>67</v>
      </c>
      <c r="BY88" s="575">
        <v>1</v>
      </c>
      <c r="BZ88" s="584">
        <f>+IF(BY88="","",(VLOOKUP($C88,'EQUIP RATE SCHEDULE'!$B$11:$F$162,5,FALSE)))</f>
        <v>405</v>
      </c>
      <c r="CA88" s="591"/>
      <c r="CB88" s="613">
        <f t="shared" si="33"/>
        <v>405</v>
      </c>
      <c r="CC88" s="769" t="s">
        <v>67</v>
      </c>
      <c r="CD88" s="575">
        <v>1</v>
      </c>
      <c r="CE88" s="584">
        <f>+IF(CD88="","",(VLOOKUP($C88,'EQUIP RATE SCHEDULE'!$B$11:$F$162,5,FALSE)))</f>
        <v>405</v>
      </c>
      <c r="CF88" s="591"/>
      <c r="CG88" s="613">
        <f t="shared" si="34"/>
        <v>405</v>
      </c>
      <c r="CH88" s="769" t="s">
        <v>67</v>
      </c>
      <c r="CI88" s="575">
        <v>1</v>
      </c>
      <c r="CJ88" s="584">
        <f>+IF(CI88="","",(VLOOKUP($C88,'EQUIP RATE SCHEDULE'!$B$11:$F$162,5,FALSE)))</f>
        <v>405</v>
      </c>
      <c r="CK88" s="591"/>
      <c r="CL88" s="613">
        <f t="shared" si="35"/>
        <v>405</v>
      </c>
      <c r="CM88" s="769" t="s">
        <v>67</v>
      </c>
      <c r="CN88" s="575">
        <v>1</v>
      </c>
      <c r="CO88" s="584">
        <f>+IF(CN88="","",(VLOOKUP($C88,'EQUIP RATE SCHEDULE'!$B$11:$F$162,5,FALSE)))</f>
        <v>405</v>
      </c>
      <c r="CP88" s="591"/>
      <c r="CQ88" s="613">
        <f t="shared" si="36"/>
        <v>405</v>
      </c>
      <c r="CR88" s="769" t="s">
        <v>67</v>
      </c>
      <c r="CS88" s="575">
        <v>1</v>
      </c>
      <c r="CT88" s="584">
        <f>+IF(CS88="","",(VLOOKUP($C88,'EQUIP RATE SCHEDULE'!$B$11:$F$162,5,FALSE)))</f>
        <v>405</v>
      </c>
      <c r="CU88" s="591"/>
      <c r="CV88" s="613">
        <f t="shared" si="37"/>
        <v>405</v>
      </c>
      <c r="CW88" s="769" t="s">
        <v>67</v>
      </c>
      <c r="CX88" s="575">
        <v>1</v>
      </c>
      <c r="CY88" s="584">
        <f>+IF(CX88="","",(VLOOKUP($C88,'EQUIP RATE SCHEDULE'!$B$11:$F$162,5,FALSE)))</f>
        <v>405</v>
      </c>
      <c r="CZ88" s="591"/>
      <c r="DA88" s="613">
        <f t="shared" si="38"/>
        <v>405</v>
      </c>
    </row>
    <row r="89" spans="1:105" ht="15" x14ac:dyDescent="0.25">
      <c r="A89" s="1498"/>
      <c r="B89" s="809" t="s">
        <v>522</v>
      </c>
      <c r="C89" s="776" t="s">
        <v>1072</v>
      </c>
      <c r="D89" s="1491" t="s">
        <v>1073</v>
      </c>
      <c r="E89" s="1488" t="s">
        <v>1074</v>
      </c>
      <c r="F89" s="769" t="s">
        <v>66</v>
      </c>
      <c r="G89" s="575">
        <v>1</v>
      </c>
      <c r="H89" s="584">
        <f>+IF(G89="","",(VLOOKUP($C89,'EQUIP RATE SCHEDULE'!$B$11:$F$162,5,FALSE)))</f>
        <v>20</v>
      </c>
      <c r="I89" s="591"/>
      <c r="J89" s="613">
        <f t="shared" si="39"/>
        <v>20</v>
      </c>
      <c r="K89" s="769" t="s">
        <v>66</v>
      </c>
      <c r="L89" s="575">
        <v>1</v>
      </c>
      <c r="M89" s="584">
        <f>+IF(L89="","",(VLOOKUP($C89,'EQUIP RATE SCHEDULE'!$B$11:$F$162,5,FALSE)))</f>
        <v>20</v>
      </c>
      <c r="N89" s="591"/>
      <c r="O89" s="613">
        <f t="shared" si="40"/>
        <v>20</v>
      </c>
      <c r="P89" s="769" t="s">
        <v>66</v>
      </c>
      <c r="Q89" s="575">
        <v>1</v>
      </c>
      <c r="R89" s="584">
        <f>+IF(Q89="","",(VLOOKUP($C89,'EQUIP RATE SCHEDULE'!$B$11:$F$162,5,FALSE)))</f>
        <v>20</v>
      </c>
      <c r="S89" s="591"/>
      <c r="T89" s="613">
        <f t="shared" si="41"/>
        <v>20</v>
      </c>
      <c r="U89" s="769" t="s">
        <v>66</v>
      </c>
      <c r="V89" s="575">
        <v>1</v>
      </c>
      <c r="W89" s="584">
        <f>+IF(V89="","",(VLOOKUP($C89,'EQUIP RATE SCHEDULE'!$B$11:$F$162,5,FALSE)))</f>
        <v>20</v>
      </c>
      <c r="X89" s="591"/>
      <c r="Y89" s="613">
        <f t="shared" si="42"/>
        <v>20</v>
      </c>
      <c r="Z89" s="769" t="s">
        <v>66</v>
      </c>
      <c r="AA89" s="575">
        <v>1</v>
      </c>
      <c r="AB89" s="584">
        <f>+IF(AA89="","",(VLOOKUP($C89,'EQUIP RATE SCHEDULE'!$B$11:$F$162,5,FALSE)))</f>
        <v>20</v>
      </c>
      <c r="AC89" s="591"/>
      <c r="AD89" s="613">
        <f t="shared" si="43"/>
        <v>20</v>
      </c>
      <c r="AE89" s="769" t="s">
        <v>66</v>
      </c>
      <c r="AF89" s="575">
        <v>1</v>
      </c>
      <c r="AG89" s="584">
        <f>+IF(AF89="","",(VLOOKUP($C89,'EQUIP RATE SCHEDULE'!$B$11:$F$162,5,FALSE)))</f>
        <v>20</v>
      </c>
      <c r="AH89" s="591"/>
      <c r="AI89" s="613">
        <f t="shared" si="44"/>
        <v>20</v>
      </c>
      <c r="AJ89" s="769" t="s">
        <v>66</v>
      </c>
      <c r="AK89" s="575">
        <v>1</v>
      </c>
      <c r="AL89" s="584">
        <f>+IF(AK89="","",(VLOOKUP($C89,'EQUIP RATE SCHEDULE'!$B$11:$F$162,5,FALSE)))</f>
        <v>20</v>
      </c>
      <c r="AM89" s="591"/>
      <c r="AN89" s="613">
        <f t="shared" si="45"/>
        <v>20</v>
      </c>
      <c r="AO89" s="769" t="s">
        <v>66</v>
      </c>
      <c r="AP89" s="575">
        <v>1</v>
      </c>
      <c r="AQ89" s="584">
        <f>+IF(AP89="","",(VLOOKUP($C89,'EQUIP RATE SCHEDULE'!$B$11:$F$162,5,FALSE)))</f>
        <v>20</v>
      </c>
      <c r="AR89" s="591"/>
      <c r="AS89" s="613">
        <f t="shared" si="46"/>
        <v>20</v>
      </c>
      <c r="AT89" s="769" t="s">
        <v>66</v>
      </c>
      <c r="AU89" s="575">
        <v>1</v>
      </c>
      <c r="AV89" s="584">
        <f>+IF(AU89="","",(VLOOKUP($C89,'EQUIP RATE SCHEDULE'!$B$11:$F$162,5,FALSE)))</f>
        <v>20</v>
      </c>
      <c r="AW89" s="591"/>
      <c r="AX89" s="613">
        <f t="shared" si="47"/>
        <v>20</v>
      </c>
      <c r="AY89" s="769" t="s">
        <v>66</v>
      </c>
      <c r="AZ89" s="575">
        <v>1</v>
      </c>
      <c r="BA89" s="584">
        <f>+IF(AZ89="","",(VLOOKUP($C89,'EQUIP RATE SCHEDULE'!$B$11:$F$162,5,FALSE)))</f>
        <v>20</v>
      </c>
      <c r="BB89" s="591"/>
      <c r="BC89" s="613">
        <f t="shared" si="48"/>
        <v>20</v>
      </c>
      <c r="BD89" s="769" t="s">
        <v>66</v>
      </c>
      <c r="BE89" s="575">
        <v>1</v>
      </c>
      <c r="BF89" s="584">
        <f>+IF(BE89="","",(VLOOKUP($C89,'EQUIP RATE SCHEDULE'!$B$11:$F$162,5,FALSE)))</f>
        <v>20</v>
      </c>
      <c r="BG89" s="591"/>
      <c r="BH89" s="613">
        <f t="shared" si="29"/>
        <v>20</v>
      </c>
      <c r="BI89" s="769" t="s">
        <v>66</v>
      </c>
      <c r="BJ89" s="575">
        <v>1</v>
      </c>
      <c r="BK89" s="584">
        <f>+IF(BJ89="","",(VLOOKUP($C89,'EQUIP RATE SCHEDULE'!$B$11:$F$162,5,FALSE)))</f>
        <v>20</v>
      </c>
      <c r="BL89" s="591"/>
      <c r="BM89" s="613">
        <f t="shared" si="30"/>
        <v>20</v>
      </c>
      <c r="BN89" s="769" t="s">
        <v>66</v>
      </c>
      <c r="BO89" s="575">
        <v>1</v>
      </c>
      <c r="BP89" s="584">
        <f>+IF(BO89="","",(VLOOKUP($C89,'EQUIP RATE SCHEDULE'!$B$11:$F$162,5,FALSE)))</f>
        <v>20</v>
      </c>
      <c r="BQ89" s="591"/>
      <c r="BR89" s="613">
        <f t="shared" si="31"/>
        <v>20</v>
      </c>
      <c r="BS89" s="769" t="s">
        <v>66</v>
      </c>
      <c r="BT89" s="575">
        <v>1</v>
      </c>
      <c r="BU89" s="584">
        <f>+IF(BT89="","",(VLOOKUP($C89,'EQUIP RATE SCHEDULE'!$B$11:$F$162,5,FALSE)))</f>
        <v>20</v>
      </c>
      <c r="BV89" s="591"/>
      <c r="BW89" s="613">
        <f t="shared" si="32"/>
        <v>20</v>
      </c>
      <c r="BX89" s="769" t="s">
        <v>66</v>
      </c>
      <c r="BY89" s="575">
        <v>1</v>
      </c>
      <c r="BZ89" s="584">
        <f>+IF(BY89="","",(VLOOKUP($C89,'EQUIP RATE SCHEDULE'!$B$11:$F$162,5,FALSE)))</f>
        <v>20</v>
      </c>
      <c r="CA89" s="591"/>
      <c r="CB89" s="613">
        <f t="shared" si="33"/>
        <v>20</v>
      </c>
      <c r="CC89" s="769" t="s">
        <v>66</v>
      </c>
      <c r="CD89" s="575">
        <v>1</v>
      </c>
      <c r="CE89" s="584">
        <f>+IF(CD89="","",(VLOOKUP($C89,'EQUIP RATE SCHEDULE'!$B$11:$F$162,5,FALSE)))</f>
        <v>20</v>
      </c>
      <c r="CF89" s="591"/>
      <c r="CG89" s="613">
        <f t="shared" si="34"/>
        <v>20</v>
      </c>
      <c r="CH89" s="769" t="s">
        <v>66</v>
      </c>
      <c r="CI89" s="575">
        <v>1</v>
      </c>
      <c r="CJ89" s="584">
        <f>+IF(CI89="","",(VLOOKUP($C89,'EQUIP RATE SCHEDULE'!$B$11:$F$162,5,FALSE)))</f>
        <v>20</v>
      </c>
      <c r="CK89" s="591"/>
      <c r="CL89" s="613">
        <f t="shared" si="35"/>
        <v>20</v>
      </c>
      <c r="CM89" s="769" t="s">
        <v>66</v>
      </c>
      <c r="CN89" s="575">
        <v>1</v>
      </c>
      <c r="CO89" s="584">
        <f>+IF(CN89="","",(VLOOKUP($C89,'EQUIP RATE SCHEDULE'!$B$11:$F$162,5,FALSE)))</f>
        <v>20</v>
      </c>
      <c r="CP89" s="591"/>
      <c r="CQ89" s="613">
        <f t="shared" si="36"/>
        <v>20</v>
      </c>
      <c r="CR89" s="769" t="s">
        <v>66</v>
      </c>
      <c r="CS89" s="575">
        <v>1</v>
      </c>
      <c r="CT89" s="584">
        <f>+IF(CS89="","",(VLOOKUP($C89,'EQUIP RATE SCHEDULE'!$B$11:$F$162,5,FALSE)))</f>
        <v>20</v>
      </c>
      <c r="CU89" s="591"/>
      <c r="CV89" s="613">
        <f t="shared" si="37"/>
        <v>20</v>
      </c>
      <c r="CW89" s="769" t="s">
        <v>66</v>
      </c>
      <c r="CX89" s="575">
        <v>1</v>
      </c>
      <c r="CY89" s="584">
        <f>+IF(CX89="","",(VLOOKUP($C89,'EQUIP RATE SCHEDULE'!$B$11:$F$162,5,FALSE)))</f>
        <v>20</v>
      </c>
      <c r="CZ89" s="591"/>
      <c r="DA89" s="613">
        <f t="shared" si="38"/>
        <v>20</v>
      </c>
    </row>
    <row r="90" spans="1:105" ht="15" x14ac:dyDescent="0.25">
      <c r="A90" s="1498"/>
      <c r="B90" s="809" t="s">
        <v>522</v>
      </c>
      <c r="C90" s="776" t="s">
        <v>1075</v>
      </c>
      <c r="D90" s="1492"/>
      <c r="E90" s="1490"/>
      <c r="F90" s="769" t="s">
        <v>67</v>
      </c>
      <c r="G90" s="575">
        <v>1</v>
      </c>
      <c r="H90" s="584">
        <f>+IF(G90="","",(VLOOKUP($C90,'EQUIP RATE SCHEDULE'!$B$11:$F$162,5,FALSE)))</f>
        <v>60</v>
      </c>
      <c r="I90" s="591"/>
      <c r="J90" s="613">
        <f t="shared" si="39"/>
        <v>60</v>
      </c>
      <c r="K90" s="769" t="s">
        <v>67</v>
      </c>
      <c r="L90" s="575">
        <v>1</v>
      </c>
      <c r="M90" s="584">
        <f>+IF(L90="","",(VLOOKUP($C90,'EQUIP RATE SCHEDULE'!$B$11:$F$162,5,FALSE)))</f>
        <v>60</v>
      </c>
      <c r="N90" s="591"/>
      <c r="O90" s="613">
        <f t="shared" si="40"/>
        <v>60</v>
      </c>
      <c r="P90" s="769" t="s">
        <v>67</v>
      </c>
      <c r="Q90" s="575">
        <v>1</v>
      </c>
      <c r="R90" s="584">
        <f>+IF(Q90="","",(VLOOKUP($C90,'EQUIP RATE SCHEDULE'!$B$11:$F$162,5,FALSE)))</f>
        <v>60</v>
      </c>
      <c r="S90" s="591"/>
      <c r="T90" s="613">
        <f t="shared" si="41"/>
        <v>60</v>
      </c>
      <c r="U90" s="769" t="s">
        <v>67</v>
      </c>
      <c r="V90" s="575">
        <v>1</v>
      </c>
      <c r="W90" s="584">
        <f>+IF(V90="","",(VLOOKUP($C90,'EQUIP RATE SCHEDULE'!$B$11:$F$162,5,FALSE)))</f>
        <v>60</v>
      </c>
      <c r="X90" s="591"/>
      <c r="Y90" s="613">
        <f t="shared" si="42"/>
        <v>60</v>
      </c>
      <c r="Z90" s="769" t="s">
        <v>67</v>
      </c>
      <c r="AA90" s="575">
        <v>1</v>
      </c>
      <c r="AB90" s="584">
        <f>+IF(AA90="","",(VLOOKUP($C90,'EQUIP RATE SCHEDULE'!$B$11:$F$162,5,FALSE)))</f>
        <v>60</v>
      </c>
      <c r="AC90" s="591"/>
      <c r="AD90" s="613">
        <f t="shared" si="43"/>
        <v>60</v>
      </c>
      <c r="AE90" s="769" t="s">
        <v>67</v>
      </c>
      <c r="AF90" s="575">
        <v>1</v>
      </c>
      <c r="AG90" s="584">
        <f>+IF(AF90="","",(VLOOKUP($C90,'EQUIP RATE SCHEDULE'!$B$11:$F$162,5,FALSE)))</f>
        <v>60</v>
      </c>
      <c r="AH90" s="591"/>
      <c r="AI90" s="613">
        <f t="shared" si="44"/>
        <v>60</v>
      </c>
      <c r="AJ90" s="769" t="s">
        <v>67</v>
      </c>
      <c r="AK90" s="575">
        <v>1</v>
      </c>
      <c r="AL90" s="584">
        <f>+IF(AK90="","",(VLOOKUP($C90,'EQUIP RATE SCHEDULE'!$B$11:$F$162,5,FALSE)))</f>
        <v>60</v>
      </c>
      <c r="AM90" s="591"/>
      <c r="AN90" s="613">
        <f t="shared" si="45"/>
        <v>60</v>
      </c>
      <c r="AO90" s="769" t="s">
        <v>67</v>
      </c>
      <c r="AP90" s="575">
        <v>1</v>
      </c>
      <c r="AQ90" s="584">
        <f>+IF(AP90="","",(VLOOKUP($C90,'EQUIP RATE SCHEDULE'!$B$11:$F$162,5,FALSE)))</f>
        <v>60</v>
      </c>
      <c r="AR90" s="591"/>
      <c r="AS90" s="613">
        <f t="shared" si="46"/>
        <v>60</v>
      </c>
      <c r="AT90" s="769" t="s">
        <v>67</v>
      </c>
      <c r="AU90" s="575">
        <v>1</v>
      </c>
      <c r="AV90" s="584">
        <f>+IF(AU90="","",(VLOOKUP($C90,'EQUIP RATE SCHEDULE'!$B$11:$F$162,5,FALSE)))</f>
        <v>60</v>
      </c>
      <c r="AW90" s="591"/>
      <c r="AX90" s="613">
        <f t="shared" si="47"/>
        <v>60</v>
      </c>
      <c r="AY90" s="769" t="s">
        <v>67</v>
      </c>
      <c r="AZ90" s="575">
        <v>1</v>
      </c>
      <c r="BA90" s="584">
        <f>+IF(AZ90="","",(VLOOKUP($C90,'EQUIP RATE SCHEDULE'!$B$11:$F$162,5,FALSE)))</f>
        <v>60</v>
      </c>
      <c r="BB90" s="591"/>
      <c r="BC90" s="613">
        <f t="shared" si="48"/>
        <v>60</v>
      </c>
      <c r="BD90" s="769" t="s">
        <v>67</v>
      </c>
      <c r="BE90" s="575">
        <v>1</v>
      </c>
      <c r="BF90" s="584">
        <f>+IF(BE90="","",(VLOOKUP($C90,'EQUIP RATE SCHEDULE'!$B$11:$F$162,5,FALSE)))</f>
        <v>60</v>
      </c>
      <c r="BG90" s="591"/>
      <c r="BH90" s="613">
        <f t="shared" si="29"/>
        <v>60</v>
      </c>
      <c r="BI90" s="769" t="s">
        <v>67</v>
      </c>
      <c r="BJ90" s="575">
        <v>1</v>
      </c>
      <c r="BK90" s="584">
        <f>+IF(BJ90="","",(VLOOKUP($C90,'EQUIP RATE SCHEDULE'!$B$11:$F$162,5,FALSE)))</f>
        <v>60</v>
      </c>
      <c r="BL90" s="591"/>
      <c r="BM90" s="613">
        <f t="shared" si="30"/>
        <v>60</v>
      </c>
      <c r="BN90" s="769" t="s">
        <v>67</v>
      </c>
      <c r="BO90" s="575">
        <v>1</v>
      </c>
      <c r="BP90" s="584">
        <f>+IF(BO90="","",(VLOOKUP($C90,'EQUIP RATE SCHEDULE'!$B$11:$F$162,5,FALSE)))</f>
        <v>60</v>
      </c>
      <c r="BQ90" s="591"/>
      <c r="BR90" s="613">
        <f t="shared" si="31"/>
        <v>60</v>
      </c>
      <c r="BS90" s="769" t="s">
        <v>67</v>
      </c>
      <c r="BT90" s="575">
        <v>1</v>
      </c>
      <c r="BU90" s="584">
        <f>+IF(BT90="","",(VLOOKUP($C90,'EQUIP RATE SCHEDULE'!$B$11:$F$162,5,FALSE)))</f>
        <v>60</v>
      </c>
      <c r="BV90" s="591"/>
      <c r="BW90" s="613">
        <f t="shared" si="32"/>
        <v>60</v>
      </c>
      <c r="BX90" s="769" t="s">
        <v>67</v>
      </c>
      <c r="BY90" s="575">
        <v>1</v>
      </c>
      <c r="BZ90" s="584">
        <f>+IF(BY90="","",(VLOOKUP($C90,'EQUIP RATE SCHEDULE'!$B$11:$F$162,5,FALSE)))</f>
        <v>60</v>
      </c>
      <c r="CA90" s="591"/>
      <c r="CB90" s="613">
        <f t="shared" si="33"/>
        <v>60</v>
      </c>
      <c r="CC90" s="769" t="s">
        <v>67</v>
      </c>
      <c r="CD90" s="575"/>
      <c r="CE90" s="584" t="str">
        <f>+IF(CD90="","",(VLOOKUP($C90,'EQUIP RATE SCHEDULE'!$B$11:$F$162,5,FALSE)))</f>
        <v/>
      </c>
      <c r="CF90" s="591"/>
      <c r="CG90" s="613" t="str">
        <f t="shared" si="34"/>
        <v/>
      </c>
      <c r="CH90" s="769" t="s">
        <v>67</v>
      </c>
      <c r="CI90" s="575">
        <v>1</v>
      </c>
      <c r="CJ90" s="584">
        <f>+IF(CI90="","",(VLOOKUP($C90,'EQUIP RATE SCHEDULE'!$B$11:$F$162,5,FALSE)))</f>
        <v>60</v>
      </c>
      <c r="CK90" s="591"/>
      <c r="CL90" s="613">
        <f t="shared" si="35"/>
        <v>60</v>
      </c>
      <c r="CM90" s="769" t="s">
        <v>67</v>
      </c>
      <c r="CN90" s="575">
        <v>1</v>
      </c>
      <c r="CO90" s="584">
        <f>+IF(CN90="","",(VLOOKUP($C90,'EQUIP RATE SCHEDULE'!$B$11:$F$162,5,FALSE)))</f>
        <v>60</v>
      </c>
      <c r="CP90" s="591"/>
      <c r="CQ90" s="613">
        <f t="shared" si="36"/>
        <v>60</v>
      </c>
      <c r="CR90" s="769" t="s">
        <v>67</v>
      </c>
      <c r="CS90" s="575">
        <v>1</v>
      </c>
      <c r="CT90" s="584">
        <f>+IF(CS90="","",(VLOOKUP($C90,'EQUIP RATE SCHEDULE'!$B$11:$F$162,5,FALSE)))</f>
        <v>60</v>
      </c>
      <c r="CU90" s="591"/>
      <c r="CV90" s="613">
        <f t="shared" si="37"/>
        <v>60</v>
      </c>
      <c r="CW90" s="769" t="s">
        <v>67</v>
      </c>
      <c r="CX90" s="575">
        <v>1</v>
      </c>
      <c r="CY90" s="584">
        <f>+IF(CX90="","",(VLOOKUP($C90,'EQUIP RATE SCHEDULE'!$B$11:$F$162,5,FALSE)))</f>
        <v>60</v>
      </c>
      <c r="CZ90" s="591"/>
      <c r="DA90" s="613">
        <f t="shared" si="38"/>
        <v>60</v>
      </c>
    </row>
    <row r="91" spans="1:105" ht="15" x14ac:dyDescent="0.25">
      <c r="A91" s="1498"/>
      <c r="B91" s="809" t="s">
        <v>522</v>
      </c>
      <c r="C91" s="776" t="s">
        <v>1076</v>
      </c>
      <c r="D91" s="1491" t="s">
        <v>1077</v>
      </c>
      <c r="E91" s="1488" t="s">
        <v>1078</v>
      </c>
      <c r="F91" s="769" t="s">
        <v>66</v>
      </c>
      <c r="G91" s="575">
        <v>1</v>
      </c>
      <c r="H91" s="584">
        <f>+IF(G91="","",(VLOOKUP($C91,'EQUIP RATE SCHEDULE'!$B$11:$F$162,5,FALSE)))</f>
        <v>120</v>
      </c>
      <c r="I91" s="591"/>
      <c r="J91" s="613">
        <f t="shared" si="39"/>
        <v>120</v>
      </c>
      <c r="K91" s="769" t="s">
        <v>66</v>
      </c>
      <c r="L91" s="575">
        <v>1</v>
      </c>
      <c r="M91" s="584">
        <f>+IF(L91="","",(VLOOKUP($C91,'EQUIP RATE SCHEDULE'!$B$11:$F$162,5,FALSE)))</f>
        <v>120</v>
      </c>
      <c r="N91" s="591"/>
      <c r="O91" s="613">
        <f t="shared" si="40"/>
        <v>120</v>
      </c>
      <c r="P91" s="769" t="s">
        <v>66</v>
      </c>
      <c r="Q91" s="575">
        <v>1</v>
      </c>
      <c r="R91" s="584">
        <f>+IF(Q91="","",(VLOOKUP($C91,'EQUIP RATE SCHEDULE'!$B$11:$F$162,5,FALSE)))</f>
        <v>120</v>
      </c>
      <c r="S91" s="591"/>
      <c r="T91" s="613">
        <f t="shared" si="41"/>
        <v>120</v>
      </c>
      <c r="U91" s="769" t="s">
        <v>66</v>
      </c>
      <c r="V91" s="575">
        <v>1</v>
      </c>
      <c r="W91" s="584">
        <f>+IF(V91="","",(VLOOKUP($C91,'EQUIP RATE SCHEDULE'!$B$11:$F$162,5,FALSE)))</f>
        <v>120</v>
      </c>
      <c r="X91" s="591"/>
      <c r="Y91" s="613">
        <f t="shared" si="42"/>
        <v>120</v>
      </c>
      <c r="Z91" s="769" t="s">
        <v>66</v>
      </c>
      <c r="AA91" s="575">
        <v>1</v>
      </c>
      <c r="AB91" s="584">
        <f>+IF(AA91="","",(VLOOKUP($C91,'EQUIP RATE SCHEDULE'!$B$11:$F$162,5,FALSE)))</f>
        <v>120</v>
      </c>
      <c r="AC91" s="591"/>
      <c r="AD91" s="613">
        <f t="shared" si="43"/>
        <v>120</v>
      </c>
      <c r="AE91" s="769" t="s">
        <v>66</v>
      </c>
      <c r="AF91" s="575">
        <v>1</v>
      </c>
      <c r="AG91" s="584">
        <f>+IF(AF91="","",(VLOOKUP($C91,'EQUIP RATE SCHEDULE'!$B$11:$F$162,5,FALSE)))</f>
        <v>120</v>
      </c>
      <c r="AH91" s="591"/>
      <c r="AI91" s="613">
        <f t="shared" si="44"/>
        <v>120</v>
      </c>
      <c r="AJ91" s="769" t="s">
        <v>66</v>
      </c>
      <c r="AK91" s="575">
        <v>1</v>
      </c>
      <c r="AL91" s="584">
        <f>+IF(AK91="","",(VLOOKUP($C91,'EQUIP RATE SCHEDULE'!$B$11:$F$162,5,FALSE)))</f>
        <v>120</v>
      </c>
      <c r="AM91" s="591"/>
      <c r="AN91" s="613">
        <f t="shared" si="45"/>
        <v>120</v>
      </c>
      <c r="AO91" s="769" t="s">
        <v>66</v>
      </c>
      <c r="AP91" s="575">
        <v>1</v>
      </c>
      <c r="AQ91" s="584">
        <f>+IF(AP91="","",(VLOOKUP($C91,'EQUIP RATE SCHEDULE'!$B$11:$F$162,5,FALSE)))</f>
        <v>120</v>
      </c>
      <c r="AR91" s="591"/>
      <c r="AS91" s="613">
        <f t="shared" si="46"/>
        <v>120</v>
      </c>
      <c r="AT91" s="769" t="s">
        <v>66</v>
      </c>
      <c r="AU91" s="575">
        <v>1</v>
      </c>
      <c r="AV91" s="584">
        <f>+IF(AU91="","",(VLOOKUP($C91,'EQUIP RATE SCHEDULE'!$B$11:$F$162,5,FALSE)))</f>
        <v>120</v>
      </c>
      <c r="AW91" s="591"/>
      <c r="AX91" s="613">
        <f t="shared" si="47"/>
        <v>120</v>
      </c>
      <c r="AY91" s="769" t="s">
        <v>66</v>
      </c>
      <c r="AZ91" s="575">
        <v>1</v>
      </c>
      <c r="BA91" s="584">
        <f>+IF(AZ91="","",(VLOOKUP($C91,'EQUIP RATE SCHEDULE'!$B$11:$F$162,5,FALSE)))</f>
        <v>120</v>
      </c>
      <c r="BB91" s="591"/>
      <c r="BC91" s="613">
        <f t="shared" si="48"/>
        <v>120</v>
      </c>
      <c r="BD91" s="769" t="s">
        <v>66</v>
      </c>
      <c r="BE91" s="575">
        <v>1</v>
      </c>
      <c r="BF91" s="584">
        <f>+IF(BE91="","",(VLOOKUP($C91,'EQUIP RATE SCHEDULE'!$B$11:$F$162,5,FALSE)))</f>
        <v>120</v>
      </c>
      <c r="BG91" s="591"/>
      <c r="BH91" s="613">
        <f t="shared" si="29"/>
        <v>120</v>
      </c>
      <c r="BI91" s="769" t="s">
        <v>66</v>
      </c>
      <c r="BJ91" s="575">
        <v>1</v>
      </c>
      <c r="BK91" s="584">
        <f>+IF(BJ91="","",(VLOOKUP($C91,'EQUIP RATE SCHEDULE'!$B$11:$F$162,5,FALSE)))</f>
        <v>120</v>
      </c>
      <c r="BL91" s="591"/>
      <c r="BM91" s="613">
        <f t="shared" si="30"/>
        <v>120</v>
      </c>
      <c r="BN91" s="769" t="s">
        <v>66</v>
      </c>
      <c r="BO91" s="575">
        <v>1</v>
      </c>
      <c r="BP91" s="584">
        <f>+IF(BO91="","",(VLOOKUP($C91,'EQUIP RATE SCHEDULE'!$B$11:$F$162,5,FALSE)))</f>
        <v>120</v>
      </c>
      <c r="BQ91" s="591"/>
      <c r="BR91" s="613">
        <f t="shared" si="31"/>
        <v>120</v>
      </c>
      <c r="BS91" s="769" t="s">
        <v>66</v>
      </c>
      <c r="BT91" s="575">
        <v>1</v>
      </c>
      <c r="BU91" s="584">
        <f>+IF(BT91="","",(VLOOKUP($C91,'EQUIP RATE SCHEDULE'!$B$11:$F$162,5,FALSE)))</f>
        <v>120</v>
      </c>
      <c r="BV91" s="591"/>
      <c r="BW91" s="613">
        <f t="shared" si="32"/>
        <v>120</v>
      </c>
      <c r="BX91" s="769" t="s">
        <v>66</v>
      </c>
      <c r="BY91" s="575">
        <v>1</v>
      </c>
      <c r="BZ91" s="584">
        <f>+IF(BY91="","",(VLOOKUP($C91,'EQUIP RATE SCHEDULE'!$B$11:$F$162,5,FALSE)))</f>
        <v>120</v>
      </c>
      <c r="CA91" s="591"/>
      <c r="CB91" s="613">
        <f t="shared" si="33"/>
        <v>120</v>
      </c>
      <c r="CC91" s="769" t="s">
        <v>66</v>
      </c>
      <c r="CD91" s="575">
        <v>1</v>
      </c>
      <c r="CE91" s="584">
        <f>+IF(CD91="","",(VLOOKUP($C91,'EQUIP RATE SCHEDULE'!$B$11:$F$162,5,FALSE)))</f>
        <v>120</v>
      </c>
      <c r="CF91" s="591"/>
      <c r="CG91" s="613">
        <f t="shared" si="34"/>
        <v>120</v>
      </c>
      <c r="CH91" s="769" t="s">
        <v>66</v>
      </c>
      <c r="CI91" s="575">
        <v>1</v>
      </c>
      <c r="CJ91" s="584">
        <f>+IF(CI91="","",(VLOOKUP($C91,'EQUIP RATE SCHEDULE'!$B$11:$F$162,5,FALSE)))</f>
        <v>120</v>
      </c>
      <c r="CK91" s="591"/>
      <c r="CL91" s="613">
        <f t="shared" si="35"/>
        <v>120</v>
      </c>
      <c r="CM91" s="769" t="s">
        <v>66</v>
      </c>
      <c r="CN91" s="575">
        <v>1</v>
      </c>
      <c r="CO91" s="584">
        <f>+IF(CN91="","",(VLOOKUP($C91,'EQUIP RATE SCHEDULE'!$B$11:$F$162,5,FALSE)))</f>
        <v>120</v>
      </c>
      <c r="CP91" s="591"/>
      <c r="CQ91" s="613">
        <f t="shared" si="36"/>
        <v>120</v>
      </c>
      <c r="CR91" s="769" t="s">
        <v>66</v>
      </c>
      <c r="CS91" s="575">
        <v>1</v>
      </c>
      <c r="CT91" s="584">
        <f>+IF(CS91="","",(VLOOKUP($C91,'EQUIP RATE SCHEDULE'!$B$11:$F$162,5,FALSE)))</f>
        <v>120</v>
      </c>
      <c r="CU91" s="591"/>
      <c r="CV91" s="613">
        <f t="shared" si="37"/>
        <v>120</v>
      </c>
      <c r="CW91" s="769" t="s">
        <v>66</v>
      </c>
      <c r="CX91" s="575">
        <v>1</v>
      </c>
      <c r="CY91" s="584">
        <f>+IF(CX91="","",(VLOOKUP($C91,'EQUIP RATE SCHEDULE'!$B$11:$F$162,5,FALSE)))</f>
        <v>120</v>
      </c>
      <c r="CZ91" s="591"/>
      <c r="DA91" s="613">
        <f t="shared" si="38"/>
        <v>120</v>
      </c>
    </row>
    <row r="92" spans="1:105" ht="15" x14ac:dyDescent="0.25">
      <c r="A92" s="1498"/>
      <c r="B92" s="809" t="s">
        <v>522</v>
      </c>
      <c r="C92" s="776" t="s">
        <v>1079</v>
      </c>
      <c r="D92" s="1492"/>
      <c r="E92" s="1490"/>
      <c r="F92" s="769" t="s">
        <v>67</v>
      </c>
      <c r="G92" s="575">
        <v>1</v>
      </c>
      <c r="H92" s="584">
        <f>+IF(G92="","",(VLOOKUP($C92,'EQUIP RATE SCHEDULE'!$B$11:$F$162,5,FALSE)))</f>
        <v>360</v>
      </c>
      <c r="I92" s="591"/>
      <c r="J92" s="613">
        <f t="shared" si="39"/>
        <v>360</v>
      </c>
      <c r="K92" s="769" t="s">
        <v>67</v>
      </c>
      <c r="L92" s="575">
        <v>1</v>
      </c>
      <c r="M92" s="584">
        <f>+IF(L92="","",(VLOOKUP($C92,'EQUIP RATE SCHEDULE'!$B$11:$F$162,5,FALSE)))</f>
        <v>360</v>
      </c>
      <c r="N92" s="591"/>
      <c r="O92" s="613">
        <f t="shared" si="40"/>
        <v>360</v>
      </c>
      <c r="P92" s="769" t="s">
        <v>67</v>
      </c>
      <c r="Q92" s="575">
        <v>1</v>
      </c>
      <c r="R92" s="584">
        <f>+IF(Q92="","",(VLOOKUP($C92,'EQUIP RATE SCHEDULE'!$B$11:$F$162,5,FALSE)))</f>
        <v>360</v>
      </c>
      <c r="S92" s="591"/>
      <c r="T92" s="613">
        <f t="shared" si="41"/>
        <v>360</v>
      </c>
      <c r="U92" s="769" t="s">
        <v>67</v>
      </c>
      <c r="V92" s="575">
        <v>1</v>
      </c>
      <c r="W92" s="584">
        <f>+IF(V92="","",(VLOOKUP($C92,'EQUIP RATE SCHEDULE'!$B$11:$F$162,5,FALSE)))</f>
        <v>360</v>
      </c>
      <c r="X92" s="591"/>
      <c r="Y92" s="613">
        <f t="shared" si="42"/>
        <v>360</v>
      </c>
      <c r="Z92" s="769" t="s">
        <v>67</v>
      </c>
      <c r="AA92" s="575">
        <v>1</v>
      </c>
      <c r="AB92" s="584">
        <f>+IF(AA92="","",(VLOOKUP($C92,'EQUIP RATE SCHEDULE'!$B$11:$F$162,5,FALSE)))</f>
        <v>360</v>
      </c>
      <c r="AC92" s="591"/>
      <c r="AD92" s="613">
        <f t="shared" si="43"/>
        <v>360</v>
      </c>
      <c r="AE92" s="769" t="s">
        <v>67</v>
      </c>
      <c r="AF92" s="575">
        <v>1</v>
      </c>
      <c r="AG92" s="584">
        <f>+IF(AF92="","",(VLOOKUP($C92,'EQUIP RATE SCHEDULE'!$B$11:$F$162,5,FALSE)))</f>
        <v>360</v>
      </c>
      <c r="AH92" s="591"/>
      <c r="AI92" s="613">
        <f t="shared" si="44"/>
        <v>360</v>
      </c>
      <c r="AJ92" s="769" t="s">
        <v>67</v>
      </c>
      <c r="AK92" s="575">
        <v>1</v>
      </c>
      <c r="AL92" s="584">
        <f>+IF(AK92="","",(VLOOKUP($C92,'EQUIP RATE SCHEDULE'!$B$11:$F$162,5,FALSE)))</f>
        <v>360</v>
      </c>
      <c r="AM92" s="591"/>
      <c r="AN92" s="613">
        <f t="shared" si="45"/>
        <v>360</v>
      </c>
      <c r="AO92" s="769" t="s">
        <v>67</v>
      </c>
      <c r="AP92" s="575">
        <v>1</v>
      </c>
      <c r="AQ92" s="584">
        <f>+IF(AP92="","",(VLOOKUP($C92,'EQUIP RATE SCHEDULE'!$B$11:$F$162,5,FALSE)))</f>
        <v>360</v>
      </c>
      <c r="AR92" s="591"/>
      <c r="AS92" s="613">
        <f t="shared" si="46"/>
        <v>360</v>
      </c>
      <c r="AT92" s="769" t="s">
        <v>67</v>
      </c>
      <c r="AU92" s="575">
        <v>1</v>
      </c>
      <c r="AV92" s="584">
        <f>+IF(AU92="","",(VLOOKUP($C92,'EQUIP RATE SCHEDULE'!$B$11:$F$162,5,FALSE)))</f>
        <v>360</v>
      </c>
      <c r="AW92" s="591"/>
      <c r="AX92" s="613">
        <f t="shared" si="47"/>
        <v>360</v>
      </c>
      <c r="AY92" s="769" t="s">
        <v>67</v>
      </c>
      <c r="AZ92" s="575">
        <v>1</v>
      </c>
      <c r="BA92" s="584">
        <f>+IF(AZ92="","",(VLOOKUP($C92,'EQUIP RATE SCHEDULE'!$B$11:$F$162,5,FALSE)))</f>
        <v>360</v>
      </c>
      <c r="BB92" s="591"/>
      <c r="BC92" s="613">
        <f t="shared" si="48"/>
        <v>360</v>
      </c>
      <c r="BD92" s="769" t="s">
        <v>67</v>
      </c>
      <c r="BE92" s="575">
        <v>1</v>
      </c>
      <c r="BF92" s="584">
        <f>+IF(BE92="","",(VLOOKUP($C92,'EQUIP RATE SCHEDULE'!$B$11:$F$162,5,FALSE)))</f>
        <v>360</v>
      </c>
      <c r="BG92" s="591"/>
      <c r="BH92" s="613">
        <f t="shared" si="29"/>
        <v>360</v>
      </c>
      <c r="BI92" s="769" t="s">
        <v>67</v>
      </c>
      <c r="BJ92" s="575">
        <v>1</v>
      </c>
      <c r="BK92" s="584">
        <f>+IF(BJ92="","",(VLOOKUP($C92,'EQUIP RATE SCHEDULE'!$B$11:$F$162,5,FALSE)))</f>
        <v>360</v>
      </c>
      <c r="BL92" s="591"/>
      <c r="BM92" s="613">
        <f t="shared" si="30"/>
        <v>360</v>
      </c>
      <c r="BN92" s="769" t="s">
        <v>67</v>
      </c>
      <c r="BO92" s="575">
        <v>1</v>
      </c>
      <c r="BP92" s="584">
        <f>+IF(BO92="","",(VLOOKUP($C92,'EQUIP RATE SCHEDULE'!$B$11:$F$162,5,FALSE)))</f>
        <v>360</v>
      </c>
      <c r="BQ92" s="591"/>
      <c r="BR92" s="613">
        <f t="shared" si="31"/>
        <v>360</v>
      </c>
      <c r="BS92" s="769" t="s">
        <v>67</v>
      </c>
      <c r="BT92" s="575">
        <v>1</v>
      </c>
      <c r="BU92" s="584">
        <f>+IF(BT92="","",(VLOOKUP($C92,'EQUIP RATE SCHEDULE'!$B$11:$F$162,5,FALSE)))</f>
        <v>360</v>
      </c>
      <c r="BV92" s="591"/>
      <c r="BW92" s="613">
        <f t="shared" si="32"/>
        <v>360</v>
      </c>
      <c r="BX92" s="769" t="s">
        <v>67</v>
      </c>
      <c r="BY92" s="575">
        <v>1</v>
      </c>
      <c r="BZ92" s="584">
        <f>+IF(BY92="","",(VLOOKUP($C92,'EQUIP RATE SCHEDULE'!$B$11:$F$162,5,FALSE)))</f>
        <v>360</v>
      </c>
      <c r="CA92" s="591"/>
      <c r="CB92" s="613">
        <f t="shared" si="33"/>
        <v>360</v>
      </c>
      <c r="CC92" s="769" t="s">
        <v>67</v>
      </c>
      <c r="CD92" s="575">
        <v>1</v>
      </c>
      <c r="CE92" s="584">
        <f>+IF(CD92="","",(VLOOKUP($C92,'EQUIP RATE SCHEDULE'!$B$11:$F$162,5,FALSE)))</f>
        <v>360</v>
      </c>
      <c r="CF92" s="591"/>
      <c r="CG92" s="613">
        <f t="shared" si="34"/>
        <v>360</v>
      </c>
      <c r="CH92" s="769" t="s">
        <v>67</v>
      </c>
      <c r="CI92" s="575">
        <v>1</v>
      </c>
      <c r="CJ92" s="584">
        <f>+IF(CI92="","",(VLOOKUP($C92,'EQUIP RATE SCHEDULE'!$B$11:$F$162,5,FALSE)))</f>
        <v>360</v>
      </c>
      <c r="CK92" s="591"/>
      <c r="CL92" s="613">
        <f t="shared" si="35"/>
        <v>360</v>
      </c>
      <c r="CM92" s="769" t="s">
        <v>67</v>
      </c>
      <c r="CN92" s="575">
        <v>1</v>
      </c>
      <c r="CO92" s="584">
        <f>+IF(CN92="","",(VLOOKUP($C92,'EQUIP RATE SCHEDULE'!$B$11:$F$162,5,FALSE)))</f>
        <v>360</v>
      </c>
      <c r="CP92" s="591"/>
      <c r="CQ92" s="613">
        <f t="shared" si="36"/>
        <v>360</v>
      </c>
      <c r="CR92" s="769" t="s">
        <v>67</v>
      </c>
      <c r="CS92" s="575">
        <v>1</v>
      </c>
      <c r="CT92" s="584">
        <f>+IF(CS92="","",(VLOOKUP($C92,'EQUIP RATE SCHEDULE'!$B$11:$F$162,5,FALSE)))</f>
        <v>360</v>
      </c>
      <c r="CU92" s="591"/>
      <c r="CV92" s="613">
        <f t="shared" si="37"/>
        <v>360</v>
      </c>
      <c r="CW92" s="769" t="s">
        <v>67</v>
      </c>
      <c r="CX92" s="575">
        <v>1</v>
      </c>
      <c r="CY92" s="584">
        <f>+IF(CX92="","",(VLOOKUP($C92,'EQUIP RATE SCHEDULE'!$B$11:$F$162,5,FALSE)))</f>
        <v>360</v>
      </c>
      <c r="CZ92" s="591"/>
      <c r="DA92" s="613">
        <f t="shared" si="38"/>
        <v>360</v>
      </c>
    </row>
    <row r="93" spans="1:105" ht="15" x14ac:dyDescent="0.25">
      <c r="A93" s="1498"/>
      <c r="B93" s="809" t="s">
        <v>522</v>
      </c>
      <c r="C93" s="776" t="s">
        <v>1080</v>
      </c>
      <c r="D93" s="777" t="s">
        <v>63</v>
      </c>
      <c r="E93" s="778" t="s">
        <v>1081</v>
      </c>
      <c r="F93" s="769" t="s">
        <v>920</v>
      </c>
      <c r="G93" s="575">
        <v>1</v>
      </c>
      <c r="H93" s="584">
        <f>+IF(G93="","",(VLOOKUP($C93,'EQUIP RATE SCHEDULE'!$B$11:$F$162,5,FALSE)))</f>
        <v>18</v>
      </c>
      <c r="I93" s="591"/>
      <c r="J93" s="613">
        <f t="shared" si="39"/>
        <v>18</v>
      </c>
      <c r="K93" s="769" t="s">
        <v>920</v>
      </c>
      <c r="L93" s="575">
        <v>1</v>
      </c>
      <c r="M93" s="584">
        <f>+IF(L93="","",(VLOOKUP($C93,'EQUIP RATE SCHEDULE'!$B$11:$F$162,5,FALSE)))</f>
        <v>18</v>
      </c>
      <c r="N93" s="591"/>
      <c r="O93" s="613">
        <f t="shared" si="40"/>
        <v>18</v>
      </c>
      <c r="P93" s="769" t="s">
        <v>920</v>
      </c>
      <c r="Q93" s="575">
        <v>1</v>
      </c>
      <c r="R93" s="584">
        <f>+IF(Q93="","",(VLOOKUP($C93,'EQUIP RATE SCHEDULE'!$B$11:$F$162,5,FALSE)))</f>
        <v>18</v>
      </c>
      <c r="S93" s="591"/>
      <c r="T93" s="613">
        <f t="shared" si="41"/>
        <v>18</v>
      </c>
      <c r="U93" s="769" t="s">
        <v>920</v>
      </c>
      <c r="V93" s="575">
        <v>1</v>
      </c>
      <c r="W93" s="584">
        <f>+IF(V93="","",(VLOOKUP($C93,'EQUIP RATE SCHEDULE'!$B$11:$F$162,5,FALSE)))</f>
        <v>18</v>
      </c>
      <c r="X93" s="591"/>
      <c r="Y93" s="613">
        <f t="shared" si="42"/>
        <v>18</v>
      </c>
      <c r="Z93" s="769" t="s">
        <v>920</v>
      </c>
      <c r="AA93" s="575">
        <v>1</v>
      </c>
      <c r="AB93" s="584">
        <f>+IF(AA93="","",(VLOOKUP($C93,'EQUIP RATE SCHEDULE'!$B$11:$F$162,5,FALSE)))</f>
        <v>18</v>
      </c>
      <c r="AC93" s="591"/>
      <c r="AD93" s="613">
        <f t="shared" si="43"/>
        <v>18</v>
      </c>
      <c r="AE93" s="769" t="s">
        <v>920</v>
      </c>
      <c r="AF93" s="575">
        <v>1</v>
      </c>
      <c r="AG93" s="584">
        <f>+IF(AF93="","",(VLOOKUP($C93,'EQUIP RATE SCHEDULE'!$B$11:$F$162,5,FALSE)))</f>
        <v>18</v>
      </c>
      <c r="AH93" s="591"/>
      <c r="AI93" s="613">
        <f t="shared" si="44"/>
        <v>18</v>
      </c>
      <c r="AJ93" s="769" t="s">
        <v>920</v>
      </c>
      <c r="AK93" s="575">
        <v>1</v>
      </c>
      <c r="AL93" s="584">
        <f>+IF(AK93="","",(VLOOKUP($C93,'EQUIP RATE SCHEDULE'!$B$11:$F$162,5,FALSE)))</f>
        <v>18</v>
      </c>
      <c r="AM93" s="591"/>
      <c r="AN93" s="613">
        <f t="shared" si="45"/>
        <v>18</v>
      </c>
      <c r="AO93" s="769" t="s">
        <v>920</v>
      </c>
      <c r="AP93" s="575">
        <v>1</v>
      </c>
      <c r="AQ93" s="584">
        <f>+IF(AP93="","",(VLOOKUP($C93,'EQUIP RATE SCHEDULE'!$B$11:$F$162,5,FALSE)))</f>
        <v>18</v>
      </c>
      <c r="AR93" s="591"/>
      <c r="AS93" s="613">
        <f t="shared" si="46"/>
        <v>18</v>
      </c>
      <c r="AT93" s="769" t="s">
        <v>920</v>
      </c>
      <c r="AU93" s="575">
        <v>1</v>
      </c>
      <c r="AV93" s="584">
        <f>+IF(AU93="","",(VLOOKUP($C93,'EQUIP RATE SCHEDULE'!$B$11:$F$162,5,FALSE)))</f>
        <v>18</v>
      </c>
      <c r="AW93" s="591"/>
      <c r="AX93" s="613">
        <f t="shared" si="47"/>
        <v>18</v>
      </c>
      <c r="AY93" s="769" t="s">
        <v>920</v>
      </c>
      <c r="AZ93" s="575">
        <v>1</v>
      </c>
      <c r="BA93" s="584">
        <f>+IF(AZ93="","",(VLOOKUP($C93,'EQUIP RATE SCHEDULE'!$B$11:$F$162,5,FALSE)))</f>
        <v>18</v>
      </c>
      <c r="BB93" s="591"/>
      <c r="BC93" s="613">
        <f t="shared" si="48"/>
        <v>18</v>
      </c>
      <c r="BD93" s="769" t="s">
        <v>920</v>
      </c>
      <c r="BE93" s="575">
        <v>1</v>
      </c>
      <c r="BF93" s="584">
        <f>+IF(BE93="","",(VLOOKUP($C93,'EQUIP RATE SCHEDULE'!$B$11:$F$162,5,FALSE)))</f>
        <v>18</v>
      </c>
      <c r="BG93" s="591"/>
      <c r="BH93" s="613">
        <f t="shared" si="29"/>
        <v>18</v>
      </c>
      <c r="BI93" s="769" t="s">
        <v>920</v>
      </c>
      <c r="BJ93" s="575">
        <v>1</v>
      </c>
      <c r="BK93" s="584">
        <f>+IF(BJ93="","",(VLOOKUP($C93,'EQUIP RATE SCHEDULE'!$B$11:$F$162,5,FALSE)))</f>
        <v>18</v>
      </c>
      <c r="BL93" s="591"/>
      <c r="BM93" s="613">
        <f t="shared" si="30"/>
        <v>18</v>
      </c>
      <c r="BN93" s="769" t="s">
        <v>920</v>
      </c>
      <c r="BO93" s="575">
        <v>1</v>
      </c>
      <c r="BP93" s="584">
        <f>+IF(BO93="","",(VLOOKUP($C93,'EQUIP RATE SCHEDULE'!$B$11:$F$162,5,FALSE)))</f>
        <v>18</v>
      </c>
      <c r="BQ93" s="591"/>
      <c r="BR93" s="613">
        <f t="shared" si="31"/>
        <v>18</v>
      </c>
      <c r="BS93" s="769" t="s">
        <v>920</v>
      </c>
      <c r="BT93" s="575">
        <v>1</v>
      </c>
      <c r="BU93" s="584">
        <f>+IF(BT93="","",(VLOOKUP($C93,'EQUIP RATE SCHEDULE'!$B$11:$F$162,5,FALSE)))</f>
        <v>18</v>
      </c>
      <c r="BV93" s="591"/>
      <c r="BW93" s="613">
        <f t="shared" si="32"/>
        <v>18</v>
      </c>
      <c r="BX93" s="769" t="s">
        <v>920</v>
      </c>
      <c r="BY93" s="575">
        <v>1</v>
      </c>
      <c r="BZ93" s="584">
        <f>+IF(BY93="","",(VLOOKUP($C93,'EQUIP RATE SCHEDULE'!$B$11:$F$162,5,FALSE)))</f>
        <v>18</v>
      </c>
      <c r="CA93" s="591"/>
      <c r="CB93" s="613">
        <f t="shared" si="33"/>
        <v>18</v>
      </c>
      <c r="CC93" s="769" t="s">
        <v>920</v>
      </c>
      <c r="CD93" s="575">
        <v>1</v>
      </c>
      <c r="CE93" s="584">
        <f>+IF(CD93="","",(VLOOKUP($C93,'EQUIP RATE SCHEDULE'!$B$11:$F$162,5,FALSE)))</f>
        <v>18</v>
      </c>
      <c r="CF93" s="591"/>
      <c r="CG93" s="613">
        <f t="shared" si="34"/>
        <v>18</v>
      </c>
      <c r="CH93" s="769" t="s">
        <v>920</v>
      </c>
      <c r="CI93" s="575">
        <v>1</v>
      </c>
      <c r="CJ93" s="584">
        <f>+IF(CI93="","",(VLOOKUP($C93,'EQUIP RATE SCHEDULE'!$B$11:$F$162,5,FALSE)))</f>
        <v>18</v>
      </c>
      <c r="CK93" s="591"/>
      <c r="CL93" s="613">
        <f t="shared" si="35"/>
        <v>18</v>
      </c>
      <c r="CM93" s="769" t="s">
        <v>920</v>
      </c>
      <c r="CN93" s="575">
        <v>1</v>
      </c>
      <c r="CO93" s="584">
        <f>+IF(CN93="","",(VLOOKUP($C93,'EQUIP RATE SCHEDULE'!$B$11:$F$162,5,FALSE)))</f>
        <v>18</v>
      </c>
      <c r="CP93" s="591"/>
      <c r="CQ93" s="613">
        <f t="shared" si="36"/>
        <v>18</v>
      </c>
      <c r="CR93" s="769" t="s">
        <v>920</v>
      </c>
      <c r="CS93" s="575">
        <v>1</v>
      </c>
      <c r="CT93" s="584">
        <f>+IF(CS93="","",(VLOOKUP($C93,'EQUIP RATE SCHEDULE'!$B$11:$F$162,5,FALSE)))</f>
        <v>18</v>
      </c>
      <c r="CU93" s="591"/>
      <c r="CV93" s="613">
        <f t="shared" si="37"/>
        <v>18</v>
      </c>
      <c r="CW93" s="769" t="s">
        <v>920</v>
      </c>
      <c r="CX93" s="575">
        <v>1</v>
      </c>
      <c r="CY93" s="584">
        <f>+IF(CX93="","",(VLOOKUP($C93,'EQUIP RATE SCHEDULE'!$B$11:$F$162,5,FALSE)))</f>
        <v>18</v>
      </c>
      <c r="CZ93" s="591"/>
      <c r="DA93" s="613">
        <f t="shared" si="38"/>
        <v>18</v>
      </c>
    </row>
    <row r="94" spans="1:105" ht="15" x14ac:dyDescent="0.25">
      <c r="A94" s="1498"/>
      <c r="B94" s="809" t="s">
        <v>522</v>
      </c>
      <c r="C94" s="776" t="s">
        <v>1082</v>
      </c>
      <c r="D94" s="1491" t="s">
        <v>1083</v>
      </c>
      <c r="E94" s="1488" t="s">
        <v>1084</v>
      </c>
      <c r="F94" s="769" t="s">
        <v>66</v>
      </c>
      <c r="G94" s="575"/>
      <c r="H94" s="584" t="str">
        <f>+IF(G94="","",(VLOOKUP($C94,'EQUIP RATE SCHEDULE'!$B$11:$F$162,5,FALSE)))</f>
        <v/>
      </c>
      <c r="I94" s="591"/>
      <c r="J94" s="613" t="str">
        <f t="shared" si="39"/>
        <v/>
      </c>
      <c r="K94" s="769" t="s">
        <v>66</v>
      </c>
      <c r="L94" s="575">
        <v>1</v>
      </c>
      <c r="M94" s="584">
        <f>+IF(L94="","",(VLOOKUP($C94,'EQUIP RATE SCHEDULE'!$B$11:$F$162,5,FALSE)))</f>
        <v>85</v>
      </c>
      <c r="N94" s="591"/>
      <c r="O94" s="613">
        <f t="shared" si="40"/>
        <v>85</v>
      </c>
      <c r="P94" s="769" t="s">
        <v>66</v>
      </c>
      <c r="Q94" s="575">
        <v>1</v>
      </c>
      <c r="R94" s="584">
        <f>+IF(Q94="","",(VLOOKUP($C94,'EQUIP RATE SCHEDULE'!$B$11:$F$162,5,FALSE)))</f>
        <v>85</v>
      </c>
      <c r="S94" s="591"/>
      <c r="T94" s="613">
        <f t="shared" si="41"/>
        <v>85</v>
      </c>
      <c r="U94" s="769" t="s">
        <v>66</v>
      </c>
      <c r="V94" s="575">
        <v>1</v>
      </c>
      <c r="W94" s="584">
        <f>+IF(V94="","",(VLOOKUP($C94,'EQUIP RATE SCHEDULE'!$B$11:$F$162,5,FALSE)))</f>
        <v>85</v>
      </c>
      <c r="X94" s="591"/>
      <c r="Y94" s="613">
        <f t="shared" si="42"/>
        <v>85</v>
      </c>
      <c r="Z94" s="769" t="s">
        <v>66</v>
      </c>
      <c r="AA94" s="575">
        <v>1</v>
      </c>
      <c r="AB94" s="584">
        <f>+IF(AA94="","",(VLOOKUP($C94,'EQUIP RATE SCHEDULE'!$B$11:$F$162,5,FALSE)))</f>
        <v>85</v>
      </c>
      <c r="AC94" s="591"/>
      <c r="AD94" s="613">
        <f t="shared" si="43"/>
        <v>85</v>
      </c>
      <c r="AE94" s="769" t="s">
        <v>66</v>
      </c>
      <c r="AF94" s="575">
        <v>1</v>
      </c>
      <c r="AG94" s="584">
        <f>+IF(AF94="","",(VLOOKUP($C94,'EQUIP RATE SCHEDULE'!$B$11:$F$162,5,FALSE)))</f>
        <v>85</v>
      </c>
      <c r="AH94" s="591"/>
      <c r="AI94" s="613">
        <f t="shared" si="44"/>
        <v>85</v>
      </c>
      <c r="AJ94" s="769" t="s">
        <v>66</v>
      </c>
      <c r="AK94" s="575">
        <v>1</v>
      </c>
      <c r="AL94" s="584">
        <f>+IF(AK94="","",(VLOOKUP($C94,'EQUIP RATE SCHEDULE'!$B$11:$F$162,5,FALSE)))</f>
        <v>85</v>
      </c>
      <c r="AM94" s="591"/>
      <c r="AN94" s="613">
        <f t="shared" si="45"/>
        <v>85</v>
      </c>
      <c r="AO94" s="769" t="s">
        <v>66</v>
      </c>
      <c r="AP94" s="575">
        <v>1</v>
      </c>
      <c r="AQ94" s="584">
        <f>+IF(AP94="","",(VLOOKUP($C94,'EQUIP RATE SCHEDULE'!$B$11:$F$162,5,FALSE)))</f>
        <v>85</v>
      </c>
      <c r="AR94" s="591"/>
      <c r="AS94" s="613">
        <f t="shared" si="46"/>
        <v>85</v>
      </c>
      <c r="AT94" s="769" t="s">
        <v>66</v>
      </c>
      <c r="AU94" s="575">
        <v>1</v>
      </c>
      <c r="AV94" s="584">
        <f>+IF(AU94="","",(VLOOKUP($C94,'EQUIP RATE SCHEDULE'!$B$11:$F$162,5,FALSE)))</f>
        <v>85</v>
      </c>
      <c r="AW94" s="591"/>
      <c r="AX94" s="613">
        <f t="shared" si="47"/>
        <v>85</v>
      </c>
      <c r="AY94" s="769" t="s">
        <v>66</v>
      </c>
      <c r="AZ94" s="575">
        <v>1</v>
      </c>
      <c r="BA94" s="584">
        <f>+IF(AZ94="","",(VLOOKUP($C94,'EQUIP RATE SCHEDULE'!$B$11:$F$162,5,FALSE)))</f>
        <v>85</v>
      </c>
      <c r="BB94" s="591"/>
      <c r="BC94" s="613">
        <f t="shared" si="48"/>
        <v>85</v>
      </c>
      <c r="BD94" s="769" t="s">
        <v>66</v>
      </c>
      <c r="BE94" s="575">
        <v>1</v>
      </c>
      <c r="BF94" s="584">
        <f>+IF(BE94="","",(VLOOKUP($C94,'EQUIP RATE SCHEDULE'!$B$11:$F$162,5,FALSE)))</f>
        <v>85</v>
      </c>
      <c r="BG94" s="591"/>
      <c r="BH94" s="613">
        <f t="shared" si="29"/>
        <v>85</v>
      </c>
      <c r="BI94" s="769" t="s">
        <v>66</v>
      </c>
      <c r="BJ94" s="575">
        <v>1</v>
      </c>
      <c r="BK94" s="584">
        <f>+IF(BJ94="","",(VLOOKUP($C94,'EQUIP RATE SCHEDULE'!$B$11:$F$162,5,FALSE)))</f>
        <v>85</v>
      </c>
      <c r="BL94" s="591"/>
      <c r="BM94" s="613">
        <f t="shared" si="30"/>
        <v>85</v>
      </c>
      <c r="BN94" s="769" t="s">
        <v>66</v>
      </c>
      <c r="BO94" s="575">
        <v>1</v>
      </c>
      <c r="BP94" s="584">
        <f>+IF(BO94="","",(VLOOKUP($C94,'EQUIP RATE SCHEDULE'!$B$11:$F$162,5,FALSE)))</f>
        <v>85</v>
      </c>
      <c r="BQ94" s="591"/>
      <c r="BR94" s="613">
        <f t="shared" si="31"/>
        <v>85</v>
      </c>
      <c r="BS94" s="769" t="s">
        <v>66</v>
      </c>
      <c r="BT94" s="575">
        <v>1</v>
      </c>
      <c r="BU94" s="584">
        <f>+IF(BT94="","",(VLOOKUP($C94,'EQUIP RATE SCHEDULE'!$B$11:$F$162,5,FALSE)))</f>
        <v>85</v>
      </c>
      <c r="BV94" s="591"/>
      <c r="BW94" s="613">
        <f t="shared" si="32"/>
        <v>85</v>
      </c>
      <c r="BX94" s="769" t="s">
        <v>66</v>
      </c>
      <c r="BY94" s="575">
        <v>1</v>
      </c>
      <c r="BZ94" s="584">
        <f>+IF(BY94="","",(VLOOKUP($C94,'EQUIP RATE SCHEDULE'!$B$11:$F$162,5,FALSE)))</f>
        <v>85</v>
      </c>
      <c r="CA94" s="591"/>
      <c r="CB94" s="613">
        <f t="shared" si="33"/>
        <v>85</v>
      </c>
      <c r="CC94" s="769" t="s">
        <v>66</v>
      </c>
      <c r="CD94" s="575">
        <v>1</v>
      </c>
      <c r="CE94" s="584">
        <f>+IF(CD94="","",(VLOOKUP($C94,'EQUIP RATE SCHEDULE'!$B$11:$F$162,5,FALSE)))</f>
        <v>85</v>
      </c>
      <c r="CF94" s="591"/>
      <c r="CG94" s="613">
        <f t="shared" si="34"/>
        <v>85</v>
      </c>
      <c r="CH94" s="769" t="s">
        <v>66</v>
      </c>
      <c r="CI94" s="575">
        <v>1</v>
      </c>
      <c r="CJ94" s="584">
        <f>+IF(CI94="","",(VLOOKUP($C94,'EQUIP RATE SCHEDULE'!$B$11:$F$162,5,FALSE)))</f>
        <v>85</v>
      </c>
      <c r="CK94" s="591"/>
      <c r="CL94" s="613">
        <f t="shared" si="35"/>
        <v>85</v>
      </c>
      <c r="CM94" s="769" t="s">
        <v>66</v>
      </c>
      <c r="CN94" s="575">
        <v>1</v>
      </c>
      <c r="CO94" s="584">
        <f>+IF(CN94="","",(VLOOKUP($C94,'EQUIP RATE SCHEDULE'!$B$11:$F$162,5,FALSE)))</f>
        <v>85</v>
      </c>
      <c r="CP94" s="591"/>
      <c r="CQ94" s="613">
        <f t="shared" si="36"/>
        <v>85</v>
      </c>
      <c r="CR94" s="769" t="s">
        <v>66</v>
      </c>
      <c r="CS94" s="575">
        <v>1</v>
      </c>
      <c r="CT94" s="584">
        <f>+IF(CS94="","",(VLOOKUP($C94,'EQUIP RATE SCHEDULE'!$B$11:$F$162,5,FALSE)))</f>
        <v>85</v>
      </c>
      <c r="CU94" s="591"/>
      <c r="CV94" s="613">
        <f t="shared" si="37"/>
        <v>85</v>
      </c>
      <c r="CW94" s="769" t="s">
        <v>66</v>
      </c>
      <c r="CX94" s="575">
        <v>1</v>
      </c>
      <c r="CY94" s="584">
        <f>+IF(CX94="","",(VLOOKUP($C94,'EQUIP RATE SCHEDULE'!$B$11:$F$162,5,FALSE)))</f>
        <v>85</v>
      </c>
      <c r="CZ94" s="591"/>
      <c r="DA94" s="613">
        <f t="shared" si="38"/>
        <v>85</v>
      </c>
    </row>
    <row r="95" spans="1:105" ht="15" x14ac:dyDescent="0.25">
      <c r="A95" s="1498"/>
      <c r="B95" s="809" t="s">
        <v>522</v>
      </c>
      <c r="C95" s="776" t="s">
        <v>1085</v>
      </c>
      <c r="D95" s="1492"/>
      <c r="E95" s="1490"/>
      <c r="F95" s="769" t="s">
        <v>67</v>
      </c>
      <c r="G95" s="575">
        <v>1</v>
      </c>
      <c r="H95" s="584">
        <f>+IF(G95="","",(VLOOKUP($C95,'EQUIP RATE SCHEDULE'!$B$11:$F$162,5,FALSE)))</f>
        <v>255</v>
      </c>
      <c r="I95" s="591"/>
      <c r="J95" s="613">
        <f t="shared" si="39"/>
        <v>255</v>
      </c>
      <c r="K95" s="769" t="s">
        <v>67</v>
      </c>
      <c r="L95" s="575">
        <v>1</v>
      </c>
      <c r="M95" s="584">
        <f>+IF(L95="","",(VLOOKUP($C95,'EQUIP RATE SCHEDULE'!$B$11:$F$162,5,FALSE)))</f>
        <v>255</v>
      </c>
      <c r="N95" s="591"/>
      <c r="O95" s="613">
        <f t="shared" si="40"/>
        <v>255</v>
      </c>
      <c r="P95" s="769" t="s">
        <v>67</v>
      </c>
      <c r="Q95" s="575">
        <v>1</v>
      </c>
      <c r="R95" s="584">
        <f>+IF(Q95="","",(VLOOKUP($C95,'EQUIP RATE SCHEDULE'!$B$11:$F$162,5,FALSE)))</f>
        <v>255</v>
      </c>
      <c r="S95" s="591"/>
      <c r="T95" s="613">
        <f t="shared" si="41"/>
        <v>255</v>
      </c>
      <c r="U95" s="769" t="s">
        <v>67</v>
      </c>
      <c r="V95" s="575">
        <v>1</v>
      </c>
      <c r="W95" s="584">
        <f>+IF(V95="","",(VLOOKUP($C95,'EQUIP RATE SCHEDULE'!$B$11:$F$162,5,FALSE)))</f>
        <v>255</v>
      </c>
      <c r="X95" s="591"/>
      <c r="Y95" s="613">
        <f t="shared" si="42"/>
        <v>255</v>
      </c>
      <c r="Z95" s="769" t="s">
        <v>67</v>
      </c>
      <c r="AA95" s="575">
        <v>1</v>
      </c>
      <c r="AB95" s="584">
        <f>+IF(AA95="","",(VLOOKUP($C95,'EQUIP RATE SCHEDULE'!$B$11:$F$162,5,FALSE)))</f>
        <v>255</v>
      </c>
      <c r="AC95" s="591"/>
      <c r="AD95" s="613">
        <f t="shared" si="43"/>
        <v>255</v>
      </c>
      <c r="AE95" s="769" t="s">
        <v>67</v>
      </c>
      <c r="AF95" s="575">
        <v>1</v>
      </c>
      <c r="AG95" s="584">
        <f>+IF(AF95="","",(VLOOKUP($C95,'EQUIP RATE SCHEDULE'!$B$11:$F$162,5,FALSE)))</f>
        <v>255</v>
      </c>
      <c r="AH95" s="591"/>
      <c r="AI95" s="613">
        <f t="shared" si="44"/>
        <v>255</v>
      </c>
      <c r="AJ95" s="769" t="s">
        <v>67</v>
      </c>
      <c r="AK95" s="575">
        <v>1</v>
      </c>
      <c r="AL95" s="584">
        <f>+IF(AK95="","",(VLOOKUP($C95,'EQUIP RATE SCHEDULE'!$B$11:$F$162,5,FALSE)))</f>
        <v>255</v>
      </c>
      <c r="AM95" s="591"/>
      <c r="AN95" s="613">
        <f t="shared" si="45"/>
        <v>255</v>
      </c>
      <c r="AO95" s="769" t="s">
        <v>67</v>
      </c>
      <c r="AP95" s="575">
        <v>1</v>
      </c>
      <c r="AQ95" s="584">
        <f>+IF(AP95="","",(VLOOKUP($C95,'EQUIP RATE SCHEDULE'!$B$11:$F$162,5,FALSE)))</f>
        <v>255</v>
      </c>
      <c r="AR95" s="591"/>
      <c r="AS95" s="613">
        <f t="shared" si="46"/>
        <v>255</v>
      </c>
      <c r="AT95" s="769" t="s">
        <v>67</v>
      </c>
      <c r="AU95" s="575">
        <v>1</v>
      </c>
      <c r="AV95" s="584">
        <f>+IF(AU95="","",(VLOOKUP($C95,'EQUIP RATE SCHEDULE'!$B$11:$F$162,5,FALSE)))</f>
        <v>255</v>
      </c>
      <c r="AW95" s="591"/>
      <c r="AX95" s="613">
        <f t="shared" si="47"/>
        <v>255</v>
      </c>
      <c r="AY95" s="769" t="s">
        <v>67</v>
      </c>
      <c r="AZ95" s="575">
        <v>1</v>
      </c>
      <c r="BA95" s="584">
        <f>+IF(AZ95="","",(VLOOKUP($C95,'EQUIP RATE SCHEDULE'!$B$11:$F$162,5,FALSE)))</f>
        <v>255</v>
      </c>
      <c r="BB95" s="591"/>
      <c r="BC95" s="613">
        <f t="shared" si="48"/>
        <v>255</v>
      </c>
      <c r="BD95" s="769" t="s">
        <v>67</v>
      </c>
      <c r="BE95" s="575">
        <v>1</v>
      </c>
      <c r="BF95" s="584">
        <f>+IF(BE95="","",(VLOOKUP($C95,'EQUIP RATE SCHEDULE'!$B$11:$F$162,5,FALSE)))</f>
        <v>255</v>
      </c>
      <c r="BG95" s="591"/>
      <c r="BH95" s="613">
        <f t="shared" si="29"/>
        <v>255</v>
      </c>
      <c r="BI95" s="769" t="s">
        <v>67</v>
      </c>
      <c r="BJ95" s="575">
        <v>1</v>
      </c>
      <c r="BK95" s="584">
        <f>+IF(BJ95="","",(VLOOKUP($C95,'EQUIP RATE SCHEDULE'!$B$11:$F$162,5,FALSE)))</f>
        <v>255</v>
      </c>
      <c r="BL95" s="591"/>
      <c r="BM95" s="613">
        <f t="shared" si="30"/>
        <v>255</v>
      </c>
      <c r="BN95" s="769" t="s">
        <v>67</v>
      </c>
      <c r="BO95" s="575">
        <v>1</v>
      </c>
      <c r="BP95" s="584">
        <f>+IF(BO95="","",(VLOOKUP($C95,'EQUIP RATE SCHEDULE'!$B$11:$F$162,5,FALSE)))</f>
        <v>255</v>
      </c>
      <c r="BQ95" s="591"/>
      <c r="BR95" s="613">
        <f t="shared" si="31"/>
        <v>255</v>
      </c>
      <c r="BS95" s="769" t="s">
        <v>67</v>
      </c>
      <c r="BT95" s="575">
        <v>1</v>
      </c>
      <c r="BU95" s="584">
        <f>+IF(BT95="","",(VLOOKUP($C95,'EQUIP RATE SCHEDULE'!$B$11:$F$162,5,FALSE)))</f>
        <v>255</v>
      </c>
      <c r="BV95" s="591"/>
      <c r="BW95" s="613">
        <f t="shared" si="32"/>
        <v>255</v>
      </c>
      <c r="BX95" s="769" t="s">
        <v>67</v>
      </c>
      <c r="BY95" s="575">
        <v>1</v>
      </c>
      <c r="BZ95" s="584">
        <f>+IF(BY95="","",(VLOOKUP($C95,'EQUIP RATE SCHEDULE'!$B$11:$F$162,5,FALSE)))</f>
        <v>255</v>
      </c>
      <c r="CA95" s="591"/>
      <c r="CB95" s="613">
        <f>+IF(CA$7="","",IF(BY95="","",(IF(CA95="",BZ95*BY95,CA95*BY95))))</f>
        <v>255</v>
      </c>
      <c r="CC95" s="769" t="s">
        <v>67</v>
      </c>
      <c r="CD95" s="575">
        <v>1</v>
      </c>
      <c r="CE95" s="584">
        <f>+IF(CD95="","",(VLOOKUP($C95,'EQUIP RATE SCHEDULE'!$B$11:$F$162,5,FALSE)))</f>
        <v>255</v>
      </c>
      <c r="CF95" s="591"/>
      <c r="CG95" s="613">
        <f t="shared" si="34"/>
        <v>255</v>
      </c>
      <c r="CH95" s="769" t="s">
        <v>67</v>
      </c>
      <c r="CI95" s="575">
        <v>1</v>
      </c>
      <c r="CJ95" s="584">
        <f>+IF(CI95="","",(VLOOKUP($C95,'EQUIP RATE SCHEDULE'!$B$11:$F$162,5,FALSE)))</f>
        <v>255</v>
      </c>
      <c r="CK95" s="591"/>
      <c r="CL95" s="613">
        <f t="shared" si="35"/>
        <v>255</v>
      </c>
      <c r="CM95" s="769" t="s">
        <v>67</v>
      </c>
      <c r="CN95" s="575">
        <v>1</v>
      </c>
      <c r="CO95" s="584">
        <f>+IF(CN95="","",(VLOOKUP($C95,'EQUIP RATE SCHEDULE'!$B$11:$F$162,5,FALSE)))</f>
        <v>255</v>
      </c>
      <c r="CP95" s="591"/>
      <c r="CQ95" s="613">
        <f t="shared" si="36"/>
        <v>255</v>
      </c>
      <c r="CR95" s="769" t="s">
        <v>67</v>
      </c>
      <c r="CS95" s="575">
        <v>1</v>
      </c>
      <c r="CT95" s="584">
        <f>+IF(CS95="","",(VLOOKUP($C95,'EQUIP RATE SCHEDULE'!$B$11:$F$162,5,FALSE)))</f>
        <v>255</v>
      </c>
      <c r="CU95" s="591"/>
      <c r="CV95" s="613">
        <f t="shared" si="37"/>
        <v>255</v>
      </c>
      <c r="CW95" s="769" t="s">
        <v>67</v>
      </c>
      <c r="CX95" s="575">
        <v>1</v>
      </c>
      <c r="CY95" s="584">
        <f>+IF(CX95="","",(VLOOKUP($C95,'EQUIP RATE SCHEDULE'!$B$11:$F$162,5,FALSE)))</f>
        <v>255</v>
      </c>
      <c r="CZ95" s="591"/>
      <c r="DA95" s="613">
        <f t="shared" si="38"/>
        <v>255</v>
      </c>
    </row>
    <row r="96" spans="1:105" ht="15" x14ac:dyDescent="0.25">
      <c r="A96" s="1498"/>
      <c r="B96" s="809" t="s">
        <v>522</v>
      </c>
      <c r="C96" s="776" t="s">
        <v>1086</v>
      </c>
      <c r="D96" s="1491" t="s">
        <v>1087</v>
      </c>
      <c r="E96" s="1488" t="s">
        <v>1088</v>
      </c>
      <c r="F96" s="769" t="s">
        <v>66</v>
      </c>
      <c r="G96" s="575"/>
      <c r="H96" s="584" t="str">
        <f>+IF(G96="","",(VLOOKUP($C96,'EQUIP RATE SCHEDULE'!$B$11:$F$162,5,FALSE)))</f>
        <v/>
      </c>
      <c r="I96" s="591"/>
      <c r="J96" s="613" t="str">
        <f t="shared" si="39"/>
        <v/>
      </c>
      <c r="K96" s="769" t="s">
        <v>66</v>
      </c>
      <c r="L96" s="575">
        <v>1</v>
      </c>
      <c r="M96" s="584">
        <f>+IF(L96="","",(VLOOKUP($C96,'EQUIP RATE SCHEDULE'!$B$11:$F$162,5,FALSE)))</f>
        <v>70</v>
      </c>
      <c r="N96" s="591"/>
      <c r="O96" s="613">
        <f t="shared" si="40"/>
        <v>70</v>
      </c>
      <c r="P96" s="769" t="s">
        <v>66</v>
      </c>
      <c r="Q96" s="575">
        <v>1</v>
      </c>
      <c r="R96" s="584">
        <f>+IF(Q96="","",(VLOOKUP($C96,'EQUIP RATE SCHEDULE'!$B$11:$F$162,5,FALSE)))</f>
        <v>70</v>
      </c>
      <c r="S96" s="591"/>
      <c r="T96" s="613">
        <f t="shared" si="41"/>
        <v>70</v>
      </c>
      <c r="U96" s="769" t="s">
        <v>66</v>
      </c>
      <c r="V96" s="575">
        <v>1</v>
      </c>
      <c r="W96" s="584">
        <f>+IF(V96="","",(VLOOKUP($C96,'EQUIP RATE SCHEDULE'!$B$11:$F$162,5,FALSE)))</f>
        <v>70</v>
      </c>
      <c r="X96" s="591"/>
      <c r="Y96" s="613">
        <f t="shared" si="42"/>
        <v>70</v>
      </c>
      <c r="Z96" s="769" t="s">
        <v>66</v>
      </c>
      <c r="AA96" s="575">
        <v>1</v>
      </c>
      <c r="AB96" s="584">
        <f>+IF(AA96="","",(VLOOKUP($C96,'EQUIP RATE SCHEDULE'!$B$11:$F$162,5,FALSE)))</f>
        <v>70</v>
      </c>
      <c r="AC96" s="591"/>
      <c r="AD96" s="613">
        <f t="shared" si="43"/>
        <v>70</v>
      </c>
      <c r="AE96" s="769" t="s">
        <v>66</v>
      </c>
      <c r="AF96" s="575">
        <v>1</v>
      </c>
      <c r="AG96" s="584">
        <f>+IF(AF96="","",(VLOOKUP($C96,'EQUIP RATE SCHEDULE'!$B$11:$F$162,5,FALSE)))</f>
        <v>70</v>
      </c>
      <c r="AH96" s="591"/>
      <c r="AI96" s="613">
        <f t="shared" si="44"/>
        <v>70</v>
      </c>
      <c r="AJ96" s="769" t="s">
        <v>66</v>
      </c>
      <c r="AK96" s="575">
        <v>1</v>
      </c>
      <c r="AL96" s="584">
        <f>+IF(AK96="","",(VLOOKUP($C96,'EQUIP RATE SCHEDULE'!$B$11:$F$162,5,FALSE)))</f>
        <v>70</v>
      </c>
      <c r="AM96" s="591"/>
      <c r="AN96" s="613">
        <f t="shared" si="45"/>
        <v>70</v>
      </c>
      <c r="AO96" s="769" t="s">
        <v>66</v>
      </c>
      <c r="AP96" s="575">
        <v>1</v>
      </c>
      <c r="AQ96" s="584">
        <f>+IF(AP96="","",(VLOOKUP($C96,'EQUIP RATE SCHEDULE'!$B$11:$F$162,5,FALSE)))</f>
        <v>70</v>
      </c>
      <c r="AR96" s="591"/>
      <c r="AS96" s="613">
        <f t="shared" si="46"/>
        <v>70</v>
      </c>
      <c r="AT96" s="769" t="s">
        <v>66</v>
      </c>
      <c r="AU96" s="575">
        <v>1</v>
      </c>
      <c r="AV96" s="584">
        <f>+IF(AU96="","",(VLOOKUP($C96,'EQUIP RATE SCHEDULE'!$B$11:$F$162,5,FALSE)))</f>
        <v>70</v>
      </c>
      <c r="AW96" s="591"/>
      <c r="AX96" s="613">
        <f t="shared" si="47"/>
        <v>70</v>
      </c>
      <c r="AY96" s="769" t="s">
        <v>66</v>
      </c>
      <c r="AZ96" s="575">
        <v>1</v>
      </c>
      <c r="BA96" s="584">
        <f>+IF(AZ96="","",(VLOOKUP($C96,'EQUIP RATE SCHEDULE'!$B$11:$F$162,5,FALSE)))</f>
        <v>70</v>
      </c>
      <c r="BB96" s="591"/>
      <c r="BC96" s="613">
        <f t="shared" si="48"/>
        <v>70</v>
      </c>
      <c r="BD96" s="769" t="s">
        <v>66</v>
      </c>
      <c r="BE96" s="575">
        <v>1</v>
      </c>
      <c r="BF96" s="584">
        <f>+IF(BE96="","",(VLOOKUP($C96,'EQUIP RATE SCHEDULE'!$B$11:$F$162,5,FALSE)))</f>
        <v>70</v>
      </c>
      <c r="BG96" s="591"/>
      <c r="BH96" s="613">
        <f t="shared" si="29"/>
        <v>70</v>
      </c>
      <c r="BI96" s="769" t="s">
        <v>66</v>
      </c>
      <c r="BJ96" s="575">
        <v>1</v>
      </c>
      <c r="BK96" s="584">
        <f>+IF(BJ96="","",(VLOOKUP($C96,'EQUIP RATE SCHEDULE'!$B$11:$F$162,5,FALSE)))</f>
        <v>70</v>
      </c>
      <c r="BL96" s="591"/>
      <c r="BM96" s="613">
        <f t="shared" si="30"/>
        <v>70</v>
      </c>
      <c r="BN96" s="769" t="s">
        <v>66</v>
      </c>
      <c r="BO96" s="575">
        <v>1</v>
      </c>
      <c r="BP96" s="584">
        <f>+IF(BO96="","",(VLOOKUP($C96,'EQUIP RATE SCHEDULE'!$B$11:$F$162,5,FALSE)))</f>
        <v>70</v>
      </c>
      <c r="BQ96" s="591"/>
      <c r="BR96" s="613">
        <f t="shared" si="31"/>
        <v>70</v>
      </c>
      <c r="BS96" s="769" t="s">
        <v>66</v>
      </c>
      <c r="BT96" s="575">
        <v>1</v>
      </c>
      <c r="BU96" s="584">
        <f>+IF(BT96="","",(VLOOKUP($C96,'EQUIP RATE SCHEDULE'!$B$11:$F$162,5,FALSE)))</f>
        <v>70</v>
      </c>
      <c r="BV96" s="591"/>
      <c r="BW96" s="613">
        <f t="shared" si="32"/>
        <v>70</v>
      </c>
      <c r="BX96" s="769" t="s">
        <v>66</v>
      </c>
      <c r="BY96" s="575">
        <v>1</v>
      </c>
      <c r="BZ96" s="584">
        <f>+IF(BY96="","",(VLOOKUP($C96,'EQUIP RATE SCHEDULE'!$B$11:$F$162,5,FALSE)))</f>
        <v>70</v>
      </c>
      <c r="CA96" s="591"/>
      <c r="CB96" s="613">
        <f>+IF(CA$7="","",IF(BY96="","",(IF(CA96="",BZ96*BY96,CA96*BY96))))</f>
        <v>70</v>
      </c>
      <c r="CC96" s="769" t="s">
        <v>66</v>
      </c>
      <c r="CD96" s="575">
        <v>1</v>
      </c>
      <c r="CE96" s="584">
        <f>+IF(CD96="","",(VLOOKUP($C96,'EQUIP RATE SCHEDULE'!$B$11:$F$162,5,FALSE)))</f>
        <v>70</v>
      </c>
      <c r="CF96" s="591"/>
      <c r="CG96" s="613">
        <f t="shared" si="34"/>
        <v>70</v>
      </c>
      <c r="CH96" s="769" t="s">
        <v>66</v>
      </c>
      <c r="CI96" s="575">
        <v>1</v>
      </c>
      <c r="CJ96" s="584">
        <f>+IF(CI96="","",(VLOOKUP($C96,'EQUIP RATE SCHEDULE'!$B$11:$F$162,5,FALSE)))</f>
        <v>70</v>
      </c>
      <c r="CK96" s="591"/>
      <c r="CL96" s="613">
        <f t="shared" si="35"/>
        <v>70</v>
      </c>
      <c r="CM96" s="769" t="s">
        <v>66</v>
      </c>
      <c r="CN96" s="575">
        <v>1</v>
      </c>
      <c r="CO96" s="584">
        <f>+IF(CN96="","",(VLOOKUP($C96,'EQUIP RATE SCHEDULE'!$B$11:$F$162,5,FALSE)))</f>
        <v>70</v>
      </c>
      <c r="CP96" s="591"/>
      <c r="CQ96" s="613">
        <f t="shared" si="36"/>
        <v>70</v>
      </c>
      <c r="CR96" s="769" t="s">
        <v>66</v>
      </c>
      <c r="CS96" s="575">
        <v>1</v>
      </c>
      <c r="CT96" s="584">
        <f>+IF(CS96="","",(VLOOKUP($C96,'EQUIP RATE SCHEDULE'!$B$11:$F$162,5,FALSE)))</f>
        <v>70</v>
      </c>
      <c r="CU96" s="591"/>
      <c r="CV96" s="613">
        <f t="shared" si="37"/>
        <v>70</v>
      </c>
      <c r="CW96" s="769" t="s">
        <v>66</v>
      </c>
      <c r="CX96" s="575">
        <v>1</v>
      </c>
      <c r="CY96" s="584">
        <f>+IF(CX96="","",(VLOOKUP($C96,'EQUIP RATE SCHEDULE'!$B$11:$F$162,5,FALSE)))</f>
        <v>70</v>
      </c>
      <c r="CZ96" s="591"/>
      <c r="DA96" s="613">
        <f t="shared" si="38"/>
        <v>70</v>
      </c>
    </row>
    <row r="97" spans="1:105" thickBot="1" x14ac:dyDescent="0.3">
      <c r="A97" s="1499"/>
      <c r="B97" s="810" t="s">
        <v>522</v>
      </c>
      <c r="C97" s="781" t="s">
        <v>1089</v>
      </c>
      <c r="D97" s="1495"/>
      <c r="E97" s="1496"/>
      <c r="F97" s="771" t="s">
        <v>67</v>
      </c>
      <c r="G97" s="577">
        <v>1</v>
      </c>
      <c r="H97" s="594">
        <f>+IF(G97="","",(VLOOKUP($C97,'EQUIP RATE SCHEDULE'!$B$11:$F$162,5,FALSE)))</f>
        <v>210</v>
      </c>
      <c r="I97" s="593"/>
      <c r="J97" s="756">
        <f t="shared" si="39"/>
        <v>210</v>
      </c>
      <c r="K97" s="771" t="s">
        <v>67</v>
      </c>
      <c r="L97" s="577">
        <v>1</v>
      </c>
      <c r="M97" s="594">
        <f>+IF(L97="","",(VLOOKUP($C97,'EQUIP RATE SCHEDULE'!$B$11:$F$162,5,FALSE)))</f>
        <v>210</v>
      </c>
      <c r="N97" s="593"/>
      <c r="O97" s="756">
        <f t="shared" si="40"/>
        <v>210</v>
      </c>
      <c r="P97" s="771" t="s">
        <v>67</v>
      </c>
      <c r="Q97" s="577">
        <v>1</v>
      </c>
      <c r="R97" s="594">
        <f>+IF(Q97="","",(VLOOKUP($C97,'EQUIP RATE SCHEDULE'!$B$11:$F$162,5,FALSE)))</f>
        <v>210</v>
      </c>
      <c r="S97" s="593"/>
      <c r="T97" s="756">
        <f t="shared" si="41"/>
        <v>210</v>
      </c>
      <c r="U97" s="771" t="s">
        <v>67</v>
      </c>
      <c r="V97" s="577">
        <v>1</v>
      </c>
      <c r="W97" s="594">
        <f>+IF(V97="","",(VLOOKUP($C97,'EQUIP RATE SCHEDULE'!$B$11:$F$162,5,FALSE)))</f>
        <v>210</v>
      </c>
      <c r="X97" s="593"/>
      <c r="Y97" s="756">
        <f t="shared" si="42"/>
        <v>210</v>
      </c>
      <c r="Z97" s="771" t="s">
        <v>67</v>
      </c>
      <c r="AA97" s="577">
        <v>1</v>
      </c>
      <c r="AB97" s="594">
        <f>+IF(AA97="","",(VLOOKUP($C97,'EQUIP RATE SCHEDULE'!$B$11:$F$162,5,FALSE)))</f>
        <v>210</v>
      </c>
      <c r="AC97" s="593"/>
      <c r="AD97" s="756">
        <f t="shared" si="43"/>
        <v>210</v>
      </c>
      <c r="AE97" s="771" t="s">
        <v>67</v>
      </c>
      <c r="AF97" s="577">
        <v>1</v>
      </c>
      <c r="AG97" s="594">
        <f>+IF(AF97="","",(VLOOKUP($C97,'EQUIP RATE SCHEDULE'!$B$11:$F$162,5,FALSE)))</f>
        <v>210</v>
      </c>
      <c r="AH97" s="593"/>
      <c r="AI97" s="756">
        <f t="shared" si="44"/>
        <v>210</v>
      </c>
      <c r="AJ97" s="771" t="s">
        <v>67</v>
      </c>
      <c r="AK97" s="577">
        <v>1</v>
      </c>
      <c r="AL97" s="594">
        <f>+IF(AK97="","",(VLOOKUP($C97,'EQUIP RATE SCHEDULE'!$B$11:$F$162,5,FALSE)))</f>
        <v>210</v>
      </c>
      <c r="AM97" s="593"/>
      <c r="AN97" s="756">
        <f t="shared" si="45"/>
        <v>210</v>
      </c>
      <c r="AO97" s="771" t="s">
        <v>67</v>
      </c>
      <c r="AP97" s="577">
        <v>1</v>
      </c>
      <c r="AQ97" s="594">
        <f>+IF(AP97="","",(VLOOKUP($C97,'EQUIP RATE SCHEDULE'!$B$11:$F$162,5,FALSE)))</f>
        <v>210</v>
      </c>
      <c r="AR97" s="593"/>
      <c r="AS97" s="756">
        <f t="shared" si="46"/>
        <v>210</v>
      </c>
      <c r="AT97" s="771" t="s">
        <v>67</v>
      </c>
      <c r="AU97" s="577">
        <v>1</v>
      </c>
      <c r="AV97" s="594">
        <f>+IF(AU97="","",(VLOOKUP($C97,'EQUIP RATE SCHEDULE'!$B$11:$F$162,5,FALSE)))</f>
        <v>210</v>
      </c>
      <c r="AW97" s="593"/>
      <c r="AX97" s="756">
        <f t="shared" si="47"/>
        <v>210</v>
      </c>
      <c r="AY97" s="771" t="s">
        <v>67</v>
      </c>
      <c r="AZ97" s="577">
        <v>1</v>
      </c>
      <c r="BA97" s="594">
        <f>+IF(AZ97="","",(VLOOKUP($C97,'EQUIP RATE SCHEDULE'!$B$11:$F$162,5,FALSE)))</f>
        <v>210</v>
      </c>
      <c r="BB97" s="593"/>
      <c r="BC97" s="756">
        <f t="shared" si="48"/>
        <v>210</v>
      </c>
      <c r="BD97" s="771" t="s">
        <v>67</v>
      </c>
      <c r="BE97" s="577">
        <v>1</v>
      </c>
      <c r="BF97" s="594">
        <f>+IF(BE97="","",(VLOOKUP($C97,'EQUIP RATE SCHEDULE'!$B$11:$F$162,5,FALSE)))</f>
        <v>210</v>
      </c>
      <c r="BG97" s="593"/>
      <c r="BH97" s="756">
        <f t="shared" si="29"/>
        <v>210</v>
      </c>
      <c r="BI97" s="771" t="s">
        <v>67</v>
      </c>
      <c r="BJ97" s="577">
        <v>1</v>
      </c>
      <c r="BK97" s="594">
        <f>+IF(BJ97="","",(VLOOKUP($C97,'EQUIP RATE SCHEDULE'!$B$11:$F$162,5,FALSE)))</f>
        <v>210</v>
      </c>
      <c r="BL97" s="593"/>
      <c r="BM97" s="756">
        <f t="shared" si="30"/>
        <v>210</v>
      </c>
      <c r="BN97" s="771" t="s">
        <v>67</v>
      </c>
      <c r="BO97" s="577">
        <v>1</v>
      </c>
      <c r="BP97" s="594">
        <f>+IF(BO97="","",(VLOOKUP($C97,'EQUIP RATE SCHEDULE'!$B$11:$F$162,5,FALSE)))</f>
        <v>210</v>
      </c>
      <c r="BQ97" s="593"/>
      <c r="BR97" s="756">
        <f t="shared" si="31"/>
        <v>210</v>
      </c>
      <c r="BS97" s="771" t="s">
        <v>67</v>
      </c>
      <c r="BT97" s="577">
        <v>1</v>
      </c>
      <c r="BU97" s="594">
        <f>+IF(BT97="","",(VLOOKUP($C97,'EQUIP RATE SCHEDULE'!$B$11:$F$162,5,FALSE)))</f>
        <v>210</v>
      </c>
      <c r="BV97" s="593"/>
      <c r="BW97" s="756">
        <f t="shared" si="32"/>
        <v>210</v>
      </c>
      <c r="BX97" s="771" t="s">
        <v>67</v>
      </c>
      <c r="BY97" s="577">
        <v>1</v>
      </c>
      <c r="BZ97" s="594">
        <f>+IF(BY97="","",(VLOOKUP($C97,'EQUIP RATE SCHEDULE'!$B$11:$F$162,5,FALSE)))</f>
        <v>210</v>
      </c>
      <c r="CA97" s="593"/>
      <c r="CB97" s="756">
        <f t="shared" si="33"/>
        <v>210</v>
      </c>
      <c r="CC97" s="771" t="s">
        <v>67</v>
      </c>
      <c r="CD97" s="577">
        <v>1</v>
      </c>
      <c r="CE97" s="594">
        <f>+IF(CD97="","",(VLOOKUP($C97,'EQUIP RATE SCHEDULE'!$B$11:$F$162,5,FALSE)))</f>
        <v>210</v>
      </c>
      <c r="CF97" s="593"/>
      <c r="CG97" s="756">
        <f t="shared" si="34"/>
        <v>210</v>
      </c>
      <c r="CH97" s="771" t="s">
        <v>67</v>
      </c>
      <c r="CI97" s="577">
        <v>1</v>
      </c>
      <c r="CJ97" s="594">
        <f>+IF(CI97="","",(VLOOKUP($C97,'EQUIP RATE SCHEDULE'!$B$11:$F$162,5,FALSE)))</f>
        <v>210</v>
      </c>
      <c r="CK97" s="593"/>
      <c r="CL97" s="756">
        <f t="shared" si="35"/>
        <v>210</v>
      </c>
      <c r="CM97" s="771" t="s">
        <v>67</v>
      </c>
      <c r="CN97" s="577">
        <v>1</v>
      </c>
      <c r="CO97" s="594">
        <f>+IF(CN97="","",(VLOOKUP($C97,'EQUIP RATE SCHEDULE'!$B$11:$F$162,5,FALSE)))</f>
        <v>210</v>
      </c>
      <c r="CP97" s="593"/>
      <c r="CQ97" s="756">
        <f t="shared" si="36"/>
        <v>210</v>
      </c>
      <c r="CR97" s="771" t="s">
        <v>67</v>
      </c>
      <c r="CS97" s="577">
        <v>1</v>
      </c>
      <c r="CT97" s="594">
        <f>+IF(CS97="","",(VLOOKUP($C97,'EQUIP RATE SCHEDULE'!$B$11:$F$162,5,FALSE)))</f>
        <v>210</v>
      </c>
      <c r="CU97" s="593"/>
      <c r="CV97" s="756">
        <f t="shared" si="37"/>
        <v>210</v>
      </c>
      <c r="CW97" s="771" t="s">
        <v>67</v>
      </c>
      <c r="CX97" s="577">
        <v>1</v>
      </c>
      <c r="CY97" s="594">
        <f>+IF(CX97="","",(VLOOKUP($C97,'EQUIP RATE SCHEDULE'!$B$11:$F$162,5,FALSE)))</f>
        <v>210</v>
      </c>
      <c r="CZ97" s="593"/>
      <c r="DA97" s="756">
        <f t="shared" si="38"/>
        <v>210</v>
      </c>
    </row>
    <row r="98" spans="1:105" ht="15" x14ac:dyDescent="0.25">
      <c r="A98" s="1497" t="s">
        <v>1216</v>
      </c>
      <c r="B98" s="809" t="s">
        <v>522</v>
      </c>
      <c r="C98" s="775" t="s">
        <v>1091</v>
      </c>
      <c r="D98" s="1493" t="s">
        <v>1092</v>
      </c>
      <c r="E98" s="1494" t="s">
        <v>1093</v>
      </c>
      <c r="F98" s="772" t="s">
        <v>66</v>
      </c>
      <c r="G98" s="576">
        <v>1</v>
      </c>
      <c r="H98" s="583">
        <f>+IF(G98="","",(VLOOKUP($C98,'EQUIP RATE SCHEDULE'!$B$11:$F$162,5,FALSE)))</f>
        <v>45</v>
      </c>
      <c r="I98" s="615"/>
      <c r="J98" s="589">
        <f t="shared" si="39"/>
        <v>45</v>
      </c>
      <c r="K98" s="772" t="s">
        <v>66</v>
      </c>
      <c r="L98" s="576">
        <v>1</v>
      </c>
      <c r="M98" s="583">
        <f>+IF(L98="","",(VLOOKUP($C98,'EQUIP RATE SCHEDULE'!$B$11:$F$162,5,FALSE)))</f>
        <v>45</v>
      </c>
      <c r="N98" s="615"/>
      <c r="O98" s="589">
        <f t="shared" si="40"/>
        <v>45</v>
      </c>
      <c r="P98" s="772" t="s">
        <v>66</v>
      </c>
      <c r="Q98" s="576">
        <v>1</v>
      </c>
      <c r="R98" s="587">
        <f>+IF(Q98="","",(VLOOKUP($C98,'EQUIP RATE SCHEDULE'!$B$11:$F$162,5,FALSE)))</f>
        <v>45</v>
      </c>
      <c r="S98" s="590"/>
      <c r="T98" s="588">
        <f t="shared" si="41"/>
        <v>45</v>
      </c>
      <c r="U98" s="772" t="s">
        <v>66</v>
      </c>
      <c r="V98" s="576">
        <v>1</v>
      </c>
      <c r="W98" s="587">
        <f>+IF(V98="","",(VLOOKUP($C98,'EQUIP RATE SCHEDULE'!$B$11:$F$162,5,FALSE)))</f>
        <v>45</v>
      </c>
      <c r="X98" s="590"/>
      <c r="Y98" s="588">
        <f t="shared" si="42"/>
        <v>45</v>
      </c>
      <c r="Z98" s="772" t="s">
        <v>66</v>
      </c>
      <c r="AA98" s="576">
        <v>1</v>
      </c>
      <c r="AB98" s="587">
        <f>+IF(AA98="","",(VLOOKUP($C98,'EQUIP RATE SCHEDULE'!$B$11:$F$162,5,FALSE)))</f>
        <v>45</v>
      </c>
      <c r="AC98" s="590"/>
      <c r="AD98" s="588">
        <f t="shared" si="43"/>
        <v>45</v>
      </c>
      <c r="AE98" s="772" t="s">
        <v>66</v>
      </c>
      <c r="AF98" s="576">
        <v>1</v>
      </c>
      <c r="AG98" s="587">
        <f>+IF(AF98="","",(VLOOKUP($C98,'EQUIP RATE SCHEDULE'!$B$11:$F$162,5,FALSE)))</f>
        <v>45</v>
      </c>
      <c r="AH98" s="590"/>
      <c r="AI98" s="588">
        <f t="shared" si="44"/>
        <v>45</v>
      </c>
      <c r="AJ98" s="772" t="s">
        <v>66</v>
      </c>
      <c r="AK98" s="576">
        <v>1</v>
      </c>
      <c r="AL98" s="587">
        <f>+IF(AK98="","",(VLOOKUP($C98,'EQUIP RATE SCHEDULE'!$B$11:$F$162,5,FALSE)))</f>
        <v>45</v>
      </c>
      <c r="AM98" s="590"/>
      <c r="AN98" s="588">
        <f t="shared" si="45"/>
        <v>45</v>
      </c>
      <c r="AO98" s="772" t="s">
        <v>66</v>
      </c>
      <c r="AP98" s="576">
        <v>1</v>
      </c>
      <c r="AQ98" s="587">
        <f>+IF(AP98="","",(VLOOKUP($C98,'EQUIP RATE SCHEDULE'!$B$11:$F$162,5,FALSE)))</f>
        <v>45</v>
      </c>
      <c r="AR98" s="590"/>
      <c r="AS98" s="588">
        <f t="shared" si="46"/>
        <v>45</v>
      </c>
      <c r="AT98" s="772" t="s">
        <v>66</v>
      </c>
      <c r="AU98" s="576">
        <v>1</v>
      </c>
      <c r="AV98" s="587">
        <f>+IF(AU98="","",(VLOOKUP($C98,'EQUIP RATE SCHEDULE'!$B$11:$F$162,5,FALSE)))</f>
        <v>45</v>
      </c>
      <c r="AW98" s="590"/>
      <c r="AX98" s="588">
        <f t="shared" si="47"/>
        <v>45</v>
      </c>
      <c r="AY98" s="772" t="s">
        <v>66</v>
      </c>
      <c r="AZ98" s="576">
        <v>1</v>
      </c>
      <c r="BA98" s="587">
        <f>+IF(AZ98="","",(VLOOKUP($C98,'EQUIP RATE SCHEDULE'!$B$11:$F$162,5,FALSE)))</f>
        <v>45</v>
      </c>
      <c r="BB98" s="590"/>
      <c r="BC98" s="588">
        <f t="shared" si="48"/>
        <v>45</v>
      </c>
      <c r="BD98" s="772" t="s">
        <v>66</v>
      </c>
      <c r="BE98" s="576">
        <v>1</v>
      </c>
      <c r="BF98" s="587">
        <f>+IF(BE98="","",(VLOOKUP($C98,'EQUIP RATE SCHEDULE'!$B$11:$F$162,5,FALSE)))</f>
        <v>45</v>
      </c>
      <c r="BG98" s="590"/>
      <c r="BH98" s="588">
        <f t="shared" si="29"/>
        <v>45</v>
      </c>
      <c r="BI98" s="772" t="s">
        <v>66</v>
      </c>
      <c r="BJ98" s="576">
        <v>1</v>
      </c>
      <c r="BK98" s="587">
        <f>+IF(BJ98="","",(VLOOKUP($C98,'EQUIP RATE SCHEDULE'!$B$11:$F$162,5,FALSE)))</f>
        <v>45</v>
      </c>
      <c r="BL98" s="590"/>
      <c r="BM98" s="588">
        <f t="shared" si="30"/>
        <v>45</v>
      </c>
      <c r="BN98" s="772" t="s">
        <v>66</v>
      </c>
      <c r="BO98" s="576">
        <v>1</v>
      </c>
      <c r="BP98" s="587">
        <f>+IF(BO98="","",(VLOOKUP($C98,'EQUIP RATE SCHEDULE'!$B$11:$F$162,5,FALSE)))</f>
        <v>45</v>
      </c>
      <c r="BQ98" s="590"/>
      <c r="BR98" s="588">
        <f t="shared" si="31"/>
        <v>45</v>
      </c>
      <c r="BS98" s="772" t="s">
        <v>66</v>
      </c>
      <c r="BT98" s="576">
        <v>1</v>
      </c>
      <c r="BU98" s="587">
        <f>+IF(BT98="","",(VLOOKUP($C98,'EQUIP RATE SCHEDULE'!$B$11:$F$162,5,FALSE)))</f>
        <v>45</v>
      </c>
      <c r="BV98" s="590"/>
      <c r="BW98" s="588">
        <f t="shared" si="32"/>
        <v>45</v>
      </c>
      <c r="BX98" s="772" t="s">
        <v>66</v>
      </c>
      <c r="BY98" s="576">
        <v>1</v>
      </c>
      <c r="BZ98" s="587">
        <f>+IF(BY98="","",(VLOOKUP($C98,'EQUIP RATE SCHEDULE'!$B$11:$F$162,5,FALSE)))</f>
        <v>45</v>
      </c>
      <c r="CA98" s="590"/>
      <c r="CB98" s="588">
        <f t="shared" si="33"/>
        <v>45</v>
      </c>
      <c r="CC98" s="772" t="s">
        <v>66</v>
      </c>
      <c r="CD98" s="576">
        <v>1</v>
      </c>
      <c r="CE98" s="587">
        <f>+IF(CD98="","",(VLOOKUP($C98,'EQUIP RATE SCHEDULE'!$B$11:$F$162,5,FALSE)))</f>
        <v>45</v>
      </c>
      <c r="CF98" s="590"/>
      <c r="CG98" s="588">
        <f t="shared" si="34"/>
        <v>45</v>
      </c>
      <c r="CH98" s="772" t="s">
        <v>66</v>
      </c>
      <c r="CI98" s="576">
        <v>1</v>
      </c>
      <c r="CJ98" s="587">
        <f>+IF(CI98="","",(VLOOKUP($C98,'EQUIP RATE SCHEDULE'!$B$11:$F$162,5,FALSE)))</f>
        <v>45</v>
      </c>
      <c r="CK98" s="590"/>
      <c r="CL98" s="588">
        <f t="shared" si="35"/>
        <v>45</v>
      </c>
      <c r="CM98" s="772" t="s">
        <v>66</v>
      </c>
      <c r="CN98" s="576">
        <v>1</v>
      </c>
      <c r="CO98" s="587">
        <f>+IF(CN98="","",(VLOOKUP($C98,'EQUIP RATE SCHEDULE'!$B$11:$F$162,5,FALSE)))</f>
        <v>45</v>
      </c>
      <c r="CP98" s="590"/>
      <c r="CQ98" s="588">
        <f t="shared" si="36"/>
        <v>45</v>
      </c>
      <c r="CR98" s="772" t="s">
        <v>66</v>
      </c>
      <c r="CS98" s="576">
        <v>1</v>
      </c>
      <c r="CT98" s="587">
        <f>+IF(CS98="","",(VLOOKUP($C98,'EQUIP RATE SCHEDULE'!$B$11:$F$162,5,FALSE)))</f>
        <v>45</v>
      </c>
      <c r="CU98" s="590"/>
      <c r="CV98" s="588">
        <f t="shared" si="37"/>
        <v>45</v>
      </c>
      <c r="CW98" s="772" t="s">
        <v>66</v>
      </c>
      <c r="CX98" s="576">
        <v>1</v>
      </c>
      <c r="CY98" s="587">
        <f>+IF(CX98="","",(VLOOKUP($C98,'EQUIP RATE SCHEDULE'!$B$11:$F$162,5,FALSE)))</f>
        <v>45</v>
      </c>
      <c r="CZ98" s="590"/>
      <c r="DA98" s="588">
        <f t="shared" si="38"/>
        <v>45</v>
      </c>
    </row>
    <row r="99" spans="1:105" ht="15" x14ac:dyDescent="0.25">
      <c r="A99" s="1498"/>
      <c r="B99" s="809" t="s">
        <v>522</v>
      </c>
      <c r="C99" s="776" t="s">
        <v>1094</v>
      </c>
      <c r="D99" s="1492"/>
      <c r="E99" s="1490"/>
      <c r="F99" s="769" t="s">
        <v>67</v>
      </c>
      <c r="G99" s="575">
        <v>1</v>
      </c>
      <c r="H99" s="584">
        <f>+IF(G99="","",(VLOOKUP($C99,'EQUIP RATE SCHEDULE'!$B$11:$F$162,5,FALSE)))</f>
        <v>135</v>
      </c>
      <c r="I99" s="591"/>
      <c r="J99" s="613">
        <f t="shared" si="39"/>
        <v>135</v>
      </c>
      <c r="K99" s="769" t="s">
        <v>67</v>
      </c>
      <c r="L99" s="575">
        <v>1</v>
      </c>
      <c r="M99" s="584">
        <f>+IF(L99="","",(VLOOKUP($C99,'EQUIP RATE SCHEDULE'!$B$11:$F$162,5,FALSE)))</f>
        <v>135</v>
      </c>
      <c r="N99" s="591"/>
      <c r="O99" s="613">
        <f t="shared" si="40"/>
        <v>135</v>
      </c>
      <c r="P99" s="769" t="s">
        <v>67</v>
      </c>
      <c r="Q99" s="575">
        <v>1</v>
      </c>
      <c r="R99" s="584">
        <f>+IF(Q99="","",(VLOOKUP($C99,'EQUIP RATE SCHEDULE'!$B$11:$F$162,5,FALSE)))</f>
        <v>135</v>
      </c>
      <c r="S99" s="591"/>
      <c r="T99" s="613">
        <f t="shared" si="41"/>
        <v>135</v>
      </c>
      <c r="U99" s="769" t="s">
        <v>67</v>
      </c>
      <c r="V99" s="575">
        <v>1</v>
      </c>
      <c r="W99" s="584">
        <f>+IF(V99="","",(VLOOKUP($C99,'EQUIP RATE SCHEDULE'!$B$11:$F$162,5,FALSE)))</f>
        <v>135</v>
      </c>
      <c r="X99" s="591"/>
      <c r="Y99" s="613">
        <f t="shared" si="42"/>
        <v>135</v>
      </c>
      <c r="Z99" s="769" t="s">
        <v>67</v>
      </c>
      <c r="AA99" s="575">
        <v>1</v>
      </c>
      <c r="AB99" s="584">
        <f>+IF(AA99="","",(VLOOKUP($C99,'EQUIP RATE SCHEDULE'!$B$11:$F$162,5,FALSE)))</f>
        <v>135</v>
      </c>
      <c r="AC99" s="591"/>
      <c r="AD99" s="613">
        <f t="shared" si="43"/>
        <v>135</v>
      </c>
      <c r="AE99" s="769" t="s">
        <v>67</v>
      </c>
      <c r="AF99" s="575">
        <v>1</v>
      </c>
      <c r="AG99" s="584">
        <f>+IF(AF99="","",(VLOOKUP($C99,'EQUIP RATE SCHEDULE'!$B$11:$F$162,5,FALSE)))</f>
        <v>135</v>
      </c>
      <c r="AH99" s="591"/>
      <c r="AI99" s="613">
        <f t="shared" si="44"/>
        <v>135</v>
      </c>
      <c r="AJ99" s="769" t="s">
        <v>67</v>
      </c>
      <c r="AK99" s="575">
        <v>1</v>
      </c>
      <c r="AL99" s="584">
        <f>+IF(AK99="","",(VLOOKUP($C99,'EQUIP RATE SCHEDULE'!$B$11:$F$162,5,FALSE)))</f>
        <v>135</v>
      </c>
      <c r="AM99" s="591"/>
      <c r="AN99" s="613">
        <f t="shared" si="45"/>
        <v>135</v>
      </c>
      <c r="AO99" s="769" t="s">
        <v>67</v>
      </c>
      <c r="AP99" s="575">
        <v>1</v>
      </c>
      <c r="AQ99" s="584">
        <f>+IF(AP99="","",(VLOOKUP($C99,'EQUIP RATE SCHEDULE'!$B$11:$F$162,5,FALSE)))</f>
        <v>135</v>
      </c>
      <c r="AR99" s="591"/>
      <c r="AS99" s="613">
        <f t="shared" si="46"/>
        <v>135</v>
      </c>
      <c r="AT99" s="769" t="s">
        <v>67</v>
      </c>
      <c r="AU99" s="575">
        <v>1</v>
      </c>
      <c r="AV99" s="584">
        <f>+IF(AU99="","",(VLOOKUP($C99,'EQUIP RATE SCHEDULE'!$B$11:$F$162,5,FALSE)))</f>
        <v>135</v>
      </c>
      <c r="AW99" s="591"/>
      <c r="AX99" s="613">
        <f t="shared" si="47"/>
        <v>135</v>
      </c>
      <c r="AY99" s="769" t="s">
        <v>67</v>
      </c>
      <c r="AZ99" s="575">
        <v>1</v>
      </c>
      <c r="BA99" s="584">
        <f>+IF(AZ99="","",(VLOOKUP($C99,'EQUIP RATE SCHEDULE'!$B$11:$F$162,5,FALSE)))</f>
        <v>135</v>
      </c>
      <c r="BB99" s="591"/>
      <c r="BC99" s="613">
        <f t="shared" si="48"/>
        <v>135</v>
      </c>
      <c r="BD99" s="769" t="s">
        <v>67</v>
      </c>
      <c r="BE99" s="575">
        <v>1</v>
      </c>
      <c r="BF99" s="584">
        <f>+IF(BE99="","",(VLOOKUP($C99,'EQUIP RATE SCHEDULE'!$B$11:$F$162,5,FALSE)))</f>
        <v>135</v>
      </c>
      <c r="BG99" s="591"/>
      <c r="BH99" s="613">
        <f t="shared" si="29"/>
        <v>135</v>
      </c>
      <c r="BI99" s="769" t="s">
        <v>67</v>
      </c>
      <c r="BJ99" s="575">
        <v>1</v>
      </c>
      <c r="BK99" s="584">
        <f>+IF(BJ99="","",(VLOOKUP($C99,'EQUIP RATE SCHEDULE'!$B$11:$F$162,5,FALSE)))</f>
        <v>135</v>
      </c>
      <c r="BL99" s="591"/>
      <c r="BM99" s="613">
        <f t="shared" si="30"/>
        <v>135</v>
      </c>
      <c r="BN99" s="769" t="s">
        <v>67</v>
      </c>
      <c r="BO99" s="575">
        <v>1</v>
      </c>
      <c r="BP99" s="584">
        <f>+IF(BO99="","",(VLOOKUP($C99,'EQUIP RATE SCHEDULE'!$B$11:$F$162,5,FALSE)))</f>
        <v>135</v>
      </c>
      <c r="BQ99" s="591"/>
      <c r="BR99" s="613">
        <f t="shared" si="31"/>
        <v>135</v>
      </c>
      <c r="BS99" s="769" t="s">
        <v>67</v>
      </c>
      <c r="BT99" s="575">
        <v>1</v>
      </c>
      <c r="BU99" s="584">
        <f>+IF(BT99="","",(VLOOKUP($C99,'EQUIP RATE SCHEDULE'!$B$11:$F$162,5,FALSE)))</f>
        <v>135</v>
      </c>
      <c r="BV99" s="591"/>
      <c r="BW99" s="613">
        <f t="shared" si="32"/>
        <v>135</v>
      </c>
      <c r="BX99" s="769" t="s">
        <v>67</v>
      </c>
      <c r="BY99" s="575">
        <v>1</v>
      </c>
      <c r="BZ99" s="584">
        <f>+IF(BY99="","",(VLOOKUP($C99,'EQUIP RATE SCHEDULE'!$B$11:$F$162,5,FALSE)))</f>
        <v>135</v>
      </c>
      <c r="CA99" s="591"/>
      <c r="CB99" s="613">
        <f t="shared" si="33"/>
        <v>135</v>
      </c>
      <c r="CC99" s="769" t="s">
        <v>67</v>
      </c>
      <c r="CD99" s="575"/>
      <c r="CE99" s="584" t="str">
        <f>+IF(CD99="","",(VLOOKUP($C99,'EQUIP RATE SCHEDULE'!$B$11:$F$162,5,FALSE)))</f>
        <v/>
      </c>
      <c r="CF99" s="591"/>
      <c r="CG99" s="613" t="str">
        <f t="shared" si="34"/>
        <v/>
      </c>
      <c r="CH99" s="769" t="s">
        <v>67</v>
      </c>
      <c r="CI99" s="575">
        <v>1</v>
      </c>
      <c r="CJ99" s="584">
        <f>+IF(CI99="","",(VLOOKUP($C99,'EQUIP RATE SCHEDULE'!$B$11:$F$162,5,FALSE)))</f>
        <v>135</v>
      </c>
      <c r="CK99" s="591"/>
      <c r="CL99" s="613">
        <f t="shared" si="35"/>
        <v>135</v>
      </c>
      <c r="CM99" s="769" t="s">
        <v>67</v>
      </c>
      <c r="CN99" s="575">
        <v>1</v>
      </c>
      <c r="CO99" s="584">
        <f>+IF(CN99="","",(VLOOKUP($C99,'EQUIP RATE SCHEDULE'!$B$11:$F$162,5,FALSE)))</f>
        <v>135</v>
      </c>
      <c r="CP99" s="591"/>
      <c r="CQ99" s="613">
        <f t="shared" si="36"/>
        <v>135</v>
      </c>
      <c r="CR99" s="769" t="s">
        <v>67</v>
      </c>
      <c r="CS99" s="575">
        <v>1</v>
      </c>
      <c r="CT99" s="584">
        <f>+IF(CS99="","",(VLOOKUP($C99,'EQUIP RATE SCHEDULE'!$B$11:$F$162,5,FALSE)))</f>
        <v>135</v>
      </c>
      <c r="CU99" s="591"/>
      <c r="CV99" s="613">
        <f t="shared" si="37"/>
        <v>135</v>
      </c>
      <c r="CW99" s="769" t="s">
        <v>67</v>
      </c>
      <c r="CX99" s="575">
        <v>1</v>
      </c>
      <c r="CY99" s="584">
        <f>+IF(CX99="","",(VLOOKUP($C99,'EQUIP RATE SCHEDULE'!$B$11:$F$162,5,FALSE)))</f>
        <v>135</v>
      </c>
      <c r="CZ99" s="591"/>
      <c r="DA99" s="613">
        <f t="shared" si="38"/>
        <v>135</v>
      </c>
    </row>
    <row r="100" spans="1:105" ht="15" x14ac:dyDescent="0.25">
      <c r="A100" s="1498"/>
      <c r="B100" s="809" t="s">
        <v>522</v>
      </c>
      <c r="C100" s="776" t="s">
        <v>1095</v>
      </c>
      <c r="D100" s="1491" t="s">
        <v>60</v>
      </c>
      <c r="E100" s="1488" t="s">
        <v>1096</v>
      </c>
      <c r="F100" s="769" t="s">
        <v>66</v>
      </c>
      <c r="G100" s="575">
        <v>1</v>
      </c>
      <c r="H100" s="584">
        <f>+IF(G100="","",(VLOOKUP($C100,'EQUIP RATE SCHEDULE'!$B$11:$F$162,5,FALSE)))</f>
        <v>80</v>
      </c>
      <c r="I100" s="591"/>
      <c r="J100" s="613">
        <f t="shared" si="39"/>
        <v>80</v>
      </c>
      <c r="K100" s="769" t="s">
        <v>66</v>
      </c>
      <c r="L100" s="575">
        <v>1</v>
      </c>
      <c r="M100" s="584">
        <f>+IF(L100="","",(VLOOKUP($C100,'EQUIP RATE SCHEDULE'!$B$11:$F$162,5,FALSE)))</f>
        <v>80</v>
      </c>
      <c r="N100" s="591"/>
      <c r="O100" s="613">
        <f t="shared" si="40"/>
        <v>80</v>
      </c>
      <c r="P100" s="769" t="s">
        <v>66</v>
      </c>
      <c r="Q100" s="575">
        <v>1</v>
      </c>
      <c r="R100" s="584">
        <f>+IF(Q100="","",(VLOOKUP($C100,'EQUIP RATE SCHEDULE'!$B$11:$F$162,5,FALSE)))</f>
        <v>80</v>
      </c>
      <c r="S100" s="591"/>
      <c r="T100" s="613">
        <f t="shared" si="41"/>
        <v>80</v>
      </c>
      <c r="U100" s="769" t="s">
        <v>66</v>
      </c>
      <c r="V100" s="575">
        <v>1</v>
      </c>
      <c r="W100" s="584">
        <f>+IF(V100="","",(VLOOKUP($C100,'EQUIP RATE SCHEDULE'!$B$11:$F$162,5,FALSE)))</f>
        <v>80</v>
      </c>
      <c r="X100" s="591"/>
      <c r="Y100" s="613">
        <f t="shared" si="42"/>
        <v>80</v>
      </c>
      <c r="Z100" s="769" t="s">
        <v>66</v>
      </c>
      <c r="AA100" s="575">
        <v>1</v>
      </c>
      <c r="AB100" s="584">
        <f>+IF(AA100="","",(VLOOKUP($C100,'EQUIP RATE SCHEDULE'!$B$11:$F$162,5,FALSE)))</f>
        <v>80</v>
      </c>
      <c r="AC100" s="591"/>
      <c r="AD100" s="613">
        <f t="shared" si="43"/>
        <v>80</v>
      </c>
      <c r="AE100" s="769" t="s">
        <v>66</v>
      </c>
      <c r="AF100" s="575">
        <v>1</v>
      </c>
      <c r="AG100" s="584">
        <f>+IF(AF100="","",(VLOOKUP($C100,'EQUIP RATE SCHEDULE'!$B$11:$F$162,5,FALSE)))</f>
        <v>80</v>
      </c>
      <c r="AH100" s="591"/>
      <c r="AI100" s="613">
        <f t="shared" si="44"/>
        <v>80</v>
      </c>
      <c r="AJ100" s="769" t="s">
        <v>66</v>
      </c>
      <c r="AK100" s="575">
        <v>1</v>
      </c>
      <c r="AL100" s="584">
        <f>+IF(AK100="","",(VLOOKUP($C100,'EQUIP RATE SCHEDULE'!$B$11:$F$162,5,FALSE)))</f>
        <v>80</v>
      </c>
      <c r="AM100" s="591"/>
      <c r="AN100" s="613">
        <f t="shared" si="45"/>
        <v>80</v>
      </c>
      <c r="AO100" s="769" t="s">
        <v>66</v>
      </c>
      <c r="AP100" s="575">
        <v>1</v>
      </c>
      <c r="AQ100" s="584">
        <f>+IF(AP100="","",(VLOOKUP($C100,'EQUIP RATE SCHEDULE'!$B$11:$F$162,5,FALSE)))</f>
        <v>80</v>
      </c>
      <c r="AR100" s="591"/>
      <c r="AS100" s="613">
        <f t="shared" si="46"/>
        <v>80</v>
      </c>
      <c r="AT100" s="769" t="s">
        <v>66</v>
      </c>
      <c r="AU100" s="575">
        <v>1</v>
      </c>
      <c r="AV100" s="584">
        <f>+IF(AU100="","",(VLOOKUP($C100,'EQUIP RATE SCHEDULE'!$B$11:$F$162,5,FALSE)))</f>
        <v>80</v>
      </c>
      <c r="AW100" s="591"/>
      <c r="AX100" s="613">
        <f t="shared" si="47"/>
        <v>80</v>
      </c>
      <c r="AY100" s="769" t="s">
        <v>66</v>
      </c>
      <c r="AZ100" s="575">
        <v>1</v>
      </c>
      <c r="BA100" s="584">
        <f>+IF(AZ100="","",(VLOOKUP($C100,'EQUIP RATE SCHEDULE'!$B$11:$F$162,5,FALSE)))</f>
        <v>80</v>
      </c>
      <c r="BB100" s="591"/>
      <c r="BC100" s="613">
        <f t="shared" si="48"/>
        <v>80</v>
      </c>
      <c r="BD100" s="769" t="s">
        <v>66</v>
      </c>
      <c r="BE100" s="575">
        <v>1</v>
      </c>
      <c r="BF100" s="584">
        <f>+IF(BE100="","",(VLOOKUP($C100,'EQUIP RATE SCHEDULE'!$B$11:$F$162,5,FALSE)))</f>
        <v>80</v>
      </c>
      <c r="BG100" s="591"/>
      <c r="BH100" s="613">
        <f t="shared" si="29"/>
        <v>80</v>
      </c>
      <c r="BI100" s="769" t="s">
        <v>66</v>
      </c>
      <c r="BJ100" s="575">
        <v>1</v>
      </c>
      <c r="BK100" s="584">
        <f>+IF(BJ100="","",(VLOOKUP($C100,'EQUIP RATE SCHEDULE'!$B$11:$F$162,5,FALSE)))</f>
        <v>80</v>
      </c>
      <c r="BL100" s="591"/>
      <c r="BM100" s="613">
        <f t="shared" si="30"/>
        <v>80</v>
      </c>
      <c r="BN100" s="769" t="s">
        <v>66</v>
      </c>
      <c r="BO100" s="575">
        <v>1</v>
      </c>
      <c r="BP100" s="584">
        <f>+IF(BO100="","",(VLOOKUP($C100,'EQUIP RATE SCHEDULE'!$B$11:$F$162,5,FALSE)))</f>
        <v>80</v>
      </c>
      <c r="BQ100" s="591"/>
      <c r="BR100" s="613">
        <f t="shared" si="31"/>
        <v>80</v>
      </c>
      <c r="BS100" s="769" t="s">
        <v>66</v>
      </c>
      <c r="BT100" s="575">
        <v>1</v>
      </c>
      <c r="BU100" s="584">
        <f>+IF(BT100="","",(VLOOKUP($C100,'EQUIP RATE SCHEDULE'!$B$11:$F$162,5,FALSE)))</f>
        <v>80</v>
      </c>
      <c r="BV100" s="591"/>
      <c r="BW100" s="613">
        <f t="shared" si="32"/>
        <v>80</v>
      </c>
      <c r="BX100" s="769" t="s">
        <v>66</v>
      </c>
      <c r="BY100" s="575">
        <v>1</v>
      </c>
      <c r="BZ100" s="584">
        <f>+IF(BY100="","",(VLOOKUP($C100,'EQUIP RATE SCHEDULE'!$B$11:$F$162,5,FALSE)))</f>
        <v>80</v>
      </c>
      <c r="CA100" s="591"/>
      <c r="CB100" s="613">
        <f t="shared" si="33"/>
        <v>80</v>
      </c>
      <c r="CC100" s="769" t="s">
        <v>66</v>
      </c>
      <c r="CD100" s="575">
        <v>1</v>
      </c>
      <c r="CE100" s="584">
        <f>+IF(CD100="","",(VLOOKUP($C100,'EQUIP RATE SCHEDULE'!$B$11:$F$162,5,FALSE)))</f>
        <v>80</v>
      </c>
      <c r="CF100" s="591"/>
      <c r="CG100" s="613">
        <f t="shared" si="34"/>
        <v>80</v>
      </c>
      <c r="CH100" s="769" t="s">
        <v>66</v>
      </c>
      <c r="CI100" s="575">
        <v>1</v>
      </c>
      <c r="CJ100" s="584">
        <f>+IF(CI100="","",(VLOOKUP($C100,'EQUIP RATE SCHEDULE'!$B$11:$F$162,5,FALSE)))</f>
        <v>80</v>
      </c>
      <c r="CK100" s="591"/>
      <c r="CL100" s="613">
        <f t="shared" si="35"/>
        <v>80</v>
      </c>
      <c r="CM100" s="769" t="s">
        <v>66</v>
      </c>
      <c r="CN100" s="575">
        <v>1</v>
      </c>
      <c r="CO100" s="584">
        <f>+IF(CN100="","",(VLOOKUP($C100,'EQUIP RATE SCHEDULE'!$B$11:$F$162,5,FALSE)))</f>
        <v>80</v>
      </c>
      <c r="CP100" s="591"/>
      <c r="CQ100" s="613">
        <f t="shared" si="36"/>
        <v>80</v>
      </c>
      <c r="CR100" s="769" t="s">
        <v>66</v>
      </c>
      <c r="CS100" s="575">
        <v>1</v>
      </c>
      <c r="CT100" s="584">
        <f>+IF(CS100="","",(VLOOKUP($C100,'EQUIP RATE SCHEDULE'!$B$11:$F$162,5,FALSE)))</f>
        <v>80</v>
      </c>
      <c r="CU100" s="591"/>
      <c r="CV100" s="613">
        <f t="shared" si="37"/>
        <v>80</v>
      </c>
      <c r="CW100" s="769" t="s">
        <v>66</v>
      </c>
      <c r="CX100" s="575">
        <v>1</v>
      </c>
      <c r="CY100" s="584">
        <f>+IF(CX100="","",(VLOOKUP($C100,'EQUIP RATE SCHEDULE'!$B$11:$F$162,5,FALSE)))</f>
        <v>80</v>
      </c>
      <c r="CZ100" s="591"/>
      <c r="DA100" s="613">
        <f t="shared" si="38"/>
        <v>80</v>
      </c>
    </row>
    <row r="101" spans="1:105" ht="15" x14ac:dyDescent="0.25">
      <c r="A101" s="1498"/>
      <c r="B101" s="809" t="s">
        <v>522</v>
      </c>
      <c r="C101" s="776" t="s">
        <v>1097</v>
      </c>
      <c r="D101" s="1492"/>
      <c r="E101" s="1490"/>
      <c r="F101" s="769" t="s">
        <v>67</v>
      </c>
      <c r="G101" s="575">
        <v>1</v>
      </c>
      <c r="H101" s="584">
        <f>+IF(G101="","",(VLOOKUP($C101,'EQUIP RATE SCHEDULE'!$B$11:$F$162,5,FALSE)))</f>
        <v>240</v>
      </c>
      <c r="I101" s="591"/>
      <c r="J101" s="613">
        <f t="shared" si="39"/>
        <v>240</v>
      </c>
      <c r="K101" s="769" t="s">
        <v>67</v>
      </c>
      <c r="L101" s="575">
        <v>1</v>
      </c>
      <c r="M101" s="584">
        <f>+IF(L101="","",(VLOOKUP($C101,'EQUIP RATE SCHEDULE'!$B$11:$F$162,5,FALSE)))</f>
        <v>240</v>
      </c>
      <c r="N101" s="591"/>
      <c r="O101" s="613">
        <f t="shared" si="40"/>
        <v>240</v>
      </c>
      <c r="P101" s="769" t="s">
        <v>67</v>
      </c>
      <c r="Q101" s="575">
        <v>1</v>
      </c>
      <c r="R101" s="584">
        <f>+IF(Q101="","",(VLOOKUP($C101,'EQUIP RATE SCHEDULE'!$B$11:$F$162,5,FALSE)))</f>
        <v>240</v>
      </c>
      <c r="S101" s="591"/>
      <c r="T101" s="613">
        <f t="shared" si="41"/>
        <v>240</v>
      </c>
      <c r="U101" s="769" t="s">
        <v>67</v>
      </c>
      <c r="V101" s="575">
        <v>1</v>
      </c>
      <c r="W101" s="584">
        <f>+IF(V101="","",(VLOOKUP($C101,'EQUIP RATE SCHEDULE'!$B$11:$F$162,5,FALSE)))</f>
        <v>240</v>
      </c>
      <c r="X101" s="591"/>
      <c r="Y101" s="613">
        <f t="shared" si="42"/>
        <v>240</v>
      </c>
      <c r="Z101" s="769" t="s">
        <v>67</v>
      </c>
      <c r="AA101" s="575">
        <v>1</v>
      </c>
      <c r="AB101" s="584">
        <f>+IF(AA101="","",(VLOOKUP($C101,'EQUIP RATE SCHEDULE'!$B$11:$F$162,5,FALSE)))</f>
        <v>240</v>
      </c>
      <c r="AC101" s="591"/>
      <c r="AD101" s="613">
        <f t="shared" si="43"/>
        <v>240</v>
      </c>
      <c r="AE101" s="769" t="s">
        <v>67</v>
      </c>
      <c r="AF101" s="575">
        <v>1</v>
      </c>
      <c r="AG101" s="584">
        <f>+IF(AF101="","",(VLOOKUP($C101,'EQUIP RATE SCHEDULE'!$B$11:$F$162,5,FALSE)))</f>
        <v>240</v>
      </c>
      <c r="AH101" s="591"/>
      <c r="AI101" s="613">
        <f t="shared" si="44"/>
        <v>240</v>
      </c>
      <c r="AJ101" s="769" t="s">
        <v>67</v>
      </c>
      <c r="AK101" s="575">
        <v>1</v>
      </c>
      <c r="AL101" s="584">
        <f>+IF(AK101="","",(VLOOKUP($C101,'EQUIP RATE SCHEDULE'!$B$11:$F$162,5,FALSE)))</f>
        <v>240</v>
      </c>
      <c r="AM101" s="591"/>
      <c r="AN101" s="613">
        <f t="shared" si="45"/>
        <v>240</v>
      </c>
      <c r="AO101" s="769" t="s">
        <v>67</v>
      </c>
      <c r="AP101" s="575">
        <v>1</v>
      </c>
      <c r="AQ101" s="584">
        <f>+IF(AP101="","",(VLOOKUP($C101,'EQUIP RATE SCHEDULE'!$B$11:$F$162,5,FALSE)))</f>
        <v>240</v>
      </c>
      <c r="AR101" s="591"/>
      <c r="AS101" s="613">
        <f t="shared" si="46"/>
        <v>240</v>
      </c>
      <c r="AT101" s="769" t="s">
        <v>67</v>
      </c>
      <c r="AU101" s="575">
        <v>1</v>
      </c>
      <c r="AV101" s="584">
        <f>+IF(AU101="","",(VLOOKUP($C101,'EQUIP RATE SCHEDULE'!$B$11:$F$162,5,FALSE)))</f>
        <v>240</v>
      </c>
      <c r="AW101" s="591"/>
      <c r="AX101" s="613">
        <f t="shared" si="47"/>
        <v>240</v>
      </c>
      <c r="AY101" s="769" t="s">
        <v>67</v>
      </c>
      <c r="AZ101" s="575">
        <v>1</v>
      </c>
      <c r="BA101" s="584">
        <f>+IF(AZ101="","",(VLOOKUP($C101,'EQUIP RATE SCHEDULE'!$B$11:$F$162,5,FALSE)))</f>
        <v>240</v>
      </c>
      <c r="BB101" s="591"/>
      <c r="BC101" s="613">
        <f t="shared" si="48"/>
        <v>240</v>
      </c>
      <c r="BD101" s="769" t="s">
        <v>67</v>
      </c>
      <c r="BE101" s="575">
        <v>1</v>
      </c>
      <c r="BF101" s="584">
        <f>+IF(BE101="","",(VLOOKUP($C101,'EQUIP RATE SCHEDULE'!$B$11:$F$162,5,FALSE)))</f>
        <v>240</v>
      </c>
      <c r="BG101" s="591"/>
      <c r="BH101" s="613">
        <f t="shared" si="29"/>
        <v>240</v>
      </c>
      <c r="BI101" s="769" t="s">
        <v>67</v>
      </c>
      <c r="BJ101" s="575">
        <v>1</v>
      </c>
      <c r="BK101" s="584">
        <f>+IF(BJ101="","",(VLOOKUP($C101,'EQUIP RATE SCHEDULE'!$B$11:$F$162,5,FALSE)))</f>
        <v>240</v>
      </c>
      <c r="BL101" s="591"/>
      <c r="BM101" s="613">
        <f t="shared" si="30"/>
        <v>240</v>
      </c>
      <c r="BN101" s="769" t="s">
        <v>67</v>
      </c>
      <c r="BO101" s="575">
        <v>1</v>
      </c>
      <c r="BP101" s="584">
        <f>+IF(BO101="","",(VLOOKUP($C101,'EQUIP RATE SCHEDULE'!$B$11:$F$162,5,FALSE)))</f>
        <v>240</v>
      </c>
      <c r="BQ101" s="591"/>
      <c r="BR101" s="613">
        <f t="shared" si="31"/>
        <v>240</v>
      </c>
      <c r="BS101" s="769" t="s">
        <v>67</v>
      </c>
      <c r="BT101" s="575">
        <v>1</v>
      </c>
      <c r="BU101" s="584">
        <f>+IF(BT101="","",(VLOOKUP($C101,'EQUIP RATE SCHEDULE'!$B$11:$F$162,5,FALSE)))</f>
        <v>240</v>
      </c>
      <c r="BV101" s="591"/>
      <c r="BW101" s="613">
        <f t="shared" si="32"/>
        <v>240</v>
      </c>
      <c r="BX101" s="769" t="s">
        <v>67</v>
      </c>
      <c r="BY101" s="575">
        <v>1</v>
      </c>
      <c r="BZ101" s="584">
        <f>+IF(BY101="","",(VLOOKUP($C101,'EQUIP RATE SCHEDULE'!$B$11:$F$162,5,FALSE)))</f>
        <v>240</v>
      </c>
      <c r="CA101" s="591"/>
      <c r="CB101" s="613">
        <f t="shared" si="33"/>
        <v>240</v>
      </c>
      <c r="CC101" s="769" t="s">
        <v>67</v>
      </c>
      <c r="CD101" s="575">
        <v>1</v>
      </c>
      <c r="CE101" s="584">
        <f>+IF(CD101="","",(VLOOKUP($C101,'EQUIP RATE SCHEDULE'!$B$11:$F$162,5,FALSE)))</f>
        <v>240</v>
      </c>
      <c r="CF101" s="591"/>
      <c r="CG101" s="613">
        <f t="shared" si="34"/>
        <v>240</v>
      </c>
      <c r="CH101" s="769" t="s">
        <v>67</v>
      </c>
      <c r="CI101" s="575">
        <v>1</v>
      </c>
      <c r="CJ101" s="584">
        <f>+IF(CI101="","",(VLOOKUP($C101,'EQUIP RATE SCHEDULE'!$B$11:$F$162,5,FALSE)))</f>
        <v>240</v>
      </c>
      <c r="CK101" s="591"/>
      <c r="CL101" s="613">
        <f t="shared" si="35"/>
        <v>240</v>
      </c>
      <c r="CM101" s="769" t="s">
        <v>67</v>
      </c>
      <c r="CN101" s="575">
        <v>1</v>
      </c>
      <c r="CO101" s="584">
        <f>+IF(CN101="","",(VLOOKUP($C101,'EQUIP RATE SCHEDULE'!$B$11:$F$162,5,FALSE)))</f>
        <v>240</v>
      </c>
      <c r="CP101" s="591"/>
      <c r="CQ101" s="613">
        <f t="shared" si="36"/>
        <v>240</v>
      </c>
      <c r="CR101" s="769" t="s">
        <v>67</v>
      </c>
      <c r="CS101" s="575">
        <v>1</v>
      </c>
      <c r="CT101" s="584">
        <f>+IF(CS101="","",(VLOOKUP($C101,'EQUIP RATE SCHEDULE'!$B$11:$F$162,5,FALSE)))</f>
        <v>240</v>
      </c>
      <c r="CU101" s="591"/>
      <c r="CV101" s="613">
        <f t="shared" si="37"/>
        <v>240</v>
      </c>
      <c r="CW101" s="769" t="s">
        <v>67</v>
      </c>
      <c r="CX101" s="575">
        <v>1</v>
      </c>
      <c r="CY101" s="584">
        <f>+IF(CX101="","",(VLOOKUP($C101,'EQUIP RATE SCHEDULE'!$B$11:$F$162,5,FALSE)))</f>
        <v>240</v>
      </c>
      <c r="CZ101" s="591"/>
      <c r="DA101" s="613">
        <f t="shared" si="38"/>
        <v>240</v>
      </c>
    </row>
    <row r="102" spans="1:105" ht="15" x14ac:dyDescent="0.25">
      <c r="A102" s="1498"/>
      <c r="B102" s="809" t="s">
        <v>522</v>
      </c>
      <c r="C102" s="776" t="s">
        <v>1098</v>
      </c>
      <c r="D102" s="779" t="s">
        <v>1099</v>
      </c>
      <c r="E102" s="780" t="s">
        <v>1100</v>
      </c>
      <c r="F102" s="769" t="s">
        <v>1101</v>
      </c>
      <c r="G102" s="575">
        <v>1</v>
      </c>
      <c r="H102" s="584">
        <f>+IF(G102="","",(VLOOKUP($C102,'EQUIP RATE SCHEDULE'!$B$11:$F$162,5,FALSE)))</f>
        <v>0.08</v>
      </c>
      <c r="I102" s="591"/>
      <c r="J102" s="613">
        <f t="shared" si="39"/>
        <v>0.08</v>
      </c>
      <c r="K102" s="769" t="s">
        <v>1101</v>
      </c>
      <c r="L102" s="575">
        <v>1</v>
      </c>
      <c r="M102" s="584">
        <f>+IF(L102="","",(VLOOKUP($C102,'EQUIP RATE SCHEDULE'!$B$11:$F$162,5,FALSE)))</f>
        <v>0.08</v>
      </c>
      <c r="N102" s="591"/>
      <c r="O102" s="613">
        <f t="shared" si="40"/>
        <v>0.08</v>
      </c>
      <c r="P102" s="769" t="s">
        <v>1101</v>
      </c>
      <c r="Q102" s="575">
        <v>1</v>
      </c>
      <c r="R102" s="584">
        <f>+IF(Q102="","",(VLOOKUP($C102,'EQUIP RATE SCHEDULE'!$B$11:$F$162,5,FALSE)))</f>
        <v>0.08</v>
      </c>
      <c r="S102" s="591"/>
      <c r="T102" s="613">
        <f t="shared" si="41"/>
        <v>0.08</v>
      </c>
      <c r="U102" s="769" t="s">
        <v>1101</v>
      </c>
      <c r="V102" s="575">
        <v>1</v>
      </c>
      <c r="W102" s="584">
        <f>+IF(V102="","",(VLOOKUP($C102,'EQUIP RATE SCHEDULE'!$B$11:$F$162,5,FALSE)))</f>
        <v>0.08</v>
      </c>
      <c r="X102" s="591"/>
      <c r="Y102" s="613">
        <f t="shared" si="42"/>
        <v>0.08</v>
      </c>
      <c r="Z102" s="769" t="s">
        <v>1101</v>
      </c>
      <c r="AA102" s="575">
        <v>1</v>
      </c>
      <c r="AB102" s="584">
        <f>+IF(AA102="","",(VLOOKUP($C102,'EQUIP RATE SCHEDULE'!$B$11:$F$162,5,FALSE)))</f>
        <v>0.08</v>
      </c>
      <c r="AC102" s="591"/>
      <c r="AD102" s="613">
        <f t="shared" si="43"/>
        <v>0.08</v>
      </c>
      <c r="AE102" s="769" t="s">
        <v>1101</v>
      </c>
      <c r="AF102" s="575">
        <v>1</v>
      </c>
      <c r="AG102" s="584">
        <f>+IF(AF102="","",(VLOOKUP($C102,'EQUIP RATE SCHEDULE'!$B$11:$F$162,5,FALSE)))</f>
        <v>0.08</v>
      </c>
      <c r="AH102" s="591"/>
      <c r="AI102" s="613">
        <f t="shared" si="44"/>
        <v>0.08</v>
      </c>
      <c r="AJ102" s="769" t="s">
        <v>1101</v>
      </c>
      <c r="AK102" s="575">
        <v>1</v>
      </c>
      <c r="AL102" s="584">
        <f>+IF(AK102="","",(VLOOKUP($C102,'EQUIP RATE SCHEDULE'!$B$11:$F$162,5,FALSE)))</f>
        <v>0.08</v>
      </c>
      <c r="AM102" s="591"/>
      <c r="AN102" s="613">
        <f t="shared" si="45"/>
        <v>0.08</v>
      </c>
      <c r="AO102" s="769" t="s">
        <v>1101</v>
      </c>
      <c r="AP102" s="575">
        <v>1</v>
      </c>
      <c r="AQ102" s="584">
        <f>+IF(AP102="","",(VLOOKUP($C102,'EQUIP RATE SCHEDULE'!$B$11:$F$162,5,FALSE)))</f>
        <v>0.08</v>
      </c>
      <c r="AR102" s="591"/>
      <c r="AS102" s="613">
        <f t="shared" si="46"/>
        <v>0.08</v>
      </c>
      <c r="AT102" s="769" t="s">
        <v>1101</v>
      </c>
      <c r="AU102" s="575">
        <v>1</v>
      </c>
      <c r="AV102" s="584">
        <f>+IF(AU102="","",(VLOOKUP($C102,'EQUIP RATE SCHEDULE'!$B$11:$F$162,5,FALSE)))</f>
        <v>0.08</v>
      </c>
      <c r="AW102" s="591"/>
      <c r="AX102" s="613">
        <f t="shared" si="47"/>
        <v>0.08</v>
      </c>
      <c r="AY102" s="769" t="s">
        <v>1101</v>
      </c>
      <c r="AZ102" s="575">
        <v>1</v>
      </c>
      <c r="BA102" s="584">
        <f>+IF(AZ102="","",(VLOOKUP($C102,'EQUIP RATE SCHEDULE'!$B$11:$F$162,5,FALSE)))</f>
        <v>0.08</v>
      </c>
      <c r="BB102" s="591"/>
      <c r="BC102" s="613">
        <f t="shared" si="48"/>
        <v>0.08</v>
      </c>
      <c r="BD102" s="769" t="s">
        <v>1101</v>
      </c>
      <c r="BE102" s="575">
        <v>1</v>
      </c>
      <c r="BF102" s="584">
        <f>+IF(BE102="","",(VLOOKUP($C102,'EQUIP RATE SCHEDULE'!$B$11:$F$162,5,FALSE)))</f>
        <v>0.08</v>
      </c>
      <c r="BG102" s="591"/>
      <c r="BH102" s="613">
        <f t="shared" si="29"/>
        <v>0.08</v>
      </c>
      <c r="BI102" s="769" t="s">
        <v>1101</v>
      </c>
      <c r="BJ102" s="575">
        <v>1</v>
      </c>
      <c r="BK102" s="584">
        <f>+IF(BJ102="","",(VLOOKUP($C102,'EQUIP RATE SCHEDULE'!$B$11:$F$162,5,FALSE)))</f>
        <v>0.08</v>
      </c>
      <c r="BL102" s="591"/>
      <c r="BM102" s="613">
        <f t="shared" si="30"/>
        <v>0.08</v>
      </c>
      <c r="BN102" s="769" t="s">
        <v>1101</v>
      </c>
      <c r="BO102" s="575">
        <v>1</v>
      </c>
      <c r="BP102" s="584">
        <f>+IF(BO102="","",(VLOOKUP($C102,'EQUIP RATE SCHEDULE'!$B$11:$F$162,5,FALSE)))</f>
        <v>0.08</v>
      </c>
      <c r="BQ102" s="591"/>
      <c r="BR102" s="613">
        <f t="shared" si="31"/>
        <v>0.08</v>
      </c>
      <c r="BS102" s="769" t="s">
        <v>1101</v>
      </c>
      <c r="BT102" s="575">
        <v>1</v>
      </c>
      <c r="BU102" s="584">
        <f>+IF(BT102="","",(VLOOKUP($C102,'EQUIP RATE SCHEDULE'!$B$11:$F$162,5,FALSE)))</f>
        <v>0.08</v>
      </c>
      <c r="BV102" s="591"/>
      <c r="BW102" s="613">
        <f t="shared" si="32"/>
        <v>0.08</v>
      </c>
      <c r="BX102" s="769" t="s">
        <v>1101</v>
      </c>
      <c r="BY102" s="575">
        <v>1</v>
      </c>
      <c r="BZ102" s="584">
        <f>+IF(BY102="","",(VLOOKUP($C102,'EQUIP RATE SCHEDULE'!$B$11:$F$162,5,FALSE)))</f>
        <v>0.08</v>
      </c>
      <c r="CA102" s="591"/>
      <c r="CB102" s="613">
        <f t="shared" si="33"/>
        <v>0.08</v>
      </c>
      <c r="CC102" s="769" t="s">
        <v>1101</v>
      </c>
      <c r="CD102" s="575">
        <v>1</v>
      </c>
      <c r="CE102" s="584">
        <f>+IF(CD102="","",(VLOOKUP($C102,'EQUIP RATE SCHEDULE'!$B$11:$F$162,5,FALSE)))</f>
        <v>0.08</v>
      </c>
      <c r="CF102" s="591"/>
      <c r="CG102" s="613">
        <f t="shared" si="34"/>
        <v>0.08</v>
      </c>
      <c r="CH102" s="769" t="s">
        <v>1101</v>
      </c>
      <c r="CI102" s="575">
        <v>1</v>
      </c>
      <c r="CJ102" s="584">
        <f>+IF(CI102="","",(VLOOKUP($C102,'EQUIP RATE SCHEDULE'!$B$11:$F$162,5,FALSE)))</f>
        <v>0.08</v>
      </c>
      <c r="CK102" s="591"/>
      <c r="CL102" s="613">
        <f t="shared" si="35"/>
        <v>0.08</v>
      </c>
      <c r="CM102" s="769" t="s">
        <v>1101</v>
      </c>
      <c r="CN102" s="575">
        <v>1</v>
      </c>
      <c r="CO102" s="584">
        <f>+IF(CN102="","",(VLOOKUP($C102,'EQUIP RATE SCHEDULE'!$B$11:$F$162,5,FALSE)))</f>
        <v>0.08</v>
      </c>
      <c r="CP102" s="591"/>
      <c r="CQ102" s="613">
        <f t="shared" si="36"/>
        <v>0.08</v>
      </c>
      <c r="CR102" s="769" t="s">
        <v>1101</v>
      </c>
      <c r="CS102" s="575">
        <v>1</v>
      </c>
      <c r="CT102" s="584">
        <f>+IF(CS102="","",(VLOOKUP($C102,'EQUIP RATE SCHEDULE'!$B$11:$F$162,5,FALSE)))</f>
        <v>0.08</v>
      </c>
      <c r="CU102" s="591"/>
      <c r="CV102" s="613">
        <f t="shared" si="37"/>
        <v>0.08</v>
      </c>
      <c r="CW102" s="769" t="s">
        <v>1101</v>
      </c>
      <c r="CX102" s="575">
        <v>1</v>
      </c>
      <c r="CY102" s="584">
        <f>+IF(CX102="","",(VLOOKUP($C102,'EQUIP RATE SCHEDULE'!$B$11:$F$162,5,FALSE)))</f>
        <v>0.08</v>
      </c>
      <c r="CZ102" s="591"/>
      <c r="DA102" s="613">
        <f t="shared" si="38"/>
        <v>0.08</v>
      </c>
    </row>
    <row r="103" spans="1:105" ht="15" x14ac:dyDescent="0.25">
      <c r="A103" s="1498"/>
      <c r="B103" s="809" t="s">
        <v>522</v>
      </c>
      <c r="C103" s="776" t="s">
        <v>1102</v>
      </c>
      <c r="D103" s="779" t="s">
        <v>1103</v>
      </c>
      <c r="E103" s="780" t="s">
        <v>1104</v>
      </c>
      <c r="F103" s="769" t="s">
        <v>1101</v>
      </c>
      <c r="G103" s="575">
        <v>1</v>
      </c>
      <c r="H103" s="584">
        <f>+IF(G103="","",(VLOOKUP($C103,'EQUIP RATE SCHEDULE'!$B$11:$F$162,5,FALSE)))</f>
        <v>5</v>
      </c>
      <c r="I103" s="591"/>
      <c r="J103" s="613">
        <f t="shared" si="39"/>
        <v>5</v>
      </c>
      <c r="K103" s="769" t="s">
        <v>1101</v>
      </c>
      <c r="L103" s="575">
        <v>1</v>
      </c>
      <c r="M103" s="584">
        <f>+IF(L103="","",(VLOOKUP($C103,'EQUIP RATE SCHEDULE'!$B$11:$F$162,5,FALSE)))</f>
        <v>5</v>
      </c>
      <c r="N103" s="591"/>
      <c r="O103" s="613">
        <f t="shared" si="40"/>
        <v>5</v>
      </c>
      <c r="P103" s="769" t="s">
        <v>1101</v>
      </c>
      <c r="Q103" s="575">
        <v>1</v>
      </c>
      <c r="R103" s="584">
        <f>+IF(Q103="","",(VLOOKUP($C103,'EQUIP RATE SCHEDULE'!$B$11:$F$162,5,FALSE)))</f>
        <v>5</v>
      </c>
      <c r="S103" s="591"/>
      <c r="T103" s="613">
        <f t="shared" si="41"/>
        <v>5</v>
      </c>
      <c r="U103" s="769" t="s">
        <v>1101</v>
      </c>
      <c r="V103" s="575">
        <v>1</v>
      </c>
      <c r="W103" s="584">
        <f>+IF(V103="","",(VLOOKUP($C103,'EQUIP RATE SCHEDULE'!$B$11:$F$162,5,FALSE)))</f>
        <v>5</v>
      </c>
      <c r="X103" s="591"/>
      <c r="Y103" s="613">
        <f t="shared" si="42"/>
        <v>5</v>
      </c>
      <c r="Z103" s="769" t="s">
        <v>1101</v>
      </c>
      <c r="AA103" s="575">
        <v>1</v>
      </c>
      <c r="AB103" s="584">
        <f>+IF(AA103="","",(VLOOKUP($C103,'EQUIP RATE SCHEDULE'!$B$11:$F$162,5,FALSE)))</f>
        <v>5</v>
      </c>
      <c r="AC103" s="591"/>
      <c r="AD103" s="613">
        <f t="shared" si="43"/>
        <v>5</v>
      </c>
      <c r="AE103" s="769" t="s">
        <v>1101</v>
      </c>
      <c r="AF103" s="575">
        <v>1</v>
      </c>
      <c r="AG103" s="584">
        <f>+IF(AF103="","",(VLOOKUP($C103,'EQUIP RATE SCHEDULE'!$B$11:$F$162,5,FALSE)))</f>
        <v>5</v>
      </c>
      <c r="AH103" s="591"/>
      <c r="AI103" s="613">
        <f t="shared" si="44"/>
        <v>5</v>
      </c>
      <c r="AJ103" s="769" t="s">
        <v>1101</v>
      </c>
      <c r="AK103" s="575">
        <v>1</v>
      </c>
      <c r="AL103" s="584">
        <f>+IF(AK103="","",(VLOOKUP($C103,'EQUIP RATE SCHEDULE'!$B$11:$F$162,5,FALSE)))</f>
        <v>5</v>
      </c>
      <c r="AM103" s="591"/>
      <c r="AN103" s="613">
        <f t="shared" si="45"/>
        <v>5</v>
      </c>
      <c r="AO103" s="769" t="s">
        <v>1101</v>
      </c>
      <c r="AP103" s="575">
        <v>1</v>
      </c>
      <c r="AQ103" s="584">
        <f>+IF(AP103="","",(VLOOKUP($C103,'EQUIP RATE SCHEDULE'!$B$11:$F$162,5,FALSE)))</f>
        <v>5</v>
      </c>
      <c r="AR103" s="591"/>
      <c r="AS103" s="613">
        <f t="shared" si="46"/>
        <v>5</v>
      </c>
      <c r="AT103" s="769" t="s">
        <v>1101</v>
      </c>
      <c r="AU103" s="575">
        <v>1</v>
      </c>
      <c r="AV103" s="584">
        <f>+IF(AU103="","",(VLOOKUP($C103,'EQUIP RATE SCHEDULE'!$B$11:$F$162,5,FALSE)))</f>
        <v>5</v>
      </c>
      <c r="AW103" s="591"/>
      <c r="AX103" s="613">
        <f t="shared" si="47"/>
        <v>5</v>
      </c>
      <c r="AY103" s="769" t="s">
        <v>1101</v>
      </c>
      <c r="AZ103" s="575">
        <v>1</v>
      </c>
      <c r="BA103" s="584">
        <f>+IF(AZ103="","",(VLOOKUP($C103,'EQUIP RATE SCHEDULE'!$B$11:$F$162,5,FALSE)))</f>
        <v>5</v>
      </c>
      <c r="BB103" s="591"/>
      <c r="BC103" s="613">
        <f t="shared" si="48"/>
        <v>5</v>
      </c>
      <c r="BD103" s="769" t="s">
        <v>1101</v>
      </c>
      <c r="BE103" s="575">
        <v>1</v>
      </c>
      <c r="BF103" s="584">
        <f>+IF(BE103="","",(VLOOKUP($C103,'EQUIP RATE SCHEDULE'!$B$11:$F$162,5,FALSE)))</f>
        <v>5</v>
      </c>
      <c r="BG103" s="591"/>
      <c r="BH103" s="613">
        <f t="shared" si="29"/>
        <v>5</v>
      </c>
      <c r="BI103" s="769" t="s">
        <v>1101</v>
      </c>
      <c r="BJ103" s="575">
        <v>1</v>
      </c>
      <c r="BK103" s="584">
        <f>+IF(BJ103="","",(VLOOKUP($C103,'EQUIP RATE SCHEDULE'!$B$11:$F$162,5,FALSE)))</f>
        <v>5</v>
      </c>
      <c r="BL103" s="591"/>
      <c r="BM103" s="613">
        <f t="shared" si="30"/>
        <v>5</v>
      </c>
      <c r="BN103" s="769" t="s">
        <v>1101</v>
      </c>
      <c r="BO103" s="575">
        <v>1</v>
      </c>
      <c r="BP103" s="584">
        <f>+IF(BO103="","",(VLOOKUP($C103,'EQUIP RATE SCHEDULE'!$B$11:$F$162,5,FALSE)))</f>
        <v>5</v>
      </c>
      <c r="BQ103" s="591"/>
      <c r="BR103" s="613">
        <f t="shared" si="31"/>
        <v>5</v>
      </c>
      <c r="BS103" s="769" t="s">
        <v>1101</v>
      </c>
      <c r="BT103" s="575">
        <v>1</v>
      </c>
      <c r="BU103" s="584">
        <f>+IF(BT103="","",(VLOOKUP($C103,'EQUIP RATE SCHEDULE'!$B$11:$F$162,5,FALSE)))</f>
        <v>5</v>
      </c>
      <c r="BV103" s="591"/>
      <c r="BW103" s="613">
        <f t="shared" si="32"/>
        <v>5</v>
      </c>
      <c r="BX103" s="769" t="s">
        <v>1101</v>
      </c>
      <c r="BY103" s="575">
        <v>1</v>
      </c>
      <c r="BZ103" s="584">
        <f>+IF(BY103="","",(VLOOKUP($C103,'EQUIP RATE SCHEDULE'!$B$11:$F$162,5,FALSE)))</f>
        <v>5</v>
      </c>
      <c r="CA103" s="591"/>
      <c r="CB103" s="613">
        <f t="shared" si="33"/>
        <v>5</v>
      </c>
      <c r="CC103" s="769" t="s">
        <v>1101</v>
      </c>
      <c r="CD103" s="575">
        <v>1</v>
      </c>
      <c r="CE103" s="584">
        <f>+IF(CD103="","",(VLOOKUP($C103,'EQUIP RATE SCHEDULE'!$B$11:$F$162,5,FALSE)))</f>
        <v>5</v>
      </c>
      <c r="CF103" s="591"/>
      <c r="CG103" s="613">
        <f t="shared" si="34"/>
        <v>5</v>
      </c>
      <c r="CH103" s="769" t="s">
        <v>1101</v>
      </c>
      <c r="CI103" s="575">
        <v>1</v>
      </c>
      <c r="CJ103" s="584">
        <f>+IF(CI103="","",(VLOOKUP($C103,'EQUIP RATE SCHEDULE'!$B$11:$F$162,5,FALSE)))</f>
        <v>5</v>
      </c>
      <c r="CK103" s="591"/>
      <c r="CL103" s="613">
        <f t="shared" si="35"/>
        <v>5</v>
      </c>
      <c r="CM103" s="769" t="s">
        <v>1101</v>
      </c>
      <c r="CN103" s="575">
        <v>1</v>
      </c>
      <c r="CO103" s="584">
        <f>+IF(CN103="","",(VLOOKUP($C103,'EQUIP RATE SCHEDULE'!$B$11:$F$162,5,FALSE)))</f>
        <v>5</v>
      </c>
      <c r="CP103" s="591"/>
      <c r="CQ103" s="613">
        <f t="shared" si="36"/>
        <v>5</v>
      </c>
      <c r="CR103" s="769" t="s">
        <v>1101</v>
      </c>
      <c r="CS103" s="575">
        <v>1</v>
      </c>
      <c r="CT103" s="584">
        <f>+IF(CS103="","",(VLOOKUP($C103,'EQUIP RATE SCHEDULE'!$B$11:$F$162,5,FALSE)))</f>
        <v>5</v>
      </c>
      <c r="CU103" s="591"/>
      <c r="CV103" s="613">
        <f t="shared" si="37"/>
        <v>5</v>
      </c>
      <c r="CW103" s="769" t="s">
        <v>1101</v>
      </c>
      <c r="CX103" s="575">
        <v>1</v>
      </c>
      <c r="CY103" s="584">
        <f>+IF(CX103="","",(VLOOKUP($C103,'EQUIP RATE SCHEDULE'!$B$11:$F$162,5,FALSE)))</f>
        <v>5</v>
      </c>
      <c r="CZ103" s="591"/>
      <c r="DA103" s="613">
        <f t="shared" si="38"/>
        <v>5</v>
      </c>
    </row>
    <row r="104" spans="1:105" ht="15" x14ac:dyDescent="0.25">
      <c r="A104" s="1498"/>
      <c r="B104" s="809" t="s">
        <v>522</v>
      </c>
      <c r="C104" s="776" t="s">
        <v>1105</v>
      </c>
      <c r="D104" s="779" t="s">
        <v>1106</v>
      </c>
      <c r="E104" s="780"/>
      <c r="F104" s="769" t="s">
        <v>920</v>
      </c>
      <c r="G104" s="575">
        <v>1</v>
      </c>
      <c r="H104" s="584">
        <f>+IF(G104="","",(VLOOKUP($C104,'EQUIP RATE SCHEDULE'!$B$11:$F$162,5,FALSE)))</f>
        <v>20</v>
      </c>
      <c r="I104" s="591"/>
      <c r="J104" s="613">
        <f t="shared" si="39"/>
        <v>20</v>
      </c>
      <c r="K104" s="769" t="s">
        <v>920</v>
      </c>
      <c r="L104" s="575">
        <v>1</v>
      </c>
      <c r="M104" s="584">
        <f>+IF(L104="","",(VLOOKUP($C104,'EQUIP RATE SCHEDULE'!$B$11:$F$162,5,FALSE)))</f>
        <v>20</v>
      </c>
      <c r="N104" s="591"/>
      <c r="O104" s="613">
        <f t="shared" si="40"/>
        <v>20</v>
      </c>
      <c r="P104" s="769" t="s">
        <v>920</v>
      </c>
      <c r="Q104" s="575">
        <v>1</v>
      </c>
      <c r="R104" s="584">
        <f>+IF(Q104="","",(VLOOKUP($C104,'EQUIP RATE SCHEDULE'!$B$11:$F$162,5,FALSE)))</f>
        <v>20</v>
      </c>
      <c r="S104" s="591"/>
      <c r="T104" s="613">
        <f t="shared" si="41"/>
        <v>20</v>
      </c>
      <c r="U104" s="769" t="s">
        <v>920</v>
      </c>
      <c r="V104" s="575">
        <v>1</v>
      </c>
      <c r="W104" s="584">
        <f>+IF(V104="","",(VLOOKUP($C104,'EQUIP RATE SCHEDULE'!$B$11:$F$162,5,FALSE)))</f>
        <v>20</v>
      </c>
      <c r="X104" s="591"/>
      <c r="Y104" s="613">
        <f t="shared" si="42"/>
        <v>20</v>
      </c>
      <c r="Z104" s="769" t="s">
        <v>920</v>
      </c>
      <c r="AA104" s="575">
        <v>1</v>
      </c>
      <c r="AB104" s="584">
        <f>+IF(AA104="","",(VLOOKUP($C104,'EQUIP RATE SCHEDULE'!$B$11:$F$162,5,FALSE)))</f>
        <v>20</v>
      </c>
      <c r="AC104" s="591"/>
      <c r="AD104" s="613">
        <f t="shared" si="43"/>
        <v>20</v>
      </c>
      <c r="AE104" s="769" t="s">
        <v>920</v>
      </c>
      <c r="AF104" s="575">
        <v>1</v>
      </c>
      <c r="AG104" s="584">
        <f>+IF(AF104="","",(VLOOKUP($C104,'EQUIP RATE SCHEDULE'!$B$11:$F$162,5,FALSE)))</f>
        <v>20</v>
      </c>
      <c r="AH104" s="591"/>
      <c r="AI104" s="613">
        <f t="shared" si="44"/>
        <v>20</v>
      </c>
      <c r="AJ104" s="769" t="s">
        <v>920</v>
      </c>
      <c r="AK104" s="575">
        <v>1</v>
      </c>
      <c r="AL104" s="584">
        <f>+IF(AK104="","",(VLOOKUP($C104,'EQUIP RATE SCHEDULE'!$B$11:$F$162,5,FALSE)))</f>
        <v>20</v>
      </c>
      <c r="AM104" s="591"/>
      <c r="AN104" s="613">
        <f t="shared" si="45"/>
        <v>20</v>
      </c>
      <c r="AO104" s="769" t="s">
        <v>920</v>
      </c>
      <c r="AP104" s="575">
        <v>1</v>
      </c>
      <c r="AQ104" s="584">
        <f>+IF(AP104="","",(VLOOKUP($C104,'EQUIP RATE SCHEDULE'!$B$11:$F$162,5,FALSE)))</f>
        <v>20</v>
      </c>
      <c r="AR104" s="591"/>
      <c r="AS104" s="613">
        <f t="shared" si="46"/>
        <v>20</v>
      </c>
      <c r="AT104" s="769" t="s">
        <v>920</v>
      </c>
      <c r="AU104" s="575">
        <v>1</v>
      </c>
      <c r="AV104" s="584">
        <f>+IF(AU104="","",(VLOOKUP($C104,'EQUIP RATE SCHEDULE'!$B$11:$F$162,5,FALSE)))</f>
        <v>20</v>
      </c>
      <c r="AW104" s="591"/>
      <c r="AX104" s="613">
        <f t="shared" si="47"/>
        <v>20</v>
      </c>
      <c r="AY104" s="769" t="s">
        <v>920</v>
      </c>
      <c r="AZ104" s="575">
        <v>1</v>
      </c>
      <c r="BA104" s="584">
        <f>+IF(AZ104="","",(VLOOKUP($C104,'EQUIP RATE SCHEDULE'!$B$11:$F$162,5,FALSE)))</f>
        <v>20</v>
      </c>
      <c r="BB104" s="591"/>
      <c r="BC104" s="613">
        <f t="shared" si="48"/>
        <v>20</v>
      </c>
      <c r="BD104" s="769" t="s">
        <v>920</v>
      </c>
      <c r="BE104" s="575">
        <v>1</v>
      </c>
      <c r="BF104" s="584">
        <f>+IF(BE104="","",(VLOOKUP($C104,'EQUIP RATE SCHEDULE'!$B$11:$F$162,5,FALSE)))</f>
        <v>20</v>
      </c>
      <c r="BG104" s="591"/>
      <c r="BH104" s="613">
        <f t="shared" si="29"/>
        <v>20</v>
      </c>
      <c r="BI104" s="769" t="s">
        <v>920</v>
      </c>
      <c r="BJ104" s="575">
        <v>1</v>
      </c>
      <c r="BK104" s="584">
        <f>+IF(BJ104="","",(VLOOKUP($C104,'EQUIP RATE SCHEDULE'!$B$11:$F$162,5,FALSE)))</f>
        <v>20</v>
      </c>
      <c r="BL104" s="591"/>
      <c r="BM104" s="613">
        <f t="shared" si="30"/>
        <v>20</v>
      </c>
      <c r="BN104" s="769" t="s">
        <v>920</v>
      </c>
      <c r="BO104" s="575">
        <v>1</v>
      </c>
      <c r="BP104" s="584">
        <f>+IF(BO104="","",(VLOOKUP($C104,'EQUIP RATE SCHEDULE'!$B$11:$F$162,5,FALSE)))</f>
        <v>20</v>
      </c>
      <c r="BQ104" s="591"/>
      <c r="BR104" s="613">
        <f t="shared" si="31"/>
        <v>20</v>
      </c>
      <c r="BS104" s="769" t="s">
        <v>920</v>
      </c>
      <c r="BT104" s="575">
        <v>1</v>
      </c>
      <c r="BU104" s="584">
        <f>+IF(BT104="","",(VLOOKUP($C104,'EQUIP RATE SCHEDULE'!$B$11:$F$162,5,FALSE)))</f>
        <v>20</v>
      </c>
      <c r="BV104" s="591"/>
      <c r="BW104" s="613">
        <f t="shared" si="32"/>
        <v>20</v>
      </c>
      <c r="BX104" s="769" t="s">
        <v>920</v>
      </c>
      <c r="BY104" s="575">
        <v>1</v>
      </c>
      <c r="BZ104" s="584">
        <f>+IF(BY104="","",(VLOOKUP($C104,'EQUIP RATE SCHEDULE'!$B$11:$F$162,5,FALSE)))</f>
        <v>20</v>
      </c>
      <c r="CA104" s="591"/>
      <c r="CB104" s="613">
        <f t="shared" si="33"/>
        <v>20</v>
      </c>
      <c r="CC104" s="769" t="s">
        <v>920</v>
      </c>
      <c r="CD104" s="575">
        <v>1</v>
      </c>
      <c r="CE104" s="584">
        <f>+IF(CD104="","",(VLOOKUP($C104,'EQUIP RATE SCHEDULE'!$B$11:$F$162,5,FALSE)))</f>
        <v>20</v>
      </c>
      <c r="CF104" s="591"/>
      <c r="CG104" s="613">
        <f t="shared" si="34"/>
        <v>20</v>
      </c>
      <c r="CH104" s="769" t="s">
        <v>920</v>
      </c>
      <c r="CI104" s="575">
        <v>1</v>
      </c>
      <c r="CJ104" s="584">
        <f>+IF(CI104="","",(VLOOKUP($C104,'EQUIP RATE SCHEDULE'!$B$11:$F$162,5,FALSE)))</f>
        <v>20</v>
      </c>
      <c r="CK104" s="591"/>
      <c r="CL104" s="613">
        <f t="shared" si="35"/>
        <v>20</v>
      </c>
      <c r="CM104" s="769" t="s">
        <v>920</v>
      </c>
      <c r="CN104" s="575">
        <v>1</v>
      </c>
      <c r="CO104" s="584">
        <f>+IF(CN104="","",(VLOOKUP($C104,'EQUIP RATE SCHEDULE'!$B$11:$F$162,5,FALSE)))</f>
        <v>20</v>
      </c>
      <c r="CP104" s="591"/>
      <c r="CQ104" s="613">
        <f t="shared" si="36"/>
        <v>20</v>
      </c>
      <c r="CR104" s="769" t="s">
        <v>920</v>
      </c>
      <c r="CS104" s="575">
        <v>1</v>
      </c>
      <c r="CT104" s="584">
        <f>+IF(CS104="","",(VLOOKUP($C104,'EQUIP RATE SCHEDULE'!$B$11:$F$162,5,FALSE)))</f>
        <v>20</v>
      </c>
      <c r="CU104" s="591"/>
      <c r="CV104" s="613">
        <f t="shared" si="37"/>
        <v>20</v>
      </c>
      <c r="CW104" s="769" t="s">
        <v>920</v>
      </c>
      <c r="CX104" s="575">
        <v>1</v>
      </c>
      <c r="CY104" s="584">
        <f>+IF(CX104="","",(VLOOKUP($C104,'EQUIP RATE SCHEDULE'!$B$11:$F$162,5,FALSE)))</f>
        <v>20</v>
      </c>
      <c r="CZ104" s="591"/>
      <c r="DA104" s="613">
        <f t="shared" si="38"/>
        <v>20</v>
      </c>
    </row>
    <row r="105" spans="1:105" ht="15" x14ac:dyDescent="0.25">
      <c r="A105" s="1498"/>
      <c r="B105" s="809" t="s">
        <v>522</v>
      </c>
      <c r="C105" s="776" t="s">
        <v>1107</v>
      </c>
      <c r="D105" s="1491" t="s">
        <v>99</v>
      </c>
      <c r="E105" s="1488" t="s">
        <v>1108</v>
      </c>
      <c r="F105" s="769" t="s">
        <v>66</v>
      </c>
      <c r="G105" s="575">
        <v>1</v>
      </c>
      <c r="H105" s="584">
        <f>+IF(G105="","",(VLOOKUP($C105,'EQUIP RATE SCHEDULE'!$B$11:$F$162,5,FALSE)))</f>
        <v>65</v>
      </c>
      <c r="I105" s="591"/>
      <c r="J105" s="613">
        <f t="shared" si="39"/>
        <v>65</v>
      </c>
      <c r="K105" s="769" t="s">
        <v>66</v>
      </c>
      <c r="L105" s="575">
        <v>1</v>
      </c>
      <c r="M105" s="584">
        <f>+IF(L105="","",(VLOOKUP($C105,'EQUIP RATE SCHEDULE'!$B$11:$F$162,5,FALSE)))</f>
        <v>65</v>
      </c>
      <c r="N105" s="591"/>
      <c r="O105" s="613">
        <f t="shared" si="40"/>
        <v>65</v>
      </c>
      <c r="P105" s="769" t="s">
        <v>66</v>
      </c>
      <c r="Q105" s="575">
        <v>1</v>
      </c>
      <c r="R105" s="584">
        <f>+IF(Q105="","",(VLOOKUP($C105,'EQUIP RATE SCHEDULE'!$B$11:$F$162,5,FALSE)))</f>
        <v>65</v>
      </c>
      <c r="S105" s="591"/>
      <c r="T105" s="613">
        <f t="shared" si="41"/>
        <v>65</v>
      </c>
      <c r="U105" s="769" t="s">
        <v>66</v>
      </c>
      <c r="V105" s="575">
        <v>1</v>
      </c>
      <c r="W105" s="584">
        <f>+IF(V105="","",(VLOOKUP($C105,'EQUIP RATE SCHEDULE'!$B$11:$F$162,5,FALSE)))</f>
        <v>65</v>
      </c>
      <c r="X105" s="591"/>
      <c r="Y105" s="613">
        <f t="shared" si="42"/>
        <v>65</v>
      </c>
      <c r="Z105" s="769" t="s">
        <v>66</v>
      </c>
      <c r="AA105" s="575">
        <v>1</v>
      </c>
      <c r="AB105" s="584">
        <f>+IF(AA105="","",(VLOOKUP($C105,'EQUIP RATE SCHEDULE'!$B$11:$F$162,5,FALSE)))</f>
        <v>65</v>
      </c>
      <c r="AC105" s="591"/>
      <c r="AD105" s="613">
        <f t="shared" si="43"/>
        <v>65</v>
      </c>
      <c r="AE105" s="769" t="s">
        <v>66</v>
      </c>
      <c r="AF105" s="575">
        <v>1</v>
      </c>
      <c r="AG105" s="584">
        <f>+IF(AF105="","",(VLOOKUP($C105,'EQUIP RATE SCHEDULE'!$B$11:$F$162,5,FALSE)))</f>
        <v>65</v>
      </c>
      <c r="AH105" s="591"/>
      <c r="AI105" s="613">
        <f t="shared" si="44"/>
        <v>65</v>
      </c>
      <c r="AJ105" s="769" t="s">
        <v>66</v>
      </c>
      <c r="AK105" s="575">
        <v>1</v>
      </c>
      <c r="AL105" s="584">
        <f>+IF(AK105="","",(VLOOKUP($C105,'EQUIP RATE SCHEDULE'!$B$11:$F$162,5,FALSE)))</f>
        <v>65</v>
      </c>
      <c r="AM105" s="591"/>
      <c r="AN105" s="613">
        <f t="shared" si="45"/>
        <v>65</v>
      </c>
      <c r="AO105" s="769" t="s">
        <v>66</v>
      </c>
      <c r="AP105" s="575">
        <v>1</v>
      </c>
      <c r="AQ105" s="584">
        <f>+IF(AP105="","",(VLOOKUP($C105,'EQUIP RATE SCHEDULE'!$B$11:$F$162,5,FALSE)))</f>
        <v>65</v>
      </c>
      <c r="AR105" s="591"/>
      <c r="AS105" s="613">
        <f t="shared" si="46"/>
        <v>65</v>
      </c>
      <c r="AT105" s="769" t="s">
        <v>66</v>
      </c>
      <c r="AU105" s="575">
        <v>1</v>
      </c>
      <c r="AV105" s="584">
        <f>+IF(AU105="","",(VLOOKUP($C105,'EQUIP RATE SCHEDULE'!$B$11:$F$162,5,FALSE)))</f>
        <v>65</v>
      </c>
      <c r="AW105" s="591"/>
      <c r="AX105" s="613">
        <f t="shared" si="47"/>
        <v>65</v>
      </c>
      <c r="AY105" s="769" t="s">
        <v>66</v>
      </c>
      <c r="AZ105" s="575">
        <v>1</v>
      </c>
      <c r="BA105" s="584">
        <f>+IF(AZ105="","",(VLOOKUP($C105,'EQUIP RATE SCHEDULE'!$B$11:$F$162,5,FALSE)))</f>
        <v>65</v>
      </c>
      <c r="BB105" s="591"/>
      <c r="BC105" s="613">
        <f t="shared" si="48"/>
        <v>65</v>
      </c>
      <c r="BD105" s="769" t="s">
        <v>66</v>
      </c>
      <c r="BE105" s="575">
        <v>1</v>
      </c>
      <c r="BF105" s="584">
        <f>+IF(BE105="","",(VLOOKUP($C105,'EQUIP RATE SCHEDULE'!$B$11:$F$162,5,FALSE)))</f>
        <v>65</v>
      </c>
      <c r="BG105" s="591"/>
      <c r="BH105" s="613">
        <f t="shared" si="29"/>
        <v>65</v>
      </c>
      <c r="BI105" s="769" t="s">
        <v>66</v>
      </c>
      <c r="BJ105" s="575">
        <v>1</v>
      </c>
      <c r="BK105" s="584">
        <f>+IF(BJ105="","",(VLOOKUP($C105,'EQUIP RATE SCHEDULE'!$B$11:$F$162,5,FALSE)))</f>
        <v>65</v>
      </c>
      <c r="BL105" s="591"/>
      <c r="BM105" s="613">
        <f t="shared" si="30"/>
        <v>65</v>
      </c>
      <c r="BN105" s="769" t="s">
        <v>66</v>
      </c>
      <c r="BO105" s="575">
        <v>1</v>
      </c>
      <c r="BP105" s="584">
        <f>+IF(BO105="","",(VLOOKUP($C105,'EQUIP RATE SCHEDULE'!$B$11:$F$162,5,FALSE)))</f>
        <v>65</v>
      </c>
      <c r="BQ105" s="591"/>
      <c r="BR105" s="613">
        <f t="shared" si="31"/>
        <v>65</v>
      </c>
      <c r="BS105" s="769" t="s">
        <v>66</v>
      </c>
      <c r="BT105" s="575">
        <v>1</v>
      </c>
      <c r="BU105" s="584">
        <f>+IF(BT105="","",(VLOOKUP($C105,'EQUIP RATE SCHEDULE'!$B$11:$F$162,5,FALSE)))</f>
        <v>65</v>
      </c>
      <c r="BV105" s="591"/>
      <c r="BW105" s="613">
        <f t="shared" si="32"/>
        <v>65</v>
      </c>
      <c r="BX105" s="769" t="s">
        <v>66</v>
      </c>
      <c r="BY105" s="575">
        <v>1</v>
      </c>
      <c r="BZ105" s="584">
        <f>+IF(BY105="","",(VLOOKUP($C105,'EQUIP RATE SCHEDULE'!$B$11:$F$162,5,FALSE)))</f>
        <v>65</v>
      </c>
      <c r="CA105" s="591"/>
      <c r="CB105" s="613">
        <f t="shared" si="33"/>
        <v>65</v>
      </c>
      <c r="CC105" s="769" t="s">
        <v>66</v>
      </c>
      <c r="CD105" s="575">
        <v>1</v>
      </c>
      <c r="CE105" s="584">
        <f>+IF(CD105="","",(VLOOKUP($C105,'EQUIP RATE SCHEDULE'!$B$11:$F$162,5,FALSE)))</f>
        <v>65</v>
      </c>
      <c r="CF105" s="591"/>
      <c r="CG105" s="613">
        <f t="shared" si="34"/>
        <v>65</v>
      </c>
      <c r="CH105" s="769" t="s">
        <v>66</v>
      </c>
      <c r="CI105" s="575">
        <v>1</v>
      </c>
      <c r="CJ105" s="584">
        <f>+IF(CI105="","",(VLOOKUP($C105,'EQUIP RATE SCHEDULE'!$B$11:$F$162,5,FALSE)))</f>
        <v>65</v>
      </c>
      <c r="CK105" s="591"/>
      <c r="CL105" s="613">
        <f t="shared" si="35"/>
        <v>65</v>
      </c>
      <c r="CM105" s="769" t="s">
        <v>66</v>
      </c>
      <c r="CN105" s="575">
        <v>1</v>
      </c>
      <c r="CO105" s="584">
        <f>+IF(CN105="","",(VLOOKUP($C105,'EQUIP RATE SCHEDULE'!$B$11:$F$162,5,FALSE)))</f>
        <v>65</v>
      </c>
      <c r="CP105" s="591"/>
      <c r="CQ105" s="613">
        <f t="shared" si="36"/>
        <v>65</v>
      </c>
      <c r="CR105" s="769" t="s">
        <v>66</v>
      </c>
      <c r="CS105" s="575">
        <v>1</v>
      </c>
      <c r="CT105" s="584">
        <f>+IF(CS105="","",(VLOOKUP($C105,'EQUIP RATE SCHEDULE'!$B$11:$F$162,5,FALSE)))</f>
        <v>65</v>
      </c>
      <c r="CU105" s="591"/>
      <c r="CV105" s="613">
        <f t="shared" si="37"/>
        <v>65</v>
      </c>
      <c r="CW105" s="769" t="s">
        <v>66</v>
      </c>
      <c r="CX105" s="575">
        <v>1</v>
      </c>
      <c r="CY105" s="584">
        <f>+IF(CX105="","",(VLOOKUP($C105,'EQUIP RATE SCHEDULE'!$B$11:$F$162,5,FALSE)))</f>
        <v>65</v>
      </c>
      <c r="CZ105" s="591"/>
      <c r="DA105" s="613">
        <f t="shared" si="38"/>
        <v>65</v>
      </c>
    </row>
    <row r="106" spans="1:105" ht="15" x14ac:dyDescent="0.25">
      <c r="A106" s="1498"/>
      <c r="B106" s="809" t="s">
        <v>522</v>
      </c>
      <c r="C106" s="776" t="s">
        <v>1109</v>
      </c>
      <c r="D106" s="1492"/>
      <c r="E106" s="1490"/>
      <c r="F106" s="769" t="s">
        <v>67</v>
      </c>
      <c r="G106" s="575">
        <v>1</v>
      </c>
      <c r="H106" s="584">
        <f>+IF(G106="","",(VLOOKUP($C106,'EQUIP RATE SCHEDULE'!$B$11:$F$162,5,FALSE)))</f>
        <v>195</v>
      </c>
      <c r="I106" s="591"/>
      <c r="J106" s="613">
        <f t="shared" si="39"/>
        <v>195</v>
      </c>
      <c r="K106" s="769" t="s">
        <v>67</v>
      </c>
      <c r="L106" s="575">
        <v>1</v>
      </c>
      <c r="M106" s="584">
        <f>+IF(L106="","",(VLOOKUP($C106,'EQUIP RATE SCHEDULE'!$B$11:$F$162,5,FALSE)))</f>
        <v>195</v>
      </c>
      <c r="N106" s="591"/>
      <c r="O106" s="613">
        <f t="shared" si="40"/>
        <v>195</v>
      </c>
      <c r="P106" s="769" t="s">
        <v>67</v>
      </c>
      <c r="Q106" s="575">
        <v>1</v>
      </c>
      <c r="R106" s="584">
        <f>+IF(Q106="","",(VLOOKUP($C106,'EQUIP RATE SCHEDULE'!$B$11:$F$162,5,FALSE)))</f>
        <v>195</v>
      </c>
      <c r="S106" s="591"/>
      <c r="T106" s="613">
        <f t="shared" si="41"/>
        <v>195</v>
      </c>
      <c r="U106" s="769" t="s">
        <v>67</v>
      </c>
      <c r="V106" s="575">
        <v>1</v>
      </c>
      <c r="W106" s="584">
        <f>+IF(V106="","",(VLOOKUP($C106,'EQUIP RATE SCHEDULE'!$B$11:$F$162,5,FALSE)))</f>
        <v>195</v>
      </c>
      <c r="X106" s="591"/>
      <c r="Y106" s="613">
        <f t="shared" si="42"/>
        <v>195</v>
      </c>
      <c r="Z106" s="769" t="s">
        <v>67</v>
      </c>
      <c r="AA106" s="575">
        <v>1</v>
      </c>
      <c r="AB106" s="584">
        <f>+IF(AA106="","",(VLOOKUP($C106,'EQUIP RATE SCHEDULE'!$B$11:$F$162,5,FALSE)))</f>
        <v>195</v>
      </c>
      <c r="AC106" s="591"/>
      <c r="AD106" s="613">
        <f t="shared" si="43"/>
        <v>195</v>
      </c>
      <c r="AE106" s="769" t="s">
        <v>67</v>
      </c>
      <c r="AF106" s="575">
        <v>1</v>
      </c>
      <c r="AG106" s="584">
        <f>+IF(AF106="","",(VLOOKUP($C106,'EQUIP RATE SCHEDULE'!$B$11:$F$162,5,FALSE)))</f>
        <v>195</v>
      </c>
      <c r="AH106" s="591"/>
      <c r="AI106" s="613">
        <f t="shared" si="44"/>
        <v>195</v>
      </c>
      <c r="AJ106" s="769" t="s">
        <v>67</v>
      </c>
      <c r="AK106" s="575">
        <v>1</v>
      </c>
      <c r="AL106" s="584">
        <f>+IF(AK106="","",(VLOOKUP($C106,'EQUIP RATE SCHEDULE'!$B$11:$F$162,5,FALSE)))</f>
        <v>195</v>
      </c>
      <c r="AM106" s="591"/>
      <c r="AN106" s="613">
        <f t="shared" si="45"/>
        <v>195</v>
      </c>
      <c r="AO106" s="769" t="s">
        <v>67</v>
      </c>
      <c r="AP106" s="575">
        <v>1</v>
      </c>
      <c r="AQ106" s="584">
        <f>+IF(AP106="","",(VLOOKUP($C106,'EQUIP RATE SCHEDULE'!$B$11:$F$162,5,FALSE)))</f>
        <v>195</v>
      </c>
      <c r="AR106" s="591"/>
      <c r="AS106" s="613">
        <f t="shared" si="46"/>
        <v>195</v>
      </c>
      <c r="AT106" s="769" t="s">
        <v>67</v>
      </c>
      <c r="AU106" s="575">
        <v>1</v>
      </c>
      <c r="AV106" s="584">
        <f>+IF(AU106="","",(VLOOKUP($C106,'EQUIP RATE SCHEDULE'!$B$11:$F$162,5,FALSE)))</f>
        <v>195</v>
      </c>
      <c r="AW106" s="591"/>
      <c r="AX106" s="613">
        <f t="shared" si="47"/>
        <v>195</v>
      </c>
      <c r="AY106" s="769" t="s">
        <v>67</v>
      </c>
      <c r="AZ106" s="575">
        <v>1</v>
      </c>
      <c r="BA106" s="584">
        <f>+IF(AZ106="","",(VLOOKUP($C106,'EQUIP RATE SCHEDULE'!$B$11:$F$162,5,FALSE)))</f>
        <v>195</v>
      </c>
      <c r="BB106" s="591"/>
      <c r="BC106" s="613">
        <f t="shared" si="48"/>
        <v>195</v>
      </c>
      <c r="BD106" s="769" t="s">
        <v>67</v>
      </c>
      <c r="BE106" s="575">
        <v>1</v>
      </c>
      <c r="BF106" s="584">
        <f>+IF(BE106="","",(VLOOKUP($C106,'EQUIP RATE SCHEDULE'!$B$11:$F$162,5,FALSE)))</f>
        <v>195</v>
      </c>
      <c r="BG106" s="591"/>
      <c r="BH106" s="613">
        <f t="shared" si="29"/>
        <v>195</v>
      </c>
      <c r="BI106" s="769" t="s">
        <v>67</v>
      </c>
      <c r="BJ106" s="575">
        <v>1</v>
      </c>
      <c r="BK106" s="584">
        <f>+IF(BJ106="","",(VLOOKUP($C106,'EQUIP RATE SCHEDULE'!$B$11:$F$162,5,FALSE)))</f>
        <v>195</v>
      </c>
      <c r="BL106" s="591"/>
      <c r="BM106" s="613">
        <f t="shared" si="30"/>
        <v>195</v>
      </c>
      <c r="BN106" s="769" t="s">
        <v>67</v>
      </c>
      <c r="BO106" s="575">
        <v>1</v>
      </c>
      <c r="BP106" s="584">
        <f>+IF(BO106="","",(VLOOKUP($C106,'EQUIP RATE SCHEDULE'!$B$11:$F$162,5,FALSE)))</f>
        <v>195</v>
      </c>
      <c r="BQ106" s="591"/>
      <c r="BR106" s="613">
        <f t="shared" si="31"/>
        <v>195</v>
      </c>
      <c r="BS106" s="769" t="s">
        <v>67</v>
      </c>
      <c r="BT106" s="575">
        <v>1</v>
      </c>
      <c r="BU106" s="584">
        <f>+IF(BT106="","",(VLOOKUP($C106,'EQUIP RATE SCHEDULE'!$B$11:$F$162,5,FALSE)))</f>
        <v>195</v>
      </c>
      <c r="BV106" s="591"/>
      <c r="BW106" s="613">
        <f t="shared" si="32"/>
        <v>195</v>
      </c>
      <c r="BX106" s="769" t="s">
        <v>67</v>
      </c>
      <c r="BY106" s="575">
        <v>1</v>
      </c>
      <c r="BZ106" s="584">
        <f>+IF(BY106="","",(VLOOKUP($C106,'EQUIP RATE SCHEDULE'!$B$11:$F$162,5,FALSE)))</f>
        <v>195</v>
      </c>
      <c r="CA106" s="591"/>
      <c r="CB106" s="613">
        <f t="shared" si="33"/>
        <v>195</v>
      </c>
      <c r="CC106" s="769" t="s">
        <v>67</v>
      </c>
      <c r="CD106" s="575">
        <v>1</v>
      </c>
      <c r="CE106" s="584">
        <f>+IF(CD106="","",(VLOOKUP($C106,'EQUIP RATE SCHEDULE'!$B$11:$F$162,5,FALSE)))</f>
        <v>195</v>
      </c>
      <c r="CF106" s="591"/>
      <c r="CG106" s="613">
        <f t="shared" si="34"/>
        <v>195</v>
      </c>
      <c r="CH106" s="769" t="s">
        <v>67</v>
      </c>
      <c r="CI106" s="575">
        <v>1</v>
      </c>
      <c r="CJ106" s="584">
        <f>+IF(CI106="","",(VLOOKUP($C106,'EQUIP RATE SCHEDULE'!$B$11:$F$162,5,FALSE)))</f>
        <v>195</v>
      </c>
      <c r="CK106" s="591"/>
      <c r="CL106" s="613">
        <f t="shared" si="35"/>
        <v>195</v>
      </c>
      <c r="CM106" s="769" t="s">
        <v>67</v>
      </c>
      <c r="CN106" s="575">
        <v>1</v>
      </c>
      <c r="CO106" s="584">
        <f>+IF(CN106="","",(VLOOKUP($C106,'EQUIP RATE SCHEDULE'!$B$11:$F$162,5,FALSE)))</f>
        <v>195</v>
      </c>
      <c r="CP106" s="591"/>
      <c r="CQ106" s="613">
        <f t="shared" si="36"/>
        <v>195</v>
      </c>
      <c r="CR106" s="769" t="s">
        <v>67</v>
      </c>
      <c r="CS106" s="575">
        <v>1</v>
      </c>
      <c r="CT106" s="584">
        <f>+IF(CS106="","",(VLOOKUP($C106,'EQUIP RATE SCHEDULE'!$B$11:$F$162,5,FALSE)))</f>
        <v>195</v>
      </c>
      <c r="CU106" s="591"/>
      <c r="CV106" s="613">
        <f t="shared" si="37"/>
        <v>195</v>
      </c>
      <c r="CW106" s="769" t="s">
        <v>67</v>
      </c>
      <c r="CX106" s="575">
        <v>1</v>
      </c>
      <c r="CY106" s="584">
        <f>+IF(CX106="","",(VLOOKUP($C106,'EQUIP RATE SCHEDULE'!$B$11:$F$162,5,FALSE)))</f>
        <v>195</v>
      </c>
      <c r="CZ106" s="591"/>
      <c r="DA106" s="613">
        <f t="shared" si="38"/>
        <v>195</v>
      </c>
    </row>
    <row r="107" spans="1:105" ht="15" x14ac:dyDescent="0.25">
      <c r="A107" s="1498"/>
      <c r="B107" s="809" t="s">
        <v>1273</v>
      </c>
      <c r="C107" s="776" t="s">
        <v>1110</v>
      </c>
      <c r="D107" s="779" t="s">
        <v>1111</v>
      </c>
      <c r="E107" s="780" t="s">
        <v>1112</v>
      </c>
      <c r="F107" s="769" t="s">
        <v>920</v>
      </c>
      <c r="G107" s="575">
        <v>1</v>
      </c>
      <c r="H107" s="584">
        <f>+IF(G107="","",(VLOOKUP($C107,'EQUIP RATE SCHEDULE'!$B$11:$F$162,5,FALSE)))</f>
        <v>7</v>
      </c>
      <c r="I107" s="591"/>
      <c r="J107" s="613">
        <f t="shared" si="39"/>
        <v>7</v>
      </c>
      <c r="K107" s="769" t="s">
        <v>920</v>
      </c>
      <c r="L107" s="575">
        <v>1</v>
      </c>
      <c r="M107" s="584">
        <f>+IF(L107="","",(VLOOKUP($C107,'EQUIP RATE SCHEDULE'!$B$11:$F$162,5,FALSE)))</f>
        <v>7</v>
      </c>
      <c r="N107" s="591"/>
      <c r="O107" s="613">
        <f t="shared" si="40"/>
        <v>7</v>
      </c>
      <c r="P107" s="769" t="s">
        <v>920</v>
      </c>
      <c r="Q107" s="575">
        <v>1</v>
      </c>
      <c r="R107" s="584">
        <f>+IF(Q107="","",(VLOOKUP($C107,'EQUIP RATE SCHEDULE'!$B$11:$F$162,5,FALSE)))</f>
        <v>7</v>
      </c>
      <c r="S107" s="591"/>
      <c r="T107" s="613">
        <f t="shared" si="41"/>
        <v>7</v>
      </c>
      <c r="U107" s="769" t="s">
        <v>920</v>
      </c>
      <c r="V107" s="575">
        <v>1</v>
      </c>
      <c r="W107" s="584">
        <f>+IF(V107="","",(VLOOKUP($C107,'EQUIP RATE SCHEDULE'!$B$11:$F$162,5,FALSE)))</f>
        <v>7</v>
      </c>
      <c r="X107" s="591"/>
      <c r="Y107" s="613">
        <f t="shared" si="42"/>
        <v>7</v>
      </c>
      <c r="Z107" s="769" t="s">
        <v>920</v>
      </c>
      <c r="AA107" s="575">
        <v>1</v>
      </c>
      <c r="AB107" s="584">
        <f>+IF(AA107="","",(VLOOKUP($C107,'EQUIP RATE SCHEDULE'!$B$11:$F$162,5,FALSE)))</f>
        <v>7</v>
      </c>
      <c r="AC107" s="591"/>
      <c r="AD107" s="613">
        <f t="shared" si="43"/>
        <v>7</v>
      </c>
      <c r="AE107" s="769" t="s">
        <v>920</v>
      </c>
      <c r="AF107" s="575">
        <v>1</v>
      </c>
      <c r="AG107" s="584">
        <f>+IF(AF107="","",(VLOOKUP($C107,'EQUIP RATE SCHEDULE'!$B$11:$F$162,5,FALSE)))</f>
        <v>7</v>
      </c>
      <c r="AH107" s="591"/>
      <c r="AI107" s="613">
        <f t="shared" si="44"/>
        <v>7</v>
      </c>
      <c r="AJ107" s="769" t="s">
        <v>920</v>
      </c>
      <c r="AK107" s="575">
        <v>1</v>
      </c>
      <c r="AL107" s="584">
        <f>+IF(AK107="","",(VLOOKUP($C107,'EQUIP RATE SCHEDULE'!$B$11:$F$162,5,FALSE)))</f>
        <v>7</v>
      </c>
      <c r="AM107" s="591"/>
      <c r="AN107" s="613">
        <f t="shared" si="45"/>
        <v>7</v>
      </c>
      <c r="AO107" s="769" t="s">
        <v>920</v>
      </c>
      <c r="AP107" s="575">
        <v>1</v>
      </c>
      <c r="AQ107" s="584">
        <f>+IF(AP107="","",(VLOOKUP($C107,'EQUIP RATE SCHEDULE'!$B$11:$F$162,5,FALSE)))</f>
        <v>7</v>
      </c>
      <c r="AR107" s="591"/>
      <c r="AS107" s="613">
        <f t="shared" si="46"/>
        <v>7</v>
      </c>
      <c r="AT107" s="769" t="s">
        <v>920</v>
      </c>
      <c r="AU107" s="575">
        <v>1</v>
      </c>
      <c r="AV107" s="584">
        <f>+IF(AU107="","",(VLOOKUP($C107,'EQUIP RATE SCHEDULE'!$B$11:$F$162,5,FALSE)))</f>
        <v>7</v>
      </c>
      <c r="AW107" s="591"/>
      <c r="AX107" s="613">
        <f t="shared" si="47"/>
        <v>7</v>
      </c>
      <c r="AY107" s="769" t="s">
        <v>920</v>
      </c>
      <c r="AZ107" s="575">
        <v>1</v>
      </c>
      <c r="BA107" s="584">
        <f>+IF(AZ107="","",(VLOOKUP($C107,'EQUIP RATE SCHEDULE'!$B$11:$F$162,5,FALSE)))</f>
        <v>7</v>
      </c>
      <c r="BB107" s="591"/>
      <c r="BC107" s="613">
        <f t="shared" si="48"/>
        <v>7</v>
      </c>
      <c r="BD107" s="769" t="s">
        <v>920</v>
      </c>
      <c r="BE107" s="575">
        <v>1</v>
      </c>
      <c r="BF107" s="584">
        <f>+IF(BE107="","",(VLOOKUP($C107,'EQUIP RATE SCHEDULE'!$B$11:$F$162,5,FALSE)))</f>
        <v>7</v>
      </c>
      <c r="BG107" s="591"/>
      <c r="BH107" s="613">
        <f t="shared" si="29"/>
        <v>7</v>
      </c>
      <c r="BI107" s="769" t="s">
        <v>920</v>
      </c>
      <c r="BJ107" s="575">
        <v>1</v>
      </c>
      <c r="BK107" s="584">
        <f>+IF(BJ107="","",(VLOOKUP($C107,'EQUIP RATE SCHEDULE'!$B$11:$F$162,5,FALSE)))</f>
        <v>7</v>
      </c>
      <c r="BL107" s="591"/>
      <c r="BM107" s="613">
        <f t="shared" si="30"/>
        <v>7</v>
      </c>
      <c r="BN107" s="769" t="s">
        <v>920</v>
      </c>
      <c r="BO107" s="575">
        <v>1</v>
      </c>
      <c r="BP107" s="584">
        <f>+IF(BO107="","",(VLOOKUP($C107,'EQUIP RATE SCHEDULE'!$B$11:$F$162,5,FALSE)))</f>
        <v>7</v>
      </c>
      <c r="BQ107" s="591"/>
      <c r="BR107" s="613">
        <f t="shared" si="31"/>
        <v>7</v>
      </c>
      <c r="BS107" s="769" t="s">
        <v>920</v>
      </c>
      <c r="BT107" s="575">
        <v>1</v>
      </c>
      <c r="BU107" s="584">
        <f>+IF(BT107="","",(VLOOKUP($C107,'EQUIP RATE SCHEDULE'!$B$11:$F$162,5,FALSE)))</f>
        <v>7</v>
      </c>
      <c r="BV107" s="591"/>
      <c r="BW107" s="613">
        <f t="shared" si="32"/>
        <v>7</v>
      </c>
      <c r="BX107" s="769" t="s">
        <v>920</v>
      </c>
      <c r="BY107" s="575">
        <v>1</v>
      </c>
      <c r="BZ107" s="584">
        <f>+IF(BY107="","",(VLOOKUP($C107,'EQUIP RATE SCHEDULE'!$B$11:$F$162,5,FALSE)))</f>
        <v>7</v>
      </c>
      <c r="CA107" s="591"/>
      <c r="CB107" s="613">
        <f t="shared" si="33"/>
        <v>7</v>
      </c>
      <c r="CC107" s="769" t="s">
        <v>920</v>
      </c>
      <c r="CD107" s="575">
        <v>1</v>
      </c>
      <c r="CE107" s="584">
        <f>+IF(CD107="","",(VLOOKUP($C107,'EQUIP RATE SCHEDULE'!$B$11:$F$162,5,FALSE)))</f>
        <v>7</v>
      </c>
      <c r="CF107" s="591"/>
      <c r="CG107" s="613">
        <f t="shared" si="34"/>
        <v>7</v>
      </c>
      <c r="CH107" s="769" t="s">
        <v>920</v>
      </c>
      <c r="CI107" s="575">
        <v>1</v>
      </c>
      <c r="CJ107" s="584">
        <f>+IF(CI107="","",(VLOOKUP($C107,'EQUIP RATE SCHEDULE'!$B$11:$F$162,5,FALSE)))</f>
        <v>7</v>
      </c>
      <c r="CK107" s="591"/>
      <c r="CL107" s="613">
        <f t="shared" si="35"/>
        <v>7</v>
      </c>
      <c r="CM107" s="769" t="s">
        <v>920</v>
      </c>
      <c r="CN107" s="575">
        <v>1</v>
      </c>
      <c r="CO107" s="584">
        <f>+IF(CN107="","",(VLOOKUP($C107,'EQUIP RATE SCHEDULE'!$B$11:$F$162,5,FALSE)))</f>
        <v>7</v>
      </c>
      <c r="CP107" s="591"/>
      <c r="CQ107" s="613">
        <f t="shared" si="36"/>
        <v>7</v>
      </c>
      <c r="CR107" s="769" t="s">
        <v>920</v>
      </c>
      <c r="CS107" s="575">
        <v>1</v>
      </c>
      <c r="CT107" s="584">
        <f>+IF(CS107="","",(VLOOKUP($C107,'EQUIP RATE SCHEDULE'!$B$11:$F$162,5,FALSE)))</f>
        <v>7</v>
      </c>
      <c r="CU107" s="591"/>
      <c r="CV107" s="613">
        <f t="shared" si="37"/>
        <v>7</v>
      </c>
      <c r="CW107" s="769" t="s">
        <v>920</v>
      </c>
      <c r="CX107" s="575">
        <v>1</v>
      </c>
      <c r="CY107" s="584">
        <f>+IF(CX107="","",(VLOOKUP($C107,'EQUIP RATE SCHEDULE'!$B$11:$F$162,5,FALSE)))</f>
        <v>7</v>
      </c>
      <c r="CZ107" s="591"/>
      <c r="DA107" s="613">
        <f t="shared" si="38"/>
        <v>7</v>
      </c>
    </row>
    <row r="108" spans="1:105" ht="30" x14ac:dyDescent="0.25">
      <c r="A108" s="1498"/>
      <c r="B108" s="809" t="s">
        <v>383</v>
      </c>
      <c r="C108" s="776" t="s">
        <v>1285</v>
      </c>
      <c r="D108" s="779" t="s">
        <v>1113</v>
      </c>
      <c r="E108" s="780" t="s">
        <v>1114</v>
      </c>
      <c r="F108" s="769" t="s">
        <v>920</v>
      </c>
      <c r="G108" s="575">
        <v>1</v>
      </c>
      <c r="H108" s="584">
        <f>+IF(G108="","",(VLOOKUP($C108,'EQUIP RATE SCHEDULE'!$B$11:$F$162,5,FALSE)))</f>
        <v>20</v>
      </c>
      <c r="I108" s="591"/>
      <c r="J108" s="613">
        <f t="shared" si="39"/>
        <v>20</v>
      </c>
      <c r="K108" s="769" t="s">
        <v>920</v>
      </c>
      <c r="L108" s="575">
        <v>1</v>
      </c>
      <c r="M108" s="584">
        <f>+IF(L108="","",(VLOOKUP($C108,'EQUIP RATE SCHEDULE'!$B$11:$F$162,5,FALSE)))</f>
        <v>20</v>
      </c>
      <c r="N108" s="591"/>
      <c r="O108" s="613">
        <f t="shared" si="40"/>
        <v>20</v>
      </c>
      <c r="P108" s="769" t="s">
        <v>920</v>
      </c>
      <c r="Q108" s="575">
        <v>1</v>
      </c>
      <c r="R108" s="584">
        <f>+IF(Q108="","",(VLOOKUP($C108,'EQUIP RATE SCHEDULE'!$B$11:$F$162,5,FALSE)))</f>
        <v>20</v>
      </c>
      <c r="S108" s="591"/>
      <c r="T108" s="613">
        <f t="shared" si="41"/>
        <v>20</v>
      </c>
      <c r="U108" s="769" t="s">
        <v>920</v>
      </c>
      <c r="V108" s="575">
        <v>1</v>
      </c>
      <c r="W108" s="584">
        <f>+IF(V108="","",(VLOOKUP($C108,'EQUIP RATE SCHEDULE'!$B$11:$F$162,5,FALSE)))</f>
        <v>20</v>
      </c>
      <c r="X108" s="591"/>
      <c r="Y108" s="613">
        <f t="shared" si="42"/>
        <v>20</v>
      </c>
      <c r="Z108" s="769" t="s">
        <v>920</v>
      </c>
      <c r="AA108" s="575">
        <v>1</v>
      </c>
      <c r="AB108" s="584">
        <f>+IF(AA108="","",(VLOOKUP($C108,'EQUIP RATE SCHEDULE'!$B$11:$F$162,5,FALSE)))</f>
        <v>20</v>
      </c>
      <c r="AC108" s="591"/>
      <c r="AD108" s="613">
        <f t="shared" si="43"/>
        <v>20</v>
      </c>
      <c r="AE108" s="769" t="s">
        <v>920</v>
      </c>
      <c r="AF108" s="575">
        <v>1</v>
      </c>
      <c r="AG108" s="584">
        <f>+IF(AF108="","",(VLOOKUP($C108,'EQUIP RATE SCHEDULE'!$B$11:$F$162,5,FALSE)))</f>
        <v>20</v>
      </c>
      <c r="AH108" s="591"/>
      <c r="AI108" s="613">
        <f t="shared" si="44"/>
        <v>20</v>
      </c>
      <c r="AJ108" s="769" t="s">
        <v>920</v>
      </c>
      <c r="AK108" s="575">
        <v>1</v>
      </c>
      <c r="AL108" s="584">
        <f>+IF(AK108="","",(VLOOKUP($C108,'EQUIP RATE SCHEDULE'!$B$11:$F$162,5,FALSE)))</f>
        <v>20</v>
      </c>
      <c r="AM108" s="591"/>
      <c r="AN108" s="613">
        <f t="shared" si="45"/>
        <v>20</v>
      </c>
      <c r="AO108" s="769" t="s">
        <v>920</v>
      </c>
      <c r="AP108" s="575">
        <v>1</v>
      </c>
      <c r="AQ108" s="584">
        <f>+IF(AP108="","",(VLOOKUP($C108,'EQUIP RATE SCHEDULE'!$B$11:$F$162,5,FALSE)))</f>
        <v>20</v>
      </c>
      <c r="AR108" s="591"/>
      <c r="AS108" s="613">
        <f t="shared" si="46"/>
        <v>20</v>
      </c>
      <c r="AT108" s="769" t="s">
        <v>920</v>
      </c>
      <c r="AU108" s="575">
        <v>1</v>
      </c>
      <c r="AV108" s="584">
        <f>+IF(AU108="","",(VLOOKUP($C108,'EQUIP RATE SCHEDULE'!$B$11:$F$162,5,FALSE)))</f>
        <v>20</v>
      </c>
      <c r="AW108" s="591"/>
      <c r="AX108" s="613">
        <f t="shared" si="47"/>
        <v>20</v>
      </c>
      <c r="AY108" s="769" t="s">
        <v>920</v>
      </c>
      <c r="AZ108" s="575">
        <v>1</v>
      </c>
      <c r="BA108" s="584">
        <f>+IF(AZ108="","",(VLOOKUP($C108,'EQUIP RATE SCHEDULE'!$B$11:$F$162,5,FALSE)))</f>
        <v>20</v>
      </c>
      <c r="BB108" s="591"/>
      <c r="BC108" s="613">
        <f t="shared" si="48"/>
        <v>20</v>
      </c>
      <c r="BD108" s="769" t="s">
        <v>920</v>
      </c>
      <c r="BE108" s="575">
        <v>1</v>
      </c>
      <c r="BF108" s="584">
        <f>+IF(BE108="","",(VLOOKUP($C108,'EQUIP RATE SCHEDULE'!$B$11:$F$162,5,FALSE)))</f>
        <v>20</v>
      </c>
      <c r="BG108" s="591"/>
      <c r="BH108" s="613">
        <f t="shared" si="29"/>
        <v>20</v>
      </c>
      <c r="BI108" s="769" t="s">
        <v>920</v>
      </c>
      <c r="BJ108" s="575">
        <v>1</v>
      </c>
      <c r="BK108" s="584">
        <f>+IF(BJ108="","",(VLOOKUP($C108,'EQUIP RATE SCHEDULE'!$B$11:$F$162,5,FALSE)))</f>
        <v>20</v>
      </c>
      <c r="BL108" s="591"/>
      <c r="BM108" s="613">
        <f t="shared" si="30"/>
        <v>20</v>
      </c>
      <c r="BN108" s="769" t="s">
        <v>920</v>
      </c>
      <c r="BO108" s="575">
        <v>1</v>
      </c>
      <c r="BP108" s="584">
        <f>+IF(BO108="","",(VLOOKUP($C108,'EQUIP RATE SCHEDULE'!$B$11:$F$162,5,FALSE)))</f>
        <v>20</v>
      </c>
      <c r="BQ108" s="591"/>
      <c r="BR108" s="613">
        <f t="shared" si="31"/>
        <v>20</v>
      </c>
      <c r="BS108" s="769" t="s">
        <v>920</v>
      </c>
      <c r="BT108" s="575">
        <v>1</v>
      </c>
      <c r="BU108" s="584">
        <f>+IF(BT108="","",(VLOOKUP($C108,'EQUIP RATE SCHEDULE'!$B$11:$F$162,5,FALSE)))</f>
        <v>20</v>
      </c>
      <c r="BV108" s="591"/>
      <c r="BW108" s="613">
        <f t="shared" si="32"/>
        <v>20</v>
      </c>
      <c r="BX108" s="769" t="s">
        <v>920</v>
      </c>
      <c r="BY108" s="575">
        <v>1</v>
      </c>
      <c r="BZ108" s="584">
        <f>+IF(BY108="","",(VLOOKUP($C108,'EQUIP RATE SCHEDULE'!$B$11:$F$162,5,FALSE)))</f>
        <v>20</v>
      </c>
      <c r="CA108" s="591"/>
      <c r="CB108" s="613">
        <f t="shared" si="33"/>
        <v>20</v>
      </c>
      <c r="CC108" s="769" t="s">
        <v>920</v>
      </c>
      <c r="CD108" s="575">
        <v>1</v>
      </c>
      <c r="CE108" s="584">
        <f>+IF(CD108="","",(VLOOKUP($C108,'EQUIP RATE SCHEDULE'!$B$11:$F$162,5,FALSE)))</f>
        <v>20</v>
      </c>
      <c r="CF108" s="591"/>
      <c r="CG108" s="613">
        <f t="shared" si="34"/>
        <v>20</v>
      </c>
      <c r="CH108" s="769" t="s">
        <v>920</v>
      </c>
      <c r="CI108" s="575">
        <v>1</v>
      </c>
      <c r="CJ108" s="584">
        <f>+IF(CI108="","",(VLOOKUP($C108,'EQUIP RATE SCHEDULE'!$B$11:$F$162,5,FALSE)))</f>
        <v>20</v>
      </c>
      <c r="CK108" s="591"/>
      <c r="CL108" s="613">
        <f t="shared" si="35"/>
        <v>20</v>
      </c>
      <c r="CM108" s="769" t="s">
        <v>920</v>
      </c>
      <c r="CN108" s="575">
        <v>1</v>
      </c>
      <c r="CO108" s="584">
        <f>+IF(CN108="","",(VLOOKUP($C108,'EQUIP RATE SCHEDULE'!$B$11:$F$162,5,FALSE)))</f>
        <v>20</v>
      </c>
      <c r="CP108" s="591"/>
      <c r="CQ108" s="613">
        <f t="shared" si="36"/>
        <v>20</v>
      </c>
      <c r="CR108" s="769" t="s">
        <v>920</v>
      </c>
      <c r="CS108" s="575">
        <v>1</v>
      </c>
      <c r="CT108" s="584">
        <f>+IF(CS108="","",(VLOOKUP($C108,'EQUIP RATE SCHEDULE'!$B$11:$F$162,5,FALSE)))</f>
        <v>20</v>
      </c>
      <c r="CU108" s="591"/>
      <c r="CV108" s="613">
        <f t="shared" si="37"/>
        <v>20</v>
      </c>
      <c r="CW108" s="769" t="s">
        <v>920</v>
      </c>
      <c r="CX108" s="575">
        <v>1</v>
      </c>
      <c r="CY108" s="584">
        <f>+IF(CX108="","",(VLOOKUP($C108,'EQUIP RATE SCHEDULE'!$B$11:$F$162,5,FALSE)))</f>
        <v>20</v>
      </c>
      <c r="CZ108" s="591"/>
      <c r="DA108" s="613">
        <f t="shared" si="38"/>
        <v>20</v>
      </c>
    </row>
    <row r="109" spans="1:105" ht="15" x14ac:dyDescent="0.25">
      <c r="A109" s="1498"/>
      <c r="B109" s="809" t="s">
        <v>1273</v>
      </c>
      <c r="C109" s="776" t="s">
        <v>1115</v>
      </c>
      <c r="D109" s="779" t="s">
        <v>1116</v>
      </c>
      <c r="E109" s="780"/>
      <c r="F109" s="769" t="s">
        <v>920</v>
      </c>
      <c r="G109" s="575">
        <v>1</v>
      </c>
      <c r="H109" s="584">
        <f>+IF(G109="","",(VLOOKUP($C109,'EQUIP RATE SCHEDULE'!$B$11:$F$162,5,FALSE)))</f>
        <v>14</v>
      </c>
      <c r="I109" s="591"/>
      <c r="J109" s="613">
        <f t="shared" si="39"/>
        <v>14</v>
      </c>
      <c r="K109" s="769" t="s">
        <v>920</v>
      </c>
      <c r="L109" s="575">
        <v>1</v>
      </c>
      <c r="M109" s="584">
        <f>+IF(L109="","",(VLOOKUP($C109,'EQUIP RATE SCHEDULE'!$B$11:$F$162,5,FALSE)))</f>
        <v>14</v>
      </c>
      <c r="N109" s="591"/>
      <c r="O109" s="613">
        <f t="shared" si="40"/>
        <v>14</v>
      </c>
      <c r="P109" s="769" t="s">
        <v>920</v>
      </c>
      <c r="Q109" s="575">
        <v>1</v>
      </c>
      <c r="R109" s="584">
        <f>+IF(Q109="","",(VLOOKUP($C109,'EQUIP RATE SCHEDULE'!$B$11:$F$162,5,FALSE)))</f>
        <v>14</v>
      </c>
      <c r="S109" s="591"/>
      <c r="T109" s="613">
        <f t="shared" si="41"/>
        <v>14</v>
      </c>
      <c r="U109" s="769" t="s">
        <v>920</v>
      </c>
      <c r="V109" s="575">
        <v>1</v>
      </c>
      <c r="W109" s="584">
        <f>+IF(V109="","",(VLOOKUP($C109,'EQUIP RATE SCHEDULE'!$B$11:$F$162,5,FALSE)))</f>
        <v>14</v>
      </c>
      <c r="X109" s="591"/>
      <c r="Y109" s="613">
        <f t="shared" si="42"/>
        <v>14</v>
      </c>
      <c r="Z109" s="769" t="s">
        <v>920</v>
      </c>
      <c r="AA109" s="575">
        <v>1</v>
      </c>
      <c r="AB109" s="584">
        <f>+IF(AA109="","",(VLOOKUP($C109,'EQUIP RATE SCHEDULE'!$B$11:$F$162,5,FALSE)))</f>
        <v>14</v>
      </c>
      <c r="AC109" s="591"/>
      <c r="AD109" s="613">
        <f t="shared" si="43"/>
        <v>14</v>
      </c>
      <c r="AE109" s="769" t="s">
        <v>920</v>
      </c>
      <c r="AF109" s="575">
        <v>1</v>
      </c>
      <c r="AG109" s="584">
        <f>+IF(AF109="","",(VLOOKUP($C109,'EQUIP RATE SCHEDULE'!$B$11:$F$162,5,FALSE)))</f>
        <v>14</v>
      </c>
      <c r="AH109" s="591"/>
      <c r="AI109" s="613">
        <f t="shared" si="44"/>
        <v>14</v>
      </c>
      <c r="AJ109" s="769" t="s">
        <v>920</v>
      </c>
      <c r="AK109" s="575">
        <v>1</v>
      </c>
      <c r="AL109" s="584">
        <f>+IF(AK109="","",(VLOOKUP($C109,'EQUIP RATE SCHEDULE'!$B$11:$F$162,5,FALSE)))</f>
        <v>14</v>
      </c>
      <c r="AM109" s="591"/>
      <c r="AN109" s="613">
        <f t="shared" si="45"/>
        <v>14</v>
      </c>
      <c r="AO109" s="769" t="s">
        <v>920</v>
      </c>
      <c r="AP109" s="575">
        <v>1</v>
      </c>
      <c r="AQ109" s="584">
        <f>+IF(AP109="","",(VLOOKUP($C109,'EQUIP RATE SCHEDULE'!$B$11:$F$162,5,FALSE)))</f>
        <v>14</v>
      </c>
      <c r="AR109" s="591"/>
      <c r="AS109" s="613">
        <f t="shared" si="46"/>
        <v>14</v>
      </c>
      <c r="AT109" s="769" t="s">
        <v>920</v>
      </c>
      <c r="AU109" s="575">
        <v>1</v>
      </c>
      <c r="AV109" s="584">
        <f>+IF(AU109="","",(VLOOKUP($C109,'EQUIP RATE SCHEDULE'!$B$11:$F$162,5,FALSE)))</f>
        <v>14</v>
      </c>
      <c r="AW109" s="591"/>
      <c r="AX109" s="613">
        <f t="shared" si="47"/>
        <v>14</v>
      </c>
      <c r="AY109" s="769" t="s">
        <v>920</v>
      </c>
      <c r="AZ109" s="575">
        <v>1</v>
      </c>
      <c r="BA109" s="584">
        <f>+IF(AZ109="","",(VLOOKUP($C109,'EQUIP RATE SCHEDULE'!$B$11:$F$162,5,FALSE)))</f>
        <v>14</v>
      </c>
      <c r="BB109" s="591"/>
      <c r="BC109" s="613">
        <f t="shared" si="48"/>
        <v>14</v>
      </c>
      <c r="BD109" s="769" t="s">
        <v>920</v>
      </c>
      <c r="BE109" s="575">
        <v>1</v>
      </c>
      <c r="BF109" s="584">
        <f>+IF(BE109="","",(VLOOKUP($C109,'EQUIP RATE SCHEDULE'!$B$11:$F$162,5,FALSE)))</f>
        <v>14</v>
      </c>
      <c r="BG109" s="591"/>
      <c r="BH109" s="613">
        <f t="shared" si="29"/>
        <v>14</v>
      </c>
      <c r="BI109" s="769" t="s">
        <v>920</v>
      </c>
      <c r="BJ109" s="575">
        <v>1</v>
      </c>
      <c r="BK109" s="584">
        <f>+IF(BJ109="","",(VLOOKUP($C109,'EQUIP RATE SCHEDULE'!$B$11:$F$162,5,FALSE)))</f>
        <v>14</v>
      </c>
      <c r="BL109" s="591"/>
      <c r="BM109" s="613">
        <f t="shared" si="30"/>
        <v>14</v>
      </c>
      <c r="BN109" s="769" t="s">
        <v>920</v>
      </c>
      <c r="BO109" s="575">
        <v>1</v>
      </c>
      <c r="BP109" s="584">
        <f>+IF(BO109="","",(VLOOKUP($C109,'EQUIP RATE SCHEDULE'!$B$11:$F$162,5,FALSE)))</f>
        <v>14</v>
      </c>
      <c r="BQ109" s="591"/>
      <c r="BR109" s="613">
        <f t="shared" si="31"/>
        <v>14</v>
      </c>
      <c r="BS109" s="769" t="s">
        <v>920</v>
      </c>
      <c r="BT109" s="575">
        <v>1</v>
      </c>
      <c r="BU109" s="584">
        <f>+IF(BT109="","",(VLOOKUP($C109,'EQUIP RATE SCHEDULE'!$B$11:$F$162,5,FALSE)))</f>
        <v>14</v>
      </c>
      <c r="BV109" s="591"/>
      <c r="BW109" s="613">
        <f t="shared" si="32"/>
        <v>14</v>
      </c>
      <c r="BX109" s="769" t="s">
        <v>920</v>
      </c>
      <c r="BY109" s="575">
        <v>1</v>
      </c>
      <c r="BZ109" s="584">
        <f>+IF(BY109="","",(VLOOKUP($C109,'EQUIP RATE SCHEDULE'!$B$11:$F$162,5,FALSE)))</f>
        <v>14</v>
      </c>
      <c r="CA109" s="591"/>
      <c r="CB109" s="613">
        <f t="shared" si="33"/>
        <v>14</v>
      </c>
      <c r="CC109" s="769" t="s">
        <v>920</v>
      </c>
      <c r="CD109" s="575">
        <v>1</v>
      </c>
      <c r="CE109" s="584">
        <f>+IF(CD109="","",(VLOOKUP($C109,'EQUIP RATE SCHEDULE'!$B$11:$F$162,5,FALSE)))</f>
        <v>14</v>
      </c>
      <c r="CF109" s="591"/>
      <c r="CG109" s="613">
        <f t="shared" si="34"/>
        <v>14</v>
      </c>
      <c r="CH109" s="769" t="s">
        <v>920</v>
      </c>
      <c r="CI109" s="575">
        <v>1</v>
      </c>
      <c r="CJ109" s="584">
        <f>+IF(CI109="","",(VLOOKUP($C109,'EQUIP RATE SCHEDULE'!$B$11:$F$162,5,FALSE)))</f>
        <v>14</v>
      </c>
      <c r="CK109" s="591"/>
      <c r="CL109" s="613">
        <f t="shared" si="35"/>
        <v>14</v>
      </c>
      <c r="CM109" s="769" t="s">
        <v>920</v>
      </c>
      <c r="CN109" s="575">
        <v>1</v>
      </c>
      <c r="CO109" s="584">
        <f>+IF(CN109="","",(VLOOKUP($C109,'EQUIP RATE SCHEDULE'!$B$11:$F$162,5,FALSE)))</f>
        <v>14</v>
      </c>
      <c r="CP109" s="591"/>
      <c r="CQ109" s="613">
        <f t="shared" si="36"/>
        <v>14</v>
      </c>
      <c r="CR109" s="769" t="s">
        <v>920</v>
      </c>
      <c r="CS109" s="575">
        <v>1</v>
      </c>
      <c r="CT109" s="584">
        <f>+IF(CS109="","",(VLOOKUP($C109,'EQUIP RATE SCHEDULE'!$B$11:$F$162,5,FALSE)))</f>
        <v>14</v>
      </c>
      <c r="CU109" s="591"/>
      <c r="CV109" s="613">
        <f t="shared" si="37"/>
        <v>14</v>
      </c>
      <c r="CW109" s="769" t="s">
        <v>920</v>
      </c>
      <c r="CX109" s="575">
        <v>1</v>
      </c>
      <c r="CY109" s="584">
        <f>+IF(CX109="","",(VLOOKUP($C109,'EQUIP RATE SCHEDULE'!$B$11:$F$162,5,FALSE)))</f>
        <v>14</v>
      </c>
      <c r="CZ109" s="591"/>
      <c r="DA109" s="613">
        <f t="shared" si="38"/>
        <v>14</v>
      </c>
    </row>
    <row r="110" spans="1:105" ht="15" x14ac:dyDescent="0.25">
      <c r="A110" s="1498"/>
      <c r="B110" s="809" t="s">
        <v>1273</v>
      </c>
      <c r="C110" s="776" t="s">
        <v>1117</v>
      </c>
      <c r="D110" s="1491" t="s">
        <v>100</v>
      </c>
      <c r="E110" s="1488" t="s">
        <v>1118</v>
      </c>
      <c r="F110" s="769" t="s">
        <v>66</v>
      </c>
      <c r="G110" s="575">
        <v>1</v>
      </c>
      <c r="H110" s="584">
        <f>+IF(G110="","",(VLOOKUP($C110,'EQUIP RATE SCHEDULE'!$B$11:$F$162,5,FALSE)))</f>
        <v>40</v>
      </c>
      <c r="I110" s="591"/>
      <c r="J110" s="613">
        <f t="shared" si="39"/>
        <v>40</v>
      </c>
      <c r="K110" s="769" t="s">
        <v>66</v>
      </c>
      <c r="L110" s="575">
        <v>1</v>
      </c>
      <c r="M110" s="584">
        <f>+IF(L110="","",(VLOOKUP($C110,'EQUIP RATE SCHEDULE'!$B$11:$F$162,5,FALSE)))</f>
        <v>40</v>
      </c>
      <c r="N110" s="591"/>
      <c r="O110" s="613">
        <f t="shared" si="40"/>
        <v>40</v>
      </c>
      <c r="P110" s="769" t="s">
        <v>66</v>
      </c>
      <c r="Q110" s="575">
        <v>1</v>
      </c>
      <c r="R110" s="584">
        <f>+IF(Q110="","",(VLOOKUP($C110,'EQUIP RATE SCHEDULE'!$B$11:$F$162,5,FALSE)))</f>
        <v>40</v>
      </c>
      <c r="S110" s="591"/>
      <c r="T110" s="613">
        <f t="shared" si="41"/>
        <v>40</v>
      </c>
      <c r="U110" s="769" t="s">
        <v>66</v>
      </c>
      <c r="V110" s="575">
        <v>1</v>
      </c>
      <c r="W110" s="584">
        <f>+IF(V110="","",(VLOOKUP($C110,'EQUIP RATE SCHEDULE'!$B$11:$F$162,5,FALSE)))</f>
        <v>40</v>
      </c>
      <c r="X110" s="591"/>
      <c r="Y110" s="613">
        <f t="shared" si="42"/>
        <v>40</v>
      </c>
      <c r="Z110" s="769" t="s">
        <v>66</v>
      </c>
      <c r="AA110" s="575">
        <v>1</v>
      </c>
      <c r="AB110" s="584">
        <f>+IF(AA110="","",(VLOOKUP($C110,'EQUIP RATE SCHEDULE'!$B$11:$F$162,5,FALSE)))</f>
        <v>40</v>
      </c>
      <c r="AC110" s="591"/>
      <c r="AD110" s="613">
        <f t="shared" si="43"/>
        <v>40</v>
      </c>
      <c r="AE110" s="769" t="s">
        <v>66</v>
      </c>
      <c r="AF110" s="575">
        <v>1</v>
      </c>
      <c r="AG110" s="584">
        <f>+IF(AF110="","",(VLOOKUP($C110,'EQUIP RATE SCHEDULE'!$B$11:$F$162,5,FALSE)))</f>
        <v>40</v>
      </c>
      <c r="AH110" s="591"/>
      <c r="AI110" s="613">
        <f t="shared" si="44"/>
        <v>40</v>
      </c>
      <c r="AJ110" s="769" t="s">
        <v>66</v>
      </c>
      <c r="AK110" s="575">
        <v>1</v>
      </c>
      <c r="AL110" s="584">
        <f>+IF(AK110="","",(VLOOKUP($C110,'EQUIP RATE SCHEDULE'!$B$11:$F$162,5,FALSE)))</f>
        <v>40</v>
      </c>
      <c r="AM110" s="591"/>
      <c r="AN110" s="613">
        <f t="shared" si="45"/>
        <v>40</v>
      </c>
      <c r="AO110" s="769" t="s">
        <v>66</v>
      </c>
      <c r="AP110" s="575">
        <v>1</v>
      </c>
      <c r="AQ110" s="584">
        <f>+IF(AP110="","",(VLOOKUP($C110,'EQUIP RATE SCHEDULE'!$B$11:$F$162,5,FALSE)))</f>
        <v>40</v>
      </c>
      <c r="AR110" s="591"/>
      <c r="AS110" s="613">
        <f t="shared" si="46"/>
        <v>40</v>
      </c>
      <c r="AT110" s="769" t="s">
        <v>66</v>
      </c>
      <c r="AU110" s="575">
        <v>1</v>
      </c>
      <c r="AV110" s="584">
        <f>+IF(AU110="","",(VLOOKUP($C110,'EQUIP RATE SCHEDULE'!$B$11:$F$162,5,FALSE)))</f>
        <v>40</v>
      </c>
      <c r="AW110" s="591"/>
      <c r="AX110" s="613">
        <f t="shared" si="47"/>
        <v>40</v>
      </c>
      <c r="AY110" s="769" t="s">
        <v>66</v>
      </c>
      <c r="AZ110" s="575">
        <v>1</v>
      </c>
      <c r="BA110" s="584">
        <f>+IF(AZ110="","",(VLOOKUP($C110,'EQUIP RATE SCHEDULE'!$B$11:$F$162,5,FALSE)))</f>
        <v>40</v>
      </c>
      <c r="BB110" s="591"/>
      <c r="BC110" s="613">
        <f t="shared" si="48"/>
        <v>40</v>
      </c>
      <c r="BD110" s="769" t="s">
        <v>66</v>
      </c>
      <c r="BE110" s="575">
        <v>1</v>
      </c>
      <c r="BF110" s="584">
        <f>+IF(BE110="","",(VLOOKUP($C110,'EQUIP RATE SCHEDULE'!$B$11:$F$162,5,FALSE)))</f>
        <v>40</v>
      </c>
      <c r="BG110" s="591"/>
      <c r="BH110" s="613">
        <f t="shared" si="29"/>
        <v>40</v>
      </c>
      <c r="BI110" s="769" t="s">
        <v>66</v>
      </c>
      <c r="BJ110" s="575">
        <v>1</v>
      </c>
      <c r="BK110" s="584">
        <f>+IF(BJ110="","",(VLOOKUP($C110,'EQUIP RATE SCHEDULE'!$B$11:$F$162,5,FALSE)))</f>
        <v>40</v>
      </c>
      <c r="BL110" s="591"/>
      <c r="BM110" s="613">
        <f t="shared" si="30"/>
        <v>40</v>
      </c>
      <c r="BN110" s="769" t="s">
        <v>66</v>
      </c>
      <c r="BO110" s="575">
        <v>1</v>
      </c>
      <c r="BP110" s="584">
        <f>+IF(BO110="","",(VLOOKUP($C110,'EQUIP RATE SCHEDULE'!$B$11:$F$162,5,FALSE)))</f>
        <v>40</v>
      </c>
      <c r="BQ110" s="591"/>
      <c r="BR110" s="613">
        <f t="shared" si="31"/>
        <v>40</v>
      </c>
      <c r="BS110" s="769" t="s">
        <v>66</v>
      </c>
      <c r="BT110" s="575">
        <v>1</v>
      </c>
      <c r="BU110" s="584">
        <f>+IF(BT110="","",(VLOOKUP($C110,'EQUIP RATE SCHEDULE'!$B$11:$F$162,5,FALSE)))</f>
        <v>40</v>
      </c>
      <c r="BV110" s="591"/>
      <c r="BW110" s="613">
        <f t="shared" si="32"/>
        <v>40</v>
      </c>
      <c r="BX110" s="769" t="s">
        <v>66</v>
      </c>
      <c r="BY110" s="575">
        <v>1</v>
      </c>
      <c r="BZ110" s="584">
        <f>+IF(BY110="","",(VLOOKUP($C110,'EQUIP RATE SCHEDULE'!$B$11:$F$162,5,FALSE)))</f>
        <v>40</v>
      </c>
      <c r="CA110" s="591"/>
      <c r="CB110" s="613">
        <f t="shared" si="33"/>
        <v>40</v>
      </c>
      <c r="CC110" s="769" t="s">
        <v>66</v>
      </c>
      <c r="CD110" s="575">
        <v>1</v>
      </c>
      <c r="CE110" s="584">
        <f>+IF(CD110="","",(VLOOKUP($C110,'EQUIP RATE SCHEDULE'!$B$11:$F$162,5,FALSE)))</f>
        <v>40</v>
      </c>
      <c r="CF110" s="591"/>
      <c r="CG110" s="613">
        <f t="shared" si="34"/>
        <v>40</v>
      </c>
      <c r="CH110" s="769" t="s">
        <v>66</v>
      </c>
      <c r="CI110" s="575">
        <v>1</v>
      </c>
      <c r="CJ110" s="584">
        <f>+IF(CI110="","",(VLOOKUP($C110,'EQUIP RATE SCHEDULE'!$B$11:$F$162,5,FALSE)))</f>
        <v>40</v>
      </c>
      <c r="CK110" s="591"/>
      <c r="CL110" s="613">
        <f t="shared" si="35"/>
        <v>40</v>
      </c>
      <c r="CM110" s="769" t="s">
        <v>66</v>
      </c>
      <c r="CN110" s="575">
        <v>1</v>
      </c>
      <c r="CO110" s="584">
        <f>+IF(CN110="","",(VLOOKUP($C110,'EQUIP RATE SCHEDULE'!$B$11:$F$162,5,FALSE)))</f>
        <v>40</v>
      </c>
      <c r="CP110" s="591"/>
      <c r="CQ110" s="613">
        <f t="shared" si="36"/>
        <v>40</v>
      </c>
      <c r="CR110" s="769" t="s">
        <v>66</v>
      </c>
      <c r="CS110" s="575">
        <v>1</v>
      </c>
      <c r="CT110" s="584">
        <f>+IF(CS110="","",(VLOOKUP($C110,'EQUIP RATE SCHEDULE'!$B$11:$F$162,5,FALSE)))</f>
        <v>40</v>
      </c>
      <c r="CU110" s="591"/>
      <c r="CV110" s="613">
        <f t="shared" si="37"/>
        <v>40</v>
      </c>
      <c r="CW110" s="769" t="s">
        <v>66</v>
      </c>
      <c r="CX110" s="575">
        <v>1</v>
      </c>
      <c r="CY110" s="584">
        <f>+IF(CX110="","",(VLOOKUP($C110,'EQUIP RATE SCHEDULE'!$B$11:$F$162,5,FALSE)))</f>
        <v>40</v>
      </c>
      <c r="CZ110" s="591"/>
      <c r="DA110" s="613">
        <f t="shared" si="38"/>
        <v>40</v>
      </c>
    </row>
    <row r="111" spans="1:105" ht="15" x14ac:dyDescent="0.25">
      <c r="A111" s="1498"/>
      <c r="B111" s="809" t="s">
        <v>1273</v>
      </c>
      <c r="C111" s="776" t="s">
        <v>1119</v>
      </c>
      <c r="D111" s="1492"/>
      <c r="E111" s="1490"/>
      <c r="F111" s="769" t="s">
        <v>67</v>
      </c>
      <c r="G111" s="575">
        <v>1</v>
      </c>
      <c r="H111" s="584">
        <f>+IF(G111="","",(VLOOKUP($C111,'EQUIP RATE SCHEDULE'!$B$11:$F$162,5,FALSE)))</f>
        <v>120</v>
      </c>
      <c r="I111" s="591"/>
      <c r="J111" s="613">
        <f t="shared" si="39"/>
        <v>120</v>
      </c>
      <c r="K111" s="769" t="s">
        <v>67</v>
      </c>
      <c r="L111" s="575">
        <v>1</v>
      </c>
      <c r="M111" s="584">
        <f>+IF(L111="","",(VLOOKUP($C111,'EQUIP RATE SCHEDULE'!$B$11:$F$162,5,FALSE)))</f>
        <v>120</v>
      </c>
      <c r="N111" s="591"/>
      <c r="O111" s="613">
        <f t="shared" si="40"/>
        <v>120</v>
      </c>
      <c r="P111" s="769" t="s">
        <v>67</v>
      </c>
      <c r="Q111" s="575">
        <v>1</v>
      </c>
      <c r="R111" s="584">
        <f>+IF(Q111="","",(VLOOKUP($C111,'EQUIP RATE SCHEDULE'!$B$11:$F$162,5,FALSE)))</f>
        <v>120</v>
      </c>
      <c r="S111" s="591"/>
      <c r="T111" s="613">
        <f t="shared" si="41"/>
        <v>120</v>
      </c>
      <c r="U111" s="769" t="s">
        <v>67</v>
      </c>
      <c r="V111" s="575">
        <v>1</v>
      </c>
      <c r="W111" s="584">
        <f>+IF(V111="","",(VLOOKUP($C111,'EQUIP RATE SCHEDULE'!$B$11:$F$162,5,FALSE)))</f>
        <v>120</v>
      </c>
      <c r="X111" s="591"/>
      <c r="Y111" s="613">
        <f t="shared" si="42"/>
        <v>120</v>
      </c>
      <c r="Z111" s="769" t="s">
        <v>67</v>
      </c>
      <c r="AA111" s="575">
        <v>1</v>
      </c>
      <c r="AB111" s="584">
        <f>+IF(AA111="","",(VLOOKUP($C111,'EQUIP RATE SCHEDULE'!$B$11:$F$162,5,FALSE)))</f>
        <v>120</v>
      </c>
      <c r="AC111" s="591"/>
      <c r="AD111" s="613">
        <f t="shared" si="43"/>
        <v>120</v>
      </c>
      <c r="AE111" s="769" t="s">
        <v>67</v>
      </c>
      <c r="AF111" s="575">
        <v>1</v>
      </c>
      <c r="AG111" s="584">
        <f>+IF(AF111="","",(VLOOKUP($C111,'EQUIP RATE SCHEDULE'!$B$11:$F$162,5,FALSE)))</f>
        <v>120</v>
      </c>
      <c r="AH111" s="591"/>
      <c r="AI111" s="613">
        <f t="shared" si="44"/>
        <v>120</v>
      </c>
      <c r="AJ111" s="769" t="s">
        <v>67</v>
      </c>
      <c r="AK111" s="575">
        <v>1</v>
      </c>
      <c r="AL111" s="584">
        <f>+IF(AK111="","",(VLOOKUP($C111,'EQUIP RATE SCHEDULE'!$B$11:$F$162,5,FALSE)))</f>
        <v>120</v>
      </c>
      <c r="AM111" s="591"/>
      <c r="AN111" s="613">
        <f t="shared" si="45"/>
        <v>120</v>
      </c>
      <c r="AO111" s="769" t="s">
        <v>67</v>
      </c>
      <c r="AP111" s="575">
        <v>1</v>
      </c>
      <c r="AQ111" s="584">
        <f>+IF(AP111="","",(VLOOKUP($C111,'EQUIP RATE SCHEDULE'!$B$11:$F$162,5,FALSE)))</f>
        <v>120</v>
      </c>
      <c r="AR111" s="591"/>
      <c r="AS111" s="613">
        <f t="shared" si="46"/>
        <v>120</v>
      </c>
      <c r="AT111" s="769" t="s">
        <v>67</v>
      </c>
      <c r="AU111" s="575">
        <v>1</v>
      </c>
      <c r="AV111" s="584">
        <f>+IF(AU111="","",(VLOOKUP($C111,'EQUIP RATE SCHEDULE'!$B$11:$F$162,5,FALSE)))</f>
        <v>120</v>
      </c>
      <c r="AW111" s="591"/>
      <c r="AX111" s="613">
        <f t="shared" si="47"/>
        <v>120</v>
      </c>
      <c r="AY111" s="769" t="s">
        <v>67</v>
      </c>
      <c r="AZ111" s="575">
        <v>1</v>
      </c>
      <c r="BA111" s="584">
        <f>+IF(AZ111="","",(VLOOKUP($C111,'EQUIP RATE SCHEDULE'!$B$11:$F$162,5,FALSE)))</f>
        <v>120</v>
      </c>
      <c r="BB111" s="591"/>
      <c r="BC111" s="613">
        <f t="shared" si="48"/>
        <v>120</v>
      </c>
      <c r="BD111" s="769" t="s">
        <v>67</v>
      </c>
      <c r="BE111" s="575">
        <v>1</v>
      </c>
      <c r="BF111" s="584">
        <f>+IF(BE111="","",(VLOOKUP($C111,'EQUIP RATE SCHEDULE'!$B$11:$F$162,5,FALSE)))</f>
        <v>120</v>
      </c>
      <c r="BG111" s="591"/>
      <c r="BH111" s="613">
        <f t="shared" si="29"/>
        <v>120</v>
      </c>
      <c r="BI111" s="769" t="s">
        <v>67</v>
      </c>
      <c r="BJ111" s="575">
        <v>1</v>
      </c>
      <c r="BK111" s="584">
        <f>+IF(BJ111="","",(VLOOKUP($C111,'EQUIP RATE SCHEDULE'!$B$11:$F$162,5,FALSE)))</f>
        <v>120</v>
      </c>
      <c r="BL111" s="591"/>
      <c r="BM111" s="613">
        <f t="shared" si="30"/>
        <v>120</v>
      </c>
      <c r="BN111" s="769" t="s">
        <v>67</v>
      </c>
      <c r="BO111" s="575">
        <v>1</v>
      </c>
      <c r="BP111" s="584">
        <f>+IF(BO111="","",(VLOOKUP($C111,'EQUIP RATE SCHEDULE'!$B$11:$F$162,5,FALSE)))</f>
        <v>120</v>
      </c>
      <c r="BQ111" s="591"/>
      <c r="BR111" s="613">
        <f t="shared" si="31"/>
        <v>120</v>
      </c>
      <c r="BS111" s="769" t="s">
        <v>67</v>
      </c>
      <c r="BT111" s="575">
        <v>1</v>
      </c>
      <c r="BU111" s="584">
        <f>+IF(BT111="","",(VLOOKUP($C111,'EQUIP RATE SCHEDULE'!$B$11:$F$162,5,FALSE)))</f>
        <v>120</v>
      </c>
      <c r="BV111" s="591"/>
      <c r="BW111" s="613">
        <f t="shared" si="32"/>
        <v>120</v>
      </c>
      <c r="BX111" s="769" t="s">
        <v>67</v>
      </c>
      <c r="BY111" s="575">
        <v>1</v>
      </c>
      <c r="BZ111" s="584">
        <f>+IF(BY111="","",(VLOOKUP($C111,'EQUIP RATE SCHEDULE'!$B$11:$F$162,5,FALSE)))</f>
        <v>120</v>
      </c>
      <c r="CA111" s="591"/>
      <c r="CB111" s="613">
        <f t="shared" si="33"/>
        <v>120</v>
      </c>
      <c r="CC111" s="769" t="s">
        <v>67</v>
      </c>
      <c r="CD111" s="575">
        <v>1</v>
      </c>
      <c r="CE111" s="584">
        <f>+IF(CD111="","",(VLOOKUP($C111,'EQUIP RATE SCHEDULE'!$B$11:$F$162,5,FALSE)))</f>
        <v>120</v>
      </c>
      <c r="CF111" s="591"/>
      <c r="CG111" s="613">
        <f t="shared" si="34"/>
        <v>120</v>
      </c>
      <c r="CH111" s="769" t="s">
        <v>67</v>
      </c>
      <c r="CI111" s="575">
        <v>1</v>
      </c>
      <c r="CJ111" s="584">
        <f>+IF(CI111="","",(VLOOKUP($C111,'EQUIP RATE SCHEDULE'!$B$11:$F$162,5,FALSE)))</f>
        <v>120</v>
      </c>
      <c r="CK111" s="591"/>
      <c r="CL111" s="613">
        <f t="shared" si="35"/>
        <v>120</v>
      </c>
      <c r="CM111" s="769" t="s">
        <v>67</v>
      </c>
      <c r="CN111" s="575">
        <v>1</v>
      </c>
      <c r="CO111" s="584">
        <f>+IF(CN111="","",(VLOOKUP($C111,'EQUIP RATE SCHEDULE'!$B$11:$F$162,5,FALSE)))</f>
        <v>120</v>
      </c>
      <c r="CP111" s="591"/>
      <c r="CQ111" s="613">
        <f t="shared" si="36"/>
        <v>120</v>
      </c>
      <c r="CR111" s="769" t="s">
        <v>67</v>
      </c>
      <c r="CS111" s="575">
        <v>1</v>
      </c>
      <c r="CT111" s="584">
        <f>+IF(CS111="","",(VLOOKUP($C111,'EQUIP RATE SCHEDULE'!$B$11:$F$162,5,FALSE)))</f>
        <v>120</v>
      </c>
      <c r="CU111" s="591"/>
      <c r="CV111" s="613">
        <f t="shared" si="37"/>
        <v>120</v>
      </c>
      <c r="CW111" s="769" t="s">
        <v>67</v>
      </c>
      <c r="CX111" s="575">
        <v>1</v>
      </c>
      <c r="CY111" s="584">
        <f>+IF(CX111="","",(VLOOKUP($C111,'EQUIP RATE SCHEDULE'!$B$11:$F$162,5,FALSE)))</f>
        <v>120</v>
      </c>
      <c r="CZ111" s="591"/>
      <c r="DA111" s="613">
        <f t="shared" si="38"/>
        <v>120</v>
      </c>
    </row>
    <row r="112" spans="1:105" ht="15" x14ac:dyDescent="0.25">
      <c r="A112" s="1498"/>
      <c r="B112" s="809" t="s">
        <v>1273</v>
      </c>
      <c r="C112" s="776" t="s">
        <v>1120</v>
      </c>
      <c r="D112" s="1491" t="s">
        <v>1121</v>
      </c>
      <c r="E112" s="1503"/>
      <c r="F112" s="769" t="s">
        <v>66</v>
      </c>
      <c r="G112" s="575">
        <v>1</v>
      </c>
      <c r="H112" s="584">
        <f>+IF(G112="","",(VLOOKUP($C112,'EQUIP RATE SCHEDULE'!$B$11:$F$162,5,FALSE)))</f>
        <v>25</v>
      </c>
      <c r="I112" s="591"/>
      <c r="J112" s="613">
        <f t="shared" si="39"/>
        <v>25</v>
      </c>
      <c r="K112" s="769" t="s">
        <v>66</v>
      </c>
      <c r="L112" s="575">
        <v>1</v>
      </c>
      <c r="M112" s="584">
        <f>+IF(L112="","",(VLOOKUP($C112,'EQUIP RATE SCHEDULE'!$B$11:$F$162,5,FALSE)))</f>
        <v>25</v>
      </c>
      <c r="N112" s="591"/>
      <c r="O112" s="613">
        <f t="shared" si="40"/>
        <v>25</v>
      </c>
      <c r="P112" s="769" t="s">
        <v>66</v>
      </c>
      <c r="Q112" s="575">
        <v>1</v>
      </c>
      <c r="R112" s="584">
        <f>+IF(Q112="","",(VLOOKUP($C112,'EQUIP RATE SCHEDULE'!$B$11:$F$162,5,FALSE)))</f>
        <v>25</v>
      </c>
      <c r="S112" s="591"/>
      <c r="T112" s="613">
        <f t="shared" si="41"/>
        <v>25</v>
      </c>
      <c r="U112" s="769" t="s">
        <v>66</v>
      </c>
      <c r="V112" s="575">
        <v>1</v>
      </c>
      <c r="W112" s="584">
        <f>+IF(V112="","",(VLOOKUP($C112,'EQUIP RATE SCHEDULE'!$B$11:$F$162,5,FALSE)))</f>
        <v>25</v>
      </c>
      <c r="X112" s="591"/>
      <c r="Y112" s="613">
        <f t="shared" si="42"/>
        <v>25</v>
      </c>
      <c r="Z112" s="769" t="s">
        <v>66</v>
      </c>
      <c r="AA112" s="575">
        <v>1</v>
      </c>
      <c r="AB112" s="584">
        <f>+IF(AA112="","",(VLOOKUP($C112,'EQUIP RATE SCHEDULE'!$B$11:$F$162,5,FALSE)))</f>
        <v>25</v>
      </c>
      <c r="AC112" s="591"/>
      <c r="AD112" s="613">
        <f t="shared" si="43"/>
        <v>25</v>
      </c>
      <c r="AE112" s="769" t="s">
        <v>66</v>
      </c>
      <c r="AF112" s="575">
        <v>1</v>
      </c>
      <c r="AG112" s="584">
        <f>+IF(AF112="","",(VLOOKUP($C112,'EQUIP RATE SCHEDULE'!$B$11:$F$162,5,FALSE)))</f>
        <v>25</v>
      </c>
      <c r="AH112" s="591"/>
      <c r="AI112" s="613">
        <f t="shared" si="44"/>
        <v>25</v>
      </c>
      <c r="AJ112" s="769" t="s">
        <v>66</v>
      </c>
      <c r="AK112" s="575">
        <v>1</v>
      </c>
      <c r="AL112" s="584">
        <f>+IF(AK112="","",(VLOOKUP($C112,'EQUIP RATE SCHEDULE'!$B$11:$F$162,5,FALSE)))</f>
        <v>25</v>
      </c>
      <c r="AM112" s="591"/>
      <c r="AN112" s="613">
        <f t="shared" si="45"/>
        <v>25</v>
      </c>
      <c r="AO112" s="769" t="s">
        <v>66</v>
      </c>
      <c r="AP112" s="575">
        <v>1</v>
      </c>
      <c r="AQ112" s="584">
        <f>+IF(AP112="","",(VLOOKUP($C112,'EQUIP RATE SCHEDULE'!$B$11:$F$162,5,FALSE)))</f>
        <v>25</v>
      </c>
      <c r="AR112" s="591"/>
      <c r="AS112" s="613">
        <f t="shared" si="46"/>
        <v>25</v>
      </c>
      <c r="AT112" s="769" t="s">
        <v>66</v>
      </c>
      <c r="AU112" s="575">
        <v>1</v>
      </c>
      <c r="AV112" s="584">
        <f>+IF(AU112="","",(VLOOKUP($C112,'EQUIP RATE SCHEDULE'!$B$11:$F$162,5,FALSE)))</f>
        <v>25</v>
      </c>
      <c r="AW112" s="591"/>
      <c r="AX112" s="613">
        <f t="shared" si="47"/>
        <v>25</v>
      </c>
      <c r="AY112" s="769" t="s">
        <v>66</v>
      </c>
      <c r="AZ112" s="575">
        <v>1</v>
      </c>
      <c r="BA112" s="584">
        <f>+IF(AZ112="","",(VLOOKUP($C112,'EQUIP RATE SCHEDULE'!$B$11:$F$162,5,FALSE)))</f>
        <v>25</v>
      </c>
      <c r="BB112" s="591"/>
      <c r="BC112" s="613">
        <f t="shared" si="48"/>
        <v>25</v>
      </c>
      <c r="BD112" s="769" t="s">
        <v>66</v>
      </c>
      <c r="BE112" s="575"/>
      <c r="BF112" s="584" t="str">
        <f>+IF(BE112="","",(VLOOKUP($C112,'EQUIP RATE SCHEDULE'!$B$11:$F$162,5,FALSE)))</f>
        <v/>
      </c>
      <c r="BG112" s="591"/>
      <c r="BH112" s="613" t="str">
        <f t="shared" si="29"/>
        <v/>
      </c>
      <c r="BI112" s="769" t="s">
        <v>66</v>
      </c>
      <c r="BJ112" s="575">
        <v>1</v>
      </c>
      <c r="BK112" s="584">
        <f>+IF(BJ112="","",(VLOOKUP($C112,'EQUIP RATE SCHEDULE'!$B$11:$F$162,5,FALSE)))</f>
        <v>25</v>
      </c>
      <c r="BL112" s="591"/>
      <c r="BM112" s="613">
        <f t="shared" si="30"/>
        <v>25</v>
      </c>
      <c r="BN112" s="769" t="s">
        <v>66</v>
      </c>
      <c r="BO112" s="575">
        <v>1</v>
      </c>
      <c r="BP112" s="584">
        <f>+IF(BO112="","",(VLOOKUP($C112,'EQUIP RATE SCHEDULE'!$B$11:$F$162,5,FALSE)))</f>
        <v>25</v>
      </c>
      <c r="BQ112" s="591"/>
      <c r="BR112" s="613">
        <f t="shared" si="31"/>
        <v>25</v>
      </c>
      <c r="BS112" s="769" t="s">
        <v>66</v>
      </c>
      <c r="BT112" s="575">
        <v>1</v>
      </c>
      <c r="BU112" s="584">
        <f>+IF(BT112="","",(VLOOKUP($C112,'EQUIP RATE SCHEDULE'!$B$11:$F$162,5,FALSE)))</f>
        <v>25</v>
      </c>
      <c r="BV112" s="591"/>
      <c r="BW112" s="613">
        <f t="shared" si="32"/>
        <v>25</v>
      </c>
      <c r="BX112" s="769" t="s">
        <v>66</v>
      </c>
      <c r="BY112" s="575">
        <v>1</v>
      </c>
      <c r="BZ112" s="584">
        <f>+IF(BY112="","",(VLOOKUP($C112,'EQUIP RATE SCHEDULE'!$B$11:$F$162,5,FALSE)))</f>
        <v>25</v>
      </c>
      <c r="CA112" s="591"/>
      <c r="CB112" s="613">
        <f t="shared" si="33"/>
        <v>25</v>
      </c>
      <c r="CC112" s="769" t="s">
        <v>66</v>
      </c>
      <c r="CD112" s="575">
        <v>1</v>
      </c>
      <c r="CE112" s="584">
        <f>+IF(CD112="","",(VLOOKUP($C112,'EQUIP RATE SCHEDULE'!$B$11:$F$162,5,FALSE)))</f>
        <v>25</v>
      </c>
      <c r="CF112" s="591"/>
      <c r="CG112" s="613">
        <f t="shared" si="34"/>
        <v>25</v>
      </c>
      <c r="CH112" s="769" t="s">
        <v>66</v>
      </c>
      <c r="CI112" s="575">
        <v>1</v>
      </c>
      <c r="CJ112" s="584">
        <f>+IF(CI112="","",(VLOOKUP($C112,'EQUIP RATE SCHEDULE'!$B$11:$F$162,5,FALSE)))</f>
        <v>25</v>
      </c>
      <c r="CK112" s="591"/>
      <c r="CL112" s="613">
        <f t="shared" si="35"/>
        <v>25</v>
      </c>
      <c r="CM112" s="769" t="s">
        <v>66</v>
      </c>
      <c r="CN112" s="575">
        <v>1</v>
      </c>
      <c r="CO112" s="584">
        <f>+IF(CN112="","",(VLOOKUP($C112,'EQUIP RATE SCHEDULE'!$B$11:$F$162,5,FALSE)))</f>
        <v>25</v>
      </c>
      <c r="CP112" s="591"/>
      <c r="CQ112" s="613">
        <f t="shared" si="36"/>
        <v>25</v>
      </c>
      <c r="CR112" s="769" t="s">
        <v>66</v>
      </c>
      <c r="CS112" s="575">
        <v>1</v>
      </c>
      <c r="CT112" s="584">
        <f>+IF(CS112="","",(VLOOKUP($C112,'EQUIP RATE SCHEDULE'!$B$11:$F$162,5,FALSE)))</f>
        <v>25</v>
      </c>
      <c r="CU112" s="591"/>
      <c r="CV112" s="613">
        <f t="shared" si="37"/>
        <v>25</v>
      </c>
      <c r="CW112" s="769" t="s">
        <v>66</v>
      </c>
      <c r="CX112" s="575">
        <v>1</v>
      </c>
      <c r="CY112" s="584">
        <f>+IF(CX112="","",(VLOOKUP($C112,'EQUIP RATE SCHEDULE'!$B$11:$F$162,5,FALSE)))</f>
        <v>25</v>
      </c>
      <c r="CZ112" s="591"/>
      <c r="DA112" s="613">
        <f t="shared" si="38"/>
        <v>25</v>
      </c>
    </row>
    <row r="113" spans="1:105" ht="15" x14ac:dyDescent="0.25">
      <c r="A113" s="1498"/>
      <c r="B113" s="809" t="s">
        <v>1273</v>
      </c>
      <c r="C113" s="776" t="s">
        <v>1122</v>
      </c>
      <c r="D113" s="1492"/>
      <c r="E113" s="1504"/>
      <c r="F113" s="769" t="s">
        <v>67</v>
      </c>
      <c r="G113" s="575">
        <v>1</v>
      </c>
      <c r="H113" s="584">
        <f>+IF(G113="","",(VLOOKUP($C113,'EQUIP RATE SCHEDULE'!$B$11:$F$162,5,FALSE)))</f>
        <v>75</v>
      </c>
      <c r="I113" s="591"/>
      <c r="J113" s="613">
        <f t="shared" si="39"/>
        <v>75</v>
      </c>
      <c r="K113" s="769" t="s">
        <v>67</v>
      </c>
      <c r="L113" s="575">
        <v>1</v>
      </c>
      <c r="M113" s="584">
        <f>+IF(L113="","",(VLOOKUP($C113,'EQUIP RATE SCHEDULE'!$B$11:$F$162,5,FALSE)))</f>
        <v>75</v>
      </c>
      <c r="N113" s="591"/>
      <c r="O113" s="613">
        <f t="shared" si="40"/>
        <v>75</v>
      </c>
      <c r="P113" s="769" t="s">
        <v>67</v>
      </c>
      <c r="Q113" s="575">
        <v>1</v>
      </c>
      <c r="R113" s="584">
        <f>+IF(Q113="","",(VLOOKUP($C113,'EQUIP RATE SCHEDULE'!$B$11:$F$162,5,FALSE)))</f>
        <v>75</v>
      </c>
      <c r="S113" s="591"/>
      <c r="T113" s="613">
        <f t="shared" si="41"/>
        <v>75</v>
      </c>
      <c r="U113" s="769" t="s">
        <v>67</v>
      </c>
      <c r="V113" s="575">
        <v>1</v>
      </c>
      <c r="W113" s="584">
        <f>+IF(V113="","",(VLOOKUP($C113,'EQUIP RATE SCHEDULE'!$B$11:$F$162,5,FALSE)))</f>
        <v>75</v>
      </c>
      <c r="X113" s="591"/>
      <c r="Y113" s="613">
        <f t="shared" si="42"/>
        <v>75</v>
      </c>
      <c r="Z113" s="769" t="s">
        <v>67</v>
      </c>
      <c r="AA113" s="575">
        <v>1</v>
      </c>
      <c r="AB113" s="584">
        <f>+IF(AA113="","",(VLOOKUP($C113,'EQUIP RATE SCHEDULE'!$B$11:$F$162,5,FALSE)))</f>
        <v>75</v>
      </c>
      <c r="AC113" s="591"/>
      <c r="AD113" s="613">
        <f t="shared" si="43"/>
        <v>75</v>
      </c>
      <c r="AE113" s="769" t="s">
        <v>67</v>
      </c>
      <c r="AF113" s="575">
        <v>1</v>
      </c>
      <c r="AG113" s="584">
        <f>+IF(AF113="","",(VLOOKUP($C113,'EQUIP RATE SCHEDULE'!$B$11:$F$162,5,FALSE)))</f>
        <v>75</v>
      </c>
      <c r="AH113" s="591"/>
      <c r="AI113" s="613">
        <f t="shared" si="44"/>
        <v>75</v>
      </c>
      <c r="AJ113" s="769" t="s">
        <v>67</v>
      </c>
      <c r="AK113" s="575">
        <v>1</v>
      </c>
      <c r="AL113" s="584">
        <f>+IF(AK113="","",(VLOOKUP($C113,'EQUIP RATE SCHEDULE'!$B$11:$F$162,5,FALSE)))</f>
        <v>75</v>
      </c>
      <c r="AM113" s="591"/>
      <c r="AN113" s="613">
        <f t="shared" si="45"/>
        <v>75</v>
      </c>
      <c r="AO113" s="769" t="s">
        <v>67</v>
      </c>
      <c r="AP113" s="575">
        <v>1</v>
      </c>
      <c r="AQ113" s="584">
        <f>+IF(AP113="","",(VLOOKUP($C113,'EQUIP RATE SCHEDULE'!$B$11:$F$162,5,FALSE)))</f>
        <v>75</v>
      </c>
      <c r="AR113" s="591"/>
      <c r="AS113" s="613">
        <f t="shared" si="46"/>
        <v>75</v>
      </c>
      <c r="AT113" s="769" t="s">
        <v>67</v>
      </c>
      <c r="AU113" s="575">
        <v>1</v>
      </c>
      <c r="AV113" s="584">
        <f>+IF(AU113="","",(VLOOKUP($C113,'EQUIP RATE SCHEDULE'!$B$11:$F$162,5,FALSE)))</f>
        <v>75</v>
      </c>
      <c r="AW113" s="591"/>
      <c r="AX113" s="613">
        <f t="shared" si="47"/>
        <v>75</v>
      </c>
      <c r="AY113" s="769" t="s">
        <v>67</v>
      </c>
      <c r="AZ113" s="575"/>
      <c r="BA113" s="584" t="str">
        <f>+IF(AZ113="","",(VLOOKUP($C113,'EQUIP RATE SCHEDULE'!$B$11:$F$162,5,FALSE)))</f>
        <v/>
      </c>
      <c r="BB113" s="591"/>
      <c r="BC113" s="613" t="str">
        <f t="shared" si="48"/>
        <v/>
      </c>
      <c r="BD113" s="769" t="s">
        <v>67</v>
      </c>
      <c r="BE113" s="575">
        <v>1</v>
      </c>
      <c r="BF113" s="584">
        <f>+IF(BE113="","",(VLOOKUP($C113,'EQUIP RATE SCHEDULE'!$B$11:$F$162,5,FALSE)))</f>
        <v>75</v>
      </c>
      <c r="BG113" s="591"/>
      <c r="BH113" s="613">
        <f t="shared" si="29"/>
        <v>75</v>
      </c>
      <c r="BI113" s="769" t="s">
        <v>67</v>
      </c>
      <c r="BJ113" s="575">
        <v>1</v>
      </c>
      <c r="BK113" s="584">
        <f>+IF(BJ113="","",(VLOOKUP($C113,'EQUIP RATE SCHEDULE'!$B$11:$F$162,5,FALSE)))</f>
        <v>75</v>
      </c>
      <c r="BL113" s="591"/>
      <c r="BM113" s="613">
        <f t="shared" si="30"/>
        <v>75</v>
      </c>
      <c r="BN113" s="769" t="s">
        <v>67</v>
      </c>
      <c r="BO113" s="575">
        <v>1</v>
      </c>
      <c r="BP113" s="584">
        <f>+IF(BO113="","",(VLOOKUP($C113,'EQUIP RATE SCHEDULE'!$B$11:$F$162,5,FALSE)))</f>
        <v>75</v>
      </c>
      <c r="BQ113" s="591"/>
      <c r="BR113" s="613">
        <f t="shared" si="31"/>
        <v>75</v>
      </c>
      <c r="BS113" s="769" t="s">
        <v>67</v>
      </c>
      <c r="BT113" s="575">
        <v>1</v>
      </c>
      <c r="BU113" s="584">
        <f>+IF(BT113="","",(VLOOKUP($C113,'EQUIP RATE SCHEDULE'!$B$11:$F$162,5,FALSE)))</f>
        <v>75</v>
      </c>
      <c r="BV113" s="591"/>
      <c r="BW113" s="613">
        <f t="shared" si="32"/>
        <v>75</v>
      </c>
      <c r="BX113" s="769" t="s">
        <v>67</v>
      </c>
      <c r="BY113" s="575">
        <v>1</v>
      </c>
      <c r="BZ113" s="584">
        <f>+IF(BY113="","",(VLOOKUP($C113,'EQUIP RATE SCHEDULE'!$B$11:$F$162,5,FALSE)))</f>
        <v>75</v>
      </c>
      <c r="CA113" s="591"/>
      <c r="CB113" s="613">
        <f t="shared" si="33"/>
        <v>75</v>
      </c>
      <c r="CC113" s="769" t="s">
        <v>67</v>
      </c>
      <c r="CD113" s="575">
        <v>1</v>
      </c>
      <c r="CE113" s="584">
        <f>+IF(CD113="","",(VLOOKUP($C113,'EQUIP RATE SCHEDULE'!$B$11:$F$162,5,FALSE)))</f>
        <v>75</v>
      </c>
      <c r="CF113" s="591"/>
      <c r="CG113" s="613">
        <f t="shared" si="34"/>
        <v>75</v>
      </c>
      <c r="CH113" s="769" t="s">
        <v>67</v>
      </c>
      <c r="CI113" s="575">
        <v>1</v>
      </c>
      <c r="CJ113" s="584">
        <f>+IF(CI113="","",(VLOOKUP($C113,'EQUIP RATE SCHEDULE'!$B$11:$F$162,5,FALSE)))</f>
        <v>75</v>
      </c>
      <c r="CK113" s="591"/>
      <c r="CL113" s="613">
        <f t="shared" si="35"/>
        <v>75</v>
      </c>
      <c r="CM113" s="769" t="s">
        <v>67</v>
      </c>
      <c r="CN113" s="575">
        <v>1</v>
      </c>
      <c r="CO113" s="584">
        <f>+IF(CN113="","",(VLOOKUP($C113,'EQUIP RATE SCHEDULE'!$B$11:$F$162,5,FALSE)))</f>
        <v>75</v>
      </c>
      <c r="CP113" s="591"/>
      <c r="CQ113" s="613">
        <f t="shared" si="36"/>
        <v>75</v>
      </c>
      <c r="CR113" s="769" t="s">
        <v>67</v>
      </c>
      <c r="CS113" s="575">
        <v>1</v>
      </c>
      <c r="CT113" s="584">
        <f>+IF(CS113="","",(VLOOKUP($C113,'EQUIP RATE SCHEDULE'!$B$11:$F$162,5,FALSE)))</f>
        <v>75</v>
      </c>
      <c r="CU113" s="591"/>
      <c r="CV113" s="613">
        <f t="shared" si="37"/>
        <v>75</v>
      </c>
      <c r="CW113" s="769" t="s">
        <v>67</v>
      </c>
      <c r="CX113" s="575">
        <v>1</v>
      </c>
      <c r="CY113" s="584">
        <f>+IF(CX113="","",(VLOOKUP($C113,'EQUIP RATE SCHEDULE'!$B$11:$F$162,5,FALSE)))</f>
        <v>75</v>
      </c>
      <c r="CZ113" s="591"/>
      <c r="DA113" s="613">
        <f t="shared" si="38"/>
        <v>75</v>
      </c>
    </row>
    <row r="114" spans="1:105" ht="15" x14ac:dyDescent="0.25">
      <c r="A114" s="1498"/>
      <c r="B114" s="809" t="s">
        <v>522</v>
      </c>
      <c r="C114" s="776" t="s">
        <v>1123</v>
      </c>
      <c r="D114" s="1491" t="s">
        <v>1124</v>
      </c>
      <c r="E114" s="1488" t="s">
        <v>1125</v>
      </c>
      <c r="F114" s="769" t="s">
        <v>66</v>
      </c>
      <c r="G114" s="575">
        <v>1</v>
      </c>
      <c r="H114" s="584">
        <f>+IF(G114="","",(VLOOKUP($C114,'EQUIP RATE SCHEDULE'!$B$11:$F$162,5,FALSE)))</f>
        <v>65</v>
      </c>
      <c r="I114" s="591"/>
      <c r="J114" s="613">
        <f t="shared" si="39"/>
        <v>65</v>
      </c>
      <c r="K114" s="769" t="s">
        <v>66</v>
      </c>
      <c r="L114" s="575">
        <v>1</v>
      </c>
      <c r="M114" s="584">
        <f>+IF(L114="","",(VLOOKUP($C114,'EQUIP RATE SCHEDULE'!$B$11:$F$162,5,FALSE)))</f>
        <v>65</v>
      </c>
      <c r="N114" s="591"/>
      <c r="O114" s="613">
        <f t="shared" si="40"/>
        <v>65</v>
      </c>
      <c r="P114" s="769" t="s">
        <v>66</v>
      </c>
      <c r="Q114" s="575">
        <v>1</v>
      </c>
      <c r="R114" s="584">
        <f>+IF(Q114="","",(VLOOKUP($C114,'EQUIP RATE SCHEDULE'!$B$11:$F$162,5,FALSE)))</f>
        <v>65</v>
      </c>
      <c r="S114" s="591"/>
      <c r="T114" s="613">
        <f t="shared" si="41"/>
        <v>65</v>
      </c>
      <c r="U114" s="769" t="s">
        <v>66</v>
      </c>
      <c r="V114" s="575">
        <v>1</v>
      </c>
      <c r="W114" s="584">
        <f>+IF(V114="","",(VLOOKUP($C114,'EQUIP RATE SCHEDULE'!$B$11:$F$162,5,FALSE)))</f>
        <v>65</v>
      </c>
      <c r="X114" s="591"/>
      <c r="Y114" s="613">
        <f t="shared" si="42"/>
        <v>65</v>
      </c>
      <c r="Z114" s="769" t="s">
        <v>66</v>
      </c>
      <c r="AA114" s="575">
        <v>1</v>
      </c>
      <c r="AB114" s="584">
        <f>+IF(AA114="","",(VLOOKUP($C114,'EQUIP RATE SCHEDULE'!$B$11:$F$162,5,FALSE)))</f>
        <v>65</v>
      </c>
      <c r="AC114" s="591"/>
      <c r="AD114" s="613">
        <f t="shared" si="43"/>
        <v>65</v>
      </c>
      <c r="AE114" s="769" t="s">
        <v>66</v>
      </c>
      <c r="AF114" s="575">
        <v>1</v>
      </c>
      <c r="AG114" s="584">
        <f>+IF(AF114="","",(VLOOKUP($C114,'EQUIP RATE SCHEDULE'!$B$11:$F$162,5,FALSE)))</f>
        <v>65</v>
      </c>
      <c r="AH114" s="591"/>
      <c r="AI114" s="613">
        <f t="shared" si="44"/>
        <v>65</v>
      </c>
      <c r="AJ114" s="769" t="s">
        <v>66</v>
      </c>
      <c r="AK114" s="575">
        <v>1</v>
      </c>
      <c r="AL114" s="584">
        <f>+IF(AK114="","",(VLOOKUP($C114,'EQUIP RATE SCHEDULE'!$B$11:$F$162,5,FALSE)))</f>
        <v>65</v>
      </c>
      <c r="AM114" s="591"/>
      <c r="AN114" s="613">
        <f t="shared" si="45"/>
        <v>65</v>
      </c>
      <c r="AO114" s="769" t="s">
        <v>66</v>
      </c>
      <c r="AP114" s="575">
        <v>1</v>
      </c>
      <c r="AQ114" s="584">
        <f>+IF(AP114="","",(VLOOKUP($C114,'EQUIP RATE SCHEDULE'!$B$11:$F$162,5,FALSE)))</f>
        <v>65</v>
      </c>
      <c r="AR114" s="591"/>
      <c r="AS114" s="613">
        <f t="shared" si="46"/>
        <v>65</v>
      </c>
      <c r="AT114" s="769" t="s">
        <v>66</v>
      </c>
      <c r="AU114" s="575">
        <v>1</v>
      </c>
      <c r="AV114" s="584">
        <f>+IF(AU114="","",(VLOOKUP($C114,'EQUIP RATE SCHEDULE'!$B$11:$F$162,5,FALSE)))</f>
        <v>65</v>
      </c>
      <c r="AW114" s="591"/>
      <c r="AX114" s="613">
        <f t="shared" si="47"/>
        <v>65</v>
      </c>
      <c r="AY114" s="769" t="s">
        <v>66</v>
      </c>
      <c r="AZ114" s="575">
        <v>1</v>
      </c>
      <c r="BA114" s="584">
        <f>+IF(AZ114="","",(VLOOKUP($C114,'EQUIP RATE SCHEDULE'!$B$11:$F$162,5,FALSE)))</f>
        <v>65</v>
      </c>
      <c r="BB114" s="591"/>
      <c r="BC114" s="613">
        <f t="shared" si="48"/>
        <v>65</v>
      </c>
      <c r="BD114" s="769" t="s">
        <v>66</v>
      </c>
      <c r="BE114" s="575">
        <v>1</v>
      </c>
      <c r="BF114" s="584">
        <f>+IF(BE114="","",(VLOOKUP($C114,'EQUIP RATE SCHEDULE'!$B$11:$F$162,5,FALSE)))</f>
        <v>65</v>
      </c>
      <c r="BG114" s="591"/>
      <c r="BH114" s="613">
        <f t="shared" si="29"/>
        <v>65</v>
      </c>
      <c r="BI114" s="769" t="s">
        <v>66</v>
      </c>
      <c r="BJ114" s="575">
        <v>1</v>
      </c>
      <c r="BK114" s="584">
        <f>+IF(BJ114="","",(VLOOKUP($C114,'EQUIP RATE SCHEDULE'!$B$11:$F$162,5,FALSE)))</f>
        <v>65</v>
      </c>
      <c r="BL114" s="591"/>
      <c r="BM114" s="613">
        <f t="shared" si="30"/>
        <v>65</v>
      </c>
      <c r="BN114" s="769" t="s">
        <v>66</v>
      </c>
      <c r="BO114" s="575">
        <v>1</v>
      </c>
      <c r="BP114" s="584">
        <f>+IF(BO114="","",(VLOOKUP($C114,'EQUIP RATE SCHEDULE'!$B$11:$F$162,5,FALSE)))</f>
        <v>65</v>
      </c>
      <c r="BQ114" s="591"/>
      <c r="BR114" s="613">
        <f t="shared" si="31"/>
        <v>65</v>
      </c>
      <c r="BS114" s="769" t="s">
        <v>66</v>
      </c>
      <c r="BT114" s="575">
        <v>1</v>
      </c>
      <c r="BU114" s="584">
        <f>+IF(BT114="","",(VLOOKUP($C114,'EQUIP RATE SCHEDULE'!$B$11:$F$162,5,FALSE)))</f>
        <v>65</v>
      </c>
      <c r="BV114" s="591"/>
      <c r="BW114" s="613">
        <f t="shared" si="32"/>
        <v>65</v>
      </c>
      <c r="BX114" s="769" t="s">
        <v>66</v>
      </c>
      <c r="BY114" s="575">
        <v>1</v>
      </c>
      <c r="BZ114" s="584">
        <f>+IF(BY114="","",(VLOOKUP($C114,'EQUIP RATE SCHEDULE'!$B$11:$F$162,5,FALSE)))</f>
        <v>65</v>
      </c>
      <c r="CA114" s="591"/>
      <c r="CB114" s="613">
        <f t="shared" si="33"/>
        <v>65</v>
      </c>
      <c r="CC114" s="769" t="s">
        <v>66</v>
      </c>
      <c r="CD114" s="575">
        <v>1</v>
      </c>
      <c r="CE114" s="584">
        <f>+IF(CD114="","",(VLOOKUP($C114,'EQUIP RATE SCHEDULE'!$B$11:$F$162,5,FALSE)))</f>
        <v>65</v>
      </c>
      <c r="CF114" s="591"/>
      <c r="CG114" s="613">
        <f t="shared" si="34"/>
        <v>65</v>
      </c>
      <c r="CH114" s="769" t="s">
        <v>66</v>
      </c>
      <c r="CI114" s="575">
        <v>1</v>
      </c>
      <c r="CJ114" s="584">
        <f>+IF(CI114="","",(VLOOKUP($C114,'EQUIP RATE SCHEDULE'!$B$11:$F$162,5,FALSE)))</f>
        <v>65</v>
      </c>
      <c r="CK114" s="591"/>
      <c r="CL114" s="613">
        <f t="shared" si="35"/>
        <v>65</v>
      </c>
      <c r="CM114" s="769" t="s">
        <v>66</v>
      </c>
      <c r="CN114" s="575">
        <v>1</v>
      </c>
      <c r="CO114" s="584">
        <f>+IF(CN114="","",(VLOOKUP($C114,'EQUIP RATE SCHEDULE'!$B$11:$F$162,5,FALSE)))</f>
        <v>65</v>
      </c>
      <c r="CP114" s="591"/>
      <c r="CQ114" s="613">
        <f t="shared" si="36"/>
        <v>65</v>
      </c>
      <c r="CR114" s="769" t="s">
        <v>66</v>
      </c>
      <c r="CS114" s="575">
        <v>1</v>
      </c>
      <c r="CT114" s="584">
        <f>+IF(CS114="","",(VLOOKUP($C114,'EQUIP RATE SCHEDULE'!$B$11:$F$162,5,FALSE)))</f>
        <v>65</v>
      </c>
      <c r="CU114" s="591"/>
      <c r="CV114" s="613">
        <f t="shared" si="37"/>
        <v>65</v>
      </c>
      <c r="CW114" s="769" t="s">
        <v>66</v>
      </c>
      <c r="CX114" s="575">
        <v>1</v>
      </c>
      <c r="CY114" s="584">
        <f>+IF(CX114="","",(VLOOKUP($C114,'EQUIP RATE SCHEDULE'!$B$11:$F$162,5,FALSE)))</f>
        <v>65</v>
      </c>
      <c r="CZ114" s="591"/>
      <c r="DA114" s="613">
        <f t="shared" si="38"/>
        <v>65</v>
      </c>
    </row>
    <row r="115" spans="1:105" ht="15" x14ac:dyDescent="0.25">
      <c r="A115" s="1498"/>
      <c r="B115" s="809" t="s">
        <v>522</v>
      </c>
      <c r="C115" s="776" t="s">
        <v>1126</v>
      </c>
      <c r="D115" s="1492"/>
      <c r="E115" s="1490"/>
      <c r="F115" s="769" t="s">
        <v>67</v>
      </c>
      <c r="G115" s="575">
        <v>1</v>
      </c>
      <c r="H115" s="584">
        <f>+IF(G115="","",(VLOOKUP($C115,'EQUIP RATE SCHEDULE'!$B$11:$F$162,5,FALSE)))</f>
        <v>195</v>
      </c>
      <c r="I115" s="591"/>
      <c r="J115" s="613">
        <f t="shared" si="39"/>
        <v>195</v>
      </c>
      <c r="K115" s="769" t="s">
        <v>67</v>
      </c>
      <c r="L115" s="575">
        <v>1</v>
      </c>
      <c r="M115" s="584">
        <f>+IF(L115="","",(VLOOKUP($C115,'EQUIP RATE SCHEDULE'!$B$11:$F$162,5,FALSE)))</f>
        <v>195</v>
      </c>
      <c r="N115" s="591"/>
      <c r="O115" s="613">
        <f t="shared" si="40"/>
        <v>195</v>
      </c>
      <c r="P115" s="769" t="s">
        <v>67</v>
      </c>
      <c r="Q115" s="575">
        <v>1</v>
      </c>
      <c r="R115" s="584">
        <f>+IF(Q115="","",(VLOOKUP($C115,'EQUIP RATE SCHEDULE'!$B$11:$F$162,5,FALSE)))</f>
        <v>195</v>
      </c>
      <c r="S115" s="591"/>
      <c r="T115" s="613">
        <f t="shared" si="41"/>
        <v>195</v>
      </c>
      <c r="U115" s="769" t="s">
        <v>67</v>
      </c>
      <c r="V115" s="575">
        <v>1</v>
      </c>
      <c r="W115" s="584">
        <f>+IF(V115="","",(VLOOKUP($C115,'EQUIP RATE SCHEDULE'!$B$11:$F$162,5,FALSE)))</f>
        <v>195</v>
      </c>
      <c r="X115" s="591"/>
      <c r="Y115" s="613">
        <f t="shared" si="42"/>
        <v>195</v>
      </c>
      <c r="Z115" s="769" t="s">
        <v>67</v>
      </c>
      <c r="AA115" s="575">
        <v>1</v>
      </c>
      <c r="AB115" s="584">
        <f>+IF(AA115="","",(VLOOKUP($C115,'EQUIP RATE SCHEDULE'!$B$11:$F$162,5,FALSE)))</f>
        <v>195</v>
      </c>
      <c r="AC115" s="591"/>
      <c r="AD115" s="613">
        <f t="shared" si="43"/>
        <v>195</v>
      </c>
      <c r="AE115" s="769" t="s">
        <v>67</v>
      </c>
      <c r="AF115" s="575">
        <v>1</v>
      </c>
      <c r="AG115" s="584">
        <f>+IF(AF115="","",(VLOOKUP($C115,'EQUIP RATE SCHEDULE'!$B$11:$F$162,5,FALSE)))</f>
        <v>195</v>
      </c>
      <c r="AH115" s="591"/>
      <c r="AI115" s="613">
        <f t="shared" si="44"/>
        <v>195</v>
      </c>
      <c r="AJ115" s="769" t="s">
        <v>67</v>
      </c>
      <c r="AK115" s="575">
        <v>1</v>
      </c>
      <c r="AL115" s="584">
        <f>+IF(AK115="","",(VLOOKUP($C115,'EQUIP RATE SCHEDULE'!$B$11:$F$162,5,FALSE)))</f>
        <v>195</v>
      </c>
      <c r="AM115" s="591"/>
      <c r="AN115" s="613">
        <f t="shared" si="45"/>
        <v>195</v>
      </c>
      <c r="AO115" s="769" t="s">
        <v>67</v>
      </c>
      <c r="AP115" s="575">
        <v>1</v>
      </c>
      <c r="AQ115" s="584">
        <f>+IF(AP115="","",(VLOOKUP($C115,'EQUIP RATE SCHEDULE'!$B$11:$F$162,5,FALSE)))</f>
        <v>195</v>
      </c>
      <c r="AR115" s="591"/>
      <c r="AS115" s="613">
        <f t="shared" si="46"/>
        <v>195</v>
      </c>
      <c r="AT115" s="769" t="s">
        <v>67</v>
      </c>
      <c r="AU115" s="575">
        <v>1</v>
      </c>
      <c r="AV115" s="584">
        <f>+IF(AU115="","",(VLOOKUP($C115,'EQUIP RATE SCHEDULE'!$B$11:$F$162,5,FALSE)))</f>
        <v>195</v>
      </c>
      <c r="AW115" s="591"/>
      <c r="AX115" s="613">
        <f t="shared" si="47"/>
        <v>195</v>
      </c>
      <c r="AY115" s="769" t="s">
        <v>67</v>
      </c>
      <c r="AZ115" s="575">
        <v>1</v>
      </c>
      <c r="BA115" s="584">
        <f>+IF(AZ115="","",(VLOOKUP($C115,'EQUIP RATE SCHEDULE'!$B$11:$F$162,5,FALSE)))</f>
        <v>195</v>
      </c>
      <c r="BB115" s="591"/>
      <c r="BC115" s="613">
        <f t="shared" si="48"/>
        <v>195</v>
      </c>
      <c r="BD115" s="769" t="s">
        <v>67</v>
      </c>
      <c r="BE115" s="575">
        <v>1</v>
      </c>
      <c r="BF115" s="584">
        <f>+IF(BE115="","",(VLOOKUP($C115,'EQUIP RATE SCHEDULE'!$B$11:$F$162,5,FALSE)))</f>
        <v>195</v>
      </c>
      <c r="BG115" s="591"/>
      <c r="BH115" s="613">
        <f t="shared" si="29"/>
        <v>195</v>
      </c>
      <c r="BI115" s="769" t="s">
        <v>67</v>
      </c>
      <c r="BJ115" s="575">
        <v>1</v>
      </c>
      <c r="BK115" s="584">
        <f>+IF(BJ115="","",(VLOOKUP($C115,'EQUIP RATE SCHEDULE'!$B$11:$F$162,5,FALSE)))</f>
        <v>195</v>
      </c>
      <c r="BL115" s="591"/>
      <c r="BM115" s="613">
        <f t="shared" si="30"/>
        <v>195</v>
      </c>
      <c r="BN115" s="769" t="s">
        <v>67</v>
      </c>
      <c r="BO115" s="575">
        <v>1</v>
      </c>
      <c r="BP115" s="584">
        <f>+IF(BO115="","",(VLOOKUP($C115,'EQUIP RATE SCHEDULE'!$B$11:$F$162,5,FALSE)))</f>
        <v>195</v>
      </c>
      <c r="BQ115" s="591"/>
      <c r="BR115" s="613">
        <f t="shared" si="31"/>
        <v>195</v>
      </c>
      <c r="BS115" s="769" t="s">
        <v>67</v>
      </c>
      <c r="BT115" s="575">
        <v>1</v>
      </c>
      <c r="BU115" s="584">
        <f>+IF(BT115="","",(VLOOKUP($C115,'EQUIP RATE SCHEDULE'!$B$11:$F$162,5,FALSE)))</f>
        <v>195</v>
      </c>
      <c r="BV115" s="591"/>
      <c r="BW115" s="613">
        <f t="shared" si="32"/>
        <v>195</v>
      </c>
      <c r="BX115" s="769" t="s">
        <v>67</v>
      </c>
      <c r="BY115" s="575">
        <v>1</v>
      </c>
      <c r="BZ115" s="584">
        <f>+IF(BY115="","",(VLOOKUP($C115,'EQUIP RATE SCHEDULE'!$B$11:$F$162,5,FALSE)))</f>
        <v>195</v>
      </c>
      <c r="CA115" s="591"/>
      <c r="CB115" s="613">
        <f t="shared" si="33"/>
        <v>195</v>
      </c>
      <c r="CC115" s="769" t="s">
        <v>67</v>
      </c>
      <c r="CD115" s="575">
        <v>1</v>
      </c>
      <c r="CE115" s="584">
        <f>+IF(CD115="","",(VLOOKUP($C115,'EQUIP RATE SCHEDULE'!$B$11:$F$162,5,FALSE)))</f>
        <v>195</v>
      </c>
      <c r="CF115" s="591"/>
      <c r="CG115" s="613">
        <f t="shared" si="34"/>
        <v>195</v>
      </c>
      <c r="CH115" s="769" t="s">
        <v>67</v>
      </c>
      <c r="CI115" s="575">
        <v>1</v>
      </c>
      <c r="CJ115" s="584">
        <f>+IF(CI115="","",(VLOOKUP($C115,'EQUIP RATE SCHEDULE'!$B$11:$F$162,5,FALSE)))</f>
        <v>195</v>
      </c>
      <c r="CK115" s="591"/>
      <c r="CL115" s="613">
        <f t="shared" si="35"/>
        <v>195</v>
      </c>
      <c r="CM115" s="769" t="s">
        <v>67</v>
      </c>
      <c r="CN115" s="575">
        <v>1</v>
      </c>
      <c r="CO115" s="584">
        <f>+IF(CN115="","",(VLOOKUP($C115,'EQUIP RATE SCHEDULE'!$B$11:$F$162,5,FALSE)))</f>
        <v>195</v>
      </c>
      <c r="CP115" s="591"/>
      <c r="CQ115" s="613">
        <f t="shared" si="36"/>
        <v>195</v>
      </c>
      <c r="CR115" s="769" t="s">
        <v>67</v>
      </c>
      <c r="CS115" s="575">
        <v>1</v>
      </c>
      <c r="CT115" s="584">
        <f>+IF(CS115="","",(VLOOKUP($C115,'EQUIP RATE SCHEDULE'!$B$11:$F$162,5,FALSE)))</f>
        <v>195</v>
      </c>
      <c r="CU115" s="591"/>
      <c r="CV115" s="613">
        <f t="shared" si="37"/>
        <v>195</v>
      </c>
      <c r="CW115" s="769" t="s">
        <v>67</v>
      </c>
      <c r="CX115" s="575">
        <v>1</v>
      </c>
      <c r="CY115" s="584">
        <f>+IF(CX115="","",(VLOOKUP($C115,'EQUIP RATE SCHEDULE'!$B$11:$F$162,5,FALSE)))</f>
        <v>195</v>
      </c>
      <c r="CZ115" s="591"/>
      <c r="DA115" s="613">
        <f t="shared" si="38"/>
        <v>195</v>
      </c>
    </row>
    <row r="116" spans="1:105" ht="30" x14ac:dyDescent="0.25">
      <c r="A116" s="1498"/>
      <c r="B116" s="809" t="s">
        <v>522</v>
      </c>
      <c r="C116" s="776" t="s">
        <v>1127</v>
      </c>
      <c r="D116" s="779" t="s">
        <v>1128</v>
      </c>
      <c r="E116" s="780" t="s">
        <v>1129</v>
      </c>
      <c r="F116" s="769" t="s">
        <v>920</v>
      </c>
      <c r="G116" s="575">
        <v>1</v>
      </c>
      <c r="H116" s="584">
        <f>+IF(G116="","",(VLOOKUP($C116,'EQUIP RATE SCHEDULE'!$B$11:$F$162,5,FALSE)))</f>
        <v>6</v>
      </c>
      <c r="I116" s="591"/>
      <c r="J116" s="613">
        <f t="shared" si="39"/>
        <v>6</v>
      </c>
      <c r="K116" s="769" t="s">
        <v>920</v>
      </c>
      <c r="L116" s="575">
        <v>1</v>
      </c>
      <c r="M116" s="584">
        <f>+IF(L116="","",(VLOOKUP($C116,'EQUIP RATE SCHEDULE'!$B$11:$F$162,5,FALSE)))</f>
        <v>6</v>
      </c>
      <c r="N116" s="591"/>
      <c r="O116" s="613">
        <f t="shared" si="40"/>
        <v>6</v>
      </c>
      <c r="P116" s="769" t="s">
        <v>920</v>
      </c>
      <c r="Q116" s="575">
        <v>1</v>
      </c>
      <c r="R116" s="584">
        <f>+IF(Q116="","",(VLOOKUP($C116,'EQUIP RATE SCHEDULE'!$B$11:$F$162,5,FALSE)))</f>
        <v>6</v>
      </c>
      <c r="S116" s="591"/>
      <c r="T116" s="613">
        <f t="shared" si="41"/>
        <v>6</v>
      </c>
      <c r="U116" s="769" t="s">
        <v>920</v>
      </c>
      <c r="V116" s="575">
        <v>1</v>
      </c>
      <c r="W116" s="584">
        <f>+IF(V116="","",(VLOOKUP($C116,'EQUIP RATE SCHEDULE'!$B$11:$F$162,5,FALSE)))</f>
        <v>6</v>
      </c>
      <c r="X116" s="591"/>
      <c r="Y116" s="613">
        <f t="shared" si="42"/>
        <v>6</v>
      </c>
      <c r="Z116" s="769" t="s">
        <v>920</v>
      </c>
      <c r="AA116" s="575">
        <v>1</v>
      </c>
      <c r="AB116" s="584">
        <f>+IF(AA116="","",(VLOOKUP($C116,'EQUIP RATE SCHEDULE'!$B$11:$F$162,5,FALSE)))</f>
        <v>6</v>
      </c>
      <c r="AC116" s="591"/>
      <c r="AD116" s="613">
        <f t="shared" si="43"/>
        <v>6</v>
      </c>
      <c r="AE116" s="769" t="s">
        <v>920</v>
      </c>
      <c r="AF116" s="575">
        <v>1</v>
      </c>
      <c r="AG116" s="584">
        <f>+IF(AF116="","",(VLOOKUP($C116,'EQUIP RATE SCHEDULE'!$B$11:$F$162,5,FALSE)))</f>
        <v>6</v>
      </c>
      <c r="AH116" s="591"/>
      <c r="AI116" s="613">
        <f t="shared" si="44"/>
        <v>6</v>
      </c>
      <c r="AJ116" s="769" t="s">
        <v>920</v>
      </c>
      <c r="AK116" s="575">
        <v>1</v>
      </c>
      <c r="AL116" s="584">
        <f>+IF(AK116="","",(VLOOKUP($C116,'EQUIP RATE SCHEDULE'!$B$11:$F$162,5,FALSE)))</f>
        <v>6</v>
      </c>
      <c r="AM116" s="591"/>
      <c r="AN116" s="613">
        <f t="shared" si="45"/>
        <v>6</v>
      </c>
      <c r="AO116" s="769" t="s">
        <v>920</v>
      </c>
      <c r="AP116" s="575">
        <v>1</v>
      </c>
      <c r="AQ116" s="584">
        <f>+IF(AP116="","",(VLOOKUP($C116,'EQUIP RATE SCHEDULE'!$B$11:$F$162,5,FALSE)))</f>
        <v>6</v>
      </c>
      <c r="AR116" s="591"/>
      <c r="AS116" s="613">
        <f t="shared" si="46"/>
        <v>6</v>
      </c>
      <c r="AT116" s="769" t="s">
        <v>920</v>
      </c>
      <c r="AU116" s="575">
        <v>1</v>
      </c>
      <c r="AV116" s="584">
        <f>+IF(AU116="","",(VLOOKUP($C116,'EQUIP RATE SCHEDULE'!$B$11:$F$162,5,FALSE)))</f>
        <v>6</v>
      </c>
      <c r="AW116" s="591"/>
      <c r="AX116" s="613">
        <f t="shared" si="47"/>
        <v>6</v>
      </c>
      <c r="AY116" s="769" t="s">
        <v>920</v>
      </c>
      <c r="AZ116" s="575">
        <v>1</v>
      </c>
      <c r="BA116" s="584">
        <f>+IF(AZ116="","",(VLOOKUP($C116,'EQUIP RATE SCHEDULE'!$B$11:$F$162,5,FALSE)))</f>
        <v>6</v>
      </c>
      <c r="BB116" s="591"/>
      <c r="BC116" s="613">
        <f t="shared" si="48"/>
        <v>6</v>
      </c>
      <c r="BD116" s="769" t="s">
        <v>920</v>
      </c>
      <c r="BE116" s="575">
        <v>1</v>
      </c>
      <c r="BF116" s="584">
        <f>+IF(BE116="","",(VLOOKUP($C116,'EQUIP RATE SCHEDULE'!$B$11:$F$162,5,FALSE)))</f>
        <v>6</v>
      </c>
      <c r="BG116" s="591"/>
      <c r="BH116" s="613">
        <f t="shared" si="29"/>
        <v>6</v>
      </c>
      <c r="BI116" s="769" t="s">
        <v>920</v>
      </c>
      <c r="BJ116" s="575">
        <v>1</v>
      </c>
      <c r="BK116" s="584">
        <f>+IF(BJ116="","",(VLOOKUP($C116,'EQUIP RATE SCHEDULE'!$B$11:$F$162,5,FALSE)))</f>
        <v>6</v>
      </c>
      <c r="BL116" s="591"/>
      <c r="BM116" s="613">
        <f t="shared" si="30"/>
        <v>6</v>
      </c>
      <c r="BN116" s="769" t="s">
        <v>920</v>
      </c>
      <c r="BO116" s="575">
        <v>1</v>
      </c>
      <c r="BP116" s="584">
        <f>+IF(BO116="","",(VLOOKUP($C116,'EQUIP RATE SCHEDULE'!$B$11:$F$162,5,FALSE)))</f>
        <v>6</v>
      </c>
      <c r="BQ116" s="591"/>
      <c r="BR116" s="613">
        <f t="shared" si="31"/>
        <v>6</v>
      </c>
      <c r="BS116" s="769" t="s">
        <v>920</v>
      </c>
      <c r="BT116" s="575">
        <v>1</v>
      </c>
      <c r="BU116" s="584">
        <f>+IF(BT116="","",(VLOOKUP($C116,'EQUIP RATE SCHEDULE'!$B$11:$F$162,5,FALSE)))</f>
        <v>6</v>
      </c>
      <c r="BV116" s="591"/>
      <c r="BW116" s="613">
        <f t="shared" si="32"/>
        <v>6</v>
      </c>
      <c r="BX116" s="769" t="s">
        <v>920</v>
      </c>
      <c r="BY116" s="575">
        <v>1</v>
      </c>
      <c r="BZ116" s="584">
        <f>+IF(BY116="","",(VLOOKUP($C116,'EQUIP RATE SCHEDULE'!$B$11:$F$162,5,FALSE)))</f>
        <v>6</v>
      </c>
      <c r="CA116" s="591"/>
      <c r="CB116" s="613">
        <f t="shared" si="33"/>
        <v>6</v>
      </c>
      <c r="CC116" s="769" t="s">
        <v>920</v>
      </c>
      <c r="CD116" s="575">
        <v>1</v>
      </c>
      <c r="CE116" s="584">
        <f>+IF(CD116="","",(VLOOKUP($C116,'EQUIP RATE SCHEDULE'!$B$11:$F$162,5,FALSE)))</f>
        <v>6</v>
      </c>
      <c r="CF116" s="591"/>
      <c r="CG116" s="613">
        <f t="shared" si="34"/>
        <v>6</v>
      </c>
      <c r="CH116" s="769" t="s">
        <v>920</v>
      </c>
      <c r="CI116" s="575">
        <v>1</v>
      </c>
      <c r="CJ116" s="584">
        <f>+IF(CI116="","",(VLOOKUP($C116,'EQUIP RATE SCHEDULE'!$B$11:$F$162,5,FALSE)))</f>
        <v>6</v>
      </c>
      <c r="CK116" s="591"/>
      <c r="CL116" s="613">
        <f t="shared" si="35"/>
        <v>6</v>
      </c>
      <c r="CM116" s="769" t="s">
        <v>920</v>
      </c>
      <c r="CN116" s="575">
        <v>1</v>
      </c>
      <c r="CO116" s="584">
        <f>+IF(CN116="","",(VLOOKUP($C116,'EQUIP RATE SCHEDULE'!$B$11:$F$162,5,FALSE)))</f>
        <v>6</v>
      </c>
      <c r="CP116" s="591"/>
      <c r="CQ116" s="613">
        <f t="shared" si="36"/>
        <v>6</v>
      </c>
      <c r="CR116" s="769" t="s">
        <v>920</v>
      </c>
      <c r="CS116" s="575">
        <v>1</v>
      </c>
      <c r="CT116" s="584">
        <f>+IF(CS116="","",(VLOOKUP($C116,'EQUIP RATE SCHEDULE'!$B$11:$F$162,5,FALSE)))</f>
        <v>6</v>
      </c>
      <c r="CU116" s="591"/>
      <c r="CV116" s="613">
        <f t="shared" si="37"/>
        <v>6</v>
      </c>
      <c r="CW116" s="769" t="s">
        <v>920</v>
      </c>
      <c r="CX116" s="575">
        <v>1</v>
      </c>
      <c r="CY116" s="584">
        <f>+IF(CX116="","",(VLOOKUP($C116,'EQUIP RATE SCHEDULE'!$B$11:$F$162,5,FALSE)))</f>
        <v>6</v>
      </c>
      <c r="CZ116" s="591"/>
      <c r="DA116" s="613">
        <f t="shared" si="38"/>
        <v>6</v>
      </c>
    </row>
    <row r="117" spans="1:105" ht="15" x14ac:dyDescent="0.25">
      <c r="A117" s="1498"/>
      <c r="B117" s="809" t="s">
        <v>522</v>
      </c>
      <c r="C117" s="776" t="s">
        <v>1130</v>
      </c>
      <c r="D117" s="1491" t="s">
        <v>1131</v>
      </c>
      <c r="E117" s="1488" t="s">
        <v>1132</v>
      </c>
      <c r="F117" s="769" t="s">
        <v>66</v>
      </c>
      <c r="G117" s="575">
        <v>1</v>
      </c>
      <c r="H117" s="584">
        <f>+IF(G117="","",(VLOOKUP($C117,'EQUIP RATE SCHEDULE'!$B$11:$F$162,5,FALSE)))</f>
        <v>40</v>
      </c>
      <c r="I117" s="591"/>
      <c r="J117" s="613">
        <f t="shared" si="39"/>
        <v>40</v>
      </c>
      <c r="K117" s="769" t="s">
        <v>66</v>
      </c>
      <c r="L117" s="575">
        <v>1</v>
      </c>
      <c r="M117" s="584">
        <f>+IF(L117="","",(VLOOKUP($C117,'EQUIP RATE SCHEDULE'!$B$11:$F$162,5,FALSE)))</f>
        <v>40</v>
      </c>
      <c r="N117" s="591"/>
      <c r="O117" s="613">
        <f t="shared" si="40"/>
        <v>40</v>
      </c>
      <c r="P117" s="769" t="s">
        <v>66</v>
      </c>
      <c r="Q117" s="575">
        <v>1</v>
      </c>
      <c r="R117" s="584">
        <f>+IF(Q117="","",(VLOOKUP($C117,'EQUIP RATE SCHEDULE'!$B$11:$F$162,5,FALSE)))</f>
        <v>40</v>
      </c>
      <c r="S117" s="591"/>
      <c r="T117" s="613">
        <f t="shared" si="41"/>
        <v>40</v>
      </c>
      <c r="U117" s="769" t="s">
        <v>66</v>
      </c>
      <c r="V117" s="575">
        <v>1</v>
      </c>
      <c r="W117" s="584">
        <f>+IF(V117="","",(VLOOKUP($C117,'EQUIP RATE SCHEDULE'!$B$11:$F$162,5,FALSE)))</f>
        <v>40</v>
      </c>
      <c r="X117" s="591"/>
      <c r="Y117" s="613">
        <f t="shared" si="42"/>
        <v>40</v>
      </c>
      <c r="Z117" s="769" t="s">
        <v>66</v>
      </c>
      <c r="AA117" s="575">
        <v>1</v>
      </c>
      <c r="AB117" s="584">
        <f>+IF(AA117="","",(VLOOKUP($C117,'EQUIP RATE SCHEDULE'!$B$11:$F$162,5,FALSE)))</f>
        <v>40</v>
      </c>
      <c r="AC117" s="591"/>
      <c r="AD117" s="613">
        <f t="shared" si="43"/>
        <v>40</v>
      </c>
      <c r="AE117" s="769" t="s">
        <v>66</v>
      </c>
      <c r="AF117" s="575">
        <v>1</v>
      </c>
      <c r="AG117" s="584">
        <f>+IF(AF117="","",(VLOOKUP($C117,'EQUIP RATE SCHEDULE'!$B$11:$F$162,5,FALSE)))</f>
        <v>40</v>
      </c>
      <c r="AH117" s="591"/>
      <c r="AI117" s="613">
        <f t="shared" si="44"/>
        <v>40</v>
      </c>
      <c r="AJ117" s="769" t="s">
        <v>66</v>
      </c>
      <c r="AK117" s="575">
        <v>1</v>
      </c>
      <c r="AL117" s="584">
        <f>+IF(AK117="","",(VLOOKUP($C117,'EQUIP RATE SCHEDULE'!$B$11:$F$162,5,FALSE)))</f>
        <v>40</v>
      </c>
      <c r="AM117" s="591"/>
      <c r="AN117" s="613">
        <f t="shared" si="45"/>
        <v>40</v>
      </c>
      <c r="AO117" s="769" t="s">
        <v>66</v>
      </c>
      <c r="AP117" s="575">
        <v>1</v>
      </c>
      <c r="AQ117" s="584">
        <f>+IF(AP117="","",(VLOOKUP($C117,'EQUIP RATE SCHEDULE'!$B$11:$F$162,5,FALSE)))</f>
        <v>40</v>
      </c>
      <c r="AR117" s="591"/>
      <c r="AS117" s="613">
        <f t="shared" si="46"/>
        <v>40</v>
      </c>
      <c r="AT117" s="769" t="s">
        <v>66</v>
      </c>
      <c r="AU117" s="575">
        <v>1</v>
      </c>
      <c r="AV117" s="584">
        <f>+IF(AU117="","",(VLOOKUP($C117,'EQUIP RATE SCHEDULE'!$B$11:$F$162,5,FALSE)))</f>
        <v>40</v>
      </c>
      <c r="AW117" s="591"/>
      <c r="AX117" s="613">
        <f t="shared" si="47"/>
        <v>40</v>
      </c>
      <c r="AY117" s="769" t="s">
        <v>66</v>
      </c>
      <c r="AZ117" s="575">
        <v>1</v>
      </c>
      <c r="BA117" s="584">
        <f>+IF(AZ117="","",(VLOOKUP($C117,'EQUIP RATE SCHEDULE'!$B$11:$F$162,5,FALSE)))</f>
        <v>40</v>
      </c>
      <c r="BB117" s="591"/>
      <c r="BC117" s="613">
        <f t="shared" si="48"/>
        <v>40</v>
      </c>
      <c r="BD117" s="769" t="s">
        <v>66</v>
      </c>
      <c r="BE117" s="575">
        <v>1</v>
      </c>
      <c r="BF117" s="584">
        <f>+IF(BE117="","",(VLOOKUP($C117,'EQUIP RATE SCHEDULE'!$B$11:$F$162,5,FALSE)))</f>
        <v>40</v>
      </c>
      <c r="BG117" s="591"/>
      <c r="BH117" s="613">
        <f t="shared" si="29"/>
        <v>40</v>
      </c>
      <c r="BI117" s="769" t="s">
        <v>66</v>
      </c>
      <c r="BJ117" s="575">
        <v>1</v>
      </c>
      <c r="BK117" s="584">
        <f>+IF(BJ117="","",(VLOOKUP($C117,'EQUIP RATE SCHEDULE'!$B$11:$F$162,5,FALSE)))</f>
        <v>40</v>
      </c>
      <c r="BL117" s="591"/>
      <c r="BM117" s="613">
        <f t="shared" si="30"/>
        <v>40</v>
      </c>
      <c r="BN117" s="769" t="s">
        <v>66</v>
      </c>
      <c r="BO117" s="575">
        <v>1</v>
      </c>
      <c r="BP117" s="584">
        <f>+IF(BO117="","",(VLOOKUP($C117,'EQUIP RATE SCHEDULE'!$B$11:$F$162,5,FALSE)))</f>
        <v>40</v>
      </c>
      <c r="BQ117" s="591"/>
      <c r="BR117" s="613">
        <f t="shared" si="31"/>
        <v>40</v>
      </c>
      <c r="BS117" s="769" t="s">
        <v>66</v>
      </c>
      <c r="BT117" s="575">
        <v>1</v>
      </c>
      <c r="BU117" s="584">
        <f>+IF(BT117="","",(VLOOKUP($C117,'EQUIP RATE SCHEDULE'!$B$11:$F$162,5,FALSE)))</f>
        <v>40</v>
      </c>
      <c r="BV117" s="591"/>
      <c r="BW117" s="613">
        <f t="shared" si="32"/>
        <v>40</v>
      </c>
      <c r="BX117" s="769" t="s">
        <v>66</v>
      </c>
      <c r="BY117" s="575">
        <v>1</v>
      </c>
      <c r="BZ117" s="584">
        <f>+IF(BY117="","",(VLOOKUP($C117,'EQUIP RATE SCHEDULE'!$B$11:$F$162,5,FALSE)))</f>
        <v>40</v>
      </c>
      <c r="CA117" s="591"/>
      <c r="CB117" s="613">
        <f t="shared" si="33"/>
        <v>40</v>
      </c>
      <c r="CC117" s="769" t="s">
        <v>66</v>
      </c>
      <c r="CD117" s="575">
        <v>1</v>
      </c>
      <c r="CE117" s="584">
        <f>+IF(CD117="","",(VLOOKUP($C117,'EQUIP RATE SCHEDULE'!$B$11:$F$162,5,FALSE)))</f>
        <v>40</v>
      </c>
      <c r="CF117" s="591"/>
      <c r="CG117" s="613">
        <f t="shared" si="34"/>
        <v>40</v>
      </c>
      <c r="CH117" s="769" t="s">
        <v>66</v>
      </c>
      <c r="CI117" s="575">
        <v>1</v>
      </c>
      <c r="CJ117" s="584">
        <f>+IF(CI117="","",(VLOOKUP($C117,'EQUIP RATE SCHEDULE'!$B$11:$F$162,5,FALSE)))</f>
        <v>40</v>
      </c>
      <c r="CK117" s="591"/>
      <c r="CL117" s="613">
        <f t="shared" si="35"/>
        <v>40</v>
      </c>
      <c r="CM117" s="769" t="s">
        <v>66</v>
      </c>
      <c r="CN117" s="575">
        <v>1</v>
      </c>
      <c r="CO117" s="584">
        <f>+IF(CN117="","",(VLOOKUP($C117,'EQUIP RATE SCHEDULE'!$B$11:$F$162,5,FALSE)))</f>
        <v>40</v>
      </c>
      <c r="CP117" s="591"/>
      <c r="CQ117" s="613">
        <f t="shared" si="36"/>
        <v>40</v>
      </c>
      <c r="CR117" s="769" t="s">
        <v>66</v>
      </c>
      <c r="CS117" s="575">
        <v>1</v>
      </c>
      <c r="CT117" s="584">
        <f>+IF(CS117="","",(VLOOKUP($C117,'EQUIP RATE SCHEDULE'!$B$11:$F$162,5,FALSE)))</f>
        <v>40</v>
      </c>
      <c r="CU117" s="591"/>
      <c r="CV117" s="613">
        <f t="shared" si="37"/>
        <v>40</v>
      </c>
      <c r="CW117" s="769" t="s">
        <v>66</v>
      </c>
      <c r="CX117" s="575">
        <v>1</v>
      </c>
      <c r="CY117" s="584">
        <f>+IF(CX117="","",(VLOOKUP($C117,'EQUIP RATE SCHEDULE'!$B$11:$F$162,5,FALSE)))</f>
        <v>40</v>
      </c>
      <c r="CZ117" s="591"/>
      <c r="DA117" s="613">
        <f t="shared" si="38"/>
        <v>40</v>
      </c>
    </row>
    <row r="118" spans="1:105" ht="15" x14ac:dyDescent="0.25">
      <c r="A118" s="1498"/>
      <c r="B118" s="809" t="s">
        <v>522</v>
      </c>
      <c r="C118" s="776" t="s">
        <v>1133</v>
      </c>
      <c r="D118" s="1492"/>
      <c r="E118" s="1490"/>
      <c r="F118" s="769" t="s">
        <v>67</v>
      </c>
      <c r="G118" s="575">
        <v>1</v>
      </c>
      <c r="H118" s="584">
        <f>+IF(G118="","",(VLOOKUP($C118,'EQUIP RATE SCHEDULE'!$B$11:$F$162,5,FALSE)))</f>
        <v>120</v>
      </c>
      <c r="I118" s="591"/>
      <c r="J118" s="613">
        <f t="shared" si="39"/>
        <v>120</v>
      </c>
      <c r="K118" s="769" t="s">
        <v>67</v>
      </c>
      <c r="L118" s="575">
        <v>1</v>
      </c>
      <c r="M118" s="584">
        <f>+IF(L118="","",(VLOOKUP($C118,'EQUIP RATE SCHEDULE'!$B$11:$F$162,5,FALSE)))</f>
        <v>120</v>
      </c>
      <c r="N118" s="591"/>
      <c r="O118" s="613">
        <f t="shared" si="40"/>
        <v>120</v>
      </c>
      <c r="P118" s="769" t="s">
        <v>67</v>
      </c>
      <c r="Q118" s="575">
        <v>11</v>
      </c>
      <c r="R118" s="584">
        <f>+IF(Q118="","",(VLOOKUP($C118,'EQUIP RATE SCHEDULE'!$B$11:$F$162,5,FALSE)))</f>
        <v>120</v>
      </c>
      <c r="S118" s="591"/>
      <c r="T118" s="613">
        <f t="shared" si="41"/>
        <v>1320</v>
      </c>
      <c r="U118" s="769" t="s">
        <v>67</v>
      </c>
      <c r="V118" s="575">
        <v>1</v>
      </c>
      <c r="W118" s="584">
        <f>+IF(V118="","",(VLOOKUP($C118,'EQUIP RATE SCHEDULE'!$B$11:$F$162,5,FALSE)))</f>
        <v>120</v>
      </c>
      <c r="X118" s="591"/>
      <c r="Y118" s="613">
        <f t="shared" si="42"/>
        <v>120</v>
      </c>
      <c r="Z118" s="769" t="s">
        <v>67</v>
      </c>
      <c r="AA118" s="575">
        <v>1</v>
      </c>
      <c r="AB118" s="584">
        <f>+IF(AA118="","",(VLOOKUP($C118,'EQUIP RATE SCHEDULE'!$B$11:$F$162,5,FALSE)))</f>
        <v>120</v>
      </c>
      <c r="AC118" s="591"/>
      <c r="AD118" s="613">
        <f t="shared" si="43"/>
        <v>120</v>
      </c>
      <c r="AE118" s="769" t="s">
        <v>67</v>
      </c>
      <c r="AF118" s="575">
        <v>1</v>
      </c>
      <c r="AG118" s="584">
        <f>+IF(AF118="","",(VLOOKUP($C118,'EQUIP RATE SCHEDULE'!$B$11:$F$162,5,FALSE)))</f>
        <v>120</v>
      </c>
      <c r="AH118" s="591"/>
      <c r="AI118" s="613">
        <f t="shared" si="44"/>
        <v>120</v>
      </c>
      <c r="AJ118" s="769" t="s">
        <v>67</v>
      </c>
      <c r="AK118" s="575">
        <v>1</v>
      </c>
      <c r="AL118" s="584">
        <f>+IF(AK118="","",(VLOOKUP($C118,'EQUIP RATE SCHEDULE'!$B$11:$F$162,5,FALSE)))</f>
        <v>120</v>
      </c>
      <c r="AM118" s="591"/>
      <c r="AN118" s="613">
        <f t="shared" si="45"/>
        <v>120</v>
      </c>
      <c r="AO118" s="769" t="s">
        <v>67</v>
      </c>
      <c r="AP118" s="575">
        <v>1</v>
      </c>
      <c r="AQ118" s="584">
        <f>+IF(AP118="","",(VLOOKUP($C118,'EQUIP RATE SCHEDULE'!$B$11:$F$162,5,FALSE)))</f>
        <v>120</v>
      </c>
      <c r="AR118" s="591"/>
      <c r="AS118" s="613">
        <f t="shared" si="46"/>
        <v>120</v>
      </c>
      <c r="AT118" s="769" t="s">
        <v>67</v>
      </c>
      <c r="AU118" s="575">
        <v>1</v>
      </c>
      <c r="AV118" s="584">
        <f>+IF(AU118="","",(VLOOKUP($C118,'EQUIP RATE SCHEDULE'!$B$11:$F$162,5,FALSE)))</f>
        <v>120</v>
      </c>
      <c r="AW118" s="591"/>
      <c r="AX118" s="613">
        <f t="shared" si="47"/>
        <v>120</v>
      </c>
      <c r="AY118" s="769" t="s">
        <v>67</v>
      </c>
      <c r="AZ118" s="575">
        <v>1</v>
      </c>
      <c r="BA118" s="584">
        <f>+IF(AZ118="","",(VLOOKUP($C118,'EQUIP RATE SCHEDULE'!$B$11:$F$162,5,FALSE)))</f>
        <v>120</v>
      </c>
      <c r="BB118" s="591"/>
      <c r="BC118" s="613">
        <f t="shared" si="48"/>
        <v>120</v>
      </c>
      <c r="BD118" s="769" t="s">
        <v>67</v>
      </c>
      <c r="BE118" s="575">
        <v>1</v>
      </c>
      <c r="BF118" s="584">
        <f>+IF(BE118="","",(VLOOKUP($C118,'EQUIP RATE SCHEDULE'!$B$11:$F$162,5,FALSE)))</f>
        <v>120</v>
      </c>
      <c r="BG118" s="591"/>
      <c r="BH118" s="613">
        <f t="shared" si="29"/>
        <v>120</v>
      </c>
      <c r="BI118" s="769" t="s">
        <v>67</v>
      </c>
      <c r="BJ118" s="575">
        <v>1</v>
      </c>
      <c r="BK118" s="584">
        <f>+IF(BJ118="","",(VLOOKUP($C118,'EQUIP RATE SCHEDULE'!$B$11:$F$162,5,FALSE)))</f>
        <v>120</v>
      </c>
      <c r="BL118" s="591"/>
      <c r="BM118" s="613">
        <f t="shared" si="30"/>
        <v>120</v>
      </c>
      <c r="BN118" s="769" t="s">
        <v>67</v>
      </c>
      <c r="BO118" s="575">
        <v>1</v>
      </c>
      <c r="BP118" s="584">
        <f>+IF(BO118="","",(VLOOKUP($C118,'EQUIP RATE SCHEDULE'!$B$11:$F$162,5,FALSE)))</f>
        <v>120</v>
      </c>
      <c r="BQ118" s="591"/>
      <c r="BR118" s="613">
        <f t="shared" si="31"/>
        <v>120</v>
      </c>
      <c r="BS118" s="769" t="s">
        <v>67</v>
      </c>
      <c r="BT118" s="575">
        <v>1</v>
      </c>
      <c r="BU118" s="584">
        <f>+IF(BT118="","",(VLOOKUP($C118,'EQUIP RATE SCHEDULE'!$B$11:$F$162,5,FALSE)))</f>
        <v>120</v>
      </c>
      <c r="BV118" s="591"/>
      <c r="BW118" s="613">
        <f t="shared" si="32"/>
        <v>120</v>
      </c>
      <c r="BX118" s="769" t="s">
        <v>67</v>
      </c>
      <c r="BY118" s="575">
        <v>1</v>
      </c>
      <c r="BZ118" s="584">
        <f>+IF(BY118="","",(VLOOKUP($C118,'EQUIP RATE SCHEDULE'!$B$11:$F$162,5,FALSE)))</f>
        <v>120</v>
      </c>
      <c r="CA118" s="591"/>
      <c r="CB118" s="613">
        <f t="shared" si="33"/>
        <v>120</v>
      </c>
      <c r="CC118" s="769" t="s">
        <v>67</v>
      </c>
      <c r="CD118" s="575">
        <v>1</v>
      </c>
      <c r="CE118" s="584">
        <f>+IF(CD118="","",(VLOOKUP($C118,'EQUIP RATE SCHEDULE'!$B$11:$F$162,5,FALSE)))</f>
        <v>120</v>
      </c>
      <c r="CF118" s="591"/>
      <c r="CG118" s="613">
        <f t="shared" si="34"/>
        <v>120</v>
      </c>
      <c r="CH118" s="769" t="s">
        <v>67</v>
      </c>
      <c r="CI118" s="575">
        <v>1</v>
      </c>
      <c r="CJ118" s="584">
        <f>+IF(CI118="","",(VLOOKUP($C118,'EQUIP RATE SCHEDULE'!$B$11:$F$162,5,FALSE)))</f>
        <v>120</v>
      </c>
      <c r="CK118" s="591"/>
      <c r="CL118" s="613">
        <f t="shared" si="35"/>
        <v>120</v>
      </c>
      <c r="CM118" s="769" t="s">
        <v>67</v>
      </c>
      <c r="CN118" s="575">
        <v>1</v>
      </c>
      <c r="CO118" s="584">
        <f>+IF(CN118="","",(VLOOKUP($C118,'EQUIP RATE SCHEDULE'!$B$11:$F$162,5,FALSE)))</f>
        <v>120</v>
      </c>
      <c r="CP118" s="591"/>
      <c r="CQ118" s="613">
        <f t="shared" si="36"/>
        <v>120</v>
      </c>
      <c r="CR118" s="769" t="s">
        <v>67</v>
      </c>
      <c r="CS118" s="575">
        <v>1</v>
      </c>
      <c r="CT118" s="584">
        <f>+IF(CS118="","",(VLOOKUP($C118,'EQUIP RATE SCHEDULE'!$B$11:$F$162,5,FALSE)))</f>
        <v>120</v>
      </c>
      <c r="CU118" s="591"/>
      <c r="CV118" s="613">
        <f t="shared" si="37"/>
        <v>120</v>
      </c>
      <c r="CW118" s="769" t="s">
        <v>67</v>
      </c>
      <c r="CX118" s="575">
        <v>1</v>
      </c>
      <c r="CY118" s="584">
        <f>+IF(CX118="","",(VLOOKUP($C118,'EQUIP RATE SCHEDULE'!$B$11:$F$162,5,FALSE)))</f>
        <v>120</v>
      </c>
      <c r="CZ118" s="591"/>
      <c r="DA118" s="613">
        <f t="shared" si="38"/>
        <v>120</v>
      </c>
    </row>
    <row r="119" spans="1:105" s="150" customFormat="1" ht="15" x14ac:dyDescent="0.25">
      <c r="A119" s="1498"/>
      <c r="B119" s="809" t="s">
        <v>522</v>
      </c>
      <c r="C119" s="776" t="s">
        <v>1134</v>
      </c>
      <c r="D119" s="1491" t="s">
        <v>1135</v>
      </c>
      <c r="E119" s="1488" t="s">
        <v>1136</v>
      </c>
      <c r="F119" s="769" t="s">
        <v>66</v>
      </c>
      <c r="G119" s="575">
        <v>1</v>
      </c>
      <c r="H119" s="584">
        <f>+IF(G119="","",(VLOOKUP($C119,'EQUIP RATE SCHEDULE'!$B$11:$F$162,5,FALSE)))</f>
        <v>10</v>
      </c>
      <c r="I119" s="591"/>
      <c r="J119" s="613">
        <f t="shared" si="39"/>
        <v>10</v>
      </c>
      <c r="K119" s="769" t="s">
        <v>66</v>
      </c>
      <c r="L119" s="575">
        <v>1</v>
      </c>
      <c r="M119" s="584">
        <f>+IF(L119="","",(VLOOKUP($C119,'EQUIP RATE SCHEDULE'!$B$11:$F$162,5,FALSE)))</f>
        <v>10</v>
      </c>
      <c r="N119" s="591"/>
      <c r="O119" s="613">
        <f t="shared" si="40"/>
        <v>10</v>
      </c>
      <c r="P119" s="769" t="s">
        <v>66</v>
      </c>
      <c r="Q119" s="575">
        <v>1</v>
      </c>
      <c r="R119" s="584">
        <f>+IF(Q119="","",(VLOOKUP($C119,'EQUIP RATE SCHEDULE'!$B$11:$F$162,5,FALSE)))</f>
        <v>10</v>
      </c>
      <c r="S119" s="591"/>
      <c r="T119" s="613">
        <f t="shared" si="41"/>
        <v>10</v>
      </c>
      <c r="U119" s="769" t="s">
        <v>66</v>
      </c>
      <c r="V119" s="575">
        <v>1</v>
      </c>
      <c r="W119" s="584">
        <f>+IF(V119="","",(VLOOKUP($C119,'EQUIP RATE SCHEDULE'!$B$11:$F$162,5,FALSE)))</f>
        <v>10</v>
      </c>
      <c r="X119" s="591"/>
      <c r="Y119" s="613">
        <f t="shared" si="42"/>
        <v>10</v>
      </c>
      <c r="Z119" s="769" t="s">
        <v>66</v>
      </c>
      <c r="AA119" s="575">
        <v>1</v>
      </c>
      <c r="AB119" s="584">
        <f>+IF(AA119="","",(VLOOKUP($C119,'EQUIP RATE SCHEDULE'!$B$11:$F$162,5,FALSE)))</f>
        <v>10</v>
      </c>
      <c r="AC119" s="591"/>
      <c r="AD119" s="613">
        <f t="shared" si="43"/>
        <v>10</v>
      </c>
      <c r="AE119" s="769" t="s">
        <v>66</v>
      </c>
      <c r="AF119" s="575">
        <v>1</v>
      </c>
      <c r="AG119" s="584">
        <f>+IF(AF119="","",(VLOOKUP($C119,'EQUIP RATE SCHEDULE'!$B$11:$F$162,5,FALSE)))</f>
        <v>10</v>
      </c>
      <c r="AH119" s="591"/>
      <c r="AI119" s="613">
        <f t="shared" si="44"/>
        <v>10</v>
      </c>
      <c r="AJ119" s="769" t="s">
        <v>66</v>
      </c>
      <c r="AK119" s="575">
        <v>1</v>
      </c>
      <c r="AL119" s="584">
        <f>+IF(AK119="","",(VLOOKUP($C119,'EQUIP RATE SCHEDULE'!$B$11:$F$162,5,FALSE)))</f>
        <v>10</v>
      </c>
      <c r="AM119" s="591"/>
      <c r="AN119" s="613">
        <f t="shared" si="45"/>
        <v>10</v>
      </c>
      <c r="AO119" s="769" t="s">
        <v>66</v>
      </c>
      <c r="AP119" s="575">
        <v>1</v>
      </c>
      <c r="AQ119" s="584">
        <f>+IF(AP119="","",(VLOOKUP($C119,'EQUIP RATE SCHEDULE'!$B$11:$F$162,5,FALSE)))</f>
        <v>10</v>
      </c>
      <c r="AR119" s="591"/>
      <c r="AS119" s="613">
        <f t="shared" si="46"/>
        <v>10</v>
      </c>
      <c r="AT119" s="769" t="s">
        <v>66</v>
      </c>
      <c r="AU119" s="575">
        <v>1</v>
      </c>
      <c r="AV119" s="584">
        <f>+IF(AU119="","",(VLOOKUP($C119,'EQUIP RATE SCHEDULE'!$B$11:$F$162,5,FALSE)))</f>
        <v>10</v>
      </c>
      <c r="AW119" s="591"/>
      <c r="AX119" s="613">
        <f t="shared" si="47"/>
        <v>10</v>
      </c>
      <c r="AY119" s="769" t="s">
        <v>66</v>
      </c>
      <c r="AZ119" s="575">
        <v>1</v>
      </c>
      <c r="BA119" s="584">
        <f>+IF(AZ119="","",(VLOOKUP($C119,'EQUIP RATE SCHEDULE'!$B$11:$F$162,5,FALSE)))</f>
        <v>10</v>
      </c>
      <c r="BB119" s="591"/>
      <c r="BC119" s="613">
        <f t="shared" si="48"/>
        <v>10</v>
      </c>
      <c r="BD119" s="769" t="s">
        <v>66</v>
      </c>
      <c r="BE119" s="575">
        <v>1</v>
      </c>
      <c r="BF119" s="584">
        <f>+IF(BE119="","",(VLOOKUP($C119,'EQUIP RATE SCHEDULE'!$B$11:$F$162,5,FALSE)))</f>
        <v>10</v>
      </c>
      <c r="BG119" s="591"/>
      <c r="BH119" s="613">
        <f t="shared" si="29"/>
        <v>10</v>
      </c>
      <c r="BI119" s="769" t="s">
        <v>66</v>
      </c>
      <c r="BJ119" s="575">
        <v>1</v>
      </c>
      <c r="BK119" s="584">
        <f>+IF(BJ119="","",(VLOOKUP($C119,'EQUIP RATE SCHEDULE'!$B$11:$F$162,5,FALSE)))</f>
        <v>10</v>
      </c>
      <c r="BL119" s="591"/>
      <c r="BM119" s="613">
        <f t="shared" si="30"/>
        <v>10</v>
      </c>
      <c r="BN119" s="769" t="s">
        <v>66</v>
      </c>
      <c r="BO119" s="575">
        <v>1</v>
      </c>
      <c r="BP119" s="584">
        <f>+IF(BO119="","",(VLOOKUP($C119,'EQUIP RATE SCHEDULE'!$B$11:$F$162,5,FALSE)))</f>
        <v>10</v>
      </c>
      <c r="BQ119" s="591"/>
      <c r="BR119" s="613">
        <f t="shared" si="31"/>
        <v>10</v>
      </c>
      <c r="BS119" s="769" t="s">
        <v>66</v>
      </c>
      <c r="BT119" s="575">
        <v>1</v>
      </c>
      <c r="BU119" s="584">
        <f>+IF(BT119="","",(VLOOKUP($C119,'EQUIP RATE SCHEDULE'!$B$11:$F$162,5,FALSE)))</f>
        <v>10</v>
      </c>
      <c r="BV119" s="591"/>
      <c r="BW119" s="613">
        <f t="shared" si="32"/>
        <v>10</v>
      </c>
      <c r="BX119" s="769" t="s">
        <v>66</v>
      </c>
      <c r="BY119" s="575">
        <v>1</v>
      </c>
      <c r="BZ119" s="584">
        <f>+IF(BY119="","",(VLOOKUP($C119,'EQUIP RATE SCHEDULE'!$B$11:$F$162,5,FALSE)))</f>
        <v>10</v>
      </c>
      <c r="CA119" s="591"/>
      <c r="CB119" s="613">
        <f t="shared" si="33"/>
        <v>10</v>
      </c>
      <c r="CC119" s="769" t="s">
        <v>66</v>
      </c>
      <c r="CD119" s="575">
        <v>1</v>
      </c>
      <c r="CE119" s="584">
        <f>+IF(CD119="","",(VLOOKUP($C119,'EQUIP RATE SCHEDULE'!$B$11:$F$162,5,FALSE)))</f>
        <v>10</v>
      </c>
      <c r="CF119" s="591"/>
      <c r="CG119" s="613">
        <f t="shared" si="34"/>
        <v>10</v>
      </c>
      <c r="CH119" s="769" t="s">
        <v>66</v>
      </c>
      <c r="CI119" s="575">
        <v>1</v>
      </c>
      <c r="CJ119" s="584">
        <f>+IF(CI119="","",(VLOOKUP($C119,'EQUIP RATE SCHEDULE'!$B$11:$F$162,5,FALSE)))</f>
        <v>10</v>
      </c>
      <c r="CK119" s="591"/>
      <c r="CL119" s="613">
        <f t="shared" si="35"/>
        <v>10</v>
      </c>
      <c r="CM119" s="769" t="s">
        <v>66</v>
      </c>
      <c r="CN119" s="575">
        <v>1</v>
      </c>
      <c r="CO119" s="584">
        <f>+IF(CN119="","",(VLOOKUP($C119,'EQUIP RATE SCHEDULE'!$B$11:$F$162,5,FALSE)))</f>
        <v>10</v>
      </c>
      <c r="CP119" s="591"/>
      <c r="CQ119" s="613">
        <f t="shared" si="36"/>
        <v>10</v>
      </c>
      <c r="CR119" s="769" t="s">
        <v>66</v>
      </c>
      <c r="CS119" s="575">
        <v>1</v>
      </c>
      <c r="CT119" s="584">
        <f>+IF(CS119="","",(VLOOKUP($C119,'EQUIP RATE SCHEDULE'!$B$11:$F$162,5,FALSE)))</f>
        <v>10</v>
      </c>
      <c r="CU119" s="591"/>
      <c r="CV119" s="613">
        <f t="shared" si="37"/>
        <v>10</v>
      </c>
      <c r="CW119" s="769" t="s">
        <v>66</v>
      </c>
      <c r="CX119" s="575">
        <v>1</v>
      </c>
      <c r="CY119" s="584">
        <f>+IF(CX119="","",(VLOOKUP($C119,'EQUIP RATE SCHEDULE'!$B$11:$F$162,5,FALSE)))</f>
        <v>10</v>
      </c>
      <c r="CZ119" s="591"/>
      <c r="DA119" s="613">
        <f t="shared" si="38"/>
        <v>10</v>
      </c>
    </row>
    <row r="120" spans="1:105" ht="15" x14ac:dyDescent="0.25">
      <c r="A120" s="1498"/>
      <c r="B120" s="809" t="s">
        <v>522</v>
      </c>
      <c r="C120" s="776" t="s">
        <v>1137</v>
      </c>
      <c r="D120" s="1492"/>
      <c r="E120" s="1490"/>
      <c r="F120" s="769" t="s">
        <v>67</v>
      </c>
      <c r="G120" s="575">
        <v>1</v>
      </c>
      <c r="H120" s="584">
        <f>+IF(G120="","",(VLOOKUP($C120,'EQUIP RATE SCHEDULE'!$B$11:$F$162,5,FALSE)))</f>
        <v>30</v>
      </c>
      <c r="I120" s="591"/>
      <c r="J120" s="613">
        <f t="shared" si="39"/>
        <v>30</v>
      </c>
      <c r="K120" s="769" t="s">
        <v>67</v>
      </c>
      <c r="L120" s="575">
        <v>1</v>
      </c>
      <c r="M120" s="584">
        <f>+IF(L120="","",(VLOOKUP($C120,'EQUIP RATE SCHEDULE'!$B$11:$F$162,5,FALSE)))</f>
        <v>30</v>
      </c>
      <c r="N120" s="591"/>
      <c r="O120" s="613">
        <f t="shared" si="40"/>
        <v>30</v>
      </c>
      <c r="P120" s="769" t="s">
        <v>67</v>
      </c>
      <c r="Q120" s="575">
        <v>1</v>
      </c>
      <c r="R120" s="584">
        <f>+IF(Q120="","",(VLOOKUP($C120,'EQUIP RATE SCHEDULE'!$B$11:$F$162,5,FALSE)))</f>
        <v>30</v>
      </c>
      <c r="S120" s="591"/>
      <c r="T120" s="613">
        <f t="shared" si="41"/>
        <v>30</v>
      </c>
      <c r="U120" s="769" t="s">
        <v>67</v>
      </c>
      <c r="V120" s="575">
        <v>1</v>
      </c>
      <c r="W120" s="584">
        <f>+IF(V120="","",(VLOOKUP($C120,'EQUIP RATE SCHEDULE'!$B$11:$F$162,5,FALSE)))</f>
        <v>30</v>
      </c>
      <c r="X120" s="591"/>
      <c r="Y120" s="613">
        <f t="shared" si="42"/>
        <v>30</v>
      </c>
      <c r="Z120" s="769" t="s">
        <v>67</v>
      </c>
      <c r="AA120" s="575">
        <v>1</v>
      </c>
      <c r="AB120" s="584">
        <f>+IF(AA120="","",(VLOOKUP($C120,'EQUIP RATE SCHEDULE'!$B$11:$F$162,5,FALSE)))</f>
        <v>30</v>
      </c>
      <c r="AC120" s="591"/>
      <c r="AD120" s="613">
        <f t="shared" si="43"/>
        <v>30</v>
      </c>
      <c r="AE120" s="769" t="s">
        <v>67</v>
      </c>
      <c r="AF120" s="575">
        <v>1</v>
      </c>
      <c r="AG120" s="584">
        <f>+IF(AF120="","",(VLOOKUP($C120,'EQUIP RATE SCHEDULE'!$B$11:$F$162,5,FALSE)))</f>
        <v>30</v>
      </c>
      <c r="AH120" s="591"/>
      <c r="AI120" s="613">
        <f t="shared" si="44"/>
        <v>30</v>
      </c>
      <c r="AJ120" s="769" t="s">
        <v>67</v>
      </c>
      <c r="AK120" s="575">
        <v>1</v>
      </c>
      <c r="AL120" s="584">
        <f>+IF(AK120="","",(VLOOKUP($C120,'EQUIP RATE SCHEDULE'!$B$11:$F$162,5,FALSE)))</f>
        <v>30</v>
      </c>
      <c r="AM120" s="591"/>
      <c r="AN120" s="613">
        <f t="shared" si="45"/>
        <v>30</v>
      </c>
      <c r="AO120" s="769" t="s">
        <v>67</v>
      </c>
      <c r="AP120" s="575">
        <v>1</v>
      </c>
      <c r="AQ120" s="584">
        <f>+IF(AP120="","",(VLOOKUP($C120,'EQUIP RATE SCHEDULE'!$B$11:$F$162,5,FALSE)))</f>
        <v>30</v>
      </c>
      <c r="AR120" s="591"/>
      <c r="AS120" s="613">
        <f t="shared" si="46"/>
        <v>30</v>
      </c>
      <c r="AT120" s="769" t="s">
        <v>67</v>
      </c>
      <c r="AU120" s="575">
        <v>1</v>
      </c>
      <c r="AV120" s="584">
        <f>+IF(AU120="","",(VLOOKUP($C120,'EQUIP RATE SCHEDULE'!$B$11:$F$162,5,FALSE)))</f>
        <v>30</v>
      </c>
      <c r="AW120" s="591"/>
      <c r="AX120" s="613">
        <f t="shared" si="47"/>
        <v>30</v>
      </c>
      <c r="AY120" s="769" t="s">
        <v>67</v>
      </c>
      <c r="AZ120" s="575">
        <v>1</v>
      </c>
      <c r="BA120" s="584">
        <f>+IF(AZ120="","",(VLOOKUP($C120,'EQUIP RATE SCHEDULE'!$B$11:$F$162,5,FALSE)))</f>
        <v>30</v>
      </c>
      <c r="BB120" s="591"/>
      <c r="BC120" s="613">
        <f t="shared" si="48"/>
        <v>30</v>
      </c>
      <c r="BD120" s="769" t="s">
        <v>67</v>
      </c>
      <c r="BE120" s="575">
        <v>1</v>
      </c>
      <c r="BF120" s="584">
        <f>+IF(BE120="","",(VLOOKUP($C120,'EQUIP RATE SCHEDULE'!$B$11:$F$162,5,FALSE)))</f>
        <v>30</v>
      </c>
      <c r="BG120" s="591"/>
      <c r="BH120" s="613">
        <f t="shared" si="29"/>
        <v>30</v>
      </c>
      <c r="BI120" s="769" t="s">
        <v>67</v>
      </c>
      <c r="BJ120" s="575">
        <v>1</v>
      </c>
      <c r="BK120" s="584">
        <f>+IF(BJ120="","",(VLOOKUP($C120,'EQUIP RATE SCHEDULE'!$B$11:$F$162,5,FALSE)))</f>
        <v>30</v>
      </c>
      <c r="BL120" s="591"/>
      <c r="BM120" s="613">
        <f t="shared" si="30"/>
        <v>30</v>
      </c>
      <c r="BN120" s="769" t="s">
        <v>67</v>
      </c>
      <c r="BO120" s="575">
        <v>1</v>
      </c>
      <c r="BP120" s="584">
        <f>+IF(BO120="","",(VLOOKUP($C120,'EQUIP RATE SCHEDULE'!$B$11:$F$162,5,FALSE)))</f>
        <v>30</v>
      </c>
      <c r="BQ120" s="591"/>
      <c r="BR120" s="613">
        <f t="shared" si="31"/>
        <v>30</v>
      </c>
      <c r="BS120" s="769" t="s">
        <v>67</v>
      </c>
      <c r="BT120" s="575">
        <v>1</v>
      </c>
      <c r="BU120" s="584">
        <f>+IF(BT120="","",(VLOOKUP($C120,'EQUIP RATE SCHEDULE'!$B$11:$F$162,5,FALSE)))</f>
        <v>30</v>
      </c>
      <c r="BV120" s="591"/>
      <c r="BW120" s="613">
        <f t="shared" si="32"/>
        <v>30</v>
      </c>
      <c r="BX120" s="769" t="s">
        <v>67</v>
      </c>
      <c r="BY120" s="575">
        <v>1</v>
      </c>
      <c r="BZ120" s="584">
        <f>+IF(BY120="","",(VLOOKUP($C120,'EQUIP RATE SCHEDULE'!$B$11:$F$162,5,FALSE)))</f>
        <v>30</v>
      </c>
      <c r="CA120" s="591"/>
      <c r="CB120" s="613">
        <f t="shared" si="33"/>
        <v>30</v>
      </c>
      <c r="CC120" s="769" t="s">
        <v>67</v>
      </c>
      <c r="CD120" s="575">
        <v>1</v>
      </c>
      <c r="CE120" s="584">
        <f>+IF(CD120="","",(VLOOKUP($C120,'EQUIP RATE SCHEDULE'!$B$11:$F$162,5,FALSE)))</f>
        <v>30</v>
      </c>
      <c r="CF120" s="591"/>
      <c r="CG120" s="613">
        <f t="shared" si="34"/>
        <v>30</v>
      </c>
      <c r="CH120" s="769" t="s">
        <v>67</v>
      </c>
      <c r="CI120" s="575">
        <v>1</v>
      </c>
      <c r="CJ120" s="584">
        <f>+IF(CI120="","",(VLOOKUP($C120,'EQUIP RATE SCHEDULE'!$B$11:$F$162,5,FALSE)))</f>
        <v>30</v>
      </c>
      <c r="CK120" s="591"/>
      <c r="CL120" s="613">
        <f t="shared" si="35"/>
        <v>30</v>
      </c>
      <c r="CM120" s="769" t="s">
        <v>67</v>
      </c>
      <c r="CN120" s="575">
        <v>1</v>
      </c>
      <c r="CO120" s="584">
        <f>+IF(CN120="","",(VLOOKUP($C120,'EQUIP RATE SCHEDULE'!$B$11:$F$162,5,FALSE)))</f>
        <v>30</v>
      </c>
      <c r="CP120" s="591"/>
      <c r="CQ120" s="613">
        <f t="shared" si="36"/>
        <v>30</v>
      </c>
      <c r="CR120" s="769" t="s">
        <v>67</v>
      </c>
      <c r="CS120" s="575">
        <v>1</v>
      </c>
      <c r="CT120" s="584">
        <f>+IF(CS120="","",(VLOOKUP($C120,'EQUIP RATE SCHEDULE'!$B$11:$F$162,5,FALSE)))</f>
        <v>30</v>
      </c>
      <c r="CU120" s="591"/>
      <c r="CV120" s="613">
        <f t="shared" si="37"/>
        <v>30</v>
      </c>
      <c r="CW120" s="769" t="s">
        <v>67</v>
      </c>
      <c r="CX120" s="575">
        <v>1</v>
      </c>
      <c r="CY120" s="584">
        <f>+IF(CX120="","",(VLOOKUP($C120,'EQUIP RATE SCHEDULE'!$B$11:$F$162,5,FALSE)))</f>
        <v>30</v>
      </c>
      <c r="CZ120" s="591"/>
      <c r="DA120" s="613">
        <f t="shared" si="38"/>
        <v>30</v>
      </c>
    </row>
    <row r="121" spans="1:105" ht="15" x14ac:dyDescent="0.25">
      <c r="A121" s="1498"/>
      <c r="B121" s="809" t="s">
        <v>522</v>
      </c>
      <c r="C121" s="776" t="s">
        <v>1138</v>
      </c>
      <c r="D121" s="1491" t="s">
        <v>1139</v>
      </c>
      <c r="E121" s="1488" t="s">
        <v>1140</v>
      </c>
      <c r="F121" s="769" t="s">
        <v>66</v>
      </c>
      <c r="G121" s="575">
        <v>1</v>
      </c>
      <c r="H121" s="584">
        <f>+IF(G121="","",(VLOOKUP($C121,'EQUIP RATE SCHEDULE'!$B$11:$F$162,5,FALSE)))</f>
        <v>80</v>
      </c>
      <c r="I121" s="591"/>
      <c r="J121" s="613">
        <f t="shared" si="39"/>
        <v>80</v>
      </c>
      <c r="K121" s="769" t="s">
        <v>66</v>
      </c>
      <c r="L121" s="575">
        <v>1</v>
      </c>
      <c r="M121" s="584">
        <f>+IF(L121="","",(VLOOKUP($C121,'EQUIP RATE SCHEDULE'!$B$11:$F$162,5,FALSE)))</f>
        <v>80</v>
      </c>
      <c r="N121" s="591"/>
      <c r="O121" s="613">
        <f t="shared" si="40"/>
        <v>80</v>
      </c>
      <c r="P121" s="769" t="s">
        <v>66</v>
      </c>
      <c r="Q121" s="575">
        <v>1</v>
      </c>
      <c r="R121" s="584">
        <f>+IF(Q121="","",(VLOOKUP($C121,'EQUIP RATE SCHEDULE'!$B$11:$F$162,5,FALSE)))</f>
        <v>80</v>
      </c>
      <c r="S121" s="591"/>
      <c r="T121" s="613">
        <f t="shared" si="41"/>
        <v>80</v>
      </c>
      <c r="U121" s="769" t="s">
        <v>66</v>
      </c>
      <c r="V121" s="575">
        <v>1</v>
      </c>
      <c r="W121" s="584">
        <f>+IF(V121="","",(VLOOKUP($C121,'EQUIP RATE SCHEDULE'!$B$11:$F$162,5,FALSE)))</f>
        <v>80</v>
      </c>
      <c r="X121" s="591"/>
      <c r="Y121" s="613">
        <f t="shared" si="42"/>
        <v>80</v>
      </c>
      <c r="Z121" s="769" t="s">
        <v>66</v>
      </c>
      <c r="AA121" s="575">
        <v>1</v>
      </c>
      <c r="AB121" s="584">
        <f>+IF(AA121="","",(VLOOKUP($C121,'EQUIP RATE SCHEDULE'!$B$11:$F$162,5,FALSE)))</f>
        <v>80</v>
      </c>
      <c r="AC121" s="591"/>
      <c r="AD121" s="613">
        <f t="shared" si="43"/>
        <v>80</v>
      </c>
      <c r="AE121" s="769" t="s">
        <v>66</v>
      </c>
      <c r="AF121" s="575"/>
      <c r="AG121" s="584" t="str">
        <f>+IF(AF121="","",(VLOOKUP($C121,'EQUIP RATE SCHEDULE'!$B$11:$F$162,5,FALSE)))</f>
        <v/>
      </c>
      <c r="AH121" s="591"/>
      <c r="AI121" s="613" t="str">
        <f t="shared" si="44"/>
        <v/>
      </c>
      <c r="AJ121" s="769" t="s">
        <v>66</v>
      </c>
      <c r="AK121" s="575">
        <v>1</v>
      </c>
      <c r="AL121" s="584">
        <f>+IF(AK121="","",(VLOOKUP($C121,'EQUIP RATE SCHEDULE'!$B$11:$F$162,5,FALSE)))</f>
        <v>80</v>
      </c>
      <c r="AM121" s="591"/>
      <c r="AN121" s="613">
        <f t="shared" si="45"/>
        <v>80</v>
      </c>
      <c r="AO121" s="769" t="s">
        <v>66</v>
      </c>
      <c r="AP121" s="575">
        <v>1</v>
      </c>
      <c r="AQ121" s="584">
        <f>+IF(AP121="","",(VLOOKUP($C121,'EQUIP RATE SCHEDULE'!$B$11:$F$162,5,FALSE)))</f>
        <v>80</v>
      </c>
      <c r="AR121" s="591"/>
      <c r="AS121" s="613">
        <f t="shared" si="46"/>
        <v>80</v>
      </c>
      <c r="AT121" s="769" t="s">
        <v>66</v>
      </c>
      <c r="AU121" s="575">
        <v>1</v>
      </c>
      <c r="AV121" s="584">
        <f>+IF(AU121="","",(VLOOKUP($C121,'EQUIP RATE SCHEDULE'!$B$11:$F$162,5,FALSE)))</f>
        <v>80</v>
      </c>
      <c r="AW121" s="591"/>
      <c r="AX121" s="613">
        <f t="shared" si="47"/>
        <v>80</v>
      </c>
      <c r="AY121" s="769" t="s">
        <v>66</v>
      </c>
      <c r="AZ121" s="575">
        <v>1</v>
      </c>
      <c r="BA121" s="584">
        <f>+IF(AZ121="","",(VLOOKUP($C121,'EQUIP RATE SCHEDULE'!$B$11:$F$162,5,FALSE)))</f>
        <v>80</v>
      </c>
      <c r="BB121" s="591"/>
      <c r="BC121" s="613">
        <f t="shared" si="48"/>
        <v>80</v>
      </c>
      <c r="BD121" s="769" t="s">
        <v>66</v>
      </c>
      <c r="BE121" s="575">
        <v>1</v>
      </c>
      <c r="BF121" s="584">
        <f>+IF(BE121="","",(VLOOKUP($C121,'EQUIP RATE SCHEDULE'!$B$11:$F$162,5,FALSE)))</f>
        <v>80</v>
      </c>
      <c r="BG121" s="591"/>
      <c r="BH121" s="613">
        <f t="shared" si="29"/>
        <v>80</v>
      </c>
      <c r="BI121" s="769" t="s">
        <v>66</v>
      </c>
      <c r="BJ121" s="575">
        <v>1</v>
      </c>
      <c r="BK121" s="584">
        <f>+IF(BJ121="","",(VLOOKUP($C121,'EQUIP RATE SCHEDULE'!$B$11:$F$162,5,FALSE)))</f>
        <v>80</v>
      </c>
      <c r="BL121" s="591"/>
      <c r="BM121" s="613">
        <f t="shared" si="30"/>
        <v>80</v>
      </c>
      <c r="BN121" s="769" t="s">
        <v>66</v>
      </c>
      <c r="BO121" s="575">
        <v>1</v>
      </c>
      <c r="BP121" s="584">
        <f>+IF(BO121="","",(VLOOKUP($C121,'EQUIP RATE SCHEDULE'!$B$11:$F$162,5,FALSE)))</f>
        <v>80</v>
      </c>
      <c r="BQ121" s="591"/>
      <c r="BR121" s="613">
        <f t="shared" si="31"/>
        <v>80</v>
      </c>
      <c r="BS121" s="769" t="s">
        <v>66</v>
      </c>
      <c r="BT121" s="575">
        <v>1</v>
      </c>
      <c r="BU121" s="584">
        <f>+IF(BT121="","",(VLOOKUP($C121,'EQUIP RATE SCHEDULE'!$B$11:$F$162,5,FALSE)))</f>
        <v>80</v>
      </c>
      <c r="BV121" s="591"/>
      <c r="BW121" s="613">
        <f t="shared" si="32"/>
        <v>80</v>
      </c>
      <c r="BX121" s="769" t="s">
        <v>66</v>
      </c>
      <c r="BY121" s="575">
        <v>1</v>
      </c>
      <c r="BZ121" s="584">
        <f>+IF(BY121="","",(VLOOKUP($C121,'EQUIP RATE SCHEDULE'!$B$11:$F$162,5,FALSE)))</f>
        <v>80</v>
      </c>
      <c r="CA121" s="591"/>
      <c r="CB121" s="613">
        <f t="shared" si="33"/>
        <v>80</v>
      </c>
      <c r="CC121" s="769" t="s">
        <v>66</v>
      </c>
      <c r="CD121" s="575">
        <v>1</v>
      </c>
      <c r="CE121" s="584">
        <f>+IF(CD121="","",(VLOOKUP($C121,'EQUIP RATE SCHEDULE'!$B$11:$F$162,5,FALSE)))</f>
        <v>80</v>
      </c>
      <c r="CF121" s="591"/>
      <c r="CG121" s="613">
        <f t="shared" si="34"/>
        <v>80</v>
      </c>
      <c r="CH121" s="769" t="s">
        <v>66</v>
      </c>
      <c r="CI121" s="575">
        <v>1</v>
      </c>
      <c r="CJ121" s="584">
        <f>+IF(CI121="","",(VLOOKUP($C121,'EQUIP RATE SCHEDULE'!$B$11:$F$162,5,FALSE)))</f>
        <v>80</v>
      </c>
      <c r="CK121" s="591"/>
      <c r="CL121" s="613">
        <f t="shared" si="35"/>
        <v>80</v>
      </c>
      <c r="CM121" s="769" t="s">
        <v>66</v>
      </c>
      <c r="CN121" s="575">
        <v>1</v>
      </c>
      <c r="CO121" s="584">
        <f>+IF(CN121="","",(VLOOKUP($C121,'EQUIP RATE SCHEDULE'!$B$11:$F$162,5,FALSE)))</f>
        <v>80</v>
      </c>
      <c r="CP121" s="591"/>
      <c r="CQ121" s="613">
        <f t="shared" si="36"/>
        <v>80</v>
      </c>
      <c r="CR121" s="769" t="s">
        <v>66</v>
      </c>
      <c r="CS121" s="575">
        <v>1</v>
      </c>
      <c r="CT121" s="584">
        <f>+IF(CS121="","",(VLOOKUP($C121,'EQUIP RATE SCHEDULE'!$B$11:$F$162,5,FALSE)))</f>
        <v>80</v>
      </c>
      <c r="CU121" s="591"/>
      <c r="CV121" s="613">
        <f t="shared" si="37"/>
        <v>80</v>
      </c>
      <c r="CW121" s="769" t="s">
        <v>66</v>
      </c>
      <c r="CX121" s="575">
        <v>1</v>
      </c>
      <c r="CY121" s="584">
        <f>+IF(CX121="","",(VLOOKUP($C121,'EQUIP RATE SCHEDULE'!$B$11:$F$162,5,FALSE)))</f>
        <v>80</v>
      </c>
      <c r="CZ121" s="591"/>
      <c r="DA121" s="613">
        <f t="shared" si="38"/>
        <v>80</v>
      </c>
    </row>
    <row r="122" spans="1:105" ht="15" x14ac:dyDescent="0.25">
      <c r="A122" s="1498"/>
      <c r="B122" s="809" t="s">
        <v>522</v>
      </c>
      <c r="C122" s="776" t="s">
        <v>1141</v>
      </c>
      <c r="D122" s="1492"/>
      <c r="E122" s="1490"/>
      <c r="F122" s="769" t="s">
        <v>67</v>
      </c>
      <c r="G122" s="575">
        <v>1</v>
      </c>
      <c r="H122" s="584">
        <f>+IF(G122="","",(VLOOKUP($C122,'EQUIP RATE SCHEDULE'!$B$11:$F$162,5,FALSE)))</f>
        <v>240</v>
      </c>
      <c r="I122" s="591"/>
      <c r="J122" s="613">
        <f t="shared" si="39"/>
        <v>240</v>
      </c>
      <c r="K122" s="769" t="s">
        <v>67</v>
      </c>
      <c r="L122" s="575">
        <v>1</v>
      </c>
      <c r="M122" s="584">
        <f>+IF(L122="","",(VLOOKUP($C122,'EQUIP RATE SCHEDULE'!$B$11:$F$162,5,FALSE)))</f>
        <v>240</v>
      </c>
      <c r="N122" s="591"/>
      <c r="O122" s="613">
        <f t="shared" si="40"/>
        <v>240</v>
      </c>
      <c r="P122" s="769" t="s">
        <v>67</v>
      </c>
      <c r="Q122" s="575">
        <v>1</v>
      </c>
      <c r="R122" s="584">
        <f>+IF(Q122="","",(VLOOKUP($C122,'EQUIP RATE SCHEDULE'!$B$11:$F$162,5,FALSE)))</f>
        <v>240</v>
      </c>
      <c r="S122" s="591"/>
      <c r="T122" s="613">
        <f t="shared" si="41"/>
        <v>240</v>
      </c>
      <c r="U122" s="769" t="s">
        <v>67</v>
      </c>
      <c r="V122" s="575">
        <v>1</v>
      </c>
      <c r="W122" s="584">
        <f>+IF(V122="","",(VLOOKUP($C122,'EQUIP RATE SCHEDULE'!$B$11:$F$162,5,FALSE)))</f>
        <v>240</v>
      </c>
      <c r="X122" s="591"/>
      <c r="Y122" s="613">
        <f t="shared" si="42"/>
        <v>240</v>
      </c>
      <c r="Z122" s="769" t="s">
        <v>67</v>
      </c>
      <c r="AA122" s="575">
        <v>1</v>
      </c>
      <c r="AB122" s="584">
        <f>+IF(AA122="","",(VLOOKUP($C122,'EQUIP RATE SCHEDULE'!$B$11:$F$162,5,FALSE)))</f>
        <v>240</v>
      </c>
      <c r="AC122" s="591"/>
      <c r="AD122" s="613">
        <f t="shared" si="43"/>
        <v>240</v>
      </c>
      <c r="AE122" s="769" t="s">
        <v>67</v>
      </c>
      <c r="AF122" s="575">
        <v>1</v>
      </c>
      <c r="AG122" s="584">
        <f>+IF(AF122="","",(VLOOKUP($C122,'EQUIP RATE SCHEDULE'!$B$11:$F$162,5,FALSE)))</f>
        <v>240</v>
      </c>
      <c r="AH122" s="591"/>
      <c r="AI122" s="613">
        <f t="shared" si="44"/>
        <v>240</v>
      </c>
      <c r="AJ122" s="769" t="s">
        <v>67</v>
      </c>
      <c r="AK122" s="575">
        <v>1</v>
      </c>
      <c r="AL122" s="584">
        <f>+IF(AK122="","",(VLOOKUP($C122,'EQUIP RATE SCHEDULE'!$B$11:$F$162,5,FALSE)))</f>
        <v>240</v>
      </c>
      <c r="AM122" s="591"/>
      <c r="AN122" s="613">
        <f t="shared" si="45"/>
        <v>240</v>
      </c>
      <c r="AO122" s="769" t="s">
        <v>67</v>
      </c>
      <c r="AP122" s="575">
        <v>1</v>
      </c>
      <c r="AQ122" s="584">
        <f>+IF(AP122="","",(VLOOKUP($C122,'EQUIP RATE SCHEDULE'!$B$11:$F$162,5,FALSE)))</f>
        <v>240</v>
      </c>
      <c r="AR122" s="591"/>
      <c r="AS122" s="613">
        <f t="shared" si="46"/>
        <v>240</v>
      </c>
      <c r="AT122" s="769" t="s">
        <v>67</v>
      </c>
      <c r="AU122" s="575">
        <v>1</v>
      </c>
      <c r="AV122" s="584">
        <f>+IF(AU122="","",(VLOOKUP($C122,'EQUIP RATE SCHEDULE'!$B$11:$F$162,5,FALSE)))</f>
        <v>240</v>
      </c>
      <c r="AW122" s="591"/>
      <c r="AX122" s="613">
        <f t="shared" si="47"/>
        <v>240</v>
      </c>
      <c r="AY122" s="769" t="s">
        <v>67</v>
      </c>
      <c r="AZ122" s="575">
        <v>1</v>
      </c>
      <c r="BA122" s="584">
        <f>+IF(AZ122="","",(VLOOKUP($C122,'EQUIP RATE SCHEDULE'!$B$11:$F$162,5,FALSE)))</f>
        <v>240</v>
      </c>
      <c r="BB122" s="591"/>
      <c r="BC122" s="613">
        <f t="shared" si="48"/>
        <v>240</v>
      </c>
      <c r="BD122" s="769" t="s">
        <v>67</v>
      </c>
      <c r="BE122" s="575">
        <v>1</v>
      </c>
      <c r="BF122" s="584">
        <f>+IF(BE122="","",(VLOOKUP($C122,'EQUIP RATE SCHEDULE'!$B$11:$F$162,5,FALSE)))</f>
        <v>240</v>
      </c>
      <c r="BG122" s="591"/>
      <c r="BH122" s="613">
        <f t="shared" si="29"/>
        <v>240</v>
      </c>
      <c r="BI122" s="769" t="s">
        <v>67</v>
      </c>
      <c r="BJ122" s="575">
        <v>1</v>
      </c>
      <c r="BK122" s="584">
        <f>+IF(BJ122="","",(VLOOKUP($C122,'EQUIP RATE SCHEDULE'!$B$11:$F$162,5,FALSE)))</f>
        <v>240</v>
      </c>
      <c r="BL122" s="591"/>
      <c r="BM122" s="613">
        <f t="shared" si="30"/>
        <v>240</v>
      </c>
      <c r="BN122" s="769" t="s">
        <v>67</v>
      </c>
      <c r="BO122" s="575">
        <v>1</v>
      </c>
      <c r="BP122" s="584">
        <f>+IF(BO122="","",(VLOOKUP($C122,'EQUIP RATE SCHEDULE'!$B$11:$F$162,5,FALSE)))</f>
        <v>240</v>
      </c>
      <c r="BQ122" s="591"/>
      <c r="BR122" s="613">
        <f t="shared" si="31"/>
        <v>240</v>
      </c>
      <c r="BS122" s="769" t="s">
        <v>67</v>
      </c>
      <c r="BT122" s="575">
        <v>1</v>
      </c>
      <c r="BU122" s="584">
        <f>+IF(BT122="","",(VLOOKUP($C122,'EQUIP RATE SCHEDULE'!$B$11:$F$162,5,FALSE)))</f>
        <v>240</v>
      </c>
      <c r="BV122" s="591"/>
      <c r="BW122" s="613">
        <f t="shared" si="32"/>
        <v>240</v>
      </c>
      <c r="BX122" s="769" t="s">
        <v>67</v>
      </c>
      <c r="BY122" s="575">
        <v>1</v>
      </c>
      <c r="BZ122" s="584">
        <f>+IF(BY122="","",(VLOOKUP($C122,'EQUIP RATE SCHEDULE'!$B$11:$F$162,5,FALSE)))</f>
        <v>240</v>
      </c>
      <c r="CA122" s="591"/>
      <c r="CB122" s="613">
        <f t="shared" si="33"/>
        <v>240</v>
      </c>
      <c r="CC122" s="769" t="s">
        <v>67</v>
      </c>
      <c r="CD122" s="575">
        <v>1</v>
      </c>
      <c r="CE122" s="584">
        <f>+IF(CD122="","",(VLOOKUP($C122,'EQUIP RATE SCHEDULE'!$B$11:$F$162,5,FALSE)))</f>
        <v>240</v>
      </c>
      <c r="CF122" s="591"/>
      <c r="CG122" s="613">
        <f t="shared" si="34"/>
        <v>240</v>
      </c>
      <c r="CH122" s="769" t="s">
        <v>67</v>
      </c>
      <c r="CI122" s="575">
        <v>1</v>
      </c>
      <c r="CJ122" s="584">
        <f>+IF(CI122="","",(VLOOKUP($C122,'EQUIP RATE SCHEDULE'!$B$11:$F$162,5,FALSE)))</f>
        <v>240</v>
      </c>
      <c r="CK122" s="591"/>
      <c r="CL122" s="613">
        <f t="shared" si="35"/>
        <v>240</v>
      </c>
      <c r="CM122" s="769" t="s">
        <v>67</v>
      </c>
      <c r="CN122" s="575">
        <v>1</v>
      </c>
      <c r="CO122" s="584">
        <f>+IF(CN122="","",(VLOOKUP($C122,'EQUIP RATE SCHEDULE'!$B$11:$F$162,5,FALSE)))</f>
        <v>240</v>
      </c>
      <c r="CP122" s="591"/>
      <c r="CQ122" s="613">
        <f t="shared" si="36"/>
        <v>240</v>
      </c>
      <c r="CR122" s="769" t="s">
        <v>67</v>
      </c>
      <c r="CS122" s="575">
        <v>1</v>
      </c>
      <c r="CT122" s="584">
        <f>+IF(CS122="","",(VLOOKUP($C122,'EQUIP RATE SCHEDULE'!$B$11:$F$162,5,FALSE)))</f>
        <v>240</v>
      </c>
      <c r="CU122" s="591"/>
      <c r="CV122" s="613">
        <f t="shared" si="37"/>
        <v>240</v>
      </c>
      <c r="CW122" s="769" t="s">
        <v>67</v>
      </c>
      <c r="CX122" s="575">
        <v>1</v>
      </c>
      <c r="CY122" s="584">
        <f>+IF(CX122="","",(VLOOKUP($C122,'EQUIP RATE SCHEDULE'!$B$11:$F$162,5,FALSE)))</f>
        <v>240</v>
      </c>
      <c r="CZ122" s="591"/>
      <c r="DA122" s="613">
        <f t="shared" si="38"/>
        <v>240</v>
      </c>
    </row>
    <row r="123" spans="1:105" ht="15" x14ac:dyDescent="0.25">
      <c r="A123" s="1498"/>
      <c r="B123" s="809" t="s">
        <v>522</v>
      </c>
      <c r="C123" s="776" t="s">
        <v>1142</v>
      </c>
      <c r="D123" s="1491" t="s">
        <v>1143</v>
      </c>
      <c r="E123" s="1488" t="s">
        <v>1140</v>
      </c>
      <c r="F123" s="769" t="s">
        <v>66</v>
      </c>
      <c r="G123" s="575">
        <v>1</v>
      </c>
      <c r="H123" s="584">
        <f>+IF(G123="","",(VLOOKUP($C123,'EQUIP RATE SCHEDULE'!$B$11:$F$162,5,FALSE)))</f>
        <v>10</v>
      </c>
      <c r="I123" s="591"/>
      <c r="J123" s="613">
        <f t="shared" si="39"/>
        <v>10</v>
      </c>
      <c r="K123" s="769" t="s">
        <v>66</v>
      </c>
      <c r="L123" s="575">
        <v>1</v>
      </c>
      <c r="M123" s="584">
        <f>+IF(L123="","",(VLOOKUP($C123,'EQUIP RATE SCHEDULE'!$B$11:$F$162,5,FALSE)))</f>
        <v>10</v>
      </c>
      <c r="N123" s="591"/>
      <c r="O123" s="613">
        <f t="shared" si="40"/>
        <v>10</v>
      </c>
      <c r="P123" s="769" t="s">
        <v>66</v>
      </c>
      <c r="Q123" s="575">
        <v>1</v>
      </c>
      <c r="R123" s="584">
        <f>+IF(Q123="","",(VLOOKUP($C123,'EQUIP RATE SCHEDULE'!$B$11:$F$162,5,FALSE)))</f>
        <v>10</v>
      </c>
      <c r="S123" s="591"/>
      <c r="T123" s="613">
        <f t="shared" si="41"/>
        <v>10</v>
      </c>
      <c r="U123" s="769" t="s">
        <v>66</v>
      </c>
      <c r="V123" s="575">
        <v>1</v>
      </c>
      <c r="W123" s="584">
        <f>+IF(V123="","",(VLOOKUP($C123,'EQUIP RATE SCHEDULE'!$B$11:$F$162,5,FALSE)))</f>
        <v>10</v>
      </c>
      <c r="X123" s="591"/>
      <c r="Y123" s="613">
        <f t="shared" si="42"/>
        <v>10</v>
      </c>
      <c r="Z123" s="769" t="s">
        <v>66</v>
      </c>
      <c r="AA123" s="575">
        <v>1</v>
      </c>
      <c r="AB123" s="584">
        <f>+IF(AA123="","",(VLOOKUP($C123,'EQUIP RATE SCHEDULE'!$B$11:$F$162,5,FALSE)))</f>
        <v>10</v>
      </c>
      <c r="AC123" s="591"/>
      <c r="AD123" s="613">
        <f t="shared" si="43"/>
        <v>10</v>
      </c>
      <c r="AE123" s="769" t="s">
        <v>66</v>
      </c>
      <c r="AF123" s="575">
        <v>1</v>
      </c>
      <c r="AG123" s="584">
        <f>+IF(AF123="","",(VLOOKUP($C123,'EQUIP RATE SCHEDULE'!$B$11:$F$162,5,FALSE)))</f>
        <v>10</v>
      </c>
      <c r="AH123" s="591"/>
      <c r="AI123" s="613">
        <f t="shared" si="44"/>
        <v>10</v>
      </c>
      <c r="AJ123" s="769" t="s">
        <v>66</v>
      </c>
      <c r="AK123" s="575">
        <v>1</v>
      </c>
      <c r="AL123" s="584">
        <f>+IF(AK123="","",(VLOOKUP($C123,'EQUIP RATE SCHEDULE'!$B$11:$F$162,5,FALSE)))</f>
        <v>10</v>
      </c>
      <c r="AM123" s="591"/>
      <c r="AN123" s="613">
        <f t="shared" si="45"/>
        <v>10</v>
      </c>
      <c r="AO123" s="769" t="s">
        <v>66</v>
      </c>
      <c r="AP123" s="575">
        <v>1</v>
      </c>
      <c r="AQ123" s="584">
        <f>+IF(AP123="","",(VLOOKUP($C123,'EQUIP RATE SCHEDULE'!$B$11:$F$162,5,FALSE)))</f>
        <v>10</v>
      </c>
      <c r="AR123" s="591"/>
      <c r="AS123" s="613">
        <f t="shared" si="46"/>
        <v>10</v>
      </c>
      <c r="AT123" s="769" t="s">
        <v>66</v>
      </c>
      <c r="AU123" s="575">
        <v>1</v>
      </c>
      <c r="AV123" s="584">
        <f>+IF(AU123="","",(VLOOKUP($C123,'EQUIP RATE SCHEDULE'!$B$11:$F$162,5,FALSE)))</f>
        <v>10</v>
      </c>
      <c r="AW123" s="591"/>
      <c r="AX123" s="613">
        <f t="shared" si="47"/>
        <v>10</v>
      </c>
      <c r="AY123" s="769" t="s">
        <v>66</v>
      </c>
      <c r="AZ123" s="575">
        <v>1</v>
      </c>
      <c r="BA123" s="584">
        <f>+IF(AZ123="","",(VLOOKUP($C123,'EQUIP RATE SCHEDULE'!$B$11:$F$162,5,FALSE)))</f>
        <v>10</v>
      </c>
      <c r="BB123" s="591"/>
      <c r="BC123" s="613">
        <f t="shared" si="48"/>
        <v>10</v>
      </c>
      <c r="BD123" s="769" t="s">
        <v>66</v>
      </c>
      <c r="BE123" s="575">
        <v>1</v>
      </c>
      <c r="BF123" s="584">
        <f>+IF(BE123="","",(VLOOKUP($C123,'EQUIP RATE SCHEDULE'!$B$11:$F$162,5,FALSE)))</f>
        <v>10</v>
      </c>
      <c r="BG123" s="591"/>
      <c r="BH123" s="613">
        <f t="shared" si="29"/>
        <v>10</v>
      </c>
      <c r="BI123" s="769" t="s">
        <v>66</v>
      </c>
      <c r="BJ123" s="575">
        <v>1</v>
      </c>
      <c r="BK123" s="584">
        <f>+IF(BJ123="","",(VLOOKUP($C123,'EQUIP RATE SCHEDULE'!$B$11:$F$162,5,FALSE)))</f>
        <v>10</v>
      </c>
      <c r="BL123" s="591"/>
      <c r="BM123" s="613">
        <f t="shared" si="30"/>
        <v>10</v>
      </c>
      <c r="BN123" s="769" t="s">
        <v>66</v>
      </c>
      <c r="BO123" s="575">
        <v>1</v>
      </c>
      <c r="BP123" s="584">
        <f>+IF(BO123="","",(VLOOKUP($C123,'EQUIP RATE SCHEDULE'!$B$11:$F$162,5,FALSE)))</f>
        <v>10</v>
      </c>
      <c r="BQ123" s="591"/>
      <c r="BR123" s="613">
        <f t="shared" si="31"/>
        <v>10</v>
      </c>
      <c r="BS123" s="769" t="s">
        <v>66</v>
      </c>
      <c r="BT123" s="575">
        <v>1</v>
      </c>
      <c r="BU123" s="584">
        <f>+IF(BT123="","",(VLOOKUP($C123,'EQUIP RATE SCHEDULE'!$B$11:$F$162,5,FALSE)))</f>
        <v>10</v>
      </c>
      <c r="BV123" s="591"/>
      <c r="BW123" s="613">
        <f t="shared" si="32"/>
        <v>10</v>
      </c>
      <c r="BX123" s="769" t="s">
        <v>66</v>
      </c>
      <c r="BY123" s="575">
        <v>1</v>
      </c>
      <c r="BZ123" s="584">
        <f>+IF(BY123="","",(VLOOKUP($C123,'EQUIP RATE SCHEDULE'!$B$11:$F$162,5,FALSE)))</f>
        <v>10</v>
      </c>
      <c r="CA123" s="591"/>
      <c r="CB123" s="613">
        <f t="shared" si="33"/>
        <v>10</v>
      </c>
      <c r="CC123" s="769" t="s">
        <v>66</v>
      </c>
      <c r="CD123" s="575">
        <v>1</v>
      </c>
      <c r="CE123" s="584">
        <f>+IF(CD123="","",(VLOOKUP($C123,'EQUIP RATE SCHEDULE'!$B$11:$F$162,5,FALSE)))</f>
        <v>10</v>
      </c>
      <c r="CF123" s="591"/>
      <c r="CG123" s="613">
        <f t="shared" si="34"/>
        <v>10</v>
      </c>
      <c r="CH123" s="769" t="s">
        <v>66</v>
      </c>
      <c r="CI123" s="575">
        <v>1</v>
      </c>
      <c r="CJ123" s="584">
        <f>+IF(CI123="","",(VLOOKUP($C123,'EQUIP RATE SCHEDULE'!$B$11:$F$162,5,FALSE)))</f>
        <v>10</v>
      </c>
      <c r="CK123" s="591"/>
      <c r="CL123" s="613">
        <f t="shared" si="35"/>
        <v>10</v>
      </c>
      <c r="CM123" s="769" t="s">
        <v>66</v>
      </c>
      <c r="CN123" s="575">
        <v>1</v>
      </c>
      <c r="CO123" s="584">
        <f>+IF(CN123="","",(VLOOKUP($C123,'EQUIP RATE SCHEDULE'!$B$11:$F$162,5,FALSE)))</f>
        <v>10</v>
      </c>
      <c r="CP123" s="591"/>
      <c r="CQ123" s="613">
        <f t="shared" si="36"/>
        <v>10</v>
      </c>
      <c r="CR123" s="769" t="s">
        <v>66</v>
      </c>
      <c r="CS123" s="575">
        <v>1</v>
      </c>
      <c r="CT123" s="584">
        <f>+IF(CS123="","",(VLOOKUP($C123,'EQUIP RATE SCHEDULE'!$B$11:$F$162,5,FALSE)))</f>
        <v>10</v>
      </c>
      <c r="CU123" s="591"/>
      <c r="CV123" s="613">
        <f t="shared" si="37"/>
        <v>10</v>
      </c>
      <c r="CW123" s="769" t="s">
        <v>66</v>
      </c>
      <c r="CX123" s="575">
        <v>1</v>
      </c>
      <c r="CY123" s="584">
        <f>+IF(CX123="","",(VLOOKUP($C123,'EQUIP RATE SCHEDULE'!$B$11:$F$162,5,FALSE)))</f>
        <v>10</v>
      </c>
      <c r="CZ123" s="591"/>
      <c r="DA123" s="613">
        <f t="shared" si="38"/>
        <v>10</v>
      </c>
    </row>
    <row r="124" spans="1:105" ht="15" x14ac:dyDescent="0.25">
      <c r="A124" s="1498"/>
      <c r="B124" s="809" t="s">
        <v>522</v>
      </c>
      <c r="C124" s="776" t="s">
        <v>1145</v>
      </c>
      <c r="D124" s="1492"/>
      <c r="E124" s="1490"/>
      <c r="F124" s="769" t="s">
        <v>67</v>
      </c>
      <c r="G124" s="575">
        <v>1</v>
      </c>
      <c r="H124" s="584">
        <f>+IF(G124="","",(VLOOKUP($C124,'EQUIP RATE SCHEDULE'!$B$11:$F$162,5,FALSE)))</f>
        <v>30</v>
      </c>
      <c r="I124" s="591"/>
      <c r="J124" s="613">
        <f t="shared" si="39"/>
        <v>30</v>
      </c>
      <c r="K124" s="769" t="s">
        <v>67</v>
      </c>
      <c r="L124" s="575">
        <v>1</v>
      </c>
      <c r="M124" s="584">
        <f>+IF(L124="","",(VLOOKUP($C124,'EQUIP RATE SCHEDULE'!$B$11:$F$162,5,FALSE)))</f>
        <v>30</v>
      </c>
      <c r="N124" s="591"/>
      <c r="O124" s="613">
        <f t="shared" si="40"/>
        <v>30</v>
      </c>
      <c r="P124" s="769" t="s">
        <v>67</v>
      </c>
      <c r="Q124" s="575">
        <v>1</v>
      </c>
      <c r="R124" s="584">
        <f>+IF(Q124="","",(VLOOKUP($C124,'EQUIP RATE SCHEDULE'!$B$11:$F$162,5,FALSE)))</f>
        <v>30</v>
      </c>
      <c r="S124" s="591"/>
      <c r="T124" s="613">
        <f t="shared" si="41"/>
        <v>30</v>
      </c>
      <c r="U124" s="769" t="s">
        <v>67</v>
      </c>
      <c r="V124" s="575">
        <v>1</v>
      </c>
      <c r="W124" s="584">
        <f>+IF(V124="","",(VLOOKUP($C124,'EQUIP RATE SCHEDULE'!$B$11:$F$162,5,FALSE)))</f>
        <v>30</v>
      </c>
      <c r="X124" s="591"/>
      <c r="Y124" s="613">
        <f t="shared" si="42"/>
        <v>30</v>
      </c>
      <c r="Z124" s="769" t="s">
        <v>67</v>
      </c>
      <c r="AA124" s="575">
        <v>1</v>
      </c>
      <c r="AB124" s="584">
        <f>+IF(AA124="","",(VLOOKUP($C124,'EQUIP RATE SCHEDULE'!$B$11:$F$162,5,FALSE)))</f>
        <v>30</v>
      </c>
      <c r="AC124" s="591"/>
      <c r="AD124" s="613">
        <f t="shared" si="43"/>
        <v>30</v>
      </c>
      <c r="AE124" s="769" t="s">
        <v>67</v>
      </c>
      <c r="AF124" s="575">
        <v>1</v>
      </c>
      <c r="AG124" s="584">
        <f>+IF(AF124="","",(VLOOKUP($C124,'EQUIP RATE SCHEDULE'!$B$11:$F$162,5,FALSE)))</f>
        <v>30</v>
      </c>
      <c r="AH124" s="591"/>
      <c r="AI124" s="613">
        <f t="shared" si="44"/>
        <v>30</v>
      </c>
      <c r="AJ124" s="769" t="s">
        <v>67</v>
      </c>
      <c r="AK124" s="575">
        <v>1</v>
      </c>
      <c r="AL124" s="584">
        <f>+IF(AK124="","",(VLOOKUP($C124,'EQUIP RATE SCHEDULE'!$B$11:$F$162,5,FALSE)))</f>
        <v>30</v>
      </c>
      <c r="AM124" s="591"/>
      <c r="AN124" s="613">
        <f t="shared" si="45"/>
        <v>30</v>
      </c>
      <c r="AO124" s="769" t="s">
        <v>67</v>
      </c>
      <c r="AP124" s="575">
        <v>1</v>
      </c>
      <c r="AQ124" s="584">
        <f>+IF(AP124="","",(VLOOKUP($C124,'EQUIP RATE SCHEDULE'!$B$11:$F$162,5,FALSE)))</f>
        <v>30</v>
      </c>
      <c r="AR124" s="591"/>
      <c r="AS124" s="613">
        <f t="shared" si="46"/>
        <v>30</v>
      </c>
      <c r="AT124" s="769" t="s">
        <v>67</v>
      </c>
      <c r="AU124" s="575">
        <v>1</v>
      </c>
      <c r="AV124" s="584">
        <f>+IF(AU124="","",(VLOOKUP($C124,'EQUIP RATE SCHEDULE'!$B$11:$F$162,5,FALSE)))</f>
        <v>30</v>
      </c>
      <c r="AW124" s="591"/>
      <c r="AX124" s="613">
        <f t="shared" si="47"/>
        <v>30</v>
      </c>
      <c r="AY124" s="769" t="s">
        <v>67</v>
      </c>
      <c r="AZ124" s="575">
        <v>1</v>
      </c>
      <c r="BA124" s="584">
        <f>+IF(AZ124="","",(VLOOKUP($C124,'EQUIP RATE SCHEDULE'!$B$11:$F$162,5,FALSE)))</f>
        <v>30</v>
      </c>
      <c r="BB124" s="591"/>
      <c r="BC124" s="613">
        <f t="shared" si="48"/>
        <v>30</v>
      </c>
      <c r="BD124" s="769" t="s">
        <v>67</v>
      </c>
      <c r="BE124" s="575">
        <v>1</v>
      </c>
      <c r="BF124" s="584">
        <f>+IF(BE124="","",(VLOOKUP($C124,'EQUIP RATE SCHEDULE'!$B$11:$F$162,5,FALSE)))</f>
        <v>30</v>
      </c>
      <c r="BG124" s="591"/>
      <c r="BH124" s="613">
        <f t="shared" si="29"/>
        <v>30</v>
      </c>
      <c r="BI124" s="769" t="s">
        <v>67</v>
      </c>
      <c r="BJ124" s="575">
        <v>1</v>
      </c>
      <c r="BK124" s="584">
        <f>+IF(BJ124="","",(VLOOKUP($C124,'EQUIP RATE SCHEDULE'!$B$11:$F$162,5,FALSE)))</f>
        <v>30</v>
      </c>
      <c r="BL124" s="591"/>
      <c r="BM124" s="613">
        <f t="shared" si="30"/>
        <v>30</v>
      </c>
      <c r="BN124" s="769" t="s">
        <v>67</v>
      </c>
      <c r="BO124" s="575">
        <v>1</v>
      </c>
      <c r="BP124" s="584">
        <f>+IF(BO124="","",(VLOOKUP($C124,'EQUIP RATE SCHEDULE'!$B$11:$F$162,5,FALSE)))</f>
        <v>30</v>
      </c>
      <c r="BQ124" s="591"/>
      <c r="BR124" s="613">
        <f t="shared" si="31"/>
        <v>30</v>
      </c>
      <c r="BS124" s="769" t="s">
        <v>67</v>
      </c>
      <c r="BT124" s="575">
        <v>1</v>
      </c>
      <c r="BU124" s="584">
        <f>+IF(BT124="","",(VLOOKUP($C124,'EQUIP RATE SCHEDULE'!$B$11:$F$162,5,FALSE)))</f>
        <v>30</v>
      </c>
      <c r="BV124" s="591"/>
      <c r="BW124" s="613">
        <f t="shared" si="32"/>
        <v>30</v>
      </c>
      <c r="BX124" s="769" t="s">
        <v>67</v>
      </c>
      <c r="BY124" s="575">
        <v>1</v>
      </c>
      <c r="BZ124" s="584">
        <f>+IF(BY124="","",(VLOOKUP($C124,'EQUIP RATE SCHEDULE'!$B$11:$F$162,5,FALSE)))</f>
        <v>30</v>
      </c>
      <c r="CA124" s="591"/>
      <c r="CB124" s="613">
        <f t="shared" si="33"/>
        <v>30</v>
      </c>
      <c r="CC124" s="769" t="s">
        <v>67</v>
      </c>
      <c r="CD124" s="575">
        <v>1</v>
      </c>
      <c r="CE124" s="584">
        <f>+IF(CD124="","",(VLOOKUP($C124,'EQUIP RATE SCHEDULE'!$B$11:$F$162,5,FALSE)))</f>
        <v>30</v>
      </c>
      <c r="CF124" s="591"/>
      <c r="CG124" s="613">
        <f t="shared" si="34"/>
        <v>30</v>
      </c>
      <c r="CH124" s="769" t="s">
        <v>67</v>
      </c>
      <c r="CI124" s="575">
        <v>1</v>
      </c>
      <c r="CJ124" s="584">
        <f>+IF(CI124="","",(VLOOKUP($C124,'EQUIP RATE SCHEDULE'!$B$11:$F$162,5,FALSE)))</f>
        <v>30</v>
      </c>
      <c r="CK124" s="591"/>
      <c r="CL124" s="613">
        <f t="shared" si="35"/>
        <v>30</v>
      </c>
      <c r="CM124" s="769" t="s">
        <v>67</v>
      </c>
      <c r="CN124" s="575">
        <v>1</v>
      </c>
      <c r="CO124" s="584">
        <f>+IF(CN124="","",(VLOOKUP($C124,'EQUIP RATE SCHEDULE'!$B$11:$F$162,5,FALSE)))</f>
        <v>30</v>
      </c>
      <c r="CP124" s="591"/>
      <c r="CQ124" s="613">
        <f t="shared" si="36"/>
        <v>30</v>
      </c>
      <c r="CR124" s="769" t="s">
        <v>67</v>
      </c>
      <c r="CS124" s="575">
        <v>1</v>
      </c>
      <c r="CT124" s="584">
        <f>+IF(CS124="","",(VLOOKUP($C124,'EQUIP RATE SCHEDULE'!$B$11:$F$162,5,FALSE)))</f>
        <v>30</v>
      </c>
      <c r="CU124" s="591"/>
      <c r="CV124" s="613">
        <f t="shared" si="37"/>
        <v>30</v>
      </c>
      <c r="CW124" s="769" t="s">
        <v>67</v>
      </c>
      <c r="CX124" s="575">
        <v>1</v>
      </c>
      <c r="CY124" s="584">
        <f>+IF(CX124="","",(VLOOKUP($C124,'EQUIP RATE SCHEDULE'!$B$11:$F$162,5,FALSE)))</f>
        <v>30</v>
      </c>
      <c r="CZ124" s="591"/>
      <c r="DA124" s="613">
        <f t="shared" si="38"/>
        <v>30</v>
      </c>
    </row>
    <row r="125" spans="1:105" ht="15" x14ac:dyDescent="0.25">
      <c r="A125" s="1498"/>
      <c r="B125" s="809" t="s">
        <v>522</v>
      </c>
      <c r="C125" s="776" t="s">
        <v>1146</v>
      </c>
      <c r="D125" s="779" t="s">
        <v>58</v>
      </c>
      <c r="E125" s="780"/>
      <c r="F125" s="774" t="s">
        <v>920</v>
      </c>
      <c r="G125" s="575">
        <v>1</v>
      </c>
      <c r="H125" s="584">
        <f>+IF(G125="","",(VLOOKUP($C125,'EQUIP RATE SCHEDULE'!$B$11:$F$162,5,FALSE)))</f>
        <v>75</v>
      </c>
      <c r="I125" s="591"/>
      <c r="J125" s="613">
        <f t="shared" si="39"/>
        <v>75</v>
      </c>
      <c r="K125" s="774" t="s">
        <v>920</v>
      </c>
      <c r="L125" s="575">
        <v>1</v>
      </c>
      <c r="M125" s="584">
        <f>+IF(L125="","",(VLOOKUP($C125,'EQUIP RATE SCHEDULE'!$B$11:$F$162,5,FALSE)))</f>
        <v>75</v>
      </c>
      <c r="N125" s="591"/>
      <c r="O125" s="613">
        <f t="shared" si="40"/>
        <v>75</v>
      </c>
      <c r="P125" s="774" t="s">
        <v>920</v>
      </c>
      <c r="Q125" s="575">
        <v>1</v>
      </c>
      <c r="R125" s="584">
        <f>+IF(Q125="","",(VLOOKUP($C125,'EQUIP RATE SCHEDULE'!$B$11:$F$162,5,FALSE)))</f>
        <v>75</v>
      </c>
      <c r="S125" s="591"/>
      <c r="T125" s="613">
        <f t="shared" si="41"/>
        <v>75</v>
      </c>
      <c r="U125" s="774" t="s">
        <v>920</v>
      </c>
      <c r="V125" s="575">
        <v>1</v>
      </c>
      <c r="W125" s="584">
        <f>+IF(V125="","",(VLOOKUP($C125,'EQUIP RATE SCHEDULE'!$B$11:$F$162,5,FALSE)))</f>
        <v>75</v>
      </c>
      <c r="X125" s="591"/>
      <c r="Y125" s="613">
        <f t="shared" si="42"/>
        <v>75</v>
      </c>
      <c r="Z125" s="774" t="s">
        <v>920</v>
      </c>
      <c r="AA125" s="575">
        <v>1</v>
      </c>
      <c r="AB125" s="584">
        <f>+IF(AA125="","",(VLOOKUP($C125,'EQUIP RATE SCHEDULE'!$B$11:$F$162,5,FALSE)))</f>
        <v>75</v>
      </c>
      <c r="AC125" s="591"/>
      <c r="AD125" s="613">
        <f t="shared" si="43"/>
        <v>75</v>
      </c>
      <c r="AE125" s="774" t="s">
        <v>920</v>
      </c>
      <c r="AF125" s="575">
        <v>1</v>
      </c>
      <c r="AG125" s="584">
        <f>+IF(AF125="","",(VLOOKUP($C125,'EQUIP RATE SCHEDULE'!$B$11:$F$162,5,FALSE)))</f>
        <v>75</v>
      </c>
      <c r="AH125" s="591"/>
      <c r="AI125" s="613">
        <f t="shared" si="44"/>
        <v>75</v>
      </c>
      <c r="AJ125" s="774" t="s">
        <v>920</v>
      </c>
      <c r="AK125" s="575">
        <v>1</v>
      </c>
      <c r="AL125" s="584">
        <f>+IF(AK125="","",(VLOOKUP($C125,'EQUIP RATE SCHEDULE'!$B$11:$F$162,5,FALSE)))</f>
        <v>75</v>
      </c>
      <c r="AM125" s="591"/>
      <c r="AN125" s="613">
        <f t="shared" si="45"/>
        <v>75</v>
      </c>
      <c r="AO125" s="774" t="s">
        <v>920</v>
      </c>
      <c r="AP125" s="575">
        <v>1</v>
      </c>
      <c r="AQ125" s="584">
        <f>+IF(AP125="","",(VLOOKUP($C125,'EQUIP RATE SCHEDULE'!$B$11:$F$162,5,FALSE)))</f>
        <v>75</v>
      </c>
      <c r="AR125" s="591"/>
      <c r="AS125" s="613">
        <f t="shared" si="46"/>
        <v>75</v>
      </c>
      <c r="AT125" s="774" t="s">
        <v>920</v>
      </c>
      <c r="AU125" s="575">
        <v>1</v>
      </c>
      <c r="AV125" s="584">
        <f>+IF(AU125="","",(VLOOKUP($C125,'EQUIP RATE SCHEDULE'!$B$11:$F$162,5,FALSE)))</f>
        <v>75</v>
      </c>
      <c r="AW125" s="591"/>
      <c r="AX125" s="613">
        <f t="shared" si="47"/>
        <v>75</v>
      </c>
      <c r="AY125" s="774" t="s">
        <v>920</v>
      </c>
      <c r="AZ125" s="575">
        <v>1</v>
      </c>
      <c r="BA125" s="584">
        <f>+IF(AZ125="","",(VLOOKUP($C125,'EQUIP RATE SCHEDULE'!$B$11:$F$162,5,FALSE)))</f>
        <v>75</v>
      </c>
      <c r="BB125" s="591"/>
      <c r="BC125" s="613">
        <f t="shared" si="48"/>
        <v>75</v>
      </c>
      <c r="BD125" s="774" t="s">
        <v>920</v>
      </c>
      <c r="BE125" s="575">
        <v>1</v>
      </c>
      <c r="BF125" s="584">
        <f>+IF(BE125="","",(VLOOKUP($C125,'EQUIP RATE SCHEDULE'!$B$11:$F$162,5,FALSE)))</f>
        <v>75</v>
      </c>
      <c r="BG125" s="591"/>
      <c r="BH125" s="613">
        <f t="shared" si="29"/>
        <v>75</v>
      </c>
      <c r="BI125" s="774" t="s">
        <v>920</v>
      </c>
      <c r="BJ125" s="575">
        <v>1</v>
      </c>
      <c r="BK125" s="584">
        <f>+IF(BJ125="","",(VLOOKUP($C125,'EQUIP RATE SCHEDULE'!$B$11:$F$162,5,FALSE)))</f>
        <v>75</v>
      </c>
      <c r="BL125" s="591"/>
      <c r="BM125" s="613">
        <f t="shared" si="30"/>
        <v>75</v>
      </c>
      <c r="BN125" s="774" t="s">
        <v>920</v>
      </c>
      <c r="BO125" s="575">
        <v>1</v>
      </c>
      <c r="BP125" s="584">
        <f>+IF(BO125="","",(VLOOKUP($C125,'EQUIP RATE SCHEDULE'!$B$11:$F$162,5,FALSE)))</f>
        <v>75</v>
      </c>
      <c r="BQ125" s="591"/>
      <c r="BR125" s="613">
        <f t="shared" si="31"/>
        <v>75</v>
      </c>
      <c r="BS125" s="774" t="s">
        <v>920</v>
      </c>
      <c r="BT125" s="575">
        <v>1</v>
      </c>
      <c r="BU125" s="584">
        <f>+IF(BT125="","",(VLOOKUP($C125,'EQUIP RATE SCHEDULE'!$B$11:$F$162,5,FALSE)))</f>
        <v>75</v>
      </c>
      <c r="BV125" s="591"/>
      <c r="BW125" s="613">
        <f t="shared" si="32"/>
        <v>75</v>
      </c>
      <c r="BX125" s="774" t="s">
        <v>920</v>
      </c>
      <c r="BY125" s="575">
        <v>1</v>
      </c>
      <c r="BZ125" s="584">
        <f>+IF(BY125="","",(VLOOKUP($C125,'EQUIP RATE SCHEDULE'!$B$11:$F$162,5,FALSE)))</f>
        <v>75</v>
      </c>
      <c r="CA125" s="591"/>
      <c r="CB125" s="613">
        <f t="shared" si="33"/>
        <v>75</v>
      </c>
      <c r="CC125" s="774" t="s">
        <v>920</v>
      </c>
      <c r="CD125" s="575">
        <v>1</v>
      </c>
      <c r="CE125" s="584">
        <f>+IF(CD125="","",(VLOOKUP($C125,'EQUIP RATE SCHEDULE'!$B$11:$F$162,5,FALSE)))</f>
        <v>75</v>
      </c>
      <c r="CF125" s="591"/>
      <c r="CG125" s="613">
        <f t="shared" si="34"/>
        <v>75</v>
      </c>
      <c r="CH125" s="774" t="s">
        <v>920</v>
      </c>
      <c r="CI125" s="575">
        <v>1</v>
      </c>
      <c r="CJ125" s="584">
        <f>+IF(CI125="","",(VLOOKUP($C125,'EQUIP RATE SCHEDULE'!$B$11:$F$162,5,FALSE)))</f>
        <v>75</v>
      </c>
      <c r="CK125" s="591"/>
      <c r="CL125" s="613">
        <f t="shared" si="35"/>
        <v>75</v>
      </c>
      <c r="CM125" s="774" t="s">
        <v>920</v>
      </c>
      <c r="CN125" s="575">
        <v>1</v>
      </c>
      <c r="CO125" s="584">
        <f>+IF(CN125="","",(VLOOKUP($C125,'EQUIP RATE SCHEDULE'!$B$11:$F$162,5,FALSE)))</f>
        <v>75</v>
      </c>
      <c r="CP125" s="591"/>
      <c r="CQ125" s="613">
        <f t="shared" si="36"/>
        <v>75</v>
      </c>
      <c r="CR125" s="774" t="s">
        <v>920</v>
      </c>
      <c r="CS125" s="575">
        <v>1</v>
      </c>
      <c r="CT125" s="584">
        <f>+IF(CS125="","",(VLOOKUP($C125,'EQUIP RATE SCHEDULE'!$B$11:$F$162,5,FALSE)))</f>
        <v>75</v>
      </c>
      <c r="CU125" s="591"/>
      <c r="CV125" s="613">
        <f t="shared" si="37"/>
        <v>75</v>
      </c>
      <c r="CW125" s="774" t="s">
        <v>920</v>
      </c>
      <c r="CX125" s="575">
        <v>1</v>
      </c>
      <c r="CY125" s="584">
        <f>+IF(CX125="","",(VLOOKUP($C125,'EQUIP RATE SCHEDULE'!$B$11:$F$162,5,FALSE)))</f>
        <v>75</v>
      </c>
      <c r="CZ125" s="591"/>
      <c r="DA125" s="613">
        <f t="shared" si="38"/>
        <v>75</v>
      </c>
    </row>
    <row r="126" spans="1:105" ht="15" x14ac:dyDescent="0.25">
      <c r="A126" s="1498"/>
      <c r="B126" s="809" t="s">
        <v>1273</v>
      </c>
      <c r="C126" s="776" t="s">
        <v>1147</v>
      </c>
      <c r="D126" s="1491" t="s">
        <v>1148</v>
      </c>
      <c r="E126" s="1503"/>
      <c r="F126" s="769" t="s">
        <v>66</v>
      </c>
      <c r="G126" s="575">
        <v>1</v>
      </c>
      <c r="H126" s="584">
        <f>+IF(G126="","",(VLOOKUP($C126,'EQUIP RATE SCHEDULE'!$B$11:$F$162,5,FALSE)))</f>
        <v>6</v>
      </c>
      <c r="I126" s="591"/>
      <c r="J126" s="613">
        <f t="shared" si="39"/>
        <v>6</v>
      </c>
      <c r="K126" s="769" t="s">
        <v>66</v>
      </c>
      <c r="L126" s="575">
        <v>1</v>
      </c>
      <c r="M126" s="584">
        <f>+IF(L126="","",(VLOOKUP($C126,'EQUIP RATE SCHEDULE'!$B$11:$F$162,5,FALSE)))</f>
        <v>6</v>
      </c>
      <c r="N126" s="591"/>
      <c r="O126" s="613">
        <f t="shared" si="40"/>
        <v>6</v>
      </c>
      <c r="P126" s="769" t="s">
        <v>66</v>
      </c>
      <c r="Q126" s="575">
        <v>1</v>
      </c>
      <c r="R126" s="584">
        <f>+IF(Q126="","",(VLOOKUP($C126,'EQUIP RATE SCHEDULE'!$B$11:$F$162,5,FALSE)))</f>
        <v>6</v>
      </c>
      <c r="S126" s="591"/>
      <c r="T126" s="613">
        <f t="shared" si="41"/>
        <v>6</v>
      </c>
      <c r="U126" s="769" t="s">
        <v>66</v>
      </c>
      <c r="V126" s="575">
        <v>1</v>
      </c>
      <c r="W126" s="584">
        <f>+IF(V126="","",(VLOOKUP($C126,'EQUIP RATE SCHEDULE'!$B$11:$F$162,5,FALSE)))</f>
        <v>6</v>
      </c>
      <c r="X126" s="591"/>
      <c r="Y126" s="613">
        <f t="shared" si="42"/>
        <v>6</v>
      </c>
      <c r="Z126" s="769" t="s">
        <v>66</v>
      </c>
      <c r="AA126" s="575">
        <v>1</v>
      </c>
      <c r="AB126" s="584">
        <f>+IF(AA126="","",(VLOOKUP($C126,'EQUIP RATE SCHEDULE'!$B$11:$F$162,5,FALSE)))</f>
        <v>6</v>
      </c>
      <c r="AC126" s="591"/>
      <c r="AD126" s="613">
        <f t="shared" si="43"/>
        <v>6</v>
      </c>
      <c r="AE126" s="769" t="s">
        <v>66</v>
      </c>
      <c r="AF126" s="575">
        <v>1</v>
      </c>
      <c r="AG126" s="584">
        <f>+IF(AF126="","",(VLOOKUP($C126,'EQUIP RATE SCHEDULE'!$B$11:$F$162,5,FALSE)))</f>
        <v>6</v>
      </c>
      <c r="AH126" s="591"/>
      <c r="AI126" s="613">
        <f t="shared" si="44"/>
        <v>6</v>
      </c>
      <c r="AJ126" s="769" t="s">
        <v>66</v>
      </c>
      <c r="AK126" s="575">
        <v>1</v>
      </c>
      <c r="AL126" s="584">
        <f>+IF(AK126="","",(VLOOKUP($C126,'EQUIP RATE SCHEDULE'!$B$11:$F$162,5,FALSE)))</f>
        <v>6</v>
      </c>
      <c r="AM126" s="591"/>
      <c r="AN126" s="613">
        <f t="shared" si="45"/>
        <v>6</v>
      </c>
      <c r="AO126" s="769" t="s">
        <v>66</v>
      </c>
      <c r="AP126" s="575">
        <v>1</v>
      </c>
      <c r="AQ126" s="584">
        <f>+IF(AP126="","",(VLOOKUP($C126,'EQUIP RATE SCHEDULE'!$B$11:$F$162,5,FALSE)))</f>
        <v>6</v>
      </c>
      <c r="AR126" s="591"/>
      <c r="AS126" s="613">
        <f t="shared" si="46"/>
        <v>6</v>
      </c>
      <c r="AT126" s="769" t="s">
        <v>66</v>
      </c>
      <c r="AU126" s="575">
        <v>1</v>
      </c>
      <c r="AV126" s="584">
        <f>+IF(AU126="","",(VLOOKUP($C126,'EQUIP RATE SCHEDULE'!$B$11:$F$162,5,FALSE)))</f>
        <v>6</v>
      </c>
      <c r="AW126" s="591"/>
      <c r="AX126" s="613">
        <f t="shared" si="47"/>
        <v>6</v>
      </c>
      <c r="AY126" s="769" t="s">
        <v>66</v>
      </c>
      <c r="AZ126" s="575">
        <v>1</v>
      </c>
      <c r="BA126" s="584">
        <f>+IF(AZ126="","",(VLOOKUP($C126,'EQUIP RATE SCHEDULE'!$B$11:$F$162,5,FALSE)))</f>
        <v>6</v>
      </c>
      <c r="BB126" s="591"/>
      <c r="BC126" s="613">
        <f t="shared" si="48"/>
        <v>6</v>
      </c>
      <c r="BD126" s="769" t="s">
        <v>66</v>
      </c>
      <c r="BE126" s="575">
        <v>1</v>
      </c>
      <c r="BF126" s="584">
        <f>+IF(BE126="","",(VLOOKUP($C126,'EQUIP RATE SCHEDULE'!$B$11:$F$162,5,FALSE)))</f>
        <v>6</v>
      </c>
      <c r="BG126" s="591"/>
      <c r="BH126" s="613">
        <f t="shared" si="29"/>
        <v>6</v>
      </c>
      <c r="BI126" s="769" t="s">
        <v>66</v>
      </c>
      <c r="BJ126" s="575">
        <v>1</v>
      </c>
      <c r="BK126" s="584">
        <f>+IF(BJ126="","",(VLOOKUP($C126,'EQUIP RATE SCHEDULE'!$B$11:$F$162,5,FALSE)))</f>
        <v>6</v>
      </c>
      <c r="BL126" s="591"/>
      <c r="BM126" s="613">
        <f t="shared" si="30"/>
        <v>6</v>
      </c>
      <c r="BN126" s="769" t="s">
        <v>66</v>
      </c>
      <c r="BO126" s="575">
        <v>1</v>
      </c>
      <c r="BP126" s="584">
        <f>+IF(BO126="","",(VLOOKUP($C126,'EQUIP RATE SCHEDULE'!$B$11:$F$162,5,FALSE)))</f>
        <v>6</v>
      </c>
      <c r="BQ126" s="591"/>
      <c r="BR126" s="613">
        <f t="shared" si="31"/>
        <v>6</v>
      </c>
      <c r="BS126" s="769" t="s">
        <v>66</v>
      </c>
      <c r="BT126" s="575">
        <v>1</v>
      </c>
      <c r="BU126" s="584">
        <f>+IF(BT126="","",(VLOOKUP($C126,'EQUIP RATE SCHEDULE'!$B$11:$F$162,5,FALSE)))</f>
        <v>6</v>
      </c>
      <c r="BV126" s="591"/>
      <c r="BW126" s="613">
        <f t="shared" si="32"/>
        <v>6</v>
      </c>
      <c r="BX126" s="769" t="s">
        <v>66</v>
      </c>
      <c r="BY126" s="575">
        <v>1</v>
      </c>
      <c r="BZ126" s="584">
        <f>+IF(BY126="","",(VLOOKUP($C126,'EQUIP RATE SCHEDULE'!$B$11:$F$162,5,FALSE)))</f>
        <v>6</v>
      </c>
      <c r="CA126" s="591"/>
      <c r="CB126" s="613">
        <f t="shared" si="33"/>
        <v>6</v>
      </c>
      <c r="CC126" s="769" t="s">
        <v>66</v>
      </c>
      <c r="CD126" s="575">
        <v>1</v>
      </c>
      <c r="CE126" s="584">
        <f>+IF(CD126="","",(VLOOKUP($C126,'EQUIP RATE SCHEDULE'!$B$11:$F$162,5,FALSE)))</f>
        <v>6</v>
      </c>
      <c r="CF126" s="591"/>
      <c r="CG126" s="613">
        <f t="shared" si="34"/>
        <v>6</v>
      </c>
      <c r="CH126" s="769" t="s">
        <v>66</v>
      </c>
      <c r="CI126" s="575">
        <v>1</v>
      </c>
      <c r="CJ126" s="584">
        <f>+IF(CI126="","",(VLOOKUP($C126,'EQUIP RATE SCHEDULE'!$B$11:$F$162,5,FALSE)))</f>
        <v>6</v>
      </c>
      <c r="CK126" s="591"/>
      <c r="CL126" s="613">
        <f t="shared" si="35"/>
        <v>6</v>
      </c>
      <c r="CM126" s="769" t="s">
        <v>66</v>
      </c>
      <c r="CN126" s="575">
        <v>1</v>
      </c>
      <c r="CO126" s="584">
        <f>+IF(CN126="","",(VLOOKUP($C126,'EQUIP RATE SCHEDULE'!$B$11:$F$162,5,FALSE)))</f>
        <v>6</v>
      </c>
      <c r="CP126" s="591"/>
      <c r="CQ126" s="613">
        <f t="shared" si="36"/>
        <v>6</v>
      </c>
      <c r="CR126" s="769" t="s">
        <v>66</v>
      </c>
      <c r="CS126" s="575">
        <v>1</v>
      </c>
      <c r="CT126" s="584">
        <f>+IF(CS126="","",(VLOOKUP($C126,'EQUIP RATE SCHEDULE'!$B$11:$F$162,5,FALSE)))</f>
        <v>6</v>
      </c>
      <c r="CU126" s="591"/>
      <c r="CV126" s="613">
        <f t="shared" si="37"/>
        <v>6</v>
      </c>
      <c r="CW126" s="769" t="s">
        <v>66</v>
      </c>
      <c r="CX126" s="575">
        <v>1</v>
      </c>
      <c r="CY126" s="584">
        <f>+IF(CX126="","",(VLOOKUP($C126,'EQUIP RATE SCHEDULE'!$B$11:$F$162,5,FALSE)))</f>
        <v>6</v>
      </c>
      <c r="CZ126" s="591"/>
      <c r="DA126" s="613">
        <f t="shared" si="38"/>
        <v>6</v>
      </c>
    </row>
    <row r="127" spans="1:105" ht="15" x14ac:dyDescent="0.25">
      <c r="A127" s="1498"/>
      <c r="B127" s="809" t="s">
        <v>1273</v>
      </c>
      <c r="C127" s="776" t="s">
        <v>1149</v>
      </c>
      <c r="D127" s="1492"/>
      <c r="E127" s="1504"/>
      <c r="F127" s="769" t="s">
        <v>67</v>
      </c>
      <c r="G127" s="575">
        <v>1</v>
      </c>
      <c r="H127" s="584">
        <f>+IF(G127="","",(VLOOKUP($C127,'EQUIP RATE SCHEDULE'!$B$11:$F$162,5,FALSE)))</f>
        <v>18</v>
      </c>
      <c r="I127" s="591"/>
      <c r="J127" s="613">
        <f t="shared" si="39"/>
        <v>18</v>
      </c>
      <c r="K127" s="769" t="s">
        <v>67</v>
      </c>
      <c r="L127" s="575">
        <v>1</v>
      </c>
      <c r="M127" s="584">
        <f>+IF(L127="","",(VLOOKUP($C127,'EQUIP RATE SCHEDULE'!$B$11:$F$162,5,FALSE)))</f>
        <v>18</v>
      </c>
      <c r="N127" s="591"/>
      <c r="O127" s="613">
        <f t="shared" si="40"/>
        <v>18</v>
      </c>
      <c r="P127" s="769" t="s">
        <v>67</v>
      </c>
      <c r="Q127" s="575">
        <v>1</v>
      </c>
      <c r="R127" s="584">
        <f>+IF(Q127="","",(VLOOKUP($C127,'EQUIP RATE SCHEDULE'!$B$11:$F$162,5,FALSE)))</f>
        <v>18</v>
      </c>
      <c r="S127" s="591"/>
      <c r="T127" s="613">
        <f t="shared" si="41"/>
        <v>18</v>
      </c>
      <c r="U127" s="769" t="s">
        <v>67</v>
      </c>
      <c r="V127" s="575">
        <v>1</v>
      </c>
      <c r="W127" s="584">
        <f>+IF(V127="","",(VLOOKUP($C127,'EQUIP RATE SCHEDULE'!$B$11:$F$162,5,FALSE)))</f>
        <v>18</v>
      </c>
      <c r="X127" s="591"/>
      <c r="Y127" s="613">
        <f t="shared" si="42"/>
        <v>18</v>
      </c>
      <c r="Z127" s="769" t="s">
        <v>67</v>
      </c>
      <c r="AA127" s="575">
        <v>1</v>
      </c>
      <c r="AB127" s="584">
        <f>+IF(AA127="","",(VLOOKUP($C127,'EQUIP RATE SCHEDULE'!$B$11:$F$162,5,FALSE)))</f>
        <v>18</v>
      </c>
      <c r="AC127" s="591"/>
      <c r="AD127" s="613">
        <f t="shared" si="43"/>
        <v>18</v>
      </c>
      <c r="AE127" s="769" t="s">
        <v>67</v>
      </c>
      <c r="AF127" s="575">
        <v>1</v>
      </c>
      <c r="AG127" s="584">
        <f>+IF(AF127="","",(VLOOKUP($C127,'EQUIP RATE SCHEDULE'!$B$11:$F$162,5,FALSE)))</f>
        <v>18</v>
      </c>
      <c r="AH127" s="591"/>
      <c r="AI127" s="613">
        <f t="shared" si="44"/>
        <v>18</v>
      </c>
      <c r="AJ127" s="769" t="s">
        <v>67</v>
      </c>
      <c r="AK127" s="575">
        <v>1</v>
      </c>
      <c r="AL127" s="584">
        <f>+IF(AK127="","",(VLOOKUP($C127,'EQUIP RATE SCHEDULE'!$B$11:$F$162,5,FALSE)))</f>
        <v>18</v>
      </c>
      <c r="AM127" s="591"/>
      <c r="AN127" s="613">
        <f t="shared" si="45"/>
        <v>18</v>
      </c>
      <c r="AO127" s="769" t="s">
        <v>67</v>
      </c>
      <c r="AP127" s="575">
        <v>1</v>
      </c>
      <c r="AQ127" s="584">
        <f>+IF(AP127="","",(VLOOKUP($C127,'EQUIP RATE SCHEDULE'!$B$11:$F$162,5,FALSE)))</f>
        <v>18</v>
      </c>
      <c r="AR127" s="591"/>
      <c r="AS127" s="613">
        <f t="shared" si="46"/>
        <v>18</v>
      </c>
      <c r="AT127" s="769" t="s">
        <v>67</v>
      </c>
      <c r="AU127" s="575">
        <v>1</v>
      </c>
      <c r="AV127" s="584">
        <f>+IF(AU127="","",(VLOOKUP($C127,'EQUIP RATE SCHEDULE'!$B$11:$F$162,5,FALSE)))</f>
        <v>18</v>
      </c>
      <c r="AW127" s="591"/>
      <c r="AX127" s="613">
        <f t="shared" si="47"/>
        <v>18</v>
      </c>
      <c r="AY127" s="769" t="s">
        <v>67</v>
      </c>
      <c r="AZ127" s="575">
        <v>1</v>
      </c>
      <c r="BA127" s="584">
        <f>+IF(AZ127="","",(VLOOKUP($C127,'EQUIP RATE SCHEDULE'!$B$11:$F$162,5,FALSE)))</f>
        <v>18</v>
      </c>
      <c r="BB127" s="591"/>
      <c r="BC127" s="613">
        <f t="shared" si="48"/>
        <v>18</v>
      </c>
      <c r="BD127" s="769" t="s">
        <v>67</v>
      </c>
      <c r="BE127" s="575">
        <v>1</v>
      </c>
      <c r="BF127" s="584">
        <f>+IF(BE127="","",(VLOOKUP($C127,'EQUIP RATE SCHEDULE'!$B$11:$F$162,5,FALSE)))</f>
        <v>18</v>
      </c>
      <c r="BG127" s="591"/>
      <c r="BH127" s="613">
        <f t="shared" si="29"/>
        <v>18</v>
      </c>
      <c r="BI127" s="769" t="s">
        <v>67</v>
      </c>
      <c r="BJ127" s="575">
        <v>1</v>
      </c>
      <c r="BK127" s="584">
        <f>+IF(BJ127="","",(VLOOKUP($C127,'EQUIP RATE SCHEDULE'!$B$11:$F$162,5,FALSE)))</f>
        <v>18</v>
      </c>
      <c r="BL127" s="591"/>
      <c r="BM127" s="613">
        <f t="shared" si="30"/>
        <v>18</v>
      </c>
      <c r="BN127" s="769" t="s">
        <v>67</v>
      </c>
      <c r="BO127" s="575">
        <v>1</v>
      </c>
      <c r="BP127" s="584">
        <f>+IF(BO127="","",(VLOOKUP($C127,'EQUIP RATE SCHEDULE'!$B$11:$F$162,5,FALSE)))</f>
        <v>18</v>
      </c>
      <c r="BQ127" s="591"/>
      <c r="BR127" s="613">
        <f t="shared" si="31"/>
        <v>18</v>
      </c>
      <c r="BS127" s="769" t="s">
        <v>67</v>
      </c>
      <c r="BT127" s="575">
        <v>1</v>
      </c>
      <c r="BU127" s="584">
        <f>+IF(BT127="","",(VLOOKUP($C127,'EQUIP RATE SCHEDULE'!$B$11:$F$162,5,FALSE)))</f>
        <v>18</v>
      </c>
      <c r="BV127" s="591"/>
      <c r="BW127" s="613">
        <f t="shared" si="32"/>
        <v>18</v>
      </c>
      <c r="BX127" s="769" t="s">
        <v>67</v>
      </c>
      <c r="BY127" s="575">
        <v>1</v>
      </c>
      <c r="BZ127" s="584">
        <f>+IF(BY127="","",(VLOOKUP($C127,'EQUIP RATE SCHEDULE'!$B$11:$F$162,5,FALSE)))</f>
        <v>18</v>
      </c>
      <c r="CA127" s="591"/>
      <c r="CB127" s="613">
        <f t="shared" si="33"/>
        <v>18</v>
      </c>
      <c r="CC127" s="769" t="s">
        <v>67</v>
      </c>
      <c r="CD127" s="575">
        <v>1</v>
      </c>
      <c r="CE127" s="584">
        <f>+IF(CD127="","",(VLOOKUP($C127,'EQUIP RATE SCHEDULE'!$B$11:$F$162,5,FALSE)))</f>
        <v>18</v>
      </c>
      <c r="CF127" s="591"/>
      <c r="CG127" s="613">
        <f t="shared" si="34"/>
        <v>18</v>
      </c>
      <c r="CH127" s="769" t="s">
        <v>67</v>
      </c>
      <c r="CI127" s="575">
        <v>1</v>
      </c>
      <c r="CJ127" s="584">
        <f>+IF(CI127="","",(VLOOKUP($C127,'EQUIP RATE SCHEDULE'!$B$11:$F$162,5,FALSE)))</f>
        <v>18</v>
      </c>
      <c r="CK127" s="591"/>
      <c r="CL127" s="613">
        <f t="shared" si="35"/>
        <v>18</v>
      </c>
      <c r="CM127" s="769" t="s">
        <v>67</v>
      </c>
      <c r="CN127" s="575">
        <v>1</v>
      </c>
      <c r="CO127" s="584">
        <f>+IF(CN127="","",(VLOOKUP($C127,'EQUIP RATE SCHEDULE'!$B$11:$F$162,5,FALSE)))</f>
        <v>18</v>
      </c>
      <c r="CP127" s="591"/>
      <c r="CQ127" s="613">
        <f t="shared" si="36"/>
        <v>18</v>
      </c>
      <c r="CR127" s="769" t="s">
        <v>67</v>
      </c>
      <c r="CS127" s="575">
        <v>1</v>
      </c>
      <c r="CT127" s="584">
        <f>+IF(CS127="","",(VLOOKUP($C127,'EQUIP RATE SCHEDULE'!$B$11:$F$162,5,FALSE)))</f>
        <v>18</v>
      </c>
      <c r="CU127" s="591"/>
      <c r="CV127" s="613">
        <f t="shared" si="37"/>
        <v>18</v>
      </c>
      <c r="CW127" s="769" t="s">
        <v>67</v>
      </c>
      <c r="CX127" s="575">
        <v>1</v>
      </c>
      <c r="CY127" s="584">
        <f>+IF(CX127="","",(VLOOKUP($C127,'EQUIP RATE SCHEDULE'!$B$11:$F$162,5,FALSE)))</f>
        <v>18</v>
      </c>
      <c r="CZ127" s="591"/>
      <c r="DA127" s="613">
        <f t="shared" si="38"/>
        <v>18</v>
      </c>
    </row>
    <row r="128" spans="1:105" ht="15" x14ac:dyDescent="0.25">
      <c r="A128" s="1498"/>
      <c r="B128" s="809" t="s">
        <v>383</v>
      </c>
      <c r="C128" s="776" t="s">
        <v>1286</v>
      </c>
      <c r="D128" s="1484" t="s">
        <v>1274</v>
      </c>
      <c r="E128" s="780" t="s">
        <v>1276</v>
      </c>
      <c r="F128" s="769" t="s">
        <v>66</v>
      </c>
      <c r="G128" s="575">
        <v>1</v>
      </c>
      <c r="H128" s="584">
        <f>+IF(G128="","",(VLOOKUP($C128,'EQUIP RATE SCHEDULE'!$B$11:$F$162,5,FALSE)))</f>
        <v>50</v>
      </c>
      <c r="I128" s="591"/>
      <c r="J128" s="613">
        <f t="shared" si="39"/>
        <v>50</v>
      </c>
      <c r="K128" s="769" t="s">
        <v>66</v>
      </c>
      <c r="L128" s="575">
        <v>1</v>
      </c>
      <c r="M128" s="584">
        <f>+IF(L128="","",(VLOOKUP($C128,'EQUIP RATE SCHEDULE'!$B$11:$F$162,5,FALSE)))</f>
        <v>50</v>
      </c>
      <c r="N128" s="591"/>
      <c r="O128" s="613">
        <f t="shared" si="40"/>
        <v>50</v>
      </c>
      <c r="P128" s="769" t="s">
        <v>66</v>
      </c>
      <c r="Q128" s="575">
        <v>1</v>
      </c>
      <c r="R128" s="584">
        <f>+IF(Q128="","",(VLOOKUP($C128,'EQUIP RATE SCHEDULE'!$B$11:$F$162,5,FALSE)))</f>
        <v>50</v>
      </c>
      <c r="S128" s="591"/>
      <c r="T128" s="613">
        <f t="shared" si="41"/>
        <v>50</v>
      </c>
      <c r="U128" s="769" t="s">
        <v>66</v>
      </c>
      <c r="V128" s="575">
        <v>1</v>
      </c>
      <c r="W128" s="584">
        <f>+IF(V128="","",(VLOOKUP($C128,'EQUIP RATE SCHEDULE'!$B$11:$F$162,5,FALSE)))</f>
        <v>50</v>
      </c>
      <c r="X128" s="591"/>
      <c r="Y128" s="613">
        <f t="shared" si="42"/>
        <v>50</v>
      </c>
      <c r="Z128" s="769" t="s">
        <v>66</v>
      </c>
      <c r="AA128" s="575">
        <v>1</v>
      </c>
      <c r="AB128" s="584">
        <f>+IF(AA128="","",(VLOOKUP($C128,'EQUIP RATE SCHEDULE'!$B$11:$F$162,5,FALSE)))</f>
        <v>50</v>
      </c>
      <c r="AC128" s="591"/>
      <c r="AD128" s="613">
        <f t="shared" si="43"/>
        <v>50</v>
      </c>
      <c r="AE128" s="769" t="s">
        <v>66</v>
      </c>
      <c r="AF128" s="575">
        <v>1</v>
      </c>
      <c r="AG128" s="584">
        <f>+IF(AF128="","",(VLOOKUP($C128,'EQUIP RATE SCHEDULE'!$B$11:$F$162,5,FALSE)))</f>
        <v>50</v>
      </c>
      <c r="AH128" s="591"/>
      <c r="AI128" s="613">
        <f t="shared" si="44"/>
        <v>50</v>
      </c>
      <c r="AJ128" s="769" t="s">
        <v>66</v>
      </c>
      <c r="AK128" s="575">
        <v>1</v>
      </c>
      <c r="AL128" s="584">
        <f>+IF(AK128="","",(VLOOKUP($C128,'EQUIP RATE SCHEDULE'!$B$11:$F$162,5,FALSE)))</f>
        <v>50</v>
      </c>
      <c r="AM128" s="591"/>
      <c r="AN128" s="613">
        <f t="shared" si="45"/>
        <v>50</v>
      </c>
      <c r="AO128" s="769" t="s">
        <v>66</v>
      </c>
      <c r="AP128" s="575">
        <v>1</v>
      </c>
      <c r="AQ128" s="584">
        <f>+IF(AP128="","",(VLOOKUP($C128,'EQUIP RATE SCHEDULE'!$B$11:$F$162,5,FALSE)))</f>
        <v>50</v>
      </c>
      <c r="AR128" s="591"/>
      <c r="AS128" s="613">
        <f t="shared" si="46"/>
        <v>50</v>
      </c>
      <c r="AT128" s="769" t="s">
        <v>66</v>
      </c>
      <c r="AU128" s="575">
        <v>1</v>
      </c>
      <c r="AV128" s="584">
        <f>+IF(AU128="","",(VLOOKUP($C128,'EQUIP RATE SCHEDULE'!$B$11:$F$162,5,FALSE)))</f>
        <v>50</v>
      </c>
      <c r="AW128" s="591"/>
      <c r="AX128" s="613">
        <f t="shared" si="47"/>
        <v>50</v>
      </c>
      <c r="AY128" s="769" t="s">
        <v>66</v>
      </c>
      <c r="AZ128" s="575">
        <v>1</v>
      </c>
      <c r="BA128" s="584">
        <f>+IF(AZ128="","",(VLOOKUP($C128,'EQUIP RATE SCHEDULE'!$B$11:$F$162,5,FALSE)))</f>
        <v>50</v>
      </c>
      <c r="BB128" s="591"/>
      <c r="BC128" s="613">
        <f t="shared" si="48"/>
        <v>50</v>
      </c>
      <c r="BD128" s="769" t="s">
        <v>66</v>
      </c>
      <c r="BE128" s="575">
        <v>1</v>
      </c>
      <c r="BF128" s="584">
        <f>+IF(BE128="","",(VLOOKUP($C128,'EQUIP RATE SCHEDULE'!$B$11:$F$162,5,FALSE)))</f>
        <v>50</v>
      </c>
      <c r="BG128" s="591"/>
      <c r="BH128" s="613">
        <f t="shared" si="29"/>
        <v>50</v>
      </c>
      <c r="BI128" s="769" t="s">
        <v>66</v>
      </c>
      <c r="BJ128" s="575">
        <v>1</v>
      </c>
      <c r="BK128" s="584">
        <f>+IF(BJ128="","",(VLOOKUP($C128,'EQUIP RATE SCHEDULE'!$B$11:$F$162,5,FALSE)))</f>
        <v>50</v>
      </c>
      <c r="BL128" s="591"/>
      <c r="BM128" s="613">
        <f t="shared" si="30"/>
        <v>50</v>
      </c>
      <c r="BN128" s="769" t="s">
        <v>66</v>
      </c>
      <c r="BO128" s="575">
        <v>1</v>
      </c>
      <c r="BP128" s="584">
        <f>+IF(BO128="","",(VLOOKUP($C128,'EQUIP RATE SCHEDULE'!$B$11:$F$162,5,FALSE)))</f>
        <v>50</v>
      </c>
      <c r="BQ128" s="591"/>
      <c r="BR128" s="613">
        <f t="shared" si="31"/>
        <v>50</v>
      </c>
      <c r="BS128" s="769" t="s">
        <v>66</v>
      </c>
      <c r="BT128" s="575">
        <v>1</v>
      </c>
      <c r="BU128" s="584">
        <f>+IF(BT128="","",(VLOOKUP($C128,'EQUIP RATE SCHEDULE'!$B$11:$F$162,5,FALSE)))</f>
        <v>50</v>
      </c>
      <c r="BV128" s="591"/>
      <c r="BW128" s="613">
        <f t="shared" si="32"/>
        <v>50</v>
      </c>
      <c r="BX128" s="769" t="s">
        <v>66</v>
      </c>
      <c r="BY128" s="575">
        <v>1</v>
      </c>
      <c r="BZ128" s="584">
        <f>+IF(BY128="","",(VLOOKUP($C128,'EQUIP RATE SCHEDULE'!$B$11:$F$162,5,FALSE)))</f>
        <v>50</v>
      </c>
      <c r="CA128" s="591"/>
      <c r="CB128" s="613">
        <f t="shared" si="33"/>
        <v>50</v>
      </c>
      <c r="CC128" s="769" t="s">
        <v>66</v>
      </c>
      <c r="CD128" s="575">
        <v>1</v>
      </c>
      <c r="CE128" s="584">
        <f>+IF(CD128="","",(VLOOKUP($C128,'EQUIP RATE SCHEDULE'!$B$11:$F$162,5,FALSE)))</f>
        <v>50</v>
      </c>
      <c r="CF128" s="591"/>
      <c r="CG128" s="613">
        <f t="shared" si="34"/>
        <v>50</v>
      </c>
      <c r="CH128" s="769" t="s">
        <v>66</v>
      </c>
      <c r="CI128" s="575">
        <v>1</v>
      </c>
      <c r="CJ128" s="584">
        <f>+IF(CI128="","",(VLOOKUP($C128,'EQUIP RATE SCHEDULE'!$B$11:$F$162,5,FALSE)))</f>
        <v>50</v>
      </c>
      <c r="CK128" s="591"/>
      <c r="CL128" s="613">
        <f t="shared" si="35"/>
        <v>50</v>
      </c>
      <c r="CM128" s="769" t="s">
        <v>66</v>
      </c>
      <c r="CN128" s="575">
        <v>1</v>
      </c>
      <c r="CO128" s="584">
        <f>+IF(CN128="","",(VLOOKUP($C128,'EQUIP RATE SCHEDULE'!$B$11:$F$162,5,FALSE)))</f>
        <v>50</v>
      </c>
      <c r="CP128" s="591"/>
      <c r="CQ128" s="613">
        <f t="shared" si="36"/>
        <v>50</v>
      </c>
      <c r="CR128" s="769" t="s">
        <v>66</v>
      </c>
      <c r="CS128" s="575">
        <v>1</v>
      </c>
      <c r="CT128" s="584">
        <f>+IF(CS128="","",(VLOOKUP($C128,'EQUIP RATE SCHEDULE'!$B$11:$F$162,5,FALSE)))</f>
        <v>50</v>
      </c>
      <c r="CU128" s="591"/>
      <c r="CV128" s="613">
        <f t="shared" si="37"/>
        <v>50</v>
      </c>
      <c r="CW128" s="769" t="s">
        <v>66</v>
      </c>
      <c r="CX128" s="575">
        <v>1</v>
      </c>
      <c r="CY128" s="584">
        <f>+IF(CX128="","",(VLOOKUP($C128,'EQUIP RATE SCHEDULE'!$B$11:$F$162,5,FALSE)))</f>
        <v>50</v>
      </c>
      <c r="CZ128" s="591"/>
      <c r="DA128" s="613">
        <f t="shared" si="38"/>
        <v>50</v>
      </c>
    </row>
    <row r="129" spans="1:105" ht="15" x14ac:dyDescent="0.25">
      <c r="A129" s="1498"/>
      <c r="B129" s="809" t="s">
        <v>383</v>
      </c>
      <c r="C129" s="776" t="s">
        <v>1287</v>
      </c>
      <c r="D129" s="1484"/>
      <c r="E129" s="780" t="s">
        <v>1276</v>
      </c>
      <c r="F129" s="769" t="s">
        <v>67</v>
      </c>
      <c r="G129" s="575">
        <v>1</v>
      </c>
      <c r="H129" s="584">
        <f>+IF(G129="","",(VLOOKUP($C129,'EQUIP RATE SCHEDULE'!$B$11:$F$162,5,FALSE)))</f>
        <v>200</v>
      </c>
      <c r="I129" s="591"/>
      <c r="J129" s="613">
        <f t="shared" si="39"/>
        <v>200</v>
      </c>
      <c r="K129" s="769" t="s">
        <v>67</v>
      </c>
      <c r="L129" s="575">
        <v>1</v>
      </c>
      <c r="M129" s="584">
        <f>+IF(L129="","",(VLOOKUP($C129,'EQUIP RATE SCHEDULE'!$B$11:$F$162,5,FALSE)))</f>
        <v>200</v>
      </c>
      <c r="N129" s="591"/>
      <c r="O129" s="613">
        <f t="shared" si="40"/>
        <v>200</v>
      </c>
      <c r="P129" s="769" t="s">
        <v>67</v>
      </c>
      <c r="Q129" s="575">
        <v>1</v>
      </c>
      <c r="R129" s="584">
        <f>+IF(Q129="","",(VLOOKUP($C129,'EQUIP RATE SCHEDULE'!$B$11:$F$162,5,FALSE)))</f>
        <v>200</v>
      </c>
      <c r="S129" s="591"/>
      <c r="T129" s="613">
        <f t="shared" si="41"/>
        <v>200</v>
      </c>
      <c r="U129" s="769" t="s">
        <v>67</v>
      </c>
      <c r="V129" s="575">
        <v>1</v>
      </c>
      <c r="W129" s="584">
        <f>+IF(V129="","",(VLOOKUP($C129,'EQUIP RATE SCHEDULE'!$B$11:$F$162,5,FALSE)))</f>
        <v>200</v>
      </c>
      <c r="X129" s="591"/>
      <c r="Y129" s="613">
        <f t="shared" si="42"/>
        <v>200</v>
      </c>
      <c r="Z129" s="769" t="s">
        <v>67</v>
      </c>
      <c r="AA129" s="575">
        <v>1</v>
      </c>
      <c r="AB129" s="584">
        <f>+IF(AA129="","",(VLOOKUP($C129,'EQUIP RATE SCHEDULE'!$B$11:$F$162,5,FALSE)))</f>
        <v>200</v>
      </c>
      <c r="AC129" s="591"/>
      <c r="AD129" s="613">
        <f t="shared" si="43"/>
        <v>200</v>
      </c>
      <c r="AE129" s="769" t="s">
        <v>67</v>
      </c>
      <c r="AF129" s="575">
        <v>1</v>
      </c>
      <c r="AG129" s="584">
        <f>+IF(AF129="","",(VLOOKUP($C129,'EQUIP RATE SCHEDULE'!$B$11:$F$162,5,FALSE)))</f>
        <v>200</v>
      </c>
      <c r="AH129" s="591"/>
      <c r="AI129" s="613">
        <f t="shared" si="44"/>
        <v>200</v>
      </c>
      <c r="AJ129" s="769" t="s">
        <v>67</v>
      </c>
      <c r="AK129" s="575">
        <v>1</v>
      </c>
      <c r="AL129" s="584">
        <f>+IF(AK129="","",(VLOOKUP($C129,'EQUIP RATE SCHEDULE'!$B$11:$F$162,5,FALSE)))</f>
        <v>200</v>
      </c>
      <c r="AM129" s="591"/>
      <c r="AN129" s="613">
        <f t="shared" si="45"/>
        <v>200</v>
      </c>
      <c r="AO129" s="769" t="s">
        <v>67</v>
      </c>
      <c r="AP129" s="575">
        <v>1</v>
      </c>
      <c r="AQ129" s="584">
        <f>+IF(AP129="","",(VLOOKUP($C129,'EQUIP RATE SCHEDULE'!$B$11:$F$162,5,FALSE)))</f>
        <v>200</v>
      </c>
      <c r="AR129" s="591"/>
      <c r="AS129" s="613">
        <f t="shared" si="46"/>
        <v>200</v>
      </c>
      <c r="AT129" s="769" t="s">
        <v>67</v>
      </c>
      <c r="AU129" s="575">
        <v>1</v>
      </c>
      <c r="AV129" s="584">
        <f>+IF(AU129="","",(VLOOKUP($C129,'EQUIP RATE SCHEDULE'!$B$11:$F$162,5,FALSE)))</f>
        <v>200</v>
      </c>
      <c r="AW129" s="591"/>
      <c r="AX129" s="613">
        <f t="shared" si="47"/>
        <v>200</v>
      </c>
      <c r="AY129" s="769" t="s">
        <v>67</v>
      </c>
      <c r="AZ129" s="575">
        <v>1</v>
      </c>
      <c r="BA129" s="584">
        <f>+IF(AZ129="","",(VLOOKUP($C129,'EQUIP RATE SCHEDULE'!$B$11:$F$162,5,FALSE)))</f>
        <v>200</v>
      </c>
      <c r="BB129" s="591"/>
      <c r="BC129" s="613">
        <f t="shared" si="48"/>
        <v>200</v>
      </c>
      <c r="BD129" s="769" t="s">
        <v>67</v>
      </c>
      <c r="BE129" s="575">
        <v>1</v>
      </c>
      <c r="BF129" s="584">
        <f>+IF(BE129="","",(VLOOKUP($C129,'EQUIP RATE SCHEDULE'!$B$11:$F$162,5,FALSE)))</f>
        <v>200</v>
      </c>
      <c r="BG129" s="591"/>
      <c r="BH129" s="613">
        <f t="shared" si="29"/>
        <v>200</v>
      </c>
      <c r="BI129" s="769" t="s">
        <v>67</v>
      </c>
      <c r="BJ129" s="575">
        <v>1</v>
      </c>
      <c r="BK129" s="584">
        <f>+IF(BJ129="","",(VLOOKUP($C129,'EQUIP RATE SCHEDULE'!$B$11:$F$162,5,FALSE)))</f>
        <v>200</v>
      </c>
      <c r="BL129" s="591"/>
      <c r="BM129" s="613">
        <f t="shared" si="30"/>
        <v>200</v>
      </c>
      <c r="BN129" s="769" t="s">
        <v>67</v>
      </c>
      <c r="BO129" s="575">
        <v>1</v>
      </c>
      <c r="BP129" s="584">
        <f>+IF(BO129="","",(VLOOKUP($C129,'EQUIP RATE SCHEDULE'!$B$11:$F$162,5,FALSE)))</f>
        <v>200</v>
      </c>
      <c r="BQ129" s="591"/>
      <c r="BR129" s="613">
        <f t="shared" si="31"/>
        <v>200</v>
      </c>
      <c r="BS129" s="769" t="s">
        <v>67</v>
      </c>
      <c r="BT129" s="575">
        <v>1</v>
      </c>
      <c r="BU129" s="584">
        <f>+IF(BT129="","",(VLOOKUP($C129,'EQUIP RATE SCHEDULE'!$B$11:$F$162,5,FALSE)))</f>
        <v>200</v>
      </c>
      <c r="BV129" s="591"/>
      <c r="BW129" s="613">
        <f t="shared" si="32"/>
        <v>200</v>
      </c>
      <c r="BX129" s="769" t="s">
        <v>67</v>
      </c>
      <c r="BY129" s="575">
        <v>1</v>
      </c>
      <c r="BZ129" s="584">
        <f>+IF(BY129="","",(VLOOKUP($C129,'EQUIP RATE SCHEDULE'!$B$11:$F$162,5,FALSE)))</f>
        <v>200</v>
      </c>
      <c r="CA129" s="591"/>
      <c r="CB129" s="613">
        <f t="shared" si="33"/>
        <v>200</v>
      </c>
      <c r="CC129" s="769" t="s">
        <v>67</v>
      </c>
      <c r="CD129" s="575">
        <v>1</v>
      </c>
      <c r="CE129" s="584">
        <f>+IF(CD129="","",(VLOOKUP($C129,'EQUIP RATE SCHEDULE'!$B$11:$F$162,5,FALSE)))</f>
        <v>200</v>
      </c>
      <c r="CF129" s="591"/>
      <c r="CG129" s="613">
        <f t="shared" si="34"/>
        <v>200</v>
      </c>
      <c r="CH129" s="769" t="s">
        <v>67</v>
      </c>
      <c r="CI129" s="575">
        <v>1</v>
      </c>
      <c r="CJ129" s="584">
        <f>+IF(CI129="","",(VLOOKUP($C129,'EQUIP RATE SCHEDULE'!$B$11:$F$162,5,FALSE)))</f>
        <v>200</v>
      </c>
      <c r="CK129" s="591"/>
      <c r="CL129" s="613">
        <f t="shared" si="35"/>
        <v>200</v>
      </c>
      <c r="CM129" s="769" t="s">
        <v>67</v>
      </c>
      <c r="CN129" s="575">
        <v>1</v>
      </c>
      <c r="CO129" s="584">
        <f>+IF(CN129="","",(VLOOKUP($C129,'EQUIP RATE SCHEDULE'!$B$11:$F$162,5,FALSE)))</f>
        <v>200</v>
      </c>
      <c r="CP129" s="591"/>
      <c r="CQ129" s="613">
        <f t="shared" si="36"/>
        <v>200</v>
      </c>
      <c r="CR129" s="769" t="s">
        <v>67</v>
      </c>
      <c r="CS129" s="575">
        <v>1</v>
      </c>
      <c r="CT129" s="584">
        <f>+IF(CS129="","",(VLOOKUP($C129,'EQUIP RATE SCHEDULE'!$B$11:$F$162,5,FALSE)))</f>
        <v>200</v>
      </c>
      <c r="CU129" s="591"/>
      <c r="CV129" s="613">
        <f t="shared" si="37"/>
        <v>200</v>
      </c>
      <c r="CW129" s="769" t="s">
        <v>67</v>
      </c>
      <c r="CX129" s="575">
        <v>1</v>
      </c>
      <c r="CY129" s="584">
        <f>+IF(CX129="","",(VLOOKUP($C129,'EQUIP RATE SCHEDULE'!$B$11:$F$162,5,FALSE)))</f>
        <v>200</v>
      </c>
      <c r="CZ129" s="591"/>
      <c r="DA129" s="613">
        <f t="shared" si="38"/>
        <v>200</v>
      </c>
    </row>
    <row r="130" spans="1:105" ht="15" x14ac:dyDescent="0.25">
      <c r="A130" s="1498"/>
      <c r="B130" s="809" t="s">
        <v>383</v>
      </c>
      <c r="C130" s="776" t="s">
        <v>1284</v>
      </c>
      <c r="D130" s="789" t="s">
        <v>1275</v>
      </c>
      <c r="E130" s="780" t="s">
        <v>1277</v>
      </c>
      <c r="F130" s="769" t="s">
        <v>920</v>
      </c>
      <c r="G130" s="575">
        <v>1</v>
      </c>
      <c r="H130" s="584">
        <f>+IF(G130="","",(VLOOKUP($C130,'EQUIP RATE SCHEDULE'!$B$11:$F$162,5,FALSE)))</f>
        <v>20</v>
      </c>
      <c r="I130" s="591"/>
      <c r="J130" s="613">
        <f t="shared" si="39"/>
        <v>20</v>
      </c>
      <c r="K130" s="769" t="s">
        <v>920</v>
      </c>
      <c r="L130" s="575">
        <v>1</v>
      </c>
      <c r="M130" s="584">
        <f>+IF(L130="","",(VLOOKUP($C130,'EQUIP RATE SCHEDULE'!$B$11:$F$162,5,FALSE)))</f>
        <v>20</v>
      </c>
      <c r="N130" s="591"/>
      <c r="O130" s="613">
        <f t="shared" si="40"/>
        <v>20</v>
      </c>
      <c r="P130" s="769" t="s">
        <v>920</v>
      </c>
      <c r="Q130" s="575">
        <v>1</v>
      </c>
      <c r="R130" s="584">
        <f>+IF(Q130="","",(VLOOKUP($C130,'EQUIP RATE SCHEDULE'!$B$11:$F$162,5,FALSE)))</f>
        <v>20</v>
      </c>
      <c r="S130" s="591"/>
      <c r="T130" s="613">
        <f t="shared" si="41"/>
        <v>20</v>
      </c>
      <c r="U130" s="769" t="s">
        <v>920</v>
      </c>
      <c r="V130" s="575">
        <v>1</v>
      </c>
      <c r="W130" s="584">
        <f>+IF(V130="","",(VLOOKUP($C130,'EQUIP RATE SCHEDULE'!$B$11:$F$162,5,FALSE)))</f>
        <v>20</v>
      </c>
      <c r="X130" s="591"/>
      <c r="Y130" s="613">
        <f t="shared" si="42"/>
        <v>20</v>
      </c>
      <c r="Z130" s="769" t="s">
        <v>920</v>
      </c>
      <c r="AA130" s="575">
        <v>1</v>
      </c>
      <c r="AB130" s="584">
        <f>+IF(AA130="","",(VLOOKUP($C130,'EQUIP RATE SCHEDULE'!$B$11:$F$162,5,FALSE)))</f>
        <v>20</v>
      </c>
      <c r="AC130" s="591"/>
      <c r="AD130" s="613">
        <f t="shared" si="43"/>
        <v>20</v>
      </c>
      <c r="AE130" s="769" t="s">
        <v>920</v>
      </c>
      <c r="AF130" s="575">
        <v>1</v>
      </c>
      <c r="AG130" s="584">
        <f>+IF(AF130="","",(VLOOKUP($C130,'EQUIP RATE SCHEDULE'!$B$11:$F$162,5,FALSE)))</f>
        <v>20</v>
      </c>
      <c r="AH130" s="591"/>
      <c r="AI130" s="613">
        <f t="shared" si="44"/>
        <v>20</v>
      </c>
      <c r="AJ130" s="769" t="s">
        <v>920</v>
      </c>
      <c r="AK130" s="575">
        <v>1</v>
      </c>
      <c r="AL130" s="584">
        <f>+IF(AK130="","",(VLOOKUP($C130,'EQUIP RATE SCHEDULE'!$B$11:$F$162,5,FALSE)))</f>
        <v>20</v>
      </c>
      <c r="AM130" s="591"/>
      <c r="AN130" s="613">
        <f t="shared" si="45"/>
        <v>20</v>
      </c>
      <c r="AO130" s="769" t="s">
        <v>920</v>
      </c>
      <c r="AP130" s="575">
        <v>1</v>
      </c>
      <c r="AQ130" s="584">
        <f>+IF(AP130="","",(VLOOKUP($C130,'EQUIP RATE SCHEDULE'!$B$11:$F$162,5,FALSE)))</f>
        <v>20</v>
      </c>
      <c r="AR130" s="591"/>
      <c r="AS130" s="613">
        <f t="shared" si="46"/>
        <v>20</v>
      </c>
      <c r="AT130" s="769" t="s">
        <v>920</v>
      </c>
      <c r="AU130" s="575">
        <v>1</v>
      </c>
      <c r="AV130" s="584">
        <f>+IF(AU130="","",(VLOOKUP($C130,'EQUIP RATE SCHEDULE'!$B$11:$F$162,5,FALSE)))</f>
        <v>20</v>
      </c>
      <c r="AW130" s="591"/>
      <c r="AX130" s="613">
        <f t="shared" si="47"/>
        <v>20</v>
      </c>
      <c r="AY130" s="769" t="s">
        <v>920</v>
      </c>
      <c r="AZ130" s="575">
        <v>1</v>
      </c>
      <c r="BA130" s="584">
        <f>+IF(AZ130="","",(VLOOKUP($C130,'EQUIP RATE SCHEDULE'!$B$11:$F$162,5,FALSE)))</f>
        <v>20</v>
      </c>
      <c r="BB130" s="591"/>
      <c r="BC130" s="613">
        <f t="shared" si="48"/>
        <v>20</v>
      </c>
      <c r="BD130" s="769" t="s">
        <v>920</v>
      </c>
      <c r="BE130" s="575">
        <v>1</v>
      </c>
      <c r="BF130" s="584">
        <f>+IF(BE130="","",(VLOOKUP($C130,'EQUIP RATE SCHEDULE'!$B$11:$F$162,5,FALSE)))</f>
        <v>20</v>
      </c>
      <c r="BG130" s="591"/>
      <c r="BH130" s="613">
        <f t="shared" si="29"/>
        <v>20</v>
      </c>
      <c r="BI130" s="769" t="s">
        <v>920</v>
      </c>
      <c r="BJ130" s="575">
        <v>1</v>
      </c>
      <c r="BK130" s="584">
        <f>+IF(BJ130="","",(VLOOKUP($C130,'EQUIP RATE SCHEDULE'!$B$11:$F$162,5,FALSE)))</f>
        <v>20</v>
      </c>
      <c r="BL130" s="591"/>
      <c r="BM130" s="613">
        <f t="shared" si="30"/>
        <v>20</v>
      </c>
      <c r="BN130" s="769" t="s">
        <v>920</v>
      </c>
      <c r="BO130" s="575">
        <v>1</v>
      </c>
      <c r="BP130" s="584">
        <f>+IF(BO130="","",(VLOOKUP($C130,'EQUIP RATE SCHEDULE'!$B$11:$F$162,5,FALSE)))</f>
        <v>20</v>
      </c>
      <c r="BQ130" s="591"/>
      <c r="BR130" s="613">
        <f t="shared" si="31"/>
        <v>20</v>
      </c>
      <c r="BS130" s="769" t="s">
        <v>920</v>
      </c>
      <c r="BT130" s="575">
        <v>1</v>
      </c>
      <c r="BU130" s="584">
        <f>+IF(BT130="","",(VLOOKUP($C130,'EQUIP RATE SCHEDULE'!$B$11:$F$162,5,FALSE)))</f>
        <v>20</v>
      </c>
      <c r="BV130" s="591"/>
      <c r="BW130" s="613">
        <f t="shared" si="32"/>
        <v>20</v>
      </c>
      <c r="BX130" s="769" t="s">
        <v>920</v>
      </c>
      <c r="BY130" s="575">
        <v>1</v>
      </c>
      <c r="BZ130" s="584">
        <f>+IF(BY130="","",(VLOOKUP($C130,'EQUIP RATE SCHEDULE'!$B$11:$F$162,5,FALSE)))</f>
        <v>20</v>
      </c>
      <c r="CA130" s="591"/>
      <c r="CB130" s="613">
        <f t="shared" si="33"/>
        <v>20</v>
      </c>
      <c r="CC130" s="769" t="s">
        <v>920</v>
      </c>
      <c r="CD130" s="575">
        <v>1</v>
      </c>
      <c r="CE130" s="584">
        <f>+IF(CD130="","",(VLOOKUP($C130,'EQUIP RATE SCHEDULE'!$B$11:$F$162,5,FALSE)))</f>
        <v>20</v>
      </c>
      <c r="CF130" s="591"/>
      <c r="CG130" s="613">
        <f t="shared" si="34"/>
        <v>20</v>
      </c>
      <c r="CH130" s="769" t="s">
        <v>920</v>
      </c>
      <c r="CI130" s="575">
        <v>1</v>
      </c>
      <c r="CJ130" s="584">
        <f>+IF(CI130="","",(VLOOKUP($C130,'EQUIP RATE SCHEDULE'!$B$11:$F$162,5,FALSE)))</f>
        <v>20</v>
      </c>
      <c r="CK130" s="591"/>
      <c r="CL130" s="613">
        <f t="shared" si="35"/>
        <v>20</v>
      </c>
      <c r="CM130" s="769" t="s">
        <v>920</v>
      </c>
      <c r="CN130" s="575">
        <v>1</v>
      </c>
      <c r="CO130" s="584">
        <f>+IF(CN130="","",(VLOOKUP($C130,'EQUIP RATE SCHEDULE'!$B$11:$F$162,5,FALSE)))</f>
        <v>20</v>
      </c>
      <c r="CP130" s="591"/>
      <c r="CQ130" s="613">
        <f t="shared" si="36"/>
        <v>20</v>
      </c>
      <c r="CR130" s="769" t="s">
        <v>920</v>
      </c>
      <c r="CS130" s="575">
        <v>1</v>
      </c>
      <c r="CT130" s="584">
        <f>+IF(CS130="","",(VLOOKUP($C130,'EQUIP RATE SCHEDULE'!$B$11:$F$162,5,FALSE)))</f>
        <v>20</v>
      </c>
      <c r="CU130" s="591"/>
      <c r="CV130" s="613">
        <f t="shared" si="37"/>
        <v>20</v>
      </c>
      <c r="CW130" s="769" t="s">
        <v>920</v>
      </c>
      <c r="CX130" s="575">
        <v>1</v>
      </c>
      <c r="CY130" s="584">
        <f>+IF(CX130="","",(VLOOKUP($C130,'EQUIP RATE SCHEDULE'!$B$11:$F$162,5,FALSE)))</f>
        <v>20</v>
      </c>
      <c r="CZ130" s="591"/>
      <c r="DA130" s="613">
        <f t="shared" si="38"/>
        <v>20</v>
      </c>
    </row>
    <row r="131" spans="1:105" ht="30" x14ac:dyDescent="0.25">
      <c r="A131" s="1498"/>
      <c r="B131" s="809" t="s">
        <v>383</v>
      </c>
      <c r="C131" s="776" t="s">
        <v>1150</v>
      </c>
      <c r="D131" s="779" t="s">
        <v>1234</v>
      </c>
      <c r="E131" s="780" t="s">
        <v>1152</v>
      </c>
      <c r="F131" s="769" t="s">
        <v>920</v>
      </c>
      <c r="G131" s="575">
        <v>1</v>
      </c>
      <c r="H131" s="584">
        <f>+IF(G131="","",(VLOOKUP($C131,'EQUIP RATE SCHEDULE'!$B$11:$F$162,5,FALSE)))</f>
        <v>250</v>
      </c>
      <c r="I131" s="591"/>
      <c r="J131" s="613">
        <f t="shared" si="39"/>
        <v>250</v>
      </c>
      <c r="K131" s="769" t="s">
        <v>920</v>
      </c>
      <c r="L131" s="575">
        <v>1</v>
      </c>
      <c r="M131" s="584">
        <f>+IF(L131="","",(VLOOKUP($C131,'EQUIP RATE SCHEDULE'!$B$11:$F$162,5,FALSE)))</f>
        <v>250</v>
      </c>
      <c r="N131" s="591"/>
      <c r="O131" s="613">
        <f t="shared" si="40"/>
        <v>250</v>
      </c>
      <c r="P131" s="769" t="s">
        <v>920</v>
      </c>
      <c r="Q131" s="575">
        <v>1</v>
      </c>
      <c r="R131" s="584">
        <f>+IF(Q131="","",(VLOOKUP($C131,'EQUIP RATE SCHEDULE'!$B$11:$F$162,5,FALSE)))</f>
        <v>250</v>
      </c>
      <c r="S131" s="591"/>
      <c r="T131" s="613">
        <f t="shared" si="41"/>
        <v>250</v>
      </c>
      <c r="U131" s="769" t="s">
        <v>920</v>
      </c>
      <c r="V131" s="575">
        <v>1</v>
      </c>
      <c r="W131" s="584">
        <f>+IF(V131="","",(VLOOKUP($C131,'EQUIP RATE SCHEDULE'!$B$11:$F$162,5,FALSE)))</f>
        <v>250</v>
      </c>
      <c r="X131" s="591"/>
      <c r="Y131" s="613">
        <f t="shared" si="42"/>
        <v>250</v>
      </c>
      <c r="Z131" s="769" t="s">
        <v>920</v>
      </c>
      <c r="AA131" s="575">
        <v>1</v>
      </c>
      <c r="AB131" s="584">
        <f>+IF(AA131="","",(VLOOKUP($C131,'EQUIP RATE SCHEDULE'!$B$11:$F$162,5,FALSE)))</f>
        <v>250</v>
      </c>
      <c r="AC131" s="591"/>
      <c r="AD131" s="613">
        <f t="shared" si="43"/>
        <v>250</v>
      </c>
      <c r="AE131" s="769" t="s">
        <v>920</v>
      </c>
      <c r="AF131" s="575">
        <v>1</v>
      </c>
      <c r="AG131" s="584">
        <f>+IF(AF131="","",(VLOOKUP($C131,'EQUIP RATE SCHEDULE'!$B$11:$F$162,5,FALSE)))</f>
        <v>250</v>
      </c>
      <c r="AH131" s="591"/>
      <c r="AI131" s="613">
        <f t="shared" si="44"/>
        <v>250</v>
      </c>
      <c r="AJ131" s="769" t="s">
        <v>920</v>
      </c>
      <c r="AK131" s="575">
        <v>1</v>
      </c>
      <c r="AL131" s="584">
        <f>+IF(AK131="","",(VLOOKUP($C131,'EQUIP RATE SCHEDULE'!$B$11:$F$162,5,FALSE)))</f>
        <v>250</v>
      </c>
      <c r="AM131" s="591"/>
      <c r="AN131" s="613">
        <f t="shared" si="45"/>
        <v>250</v>
      </c>
      <c r="AO131" s="769" t="s">
        <v>920</v>
      </c>
      <c r="AP131" s="575">
        <v>1</v>
      </c>
      <c r="AQ131" s="584">
        <f>+IF(AP131="","",(VLOOKUP($C131,'EQUIP RATE SCHEDULE'!$B$11:$F$162,5,FALSE)))</f>
        <v>250</v>
      </c>
      <c r="AR131" s="591"/>
      <c r="AS131" s="613">
        <f t="shared" si="46"/>
        <v>250</v>
      </c>
      <c r="AT131" s="769" t="s">
        <v>920</v>
      </c>
      <c r="AU131" s="575">
        <v>1</v>
      </c>
      <c r="AV131" s="584">
        <f>+IF(AU131="","",(VLOOKUP($C131,'EQUIP RATE SCHEDULE'!$B$11:$F$162,5,FALSE)))</f>
        <v>250</v>
      </c>
      <c r="AW131" s="591"/>
      <c r="AX131" s="613">
        <f t="shared" si="47"/>
        <v>250</v>
      </c>
      <c r="AY131" s="769" t="s">
        <v>920</v>
      </c>
      <c r="AZ131" s="575">
        <v>1</v>
      </c>
      <c r="BA131" s="584">
        <f>+IF(AZ131="","",(VLOOKUP($C131,'EQUIP RATE SCHEDULE'!$B$11:$F$162,5,FALSE)))</f>
        <v>250</v>
      </c>
      <c r="BB131" s="591"/>
      <c r="BC131" s="613">
        <f t="shared" si="48"/>
        <v>250</v>
      </c>
      <c r="BD131" s="769" t="s">
        <v>920</v>
      </c>
      <c r="BE131" s="575">
        <v>1</v>
      </c>
      <c r="BF131" s="584">
        <f>+IF(BE131="","",(VLOOKUP($C131,'EQUIP RATE SCHEDULE'!$B$11:$F$162,5,FALSE)))</f>
        <v>250</v>
      </c>
      <c r="BG131" s="591"/>
      <c r="BH131" s="613">
        <f t="shared" si="29"/>
        <v>250</v>
      </c>
      <c r="BI131" s="769" t="s">
        <v>920</v>
      </c>
      <c r="BJ131" s="575">
        <v>1</v>
      </c>
      <c r="BK131" s="584">
        <f>+IF(BJ131="","",(VLOOKUP($C131,'EQUIP RATE SCHEDULE'!$B$11:$F$162,5,FALSE)))</f>
        <v>250</v>
      </c>
      <c r="BL131" s="591"/>
      <c r="BM131" s="613">
        <f t="shared" si="30"/>
        <v>250</v>
      </c>
      <c r="BN131" s="769" t="s">
        <v>920</v>
      </c>
      <c r="BO131" s="575">
        <v>1</v>
      </c>
      <c r="BP131" s="584">
        <f>+IF(BO131="","",(VLOOKUP($C131,'EQUIP RATE SCHEDULE'!$B$11:$F$162,5,FALSE)))</f>
        <v>250</v>
      </c>
      <c r="BQ131" s="591"/>
      <c r="BR131" s="613">
        <f t="shared" si="31"/>
        <v>250</v>
      </c>
      <c r="BS131" s="769" t="s">
        <v>920</v>
      </c>
      <c r="BT131" s="575">
        <v>1</v>
      </c>
      <c r="BU131" s="584">
        <f>+IF(BT131="","",(VLOOKUP($C131,'EQUIP RATE SCHEDULE'!$B$11:$F$162,5,FALSE)))</f>
        <v>250</v>
      </c>
      <c r="BV131" s="591"/>
      <c r="BW131" s="613">
        <f t="shared" si="32"/>
        <v>250</v>
      </c>
      <c r="BX131" s="769" t="s">
        <v>920</v>
      </c>
      <c r="BY131" s="575">
        <v>1</v>
      </c>
      <c r="BZ131" s="584">
        <f>+IF(BY131="","",(VLOOKUP($C131,'EQUIP RATE SCHEDULE'!$B$11:$F$162,5,FALSE)))</f>
        <v>250</v>
      </c>
      <c r="CA131" s="591"/>
      <c r="CB131" s="613">
        <f t="shared" si="33"/>
        <v>250</v>
      </c>
      <c r="CC131" s="769" t="s">
        <v>920</v>
      </c>
      <c r="CD131" s="575">
        <v>1</v>
      </c>
      <c r="CE131" s="584">
        <f>+IF(CD131="","",(VLOOKUP($C131,'EQUIP RATE SCHEDULE'!$B$11:$F$162,5,FALSE)))</f>
        <v>250</v>
      </c>
      <c r="CF131" s="591"/>
      <c r="CG131" s="613">
        <f t="shared" si="34"/>
        <v>250</v>
      </c>
      <c r="CH131" s="769" t="s">
        <v>920</v>
      </c>
      <c r="CI131" s="575">
        <v>1</v>
      </c>
      <c r="CJ131" s="584">
        <f>+IF(CI131="","",(VLOOKUP($C131,'EQUIP RATE SCHEDULE'!$B$11:$F$162,5,FALSE)))</f>
        <v>250</v>
      </c>
      <c r="CK131" s="591"/>
      <c r="CL131" s="613">
        <f t="shared" si="35"/>
        <v>250</v>
      </c>
      <c r="CM131" s="769" t="s">
        <v>920</v>
      </c>
      <c r="CN131" s="575">
        <v>1</v>
      </c>
      <c r="CO131" s="584">
        <f>+IF(CN131="","",(VLOOKUP($C131,'EQUIP RATE SCHEDULE'!$B$11:$F$162,5,FALSE)))</f>
        <v>250</v>
      </c>
      <c r="CP131" s="591"/>
      <c r="CQ131" s="613">
        <f t="shared" si="36"/>
        <v>250</v>
      </c>
      <c r="CR131" s="769" t="s">
        <v>920</v>
      </c>
      <c r="CS131" s="575">
        <v>1</v>
      </c>
      <c r="CT131" s="584">
        <f>+IF(CS131="","",(VLOOKUP($C131,'EQUIP RATE SCHEDULE'!$B$11:$F$162,5,FALSE)))</f>
        <v>250</v>
      </c>
      <c r="CU131" s="591"/>
      <c r="CV131" s="613">
        <f t="shared" si="37"/>
        <v>250</v>
      </c>
      <c r="CW131" s="769" t="s">
        <v>920</v>
      </c>
      <c r="CX131" s="575">
        <v>1</v>
      </c>
      <c r="CY131" s="584">
        <f>+IF(CX131="","",(VLOOKUP($C131,'EQUIP RATE SCHEDULE'!$B$11:$F$162,5,FALSE)))</f>
        <v>250</v>
      </c>
      <c r="CZ131" s="591"/>
      <c r="DA131" s="613">
        <f t="shared" si="38"/>
        <v>250</v>
      </c>
    </row>
    <row r="132" spans="1:105" ht="15" x14ac:dyDescent="0.25">
      <c r="A132" s="1498"/>
      <c r="B132" s="809" t="s">
        <v>383</v>
      </c>
      <c r="C132" s="776" t="s">
        <v>1153</v>
      </c>
      <c r="D132" s="779" t="s">
        <v>1154</v>
      </c>
      <c r="E132" s="780" t="s">
        <v>1155</v>
      </c>
      <c r="F132" s="774" t="s">
        <v>920</v>
      </c>
      <c r="G132" s="575">
        <v>1</v>
      </c>
      <c r="H132" s="584">
        <f>+IF(G132="","",(VLOOKUP($C132,'EQUIP RATE SCHEDULE'!$B$11:$F$162,5,FALSE)))</f>
        <v>100</v>
      </c>
      <c r="I132" s="591"/>
      <c r="J132" s="613">
        <f t="shared" si="39"/>
        <v>100</v>
      </c>
      <c r="K132" s="774" t="s">
        <v>920</v>
      </c>
      <c r="L132" s="575">
        <v>1</v>
      </c>
      <c r="M132" s="584">
        <f>+IF(L132="","",(VLOOKUP($C132,'EQUIP RATE SCHEDULE'!$B$11:$F$162,5,FALSE)))</f>
        <v>100</v>
      </c>
      <c r="N132" s="591"/>
      <c r="O132" s="613">
        <f t="shared" si="40"/>
        <v>100</v>
      </c>
      <c r="P132" s="774" t="s">
        <v>920</v>
      </c>
      <c r="Q132" s="575">
        <v>1</v>
      </c>
      <c r="R132" s="584">
        <f>+IF(Q132="","",(VLOOKUP($C132,'EQUIP RATE SCHEDULE'!$B$11:$F$162,5,FALSE)))</f>
        <v>100</v>
      </c>
      <c r="S132" s="591"/>
      <c r="T132" s="613">
        <f t="shared" si="41"/>
        <v>100</v>
      </c>
      <c r="U132" s="774" t="s">
        <v>920</v>
      </c>
      <c r="V132" s="575">
        <v>1</v>
      </c>
      <c r="W132" s="584">
        <f>+IF(V132="","",(VLOOKUP($C132,'EQUIP RATE SCHEDULE'!$B$11:$F$162,5,FALSE)))</f>
        <v>100</v>
      </c>
      <c r="X132" s="591"/>
      <c r="Y132" s="613">
        <f t="shared" si="42"/>
        <v>100</v>
      </c>
      <c r="Z132" s="774" t="s">
        <v>920</v>
      </c>
      <c r="AA132" s="575">
        <v>1</v>
      </c>
      <c r="AB132" s="584">
        <f>+IF(AA132="","",(VLOOKUP($C132,'EQUIP RATE SCHEDULE'!$B$11:$F$162,5,FALSE)))</f>
        <v>100</v>
      </c>
      <c r="AC132" s="591"/>
      <c r="AD132" s="613">
        <f t="shared" si="43"/>
        <v>100</v>
      </c>
      <c r="AE132" s="774" t="s">
        <v>920</v>
      </c>
      <c r="AF132" s="575">
        <v>1</v>
      </c>
      <c r="AG132" s="584">
        <f>+IF(AF132="","",(VLOOKUP($C132,'EQUIP RATE SCHEDULE'!$B$11:$F$162,5,FALSE)))</f>
        <v>100</v>
      </c>
      <c r="AH132" s="591"/>
      <c r="AI132" s="613">
        <f t="shared" si="44"/>
        <v>100</v>
      </c>
      <c r="AJ132" s="774" t="s">
        <v>920</v>
      </c>
      <c r="AK132" s="575">
        <v>1</v>
      </c>
      <c r="AL132" s="584">
        <f>+IF(AK132="","",(VLOOKUP($C132,'EQUIP RATE SCHEDULE'!$B$11:$F$162,5,FALSE)))</f>
        <v>100</v>
      </c>
      <c r="AM132" s="591"/>
      <c r="AN132" s="613">
        <f t="shared" si="45"/>
        <v>100</v>
      </c>
      <c r="AO132" s="774" t="s">
        <v>920</v>
      </c>
      <c r="AP132" s="575">
        <v>1</v>
      </c>
      <c r="AQ132" s="584">
        <f>+IF(AP132="","",(VLOOKUP($C132,'EQUIP RATE SCHEDULE'!$B$11:$F$162,5,FALSE)))</f>
        <v>100</v>
      </c>
      <c r="AR132" s="591"/>
      <c r="AS132" s="613">
        <f t="shared" si="46"/>
        <v>100</v>
      </c>
      <c r="AT132" s="774" t="s">
        <v>920</v>
      </c>
      <c r="AU132" s="575">
        <v>1</v>
      </c>
      <c r="AV132" s="584">
        <f>+IF(AU132="","",(VLOOKUP($C132,'EQUIP RATE SCHEDULE'!$B$11:$F$162,5,FALSE)))</f>
        <v>100</v>
      </c>
      <c r="AW132" s="591"/>
      <c r="AX132" s="613">
        <f t="shared" si="47"/>
        <v>100</v>
      </c>
      <c r="AY132" s="774" t="s">
        <v>920</v>
      </c>
      <c r="AZ132" s="575">
        <v>1</v>
      </c>
      <c r="BA132" s="584">
        <f>+IF(AZ132="","",(VLOOKUP($C132,'EQUIP RATE SCHEDULE'!$B$11:$F$162,5,FALSE)))</f>
        <v>100</v>
      </c>
      <c r="BB132" s="591"/>
      <c r="BC132" s="613">
        <f t="shared" si="48"/>
        <v>100</v>
      </c>
      <c r="BD132" s="774" t="s">
        <v>920</v>
      </c>
      <c r="BE132" s="575">
        <v>1</v>
      </c>
      <c r="BF132" s="584">
        <f>+IF(BE132="","",(VLOOKUP($C132,'EQUIP RATE SCHEDULE'!$B$11:$F$162,5,FALSE)))</f>
        <v>100</v>
      </c>
      <c r="BG132" s="591"/>
      <c r="BH132" s="613">
        <f t="shared" si="29"/>
        <v>100</v>
      </c>
      <c r="BI132" s="774" t="s">
        <v>920</v>
      </c>
      <c r="BJ132" s="575">
        <v>1</v>
      </c>
      <c r="BK132" s="584">
        <f>+IF(BJ132="","",(VLOOKUP($C132,'EQUIP RATE SCHEDULE'!$B$11:$F$162,5,FALSE)))</f>
        <v>100</v>
      </c>
      <c r="BL132" s="591"/>
      <c r="BM132" s="613">
        <f t="shared" si="30"/>
        <v>100</v>
      </c>
      <c r="BN132" s="774" t="s">
        <v>920</v>
      </c>
      <c r="BO132" s="575">
        <v>1</v>
      </c>
      <c r="BP132" s="584">
        <f>+IF(BO132="","",(VLOOKUP($C132,'EQUIP RATE SCHEDULE'!$B$11:$F$162,5,FALSE)))</f>
        <v>100</v>
      </c>
      <c r="BQ132" s="591"/>
      <c r="BR132" s="613">
        <f t="shared" si="31"/>
        <v>100</v>
      </c>
      <c r="BS132" s="774" t="s">
        <v>920</v>
      </c>
      <c r="BT132" s="575">
        <v>1</v>
      </c>
      <c r="BU132" s="584">
        <f>+IF(BT132="","",(VLOOKUP($C132,'EQUIP RATE SCHEDULE'!$B$11:$F$162,5,FALSE)))</f>
        <v>100</v>
      </c>
      <c r="BV132" s="591"/>
      <c r="BW132" s="613">
        <f t="shared" si="32"/>
        <v>100</v>
      </c>
      <c r="BX132" s="774" t="s">
        <v>920</v>
      </c>
      <c r="BY132" s="575">
        <v>1</v>
      </c>
      <c r="BZ132" s="584">
        <f>+IF(BY132="","",(VLOOKUP($C132,'EQUIP RATE SCHEDULE'!$B$11:$F$162,5,FALSE)))</f>
        <v>100</v>
      </c>
      <c r="CA132" s="591"/>
      <c r="CB132" s="613">
        <f t="shared" si="33"/>
        <v>100</v>
      </c>
      <c r="CC132" s="774" t="s">
        <v>920</v>
      </c>
      <c r="CD132" s="575">
        <v>1</v>
      </c>
      <c r="CE132" s="584">
        <f>+IF(CD132="","",(VLOOKUP($C132,'EQUIP RATE SCHEDULE'!$B$11:$F$162,5,FALSE)))</f>
        <v>100</v>
      </c>
      <c r="CF132" s="591"/>
      <c r="CG132" s="613">
        <f t="shared" si="34"/>
        <v>100</v>
      </c>
      <c r="CH132" s="774" t="s">
        <v>920</v>
      </c>
      <c r="CI132" s="575">
        <v>1</v>
      </c>
      <c r="CJ132" s="584">
        <f>+IF(CI132="","",(VLOOKUP($C132,'EQUIP RATE SCHEDULE'!$B$11:$F$162,5,FALSE)))</f>
        <v>100</v>
      </c>
      <c r="CK132" s="591"/>
      <c r="CL132" s="613">
        <f t="shared" si="35"/>
        <v>100</v>
      </c>
      <c r="CM132" s="774" t="s">
        <v>920</v>
      </c>
      <c r="CN132" s="575">
        <v>1</v>
      </c>
      <c r="CO132" s="584">
        <f>+IF(CN132="","",(VLOOKUP($C132,'EQUIP RATE SCHEDULE'!$B$11:$F$162,5,FALSE)))</f>
        <v>100</v>
      </c>
      <c r="CP132" s="591"/>
      <c r="CQ132" s="613">
        <f t="shared" si="36"/>
        <v>100</v>
      </c>
      <c r="CR132" s="774" t="s">
        <v>920</v>
      </c>
      <c r="CS132" s="575">
        <v>1</v>
      </c>
      <c r="CT132" s="584">
        <f>+IF(CS132="","",(VLOOKUP($C132,'EQUIP RATE SCHEDULE'!$B$11:$F$162,5,FALSE)))</f>
        <v>100</v>
      </c>
      <c r="CU132" s="591"/>
      <c r="CV132" s="613">
        <f t="shared" si="37"/>
        <v>100</v>
      </c>
      <c r="CW132" s="774" t="s">
        <v>920</v>
      </c>
      <c r="CX132" s="575"/>
      <c r="CY132" s="584" t="str">
        <f>+IF(CX132="","",(VLOOKUP($C132,'EQUIP RATE SCHEDULE'!$B$11:$F$162,5,FALSE)))</f>
        <v/>
      </c>
      <c r="CZ132" s="591"/>
      <c r="DA132" s="613" t="str">
        <f t="shared" si="38"/>
        <v/>
      </c>
    </row>
    <row r="133" spans="1:105" ht="15" x14ac:dyDescent="0.25">
      <c r="A133" s="1498"/>
      <c r="B133" s="809" t="s">
        <v>383</v>
      </c>
      <c r="C133" s="776" t="s">
        <v>1156</v>
      </c>
      <c r="D133" s="1491" t="s">
        <v>1157</v>
      </c>
      <c r="E133" s="1488" t="s">
        <v>1158</v>
      </c>
      <c r="F133" s="769" t="s">
        <v>66</v>
      </c>
      <c r="G133" s="575">
        <v>1</v>
      </c>
      <c r="H133" s="584">
        <f>+IF(G133="","",(VLOOKUP($C133,'EQUIP RATE SCHEDULE'!$B$11:$F$162,5,FALSE)))</f>
        <v>50</v>
      </c>
      <c r="I133" s="591"/>
      <c r="J133" s="613">
        <f t="shared" si="39"/>
        <v>50</v>
      </c>
      <c r="K133" s="769" t="s">
        <v>66</v>
      </c>
      <c r="L133" s="575">
        <v>1</v>
      </c>
      <c r="M133" s="584">
        <f>+IF(L133="","",(VLOOKUP($C133,'EQUIP RATE SCHEDULE'!$B$11:$F$162,5,FALSE)))</f>
        <v>50</v>
      </c>
      <c r="N133" s="591"/>
      <c r="O133" s="613">
        <f t="shared" si="40"/>
        <v>50</v>
      </c>
      <c r="P133" s="769" t="s">
        <v>66</v>
      </c>
      <c r="Q133" s="575">
        <v>1</v>
      </c>
      <c r="R133" s="584">
        <f>+IF(Q133="","",(VLOOKUP($C133,'EQUIP RATE SCHEDULE'!$B$11:$F$162,5,FALSE)))</f>
        <v>50</v>
      </c>
      <c r="S133" s="591"/>
      <c r="T133" s="613">
        <f t="shared" si="41"/>
        <v>50</v>
      </c>
      <c r="U133" s="769" t="s">
        <v>66</v>
      </c>
      <c r="V133" s="575">
        <v>1</v>
      </c>
      <c r="W133" s="584">
        <f>+IF(V133="","",(VLOOKUP($C133,'EQUIP RATE SCHEDULE'!$B$11:$F$162,5,FALSE)))</f>
        <v>50</v>
      </c>
      <c r="X133" s="591"/>
      <c r="Y133" s="613">
        <f t="shared" si="42"/>
        <v>50</v>
      </c>
      <c r="Z133" s="769" t="s">
        <v>66</v>
      </c>
      <c r="AA133" s="575">
        <v>1</v>
      </c>
      <c r="AB133" s="584">
        <f>+IF(AA133="","",(VLOOKUP($C133,'EQUIP RATE SCHEDULE'!$B$11:$F$162,5,FALSE)))</f>
        <v>50</v>
      </c>
      <c r="AC133" s="591"/>
      <c r="AD133" s="613">
        <f t="shared" si="43"/>
        <v>50</v>
      </c>
      <c r="AE133" s="769" t="s">
        <v>66</v>
      </c>
      <c r="AF133" s="575">
        <v>1</v>
      </c>
      <c r="AG133" s="584">
        <f>+IF(AF133="","",(VLOOKUP($C133,'EQUIP RATE SCHEDULE'!$B$11:$F$162,5,FALSE)))</f>
        <v>50</v>
      </c>
      <c r="AH133" s="591"/>
      <c r="AI133" s="613">
        <f t="shared" si="44"/>
        <v>50</v>
      </c>
      <c r="AJ133" s="769" t="s">
        <v>66</v>
      </c>
      <c r="AK133" s="575">
        <v>1</v>
      </c>
      <c r="AL133" s="584">
        <f>+IF(AK133="","",(VLOOKUP($C133,'EQUIP RATE SCHEDULE'!$B$11:$F$162,5,FALSE)))</f>
        <v>50</v>
      </c>
      <c r="AM133" s="591"/>
      <c r="AN133" s="613">
        <f t="shared" si="45"/>
        <v>50</v>
      </c>
      <c r="AO133" s="769" t="s">
        <v>66</v>
      </c>
      <c r="AP133" s="575">
        <v>1</v>
      </c>
      <c r="AQ133" s="584">
        <f>+IF(AP133="","",(VLOOKUP($C133,'EQUIP RATE SCHEDULE'!$B$11:$F$162,5,FALSE)))</f>
        <v>50</v>
      </c>
      <c r="AR133" s="591"/>
      <c r="AS133" s="613">
        <f t="shared" si="46"/>
        <v>50</v>
      </c>
      <c r="AT133" s="769" t="s">
        <v>66</v>
      </c>
      <c r="AU133" s="575">
        <v>1</v>
      </c>
      <c r="AV133" s="584">
        <f>+IF(AU133="","",(VLOOKUP($C133,'EQUIP RATE SCHEDULE'!$B$11:$F$162,5,FALSE)))</f>
        <v>50</v>
      </c>
      <c r="AW133" s="591"/>
      <c r="AX133" s="613">
        <f t="shared" si="47"/>
        <v>50</v>
      </c>
      <c r="AY133" s="769" t="s">
        <v>66</v>
      </c>
      <c r="AZ133" s="575">
        <v>1</v>
      </c>
      <c r="BA133" s="584">
        <f>+IF(AZ133="","",(VLOOKUP($C133,'EQUIP RATE SCHEDULE'!$B$11:$F$162,5,FALSE)))</f>
        <v>50</v>
      </c>
      <c r="BB133" s="591"/>
      <c r="BC133" s="613">
        <f t="shared" si="48"/>
        <v>50</v>
      </c>
      <c r="BD133" s="769" t="s">
        <v>66</v>
      </c>
      <c r="BE133" s="575">
        <v>1</v>
      </c>
      <c r="BF133" s="584">
        <f>+IF(BE133="","",(VLOOKUP($C133,'EQUIP RATE SCHEDULE'!$B$11:$F$162,5,FALSE)))</f>
        <v>50</v>
      </c>
      <c r="BG133" s="591"/>
      <c r="BH133" s="613">
        <f t="shared" si="29"/>
        <v>50</v>
      </c>
      <c r="BI133" s="769" t="s">
        <v>66</v>
      </c>
      <c r="BJ133" s="575">
        <v>1</v>
      </c>
      <c r="BK133" s="584">
        <f>+IF(BJ133="","",(VLOOKUP($C133,'EQUIP RATE SCHEDULE'!$B$11:$F$162,5,FALSE)))</f>
        <v>50</v>
      </c>
      <c r="BL133" s="591"/>
      <c r="BM133" s="613">
        <f t="shared" si="30"/>
        <v>50</v>
      </c>
      <c r="BN133" s="769" t="s">
        <v>66</v>
      </c>
      <c r="BO133" s="575">
        <v>1</v>
      </c>
      <c r="BP133" s="584">
        <f>+IF(BO133="","",(VLOOKUP($C133,'EQUIP RATE SCHEDULE'!$B$11:$F$162,5,FALSE)))</f>
        <v>50</v>
      </c>
      <c r="BQ133" s="591"/>
      <c r="BR133" s="613">
        <f t="shared" si="31"/>
        <v>50</v>
      </c>
      <c r="BS133" s="769" t="s">
        <v>66</v>
      </c>
      <c r="BT133" s="575">
        <v>1</v>
      </c>
      <c r="BU133" s="584">
        <f>+IF(BT133="","",(VLOOKUP($C133,'EQUIP RATE SCHEDULE'!$B$11:$F$162,5,FALSE)))</f>
        <v>50</v>
      </c>
      <c r="BV133" s="591"/>
      <c r="BW133" s="613">
        <f t="shared" si="32"/>
        <v>50</v>
      </c>
      <c r="BX133" s="769" t="s">
        <v>66</v>
      </c>
      <c r="BY133" s="575">
        <v>1</v>
      </c>
      <c r="BZ133" s="584">
        <f>+IF(BY133="","",(VLOOKUP($C133,'EQUIP RATE SCHEDULE'!$B$11:$F$162,5,FALSE)))</f>
        <v>50</v>
      </c>
      <c r="CA133" s="591"/>
      <c r="CB133" s="613">
        <f t="shared" si="33"/>
        <v>50</v>
      </c>
      <c r="CC133" s="769" t="s">
        <v>66</v>
      </c>
      <c r="CD133" s="575">
        <v>1</v>
      </c>
      <c r="CE133" s="584">
        <f>+IF(CD133="","",(VLOOKUP($C133,'EQUIP RATE SCHEDULE'!$B$11:$F$162,5,FALSE)))</f>
        <v>50</v>
      </c>
      <c r="CF133" s="591"/>
      <c r="CG133" s="613">
        <f t="shared" si="34"/>
        <v>50</v>
      </c>
      <c r="CH133" s="769" t="s">
        <v>66</v>
      </c>
      <c r="CI133" s="575">
        <v>1</v>
      </c>
      <c r="CJ133" s="584">
        <f>+IF(CI133="","",(VLOOKUP($C133,'EQUIP RATE SCHEDULE'!$B$11:$F$162,5,FALSE)))</f>
        <v>50</v>
      </c>
      <c r="CK133" s="591"/>
      <c r="CL133" s="613">
        <f t="shared" si="35"/>
        <v>50</v>
      </c>
      <c r="CM133" s="769" t="s">
        <v>66</v>
      </c>
      <c r="CN133" s="575">
        <v>1</v>
      </c>
      <c r="CO133" s="584">
        <f>+IF(CN133="","",(VLOOKUP($C133,'EQUIP RATE SCHEDULE'!$B$11:$F$162,5,FALSE)))</f>
        <v>50</v>
      </c>
      <c r="CP133" s="591"/>
      <c r="CQ133" s="613">
        <f t="shared" si="36"/>
        <v>50</v>
      </c>
      <c r="CR133" s="769" t="s">
        <v>66</v>
      </c>
      <c r="CS133" s="575">
        <v>1</v>
      </c>
      <c r="CT133" s="584">
        <f>+IF(CS133="","",(VLOOKUP($C133,'EQUIP RATE SCHEDULE'!$B$11:$F$162,5,FALSE)))</f>
        <v>50</v>
      </c>
      <c r="CU133" s="591"/>
      <c r="CV133" s="613">
        <f t="shared" si="37"/>
        <v>50</v>
      </c>
      <c r="CW133" s="769" t="s">
        <v>66</v>
      </c>
      <c r="CX133" s="575">
        <v>1</v>
      </c>
      <c r="CY133" s="584">
        <f>+IF(CX133="","",(VLOOKUP($C133,'EQUIP RATE SCHEDULE'!$B$11:$F$162,5,FALSE)))</f>
        <v>50</v>
      </c>
      <c r="CZ133" s="591"/>
      <c r="DA133" s="613">
        <f t="shared" si="38"/>
        <v>50</v>
      </c>
    </row>
    <row r="134" spans="1:105" ht="15" x14ac:dyDescent="0.25">
      <c r="A134" s="1498"/>
      <c r="B134" s="809" t="s">
        <v>383</v>
      </c>
      <c r="C134" s="776" t="s">
        <v>1159</v>
      </c>
      <c r="D134" s="1492"/>
      <c r="E134" s="1490"/>
      <c r="F134" s="769" t="s">
        <v>67</v>
      </c>
      <c r="G134" s="575">
        <v>1</v>
      </c>
      <c r="H134" s="584">
        <f>+IF(G134="","",(VLOOKUP($C134,'EQUIP RATE SCHEDULE'!$B$11:$F$162,5,FALSE)))</f>
        <v>150</v>
      </c>
      <c r="I134" s="591"/>
      <c r="J134" s="613">
        <f t="shared" si="39"/>
        <v>150</v>
      </c>
      <c r="K134" s="769" t="s">
        <v>67</v>
      </c>
      <c r="L134" s="575">
        <v>1</v>
      </c>
      <c r="M134" s="584">
        <f>+IF(L134="","",(VLOOKUP($C134,'EQUIP RATE SCHEDULE'!$B$11:$F$162,5,FALSE)))</f>
        <v>150</v>
      </c>
      <c r="N134" s="591"/>
      <c r="O134" s="613">
        <f t="shared" si="40"/>
        <v>150</v>
      </c>
      <c r="P134" s="769" t="s">
        <v>67</v>
      </c>
      <c r="Q134" s="575">
        <v>1</v>
      </c>
      <c r="R134" s="584">
        <f>+IF(Q134="","",(VLOOKUP($C134,'EQUIP RATE SCHEDULE'!$B$11:$F$162,5,FALSE)))</f>
        <v>150</v>
      </c>
      <c r="S134" s="591"/>
      <c r="T134" s="613">
        <f t="shared" si="41"/>
        <v>150</v>
      </c>
      <c r="U134" s="769" t="s">
        <v>67</v>
      </c>
      <c r="V134" s="575">
        <v>1</v>
      </c>
      <c r="W134" s="584">
        <f>+IF(V134="","",(VLOOKUP($C134,'EQUIP RATE SCHEDULE'!$B$11:$F$162,5,FALSE)))</f>
        <v>150</v>
      </c>
      <c r="X134" s="591"/>
      <c r="Y134" s="613">
        <f t="shared" si="42"/>
        <v>150</v>
      </c>
      <c r="Z134" s="769" t="s">
        <v>67</v>
      </c>
      <c r="AA134" s="575">
        <v>1</v>
      </c>
      <c r="AB134" s="584">
        <f>+IF(AA134="","",(VLOOKUP($C134,'EQUIP RATE SCHEDULE'!$B$11:$F$162,5,FALSE)))</f>
        <v>150</v>
      </c>
      <c r="AC134" s="591"/>
      <c r="AD134" s="613">
        <f t="shared" si="43"/>
        <v>150</v>
      </c>
      <c r="AE134" s="769" t="s">
        <v>67</v>
      </c>
      <c r="AF134" s="575">
        <v>1</v>
      </c>
      <c r="AG134" s="584">
        <f>+IF(AF134="","",(VLOOKUP($C134,'EQUIP RATE SCHEDULE'!$B$11:$F$162,5,FALSE)))</f>
        <v>150</v>
      </c>
      <c r="AH134" s="591"/>
      <c r="AI134" s="613">
        <f t="shared" si="44"/>
        <v>150</v>
      </c>
      <c r="AJ134" s="769" t="s">
        <v>67</v>
      </c>
      <c r="AK134" s="575">
        <v>1</v>
      </c>
      <c r="AL134" s="584">
        <f>+IF(AK134="","",(VLOOKUP($C134,'EQUIP RATE SCHEDULE'!$B$11:$F$162,5,FALSE)))</f>
        <v>150</v>
      </c>
      <c r="AM134" s="591"/>
      <c r="AN134" s="613">
        <f t="shared" si="45"/>
        <v>150</v>
      </c>
      <c r="AO134" s="769" t="s">
        <v>67</v>
      </c>
      <c r="AP134" s="575">
        <v>1</v>
      </c>
      <c r="AQ134" s="584">
        <f>+IF(AP134="","",(VLOOKUP($C134,'EQUIP RATE SCHEDULE'!$B$11:$F$162,5,FALSE)))</f>
        <v>150</v>
      </c>
      <c r="AR134" s="591"/>
      <c r="AS134" s="613">
        <f t="shared" si="46"/>
        <v>150</v>
      </c>
      <c r="AT134" s="769" t="s">
        <v>67</v>
      </c>
      <c r="AU134" s="575">
        <v>1</v>
      </c>
      <c r="AV134" s="584">
        <f>+IF(AU134="","",(VLOOKUP($C134,'EQUIP RATE SCHEDULE'!$B$11:$F$162,5,FALSE)))</f>
        <v>150</v>
      </c>
      <c r="AW134" s="591"/>
      <c r="AX134" s="613">
        <f t="shared" si="47"/>
        <v>150</v>
      </c>
      <c r="AY134" s="769" t="s">
        <v>67</v>
      </c>
      <c r="AZ134" s="575">
        <v>1</v>
      </c>
      <c r="BA134" s="584">
        <f>+IF(AZ134="","",(VLOOKUP($C134,'EQUIP RATE SCHEDULE'!$B$11:$F$162,5,FALSE)))</f>
        <v>150</v>
      </c>
      <c r="BB134" s="591"/>
      <c r="BC134" s="613">
        <f t="shared" si="48"/>
        <v>150</v>
      </c>
      <c r="BD134" s="769" t="s">
        <v>67</v>
      </c>
      <c r="BE134" s="575">
        <v>1</v>
      </c>
      <c r="BF134" s="584">
        <f>+IF(BE134="","",(VLOOKUP($C134,'EQUIP RATE SCHEDULE'!$B$11:$F$162,5,FALSE)))</f>
        <v>150</v>
      </c>
      <c r="BG134" s="591"/>
      <c r="BH134" s="613">
        <f t="shared" si="29"/>
        <v>150</v>
      </c>
      <c r="BI134" s="769" t="s">
        <v>67</v>
      </c>
      <c r="BJ134" s="575">
        <v>1</v>
      </c>
      <c r="BK134" s="584">
        <f>+IF(BJ134="","",(VLOOKUP($C134,'EQUIP RATE SCHEDULE'!$B$11:$F$162,5,FALSE)))</f>
        <v>150</v>
      </c>
      <c r="BL134" s="591"/>
      <c r="BM134" s="613">
        <f t="shared" si="30"/>
        <v>150</v>
      </c>
      <c r="BN134" s="769" t="s">
        <v>67</v>
      </c>
      <c r="BO134" s="575">
        <v>1</v>
      </c>
      <c r="BP134" s="584">
        <f>+IF(BO134="","",(VLOOKUP($C134,'EQUIP RATE SCHEDULE'!$B$11:$F$162,5,FALSE)))</f>
        <v>150</v>
      </c>
      <c r="BQ134" s="591"/>
      <c r="BR134" s="613">
        <f t="shared" si="31"/>
        <v>150</v>
      </c>
      <c r="BS134" s="769" t="s">
        <v>67</v>
      </c>
      <c r="BT134" s="575">
        <v>1</v>
      </c>
      <c r="BU134" s="584">
        <f>+IF(BT134="","",(VLOOKUP($C134,'EQUIP RATE SCHEDULE'!$B$11:$F$162,5,FALSE)))</f>
        <v>150</v>
      </c>
      <c r="BV134" s="591"/>
      <c r="BW134" s="613">
        <f t="shared" si="32"/>
        <v>150</v>
      </c>
      <c r="BX134" s="769" t="s">
        <v>67</v>
      </c>
      <c r="BY134" s="575">
        <v>1</v>
      </c>
      <c r="BZ134" s="584">
        <f>+IF(BY134="","",(VLOOKUP($C134,'EQUIP RATE SCHEDULE'!$B$11:$F$162,5,FALSE)))</f>
        <v>150</v>
      </c>
      <c r="CA134" s="591"/>
      <c r="CB134" s="613">
        <f t="shared" si="33"/>
        <v>150</v>
      </c>
      <c r="CC134" s="769" t="s">
        <v>67</v>
      </c>
      <c r="CD134" s="575">
        <v>1</v>
      </c>
      <c r="CE134" s="584">
        <f>+IF(CD134="","",(VLOOKUP($C134,'EQUIP RATE SCHEDULE'!$B$11:$F$162,5,FALSE)))</f>
        <v>150</v>
      </c>
      <c r="CF134" s="591"/>
      <c r="CG134" s="613">
        <f t="shared" si="34"/>
        <v>150</v>
      </c>
      <c r="CH134" s="769" t="s">
        <v>67</v>
      </c>
      <c r="CI134" s="575">
        <v>1</v>
      </c>
      <c r="CJ134" s="584">
        <f>+IF(CI134="","",(VLOOKUP($C134,'EQUIP RATE SCHEDULE'!$B$11:$F$162,5,FALSE)))</f>
        <v>150</v>
      </c>
      <c r="CK134" s="591"/>
      <c r="CL134" s="613">
        <f t="shared" si="35"/>
        <v>150</v>
      </c>
      <c r="CM134" s="769" t="s">
        <v>67</v>
      </c>
      <c r="CN134" s="575">
        <v>1</v>
      </c>
      <c r="CO134" s="584">
        <f>+IF(CN134="","",(VLOOKUP($C134,'EQUIP RATE SCHEDULE'!$B$11:$F$162,5,FALSE)))</f>
        <v>150</v>
      </c>
      <c r="CP134" s="591"/>
      <c r="CQ134" s="613">
        <f t="shared" si="36"/>
        <v>150</v>
      </c>
      <c r="CR134" s="769" t="s">
        <v>67</v>
      </c>
      <c r="CS134" s="575">
        <v>1</v>
      </c>
      <c r="CT134" s="584">
        <f>+IF(CS134="","",(VLOOKUP($C134,'EQUIP RATE SCHEDULE'!$B$11:$F$162,5,FALSE)))</f>
        <v>150</v>
      </c>
      <c r="CU134" s="591"/>
      <c r="CV134" s="613">
        <f t="shared" si="37"/>
        <v>150</v>
      </c>
      <c r="CW134" s="769" t="s">
        <v>67</v>
      </c>
      <c r="CX134" s="575">
        <v>1</v>
      </c>
      <c r="CY134" s="584">
        <f>+IF(CX134="","",(VLOOKUP($C134,'EQUIP RATE SCHEDULE'!$B$11:$F$162,5,FALSE)))</f>
        <v>150</v>
      </c>
      <c r="CZ134" s="591"/>
      <c r="DA134" s="613">
        <f t="shared" si="38"/>
        <v>150</v>
      </c>
    </row>
    <row r="135" spans="1:105" ht="15" x14ac:dyDescent="0.25">
      <c r="A135" s="1498"/>
      <c r="B135" s="809" t="s">
        <v>383</v>
      </c>
      <c r="C135" s="776" t="s">
        <v>1160</v>
      </c>
      <c r="D135" s="784" t="s">
        <v>1161</v>
      </c>
      <c r="E135" s="785" t="s">
        <v>1162</v>
      </c>
      <c r="F135" s="774" t="s">
        <v>920</v>
      </c>
      <c r="G135" s="575">
        <v>1</v>
      </c>
      <c r="H135" s="584">
        <f>+IF(G135="","",(VLOOKUP($C135,'EQUIP RATE SCHEDULE'!$B$11:$F$162,5,FALSE)))</f>
        <v>225</v>
      </c>
      <c r="I135" s="591"/>
      <c r="J135" s="613">
        <f t="shared" si="39"/>
        <v>225</v>
      </c>
      <c r="K135" s="774" t="s">
        <v>920</v>
      </c>
      <c r="L135" s="575">
        <v>1</v>
      </c>
      <c r="M135" s="584">
        <f>+IF(L135="","",(VLOOKUP($C135,'EQUIP RATE SCHEDULE'!$B$11:$F$162,5,FALSE)))</f>
        <v>225</v>
      </c>
      <c r="N135" s="591"/>
      <c r="O135" s="613">
        <f t="shared" si="40"/>
        <v>225</v>
      </c>
      <c r="P135" s="774" t="s">
        <v>920</v>
      </c>
      <c r="Q135" s="575">
        <v>1</v>
      </c>
      <c r="R135" s="584">
        <f>+IF(Q135="","",(VLOOKUP($C135,'EQUIP RATE SCHEDULE'!$B$11:$F$162,5,FALSE)))</f>
        <v>225</v>
      </c>
      <c r="S135" s="591"/>
      <c r="T135" s="613">
        <f t="shared" si="41"/>
        <v>225</v>
      </c>
      <c r="U135" s="774" t="s">
        <v>920</v>
      </c>
      <c r="V135" s="575">
        <v>1</v>
      </c>
      <c r="W135" s="584">
        <f>+IF(V135="","",(VLOOKUP($C135,'EQUIP RATE SCHEDULE'!$B$11:$F$162,5,FALSE)))</f>
        <v>225</v>
      </c>
      <c r="X135" s="591"/>
      <c r="Y135" s="613">
        <f t="shared" si="42"/>
        <v>225</v>
      </c>
      <c r="Z135" s="774" t="s">
        <v>920</v>
      </c>
      <c r="AA135" s="575">
        <v>1</v>
      </c>
      <c r="AB135" s="584">
        <f>+IF(AA135="","",(VLOOKUP($C135,'EQUIP RATE SCHEDULE'!$B$11:$F$162,5,FALSE)))</f>
        <v>225</v>
      </c>
      <c r="AC135" s="591"/>
      <c r="AD135" s="613">
        <f t="shared" si="43"/>
        <v>225</v>
      </c>
      <c r="AE135" s="774" t="s">
        <v>920</v>
      </c>
      <c r="AF135" s="575">
        <v>1</v>
      </c>
      <c r="AG135" s="584">
        <f>+IF(AF135="","",(VLOOKUP($C135,'EQUIP RATE SCHEDULE'!$B$11:$F$162,5,FALSE)))</f>
        <v>225</v>
      </c>
      <c r="AH135" s="591"/>
      <c r="AI135" s="613">
        <f t="shared" si="44"/>
        <v>225</v>
      </c>
      <c r="AJ135" s="774" t="s">
        <v>920</v>
      </c>
      <c r="AK135" s="575">
        <v>1</v>
      </c>
      <c r="AL135" s="584">
        <f>+IF(AK135="","",(VLOOKUP($C135,'EQUIP RATE SCHEDULE'!$B$11:$F$162,5,FALSE)))</f>
        <v>225</v>
      </c>
      <c r="AM135" s="591"/>
      <c r="AN135" s="613">
        <f t="shared" si="45"/>
        <v>225</v>
      </c>
      <c r="AO135" s="774" t="s">
        <v>920</v>
      </c>
      <c r="AP135" s="575">
        <v>1</v>
      </c>
      <c r="AQ135" s="584">
        <f>+IF(AP135="","",(VLOOKUP($C135,'EQUIP RATE SCHEDULE'!$B$11:$F$162,5,FALSE)))</f>
        <v>225</v>
      </c>
      <c r="AR135" s="591"/>
      <c r="AS135" s="613">
        <f t="shared" si="46"/>
        <v>225</v>
      </c>
      <c r="AT135" s="774" t="s">
        <v>920</v>
      </c>
      <c r="AU135" s="575">
        <v>1</v>
      </c>
      <c r="AV135" s="584">
        <f>+IF(AU135="","",(VLOOKUP($C135,'EQUIP RATE SCHEDULE'!$B$11:$F$162,5,FALSE)))</f>
        <v>225</v>
      </c>
      <c r="AW135" s="591"/>
      <c r="AX135" s="613">
        <f t="shared" si="47"/>
        <v>225</v>
      </c>
      <c r="AY135" s="774" t="s">
        <v>920</v>
      </c>
      <c r="AZ135" s="575">
        <v>1</v>
      </c>
      <c r="BA135" s="584">
        <f>+IF(AZ135="","",(VLOOKUP($C135,'EQUIP RATE SCHEDULE'!$B$11:$F$162,5,FALSE)))</f>
        <v>225</v>
      </c>
      <c r="BB135" s="591"/>
      <c r="BC135" s="613">
        <f t="shared" si="48"/>
        <v>225</v>
      </c>
      <c r="BD135" s="774" t="s">
        <v>920</v>
      </c>
      <c r="BE135" s="575">
        <v>1</v>
      </c>
      <c r="BF135" s="584">
        <f>+IF(BE135="","",(VLOOKUP($C135,'EQUIP RATE SCHEDULE'!$B$11:$F$162,5,FALSE)))</f>
        <v>225</v>
      </c>
      <c r="BG135" s="591"/>
      <c r="BH135" s="613">
        <f t="shared" si="29"/>
        <v>225</v>
      </c>
      <c r="BI135" s="774" t="s">
        <v>920</v>
      </c>
      <c r="BJ135" s="575">
        <v>1</v>
      </c>
      <c r="BK135" s="584">
        <f>+IF(BJ135="","",(VLOOKUP($C135,'EQUIP RATE SCHEDULE'!$B$11:$F$162,5,FALSE)))</f>
        <v>225</v>
      </c>
      <c r="BL135" s="591"/>
      <c r="BM135" s="613">
        <f t="shared" si="30"/>
        <v>225</v>
      </c>
      <c r="BN135" s="774" t="s">
        <v>920</v>
      </c>
      <c r="BO135" s="575">
        <v>1</v>
      </c>
      <c r="BP135" s="584">
        <f>+IF(BO135="","",(VLOOKUP($C135,'EQUIP RATE SCHEDULE'!$B$11:$F$162,5,FALSE)))</f>
        <v>225</v>
      </c>
      <c r="BQ135" s="591"/>
      <c r="BR135" s="613">
        <f t="shared" si="31"/>
        <v>225</v>
      </c>
      <c r="BS135" s="774" t="s">
        <v>920</v>
      </c>
      <c r="BT135" s="575">
        <v>1</v>
      </c>
      <c r="BU135" s="584">
        <f>+IF(BT135="","",(VLOOKUP($C135,'EQUIP RATE SCHEDULE'!$B$11:$F$162,5,FALSE)))</f>
        <v>225</v>
      </c>
      <c r="BV135" s="591"/>
      <c r="BW135" s="613">
        <f t="shared" si="32"/>
        <v>225</v>
      </c>
      <c r="BX135" s="774" t="s">
        <v>920</v>
      </c>
      <c r="BY135" s="575">
        <v>1</v>
      </c>
      <c r="BZ135" s="584">
        <f>+IF(BY135="","",(VLOOKUP($C135,'EQUIP RATE SCHEDULE'!$B$11:$F$162,5,FALSE)))</f>
        <v>225</v>
      </c>
      <c r="CA135" s="591"/>
      <c r="CB135" s="613">
        <f t="shared" si="33"/>
        <v>225</v>
      </c>
      <c r="CC135" s="774" t="s">
        <v>920</v>
      </c>
      <c r="CD135" s="575">
        <v>1</v>
      </c>
      <c r="CE135" s="584">
        <f>+IF(CD135="","",(VLOOKUP($C135,'EQUIP RATE SCHEDULE'!$B$11:$F$162,5,FALSE)))</f>
        <v>225</v>
      </c>
      <c r="CF135" s="591"/>
      <c r="CG135" s="613">
        <f t="shared" si="34"/>
        <v>225</v>
      </c>
      <c r="CH135" s="774" t="s">
        <v>920</v>
      </c>
      <c r="CI135" s="575">
        <v>1</v>
      </c>
      <c r="CJ135" s="584">
        <f>+IF(CI135="","",(VLOOKUP($C135,'EQUIP RATE SCHEDULE'!$B$11:$F$162,5,FALSE)))</f>
        <v>225</v>
      </c>
      <c r="CK135" s="591"/>
      <c r="CL135" s="613">
        <f t="shared" si="35"/>
        <v>225</v>
      </c>
      <c r="CM135" s="774" t="s">
        <v>920</v>
      </c>
      <c r="CN135" s="575">
        <v>1</v>
      </c>
      <c r="CO135" s="584">
        <f>+IF(CN135="","",(VLOOKUP($C135,'EQUIP RATE SCHEDULE'!$B$11:$F$162,5,FALSE)))</f>
        <v>225</v>
      </c>
      <c r="CP135" s="591"/>
      <c r="CQ135" s="613">
        <f t="shared" si="36"/>
        <v>225</v>
      </c>
      <c r="CR135" s="774" t="s">
        <v>920</v>
      </c>
      <c r="CS135" s="575">
        <v>1</v>
      </c>
      <c r="CT135" s="584">
        <f>+IF(CS135="","",(VLOOKUP($C135,'EQUIP RATE SCHEDULE'!$B$11:$F$162,5,FALSE)))</f>
        <v>225</v>
      </c>
      <c r="CU135" s="591"/>
      <c r="CV135" s="613">
        <f t="shared" si="37"/>
        <v>225</v>
      </c>
      <c r="CW135" s="774" t="s">
        <v>920</v>
      </c>
      <c r="CX135" s="575">
        <v>1</v>
      </c>
      <c r="CY135" s="584">
        <f>+IF(CX135="","",(VLOOKUP($C135,'EQUIP RATE SCHEDULE'!$B$11:$F$162,5,FALSE)))</f>
        <v>225</v>
      </c>
      <c r="CZ135" s="591"/>
      <c r="DA135" s="613">
        <f t="shared" si="38"/>
        <v>225</v>
      </c>
    </row>
    <row r="136" spans="1:105" ht="15" x14ac:dyDescent="0.25">
      <c r="A136" s="1498"/>
      <c r="B136" s="809" t="s">
        <v>383</v>
      </c>
      <c r="C136" s="776" t="s">
        <v>1163</v>
      </c>
      <c r="D136" s="1491" t="s">
        <v>1164</v>
      </c>
      <c r="E136" s="1488" t="s">
        <v>1162</v>
      </c>
      <c r="F136" s="769" t="s">
        <v>66</v>
      </c>
      <c r="G136" s="575">
        <v>1</v>
      </c>
      <c r="H136" s="584">
        <f>+IF(G136="","",(VLOOKUP($C136,'EQUIP RATE SCHEDULE'!$B$11:$F$162,5,FALSE)))</f>
        <v>100</v>
      </c>
      <c r="I136" s="591"/>
      <c r="J136" s="613">
        <f t="shared" si="39"/>
        <v>100</v>
      </c>
      <c r="K136" s="769" t="s">
        <v>66</v>
      </c>
      <c r="L136" s="575">
        <v>1</v>
      </c>
      <c r="M136" s="584">
        <f>+IF(L136="","",(VLOOKUP($C136,'EQUIP RATE SCHEDULE'!$B$11:$F$162,5,FALSE)))</f>
        <v>100</v>
      </c>
      <c r="N136" s="591"/>
      <c r="O136" s="613">
        <f t="shared" si="40"/>
        <v>100</v>
      </c>
      <c r="P136" s="769" t="s">
        <v>66</v>
      </c>
      <c r="Q136" s="575">
        <v>1</v>
      </c>
      <c r="R136" s="584">
        <f>+IF(Q136="","",(VLOOKUP($C136,'EQUIP RATE SCHEDULE'!$B$11:$F$162,5,FALSE)))</f>
        <v>100</v>
      </c>
      <c r="S136" s="591"/>
      <c r="T136" s="613">
        <f t="shared" si="41"/>
        <v>100</v>
      </c>
      <c r="U136" s="769" t="s">
        <v>66</v>
      </c>
      <c r="V136" s="575">
        <v>1</v>
      </c>
      <c r="W136" s="584">
        <f>+IF(V136="","",(VLOOKUP($C136,'EQUIP RATE SCHEDULE'!$B$11:$F$162,5,FALSE)))</f>
        <v>100</v>
      </c>
      <c r="X136" s="591"/>
      <c r="Y136" s="613">
        <f t="shared" si="42"/>
        <v>100</v>
      </c>
      <c r="Z136" s="769" t="s">
        <v>66</v>
      </c>
      <c r="AA136" s="575">
        <v>1</v>
      </c>
      <c r="AB136" s="584">
        <f>+IF(AA136="","",(VLOOKUP($C136,'EQUIP RATE SCHEDULE'!$B$11:$F$162,5,FALSE)))</f>
        <v>100</v>
      </c>
      <c r="AC136" s="591"/>
      <c r="AD136" s="613">
        <f t="shared" si="43"/>
        <v>100</v>
      </c>
      <c r="AE136" s="769" t="s">
        <v>66</v>
      </c>
      <c r="AF136" s="575">
        <v>1</v>
      </c>
      <c r="AG136" s="584">
        <f>+IF(AF136="","",(VLOOKUP($C136,'EQUIP RATE SCHEDULE'!$B$11:$F$162,5,FALSE)))</f>
        <v>100</v>
      </c>
      <c r="AH136" s="591"/>
      <c r="AI136" s="613">
        <f t="shared" si="44"/>
        <v>100</v>
      </c>
      <c r="AJ136" s="769" t="s">
        <v>66</v>
      </c>
      <c r="AK136" s="575">
        <v>1</v>
      </c>
      <c r="AL136" s="584">
        <f>+IF(AK136="","",(VLOOKUP($C136,'EQUIP RATE SCHEDULE'!$B$11:$F$162,5,FALSE)))</f>
        <v>100</v>
      </c>
      <c r="AM136" s="591"/>
      <c r="AN136" s="613">
        <f t="shared" si="45"/>
        <v>100</v>
      </c>
      <c r="AO136" s="769" t="s">
        <v>66</v>
      </c>
      <c r="AP136" s="575">
        <v>1</v>
      </c>
      <c r="AQ136" s="584">
        <f>+IF(AP136="","",(VLOOKUP($C136,'EQUIP RATE SCHEDULE'!$B$11:$F$162,5,FALSE)))</f>
        <v>100</v>
      </c>
      <c r="AR136" s="591"/>
      <c r="AS136" s="613">
        <f t="shared" si="46"/>
        <v>100</v>
      </c>
      <c r="AT136" s="769" t="s">
        <v>66</v>
      </c>
      <c r="AU136" s="575">
        <v>1</v>
      </c>
      <c r="AV136" s="584">
        <f>+IF(AU136="","",(VLOOKUP($C136,'EQUIP RATE SCHEDULE'!$B$11:$F$162,5,FALSE)))</f>
        <v>100</v>
      </c>
      <c r="AW136" s="591"/>
      <c r="AX136" s="613">
        <f t="shared" si="47"/>
        <v>100</v>
      </c>
      <c r="AY136" s="769" t="s">
        <v>66</v>
      </c>
      <c r="AZ136" s="575">
        <v>1</v>
      </c>
      <c r="BA136" s="584">
        <f>+IF(AZ136="","",(VLOOKUP($C136,'EQUIP RATE SCHEDULE'!$B$11:$F$162,5,FALSE)))</f>
        <v>100</v>
      </c>
      <c r="BB136" s="591"/>
      <c r="BC136" s="613">
        <f t="shared" si="48"/>
        <v>100</v>
      </c>
      <c r="BD136" s="769" t="s">
        <v>66</v>
      </c>
      <c r="BE136" s="575">
        <v>1</v>
      </c>
      <c r="BF136" s="584">
        <f>+IF(BE136="","",(VLOOKUP($C136,'EQUIP RATE SCHEDULE'!$B$11:$F$162,5,FALSE)))</f>
        <v>100</v>
      </c>
      <c r="BG136" s="591"/>
      <c r="BH136" s="613">
        <f t="shared" si="29"/>
        <v>100</v>
      </c>
      <c r="BI136" s="769" t="s">
        <v>66</v>
      </c>
      <c r="BJ136" s="575">
        <v>1</v>
      </c>
      <c r="BK136" s="584">
        <f>+IF(BJ136="","",(VLOOKUP($C136,'EQUIP RATE SCHEDULE'!$B$11:$F$162,5,FALSE)))</f>
        <v>100</v>
      </c>
      <c r="BL136" s="591"/>
      <c r="BM136" s="613">
        <f t="shared" si="30"/>
        <v>100</v>
      </c>
      <c r="BN136" s="769" t="s">
        <v>66</v>
      </c>
      <c r="BO136" s="575">
        <v>1</v>
      </c>
      <c r="BP136" s="584">
        <f>+IF(BO136="","",(VLOOKUP($C136,'EQUIP RATE SCHEDULE'!$B$11:$F$162,5,FALSE)))</f>
        <v>100</v>
      </c>
      <c r="BQ136" s="591"/>
      <c r="BR136" s="613">
        <f t="shared" si="31"/>
        <v>100</v>
      </c>
      <c r="BS136" s="769" t="s">
        <v>66</v>
      </c>
      <c r="BT136" s="575">
        <v>1</v>
      </c>
      <c r="BU136" s="584">
        <f>+IF(BT136="","",(VLOOKUP($C136,'EQUIP RATE SCHEDULE'!$B$11:$F$162,5,FALSE)))</f>
        <v>100</v>
      </c>
      <c r="BV136" s="591"/>
      <c r="BW136" s="613">
        <f t="shared" si="32"/>
        <v>100</v>
      </c>
      <c r="BX136" s="769" t="s">
        <v>66</v>
      </c>
      <c r="BY136" s="575">
        <v>1</v>
      </c>
      <c r="BZ136" s="584">
        <f>+IF(BY136="","",(VLOOKUP($C136,'EQUIP RATE SCHEDULE'!$B$11:$F$162,5,FALSE)))</f>
        <v>100</v>
      </c>
      <c r="CA136" s="591"/>
      <c r="CB136" s="613">
        <f t="shared" si="33"/>
        <v>100</v>
      </c>
      <c r="CC136" s="769" t="s">
        <v>66</v>
      </c>
      <c r="CD136" s="575">
        <v>1</v>
      </c>
      <c r="CE136" s="584">
        <f>+IF(CD136="","",(VLOOKUP($C136,'EQUIP RATE SCHEDULE'!$B$11:$F$162,5,FALSE)))</f>
        <v>100</v>
      </c>
      <c r="CF136" s="591"/>
      <c r="CG136" s="613">
        <f t="shared" si="34"/>
        <v>100</v>
      </c>
      <c r="CH136" s="769" t="s">
        <v>66</v>
      </c>
      <c r="CI136" s="575">
        <v>1</v>
      </c>
      <c r="CJ136" s="584">
        <f>+IF(CI136="","",(VLOOKUP($C136,'EQUIP RATE SCHEDULE'!$B$11:$F$162,5,FALSE)))</f>
        <v>100</v>
      </c>
      <c r="CK136" s="591"/>
      <c r="CL136" s="613">
        <f t="shared" si="35"/>
        <v>100</v>
      </c>
      <c r="CM136" s="769" t="s">
        <v>66</v>
      </c>
      <c r="CN136" s="575">
        <v>1</v>
      </c>
      <c r="CO136" s="584">
        <f>+IF(CN136="","",(VLOOKUP($C136,'EQUIP RATE SCHEDULE'!$B$11:$F$162,5,FALSE)))</f>
        <v>100</v>
      </c>
      <c r="CP136" s="591"/>
      <c r="CQ136" s="613">
        <f t="shared" si="36"/>
        <v>100</v>
      </c>
      <c r="CR136" s="769" t="s">
        <v>66</v>
      </c>
      <c r="CS136" s="575">
        <v>1</v>
      </c>
      <c r="CT136" s="584">
        <f>+IF(CS136="","",(VLOOKUP($C136,'EQUIP RATE SCHEDULE'!$B$11:$F$162,5,FALSE)))</f>
        <v>100</v>
      </c>
      <c r="CU136" s="591"/>
      <c r="CV136" s="613">
        <f t="shared" si="37"/>
        <v>100</v>
      </c>
      <c r="CW136" s="769" t="s">
        <v>66</v>
      </c>
      <c r="CX136" s="575">
        <v>1</v>
      </c>
      <c r="CY136" s="584">
        <f>+IF(CX136="","",(VLOOKUP($C136,'EQUIP RATE SCHEDULE'!$B$11:$F$162,5,FALSE)))</f>
        <v>100</v>
      </c>
      <c r="CZ136" s="591"/>
      <c r="DA136" s="613">
        <f t="shared" si="38"/>
        <v>100</v>
      </c>
    </row>
    <row r="137" spans="1:105" ht="15" x14ac:dyDescent="0.25">
      <c r="A137" s="1498"/>
      <c r="B137" s="809" t="s">
        <v>383</v>
      </c>
      <c r="C137" s="776" t="s">
        <v>1165</v>
      </c>
      <c r="D137" s="1492"/>
      <c r="E137" s="1490"/>
      <c r="F137" s="769" t="s">
        <v>67</v>
      </c>
      <c r="G137" s="575">
        <v>1</v>
      </c>
      <c r="H137" s="584">
        <f>+IF(G137="","",(VLOOKUP($C137,'EQUIP RATE SCHEDULE'!$B$11:$F$162,5,FALSE)))</f>
        <v>300</v>
      </c>
      <c r="I137" s="591"/>
      <c r="J137" s="613">
        <f t="shared" si="39"/>
        <v>300</v>
      </c>
      <c r="K137" s="769" t="s">
        <v>67</v>
      </c>
      <c r="L137" s="575">
        <v>1</v>
      </c>
      <c r="M137" s="584">
        <f>+IF(L137="","",(VLOOKUP($C137,'EQUIP RATE SCHEDULE'!$B$11:$F$162,5,FALSE)))</f>
        <v>300</v>
      </c>
      <c r="N137" s="591"/>
      <c r="O137" s="613">
        <f t="shared" si="40"/>
        <v>300</v>
      </c>
      <c r="P137" s="769" t="s">
        <v>67</v>
      </c>
      <c r="Q137" s="575">
        <v>1</v>
      </c>
      <c r="R137" s="584">
        <f>+IF(Q137="","",(VLOOKUP($C137,'EQUIP RATE SCHEDULE'!$B$11:$F$162,5,FALSE)))</f>
        <v>300</v>
      </c>
      <c r="S137" s="591"/>
      <c r="T137" s="613">
        <f t="shared" si="41"/>
        <v>300</v>
      </c>
      <c r="U137" s="769" t="s">
        <v>67</v>
      </c>
      <c r="V137" s="575">
        <v>1</v>
      </c>
      <c r="W137" s="584">
        <f>+IF(V137="","",(VLOOKUP($C137,'EQUIP RATE SCHEDULE'!$B$11:$F$162,5,FALSE)))</f>
        <v>300</v>
      </c>
      <c r="X137" s="591"/>
      <c r="Y137" s="613">
        <f t="shared" si="42"/>
        <v>300</v>
      </c>
      <c r="Z137" s="769" t="s">
        <v>67</v>
      </c>
      <c r="AA137" s="575">
        <v>1</v>
      </c>
      <c r="AB137" s="584">
        <f>+IF(AA137="","",(VLOOKUP($C137,'EQUIP RATE SCHEDULE'!$B$11:$F$162,5,FALSE)))</f>
        <v>300</v>
      </c>
      <c r="AC137" s="591"/>
      <c r="AD137" s="613">
        <f t="shared" si="43"/>
        <v>300</v>
      </c>
      <c r="AE137" s="769" t="s">
        <v>67</v>
      </c>
      <c r="AF137" s="575">
        <v>1</v>
      </c>
      <c r="AG137" s="584">
        <f>+IF(AF137="","",(VLOOKUP($C137,'EQUIP RATE SCHEDULE'!$B$11:$F$162,5,FALSE)))</f>
        <v>300</v>
      </c>
      <c r="AH137" s="591"/>
      <c r="AI137" s="613">
        <f t="shared" si="44"/>
        <v>300</v>
      </c>
      <c r="AJ137" s="769" t="s">
        <v>67</v>
      </c>
      <c r="AK137" s="575">
        <v>1</v>
      </c>
      <c r="AL137" s="584">
        <f>+IF(AK137="","",(VLOOKUP($C137,'EQUIP RATE SCHEDULE'!$B$11:$F$162,5,FALSE)))</f>
        <v>300</v>
      </c>
      <c r="AM137" s="591"/>
      <c r="AN137" s="613">
        <f t="shared" si="45"/>
        <v>300</v>
      </c>
      <c r="AO137" s="769" t="s">
        <v>67</v>
      </c>
      <c r="AP137" s="575">
        <v>1</v>
      </c>
      <c r="AQ137" s="584">
        <f>+IF(AP137="","",(VLOOKUP($C137,'EQUIP RATE SCHEDULE'!$B$11:$F$162,5,FALSE)))</f>
        <v>300</v>
      </c>
      <c r="AR137" s="591"/>
      <c r="AS137" s="613">
        <f t="shared" si="46"/>
        <v>300</v>
      </c>
      <c r="AT137" s="769" t="s">
        <v>67</v>
      </c>
      <c r="AU137" s="575">
        <v>1</v>
      </c>
      <c r="AV137" s="584">
        <f>+IF(AU137="","",(VLOOKUP($C137,'EQUIP RATE SCHEDULE'!$B$11:$F$162,5,FALSE)))</f>
        <v>300</v>
      </c>
      <c r="AW137" s="591"/>
      <c r="AX137" s="613">
        <f t="shared" si="47"/>
        <v>300</v>
      </c>
      <c r="AY137" s="769" t="s">
        <v>67</v>
      </c>
      <c r="AZ137" s="575">
        <v>1</v>
      </c>
      <c r="BA137" s="584">
        <f>+IF(AZ137="","",(VLOOKUP($C137,'EQUIP RATE SCHEDULE'!$B$11:$F$162,5,FALSE)))</f>
        <v>300</v>
      </c>
      <c r="BB137" s="591"/>
      <c r="BC137" s="613">
        <f t="shared" si="48"/>
        <v>300</v>
      </c>
      <c r="BD137" s="769" t="s">
        <v>67</v>
      </c>
      <c r="BE137" s="575">
        <v>1</v>
      </c>
      <c r="BF137" s="584">
        <f>+IF(BE137="","",(VLOOKUP($C137,'EQUIP RATE SCHEDULE'!$B$11:$F$162,5,FALSE)))</f>
        <v>300</v>
      </c>
      <c r="BG137" s="591"/>
      <c r="BH137" s="613">
        <f t="shared" ref="BH137:BH153" si="49">+IF(BG$7="","",IF(BE137="","",(IF(BG137="",BF137*BE137,BG137*BE137))))</f>
        <v>300</v>
      </c>
      <c r="BI137" s="769" t="s">
        <v>67</v>
      </c>
      <c r="BJ137" s="575">
        <v>1</v>
      </c>
      <c r="BK137" s="584">
        <f>+IF(BJ137="","",(VLOOKUP($C137,'EQUIP RATE SCHEDULE'!$B$11:$F$162,5,FALSE)))</f>
        <v>300</v>
      </c>
      <c r="BL137" s="591"/>
      <c r="BM137" s="613">
        <f t="shared" ref="BM137:BM153" si="50">+IF(BL$7="","",IF(BJ137="","",(IF(BL137="",BK137*BJ137,BL137*BJ137))))</f>
        <v>300</v>
      </c>
      <c r="BN137" s="769" t="s">
        <v>67</v>
      </c>
      <c r="BO137" s="575">
        <v>1</v>
      </c>
      <c r="BP137" s="584">
        <f>+IF(BO137="","",(VLOOKUP($C137,'EQUIP RATE SCHEDULE'!$B$11:$F$162,5,FALSE)))</f>
        <v>300</v>
      </c>
      <c r="BQ137" s="591"/>
      <c r="BR137" s="613">
        <f t="shared" ref="BR137:BR153" si="51">+IF(BQ$7="","",IF(BO137="","",(IF(BQ137="",BP137*BO137,BQ137*BO137))))</f>
        <v>300</v>
      </c>
      <c r="BS137" s="769" t="s">
        <v>67</v>
      </c>
      <c r="BT137" s="575">
        <v>1</v>
      </c>
      <c r="BU137" s="584">
        <f>+IF(BT137="","",(VLOOKUP($C137,'EQUIP RATE SCHEDULE'!$B$11:$F$162,5,FALSE)))</f>
        <v>300</v>
      </c>
      <c r="BV137" s="591"/>
      <c r="BW137" s="613">
        <f t="shared" ref="BW137:BW153" si="52">+IF(BV$7="","",IF(BT137="","",(IF(BV137="",BU137*BT137,BV137*BT137))))</f>
        <v>300</v>
      </c>
      <c r="BX137" s="769" t="s">
        <v>67</v>
      </c>
      <c r="BY137" s="575">
        <v>1</v>
      </c>
      <c r="BZ137" s="584">
        <f>+IF(BY137="","",(VLOOKUP($C137,'EQUIP RATE SCHEDULE'!$B$11:$F$162,5,FALSE)))</f>
        <v>300</v>
      </c>
      <c r="CA137" s="591"/>
      <c r="CB137" s="613">
        <f t="shared" ref="CB137:CB153" si="53">+IF(CA$7="","",IF(BY137="","",(IF(CA137="",BZ137*BY137,CA137*BY137))))</f>
        <v>300</v>
      </c>
      <c r="CC137" s="769" t="s">
        <v>67</v>
      </c>
      <c r="CD137" s="575">
        <v>1</v>
      </c>
      <c r="CE137" s="584">
        <f>+IF(CD137="","",(VLOOKUP($C137,'EQUIP RATE SCHEDULE'!$B$11:$F$162,5,FALSE)))</f>
        <v>300</v>
      </c>
      <c r="CF137" s="591"/>
      <c r="CG137" s="613">
        <f t="shared" ref="CG137:CG153" si="54">+IF(CF$7="","",IF(CD137="","",(IF(CF137="",CE137*CD137,CF137*CD137))))</f>
        <v>300</v>
      </c>
      <c r="CH137" s="769" t="s">
        <v>67</v>
      </c>
      <c r="CI137" s="575">
        <v>1</v>
      </c>
      <c r="CJ137" s="584">
        <f>+IF(CI137="","",(VLOOKUP($C137,'EQUIP RATE SCHEDULE'!$B$11:$F$162,5,FALSE)))</f>
        <v>300</v>
      </c>
      <c r="CK137" s="591"/>
      <c r="CL137" s="613">
        <f t="shared" ref="CL137:CL153" si="55">+IF(CK$7="","",IF(CI137="","",(IF(CK137="",CJ137*CI137,CK137*CI137))))</f>
        <v>300</v>
      </c>
      <c r="CM137" s="769" t="s">
        <v>67</v>
      </c>
      <c r="CN137" s="575">
        <v>1</v>
      </c>
      <c r="CO137" s="584">
        <f>+IF(CN137="","",(VLOOKUP($C137,'EQUIP RATE SCHEDULE'!$B$11:$F$162,5,FALSE)))</f>
        <v>300</v>
      </c>
      <c r="CP137" s="591"/>
      <c r="CQ137" s="613">
        <f t="shared" ref="CQ137:CQ153" si="56">+IF(CP$7="","",IF(CN137="","",(IF(CP137="",CO137*CN137,CP137*CN137))))</f>
        <v>300</v>
      </c>
      <c r="CR137" s="769" t="s">
        <v>67</v>
      </c>
      <c r="CS137" s="575">
        <v>1</v>
      </c>
      <c r="CT137" s="584">
        <f>+IF(CS137="","",(VLOOKUP($C137,'EQUIP RATE SCHEDULE'!$B$11:$F$162,5,FALSE)))</f>
        <v>300</v>
      </c>
      <c r="CU137" s="591"/>
      <c r="CV137" s="613">
        <f t="shared" ref="CV137:CV153" si="57">+IF(CU$7="","",IF(CS137="","",(IF(CU137="",CT137*CS137,CU137*CS137))))</f>
        <v>300</v>
      </c>
      <c r="CW137" s="769" t="s">
        <v>67</v>
      </c>
      <c r="CX137" s="575">
        <v>1</v>
      </c>
      <c r="CY137" s="584">
        <f>+IF(CX137="","",(VLOOKUP($C137,'EQUIP RATE SCHEDULE'!$B$11:$F$162,5,FALSE)))</f>
        <v>300</v>
      </c>
      <c r="CZ137" s="591"/>
      <c r="DA137" s="613">
        <f t="shared" ref="DA137:DA153" si="58">+IF(CZ$7="","",IF(CX137="","",(IF(CZ137="",CY137*CX137,CZ137*CX137))))</f>
        <v>300</v>
      </c>
    </row>
    <row r="138" spans="1:105" ht="15" x14ac:dyDescent="0.25">
      <c r="A138" s="1498"/>
      <c r="B138" s="809" t="s">
        <v>522</v>
      </c>
      <c r="C138" s="776" t="s">
        <v>1166</v>
      </c>
      <c r="D138" s="1505" t="s">
        <v>1167</v>
      </c>
      <c r="E138" s="1507" t="s">
        <v>1168</v>
      </c>
      <c r="F138" s="769" t="s">
        <v>66</v>
      </c>
      <c r="G138" s="575">
        <v>1</v>
      </c>
      <c r="H138" s="584">
        <f>+IF(G138="","",(VLOOKUP($C138,'EQUIP RATE SCHEDULE'!$B$11:$F$162,5,FALSE)))</f>
        <v>50</v>
      </c>
      <c r="I138" s="591"/>
      <c r="J138" s="613">
        <f t="shared" si="39"/>
        <v>50</v>
      </c>
      <c r="K138" s="769" t="s">
        <v>66</v>
      </c>
      <c r="L138" s="575">
        <v>1</v>
      </c>
      <c r="M138" s="584">
        <f>+IF(L138="","",(VLOOKUP($C138,'EQUIP RATE SCHEDULE'!$B$11:$F$162,5,FALSE)))</f>
        <v>50</v>
      </c>
      <c r="N138" s="591"/>
      <c r="O138" s="613">
        <f t="shared" si="40"/>
        <v>50</v>
      </c>
      <c r="P138" s="769" t="s">
        <v>66</v>
      </c>
      <c r="Q138" s="575">
        <v>1</v>
      </c>
      <c r="R138" s="584">
        <f>+IF(Q138="","",(VLOOKUP($C138,'EQUIP RATE SCHEDULE'!$B$11:$F$162,5,FALSE)))</f>
        <v>50</v>
      </c>
      <c r="S138" s="591"/>
      <c r="T138" s="613">
        <f t="shared" si="41"/>
        <v>50</v>
      </c>
      <c r="U138" s="769" t="s">
        <v>66</v>
      </c>
      <c r="V138" s="575">
        <v>1</v>
      </c>
      <c r="W138" s="584">
        <f>+IF(V138="","",(VLOOKUP($C138,'EQUIP RATE SCHEDULE'!$B$11:$F$162,5,FALSE)))</f>
        <v>50</v>
      </c>
      <c r="X138" s="591"/>
      <c r="Y138" s="613">
        <f t="shared" si="42"/>
        <v>50</v>
      </c>
      <c r="Z138" s="769" t="s">
        <v>66</v>
      </c>
      <c r="AA138" s="575">
        <v>1</v>
      </c>
      <c r="AB138" s="584">
        <f>+IF(AA138="","",(VLOOKUP($C138,'EQUIP RATE SCHEDULE'!$B$11:$F$162,5,FALSE)))</f>
        <v>50</v>
      </c>
      <c r="AC138" s="591"/>
      <c r="AD138" s="613">
        <f t="shared" si="43"/>
        <v>50</v>
      </c>
      <c r="AE138" s="769" t="s">
        <v>66</v>
      </c>
      <c r="AF138" s="575">
        <v>1</v>
      </c>
      <c r="AG138" s="584">
        <f>+IF(AF138="","",(VLOOKUP($C138,'EQUIP RATE SCHEDULE'!$B$11:$F$162,5,FALSE)))</f>
        <v>50</v>
      </c>
      <c r="AH138" s="591"/>
      <c r="AI138" s="613">
        <f t="shared" si="44"/>
        <v>50</v>
      </c>
      <c r="AJ138" s="769" t="s">
        <v>66</v>
      </c>
      <c r="AK138" s="575">
        <v>1</v>
      </c>
      <c r="AL138" s="584">
        <f>+IF(AK138="","",(VLOOKUP($C138,'EQUIP RATE SCHEDULE'!$B$11:$F$162,5,FALSE)))</f>
        <v>50</v>
      </c>
      <c r="AM138" s="591"/>
      <c r="AN138" s="613">
        <f t="shared" si="45"/>
        <v>50</v>
      </c>
      <c r="AO138" s="769" t="s">
        <v>66</v>
      </c>
      <c r="AP138" s="575">
        <v>1</v>
      </c>
      <c r="AQ138" s="584">
        <f>+IF(AP138="","",(VLOOKUP($C138,'EQUIP RATE SCHEDULE'!$B$11:$F$162,5,FALSE)))</f>
        <v>50</v>
      </c>
      <c r="AR138" s="591"/>
      <c r="AS138" s="613">
        <f t="shared" si="46"/>
        <v>50</v>
      </c>
      <c r="AT138" s="769" t="s">
        <v>66</v>
      </c>
      <c r="AU138" s="575">
        <v>1</v>
      </c>
      <c r="AV138" s="584">
        <f>+IF(AU138="","",(VLOOKUP($C138,'EQUIP RATE SCHEDULE'!$B$11:$F$162,5,FALSE)))</f>
        <v>50</v>
      </c>
      <c r="AW138" s="591"/>
      <c r="AX138" s="613">
        <f t="shared" si="47"/>
        <v>50</v>
      </c>
      <c r="AY138" s="769" t="s">
        <v>66</v>
      </c>
      <c r="AZ138" s="575">
        <v>1</v>
      </c>
      <c r="BA138" s="584">
        <f>+IF(AZ138="","",(VLOOKUP($C138,'EQUIP RATE SCHEDULE'!$B$11:$F$162,5,FALSE)))</f>
        <v>50</v>
      </c>
      <c r="BB138" s="591"/>
      <c r="BC138" s="613">
        <f t="shared" si="48"/>
        <v>50</v>
      </c>
      <c r="BD138" s="769" t="s">
        <v>66</v>
      </c>
      <c r="BE138" s="575">
        <v>1</v>
      </c>
      <c r="BF138" s="584">
        <f>+IF(BE138="","",(VLOOKUP($C138,'EQUIP RATE SCHEDULE'!$B$11:$F$162,5,FALSE)))</f>
        <v>50</v>
      </c>
      <c r="BG138" s="591"/>
      <c r="BH138" s="613">
        <f t="shared" si="49"/>
        <v>50</v>
      </c>
      <c r="BI138" s="769" t="s">
        <v>66</v>
      </c>
      <c r="BJ138" s="575">
        <v>1</v>
      </c>
      <c r="BK138" s="584">
        <f>+IF(BJ138="","",(VLOOKUP($C138,'EQUIP RATE SCHEDULE'!$B$11:$F$162,5,FALSE)))</f>
        <v>50</v>
      </c>
      <c r="BL138" s="591"/>
      <c r="BM138" s="613">
        <f t="shared" si="50"/>
        <v>50</v>
      </c>
      <c r="BN138" s="769" t="s">
        <v>66</v>
      </c>
      <c r="BO138" s="575">
        <v>1</v>
      </c>
      <c r="BP138" s="584">
        <f>+IF(BO138="","",(VLOOKUP($C138,'EQUIP RATE SCHEDULE'!$B$11:$F$162,5,FALSE)))</f>
        <v>50</v>
      </c>
      <c r="BQ138" s="591"/>
      <c r="BR138" s="613">
        <f t="shared" si="51"/>
        <v>50</v>
      </c>
      <c r="BS138" s="769" t="s">
        <v>66</v>
      </c>
      <c r="BT138" s="575">
        <v>1</v>
      </c>
      <c r="BU138" s="584">
        <f>+IF(BT138="","",(VLOOKUP($C138,'EQUIP RATE SCHEDULE'!$B$11:$F$162,5,FALSE)))</f>
        <v>50</v>
      </c>
      <c r="BV138" s="591"/>
      <c r="BW138" s="613">
        <f t="shared" si="52"/>
        <v>50</v>
      </c>
      <c r="BX138" s="769" t="s">
        <v>66</v>
      </c>
      <c r="BY138" s="575">
        <v>1</v>
      </c>
      <c r="BZ138" s="584">
        <f>+IF(BY138="","",(VLOOKUP($C138,'EQUIP RATE SCHEDULE'!$B$11:$F$162,5,FALSE)))</f>
        <v>50</v>
      </c>
      <c r="CA138" s="591"/>
      <c r="CB138" s="613">
        <f t="shared" si="53"/>
        <v>50</v>
      </c>
      <c r="CC138" s="769" t="s">
        <v>66</v>
      </c>
      <c r="CD138" s="575">
        <v>1</v>
      </c>
      <c r="CE138" s="584">
        <f>+IF(CD138="","",(VLOOKUP($C138,'EQUIP RATE SCHEDULE'!$B$11:$F$162,5,FALSE)))</f>
        <v>50</v>
      </c>
      <c r="CF138" s="591"/>
      <c r="CG138" s="613">
        <f t="shared" si="54"/>
        <v>50</v>
      </c>
      <c r="CH138" s="769" t="s">
        <v>66</v>
      </c>
      <c r="CI138" s="575">
        <v>1</v>
      </c>
      <c r="CJ138" s="584">
        <f>+IF(CI138="","",(VLOOKUP($C138,'EQUIP RATE SCHEDULE'!$B$11:$F$162,5,FALSE)))</f>
        <v>50</v>
      </c>
      <c r="CK138" s="591"/>
      <c r="CL138" s="613">
        <f t="shared" si="55"/>
        <v>50</v>
      </c>
      <c r="CM138" s="769" t="s">
        <v>66</v>
      </c>
      <c r="CN138" s="575">
        <v>1</v>
      </c>
      <c r="CO138" s="584">
        <f>+IF(CN138="","",(VLOOKUP($C138,'EQUIP RATE SCHEDULE'!$B$11:$F$162,5,FALSE)))</f>
        <v>50</v>
      </c>
      <c r="CP138" s="591"/>
      <c r="CQ138" s="613">
        <f t="shared" si="56"/>
        <v>50</v>
      </c>
      <c r="CR138" s="769" t="s">
        <v>66</v>
      </c>
      <c r="CS138" s="575">
        <v>1</v>
      </c>
      <c r="CT138" s="584">
        <f>+IF(CS138="","",(VLOOKUP($C138,'EQUIP RATE SCHEDULE'!$B$11:$F$162,5,FALSE)))</f>
        <v>50</v>
      </c>
      <c r="CU138" s="591"/>
      <c r="CV138" s="613">
        <f t="shared" si="57"/>
        <v>50</v>
      </c>
      <c r="CW138" s="769" t="s">
        <v>66</v>
      </c>
      <c r="CX138" s="575">
        <v>1</v>
      </c>
      <c r="CY138" s="584">
        <f>+IF(CX138="","",(VLOOKUP($C138,'EQUIP RATE SCHEDULE'!$B$11:$F$162,5,FALSE)))</f>
        <v>50</v>
      </c>
      <c r="CZ138" s="591"/>
      <c r="DA138" s="613">
        <f t="shared" si="58"/>
        <v>50</v>
      </c>
    </row>
    <row r="139" spans="1:105" ht="15" x14ac:dyDescent="0.25">
      <c r="A139" s="1498"/>
      <c r="B139" s="809" t="s">
        <v>522</v>
      </c>
      <c r="C139" s="776" t="s">
        <v>1170</v>
      </c>
      <c r="D139" s="1506"/>
      <c r="E139" s="1508"/>
      <c r="F139" s="769" t="s">
        <v>67</v>
      </c>
      <c r="G139" s="575">
        <v>1</v>
      </c>
      <c r="H139" s="584">
        <f>+IF(G139="","",(VLOOKUP($C139,'EQUIP RATE SCHEDULE'!$B$11:$F$162,5,FALSE)))</f>
        <v>200</v>
      </c>
      <c r="I139" s="591"/>
      <c r="J139" s="613">
        <f t="shared" si="39"/>
        <v>200</v>
      </c>
      <c r="K139" s="769" t="s">
        <v>67</v>
      </c>
      <c r="L139" s="575">
        <v>1</v>
      </c>
      <c r="M139" s="584">
        <f>+IF(L139="","",(VLOOKUP($C139,'EQUIP RATE SCHEDULE'!$B$11:$F$162,5,FALSE)))</f>
        <v>200</v>
      </c>
      <c r="N139" s="591"/>
      <c r="O139" s="613">
        <f t="shared" si="40"/>
        <v>200</v>
      </c>
      <c r="P139" s="769" t="s">
        <v>67</v>
      </c>
      <c r="Q139" s="575">
        <v>1</v>
      </c>
      <c r="R139" s="584">
        <f>+IF(Q139="","",(VLOOKUP($C139,'EQUIP RATE SCHEDULE'!$B$11:$F$162,5,FALSE)))</f>
        <v>200</v>
      </c>
      <c r="S139" s="591"/>
      <c r="T139" s="613">
        <f t="shared" si="41"/>
        <v>200</v>
      </c>
      <c r="U139" s="769" t="s">
        <v>67</v>
      </c>
      <c r="V139" s="575">
        <v>1</v>
      </c>
      <c r="W139" s="584">
        <f>+IF(V139="","",(VLOOKUP($C139,'EQUIP RATE SCHEDULE'!$B$11:$F$162,5,FALSE)))</f>
        <v>200</v>
      </c>
      <c r="X139" s="591"/>
      <c r="Y139" s="613">
        <f t="shared" si="42"/>
        <v>200</v>
      </c>
      <c r="Z139" s="769" t="s">
        <v>67</v>
      </c>
      <c r="AA139" s="575">
        <v>1</v>
      </c>
      <c r="AB139" s="584">
        <f>+IF(AA139="","",(VLOOKUP($C139,'EQUIP RATE SCHEDULE'!$B$11:$F$162,5,FALSE)))</f>
        <v>200</v>
      </c>
      <c r="AC139" s="591"/>
      <c r="AD139" s="613">
        <f t="shared" si="43"/>
        <v>200</v>
      </c>
      <c r="AE139" s="769" t="s">
        <v>67</v>
      </c>
      <c r="AF139" s="575">
        <v>1</v>
      </c>
      <c r="AG139" s="584">
        <f>+IF(AF139="","",(VLOOKUP($C139,'EQUIP RATE SCHEDULE'!$B$11:$F$162,5,FALSE)))</f>
        <v>200</v>
      </c>
      <c r="AH139" s="591"/>
      <c r="AI139" s="613">
        <f t="shared" si="44"/>
        <v>200</v>
      </c>
      <c r="AJ139" s="769" t="s">
        <v>67</v>
      </c>
      <c r="AK139" s="575">
        <v>1</v>
      </c>
      <c r="AL139" s="584">
        <f>+IF(AK139="","",(VLOOKUP($C139,'EQUIP RATE SCHEDULE'!$B$11:$F$162,5,FALSE)))</f>
        <v>200</v>
      </c>
      <c r="AM139" s="591"/>
      <c r="AN139" s="613">
        <f t="shared" si="45"/>
        <v>200</v>
      </c>
      <c r="AO139" s="769" t="s">
        <v>67</v>
      </c>
      <c r="AP139" s="575">
        <v>1</v>
      </c>
      <c r="AQ139" s="584">
        <f>+IF(AP139="","",(VLOOKUP($C139,'EQUIP RATE SCHEDULE'!$B$11:$F$162,5,FALSE)))</f>
        <v>200</v>
      </c>
      <c r="AR139" s="591"/>
      <c r="AS139" s="613">
        <f t="shared" si="46"/>
        <v>200</v>
      </c>
      <c r="AT139" s="769" t="s">
        <v>67</v>
      </c>
      <c r="AU139" s="575">
        <v>1</v>
      </c>
      <c r="AV139" s="584">
        <f>+IF(AU139="","",(VLOOKUP($C139,'EQUIP RATE SCHEDULE'!$B$11:$F$162,5,FALSE)))</f>
        <v>200</v>
      </c>
      <c r="AW139" s="591"/>
      <c r="AX139" s="613">
        <f t="shared" si="47"/>
        <v>200</v>
      </c>
      <c r="AY139" s="769" t="s">
        <v>67</v>
      </c>
      <c r="AZ139" s="575">
        <v>1</v>
      </c>
      <c r="BA139" s="584">
        <f>+IF(AZ139="","",(VLOOKUP($C139,'EQUIP RATE SCHEDULE'!$B$11:$F$162,5,FALSE)))</f>
        <v>200</v>
      </c>
      <c r="BB139" s="591"/>
      <c r="BC139" s="613">
        <f t="shared" si="48"/>
        <v>200</v>
      </c>
      <c r="BD139" s="769" t="s">
        <v>67</v>
      </c>
      <c r="BE139" s="575">
        <v>1</v>
      </c>
      <c r="BF139" s="584">
        <f>+IF(BE139="","",(VLOOKUP($C139,'EQUIP RATE SCHEDULE'!$B$11:$F$162,5,FALSE)))</f>
        <v>200</v>
      </c>
      <c r="BG139" s="591"/>
      <c r="BH139" s="613">
        <f t="shared" si="49"/>
        <v>200</v>
      </c>
      <c r="BI139" s="769" t="s">
        <v>67</v>
      </c>
      <c r="BJ139" s="575">
        <v>1</v>
      </c>
      <c r="BK139" s="584">
        <f>+IF(BJ139="","",(VLOOKUP($C139,'EQUIP RATE SCHEDULE'!$B$11:$F$162,5,FALSE)))</f>
        <v>200</v>
      </c>
      <c r="BL139" s="591"/>
      <c r="BM139" s="613">
        <f t="shared" si="50"/>
        <v>200</v>
      </c>
      <c r="BN139" s="769" t="s">
        <v>67</v>
      </c>
      <c r="BO139" s="575">
        <v>1</v>
      </c>
      <c r="BP139" s="584">
        <f>+IF(BO139="","",(VLOOKUP($C139,'EQUIP RATE SCHEDULE'!$B$11:$F$162,5,FALSE)))</f>
        <v>200</v>
      </c>
      <c r="BQ139" s="591"/>
      <c r="BR139" s="613">
        <f t="shared" si="51"/>
        <v>200</v>
      </c>
      <c r="BS139" s="769" t="s">
        <v>67</v>
      </c>
      <c r="BT139" s="575"/>
      <c r="BU139" s="584" t="str">
        <f>+IF(BT139="","",(VLOOKUP($C139,'EQUIP RATE SCHEDULE'!$B$11:$F$162,5,FALSE)))</f>
        <v/>
      </c>
      <c r="BV139" s="591"/>
      <c r="BW139" s="613" t="str">
        <f t="shared" si="52"/>
        <v/>
      </c>
      <c r="BX139" s="769" t="s">
        <v>67</v>
      </c>
      <c r="BY139" s="575">
        <v>1</v>
      </c>
      <c r="BZ139" s="584">
        <f>+IF(BY139="","",(VLOOKUP($C139,'EQUIP RATE SCHEDULE'!$B$11:$F$162,5,FALSE)))</f>
        <v>200</v>
      </c>
      <c r="CA139" s="591"/>
      <c r="CB139" s="613">
        <f t="shared" si="53"/>
        <v>200</v>
      </c>
      <c r="CC139" s="769" t="s">
        <v>67</v>
      </c>
      <c r="CD139" s="575">
        <v>1</v>
      </c>
      <c r="CE139" s="584">
        <f>+IF(CD139="","",(VLOOKUP($C139,'EQUIP RATE SCHEDULE'!$B$11:$F$162,5,FALSE)))</f>
        <v>200</v>
      </c>
      <c r="CF139" s="591"/>
      <c r="CG139" s="613">
        <f t="shared" si="54"/>
        <v>200</v>
      </c>
      <c r="CH139" s="769" t="s">
        <v>67</v>
      </c>
      <c r="CI139" s="575">
        <v>1</v>
      </c>
      <c r="CJ139" s="584">
        <f>+IF(CI139="","",(VLOOKUP($C139,'EQUIP RATE SCHEDULE'!$B$11:$F$162,5,FALSE)))</f>
        <v>200</v>
      </c>
      <c r="CK139" s="591"/>
      <c r="CL139" s="613">
        <f t="shared" si="55"/>
        <v>200</v>
      </c>
      <c r="CM139" s="769" t="s">
        <v>67</v>
      </c>
      <c r="CN139" s="575">
        <v>1</v>
      </c>
      <c r="CO139" s="584">
        <f>+IF(CN139="","",(VLOOKUP($C139,'EQUIP RATE SCHEDULE'!$B$11:$F$162,5,FALSE)))</f>
        <v>200</v>
      </c>
      <c r="CP139" s="591"/>
      <c r="CQ139" s="613">
        <f t="shared" si="56"/>
        <v>200</v>
      </c>
      <c r="CR139" s="769" t="s">
        <v>67</v>
      </c>
      <c r="CS139" s="575">
        <v>1</v>
      </c>
      <c r="CT139" s="584">
        <f>+IF(CS139="","",(VLOOKUP($C139,'EQUIP RATE SCHEDULE'!$B$11:$F$162,5,FALSE)))</f>
        <v>200</v>
      </c>
      <c r="CU139" s="591"/>
      <c r="CV139" s="613">
        <f t="shared" si="57"/>
        <v>200</v>
      </c>
      <c r="CW139" s="769" t="s">
        <v>67</v>
      </c>
      <c r="CX139" s="575">
        <v>1</v>
      </c>
      <c r="CY139" s="584">
        <f>+IF(CX139="","",(VLOOKUP($C139,'EQUIP RATE SCHEDULE'!$B$11:$F$162,5,FALSE)))</f>
        <v>200</v>
      </c>
      <c r="CZ139" s="591"/>
      <c r="DA139" s="613">
        <f t="shared" si="58"/>
        <v>200</v>
      </c>
    </row>
    <row r="140" spans="1:105" ht="28.9" customHeight="1" x14ac:dyDescent="0.25">
      <c r="A140" s="1498"/>
      <c r="B140" s="809" t="s">
        <v>522</v>
      </c>
      <c r="C140" s="776" t="s">
        <v>1172</v>
      </c>
      <c r="D140" s="1491" t="s">
        <v>1173</v>
      </c>
      <c r="E140" s="1488" t="s">
        <v>1174</v>
      </c>
      <c r="F140" s="769" t="s">
        <v>66</v>
      </c>
      <c r="G140" s="575">
        <v>1</v>
      </c>
      <c r="H140" s="584">
        <f>+IF(G140="","",(VLOOKUP($C140,'EQUIP RATE SCHEDULE'!$B$11:$F$162,5,FALSE)))</f>
        <v>50</v>
      </c>
      <c r="I140" s="591"/>
      <c r="J140" s="613">
        <f t="shared" si="39"/>
        <v>50</v>
      </c>
      <c r="K140" s="769" t="s">
        <v>66</v>
      </c>
      <c r="L140" s="575">
        <v>1</v>
      </c>
      <c r="M140" s="584">
        <f>+IF(L140="","",(VLOOKUP($C140,'EQUIP RATE SCHEDULE'!$B$11:$F$162,5,FALSE)))</f>
        <v>50</v>
      </c>
      <c r="N140" s="591"/>
      <c r="O140" s="613">
        <f t="shared" si="40"/>
        <v>50</v>
      </c>
      <c r="P140" s="769" t="s">
        <v>66</v>
      </c>
      <c r="Q140" s="575">
        <v>1</v>
      </c>
      <c r="R140" s="584">
        <f>+IF(Q140="","",(VLOOKUP($C140,'EQUIP RATE SCHEDULE'!$B$11:$F$162,5,FALSE)))</f>
        <v>50</v>
      </c>
      <c r="S140" s="591"/>
      <c r="T140" s="613">
        <f t="shared" si="41"/>
        <v>50</v>
      </c>
      <c r="U140" s="769" t="s">
        <v>66</v>
      </c>
      <c r="V140" s="575">
        <v>1</v>
      </c>
      <c r="W140" s="584">
        <f>+IF(V140="","",(VLOOKUP($C140,'EQUIP RATE SCHEDULE'!$B$11:$F$162,5,FALSE)))</f>
        <v>50</v>
      </c>
      <c r="X140" s="591"/>
      <c r="Y140" s="613">
        <f t="shared" si="42"/>
        <v>50</v>
      </c>
      <c r="Z140" s="769" t="s">
        <v>66</v>
      </c>
      <c r="AA140" s="575">
        <v>1</v>
      </c>
      <c r="AB140" s="584">
        <f>+IF(AA140="","",(VLOOKUP($C140,'EQUIP RATE SCHEDULE'!$B$11:$F$162,5,FALSE)))</f>
        <v>50</v>
      </c>
      <c r="AC140" s="591"/>
      <c r="AD140" s="613">
        <f t="shared" si="43"/>
        <v>50</v>
      </c>
      <c r="AE140" s="769" t="s">
        <v>66</v>
      </c>
      <c r="AF140" s="575">
        <v>1</v>
      </c>
      <c r="AG140" s="584">
        <f>+IF(AF140="","",(VLOOKUP($C140,'EQUIP RATE SCHEDULE'!$B$11:$F$162,5,FALSE)))</f>
        <v>50</v>
      </c>
      <c r="AH140" s="591"/>
      <c r="AI140" s="613">
        <f t="shared" si="44"/>
        <v>50</v>
      </c>
      <c r="AJ140" s="769" t="s">
        <v>66</v>
      </c>
      <c r="AK140" s="575">
        <v>1</v>
      </c>
      <c r="AL140" s="584">
        <f>+IF(AK140="","",(VLOOKUP($C140,'EQUIP RATE SCHEDULE'!$B$11:$F$162,5,FALSE)))</f>
        <v>50</v>
      </c>
      <c r="AM140" s="591"/>
      <c r="AN140" s="613">
        <f t="shared" si="45"/>
        <v>50</v>
      </c>
      <c r="AO140" s="769" t="s">
        <v>66</v>
      </c>
      <c r="AP140" s="575">
        <v>1</v>
      </c>
      <c r="AQ140" s="584">
        <f>+IF(AP140="","",(VLOOKUP($C140,'EQUIP RATE SCHEDULE'!$B$11:$F$162,5,FALSE)))</f>
        <v>50</v>
      </c>
      <c r="AR140" s="591"/>
      <c r="AS140" s="613">
        <f t="shared" si="46"/>
        <v>50</v>
      </c>
      <c r="AT140" s="769" t="s">
        <v>66</v>
      </c>
      <c r="AU140" s="575">
        <v>1</v>
      </c>
      <c r="AV140" s="584">
        <f>+IF(AU140="","",(VLOOKUP($C140,'EQUIP RATE SCHEDULE'!$B$11:$F$162,5,FALSE)))</f>
        <v>50</v>
      </c>
      <c r="AW140" s="591"/>
      <c r="AX140" s="613">
        <f t="shared" si="47"/>
        <v>50</v>
      </c>
      <c r="AY140" s="769" t="s">
        <v>66</v>
      </c>
      <c r="AZ140" s="575">
        <v>1</v>
      </c>
      <c r="BA140" s="584">
        <f>+IF(AZ140="","",(VLOOKUP($C140,'EQUIP RATE SCHEDULE'!$B$11:$F$162,5,FALSE)))</f>
        <v>50</v>
      </c>
      <c r="BB140" s="591"/>
      <c r="BC140" s="613">
        <f t="shared" si="48"/>
        <v>50</v>
      </c>
      <c r="BD140" s="769" t="s">
        <v>66</v>
      </c>
      <c r="BE140" s="575">
        <v>1</v>
      </c>
      <c r="BF140" s="584">
        <f>+IF(BE140="","",(VLOOKUP($C140,'EQUIP RATE SCHEDULE'!$B$11:$F$162,5,FALSE)))</f>
        <v>50</v>
      </c>
      <c r="BG140" s="591"/>
      <c r="BH140" s="613">
        <f t="shared" si="49"/>
        <v>50</v>
      </c>
      <c r="BI140" s="769" t="s">
        <v>66</v>
      </c>
      <c r="BJ140" s="575">
        <v>1</v>
      </c>
      <c r="BK140" s="584">
        <f>+IF(BJ140="","",(VLOOKUP($C140,'EQUIP RATE SCHEDULE'!$B$11:$F$162,5,FALSE)))</f>
        <v>50</v>
      </c>
      <c r="BL140" s="591"/>
      <c r="BM140" s="613">
        <f t="shared" si="50"/>
        <v>50</v>
      </c>
      <c r="BN140" s="769" t="s">
        <v>66</v>
      </c>
      <c r="BO140" s="575">
        <v>1</v>
      </c>
      <c r="BP140" s="584">
        <f>+IF(BO140="","",(VLOOKUP($C140,'EQUIP RATE SCHEDULE'!$B$11:$F$162,5,FALSE)))</f>
        <v>50</v>
      </c>
      <c r="BQ140" s="591"/>
      <c r="BR140" s="613">
        <f t="shared" si="51"/>
        <v>50</v>
      </c>
      <c r="BS140" s="769" t="s">
        <v>66</v>
      </c>
      <c r="BT140" s="575">
        <v>1</v>
      </c>
      <c r="BU140" s="584">
        <f>+IF(BT140="","",(VLOOKUP($C140,'EQUIP RATE SCHEDULE'!$B$11:$F$162,5,FALSE)))</f>
        <v>50</v>
      </c>
      <c r="BV140" s="591"/>
      <c r="BW140" s="613">
        <f t="shared" si="52"/>
        <v>50</v>
      </c>
      <c r="BX140" s="769" t="s">
        <v>66</v>
      </c>
      <c r="BY140" s="575">
        <v>1</v>
      </c>
      <c r="BZ140" s="584">
        <f>+IF(BY140="","",(VLOOKUP($C140,'EQUIP RATE SCHEDULE'!$B$11:$F$162,5,FALSE)))</f>
        <v>50</v>
      </c>
      <c r="CA140" s="591"/>
      <c r="CB140" s="613">
        <f t="shared" si="53"/>
        <v>50</v>
      </c>
      <c r="CC140" s="769" t="s">
        <v>66</v>
      </c>
      <c r="CD140" s="575">
        <v>1</v>
      </c>
      <c r="CE140" s="584">
        <f>+IF(CD140="","",(VLOOKUP($C140,'EQUIP RATE SCHEDULE'!$B$11:$F$162,5,FALSE)))</f>
        <v>50</v>
      </c>
      <c r="CF140" s="591"/>
      <c r="CG140" s="613">
        <f t="shared" si="54"/>
        <v>50</v>
      </c>
      <c r="CH140" s="769" t="s">
        <v>66</v>
      </c>
      <c r="CI140" s="575">
        <v>1</v>
      </c>
      <c r="CJ140" s="584">
        <f>+IF(CI140="","",(VLOOKUP($C140,'EQUIP RATE SCHEDULE'!$B$11:$F$162,5,FALSE)))</f>
        <v>50</v>
      </c>
      <c r="CK140" s="591"/>
      <c r="CL140" s="613">
        <f t="shared" si="55"/>
        <v>50</v>
      </c>
      <c r="CM140" s="769" t="s">
        <v>66</v>
      </c>
      <c r="CN140" s="575">
        <v>1</v>
      </c>
      <c r="CO140" s="584">
        <f>+IF(CN140="","",(VLOOKUP($C140,'EQUIP RATE SCHEDULE'!$B$11:$F$162,5,FALSE)))</f>
        <v>50</v>
      </c>
      <c r="CP140" s="591"/>
      <c r="CQ140" s="613">
        <f t="shared" si="56"/>
        <v>50</v>
      </c>
      <c r="CR140" s="769" t="s">
        <v>66</v>
      </c>
      <c r="CS140" s="575">
        <v>1</v>
      </c>
      <c r="CT140" s="584">
        <f>+IF(CS140="","",(VLOOKUP($C140,'EQUIP RATE SCHEDULE'!$B$11:$F$162,5,FALSE)))</f>
        <v>50</v>
      </c>
      <c r="CU140" s="591"/>
      <c r="CV140" s="613">
        <f t="shared" si="57"/>
        <v>50</v>
      </c>
      <c r="CW140" s="769" t="s">
        <v>66</v>
      </c>
      <c r="CX140" s="575">
        <v>1</v>
      </c>
      <c r="CY140" s="584">
        <f>+IF(CX140="","",(VLOOKUP($C140,'EQUIP RATE SCHEDULE'!$B$11:$F$162,5,FALSE)))</f>
        <v>50</v>
      </c>
      <c r="CZ140" s="591"/>
      <c r="DA140" s="613">
        <f t="shared" si="58"/>
        <v>50</v>
      </c>
    </row>
    <row r="141" spans="1:105" thickBot="1" x14ac:dyDescent="0.3">
      <c r="A141" s="1499"/>
      <c r="B141" s="809" t="s">
        <v>522</v>
      </c>
      <c r="C141" s="781" t="s">
        <v>1175</v>
      </c>
      <c r="D141" s="1495"/>
      <c r="E141" s="1496"/>
      <c r="F141" s="771" t="s">
        <v>67</v>
      </c>
      <c r="G141" s="577"/>
      <c r="H141" s="594" t="str">
        <f>+IF(G141="","",(VLOOKUP($C141,'EQUIP RATE SCHEDULE'!$B$11:$F$162,5,FALSE)))</f>
        <v/>
      </c>
      <c r="I141" s="593"/>
      <c r="J141" s="756" t="str">
        <f t="shared" ref="J141:J153" si="59">+IF(I$7="","",IF(G141="","",(IF(I141="",H141*G141,I141*G141))))</f>
        <v/>
      </c>
      <c r="K141" s="771" t="s">
        <v>67</v>
      </c>
      <c r="L141" s="577">
        <v>1</v>
      </c>
      <c r="M141" s="594">
        <f>+IF(L141="","",(VLOOKUP($C141,'EQUIP RATE SCHEDULE'!$B$11:$F$162,5,FALSE)))</f>
        <v>200</v>
      </c>
      <c r="N141" s="593"/>
      <c r="O141" s="756">
        <f t="shared" si="40"/>
        <v>200</v>
      </c>
      <c r="P141" s="771" t="s">
        <v>67</v>
      </c>
      <c r="Q141" s="577">
        <v>1</v>
      </c>
      <c r="R141" s="594">
        <f>+IF(Q141="","",(VLOOKUP($C141,'EQUIP RATE SCHEDULE'!$B$11:$F$162,5,FALSE)))</f>
        <v>200</v>
      </c>
      <c r="S141" s="593"/>
      <c r="T141" s="756">
        <f t="shared" si="41"/>
        <v>200</v>
      </c>
      <c r="U141" s="771" t="s">
        <v>67</v>
      </c>
      <c r="V141" s="577">
        <v>1</v>
      </c>
      <c r="W141" s="594">
        <f>+IF(V141="","",(VLOOKUP($C141,'EQUIP RATE SCHEDULE'!$B$11:$F$162,5,FALSE)))</f>
        <v>200</v>
      </c>
      <c r="X141" s="593"/>
      <c r="Y141" s="756">
        <f t="shared" si="42"/>
        <v>200</v>
      </c>
      <c r="Z141" s="771" t="s">
        <v>67</v>
      </c>
      <c r="AA141" s="577">
        <v>1</v>
      </c>
      <c r="AB141" s="594">
        <f>+IF(AA141="","",(VLOOKUP($C141,'EQUIP RATE SCHEDULE'!$B$11:$F$162,5,FALSE)))</f>
        <v>200</v>
      </c>
      <c r="AC141" s="593"/>
      <c r="AD141" s="756">
        <f t="shared" si="43"/>
        <v>200</v>
      </c>
      <c r="AE141" s="771" t="s">
        <v>67</v>
      </c>
      <c r="AF141" s="577">
        <v>1</v>
      </c>
      <c r="AG141" s="594">
        <f>+IF(AF141="","",(VLOOKUP($C141,'EQUIP RATE SCHEDULE'!$B$11:$F$162,5,FALSE)))</f>
        <v>200</v>
      </c>
      <c r="AH141" s="593"/>
      <c r="AI141" s="756">
        <f t="shared" si="44"/>
        <v>200</v>
      </c>
      <c r="AJ141" s="771" t="s">
        <v>67</v>
      </c>
      <c r="AK141" s="577">
        <v>1</v>
      </c>
      <c r="AL141" s="594">
        <f>+IF(AK141="","",(VLOOKUP($C141,'EQUIP RATE SCHEDULE'!$B$11:$F$162,5,FALSE)))</f>
        <v>200</v>
      </c>
      <c r="AM141" s="593"/>
      <c r="AN141" s="756">
        <f t="shared" si="45"/>
        <v>200</v>
      </c>
      <c r="AO141" s="771" t="s">
        <v>67</v>
      </c>
      <c r="AP141" s="577">
        <v>1</v>
      </c>
      <c r="AQ141" s="594">
        <f>+IF(AP141="","",(VLOOKUP($C141,'EQUIP RATE SCHEDULE'!$B$11:$F$162,5,FALSE)))</f>
        <v>200</v>
      </c>
      <c r="AR141" s="593"/>
      <c r="AS141" s="756">
        <f t="shared" si="46"/>
        <v>200</v>
      </c>
      <c r="AT141" s="771" t="s">
        <v>67</v>
      </c>
      <c r="AU141" s="577">
        <v>1</v>
      </c>
      <c r="AV141" s="594">
        <f>+IF(AU141="","",(VLOOKUP($C141,'EQUIP RATE SCHEDULE'!$B$11:$F$162,5,FALSE)))</f>
        <v>200</v>
      </c>
      <c r="AW141" s="593"/>
      <c r="AX141" s="756">
        <f t="shared" si="47"/>
        <v>200</v>
      </c>
      <c r="AY141" s="771" t="s">
        <v>67</v>
      </c>
      <c r="AZ141" s="577">
        <v>1</v>
      </c>
      <c r="BA141" s="594">
        <f>+IF(AZ141="","",(VLOOKUP($C141,'EQUIP RATE SCHEDULE'!$B$11:$F$162,5,FALSE)))</f>
        <v>200</v>
      </c>
      <c r="BB141" s="593"/>
      <c r="BC141" s="756">
        <f t="shared" si="48"/>
        <v>200</v>
      </c>
      <c r="BD141" s="771" t="s">
        <v>67</v>
      </c>
      <c r="BE141" s="577">
        <v>1</v>
      </c>
      <c r="BF141" s="594">
        <f>+IF(BE141="","",(VLOOKUP($C141,'EQUIP RATE SCHEDULE'!$B$11:$F$162,5,FALSE)))</f>
        <v>200</v>
      </c>
      <c r="BG141" s="593"/>
      <c r="BH141" s="756">
        <f t="shared" si="49"/>
        <v>200</v>
      </c>
      <c r="BI141" s="771" t="s">
        <v>67</v>
      </c>
      <c r="BJ141" s="577">
        <v>1</v>
      </c>
      <c r="BK141" s="594">
        <f>+IF(BJ141="","",(VLOOKUP($C141,'EQUIP RATE SCHEDULE'!$B$11:$F$162,5,FALSE)))</f>
        <v>200</v>
      </c>
      <c r="BL141" s="593"/>
      <c r="BM141" s="756">
        <f t="shared" si="50"/>
        <v>200</v>
      </c>
      <c r="BN141" s="771" t="s">
        <v>67</v>
      </c>
      <c r="BO141" s="577">
        <v>1</v>
      </c>
      <c r="BP141" s="594">
        <f>+IF(BO141="","",(VLOOKUP($C141,'EQUIP RATE SCHEDULE'!$B$11:$F$162,5,FALSE)))</f>
        <v>200</v>
      </c>
      <c r="BQ141" s="593"/>
      <c r="BR141" s="756">
        <f t="shared" si="51"/>
        <v>200</v>
      </c>
      <c r="BS141" s="771" t="s">
        <v>67</v>
      </c>
      <c r="BT141" s="577">
        <v>1</v>
      </c>
      <c r="BU141" s="594">
        <f>+IF(BT141="","",(VLOOKUP($C141,'EQUIP RATE SCHEDULE'!$B$11:$F$162,5,FALSE)))</f>
        <v>200</v>
      </c>
      <c r="BV141" s="593"/>
      <c r="BW141" s="756">
        <f t="shared" si="52"/>
        <v>200</v>
      </c>
      <c r="BX141" s="771" t="s">
        <v>67</v>
      </c>
      <c r="BY141" s="577">
        <v>1</v>
      </c>
      <c r="BZ141" s="594">
        <f>+IF(BY141="","",(VLOOKUP($C141,'EQUIP RATE SCHEDULE'!$B$11:$F$162,5,FALSE)))</f>
        <v>200</v>
      </c>
      <c r="CA141" s="593"/>
      <c r="CB141" s="756">
        <f t="shared" si="53"/>
        <v>200</v>
      </c>
      <c r="CC141" s="771" t="s">
        <v>67</v>
      </c>
      <c r="CD141" s="577">
        <v>1</v>
      </c>
      <c r="CE141" s="594">
        <f>+IF(CD141="","",(VLOOKUP($C141,'EQUIP RATE SCHEDULE'!$B$11:$F$162,5,FALSE)))</f>
        <v>200</v>
      </c>
      <c r="CF141" s="593"/>
      <c r="CG141" s="756">
        <f t="shared" si="54"/>
        <v>200</v>
      </c>
      <c r="CH141" s="771" t="s">
        <v>67</v>
      </c>
      <c r="CI141" s="577">
        <v>1</v>
      </c>
      <c r="CJ141" s="594">
        <f>+IF(CI141="","",(VLOOKUP($C141,'EQUIP RATE SCHEDULE'!$B$11:$F$162,5,FALSE)))</f>
        <v>200</v>
      </c>
      <c r="CK141" s="593"/>
      <c r="CL141" s="756">
        <f t="shared" si="55"/>
        <v>200</v>
      </c>
      <c r="CM141" s="771" t="s">
        <v>67</v>
      </c>
      <c r="CN141" s="577">
        <v>1</v>
      </c>
      <c r="CO141" s="594">
        <f>+IF(CN141="","",(VLOOKUP($C141,'EQUIP RATE SCHEDULE'!$B$11:$F$162,5,FALSE)))</f>
        <v>200</v>
      </c>
      <c r="CP141" s="593"/>
      <c r="CQ141" s="756">
        <f t="shared" si="56"/>
        <v>200</v>
      </c>
      <c r="CR141" s="771" t="s">
        <v>67</v>
      </c>
      <c r="CS141" s="577">
        <v>1</v>
      </c>
      <c r="CT141" s="584">
        <f>+IF(CS141="","",(VLOOKUP($C141,'EQUIP RATE SCHEDULE'!$B$11:$F$162,5,FALSE)))</f>
        <v>200</v>
      </c>
      <c r="CU141" s="593"/>
      <c r="CV141" s="756">
        <f t="shared" si="57"/>
        <v>200</v>
      </c>
      <c r="CW141" s="771" t="s">
        <v>67</v>
      </c>
      <c r="CX141" s="577">
        <v>1</v>
      </c>
      <c r="CY141" s="594">
        <f>+IF(CX141="","",(VLOOKUP($C141,'EQUIP RATE SCHEDULE'!$B$11:$F$162,5,FALSE)))</f>
        <v>200</v>
      </c>
      <c r="CZ141" s="593"/>
      <c r="DA141" s="756">
        <f t="shared" si="58"/>
        <v>200</v>
      </c>
    </row>
    <row r="142" spans="1:105" ht="37.5" customHeight="1" x14ac:dyDescent="0.25">
      <c r="A142" s="1497" t="s">
        <v>1176</v>
      </c>
      <c r="B142" s="808" t="s">
        <v>1273</v>
      </c>
      <c r="C142" s="775" t="s">
        <v>1177</v>
      </c>
      <c r="D142" s="1493" t="s">
        <v>1178</v>
      </c>
      <c r="E142" s="1494" t="s">
        <v>1179</v>
      </c>
      <c r="F142" s="768" t="s">
        <v>66</v>
      </c>
      <c r="G142" s="586">
        <v>1</v>
      </c>
      <c r="H142" s="587">
        <f>+IF(G142="","",(VLOOKUP($C142,'EQUIP RATE SCHEDULE'!$B$11:$F$162,5,FALSE)))</f>
        <v>20</v>
      </c>
      <c r="I142" s="590"/>
      <c r="J142" s="588">
        <f t="shared" si="59"/>
        <v>20</v>
      </c>
      <c r="K142" s="768" t="s">
        <v>66</v>
      </c>
      <c r="L142" s="586">
        <v>1</v>
      </c>
      <c r="M142" s="587">
        <f>+IF(L142="","",(VLOOKUP($C142,'EQUIP RATE SCHEDULE'!$B$11:$F$162,5,FALSE)))</f>
        <v>20</v>
      </c>
      <c r="N142" s="590"/>
      <c r="O142" s="588">
        <f t="shared" si="40"/>
        <v>20</v>
      </c>
      <c r="P142" s="768" t="s">
        <v>66</v>
      </c>
      <c r="Q142" s="586">
        <v>1</v>
      </c>
      <c r="R142" s="587">
        <f>+IF(Q142="","",(VLOOKUP($C142,'EQUIP RATE SCHEDULE'!$B$11:$F$162,5,FALSE)))</f>
        <v>20</v>
      </c>
      <c r="S142" s="590"/>
      <c r="T142" s="588">
        <f t="shared" si="41"/>
        <v>20</v>
      </c>
      <c r="U142" s="768" t="s">
        <v>66</v>
      </c>
      <c r="V142" s="586">
        <v>1</v>
      </c>
      <c r="W142" s="587">
        <f>+IF(V142="","",(VLOOKUP($C142,'EQUIP RATE SCHEDULE'!$B$11:$F$162,5,FALSE)))</f>
        <v>20</v>
      </c>
      <c r="X142" s="590"/>
      <c r="Y142" s="588">
        <f t="shared" si="42"/>
        <v>20</v>
      </c>
      <c r="Z142" s="768" t="s">
        <v>66</v>
      </c>
      <c r="AA142" s="586">
        <v>1</v>
      </c>
      <c r="AB142" s="587">
        <f>+IF(AA142="","",(VLOOKUP($C142,'EQUIP RATE SCHEDULE'!$B$11:$F$162,5,FALSE)))</f>
        <v>20</v>
      </c>
      <c r="AC142" s="590"/>
      <c r="AD142" s="588">
        <f t="shared" si="43"/>
        <v>20</v>
      </c>
      <c r="AE142" s="768" t="s">
        <v>66</v>
      </c>
      <c r="AF142" s="586">
        <v>1</v>
      </c>
      <c r="AG142" s="587">
        <f>+IF(AF142="","",(VLOOKUP($C142,'EQUIP RATE SCHEDULE'!$B$11:$F$162,5,FALSE)))</f>
        <v>20</v>
      </c>
      <c r="AH142" s="590"/>
      <c r="AI142" s="588">
        <f t="shared" si="44"/>
        <v>20</v>
      </c>
      <c r="AJ142" s="768" t="s">
        <v>66</v>
      </c>
      <c r="AK142" s="586">
        <v>1</v>
      </c>
      <c r="AL142" s="587">
        <f>+IF(AK142="","",(VLOOKUP($C142,'EQUIP RATE SCHEDULE'!$B$11:$F$162,5,FALSE)))</f>
        <v>20</v>
      </c>
      <c r="AM142" s="590"/>
      <c r="AN142" s="588">
        <f t="shared" si="45"/>
        <v>20</v>
      </c>
      <c r="AO142" s="768" t="s">
        <v>66</v>
      </c>
      <c r="AP142" s="586">
        <v>1</v>
      </c>
      <c r="AQ142" s="587">
        <f>+IF(AP142="","",(VLOOKUP($C142,'EQUIP RATE SCHEDULE'!$B$11:$F$162,5,FALSE)))</f>
        <v>20</v>
      </c>
      <c r="AR142" s="590"/>
      <c r="AS142" s="588">
        <f t="shared" si="46"/>
        <v>20</v>
      </c>
      <c r="AT142" s="768" t="s">
        <v>66</v>
      </c>
      <c r="AU142" s="586">
        <v>1</v>
      </c>
      <c r="AV142" s="587">
        <f>+IF(AU142="","",(VLOOKUP($C142,'EQUIP RATE SCHEDULE'!$B$11:$F$162,5,FALSE)))</f>
        <v>20</v>
      </c>
      <c r="AW142" s="590"/>
      <c r="AX142" s="588">
        <f t="shared" si="47"/>
        <v>20</v>
      </c>
      <c r="AY142" s="768" t="s">
        <v>66</v>
      </c>
      <c r="AZ142" s="586">
        <v>1</v>
      </c>
      <c r="BA142" s="587">
        <f>+IF(AZ142="","",(VLOOKUP($C142,'EQUIP RATE SCHEDULE'!$B$11:$F$162,5,FALSE)))</f>
        <v>20</v>
      </c>
      <c r="BB142" s="590"/>
      <c r="BC142" s="588">
        <f t="shared" si="48"/>
        <v>20</v>
      </c>
      <c r="BD142" s="768" t="s">
        <v>66</v>
      </c>
      <c r="BE142" s="586">
        <v>1</v>
      </c>
      <c r="BF142" s="587">
        <f>+IF(BE142="","",(VLOOKUP($C142,'EQUIP RATE SCHEDULE'!$B$11:$F$162,5,FALSE)))</f>
        <v>20</v>
      </c>
      <c r="BG142" s="590"/>
      <c r="BH142" s="588">
        <f t="shared" si="49"/>
        <v>20</v>
      </c>
      <c r="BI142" s="768" t="s">
        <v>66</v>
      </c>
      <c r="BJ142" s="586">
        <v>1</v>
      </c>
      <c r="BK142" s="587">
        <f>+IF(BJ142="","",(VLOOKUP($C142,'EQUIP RATE SCHEDULE'!$B$11:$F$162,5,FALSE)))</f>
        <v>20</v>
      </c>
      <c r="BL142" s="590"/>
      <c r="BM142" s="588">
        <f t="shared" si="50"/>
        <v>20</v>
      </c>
      <c r="BN142" s="768" t="s">
        <v>66</v>
      </c>
      <c r="BO142" s="586">
        <v>1</v>
      </c>
      <c r="BP142" s="587">
        <f>+IF(BO142="","",(VLOOKUP($C142,'EQUIP RATE SCHEDULE'!$B$11:$F$162,5,FALSE)))</f>
        <v>20</v>
      </c>
      <c r="BQ142" s="590"/>
      <c r="BR142" s="588">
        <f t="shared" si="51"/>
        <v>20</v>
      </c>
      <c r="BS142" s="768" t="s">
        <v>66</v>
      </c>
      <c r="BT142" s="586">
        <v>1</v>
      </c>
      <c r="BU142" s="587">
        <f>+IF(BT142="","",(VLOOKUP($C142,'EQUIP RATE SCHEDULE'!$B$11:$F$162,5,FALSE)))</f>
        <v>20</v>
      </c>
      <c r="BV142" s="590"/>
      <c r="BW142" s="588">
        <f t="shared" si="52"/>
        <v>20</v>
      </c>
      <c r="BX142" s="768" t="s">
        <v>66</v>
      </c>
      <c r="BY142" s="586">
        <v>1</v>
      </c>
      <c r="BZ142" s="587">
        <f>+IF(BY142="","",(VLOOKUP($C142,'EQUIP RATE SCHEDULE'!$B$11:$F$162,5,FALSE)))</f>
        <v>20</v>
      </c>
      <c r="CA142" s="590"/>
      <c r="CB142" s="588">
        <f t="shared" si="53"/>
        <v>20</v>
      </c>
      <c r="CC142" s="768" t="s">
        <v>66</v>
      </c>
      <c r="CD142" s="586">
        <v>1</v>
      </c>
      <c r="CE142" s="587">
        <f>+IF(CD142="","",(VLOOKUP($C142,'EQUIP RATE SCHEDULE'!$B$11:$F$162,5,FALSE)))</f>
        <v>20</v>
      </c>
      <c r="CF142" s="590"/>
      <c r="CG142" s="588">
        <f t="shared" si="54"/>
        <v>20</v>
      </c>
      <c r="CH142" s="768" t="s">
        <v>66</v>
      </c>
      <c r="CI142" s="586">
        <v>1</v>
      </c>
      <c r="CJ142" s="587">
        <f>+IF(CI142="","",(VLOOKUP($C142,'EQUIP RATE SCHEDULE'!$B$11:$F$162,5,FALSE)))</f>
        <v>20</v>
      </c>
      <c r="CK142" s="590"/>
      <c r="CL142" s="588">
        <f t="shared" si="55"/>
        <v>20</v>
      </c>
      <c r="CM142" s="768" t="s">
        <v>66</v>
      </c>
      <c r="CN142" s="586">
        <v>1</v>
      </c>
      <c r="CO142" s="587">
        <f>+IF(CN142="","",(VLOOKUP($C142,'EQUIP RATE SCHEDULE'!$B$11:$F$162,5,FALSE)))</f>
        <v>20</v>
      </c>
      <c r="CP142" s="590"/>
      <c r="CQ142" s="588">
        <f t="shared" si="56"/>
        <v>20</v>
      </c>
      <c r="CR142" s="768" t="s">
        <v>66</v>
      </c>
      <c r="CS142" s="586">
        <v>1</v>
      </c>
      <c r="CT142" s="584">
        <f>+IF(CS142="","",(VLOOKUP($C142,'EQUIP RATE SCHEDULE'!$B$11:$F$162,5,FALSE)))</f>
        <v>20</v>
      </c>
      <c r="CU142" s="590"/>
      <c r="CV142" s="588">
        <f t="shared" si="57"/>
        <v>20</v>
      </c>
      <c r="CW142" s="768" t="s">
        <v>66</v>
      </c>
      <c r="CX142" s="586">
        <v>1</v>
      </c>
      <c r="CY142" s="587">
        <f>+IF(CX142="","",(VLOOKUP($C142,'EQUIP RATE SCHEDULE'!$B$11:$F$162,5,FALSE)))</f>
        <v>20</v>
      </c>
      <c r="CZ142" s="590"/>
      <c r="DA142" s="588">
        <f t="shared" si="58"/>
        <v>20</v>
      </c>
    </row>
    <row r="143" spans="1:105" ht="48.6" customHeight="1" x14ac:dyDescent="0.25">
      <c r="A143" s="1498"/>
      <c r="B143" s="809" t="s">
        <v>1273</v>
      </c>
      <c r="C143" s="776" t="s">
        <v>1180</v>
      </c>
      <c r="D143" s="1492"/>
      <c r="E143" s="1490"/>
      <c r="F143" s="769" t="s">
        <v>67</v>
      </c>
      <c r="G143" s="575">
        <v>1</v>
      </c>
      <c r="H143" s="584">
        <f>+IF(G143="","",(VLOOKUP($C143,'EQUIP RATE SCHEDULE'!$B$11:$F$162,5,FALSE)))</f>
        <v>60</v>
      </c>
      <c r="I143" s="591"/>
      <c r="J143" s="613">
        <f t="shared" si="59"/>
        <v>60</v>
      </c>
      <c r="K143" s="769" t="s">
        <v>67</v>
      </c>
      <c r="L143" s="575">
        <v>1</v>
      </c>
      <c r="M143" s="584">
        <f>+IF(L143="","",(VLOOKUP($C143,'EQUIP RATE SCHEDULE'!$B$11:$F$162,5,FALSE)))</f>
        <v>60</v>
      </c>
      <c r="N143" s="591"/>
      <c r="O143" s="613">
        <f t="shared" si="40"/>
        <v>60</v>
      </c>
      <c r="P143" s="769" t="s">
        <v>67</v>
      </c>
      <c r="Q143" s="575">
        <v>1</v>
      </c>
      <c r="R143" s="584">
        <f>+IF(Q143="","",(VLOOKUP($C143,'EQUIP RATE SCHEDULE'!$B$11:$F$162,5,FALSE)))</f>
        <v>60</v>
      </c>
      <c r="S143" s="591"/>
      <c r="T143" s="613">
        <f t="shared" si="41"/>
        <v>60</v>
      </c>
      <c r="U143" s="769" t="s">
        <v>67</v>
      </c>
      <c r="V143" s="575">
        <v>1</v>
      </c>
      <c r="W143" s="584">
        <f>+IF(V143="","",(VLOOKUP($C143,'EQUIP RATE SCHEDULE'!$B$11:$F$162,5,FALSE)))</f>
        <v>60</v>
      </c>
      <c r="X143" s="591"/>
      <c r="Y143" s="613">
        <f t="shared" si="42"/>
        <v>60</v>
      </c>
      <c r="Z143" s="769" t="s">
        <v>67</v>
      </c>
      <c r="AA143" s="575">
        <v>1</v>
      </c>
      <c r="AB143" s="584">
        <f>+IF(AA143="","",(VLOOKUP($C143,'EQUIP RATE SCHEDULE'!$B$11:$F$162,5,FALSE)))</f>
        <v>60</v>
      </c>
      <c r="AC143" s="591"/>
      <c r="AD143" s="613">
        <f t="shared" si="43"/>
        <v>60</v>
      </c>
      <c r="AE143" s="769" t="s">
        <v>67</v>
      </c>
      <c r="AF143" s="575">
        <v>1</v>
      </c>
      <c r="AG143" s="584">
        <f>+IF(AF143="","",(VLOOKUP($C143,'EQUIP RATE SCHEDULE'!$B$11:$F$162,5,FALSE)))</f>
        <v>60</v>
      </c>
      <c r="AH143" s="591"/>
      <c r="AI143" s="613">
        <f t="shared" si="44"/>
        <v>60</v>
      </c>
      <c r="AJ143" s="769" t="s">
        <v>67</v>
      </c>
      <c r="AK143" s="575">
        <v>1</v>
      </c>
      <c r="AL143" s="584">
        <f>+IF(AK143="","",(VLOOKUP($C143,'EQUIP RATE SCHEDULE'!$B$11:$F$162,5,FALSE)))</f>
        <v>60</v>
      </c>
      <c r="AM143" s="591"/>
      <c r="AN143" s="613">
        <f t="shared" si="45"/>
        <v>60</v>
      </c>
      <c r="AO143" s="769" t="s">
        <v>67</v>
      </c>
      <c r="AP143" s="575">
        <v>1</v>
      </c>
      <c r="AQ143" s="584">
        <f>+IF(AP143="","",(VLOOKUP($C143,'EQUIP RATE SCHEDULE'!$B$11:$F$162,5,FALSE)))</f>
        <v>60</v>
      </c>
      <c r="AR143" s="591"/>
      <c r="AS143" s="613">
        <f t="shared" si="46"/>
        <v>60</v>
      </c>
      <c r="AT143" s="769" t="s">
        <v>67</v>
      </c>
      <c r="AU143" s="575">
        <v>1</v>
      </c>
      <c r="AV143" s="584">
        <f>+IF(AU143="","",(VLOOKUP($C143,'EQUIP RATE SCHEDULE'!$B$11:$F$162,5,FALSE)))</f>
        <v>60</v>
      </c>
      <c r="AW143" s="591"/>
      <c r="AX143" s="613">
        <f t="shared" si="47"/>
        <v>60</v>
      </c>
      <c r="AY143" s="769" t="s">
        <v>67</v>
      </c>
      <c r="AZ143" s="575">
        <v>1</v>
      </c>
      <c r="BA143" s="584">
        <f>+IF(AZ143="","",(VLOOKUP($C143,'EQUIP RATE SCHEDULE'!$B$11:$F$162,5,FALSE)))</f>
        <v>60</v>
      </c>
      <c r="BB143" s="591"/>
      <c r="BC143" s="613">
        <f t="shared" si="48"/>
        <v>60</v>
      </c>
      <c r="BD143" s="769" t="s">
        <v>67</v>
      </c>
      <c r="BE143" s="575">
        <v>1</v>
      </c>
      <c r="BF143" s="584">
        <f>+IF(BE143="","",(VLOOKUP($C143,'EQUIP RATE SCHEDULE'!$B$11:$F$162,5,FALSE)))</f>
        <v>60</v>
      </c>
      <c r="BG143" s="591"/>
      <c r="BH143" s="613">
        <f t="shared" si="49"/>
        <v>60</v>
      </c>
      <c r="BI143" s="769" t="s">
        <v>67</v>
      </c>
      <c r="BJ143" s="575">
        <v>1</v>
      </c>
      <c r="BK143" s="584">
        <f>+IF(BJ143="","",(VLOOKUP($C143,'EQUIP RATE SCHEDULE'!$B$11:$F$162,5,FALSE)))</f>
        <v>60</v>
      </c>
      <c r="BL143" s="591"/>
      <c r="BM143" s="613">
        <f t="shared" si="50"/>
        <v>60</v>
      </c>
      <c r="BN143" s="769" t="s">
        <v>67</v>
      </c>
      <c r="BO143" s="575">
        <v>1</v>
      </c>
      <c r="BP143" s="584">
        <f>+IF(BO143="","",(VLOOKUP($C143,'EQUIP RATE SCHEDULE'!$B$11:$F$162,5,FALSE)))</f>
        <v>60</v>
      </c>
      <c r="BQ143" s="591"/>
      <c r="BR143" s="613">
        <f t="shared" si="51"/>
        <v>60</v>
      </c>
      <c r="BS143" s="769" t="s">
        <v>67</v>
      </c>
      <c r="BT143" s="575">
        <v>1</v>
      </c>
      <c r="BU143" s="584">
        <f>+IF(BT143="","",(VLOOKUP($C143,'EQUIP RATE SCHEDULE'!$B$11:$F$162,5,FALSE)))</f>
        <v>60</v>
      </c>
      <c r="BV143" s="591"/>
      <c r="BW143" s="613">
        <f t="shared" si="52"/>
        <v>60</v>
      </c>
      <c r="BX143" s="769" t="s">
        <v>67</v>
      </c>
      <c r="BY143" s="575">
        <v>1</v>
      </c>
      <c r="BZ143" s="584">
        <f>+IF(BY143="","",(VLOOKUP($C143,'EQUIP RATE SCHEDULE'!$B$11:$F$162,5,FALSE)))</f>
        <v>60</v>
      </c>
      <c r="CA143" s="591"/>
      <c r="CB143" s="613">
        <f t="shared" si="53"/>
        <v>60</v>
      </c>
      <c r="CC143" s="769" t="s">
        <v>67</v>
      </c>
      <c r="CD143" s="575">
        <v>1</v>
      </c>
      <c r="CE143" s="584">
        <f>+IF(CD143="","",(VLOOKUP($C143,'EQUIP RATE SCHEDULE'!$B$11:$F$162,5,FALSE)))</f>
        <v>60</v>
      </c>
      <c r="CF143" s="591"/>
      <c r="CG143" s="613">
        <f t="shared" si="54"/>
        <v>60</v>
      </c>
      <c r="CH143" s="769" t="s">
        <v>67</v>
      </c>
      <c r="CI143" s="575">
        <v>1</v>
      </c>
      <c r="CJ143" s="584">
        <f>+IF(CI143="","",(VLOOKUP($C143,'EQUIP RATE SCHEDULE'!$B$11:$F$162,5,FALSE)))</f>
        <v>60</v>
      </c>
      <c r="CK143" s="591"/>
      <c r="CL143" s="613">
        <f t="shared" si="55"/>
        <v>60</v>
      </c>
      <c r="CM143" s="769" t="s">
        <v>67</v>
      </c>
      <c r="CN143" s="575">
        <v>1</v>
      </c>
      <c r="CO143" s="584">
        <f>+IF(CN143="","",(VLOOKUP($C143,'EQUIP RATE SCHEDULE'!$B$11:$F$162,5,FALSE)))</f>
        <v>60</v>
      </c>
      <c r="CP143" s="591"/>
      <c r="CQ143" s="613">
        <f t="shared" si="56"/>
        <v>60</v>
      </c>
      <c r="CR143" s="769" t="s">
        <v>67</v>
      </c>
      <c r="CS143" s="575">
        <v>1</v>
      </c>
      <c r="CT143" s="584">
        <f>+IF(CS143="","",(VLOOKUP($C143,'EQUIP RATE SCHEDULE'!$B$11:$F$162,5,FALSE)))</f>
        <v>60</v>
      </c>
      <c r="CU143" s="591"/>
      <c r="CV143" s="613">
        <f t="shared" si="57"/>
        <v>60</v>
      </c>
      <c r="CW143" s="769" t="s">
        <v>67</v>
      </c>
      <c r="CX143" s="575">
        <v>1</v>
      </c>
      <c r="CY143" s="584">
        <f>+IF(CX143="","",(VLOOKUP($C143,'EQUIP RATE SCHEDULE'!$B$11:$F$162,5,FALSE)))</f>
        <v>60</v>
      </c>
      <c r="CZ143" s="591"/>
      <c r="DA143" s="613">
        <f t="shared" si="58"/>
        <v>60</v>
      </c>
    </row>
    <row r="144" spans="1:105" ht="75" x14ac:dyDescent="0.25">
      <c r="A144" s="1498"/>
      <c r="B144" s="809" t="s">
        <v>1273</v>
      </c>
      <c r="C144" s="776" t="s">
        <v>1182</v>
      </c>
      <c r="D144" s="784" t="s">
        <v>1183</v>
      </c>
      <c r="E144" s="785" t="s">
        <v>1184</v>
      </c>
      <c r="F144" s="774" t="s">
        <v>920</v>
      </c>
      <c r="G144" s="575">
        <v>1</v>
      </c>
      <c r="H144" s="584">
        <f>+IF(G144="","",(VLOOKUP($C144,'EQUIP RATE SCHEDULE'!$B$11:$F$162,5,FALSE)))</f>
        <v>15</v>
      </c>
      <c r="I144" s="591"/>
      <c r="J144" s="613">
        <f t="shared" si="59"/>
        <v>15</v>
      </c>
      <c r="K144" s="774" t="s">
        <v>920</v>
      </c>
      <c r="L144" s="575">
        <v>1</v>
      </c>
      <c r="M144" s="584">
        <f>+IF(L144="","",(VLOOKUP($C144,'EQUIP RATE SCHEDULE'!$B$11:$F$162,5,FALSE)))</f>
        <v>15</v>
      </c>
      <c r="N144" s="591"/>
      <c r="O144" s="613">
        <f t="shared" si="40"/>
        <v>15</v>
      </c>
      <c r="P144" s="774" t="s">
        <v>920</v>
      </c>
      <c r="Q144" s="575">
        <v>1</v>
      </c>
      <c r="R144" s="584">
        <f>+IF(Q144="","",(VLOOKUP($C144,'EQUIP RATE SCHEDULE'!$B$11:$F$162,5,FALSE)))</f>
        <v>15</v>
      </c>
      <c r="S144" s="591"/>
      <c r="T144" s="613">
        <f t="shared" si="41"/>
        <v>15</v>
      </c>
      <c r="U144" s="774" t="s">
        <v>920</v>
      </c>
      <c r="V144" s="575">
        <v>1</v>
      </c>
      <c r="W144" s="584">
        <f>+IF(V144="","",(VLOOKUP($C144,'EQUIP RATE SCHEDULE'!$B$11:$F$162,5,FALSE)))</f>
        <v>15</v>
      </c>
      <c r="X144" s="591"/>
      <c r="Y144" s="613">
        <f t="shared" si="42"/>
        <v>15</v>
      </c>
      <c r="Z144" s="774" t="s">
        <v>920</v>
      </c>
      <c r="AA144" s="575">
        <v>1</v>
      </c>
      <c r="AB144" s="584">
        <f>+IF(AA144="","",(VLOOKUP($C144,'EQUIP RATE SCHEDULE'!$B$11:$F$162,5,FALSE)))</f>
        <v>15</v>
      </c>
      <c r="AC144" s="591"/>
      <c r="AD144" s="613">
        <f t="shared" si="43"/>
        <v>15</v>
      </c>
      <c r="AE144" s="774" t="s">
        <v>920</v>
      </c>
      <c r="AF144" s="575">
        <v>1</v>
      </c>
      <c r="AG144" s="584">
        <f>+IF(AF144="","",(VLOOKUP($C144,'EQUIP RATE SCHEDULE'!$B$11:$F$162,5,FALSE)))</f>
        <v>15</v>
      </c>
      <c r="AH144" s="591"/>
      <c r="AI144" s="613">
        <f t="shared" si="44"/>
        <v>15</v>
      </c>
      <c r="AJ144" s="774" t="s">
        <v>920</v>
      </c>
      <c r="AK144" s="575">
        <v>1</v>
      </c>
      <c r="AL144" s="584">
        <f>+IF(AK144="","",(VLOOKUP($C144,'EQUIP RATE SCHEDULE'!$B$11:$F$162,5,FALSE)))</f>
        <v>15</v>
      </c>
      <c r="AM144" s="591"/>
      <c r="AN144" s="613">
        <f t="shared" si="45"/>
        <v>15</v>
      </c>
      <c r="AO144" s="774" t="s">
        <v>920</v>
      </c>
      <c r="AP144" s="575">
        <v>1</v>
      </c>
      <c r="AQ144" s="584">
        <f>+IF(AP144="","",(VLOOKUP($C144,'EQUIP RATE SCHEDULE'!$B$11:$F$162,5,FALSE)))</f>
        <v>15</v>
      </c>
      <c r="AR144" s="591"/>
      <c r="AS144" s="613">
        <f t="shared" si="46"/>
        <v>15</v>
      </c>
      <c r="AT144" s="774" t="s">
        <v>920</v>
      </c>
      <c r="AU144" s="575">
        <v>1</v>
      </c>
      <c r="AV144" s="584">
        <f>+IF(AU144="","",(VLOOKUP($C144,'EQUIP RATE SCHEDULE'!$B$11:$F$162,5,FALSE)))</f>
        <v>15</v>
      </c>
      <c r="AW144" s="591"/>
      <c r="AX144" s="613">
        <f t="shared" si="47"/>
        <v>15</v>
      </c>
      <c r="AY144" s="774" t="s">
        <v>920</v>
      </c>
      <c r="AZ144" s="575">
        <v>1</v>
      </c>
      <c r="BA144" s="584">
        <f>+IF(AZ144="","",(VLOOKUP($C144,'EQUIP RATE SCHEDULE'!$B$11:$F$162,5,FALSE)))</f>
        <v>15</v>
      </c>
      <c r="BB144" s="591"/>
      <c r="BC144" s="613">
        <f t="shared" si="48"/>
        <v>15</v>
      </c>
      <c r="BD144" s="774" t="s">
        <v>920</v>
      </c>
      <c r="BE144" s="575">
        <v>1</v>
      </c>
      <c r="BF144" s="584">
        <f>+IF(BE144="","",(VLOOKUP($C144,'EQUIP RATE SCHEDULE'!$B$11:$F$162,5,FALSE)))</f>
        <v>15</v>
      </c>
      <c r="BG144" s="591"/>
      <c r="BH144" s="613">
        <f t="shared" si="49"/>
        <v>15</v>
      </c>
      <c r="BI144" s="774" t="s">
        <v>920</v>
      </c>
      <c r="BJ144" s="575">
        <v>1</v>
      </c>
      <c r="BK144" s="584">
        <f>+IF(BJ144="","",(VLOOKUP($C144,'EQUIP RATE SCHEDULE'!$B$11:$F$162,5,FALSE)))</f>
        <v>15</v>
      </c>
      <c r="BL144" s="591"/>
      <c r="BM144" s="613">
        <f t="shared" si="50"/>
        <v>15</v>
      </c>
      <c r="BN144" s="774" t="s">
        <v>920</v>
      </c>
      <c r="BO144" s="575">
        <v>1</v>
      </c>
      <c r="BP144" s="584">
        <f>+IF(BO144="","",(VLOOKUP($C144,'EQUIP RATE SCHEDULE'!$B$11:$F$162,5,FALSE)))</f>
        <v>15</v>
      </c>
      <c r="BQ144" s="591"/>
      <c r="BR144" s="613">
        <f t="shared" si="51"/>
        <v>15</v>
      </c>
      <c r="BS144" s="774" t="s">
        <v>920</v>
      </c>
      <c r="BT144" s="575">
        <v>1</v>
      </c>
      <c r="BU144" s="584">
        <f>+IF(BT144="","",(VLOOKUP($C144,'EQUIP RATE SCHEDULE'!$B$11:$F$162,5,FALSE)))</f>
        <v>15</v>
      </c>
      <c r="BV144" s="591"/>
      <c r="BW144" s="613">
        <f t="shared" si="52"/>
        <v>15</v>
      </c>
      <c r="BX144" s="774" t="s">
        <v>920</v>
      </c>
      <c r="BY144" s="575">
        <v>1</v>
      </c>
      <c r="BZ144" s="584">
        <f>+IF(BY144="","",(VLOOKUP($C144,'EQUIP RATE SCHEDULE'!$B$11:$F$162,5,FALSE)))</f>
        <v>15</v>
      </c>
      <c r="CA144" s="591"/>
      <c r="CB144" s="613">
        <f t="shared" si="53"/>
        <v>15</v>
      </c>
      <c r="CC144" s="774" t="s">
        <v>920</v>
      </c>
      <c r="CD144" s="575">
        <v>1</v>
      </c>
      <c r="CE144" s="584">
        <f>+IF(CD144="","",(VLOOKUP($C144,'EQUIP RATE SCHEDULE'!$B$11:$F$162,5,FALSE)))</f>
        <v>15</v>
      </c>
      <c r="CF144" s="591"/>
      <c r="CG144" s="613">
        <f t="shared" si="54"/>
        <v>15</v>
      </c>
      <c r="CH144" s="774" t="s">
        <v>920</v>
      </c>
      <c r="CI144" s="575">
        <v>1</v>
      </c>
      <c r="CJ144" s="584">
        <f>+IF(CI144="","",(VLOOKUP($C144,'EQUIP RATE SCHEDULE'!$B$11:$F$162,5,FALSE)))</f>
        <v>15</v>
      </c>
      <c r="CK144" s="591"/>
      <c r="CL144" s="613">
        <f t="shared" si="55"/>
        <v>15</v>
      </c>
      <c r="CM144" s="774" t="s">
        <v>920</v>
      </c>
      <c r="CN144" s="575">
        <v>1</v>
      </c>
      <c r="CO144" s="584">
        <f>+IF(CN144="","",(VLOOKUP($C144,'EQUIP RATE SCHEDULE'!$B$11:$F$162,5,FALSE)))</f>
        <v>15</v>
      </c>
      <c r="CP144" s="591"/>
      <c r="CQ144" s="613">
        <f t="shared" si="56"/>
        <v>15</v>
      </c>
      <c r="CR144" s="774" t="s">
        <v>920</v>
      </c>
      <c r="CS144" s="575">
        <v>1</v>
      </c>
      <c r="CT144" s="584">
        <f>+IF(CS144="","",(VLOOKUP($C144,'EQUIP RATE SCHEDULE'!$B$11:$F$162,5,FALSE)))</f>
        <v>15</v>
      </c>
      <c r="CU144" s="591"/>
      <c r="CV144" s="613">
        <f t="shared" si="57"/>
        <v>15</v>
      </c>
      <c r="CW144" s="774" t="s">
        <v>920</v>
      </c>
      <c r="CX144" s="575">
        <v>1</v>
      </c>
      <c r="CY144" s="584">
        <f>+IF(CX144="","",(VLOOKUP($C144,'EQUIP RATE SCHEDULE'!$B$11:$F$162,5,FALSE)))</f>
        <v>15</v>
      </c>
      <c r="CZ144" s="591"/>
      <c r="DA144" s="613">
        <f t="shared" si="58"/>
        <v>15</v>
      </c>
    </row>
    <row r="145" spans="1:105" ht="30.75" thickBot="1" x14ac:dyDescent="0.3">
      <c r="A145" s="1499"/>
      <c r="B145" s="810" t="s">
        <v>1273</v>
      </c>
      <c r="C145" s="781" t="s">
        <v>1185</v>
      </c>
      <c r="D145" s="786" t="s">
        <v>1186</v>
      </c>
      <c r="E145" s="787" t="s">
        <v>1187</v>
      </c>
      <c r="F145" s="771" t="s">
        <v>66</v>
      </c>
      <c r="G145" s="577">
        <v>1</v>
      </c>
      <c r="H145" s="594">
        <f>+IF(G145="","",(VLOOKUP($C145,'EQUIP RATE SCHEDULE'!$B$11:$F$162,5,FALSE)))</f>
        <v>60</v>
      </c>
      <c r="I145" s="593"/>
      <c r="J145" s="756">
        <f t="shared" si="59"/>
        <v>60</v>
      </c>
      <c r="K145" s="771" t="s">
        <v>66</v>
      </c>
      <c r="L145" s="577">
        <v>1</v>
      </c>
      <c r="M145" s="594">
        <f>+IF(L145="","",(VLOOKUP($C145,'EQUIP RATE SCHEDULE'!$B$11:$F$162,5,FALSE)))</f>
        <v>60</v>
      </c>
      <c r="N145" s="593"/>
      <c r="O145" s="756">
        <f t="shared" si="40"/>
        <v>60</v>
      </c>
      <c r="P145" s="771" t="s">
        <v>66</v>
      </c>
      <c r="Q145" s="577">
        <v>1</v>
      </c>
      <c r="R145" s="594">
        <f>+IF(Q145="","",(VLOOKUP($C145,'EQUIP RATE SCHEDULE'!$B$11:$F$162,5,FALSE)))</f>
        <v>60</v>
      </c>
      <c r="S145" s="593"/>
      <c r="T145" s="756">
        <f t="shared" si="41"/>
        <v>60</v>
      </c>
      <c r="U145" s="771" t="s">
        <v>66</v>
      </c>
      <c r="V145" s="577">
        <v>1</v>
      </c>
      <c r="W145" s="594">
        <f>+IF(V145="","",(VLOOKUP($C145,'EQUIP RATE SCHEDULE'!$B$11:$F$162,5,FALSE)))</f>
        <v>60</v>
      </c>
      <c r="X145" s="593"/>
      <c r="Y145" s="756">
        <f t="shared" si="42"/>
        <v>60</v>
      </c>
      <c r="Z145" s="771" t="s">
        <v>66</v>
      </c>
      <c r="AA145" s="577">
        <v>1</v>
      </c>
      <c r="AB145" s="594">
        <f>+IF(AA145="","",(VLOOKUP($C145,'EQUIP RATE SCHEDULE'!$B$11:$F$162,5,FALSE)))</f>
        <v>60</v>
      </c>
      <c r="AC145" s="593"/>
      <c r="AD145" s="756">
        <f t="shared" si="43"/>
        <v>60</v>
      </c>
      <c r="AE145" s="771" t="s">
        <v>66</v>
      </c>
      <c r="AF145" s="577">
        <v>1</v>
      </c>
      <c r="AG145" s="594">
        <f>+IF(AF145="","",(VLOOKUP($C145,'EQUIP RATE SCHEDULE'!$B$11:$F$162,5,FALSE)))</f>
        <v>60</v>
      </c>
      <c r="AH145" s="593"/>
      <c r="AI145" s="756">
        <f t="shared" si="44"/>
        <v>60</v>
      </c>
      <c r="AJ145" s="771" t="s">
        <v>66</v>
      </c>
      <c r="AK145" s="577">
        <v>1</v>
      </c>
      <c r="AL145" s="594">
        <f>+IF(AK145="","",(VLOOKUP($C145,'EQUIP RATE SCHEDULE'!$B$11:$F$162,5,FALSE)))</f>
        <v>60</v>
      </c>
      <c r="AM145" s="593"/>
      <c r="AN145" s="756">
        <f t="shared" si="45"/>
        <v>60</v>
      </c>
      <c r="AO145" s="771" t="s">
        <v>66</v>
      </c>
      <c r="AP145" s="577">
        <v>1</v>
      </c>
      <c r="AQ145" s="594">
        <f>+IF(AP145="","",(VLOOKUP($C145,'EQUIP RATE SCHEDULE'!$B$11:$F$162,5,FALSE)))</f>
        <v>60</v>
      </c>
      <c r="AR145" s="593"/>
      <c r="AS145" s="756">
        <f t="shared" si="46"/>
        <v>60</v>
      </c>
      <c r="AT145" s="771" t="s">
        <v>66</v>
      </c>
      <c r="AU145" s="577">
        <v>1</v>
      </c>
      <c r="AV145" s="594">
        <f>+IF(AU145="","",(VLOOKUP($C145,'EQUIP RATE SCHEDULE'!$B$11:$F$162,5,FALSE)))</f>
        <v>60</v>
      </c>
      <c r="AW145" s="593"/>
      <c r="AX145" s="756">
        <f t="shared" si="47"/>
        <v>60</v>
      </c>
      <c r="AY145" s="771" t="s">
        <v>66</v>
      </c>
      <c r="AZ145" s="577">
        <v>1</v>
      </c>
      <c r="BA145" s="594">
        <f>+IF(AZ145="","",(VLOOKUP($C145,'EQUIP RATE SCHEDULE'!$B$11:$F$162,5,FALSE)))</f>
        <v>60</v>
      </c>
      <c r="BB145" s="593"/>
      <c r="BC145" s="756">
        <f t="shared" si="48"/>
        <v>60</v>
      </c>
      <c r="BD145" s="771" t="s">
        <v>66</v>
      </c>
      <c r="BE145" s="577">
        <v>1</v>
      </c>
      <c r="BF145" s="594">
        <f>+IF(BE145="","",(VLOOKUP($C145,'EQUIP RATE SCHEDULE'!$B$11:$F$162,5,FALSE)))</f>
        <v>60</v>
      </c>
      <c r="BG145" s="593"/>
      <c r="BH145" s="756">
        <f t="shared" si="49"/>
        <v>60</v>
      </c>
      <c r="BI145" s="771" t="s">
        <v>66</v>
      </c>
      <c r="BJ145" s="577">
        <v>1</v>
      </c>
      <c r="BK145" s="594">
        <f>+IF(BJ145="","",(VLOOKUP($C145,'EQUIP RATE SCHEDULE'!$B$11:$F$162,5,FALSE)))</f>
        <v>60</v>
      </c>
      <c r="BL145" s="593"/>
      <c r="BM145" s="756">
        <f t="shared" si="50"/>
        <v>60</v>
      </c>
      <c r="BN145" s="771" t="s">
        <v>66</v>
      </c>
      <c r="BO145" s="577">
        <v>1</v>
      </c>
      <c r="BP145" s="594">
        <f>+IF(BO145="","",(VLOOKUP($C145,'EQUIP RATE SCHEDULE'!$B$11:$F$162,5,FALSE)))</f>
        <v>60</v>
      </c>
      <c r="BQ145" s="593"/>
      <c r="BR145" s="756">
        <f t="shared" si="51"/>
        <v>60</v>
      </c>
      <c r="BS145" s="771" t="s">
        <v>66</v>
      </c>
      <c r="BT145" s="577"/>
      <c r="BU145" s="594" t="str">
        <f>+IF(BT145="","",(VLOOKUP($C145,'EQUIP RATE SCHEDULE'!$B$11:$F$162,5,FALSE)))</f>
        <v/>
      </c>
      <c r="BV145" s="593"/>
      <c r="BW145" s="756" t="str">
        <f t="shared" si="52"/>
        <v/>
      </c>
      <c r="BX145" s="771" t="s">
        <v>66</v>
      </c>
      <c r="BY145" s="577">
        <v>1</v>
      </c>
      <c r="BZ145" s="594">
        <f>+IF(BY145="","",(VLOOKUP($C145,'EQUIP RATE SCHEDULE'!$B$11:$F$162,5,FALSE)))</f>
        <v>60</v>
      </c>
      <c r="CA145" s="593"/>
      <c r="CB145" s="756">
        <f t="shared" si="53"/>
        <v>60</v>
      </c>
      <c r="CC145" s="771" t="s">
        <v>66</v>
      </c>
      <c r="CD145" s="577">
        <v>1</v>
      </c>
      <c r="CE145" s="594">
        <f>+IF(CD145="","",(VLOOKUP($C145,'EQUIP RATE SCHEDULE'!$B$11:$F$162,5,FALSE)))</f>
        <v>60</v>
      </c>
      <c r="CF145" s="593"/>
      <c r="CG145" s="756">
        <f t="shared" si="54"/>
        <v>60</v>
      </c>
      <c r="CH145" s="771" t="s">
        <v>66</v>
      </c>
      <c r="CI145" s="577">
        <v>1</v>
      </c>
      <c r="CJ145" s="594">
        <f>+IF(CI145="","",(VLOOKUP($C145,'EQUIP RATE SCHEDULE'!$B$11:$F$162,5,FALSE)))</f>
        <v>60</v>
      </c>
      <c r="CK145" s="593"/>
      <c r="CL145" s="756">
        <f t="shared" si="55"/>
        <v>60</v>
      </c>
      <c r="CM145" s="771" t="s">
        <v>66</v>
      </c>
      <c r="CN145" s="577">
        <v>1</v>
      </c>
      <c r="CO145" s="594">
        <f>+IF(CN145="","",(VLOOKUP($C145,'EQUIP RATE SCHEDULE'!$B$11:$F$162,5,FALSE)))</f>
        <v>60</v>
      </c>
      <c r="CP145" s="593"/>
      <c r="CQ145" s="756">
        <f t="shared" si="56"/>
        <v>60</v>
      </c>
      <c r="CR145" s="771" t="s">
        <v>66</v>
      </c>
      <c r="CS145" s="577">
        <v>1</v>
      </c>
      <c r="CT145" s="594">
        <f>+IF(CS145="","",(VLOOKUP($C145,'EQUIP RATE SCHEDULE'!$B$11:$F$162,5,FALSE)))</f>
        <v>60</v>
      </c>
      <c r="CU145" s="593"/>
      <c r="CV145" s="756">
        <f t="shared" si="57"/>
        <v>60</v>
      </c>
      <c r="CW145" s="771" t="s">
        <v>66</v>
      </c>
      <c r="CX145" s="577">
        <v>1</v>
      </c>
      <c r="CY145" s="594">
        <f>+IF(CX145="","",(VLOOKUP($C145,'EQUIP RATE SCHEDULE'!$B$11:$F$162,5,FALSE)))</f>
        <v>60</v>
      </c>
      <c r="CZ145" s="593"/>
      <c r="DA145" s="756">
        <f t="shared" si="58"/>
        <v>60</v>
      </c>
    </row>
    <row r="146" spans="1:105" ht="15" x14ac:dyDescent="0.25">
      <c r="A146" s="1500" t="s">
        <v>1223</v>
      </c>
      <c r="B146" s="813" t="s">
        <v>1273</v>
      </c>
      <c r="C146" s="788" t="s">
        <v>1190</v>
      </c>
      <c r="D146" s="1511" t="s">
        <v>775</v>
      </c>
      <c r="E146" s="1489" t="s">
        <v>1191</v>
      </c>
      <c r="F146" s="772" t="s">
        <v>66</v>
      </c>
      <c r="G146" s="576">
        <v>1</v>
      </c>
      <c r="H146" s="583">
        <f>+IF(G146="","",(VLOOKUP($C146,'EQUIP RATE SCHEDULE'!$B$11:$F$162,5,FALSE)))</f>
        <v>150</v>
      </c>
      <c r="I146" s="615"/>
      <c r="J146" s="589">
        <f t="shared" si="59"/>
        <v>150</v>
      </c>
      <c r="K146" s="772" t="s">
        <v>66</v>
      </c>
      <c r="L146" s="576">
        <v>1</v>
      </c>
      <c r="M146" s="583">
        <f>+IF(L146="","",(VLOOKUP($C146,'EQUIP RATE SCHEDULE'!$B$11:$F$162,5,FALSE)))</f>
        <v>150</v>
      </c>
      <c r="N146" s="615"/>
      <c r="O146" s="589">
        <f t="shared" si="40"/>
        <v>150</v>
      </c>
      <c r="P146" s="772" t="s">
        <v>66</v>
      </c>
      <c r="Q146" s="576">
        <v>1</v>
      </c>
      <c r="R146" s="583">
        <f>+IF(Q146="","",(VLOOKUP($C146,'EQUIP RATE SCHEDULE'!$B$11:$F$162,5,FALSE)))</f>
        <v>150</v>
      </c>
      <c r="S146" s="615"/>
      <c r="T146" s="589">
        <f t="shared" si="41"/>
        <v>150</v>
      </c>
      <c r="U146" s="772" t="s">
        <v>66</v>
      </c>
      <c r="V146" s="576">
        <v>1</v>
      </c>
      <c r="W146" s="583">
        <f>+IF(V146="","",(VLOOKUP($C146,'EQUIP RATE SCHEDULE'!$B$11:$F$162,5,FALSE)))</f>
        <v>150</v>
      </c>
      <c r="X146" s="615"/>
      <c r="Y146" s="589">
        <f t="shared" si="42"/>
        <v>150</v>
      </c>
      <c r="Z146" s="772" t="s">
        <v>66</v>
      </c>
      <c r="AA146" s="576">
        <v>1</v>
      </c>
      <c r="AB146" s="583">
        <f>+IF(AA146="","",(VLOOKUP($C146,'EQUIP RATE SCHEDULE'!$B$11:$F$162,5,FALSE)))</f>
        <v>150</v>
      </c>
      <c r="AC146" s="615"/>
      <c r="AD146" s="589">
        <f t="shared" si="43"/>
        <v>150</v>
      </c>
      <c r="AE146" s="772" t="s">
        <v>66</v>
      </c>
      <c r="AF146" s="576">
        <v>1</v>
      </c>
      <c r="AG146" s="583">
        <f>+IF(AF146="","",(VLOOKUP($C146,'EQUIP RATE SCHEDULE'!$B$11:$F$162,5,FALSE)))</f>
        <v>150</v>
      </c>
      <c r="AH146" s="615"/>
      <c r="AI146" s="589">
        <f t="shared" si="44"/>
        <v>150</v>
      </c>
      <c r="AJ146" s="772" t="s">
        <v>66</v>
      </c>
      <c r="AK146" s="576">
        <v>1</v>
      </c>
      <c r="AL146" s="583">
        <f>+IF(AK146="","",(VLOOKUP($C146,'EQUIP RATE SCHEDULE'!$B$11:$F$162,5,FALSE)))</f>
        <v>150</v>
      </c>
      <c r="AM146" s="615"/>
      <c r="AN146" s="589">
        <f t="shared" si="45"/>
        <v>150</v>
      </c>
      <c r="AO146" s="772" t="s">
        <v>66</v>
      </c>
      <c r="AP146" s="576">
        <v>1</v>
      </c>
      <c r="AQ146" s="583">
        <f>+IF(AP146="","",(VLOOKUP($C146,'EQUIP RATE SCHEDULE'!$B$11:$F$162,5,FALSE)))</f>
        <v>150</v>
      </c>
      <c r="AR146" s="615"/>
      <c r="AS146" s="589">
        <f t="shared" si="46"/>
        <v>150</v>
      </c>
      <c r="AT146" s="772" t="s">
        <v>66</v>
      </c>
      <c r="AU146" s="576">
        <v>1</v>
      </c>
      <c r="AV146" s="583">
        <f>+IF(AU146="","",(VLOOKUP($C146,'EQUIP RATE SCHEDULE'!$B$11:$F$162,5,FALSE)))</f>
        <v>150</v>
      </c>
      <c r="AW146" s="615"/>
      <c r="AX146" s="589">
        <f t="shared" si="47"/>
        <v>150</v>
      </c>
      <c r="AY146" s="772" t="s">
        <v>66</v>
      </c>
      <c r="AZ146" s="576">
        <v>1</v>
      </c>
      <c r="BA146" s="583">
        <f>+IF(AZ146="","",(VLOOKUP($C146,'EQUIP RATE SCHEDULE'!$B$11:$F$162,5,FALSE)))</f>
        <v>150</v>
      </c>
      <c r="BB146" s="615"/>
      <c r="BC146" s="589">
        <f t="shared" si="48"/>
        <v>150</v>
      </c>
      <c r="BD146" s="772" t="s">
        <v>66</v>
      </c>
      <c r="BE146" s="576">
        <v>1</v>
      </c>
      <c r="BF146" s="583">
        <f>+IF(BE146="","",(VLOOKUP($C146,'EQUIP RATE SCHEDULE'!$B$11:$F$162,5,FALSE)))</f>
        <v>150</v>
      </c>
      <c r="BG146" s="615"/>
      <c r="BH146" s="589">
        <f t="shared" si="49"/>
        <v>150</v>
      </c>
      <c r="BI146" s="772" t="s">
        <v>66</v>
      </c>
      <c r="BJ146" s="576">
        <v>1</v>
      </c>
      <c r="BK146" s="583">
        <f>+IF(BJ146="","",(VLOOKUP($C146,'EQUIP RATE SCHEDULE'!$B$11:$F$162,5,FALSE)))</f>
        <v>150</v>
      </c>
      <c r="BL146" s="615"/>
      <c r="BM146" s="589">
        <f t="shared" si="50"/>
        <v>150</v>
      </c>
      <c r="BN146" s="772" t="s">
        <v>66</v>
      </c>
      <c r="BO146" s="576">
        <v>1</v>
      </c>
      <c r="BP146" s="583">
        <f>+IF(BO146="","",(VLOOKUP($C146,'EQUIP RATE SCHEDULE'!$B$11:$F$162,5,FALSE)))</f>
        <v>150</v>
      </c>
      <c r="BQ146" s="615"/>
      <c r="BR146" s="589">
        <f t="shared" si="51"/>
        <v>150</v>
      </c>
      <c r="BS146" s="772" t="s">
        <v>66</v>
      </c>
      <c r="BT146" s="576">
        <v>1</v>
      </c>
      <c r="BU146" s="583">
        <f>+IF(BT146="","",(VLOOKUP($C146,'EQUIP RATE SCHEDULE'!$B$11:$F$162,5,FALSE)))</f>
        <v>150</v>
      </c>
      <c r="BV146" s="615"/>
      <c r="BW146" s="589">
        <f t="shared" si="52"/>
        <v>150</v>
      </c>
      <c r="BX146" s="772" t="s">
        <v>66</v>
      </c>
      <c r="BY146" s="576">
        <v>1</v>
      </c>
      <c r="BZ146" s="583">
        <f>+IF(BY146="","",(VLOOKUP($C146,'EQUIP RATE SCHEDULE'!$B$11:$F$162,5,FALSE)))</f>
        <v>150</v>
      </c>
      <c r="CA146" s="615"/>
      <c r="CB146" s="589">
        <f t="shared" si="53"/>
        <v>150</v>
      </c>
      <c r="CC146" s="772" t="s">
        <v>66</v>
      </c>
      <c r="CD146" s="576">
        <v>1</v>
      </c>
      <c r="CE146" s="583">
        <f>+IF(CD146="","",(VLOOKUP($C146,'EQUIP RATE SCHEDULE'!$B$11:$F$162,5,FALSE)))</f>
        <v>150</v>
      </c>
      <c r="CF146" s="615"/>
      <c r="CG146" s="589">
        <f t="shared" si="54"/>
        <v>150</v>
      </c>
      <c r="CH146" s="772" t="s">
        <v>66</v>
      </c>
      <c r="CI146" s="576">
        <v>1</v>
      </c>
      <c r="CJ146" s="583">
        <f>+IF(CI146="","",(VLOOKUP($C146,'EQUIP RATE SCHEDULE'!$B$11:$F$162,5,FALSE)))</f>
        <v>150</v>
      </c>
      <c r="CK146" s="615"/>
      <c r="CL146" s="589">
        <f t="shared" si="55"/>
        <v>150</v>
      </c>
      <c r="CM146" s="772" t="s">
        <v>66</v>
      </c>
      <c r="CN146" s="576">
        <v>1</v>
      </c>
      <c r="CO146" s="583">
        <f>+IF(CN146="","",(VLOOKUP($C146,'EQUIP RATE SCHEDULE'!$B$11:$F$162,5,FALSE)))</f>
        <v>150</v>
      </c>
      <c r="CP146" s="615"/>
      <c r="CQ146" s="589">
        <f t="shared" si="56"/>
        <v>150</v>
      </c>
      <c r="CR146" s="772" t="s">
        <v>66</v>
      </c>
      <c r="CS146" s="576">
        <v>1</v>
      </c>
      <c r="CT146" s="583">
        <f>+IF(CS146="","",(VLOOKUP($C146,'EQUIP RATE SCHEDULE'!$B$11:$F$162,5,FALSE)))</f>
        <v>150</v>
      </c>
      <c r="CU146" s="615"/>
      <c r="CV146" s="589">
        <f t="shared" si="57"/>
        <v>150</v>
      </c>
      <c r="CW146" s="772" t="s">
        <v>66</v>
      </c>
      <c r="CX146" s="576">
        <v>1</v>
      </c>
      <c r="CY146" s="583">
        <f>+IF(CX146="","",(VLOOKUP($C146,'EQUIP RATE SCHEDULE'!$B$11:$F$162,5,FALSE)))</f>
        <v>150</v>
      </c>
      <c r="CZ146" s="615"/>
      <c r="DA146" s="589">
        <f t="shared" si="58"/>
        <v>150</v>
      </c>
    </row>
    <row r="147" spans="1:105" ht="15" x14ac:dyDescent="0.25">
      <c r="A147" s="1501"/>
      <c r="B147" s="814" t="s">
        <v>1273</v>
      </c>
      <c r="C147" s="789" t="s">
        <v>1192</v>
      </c>
      <c r="D147" s="1492"/>
      <c r="E147" s="1490"/>
      <c r="F147" s="769" t="s">
        <v>67</v>
      </c>
      <c r="G147" s="575"/>
      <c r="H147" s="584" t="str">
        <f>+IF(G147="","",(VLOOKUP($C147,'EQUIP RATE SCHEDULE'!$B$11:$F$162,5,FALSE)))</f>
        <v/>
      </c>
      <c r="I147" s="591"/>
      <c r="J147" s="613" t="str">
        <f t="shared" si="59"/>
        <v/>
      </c>
      <c r="K147" s="769" t="s">
        <v>67</v>
      </c>
      <c r="L147" s="575">
        <v>1</v>
      </c>
      <c r="M147" s="584">
        <f>+IF(L147="","",(VLOOKUP($C147,'EQUIP RATE SCHEDULE'!$B$11:$F$162,5,FALSE)))</f>
        <v>600</v>
      </c>
      <c r="N147" s="591"/>
      <c r="O147" s="613">
        <f t="shared" si="40"/>
        <v>600</v>
      </c>
      <c r="P147" s="769" t="s">
        <v>67</v>
      </c>
      <c r="Q147" s="575">
        <v>1</v>
      </c>
      <c r="R147" s="584">
        <f>+IF(Q147="","",(VLOOKUP($C147,'EQUIP RATE SCHEDULE'!$B$11:$F$162,5,FALSE)))</f>
        <v>600</v>
      </c>
      <c r="S147" s="591"/>
      <c r="T147" s="613">
        <f t="shared" si="41"/>
        <v>600</v>
      </c>
      <c r="U147" s="769" t="s">
        <v>67</v>
      </c>
      <c r="V147" s="575">
        <v>1</v>
      </c>
      <c r="W147" s="584">
        <f>+IF(V147="","",(VLOOKUP($C147,'EQUIP RATE SCHEDULE'!$B$11:$F$162,5,FALSE)))</f>
        <v>600</v>
      </c>
      <c r="X147" s="591"/>
      <c r="Y147" s="613">
        <f t="shared" si="42"/>
        <v>600</v>
      </c>
      <c r="Z147" s="769" t="s">
        <v>67</v>
      </c>
      <c r="AA147" s="575">
        <v>1</v>
      </c>
      <c r="AB147" s="584">
        <f>+IF(AA147="","",(VLOOKUP($C147,'EQUIP RATE SCHEDULE'!$B$11:$F$162,5,FALSE)))</f>
        <v>600</v>
      </c>
      <c r="AC147" s="591"/>
      <c r="AD147" s="613">
        <f t="shared" si="43"/>
        <v>600</v>
      </c>
      <c r="AE147" s="769" t="s">
        <v>67</v>
      </c>
      <c r="AF147" s="575">
        <v>1</v>
      </c>
      <c r="AG147" s="584">
        <f>+IF(AF147="","",(VLOOKUP($C147,'EQUIP RATE SCHEDULE'!$B$11:$F$162,5,FALSE)))</f>
        <v>600</v>
      </c>
      <c r="AH147" s="591"/>
      <c r="AI147" s="613">
        <f t="shared" si="44"/>
        <v>600</v>
      </c>
      <c r="AJ147" s="769" t="s">
        <v>67</v>
      </c>
      <c r="AK147" s="575">
        <v>1</v>
      </c>
      <c r="AL147" s="584">
        <f>+IF(AK147="","",(VLOOKUP($C147,'EQUIP RATE SCHEDULE'!$B$11:$F$162,5,FALSE)))</f>
        <v>600</v>
      </c>
      <c r="AM147" s="591"/>
      <c r="AN147" s="613">
        <f t="shared" si="45"/>
        <v>600</v>
      </c>
      <c r="AO147" s="769" t="s">
        <v>67</v>
      </c>
      <c r="AP147" s="575">
        <v>1</v>
      </c>
      <c r="AQ147" s="584">
        <f>+IF(AP147="","",(VLOOKUP($C147,'EQUIP RATE SCHEDULE'!$B$11:$F$162,5,FALSE)))</f>
        <v>600</v>
      </c>
      <c r="AR147" s="591"/>
      <c r="AS147" s="613">
        <f t="shared" si="46"/>
        <v>600</v>
      </c>
      <c r="AT147" s="769" t="s">
        <v>67</v>
      </c>
      <c r="AU147" s="575">
        <v>1</v>
      </c>
      <c r="AV147" s="584">
        <f>+IF(AU147="","",(VLOOKUP($C147,'EQUIP RATE SCHEDULE'!$B$11:$F$162,5,FALSE)))</f>
        <v>600</v>
      </c>
      <c r="AW147" s="591"/>
      <c r="AX147" s="613">
        <f t="shared" si="47"/>
        <v>600</v>
      </c>
      <c r="AY147" s="769" t="s">
        <v>67</v>
      </c>
      <c r="AZ147" s="575">
        <v>1</v>
      </c>
      <c r="BA147" s="584">
        <f>+IF(AZ147="","",(VLOOKUP($C147,'EQUIP RATE SCHEDULE'!$B$11:$F$162,5,FALSE)))</f>
        <v>600</v>
      </c>
      <c r="BB147" s="591"/>
      <c r="BC147" s="613">
        <f t="shared" si="48"/>
        <v>600</v>
      </c>
      <c r="BD147" s="769" t="s">
        <v>67</v>
      </c>
      <c r="BE147" s="575">
        <v>1</v>
      </c>
      <c r="BF147" s="584">
        <f>+IF(BE147="","",(VLOOKUP($C147,'EQUIP RATE SCHEDULE'!$B$11:$F$162,5,FALSE)))</f>
        <v>600</v>
      </c>
      <c r="BG147" s="591"/>
      <c r="BH147" s="613">
        <f t="shared" si="49"/>
        <v>600</v>
      </c>
      <c r="BI147" s="769" t="s">
        <v>67</v>
      </c>
      <c r="BJ147" s="575">
        <v>1</v>
      </c>
      <c r="BK147" s="584">
        <f>+IF(BJ147="","",(VLOOKUP($C147,'EQUIP RATE SCHEDULE'!$B$11:$F$162,5,FALSE)))</f>
        <v>600</v>
      </c>
      <c r="BL147" s="591"/>
      <c r="BM147" s="613">
        <f t="shared" si="50"/>
        <v>600</v>
      </c>
      <c r="BN147" s="769" t="s">
        <v>67</v>
      </c>
      <c r="BO147" s="575">
        <v>1</v>
      </c>
      <c r="BP147" s="584">
        <f>+IF(BO147="","",(VLOOKUP($C147,'EQUIP RATE SCHEDULE'!$B$11:$F$162,5,FALSE)))</f>
        <v>600</v>
      </c>
      <c r="BQ147" s="591"/>
      <c r="BR147" s="613">
        <f t="shared" si="51"/>
        <v>600</v>
      </c>
      <c r="BS147" s="769" t="s">
        <v>67</v>
      </c>
      <c r="BT147" s="575">
        <v>1</v>
      </c>
      <c r="BU147" s="584">
        <f>+IF(BT147="","",(VLOOKUP($C147,'EQUIP RATE SCHEDULE'!$B$11:$F$162,5,FALSE)))</f>
        <v>600</v>
      </c>
      <c r="BV147" s="591"/>
      <c r="BW147" s="613">
        <f t="shared" si="52"/>
        <v>600</v>
      </c>
      <c r="BX147" s="769" t="s">
        <v>67</v>
      </c>
      <c r="BY147" s="575">
        <v>1</v>
      </c>
      <c r="BZ147" s="584">
        <f>+IF(BY147="","",(VLOOKUP($C147,'EQUIP RATE SCHEDULE'!$B$11:$F$162,5,FALSE)))</f>
        <v>600</v>
      </c>
      <c r="CA147" s="591"/>
      <c r="CB147" s="613">
        <f t="shared" si="53"/>
        <v>600</v>
      </c>
      <c r="CC147" s="769" t="s">
        <v>67</v>
      </c>
      <c r="CD147" s="575">
        <v>1</v>
      </c>
      <c r="CE147" s="584">
        <f>+IF(CD147="","",(VLOOKUP($C147,'EQUIP RATE SCHEDULE'!$B$11:$F$162,5,FALSE)))</f>
        <v>600</v>
      </c>
      <c r="CF147" s="591"/>
      <c r="CG147" s="613">
        <f t="shared" si="54"/>
        <v>600</v>
      </c>
      <c r="CH147" s="769" t="s">
        <v>67</v>
      </c>
      <c r="CI147" s="575">
        <v>1</v>
      </c>
      <c r="CJ147" s="584">
        <f>+IF(CI147="","",(VLOOKUP($C147,'EQUIP RATE SCHEDULE'!$B$11:$F$162,5,FALSE)))</f>
        <v>600</v>
      </c>
      <c r="CK147" s="591"/>
      <c r="CL147" s="613">
        <f t="shared" si="55"/>
        <v>600</v>
      </c>
      <c r="CM147" s="769" t="s">
        <v>67</v>
      </c>
      <c r="CN147" s="575">
        <v>1</v>
      </c>
      <c r="CO147" s="584">
        <f>+IF(CN147="","",(VLOOKUP($C147,'EQUIP RATE SCHEDULE'!$B$11:$F$162,5,FALSE)))</f>
        <v>600</v>
      </c>
      <c r="CP147" s="591"/>
      <c r="CQ147" s="613">
        <f t="shared" si="56"/>
        <v>600</v>
      </c>
      <c r="CR147" s="769" t="s">
        <v>67</v>
      </c>
      <c r="CS147" s="575">
        <v>1</v>
      </c>
      <c r="CT147" s="584">
        <f>+IF(CS147="","",(VLOOKUP($C147,'EQUIP RATE SCHEDULE'!$B$11:$F$162,5,FALSE)))</f>
        <v>600</v>
      </c>
      <c r="CU147" s="591"/>
      <c r="CV147" s="613">
        <f t="shared" si="57"/>
        <v>600</v>
      </c>
      <c r="CW147" s="769" t="s">
        <v>67</v>
      </c>
      <c r="CX147" s="575">
        <v>1</v>
      </c>
      <c r="CY147" s="584">
        <f>+IF(CX147="","",(VLOOKUP($C147,'EQUIP RATE SCHEDULE'!$B$11:$F$162,5,FALSE)))</f>
        <v>600</v>
      </c>
      <c r="CZ147" s="591"/>
      <c r="DA147" s="613">
        <f t="shared" si="58"/>
        <v>600</v>
      </c>
    </row>
    <row r="148" spans="1:105" ht="15" x14ac:dyDescent="0.25">
      <c r="A148" s="1501"/>
      <c r="B148" s="814" t="s">
        <v>383</v>
      </c>
      <c r="C148" s="776" t="s">
        <v>1281</v>
      </c>
      <c r="D148" s="1485" t="s">
        <v>1278</v>
      </c>
      <c r="E148" s="1488"/>
      <c r="F148" s="772" t="s">
        <v>66</v>
      </c>
      <c r="G148" s="575">
        <v>1</v>
      </c>
      <c r="H148" s="584">
        <f>+IF(G148="","",(VLOOKUP($C148,'EQUIP RATE SCHEDULE'!$B$11:$F$162,5,FALSE)))</f>
        <v>100</v>
      </c>
      <c r="I148" s="591"/>
      <c r="J148" s="613">
        <f t="shared" si="59"/>
        <v>100</v>
      </c>
      <c r="K148" s="772" t="s">
        <v>66</v>
      </c>
      <c r="L148" s="575">
        <v>1</v>
      </c>
      <c r="M148" s="584">
        <f>+IF(L148="","",(VLOOKUP($C148,'EQUIP RATE SCHEDULE'!$B$11:$F$162,5,FALSE)))</f>
        <v>100</v>
      </c>
      <c r="N148" s="591"/>
      <c r="O148" s="613">
        <f t="shared" si="40"/>
        <v>100</v>
      </c>
      <c r="P148" s="772" t="s">
        <v>66</v>
      </c>
      <c r="Q148" s="575">
        <v>1</v>
      </c>
      <c r="R148" s="584">
        <f>+IF(Q148="","",(VLOOKUP($C148,'EQUIP RATE SCHEDULE'!$B$11:$F$162,5,FALSE)))</f>
        <v>100</v>
      </c>
      <c r="S148" s="591"/>
      <c r="T148" s="613">
        <f t="shared" si="41"/>
        <v>100</v>
      </c>
      <c r="U148" s="772" t="s">
        <v>66</v>
      </c>
      <c r="V148" s="575">
        <v>1</v>
      </c>
      <c r="W148" s="584">
        <f>+IF(V148="","",(VLOOKUP($C148,'EQUIP RATE SCHEDULE'!$B$11:$F$162,5,FALSE)))</f>
        <v>100</v>
      </c>
      <c r="X148" s="591"/>
      <c r="Y148" s="613">
        <f t="shared" si="42"/>
        <v>100</v>
      </c>
      <c r="Z148" s="772" t="s">
        <v>66</v>
      </c>
      <c r="AA148" s="575">
        <v>1</v>
      </c>
      <c r="AB148" s="584">
        <f>+IF(AA148="","",(VLOOKUP($C148,'EQUIP RATE SCHEDULE'!$B$11:$F$162,5,FALSE)))</f>
        <v>100</v>
      </c>
      <c r="AC148" s="591"/>
      <c r="AD148" s="613">
        <f t="shared" si="43"/>
        <v>100</v>
      </c>
      <c r="AE148" s="772" t="s">
        <v>66</v>
      </c>
      <c r="AF148" s="575">
        <v>1</v>
      </c>
      <c r="AG148" s="584">
        <f>+IF(AF148="","",(VLOOKUP($C148,'EQUIP RATE SCHEDULE'!$B$11:$F$162,5,FALSE)))</f>
        <v>100</v>
      </c>
      <c r="AH148" s="591"/>
      <c r="AI148" s="613">
        <f t="shared" si="44"/>
        <v>100</v>
      </c>
      <c r="AJ148" s="772" t="s">
        <v>66</v>
      </c>
      <c r="AK148" s="575">
        <v>1</v>
      </c>
      <c r="AL148" s="584">
        <f>+IF(AK148="","",(VLOOKUP($C148,'EQUIP RATE SCHEDULE'!$B$11:$F$162,5,FALSE)))</f>
        <v>100</v>
      </c>
      <c r="AM148" s="591"/>
      <c r="AN148" s="613">
        <f t="shared" si="45"/>
        <v>100</v>
      </c>
      <c r="AO148" s="772" t="s">
        <v>66</v>
      </c>
      <c r="AP148" s="575">
        <v>1</v>
      </c>
      <c r="AQ148" s="584">
        <f>+IF(AP148="","",(VLOOKUP($C148,'EQUIP RATE SCHEDULE'!$B$11:$F$162,5,FALSE)))</f>
        <v>100</v>
      </c>
      <c r="AR148" s="591"/>
      <c r="AS148" s="613">
        <f t="shared" si="46"/>
        <v>100</v>
      </c>
      <c r="AT148" s="772" t="s">
        <v>66</v>
      </c>
      <c r="AU148" s="575">
        <v>1</v>
      </c>
      <c r="AV148" s="584">
        <f>+IF(AU148="","",(VLOOKUP($C148,'EQUIP RATE SCHEDULE'!$B$11:$F$162,5,FALSE)))</f>
        <v>100</v>
      </c>
      <c r="AW148" s="591"/>
      <c r="AX148" s="613">
        <f t="shared" si="47"/>
        <v>100</v>
      </c>
      <c r="AY148" s="772" t="s">
        <v>66</v>
      </c>
      <c r="AZ148" s="575">
        <v>1</v>
      </c>
      <c r="BA148" s="584">
        <f>+IF(AZ148="","",(VLOOKUP($C148,'EQUIP RATE SCHEDULE'!$B$11:$F$162,5,FALSE)))</f>
        <v>100</v>
      </c>
      <c r="BB148" s="591"/>
      <c r="BC148" s="613">
        <f t="shared" si="48"/>
        <v>100</v>
      </c>
      <c r="BD148" s="772" t="s">
        <v>66</v>
      </c>
      <c r="BE148" s="575">
        <v>1</v>
      </c>
      <c r="BF148" s="584">
        <f>+IF(BE148="","",(VLOOKUP($C148,'EQUIP RATE SCHEDULE'!$B$11:$F$162,5,FALSE)))</f>
        <v>100</v>
      </c>
      <c r="BG148" s="591"/>
      <c r="BH148" s="613">
        <f t="shared" si="49"/>
        <v>100</v>
      </c>
      <c r="BI148" s="772" t="s">
        <v>66</v>
      </c>
      <c r="BJ148" s="575">
        <v>1</v>
      </c>
      <c r="BK148" s="584">
        <f>+IF(BJ148="","",(VLOOKUP($C148,'EQUIP RATE SCHEDULE'!$B$11:$F$162,5,FALSE)))</f>
        <v>100</v>
      </c>
      <c r="BL148" s="591"/>
      <c r="BM148" s="613">
        <f t="shared" si="50"/>
        <v>100</v>
      </c>
      <c r="BN148" s="772" t="s">
        <v>66</v>
      </c>
      <c r="BO148" s="575">
        <v>1</v>
      </c>
      <c r="BP148" s="584">
        <f>+IF(BO148="","",(VLOOKUP($C148,'EQUIP RATE SCHEDULE'!$B$11:$F$162,5,FALSE)))</f>
        <v>100</v>
      </c>
      <c r="BQ148" s="591"/>
      <c r="BR148" s="613">
        <f t="shared" si="51"/>
        <v>100</v>
      </c>
      <c r="BS148" s="772" t="s">
        <v>66</v>
      </c>
      <c r="BT148" s="575">
        <v>1</v>
      </c>
      <c r="BU148" s="584">
        <f>+IF(BT148="","",(VLOOKUP($C148,'EQUIP RATE SCHEDULE'!$B$11:$F$162,5,FALSE)))</f>
        <v>100</v>
      </c>
      <c r="BV148" s="591"/>
      <c r="BW148" s="613">
        <f t="shared" si="52"/>
        <v>100</v>
      </c>
      <c r="BX148" s="772" t="s">
        <v>66</v>
      </c>
      <c r="BY148" s="575">
        <v>1</v>
      </c>
      <c r="BZ148" s="584">
        <f>+IF(BY148="","",(VLOOKUP($C148,'EQUIP RATE SCHEDULE'!$B$11:$F$162,5,FALSE)))</f>
        <v>100</v>
      </c>
      <c r="CA148" s="591"/>
      <c r="CB148" s="613">
        <f t="shared" si="53"/>
        <v>100</v>
      </c>
      <c r="CC148" s="772" t="s">
        <v>66</v>
      </c>
      <c r="CD148" s="575">
        <v>1</v>
      </c>
      <c r="CE148" s="584">
        <f>+IF(CD148="","",(VLOOKUP($C148,'EQUIP RATE SCHEDULE'!$B$11:$F$162,5,FALSE)))</f>
        <v>100</v>
      </c>
      <c r="CF148" s="591"/>
      <c r="CG148" s="613">
        <f t="shared" si="54"/>
        <v>100</v>
      </c>
      <c r="CH148" s="772" t="s">
        <v>66</v>
      </c>
      <c r="CI148" s="575">
        <v>1</v>
      </c>
      <c r="CJ148" s="584">
        <f>+IF(CI148="","",(VLOOKUP($C148,'EQUIP RATE SCHEDULE'!$B$11:$F$162,5,FALSE)))</f>
        <v>100</v>
      </c>
      <c r="CK148" s="591"/>
      <c r="CL148" s="613">
        <f t="shared" si="55"/>
        <v>100</v>
      </c>
      <c r="CM148" s="772" t="s">
        <v>66</v>
      </c>
      <c r="CN148" s="575">
        <v>1</v>
      </c>
      <c r="CO148" s="584">
        <f>+IF(CN148="","",(VLOOKUP($C148,'EQUIP RATE SCHEDULE'!$B$11:$F$162,5,FALSE)))</f>
        <v>100</v>
      </c>
      <c r="CP148" s="591"/>
      <c r="CQ148" s="613">
        <f t="shared" si="56"/>
        <v>100</v>
      </c>
      <c r="CR148" s="772" t="s">
        <v>66</v>
      </c>
      <c r="CS148" s="575">
        <v>1</v>
      </c>
      <c r="CT148" s="584">
        <f>+IF(CS148="","",(VLOOKUP($C148,'EQUIP RATE SCHEDULE'!$B$11:$F$162,5,FALSE)))</f>
        <v>100</v>
      </c>
      <c r="CU148" s="591"/>
      <c r="CV148" s="613">
        <f t="shared" si="57"/>
        <v>100</v>
      </c>
      <c r="CW148" s="772" t="s">
        <v>66</v>
      </c>
      <c r="CX148" s="575">
        <v>1</v>
      </c>
      <c r="CY148" s="584">
        <f>+IF(CX148="","",(VLOOKUP($C148,'EQUIP RATE SCHEDULE'!$B$11:$F$162,5,FALSE)))</f>
        <v>100</v>
      </c>
      <c r="CZ148" s="591"/>
      <c r="DA148" s="613">
        <f t="shared" si="58"/>
        <v>100</v>
      </c>
    </row>
    <row r="149" spans="1:105" ht="15" x14ac:dyDescent="0.25">
      <c r="A149" s="1501"/>
      <c r="B149" s="814" t="s">
        <v>383</v>
      </c>
      <c r="C149" s="776" t="s">
        <v>1282</v>
      </c>
      <c r="D149" s="1486"/>
      <c r="E149" s="1489"/>
      <c r="F149" s="769" t="s">
        <v>67</v>
      </c>
      <c r="G149" s="575">
        <v>1</v>
      </c>
      <c r="H149" s="584">
        <f>+IF(G149="","",(VLOOKUP($C149,'EQUIP RATE SCHEDULE'!$B$11:$F$162,5,FALSE)))</f>
        <v>175</v>
      </c>
      <c r="I149" s="591"/>
      <c r="J149" s="613">
        <f t="shared" si="59"/>
        <v>175</v>
      </c>
      <c r="K149" s="769" t="s">
        <v>67</v>
      </c>
      <c r="L149" s="575">
        <v>1</v>
      </c>
      <c r="M149" s="584">
        <f>+IF(L149="","",(VLOOKUP($C149,'EQUIP RATE SCHEDULE'!$B$11:$F$162,5,FALSE)))</f>
        <v>175</v>
      </c>
      <c r="N149" s="591"/>
      <c r="O149" s="613">
        <f t="shared" si="40"/>
        <v>175</v>
      </c>
      <c r="P149" s="769" t="s">
        <v>67</v>
      </c>
      <c r="Q149" s="575">
        <v>1</v>
      </c>
      <c r="R149" s="584">
        <f>+IF(Q149="","",(VLOOKUP($C149,'EQUIP RATE SCHEDULE'!$B$11:$F$162,5,FALSE)))</f>
        <v>175</v>
      </c>
      <c r="S149" s="591"/>
      <c r="T149" s="613">
        <f t="shared" si="41"/>
        <v>175</v>
      </c>
      <c r="U149" s="769" t="s">
        <v>67</v>
      </c>
      <c r="V149" s="575">
        <v>1</v>
      </c>
      <c r="W149" s="584">
        <f>+IF(V149="","",(VLOOKUP($C149,'EQUIP RATE SCHEDULE'!$B$11:$F$162,5,FALSE)))</f>
        <v>175</v>
      </c>
      <c r="X149" s="591"/>
      <c r="Y149" s="613">
        <f t="shared" si="42"/>
        <v>175</v>
      </c>
      <c r="Z149" s="769" t="s">
        <v>67</v>
      </c>
      <c r="AA149" s="575">
        <v>1</v>
      </c>
      <c r="AB149" s="584">
        <f>+IF(AA149="","",(VLOOKUP($C149,'EQUIP RATE SCHEDULE'!$B$11:$F$162,5,FALSE)))</f>
        <v>175</v>
      </c>
      <c r="AC149" s="591"/>
      <c r="AD149" s="613">
        <f t="shared" si="43"/>
        <v>175</v>
      </c>
      <c r="AE149" s="769" t="s">
        <v>67</v>
      </c>
      <c r="AF149" s="575">
        <v>1</v>
      </c>
      <c r="AG149" s="584">
        <f>+IF(AF149="","",(VLOOKUP($C149,'EQUIP RATE SCHEDULE'!$B$11:$F$162,5,FALSE)))</f>
        <v>175</v>
      </c>
      <c r="AH149" s="591"/>
      <c r="AI149" s="613">
        <f t="shared" si="44"/>
        <v>175</v>
      </c>
      <c r="AJ149" s="769" t="s">
        <v>67</v>
      </c>
      <c r="AK149" s="575">
        <v>1</v>
      </c>
      <c r="AL149" s="584">
        <f>+IF(AK149="","",(VLOOKUP($C149,'EQUIP RATE SCHEDULE'!$B$11:$F$162,5,FALSE)))</f>
        <v>175</v>
      </c>
      <c r="AM149" s="591"/>
      <c r="AN149" s="613">
        <f t="shared" si="45"/>
        <v>175</v>
      </c>
      <c r="AO149" s="769" t="s">
        <v>67</v>
      </c>
      <c r="AP149" s="575">
        <v>1</v>
      </c>
      <c r="AQ149" s="584">
        <f>+IF(AP149="","",(VLOOKUP($C149,'EQUIP RATE SCHEDULE'!$B$11:$F$162,5,FALSE)))</f>
        <v>175</v>
      </c>
      <c r="AR149" s="591"/>
      <c r="AS149" s="613">
        <f t="shared" si="46"/>
        <v>175</v>
      </c>
      <c r="AT149" s="769" t="s">
        <v>67</v>
      </c>
      <c r="AU149" s="575">
        <v>1</v>
      </c>
      <c r="AV149" s="584">
        <f>+IF(AU149="","",(VLOOKUP($C149,'EQUIP RATE SCHEDULE'!$B$11:$F$162,5,FALSE)))</f>
        <v>175</v>
      </c>
      <c r="AW149" s="591"/>
      <c r="AX149" s="613">
        <f t="shared" si="47"/>
        <v>175</v>
      </c>
      <c r="AY149" s="769" t="s">
        <v>67</v>
      </c>
      <c r="AZ149" s="575">
        <v>1</v>
      </c>
      <c r="BA149" s="584">
        <f>+IF(AZ149="","",(VLOOKUP($C149,'EQUIP RATE SCHEDULE'!$B$11:$F$162,5,FALSE)))</f>
        <v>175</v>
      </c>
      <c r="BB149" s="591"/>
      <c r="BC149" s="613">
        <f t="shared" si="48"/>
        <v>175</v>
      </c>
      <c r="BD149" s="769" t="s">
        <v>67</v>
      </c>
      <c r="BE149" s="575">
        <v>1</v>
      </c>
      <c r="BF149" s="584">
        <f>+IF(BE149="","",(VLOOKUP($C149,'EQUIP RATE SCHEDULE'!$B$11:$F$162,5,FALSE)))</f>
        <v>175</v>
      </c>
      <c r="BG149" s="591"/>
      <c r="BH149" s="613">
        <f t="shared" si="49"/>
        <v>175</v>
      </c>
      <c r="BI149" s="769" t="s">
        <v>67</v>
      </c>
      <c r="BJ149" s="575">
        <v>1</v>
      </c>
      <c r="BK149" s="584">
        <f>+IF(BJ149="","",(VLOOKUP($C149,'EQUIP RATE SCHEDULE'!$B$11:$F$162,5,FALSE)))</f>
        <v>175</v>
      </c>
      <c r="BL149" s="591"/>
      <c r="BM149" s="613">
        <f t="shared" si="50"/>
        <v>175</v>
      </c>
      <c r="BN149" s="769" t="s">
        <v>67</v>
      </c>
      <c r="BO149" s="575">
        <v>1</v>
      </c>
      <c r="BP149" s="584">
        <f>+IF(BO149="","",(VLOOKUP($C149,'EQUIP RATE SCHEDULE'!$B$11:$F$162,5,FALSE)))</f>
        <v>175</v>
      </c>
      <c r="BQ149" s="591"/>
      <c r="BR149" s="613">
        <f t="shared" si="51"/>
        <v>175</v>
      </c>
      <c r="BS149" s="769" t="s">
        <v>67</v>
      </c>
      <c r="BT149" s="575">
        <v>1</v>
      </c>
      <c r="BU149" s="584">
        <f>+IF(BT149="","",(VLOOKUP($C149,'EQUIP RATE SCHEDULE'!$B$11:$F$162,5,FALSE)))</f>
        <v>175</v>
      </c>
      <c r="BV149" s="591"/>
      <c r="BW149" s="613">
        <f t="shared" si="52"/>
        <v>175</v>
      </c>
      <c r="BX149" s="769" t="s">
        <v>67</v>
      </c>
      <c r="BY149" s="575">
        <v>1</v>
      </c>
      <c r="BZ149" s="584">
        <f>+IF(BY149="","",(VLOOKUP($C149,'EQUIP RATE SCHEDULE'!$B$11:$F$162,5,FALSE)))</f>
        <v>175</v>
      </c>
      <c r="CA149" s="591"/>
      <c r="CB149" s="613">
        <f t="shared" si="53"/>
        <v>175</v>
      </c>
      <c r="CC149" s="769" t="s">
        <v>67</v>
      </c>
      <c r="CD149" s="575">
        <v>1</v>
      </c>
      <c r="CE149" s="584">
        <f>+IF(CD149="","",(VLOOKUP($C149,'EQUIP RATE SCHEDULE'!$B$11:$F$162,5,FALSE)))</f>
        <v>175</v>
      </c>
      <c r="CF149" s="591"/>
      <c r="CG149" s="613">
        <f t="shared" si="54"/>
        <v>175</v>
      </c>
      <c r="CH149" s="769" t="s">
        <v>67</v>
      </c>
      <c r="CI149" s="575">
        <v>1</v>
      </c>
      <c r="CJ149" s="584">
        <f>+IF(CI149="","",(VLOOKUP($C149,'EQUIP RATE SCHEDULE'!$B$11:$F$162,5,FALSE)))</f>
        <v>175</v>
      </c>
      <c r="CK149" s="591"/>
      <c r="CL149" s="613">
        <f t="shared" si="55"/>
        <v>175</v>
      </c>
      <c r="CM149" s="769" t="s">
        <v>67</v>
      </c>
      <c r="CN149" s="575">
        <v>1</v>
      </c>
      <c r="CO149" s="584">
        <f>+IF(CN149="","",(VLOOKUP($C149,'EQUIP RATE SCHEDULE'!$B$11:$F$162,5,FALSE)))</f>
        <v>175</v>
      </c>
      <c r="CP149" s="591"/>
      <c r="CQ149" s="613">
        <f t="shared" si="56"/>
        <v>175</v>
      </c>
      <c r="CR149" s="769" t="s">
        <v>67</v>
      </c>
      <c r="CS149" s="575">
        <v>1</v>
      </c>
      <c r="CT149" s="584">
        <f>+IF(CS149="","",(VLOOKUP($C149,'EQUIP RATE SCHEDULE'!$B$11:$F$162,5,FALSE)))</f>
        <v>175</v>
      </c>
      <c r="CU149" s="591"/>
      <c r="CV149" s="613">
        <f t="shared" si="57"/>
        <v>175</v>
      </c>
      <c r="CW149" s="769" t="s">
        <v>67</v>
      </c>
      <c r="CX149" s="575">
        <v>1</v>
      </c>
      <c r="CY149" s="584">
        <f>+IF(CX149="","",(VLOOKUP($C149,'EQUIP RATE SCHEDULE'!$B$11:$F$162,5,FALSE)))</f>
        <v>175</v>
      </c>
      <c r="CZ149" s="591"/>
      <c r="DA149" s="613">
        <f t="shared" si="58"/>
        <v>175</v>
      </c>
    </row>
    <row r="150" spans="1:105" ht="15" x14ac:dyDescent="0.25">
      <c r="A150" s="1501"/>
      <c r="B150" s="814" t="s">
        <v>383</v>
      </c>
      <c r="C150" s="776" t="s">
        <v>1283</v>
      </c>
      <c r="D150" s="1487"/>
      <c r="E150" s="1490"/>
      <c r="F150" s="769" t="s">
        <v>68</v>
      </c>
      <c r="G150" s="575">
        <v>1</v>
      </c>
      <c r="H150" s="584">
        <f>+IF(G150="","",(VLOOKUP($C150,'EQUIP RATE SCHEDULE'!$B$11:$F$162,5,FALSE)))</f>
        <v>525</v>
      </c>
      <c r="I150" s="591"/>
      <c r="J150" s="613">
        <f t="shared" si="59"/>
        <v>525</v>
      </c>
      <c r="K150" s="769" t="s">
        <v>68</v>
      </c>
      <c r="L150" s="575">
        <v>1</v>
      </c>
      <c r="M150" s="584">
        <f>+IF(L150="","",(VLOOKUP($C150,'EQUIP RATE SCHEDULE'!$B$11:$F$162,5,FALSE)))</f>
        <v>525</v>
      </c>
      <c r="N150" s="591"/>
      <c r="O150" s="613">
        <f t="shared" si="40"/>
        <v>525</v>
      </c>
      <c r="P150" s="769" t="s">
        <v>68</v>
      </c>
      <c r="Q150" s="575">
        <v>1</v>
      </c>
      <c r="R150" s="584">
        <f>+IF(Q150="","",(VLOOKUP($C150,'EQUIP RATE SCHEDULE'!$B$11:$F$162,5,FALSE)))</f>
        <v>525</v>
      </c>
      <c r="S150" s="591"/>
      <c r="T150" s="613">
        <f t="shared" si="41"/>
        <v>525</v>
      </c>
      <c r="U150" s="769" t="s">
        <v>68</v>
      </c>
      <c r="V150" s="575">
        <v>1</v>
      </c>
      <c r="W150" s="584">
        <f>+IF(V150="","",(VLOOKUP($C150,'EQUIP RATE SCHEDULE'!$B$11:$F$162,5,FALSE)))</f>
        <v>525</v>
      </c>
      <c r="X150" s="591"/>
      <c r="Y150" s="613">
        <f t="shared" si="42"/>
        <v>525</v>
      </c>
      <c r="Z150" s="769" t="s">
        <v>68</v>
      </c>
      <c r="AA150" s="575">
        <v>1</v>
      </c>
      <c r="AB150" s="584">
        <f>+IF(AA150="","",(VLOOKUP($C150,'EQUIP RATE SCHEDULE'!$B$11:$F$162,5,FALSE)))</f>
        <v>525</v>
      </c>
      <c r="AC150" s="591"/>
      <c r="AD150" s="613">
        <f t="shared" si="43"/>
        <v>525</v>
      </c>
      <c r="AE150" s="769" t="s">
        <v>68</v>
      </c>
      <c r="AF150" s="575">
        <v>1</v>
      </c>
      <c r="AG150" s="584">
        <f>+IF(AF150="","",(VLOOKUP($C150,'EQUIP RATE SCHEDULE'!$B$11:$F$162,5,FALSE)))</f>
        <v>525</v>
      </c>
      <c r="AH150" s="591"/>
      <c r="AI150" s="613">
        <f t="shared" si="44"/>
        <v>525</v>
      </c>
      <c r="AJ150" s="769" t="s">
        <v>68</v>
      </c>
      <c r="AK150" s="575">
        <v>1</v>
      </c>
      <c r="AL150" s="584">
        <f>+IF(AK150="","",(VLOOKUP($C150,'EQUIP RATE SCHEDULE'!$B$11:$F$162,5,FALSE)))</f>
        <v>525</v>
      </c>
      <c r="AM150" s="591"/>
      <c r="AN150" s="613">
        <f t="shared" si="45"/>
        <v>525</v>
      </c>
      <c r="AO150" s="769" t="s">
        <v>68</v>
      </c>
      <c r="AP150" s="575">
        <v>1</v>
      </c>
      <c r="AQ150" s="584">
        <f>+IF(AP150="","",(VLOOKUP($C150,'EQUIP RATE SCHEDULE'!$B$11:$F$162,5,FALSE)))</f>
        <v>525</v>
      </c>
      <c r="AR150" s="591"/>
      <c r="AS150" s="613">
        <f t="shared" si="46"/>
        <v>525</v>
      </c>
      <c r="AT150" s="769" t="s">
        <v>68</v>
      </c>
      <c r="AU150" s="575">
        <v>1</v>
      </c>
      <c r="AV150" s="584">
        <f>+IF(AU150="","",(VLOOKUP($C150,'EQUIP RATE SCHEDULE'!$B$11:$F$162,5,FALSE)))</f>
        <v>525</v>
      </c>
      <c r="AW150" s="591"/>
      <c r="AX150" s="613">
        <f t="shared" si="47"/>
        <v>525</v>
      </c>
      <c r="AY150" s="769" t="s">
        <v>68</v>
      </c>
      <c r="AZ150" s="575">
        <v>1</v>
      </c>
      <c r="BA150" s="584">
        <f>+IF(AZ150="","",(VLOOKUP($C150,'EQUIP RATE SCHEDULE'!$B$11:$F$162,5,FALSE)))</f>
        <v>525</v>
      </c>
      <c r="BB150" s="591"/>
      <c r="BC150" s="613">
        <f t="shared" si="48"/>
        <v>525</v>
      </c>
      <c r="BD150" s="769" t="s">
        <v>68</v>
      </c>
      <c r="BE150" s="575">
        <v>1</v>
      </c>
      <c r="BF150" s="584">
        <f>+IF(BE150="","",(VLOOKUP($C150,'EQUIP RATE SCHEDULE'!$B$11:$F$162,5,FALSE)))</f>
        <v>525</v>
      </c>
      <c r="BG150" s="591"/>
      <c r="BH150" s="613">
        <f t="shared" si="49"/>
        <v>525</v>
      </c>
      <c r="BI150" s="769" t="s">
        <v>68</v>
      </c>
      <c r="BJ150" s="575">
        <v>1</v>
      </c>
      <c r="BK150" s="584">
        <f>+IF(BJ150="","",(VLOOKUP($C150,'EQUIP RATE SCHEDULE'!$B$11:$F$162,5,FALSE)))</f>
        <v>525</v>
      </c>
      <c r="BL150" s="591"/>
      <c r="BM150" s="613">
        <f t="shared" si="50"/>
        <v>525</v>
      </c>
      <c r="BN150" s="769" t="s">
        <v>68</v>
      </c>
      <c r="BO150" s="575">
        <v>1</v>
      </c>
      <c r="BP150" s="584">
        <f>+IF(BO150="","",(VLOOKUP($C150,'EQUIP RATE SCHEDULE'!$B$11:$F$162,5,FALSE)))</f>
        <v>525</v>
      </c>
      <c r="BQ150" s="591"/>
      <c r="BR150" s="613">
        <f t="shared" si="51"/>
        <v>525</v>
      </c>
      <c r="BS150" s="769" t="s">
        <v>68</v>
      </c>
      <c r="BT150" s="575">
        <v>1</v>
      </c>
      <c r="BU150" s="584">
        <f>+IF(BT150="","",(VLOOKUP($C150,'EQUIP RATE SCHEDULE'!$B$11:$F$162,5,FALSE)))</f>
        <v>525</v>
      </c>
      <c r="BV150" s="591"/>
      <c r="BW150" s="613">
        <f t="shared" si="52"/>
        <v>525</v>
      </c>
      <c r="BX150" s="769" t="s">
        <v>68</v>
      </c>
      <c r="BY150" s="575">
        <v>1</v>
      </c>
      <c r="BZ150" s="584">
        <f>+IF(BY150="","",(VLOOKUP($C150,'EQUIP RATE SCHEDULE'!$B$11:$F$162,5,FALSE)))</f>
        <v>525</v>
      </c>
      <c r="CA150" s="591"/>
      <c r="CB150" s="613">
        <f t="shared" si="53"/>
        <v>525</v>
      </c>
      <c r="CC150" s="769" t="s">
        <v>68</v>
      </c>
      <c r="CD150" s="575">
        <v>1</v>
      </c>
      <c r="CE150" s="584">
        <f>+IF(CD150="","",(VLOOKUP($C150,'EQUIP RATE SCHEDULE'!$B$11:$F$162,5,FALSE)))</f>
        <v>525</v>
      </c>
      <c r="CF150" s="591"/>
      <c r="CG150" s="613">
        <f t="shared" si="54"/>
        <v>525</v>
      </c>
      <c r="CH150" s="769" t="s">
        <v>68</v>
      </c>
      <c r="CI150" s="575">
        <v>1</v>
      </c>
      <c r="CJ150" s="584">
        <f>+IF(CI150="","",(VLOOKUP($C150,'EQUIP RATE SCHEDULE'!$B$11:$F$162,5,FALSE)))</f>
        <v>525</v>
      </c>
      <c r="CK150" s="591"/>
      <c r="CL150" s="613">
        <f t="shared" si="55"/>
        <v>525</v>
      </c>
      <c r="CM150" s="769" t="s">
        <v>68</v>
      </c>
      <c r="CN150" s="575">
        <v>1</v>
      </c>
      <c r="CO150" s="584">
        <f>+IF(CN150="","",(VLOOKUP($C150,'EQUIP RATE SCHEDULE'!$B$11:$F$162,5,FALSE)))</f>
        <v>525</v>
      </c>
      <c r="CP150" s="591"/>
      <c r="CQ150" s="613">
        <f t="shared" si="56"/>
        <v>525</v>
      </c>
      <c r="CR150" s="769" t="s">
        <v>68</v>
      </c>
      <c r="CS150" s="575">
        <v>1</v>
      </c>
      <c r="CT150" s="584">
        <f>+IF(CS150="","",(VLOOKUP($C150,'EQUIP RATE SCHEDULE'!$B$11:$F$162,5,FALSE)))</f>
        <v>525</v>
      </c>
      <c r="CU150" s="591"/>
      <c r="CV150" s="613">
        <f t="shared" si="57"/>
        <v>525</v>
      </c>
      <c r="CW150" s="769" t="s">
        <v>68</v>
      </c>
      <c r="CX150" s="575">
        <v>1</v>
      </c>
      <c r="CY150" s="584">
        <f>+IF(CX150="","",(VLOOKUP($C150,'EQUIP RATE SCHEDULE'!$B$11:$F$162,5,FALSE)))</f>
        <v>525</v>
      </c>
      <c r="CZ150" s="591"/>
      <c r="DA150" s="613">
        <f t="shared" si="58"/>
        <v>525</v>
      </c>
    </row>
    <row r="151" spans="1:105" ht="15" x14ac:dyDescent="0.25">
      <c r="A151" s="1501"/>
      <c r="B151" s="814" t="s">
        <v>1273</v>
      </c>
      <c r="C151" s="789" t="s">
        <v>1193</v>
      </c>
      <c r="D151" s="1491" t="s">
        <v>1194</v>
      </c>
      <c r="E151" s="1488" t="s">
        <v>1195</v>
      </c>
      <c r="F151" s="769" t="s">
        <v>66</v>
      </c>
      <c r="G151" s="575">
        <v>1</v>
      </c>
      <c r="H151" s="584">
        <f>+IF(G151="","",(VLOOKUP($C151,'EQUIP RATE SCHEDULE'!$B$11:$F$162,5,FALSE)))</f>
        <v>25</v>
      </c>
      <c r="I151" s="591"/>
      <c r="J151" s="613">
        <f t="shared" si="59"/>
        <v>25</v>
      </c>
      <c r="K151" s="769" t="s">
        <v>66</v>
      </c>
      <c r="L151" s="575">
        <v>1</v>
      </c>
      <c r="M151" s="584">
        <f>+IF(L151="","",(VLOOKUP($C151,'EQUIP RATE SCHEDULE'!$B$11:$F$162,5,FALSE)))</f>
        <v>25</v>
      </c>
      <c r="N151" s="591"/>
      <c r="O151" s="613">
        <f t="shared" si="40"/>
        <v>25</v>
      </c>
      <c r="P151" s="769" t="s">
        <v>66</v>
      </c>
      <c r="Q151" s="575">
        <v>1</v>
      </c>
      <c r="R151" s="584">
        <f>+IF(Q151="","",(VLOOKUP($C151,'EQUIP RATE SCHEDULE'!$B$11:$F$162,5,FALSE)))</f>
        <v>25</v>
      </c>
      <c r="S151" s="591"/>
      <c r="T151" s="613">
        <f t="shared" si="41"/>
        <v>25</v>
      </c>
      <c r="U151" s="769" t="s">
        <v>66</v>
      </c>
      <c r="V151" s="575">
        <v>1</v>
      </c>
      <c r="W151" s="584">
        <f>+IF(V151="","",(VLOOKUP($C151,'EQUIP RATE SCHEDULE'!$B$11:$F$162,5,FALSE)))</f>
        <v>25</v>
      </c>
      <c r="X151" s="591"/>
      <c r="Y151" s="613">
        <f t="shared" si="42"/>
        <v>25</v>
      </c>
      <c r="Z151" s="769" t="s">
        <v>66</v>
      </c>
      <c r="AA151" s="575">
        <v>1</v>
      </c>
      <c r="AB151" s="584">
        <f>+IF(AA151="","",(VLOOKUP($C151,'EQUIP RATE SCHEDULE'!$B$11:$F$162,5,FALSE)))</f>
        <v>25</v>
      </c>
      <c r="AC151" s="591"/>
      <c r="AD151" s="613">
        <f t="shared" si="43"/>
        <v>25</v>
      </c>
      <c r="AE151" s="769" t="s">
        <v>66</v>
      </c>
      <c r="AF151" s="575">
        <v>1</v>
      </c>
      <c r="AG151" s="584">
        <f>+IF(AF151="","",(VLOOKUP($C151,'EQUIP RATE SCHEDULE'!$B$11:$F$162,5,FALSE)))</f>
        <v>25</v>
      </c>
      <c r="AH151" s="591"/>
      <c r="AI151" s="613">
        <f t="shared" si="44"/>
        <v>25</v>
      </c>
      <c r="AJ151" s="769" t="s">
        <v>66</v>
      </c>
      <c r="AK151" s="575">
        <v>1</v>
      </c>
      <c r="AL151" s="584">
        <f>+IF(AK151="","",(VLOOKUP($C151,'EQUIP RATE SCHEDULE'!$B$11:$F$162,5,FALSE)))</f>
        <v>25</v>
      </c>
      <c r="AM151" s="591"/>
      <c r="AN151" s="613">
        <f t="shared" si="45"/>
        <v>25</v>
      </c>
      <c r="AO151" s="769" t="s">
        <v>66</v>
      </c>
      <c r="AP151" s="575">
        <v>1</v>
      </c>
      <c r="AQ151" s="584">
        <f>+IF(AP151="","",(VLOOKUP($C151,'EQUIP RATE SCHEDULE'!$B$11:$F$162,5,FALSE)))</f>
        <v>25</v>
      </c>
      <c r="AR151" s="591"/>
      <c r="AS151" s="613">
        <f t="shared" si="46"/>
        <v>25</v>
      </c>
      <c r="AT151" s="769" t="s">
        <v>66</v>
      </c>
      <c r="AU151" s="575">
        <v>1</v>
      </c>
      <c r="AV151" s="584">
        <f>+IF(AU151="","",(VLOOKUP($C151,'EQUIP RATE SCHEDULE'!$B$11:$F$162,5,FALSE)))</f>
        <v>25</v>
      </c>
      <c r="AW151" s="591"/>
      <c r="AX151" s="613">
        <f t="shared" si="47"/>
        <v>25</v>
      </c>
      <c r="AY151" s="769" t="s">
        <v>66</v>
      </c>
      <c r="AZ151" s="575">
        <v>1</v>
      </c>
      <c r="BA151" s="584">
        <f>+IF(AZ151="","",(VLOOKUP($C151,'EQUIP RATE SCHEDULE'!$B$11:$F$162,5,FALSE)))</f>
        <v>25</v>
      </c>
      <c r="BB151" s="591"/>
      <c r="BC151" s="613">
        <f t="shared" si="48"/>
        <v>25</v>
      </c>
      <c r="BD151" s="769" t="s">
        <v>66</v>
      </c>
      <c r="BE151" s="575">
        <v>1</v>
      </c>
      <c r="BF151" s="584">
        <f>+IF(BE151="","",(VLOOKUP($C151,'EQUIP RATE SCHEDULE'!$B$11:$F$162,5,FALSE)))</f>
        <v>25</v>
      </c>
      <c r="BG151" s="591"/>
      <c r="BH151" s="613">
        <f t="shared" si="49"/>
        <v>25</v>
      </c>
      <c r="BI151" s="769" t="s">
        <v>66</v>
      </c>
      <c r="BJ151" s="575">
        <v>1</v>
      </c>
      <c r="BK151" s="584">
        <f>+IF(BJ151="","",(VLOOKUP($C151,'EQUIP RATE SCHEDULE'!$B$11:$F$162,5,FALSE)))</f>
        <v>25</v>
      </c>
      <c r="BL151" s="591"/>
      <c r="BM151" s="613">
        <f t="shared" si="50"/>
        <v>25</v>
      </c>
      <c r="BN151" s="769" t="s">
        <v>66</v>
      </c>
      <c r="BO151" s="575">
        <v>1</v>
      </c>
      <c r="BP151" s="584">
        <f>+IF(BO151="","",(VLOOKUP($C151,'EQUIP RATE SCHEDULE'!$B$11:$F$162,5,FALSE)))</f>
        <v>25</v>
      </c>
      <c r="BQ151" s="591"/>
      <c r="BR151" s="613">
        <f t="shared" si="51"/>
        <v>25</v>
      </c>
      <c r="BS151" s="769" t="s">
        <v>66</v>
      </c>
      <c r="BT151" s="575">
        <v>1</v>
      </c>
      <c r="BU151" s="584">
        <f>+IF(BT151="","",(VLOOKUP($C151,'EQUIP RATE SCHEDULE'!$B$11:$F$162,5,FALSE)))</f>
        <v>25</v>
      </c>
      <c r="BV151" s="591"/>
      <c r="BW151" s="613">
        <f t="shared" si="52"/>
        <v>25</v>
      </c>
      <c r="BX151" s="769" t="s">
        <v>66</v>
      </c>
      <c r="BY151" s="575">
        <v>1</v>
      </c>
      <c r="BZ151" s="584">
        <f>+IF(BY151="","",(VLOOKUP($C151,'EQUIP RATE SCHEDULE'!$B$11:$F$162,5,FALSE)))</f>
        <v>25</v>
      </c>
      <c r="CA151" s="591"/>
      <c r="CB151" s="613">
        <f t="shared" si="53"/>
        <v>25</v>
      </c>
      <c r="CC151" s="769" t="s">
        <v>66</v>
      </c>
      <c r="CD151" s="575">
        <v>1</v>
      </c>
      <c r="CE151" s="584">
        <f>+IF(CD151="","",(VLOOKUP($C151,'EQUIP RATE SCHEDULE'!$B$11:$F$162,5,FALSE)))</f>
        <v>25</v>
      </c>
      <c r="CF151" s="591"/>
      <c r="CG151" s="613">
        <f t="shared" si="54"/>
        <v>25</v>
      </c>
      <c r="CH151" s="769" t="s">
        <v>66</v>
      </c>
      <c r="CI151" s="575">
        <v>1</v>
      </c>
      <c r="CJ151" s="584">
        <f>+IF(CI151="","",(VLOOKUP($C151,'EQUIP RATE SCHEDULE'!$B$11:$F$162,5,FALSE)))</f>
        <v>25</v>
      </c>
      <c r="CK151" s="591"/>
      <c r="CL151" s="613">
        <f t="shared" si="55"/>
        <v>25</v>
      </c>
      <c r="CM151" s="769" t="s">
        <v>66</v>
      </c>
      <c r="CN151" s="575">
        <v>1</v>
      </c>
      <c r="CO151" s="584">
        <f>+IF(CN151="","",(VLOOKUP($C151,'EQUIP RATE SCHEDULE'!$B$11:$F$162,5,FALSE)))</f>
        <v>25</v>
      </c>
      <c r="CP151" s="591"/>
      <c r="CQ151" s="613">
        <f t="shared" si="56"/>
        <v>25</v>
      </c>
      <c r="CR151" s="769" t="s">
        <v>66</v>
      </c>
      <c r="CS151" s="575">
        <v>1</v>
      </c>
      <c r="CT151" s="584">
        <f>+IF(CS151="","",(VLOOKUP($C151,'EQUIP RATE SCHEDULE'!$B$11:$F$162,5,FALSE)))</f>
        <v>25</v>
      </c>
      <c r="CU151" s="591"/>
      <c r="CV151" s="613">
        <f t="shared" si="57"/>
        <v>25</v>
      </c>
      <c r="CW151" s="769" t="s">
        <v>66</v>
      </c>
      <c r="CX151" s="575">
        <v>1</v>
      </c>
      <c r="CY151" s="584">
        <f>+IF(CX151="","",(VLOOKUP($C151,'EQUIP RATE SCHEDULE'!$B$11:$F$162,5,FALSE)))</f>
        <v>25</v>
      </c>
      <c r="CZ151" s="591"/>
      <c r="DA151" s="613">
        <f t="shared" si="58"/>
        <v>25</v>
      </c>
    </row>
    <row r="152" spans="1:105" ht="15" x14ac:dyDescent="0.25">
      <c r="A152" s="1501"/>
      <c r="B152" s="814" t="s">
        <v>1273</v>
      </c>
      <c r="C152" s="789" t="s">
        <v>1196</v>
      </c>
      <c r="D152" s="1492"/>
      <c r="E152" s="1490"/>
      <c r="F152" s="769" t="s">
        <v>67</v>
      </c>
      <c r="G152" s="575">
        <v>1</v>
      </c>
      <c r="H152" s="584">
        <f>+IF(G152="","",(VLOOKUP($C152,'EQUIP RATE SCHEDULE'!$B$11:$F$162,5,FALSE)))</f>
        <v>100</v>
      </c>
      <c r="I152" s="591"/>
      <c r="J152" s="613">
        <f t="shared" si="59"/>
        <v>100</v>
      </c>
      <c r="K152" s="769" t="s">
        <v>67</v>
      </c>
      <c r="L152" s="575">
        <v>1</v>
      </c>
      <c r="M152" s="584">
        <f>+IF(L152="","",(VLOOKUP($C152,'EQUIP RATE SCHEDULE'!$B$11:$F$162,5,FALSE)))</f>
        <v>100</v>
      </c>
      <c r="N152" s="591"/>
      <c r="O152" s="613">
        <f t="shared" si="40"/>
        <v>100</v>
      </c>
      <c r="P152" s="769" t="s">
        <v>67</v>
      </c>
      <c r="Q152" s="575">
        <v>1</v>
      </c>
      <c r="R152" s="584">
        <f>+IF(Q152="","",(VLOOKUP($C152,'EQUIP RATE SCHEDULE'!$B$11:$F$162,5,FALSE)))</f>
        <v>100</v>
      </c>
      <c r="S152" s="591"/>
      <c r="T152" s="613">
        <f t="shared" si="41"/>
        <v>100</v>
      </c>
      <c r="U152" s="769" t="s">
        <v>67</v>
      </c>
      <c r="V152" s="575">
        <v>1</v>
      </c>
      <c r="W152" s="584">
        <f>+IF(V152="","",(VLOOKUP($C152,'EQUIP RATE SCHEDULE'!$B$11:$F$162,5,FALSE)))</f>
        <v>100</v>
      </c>
      <c r="X152" s="591"/>
      <c r="Y152" s="613">
        <f t="shared" si="42"/>
        <v>100</v>
      </c>
      <c r="Z152" s="769" t="s">
        <v>67</v>
      </c>
      <c r="AA152" s="575">
        <v>1</v>
      </c>
      <c r="AB152" s="584">
        <f>+IF(AA152="","",(VLOOKUP($C152,'EQUIP RATE SCHEDULE'!$B$11:$F$162,5,FALSE)))</f>
        <v>100</v>
      </c>
      <c r="AC152" s="591"/>
      <c r="AD152" s="613">
        <f t="shared" si="43"/>
        <v>100</v>
      </c>
      <c r="AE152" s="769" t="s">
        <v>67</v>
      </c>
      <c r="AF152" s="575">
        <v>1</v>
      </c>
      <c r="AG152" s="584">
        <f>+IF(AF152="","",(VLOOKUP($C152,'EQUIP RATE SCHEDULE'!$B$11:$F$162,5,FALSE)))</f>
        <v>100</v>
      </c>
      <c r="AH152" s="591"/>
      <c r="AI152" s="613">
        <f t="shared" si="44"/>
        <v>100</v>
      </c>
      <c r="AJ152" s="769" t="s">
        <v>67</v>
      </c>
      <c r="AK152" s="575">
        <v>1</v>
      </c>
      <c r="AL152" s="584">
        <f>+IF(AK152="","",(VLOOKUP($C152,'EQUIP RATE SCHEDULE'!$B$11:$F$162,5,FALSE)))</f>
        <v>100</v>
      </c>
      <c r="AM152" s="591"/>
      <c r="AN152" s="613">
        <f t="shared" si="45"/>
        <v>100</v>
      </c>
      <c r="AO152" s="769" t="s">
        <v>67</v>
      </c>
      <c r="AP152" s="575">
        <v>1</v>
      </c>
      <c r="AQ152" s="584">
        <f>+IF(AP152="","",(VLOOKUP($C152,'EQUIP RATE SCHEDULE'!$B$11:$F$162,5,FALSE)))</f>
        <v>100</v>
      </c>
      <c r="AR152" s="591"/>
      <c r="AS152" s="613">
        <f t="shared" si="46"/>
        <v>100</v>
      </c>
      <c r="AT152" s="769" t="s">
        <v>67</v>
      </c>
      <c r="AU152" s="575">
        <v>1</v>
      </c>
      <c r="AV152" s="584">
        <f>+IF(AU152="","",(VLOOKUP($C152,'EQUIP RATE SCHEDULE'!$B$11:$F$162,5,FALSE)))</f>
        <v>100</v>
      </c>
      <c r="AW152" s="591"/>
      <c r="AX152" s="613">
        <f t="shared" si="47"/>
        <v>100</v>
      </c>
      <c r="AY152" s="769" t="s">
        <v>67</v>
      </c>
      <c r="AZ152" s="575">
        <v>1</v>
      </c>
      <c r="BA152" s="584">
        <f>+IF(AZ152="","",(VLOOKUP($C152,'EQUIP RATE SCHEDULE'!$B$11:$F$162,5,FALSE)))</f>
        <v>100</v>
      </c>
      <c r="BB152" s="591"/>
      <c r="BC152" s="613">
        <f t="shared" si="48"/>
        <v>100</v>
      </c>
      <c r="BD152" s="769" t="s">
        <v>67</v>
      </c>
      <c r="BE152" s="575">
        <v>1</v>
      </c>
      <c r="BF152" s="584">
        <f>+IF(BE152="","",(VLOOKUP($C152,'EQUIP RATE SCHEDULE'!$B$11:$F$162,5,FALSE)))</f>
        <v>100</v>
      </c>
      <c r="BG152" s="591"/>
      <c r="BH152" s="613">
        <f t="shared" si="49"/>
        <v>100</v>
      </c>
      <c r="BI152" s="769" t="s">
        <v>67</v>
      </c>
      <c r="BJ152" s="575">
        <v>1</v>
      </c>
      <c r="BK152" s="584">
        <f>+IF(BJ152="","",(VLOOKUP($C152,'EQUIP RATE SCHEDULE'!$B$11:$F$162,5,FALSE)))</f>
        <v>100</v>
      </c>
      <c r="BL152" s="591"/>
      <c r="BM152" s="613">
        <f t="shared" si="50"/>
        <v>100</v>
      </c>
      <c r="BN152" s="769" t="s">
        <v>67</v>
      </c>
      <c r="BO152" s="575">
        <v>1</v>
      </c>
      <c r="BP152" s="584">
        <f>+IF(BO152="","",(VLOOKUP($C152,'EQUIP RATE SCHEDULE'!$B$11:$F$162,5,FALSE)))</f>
        <v>100</v>
      </c>
      <c r="BQ152" s="591"/>
      <c r="BR152" s="613">
        <f t="shared" si="51"/>
        <v>100</v>
      </c>
      <c r="BS152" s="769" t="s">
        <v>67</v>
      </c>
      <c r="BT152" s="575">
        <v>1</v>
      </c>
      <c r="BU152" s="584">
        <f>+IF(BT152="","",(VLOOKUP($C152,'EQUIP RATE SCHEDULE'!$B$11:$F$162,5,FALSE)))</f>
        <v>100</v>
      </c>
      <c r="BV152" s="591"/>
      <c r="BW152" s="613">
        <f t="shared" si="52"/>
        <v>100</v>
      </c>
      <c r="BX152" s="769" t="s">
        <v>67</v>
      </c>
      <c r="BY152" s="575">
        <v>1</v>
      </c>
      <c r="BZ152" s="584">
        <f>+IF(BY152="","",(VLOOKUP($C152,'EQUIP RATE SCHEDULE'!$B$11:$F$162,5,FALSE)))</f>
        <v>100</v>
      </c>
      <c r="CA152" s="591"/>
      <c r="CB152" s="613">
        <f t="shared" si="53"/>
        <v>100</v>
      </c>
      <c r="CC152" s="769" t="s">
        <v>67</v>
      </c>
      <c r="CD152" s="575">
        <v>1</v>
      </c>
      <c r="CE152" s="584">
        <f>+IF(CD152="","",(VLOOKUP($C152,'EQUIP RATE SCHEDULE'!$B$11:$F$162,5,FALSE)))</f>
        <v>100</v>
      </c>
      <c r="CF152" s="591"/>
      <c r="CG152" s="613">
        <f t="shared" si="54"/>
        <v>100</v>
      </c>
      <c r="CH152" s="769" t="s">
        <v>67</v>
      </c>
      <c r="CI152" s="575">
        <v>1</v>
      </c>
      <c r="CJ152" s="584">
        <f>+IF(CI152="","",(VLOOKUP($C152,'EQUIP RATE SCHEDULE'!$B$11:$F$162,5,FALSE)))</f>
        <v>100</v>
      </c>
      <c r="CK152" s="591"/>
      <c r="CL152" s="613">
        <f t="shared" si="55"/>
        <v>100</v>
      </c>
      <c r="CM152" s="769" t="s">
        <v>67</v>
      </c>
      <c r="CN152" s="575">
        <v>1</v>
      </c>
      <c r="CO152" s="584">
        <f>+IF(CN152="","",(VLOOKUP($C152,'EQUIP RATE SCHEDULE'!$B$11:$F$162,5,FALSE)))</f>
        <v>100</v>
      </c>
      <c r="CP152" s="591"/>
      <c r="CQ152" s="613">
        <f t="shared" si="56"/>
        <v>100</v>
      </c>
      <c r="CR152" s="769" t="s">
        <v>67</v>
      </c>
      <c r="CS152" s="575">
        <v>1</v>
      </c>
      <c r="CT152" s="584">
        <f>+IF(CS152="","",(VLOOKUP($C152,'EQUIP RATE SCHEDULE'!$B$11:$F$162,5,FALSE)))</f>
        <v>100</v>
      </c>
      <c r="CU152" s="591"/>
      <c r="CV152" s="613">
        <f t="shared" si="57"/>
        <v>100</v>
      </c>
      <c r="CW152" s="769" t="s">
        <v>67</v>
      </c>
      <c r="CX152" s="575">
        <v>1</v>
      </c>
      <c r="CY152" s="584">
        <f>+IF(CX152="","",(VLOOKUP($C152,'EQUIP RATE SCHEDULE'!$B$11:$F$162,5,FALSE)))</f>
        <v>100</v>
      </c>
      <c r="CZ152" s="591"/>
      <c r="DA152" s="613">
        <f t="shared" si="58"/>
        <v>100</v>
      </c>
    </row>
    <row r="153" spans="1:105" ht="60.75" thickBot="1" x14ac:dyDescent="0.3">
      <c r="A153" s="1502"/>
      <c r="B153" s="815" t="s">
        <v>1273</v>
      </c>
      <c r="C153" s="790" t="s">
        <v>1197</v>
      </c>
      <c r="D153" s="786" t="s">
        <v>1198</v>
      </c>
      <c r="E153" s="787" t="s">
        <v>1199</v>
      </c>
      <c r="F153" s="771" t="s">
        <v>67</v>
      </c>
      <c r="G153" s="577">
        <v>1</v>
      </c>
      <c r="H153" s="594">
        <f>+IF(G153="","",(VLOOKUP($C153,'EQUIP RATE SCHEDULE'!$B$11:$F$162,5,FALSE)))</f>
        <v>500</v>
      </c>
      <c r="I153" s="593"/>
      <c r="J153" s="756">
        <f t="shared" si="59"/>
        <v>500</v>
      </c>
      <c r="K153" s="771" t="s">
        <v>67</v>
      </c>
      <c r="L153" s="577">
        <v>1</v>
      </c>
      <c r="M153" s="594">
        <f>+IF(L153="","",(VLOOKUP($C153,'EQUIP RATE SCHEDULE'!$B$11:$F$162,5,FALSE)))</f>
        <v>500</v>
      </c>
      <c r="N153" s="593"/>
      <c r="O153" s="756">
        <f t="shared" ref="O153" si="60">+IF(N$7="","",IF(L153="","",(IF(N153="",M153*L153,N153*L153))))</f>
        <v>500</v>
      </c>
      <c r="P153" s="771" t="s">
        <v>67</v>
      </c>
      <c r="Q153" s="577">
        <v>1</v>
      </c>
      <c r="R153" s="594">
        <f>+IF(Q153="","",(VLOOKUP($C153,'EQUIP RATE SCHEDULE'!$B$11:$F$162,5,FALSE)))</f>
        <v>500</v>
      </c>
      <c r="S153" s="593"/>
      <c r="T153" s="756">
        <f t="shared" ref="T153" si="61">+IF(S$7="","",IF(Q153="","",(IF(S153="",R153*Q153,S153*Q153))))</f>
        <v>500</v>
      </c>
      <c r="U153" s="771" t="s">
        <v>67</v>
      </c>
      <c r="V153" s="577">
        <v>1</v>
      </c>
      <c r="W153" s="594">
        <f>+IF(V153="","",(VLOOKUP($C153,'EQUIP RATE SCHEDULE'!$B$11:$F$162,5,FALSE)))</f>
        <v>500</v>
      </c>
      <c r="X153" s="593"/>
      <c r="Y153" s="756">
        <f t="shared" ref="Y153" si="62">+IF(X$7="","",IF(V153="","",(IF(X153="",W153*V153,X153*V153))))</f>
        <v>500</v>
      </c>
      <c r="Z153" s="771" t="s">
        <v>67</v>
      </c>
      <c r="AA153" s="577">
        <v>1</v>
      </c>
      <c r="AB153" s="594">
        <f>+IF(AA153="","",(VLOOKUP($C153,'EQUIP RATE SCHEDULE'!$B$11:$F$162,5,FALSE)))</f>
        <v>500</v>
      </c>
      <c r="AC153" s="593"/>
      <c r="AD153" s="756">
        <f t="shared" ref="AD153" si="63">+IF(AC$7="","",IF(AA153="","",(IF(AC153="",AB153*AA153,AC153*AA153))))</f>
        <v>500</v>
      </c>
      <c r="AE153" s="771" t="s">
        <v>67</v>
      </c>
      <c r="AF153" s="577">
        <v>1</v>
      </c>
      <c r="AG153" s="594">
        <f>+IF(AF153="","",(VLOOKUP($C153,'EQUIP RATE SCHEDULE'!$B$11:$F$162,5,FALSE)))</f>
        <v>500</v>
      </c>
      <c r="AH153" s="593"/>
      <c r="AI153" s="756">
        <f t="shared" ref="AI153" si="64">+IF(AH$7="","",IF(AF153="","",(IF(AH153="",AG153*AF153,AH153*AF153))))</f>
        <v>500</v>
      </c>
      <c r="AJ153" s="771" t="s">
        <v>67</v>
      </c>
      <c r="AK153" s="577">
        <v>1</v>
      </c>
      <c r="AL153" s="594">
        <f>+IF(AK153="","",(VLOOKUP($C153,'EQUIP RATE SCHEDULE'!$B$11:$F$162,5,FALSE)))</f>
        <v>500</v>
      </c>
      <c r="AM153" s="593"/>
      <c r="AN153" s="756">
        <f t="shared" ref="AN153" si="65">+IF(AM$7="","",IF(AK153="","",(IF(AM153="",AL153*AK153,AM153*AK153))))</f>
        <v>500</v>
      </c>
      <c r="AO153" s="771" t="s">
        <v>67</v>
      </c>
      <c r="AP153" s="577">
        <v>1</v>
      </c>
      <c r="AQ153" s="594">
        <f>+IF(AP153="","",(VLOOKUP($C153,'EQUIP RATE SCHEDULE'!$B$11:$F$162,5,FALSE)))</f>
        <v>500</v>
      </c>
      <c r="AR153" s="593"/>
      <c r="AS153" s="756">
        <f t="shared" ref="AS153" si="66">+IF(AR$7="","",IF(AP153="","",(IF(AR153="",AQ153*AP153,AR153*AP153))))</f>
        <v>500</v>
      </c>
      <c r="AT153" s="771" t="s">
        <v>67</v>
      </c>
      <c r="AU153" s="577">
        <v>1</v>
      </c>
      <c r="AV153" s="594">
        <f>+IF(AU153="","",(VLOOKUP($C153,'EQUIP RATE SCHEDULE'!$B$11:$F$162,5,FALSE)))</f>
        <v>500</v>
      </c>
      <c r="AW153" s="593"/>
      <c r="AX153" s="756">
        <f t="shared" ref="AX153" si="67">+IF(AW$7="","",IF(AU153="","",(IF(AW153="",AV153*AU153,AW153*AU153))))</f>
        <v>500</v>
      </c>
      <c r="AY153" s="771" t="s">
        <v>67</v>
      </c>
      <c r="AZ153" s="577">
        <v>1</v>
      </c>
      <c r="BA153" s="594">
        <f>+IF(AZ153="","",(VLOOKUP($C153,'EQUIP RATE SCHEDULE'!$B$11:$F$162,5,FALSE)))</f>
        <v>500</v>
      </c>
      <c r="BB153" s="593"/>
      <c r="BC153" s="756">
        <f t="shared" ref="BC153" si="68">+IF(BB$7="","",IF(AZ153="","",(IF(BB153="",BA153*AZ153,BB153*AZ153))))</f>
        <v>500</v>
      </c>
      <c r="BD153" s="771" t="s">
        <v>67</v>
      </c>
      <c r="BE153" s="577">
        <v>1</v>
      </c>
      <c r="BF153" s="594">
        <f>+IF(BE153="","",(VLOOKUP($C153,'EQUIP RATE SCHEDULE'!$B$11:$F$162,5,FALSE)))</f>
        <v>500</v>
      </c>
      <c r="BG153" s="593"/>
      <c r="BH153" s="756">
        <f t="shared" si="49"/>
        <v>500</v>
      </c>
      <c r="BI153" s="771" t="s">
        <v>67</v>
      </c>
      <c r="BJ153" s="577">
        <v>1</v>
      </c>
      <c r="BK153" s="594">
        <f>+IF(BJ153="","",(VLOOKUP($C153,'EQUIP RATE SCHEDULE'!$B$11:$F$162,5,FALSE)))</f>
        <v>500</v>
      </c>
      <c r="BL153" s="593"/>
      <c r="BM153" s="756">
        <f t="shared" si="50"/>
        <v>500</v>
      </c>
      <c r="BN153" s="771" t="s">
        <v>67</v>
      </c>
      <c r="BO153" s="577">
        <v>1</v>
      </c>
      <c r="BP153" s="594">
        <f>+IF(BO153="","",(VLOOKUP($C153,'EQUIP RATE SCHEDULE'!$B$11:$F$162,5,FALSE)))</f>
        <v>500</v>
      </c>
      <c r="BQ153" s="593"/>
      <c r="BR153" s="756">
        <f t="shared" si="51"/>
        <v>500</v>
      </c>
      <c r="BS153" s="771" t="s">
        <v>67</v>
      </c>
      <c r="BT153" s="577">
        <v>1</v>
      </c>
      <c r="BU153" s="594">
        <f>+IF(BT153="","",(VLOOKUP($C153,'EQUIP RATE SCHEDULE'!$B$11:$F$162,5,FALSE)))</f>
        <v>500</v>
      </c>
      <c r="BV153" s="593"/>
      <c r="BW153" s="756">
        <f t="shared" si="52"/>
        <v>500</v>
      </c>
      <c r="BX153" s="771" t="s">
        <v>67</v>
      </c>
      <c r="BY153" s="577">
        <v>1</v>
      </c>
      <c r="BZ153" s="594">
        <f>+IF(BY153="","",(VLOOKUP($C153,'EQUIP RATE SCHEDULE'!$B$11:$F$162,5,FALSE)))</f>
        <v>500</v>
      </c>
      <c r="CA153" s="593"/>
      <c r="CB153" s="756">
        <f t="shared" si="53"/>
        <v>500</v>
      </c>
      <c r="CC153" s="771" t="s">
        <v>67</v>
      </c>
      <c r="CD153" s="577">
        <v>1</v>
      </c>
      <c r="CE153" s="594">
        <f>+IF(CD153="","",(VLOOKUP($C153,'EQUIP RATE SCHEDULE'!$B$11:$F$162,5,FALSE)))</f>
        <v>500</v>
      </c>
      <c r="CF153" s="593"/>
      <c r="CG153" s="756">
        <f t="shared" si="54"/>
        <v>500</v>
      </c>
      <c r="CH153" s="771" t="s">
        <v>67</v>
      </c>
      <c r="CI153" s="577">
        <v>1</v>
      </c>
      <c r="CJ153" s="594">
        <f>+IF(CI153="","",(VLOOKUP($C153,'EQUIP RATE SCHEDULE'!$B$11:$F$162,5,FALSE)))</f>
        <v>500</v>
      </c>
      <c r="CK153" s="593"/>
      <c r="CL153" s="756">
        <f t="shared" si="55"/>
        <v>500</v>
      </c>
      <c r="CM153" s="771" t="s">
        <v>67</v>
      </c>
      <c r="CN153" s="577">
        <v>1</v>
      </c>
      <c r="CO153" s="594">
        <f>+IF(CN153="","",(VLOOKUP($C153,'EQUIP RATE SCHEDULE'!$B$11:$F$162,5,FALSE)))</f>
        <v>500</v>
      </c>
      <c r="CP153" s="593"/>
      <c r="CQ153" s="756">
        <f t="shared" si="56"/>
        <v>500</v>
      </c>
      <c r="CR153" s="771" t="s">
        <v>67</v>
      </c>
      <c r="CS153" s="577">
        <v>1</v>
      </c>
      <c r="CT153" s="594">
        <f>+IF(CS153="","",(VLOOKUP($C153,'EQUIP RATE SCHEDULE'!$B$11:$F$162,5,FALSE)))</f>
        <v>500</v>
      </c>
      <c r="CU153" s="593"/>
      <c r="CV153" s="756">
        <f t="shared" si="57"/>
        <v>500</v>
      </c>
      <c r="CW153" s="771" t="s">
        <v>67</v>
      </c>
      <c r="CX153" s="577">
        <v>1</v>
      </c>
      <c r="CY153" s="594">
        <f>+IF(CX153="","",(VLOOKUP($C153,'EQUIP RATE SCHEDULE'!$B$11:$F$162,5,FALSE)))</f>
        <v>500</v>
      </c>
      <c r="CZ153" s="593"/>
      <c r="DA153" s="756">
        <f t="shared" si="58"/>
        <v>500</v>
      </c>
    </row>
    <row r="154" spans="1:105" x14ac:dyDescent="0.25">
      <c r="C154" s="750" t="s">
        <v>770</v>
      </c>
      <c r="D154" s="754"/>
      <c r="E154" s="750"/>
      <c r="F154" s="757"/>
      <c r="G154" s="758"/>
      <c r="H154" s="760"/>
      <c r="J154" s="760">
        <f>SUBTOTAL(9,J9:J153)</f>
        <v>13435.73</v>
      </c>
      <c r="N154" s="760"/>
      <c r="O154" s="760">
        <f>SUBTOTAL(9,O9:O153)</f>
        <v>14572.58</v>
      </c>
      <c r="T154" s="760">
        <f>SUBTOTAL(9,T9:T153)</f>
        <v>15752.73</v>
      </c>
      <c r="W154" s="760"/>
      <c r="Y154" s="760">
        <f>SUBTOTAL(9,Y9:Y153)</f>
        <v>14487.73</v>
      </c>
      <c r="AD154" s="760">
        <f>SUBTOTAL(9,AD9:AD153)</f>
        <v>14572.73</v>
      </c>
      <c r="AI154" s="760">
        <f>SUBTOTAL(9,AI9:AI153)</f>
        <v>14342.73</v>
      </c>
      <c r="AN154" s="760">
        <f>SUBTOTAL(9,AN9:AN153)</f>
        <v>14572.73</v>
      </c>
      <c r="AP154" s="1029"/>
      <c r="AS154" s="760">
        <f>SUBTOTAL(9,AS9:AS153)</f>
        <v>14287.73</v>
      </c>
      <c r="AX154" s="760">
        <f>SUBTOTAL(9,AX9:AX153)</f>
        <v>14572.73</v>
      </c>
      <c r="BC154" s="760">
        <f>SUBTOTAL(9,BC9:BC153)</f>
        <v>14477.73</v>
      </c>
      <c r="BE154" s="1029"/>
      <c r="BH154" s="760">
        <f>SUBTOTAL(9,BH9:BH153)</f>
        <v>14547.73</v>
      </c>
      <c r="BJ154" s="1029"/>
      <c r="BM154" s="760">
        <f>SUBTOTAL(9,BM9:BM153)</f>
        <v>14572.73</v>
      </c>
      <c r="BO154" s="1029"/>
      <c r="BR154" s="760">
        <f>SUBTOTAL(9,BR9:BR153)</f>
        <v>14522.73</v>
      </c>
      <c r="BW154" s="760">
        <f>SUBTOTAL(9,BW9:BW153)</f>
        <v>14300.73</v>
      </c>
      <c r="CB154" s="760">
        <f>SUBTOTAL(9,CB9:CB153)</f>
        <v>14522.73</v>
      </c>
      <c r="CD154" s="1029">
        <v>1</v>
      </c>
      <c r="CG154" s="760">
        <f>SUBTOTAL(9,CG9:CG153)</f>
        <v>14377.73</v>
      </c>
      <c r="CI154" s="1029"/>
      <c r="CL154" s="760">
        <f>SUBTOTAL(9,CL9:CL153)</f>
        <v>14572.73</v>
      </c>
      <c r="CQ154" s="760">
        <f>SUBTOTAL(9,CQ9:CQ153)</f>
        <v>14572.73</v>
      </c>
      <c r="CV154" s="760">
        <f>SUBTOTAL(9,CV9:CV153)</f>
        <v>14572.73</v>
      </c>
      <c r="CX154" s="1029"/>
      <c r="DA154" s="760">
        <f>SUBTOTAL(9,DA9:DA153)</f>
        <v>14295.73</v>
      </c>
    </row>
    <row r="155" spans="1:105" ht="18" customHeight="1" x14ac:dyDescent="0.25">
      <c r="C155" s="750"/>
      <c r="D155" s="754"/>
      <c r="E155" s="750"/>
      <c r="G155" s="150"/>
      <c r="H155" s="760" t="s">
        <v>1235</v>
      </c>
      <c r="J155" s="761">
        <f>+SUBTOTAL(9,J146:J153,J132:J137,J117:J124,J110:J115,J105:J106,J94:J101,J77:J92,J68:J75,J50:J55,J16:J47,J9:J14)</f>
        <v>12049</v>
      </c>
      <c r="K155" s="251"/>
      <c r="L155" s="251"/>
      <c r="M155" s="251"/>
      <c r="N155" s="761"/>
      <c r="O155" s="761">
        <f>+SUBTOTAL(9,O146:O153,O132:O137,O117:O124,O110:O115,O105:O106,O94:O101,O77:O92,O68:O75,O50:O55,O16:O47,O9:O14)</f>
        <v>12986</v>
      </c>
      <c r="P155" s="251"/>
      <c r="Q155" s="251"/>
      <c r="R155" s="251"/>
      <c r="S155" s="251"/>
      <c r="T155" s="761">
        <f>+SUBTOTAL(9,T146:T153,T132:T137,T117:T124,T110:T115,T105:T106,T94:T101,T77:T92,T68:T75,T50:T55,T16:T47,T9:T14)</f>
        <v>14166</v>
      </c>
      <c r="U155" s="251"/>
      <c r="V155" s="251"/>
      <c r="W155" s="761"/>
      <c r="X155" s="251"/>
      <c r="Y155" s="761">
        <f>+SUBTOTAL(9,Y146:Y153,Y132:Y137,Y117:Y124,Y110:Y115,Y105:Y106,Y94:Y101,Y77:Y92,Y68:Y75,Y50:Y55,Y16:Y47,Y9:Y14)</f>
        <v>12901</v>
      </c>
      <c r="Z155" s="251"/>
      <c r="AA155" s="251"/>
      <c r="AB155" s="251"/>
      <c r="AC155" s="251"/>
      <c r="AD155" s="761">
        <f>+SUBTOTAL(9,AD146:AD153,AD132:AD137,AD117:AD124,AD110:AD115,AD105:AD106,AD94:AD101,AD77:AD92,AD68:AD75,AD50:AD55,AD16:AD47,AD9:AD14)</f>
        <v>12986</v>
      </c>
      <c r="AE155" s="251"/>
      <c r="AF155" s="251"/>
      <c r="AG155" s="251"/>
      <c r="AH155" s="251"/>
      <c r="AI155" s="761">
        <f>+SUBTOTAL(9,AI146:AI153,AI132:AI137,AI117:AI124,AI110:AI115,AI105:AI106,AI94:AI101,AI77:AI92,AI68:AI75,AI50:AI55,AI16:AI47,AI9:AI14)</f>
        <v>12756</v>
      </c>
      <c r="AJ155" s="251"/>
      <c r="AK155" s="251"/>
      <c r="AL155" s="251"/>
      <c r="AM155" s="251"/>
      <c r="AN155" s="761">
        <f>+SUBTOTAL(9,AN146:AN153,AN132:AN137,AN117:AN124,AN110:AN115,AN105:AN106,AN94:AN101,AN77:AN92,AN68:AN75,AN50:AN55,AN16:AN47,AN9:AN14)</f>
        <v>12986</v>
      </c>
      <c r="AO155" s="251"/>
      <c r="AP155" s="251"/>
      <c r="AQ155" s="251"/>
      <c r="AR155" s="251"/>
      <c r="AS155" s="761">
        <f>+SUBTOTAL(9,AS146:AS153,AS132:AS137,AS117:AS124,AS110:AS115,AS105:AS106,AS94:AS101,AS77:AS92,AS68:AS75,AS50:AS55,AS16:AS47,AS9:AS14)</f>
        <v>12701</v>
      </c>
      <c r="AT155" s="251"/>
      <c r="AU155" s="251"/>
      <c r="AV155" s="251"/>
      <c r="AW155" s="251"/>
      <c r="AX155" s="761">
        <f>+SUBTOTAL(9,AX146:AX153,AX132:AX137,AX117:AX124,AX110:AX115,AX105:AX106,AX94:AX101,AX77:AX92,AX68:AX75,AX50:AX55,AX16:AX47,AX9:AX14)</f>
        <v>12986</v>
      </c>
      <c r="AY155" s="251"/>
      <c r="AZ155" s="251"/>
      <c r="BA155" s="251"/>
      <c r="BB155" s="251"/>
      <c r="BC155" s="761">
        <f>+SUBTOTAL(9,BC146:BC153,BC132:BC137,BC117:BC124,BC110:BC115,BC105:BC106,BC94:BC101,BC77:BC92,BC68:BC75,BC50:BC55,BC16:BC47,BC9:BC14)</f>
        <v>12891</v>
      </c>
      <c r="BD155" s="251"/>
      <c r="BE155" s="251"/>
      <c r="BF155" s="251"/>
      <c r="BG155" s="251"/>
      <c r="BH155" s="761">
        <f>+SUBTOTAL(9,BH146:BH153,BH132:BH137,BH117:BH124,BH110:BH115,BH105:BH106,BH94:BH101,BH77:BH92,BH68:BH75,BH50:BH55,BH16:BH47,BH9:BH14)</f>
        <v>12961</v>
      </c>
      <c r="BI155" s="251"/>
      <c r="BJ155" s="251"/>
      <c r="BK155" s="251"/>
      <c r="BL155" s="251"/>
      <c r="BM155" s="761">
        <f>+SUBTOTAL(9,BM146:BM153,BM132:BM137,BM117:BM124,BM110:BM115,BM105:BM106,BM94:BM101,BM77:BM92,BM68:BM75,BM50:BM55,BM16:BM47,BM9:BM14)</f>
        <v>12986</v>
      </c>
      <c r="BN155" s="251"/>
      <c r="BO155" s="1029"/>
      <c r="BP155" s="251"/>
      <c r="BQ155" s="251"/>
      <c r="BR155" s="761">
        <f>+SUBTOTAL(9,BR146:BR153,BR132:BR137,BR117:BR124,BR110:BR115,BR105:BR106,BR94:BR101,BR77:BR92,BR68:BR75,BR50:BR55,BR16:BR47,BR9:BR14)</f>
        <v>12936</v>
      </c>
      <c r="BS155" s="251"/>
      <c r="BT155" s="251"/>
      <c r="BU155" s="251"/>
      <c r="BV155" s="251"/>
      <c r="BW155" s="761">
        <f>+SUBTOTAL(9,BW146:BW153,BW132:BW137,BW117:BW124,BW110:BW115,BW105:BW106,BW94:BW101,BW77:BW92,BW68:BW75,BW50:BW55,BW16:BW47,BW9:BW14)</f>
        <v>12986</v>
      </c>
      <c r="BX155" s="251"/>
      <c r="BY155" s="251"/>
      <c r="BZ155" s="251"/>
      <c r="CA155" s="251"/>
      <c r="CB155" s="761">
        <f>+SUBTOTAL(9,CB146:CB153,CB132:CB137,CB117:CB124,CB110:CB115,CB105:CB106,CB94:CB101,CB77:CB92,CB68:CB75,CB50:CB55,CB16:CB47,CB9:CB14)</f>
        <v>12936</v>
      </c>
      <c r="CC155" s="251"/>
      <c r="CD155" s="251"/>
      <c r="CE155" s="251"/>
      <c r="CF155" s="251"/>
      <c r="CG155" s="761">
        <f>+SUBTOTAL(9,CG146:CG153,CG132:CG137,CG117:CG124,CG110:CG115,CG105:CG106,CG94:CG101,CG77:CG92,CG68:CG75,CG50:CG55,CG16:CG47,CG9:CG14)</f>
        <v>12791</v>
      </c>
      <c r="CH155" s="251"/>
      <c r="CI155" s="251"/>
      <c r="CJ155" s="251"/>
      <c r="CK155" s="251"/>
      <c r="CL155" s="761">
        <f>+SUBTOTAL(9,CL146:CL153,CL132:CL137,CL117:CL124,CL110:CL115,CL105:CL106,CL94:CL101,CL77:CL92,CL68:CL75,CL50:CL55,CL16:CL47,CL9:CL14)</f>
        <v>12986</v>
      </c>
      <c r="CM155" s="251"/>
      <c r="CN155" s="251"/>
      <c r="CO155" s="251"/>
      <c r="CP155" s="251"/>
      <c r="CQ155" s="761">
        <f>+SUBTOTAL(9,CQ146:CQ153,CQ132:CQ137,CQ117:CQ124,CQ110:CQ115,CQ105:CQ106,CQ94:CQ101,CQ77:CQ92,CQ68:CQ75,CQ50:CQ55,CQ16:CQ47,CQ9:CQ14)</f>
        <v>12986</v>
      </c>
      <c r="CR155" s="251"/>
      <c r="CS155" s="251"/>
      <c r="CT155" s="251"/>
      <c r="CU155" s="251"/>
      <c r="CV155" s="761">
        <f>+SUBTOTAL(9,CV146:CV153,CV132:CV137,CV117:CV124,CV110:CV115,CV105:CV106,CV94:CV101,CV77:CV92,CV68:CV75,CV50:CV55,CV16:CV47,CV9:CV14)</f>
        <v>12986</v>
      </c>
      <c r="CW155" s="251"/>
      <c r="CX155" s="251"/>
      <c r="CY155" s="251"/>
      <c r="CZ155" s="251"/>
      <c r="DA155" s="761">
        <f>+SUBTOTAL(9,DA146:DA153,DA132:DA137,DA117:DA124,DA110:DA115,DA105:DA106,DA94:DA101,DA77:DA92,DA68:DA75,DA50:DA55,DA16:DA47,DA9:DA14)</f>
        <v>12751</v>
      </c>
    </row>
    <row r="156" spans="1:105" ht="19.5" customHeight="1" thickBot="1" x14ac:dyDescent="0.3">
      <c r="C156" s="750"/>
      <c r="D156" s="754"/>
      <c r="E156" s="750"/>
      <c r="G156" s="150"/>
      <c r="H156" s="191" t="s">
        <v>1236</v>
      </c>
      <c r="J156" s="759">
        <f>+SUBTOTAL(9,J138:J145,J128:J131,J125:J127,J116,J107:J109,J102:J104,J93,J76,J56:J67,J48:J49,J15)</f>
        <v>1386.73</v>
      </c>
      <c r="O156" s="759">
        <f>+SUBTOTAL(9,O138:O145,O128:O131,O125:O127,O116,O107:O109,O102:O104,O93,O76,O56:O67,O48:O49,O15)</f>
        <v>1586.58</v>
      </c>
      <c r="T156" s="759">
        <f>+SUBTOTAL(9,T138:T145,T128:T131,T125:T127,T116,T107:T109,T102:T104,T93,T76,T56:T67,T48:T49,T15)</f>
        <v>1586.73</v>
      </c>
      <c r="Y156" s="759">
        <f>+SUBTOTAL(9,Y138:Y145,Y128:Y131,Y125:Y127,Y116,Y107:Y109,Y102:Y104,Y93,Y76,Y56:Y67,Y48:Y49,Y15)</f>
        <v>1586.73</v>
      </c>
      <c r="AD156" s="759">
        <f>+SUBTOTAL(9,AD138:AD145,AD128:AD131,AD125:AD127,AD116,AD107:AD109,AD102:AD104,AD93,AD76,AD56:AD67,AD48:AD49,AD15)</f>
        <v>1586.73</v>
      </c>
      <c r="AI156" s="759">
        <f>+SUBTOTAL(9,AI138:AI145,AI128:AI131,AI125:AI127,AI116,AI107:AI109,AI102:AI104,AI93,AI76,AI56:AI67,AI48:AI49,AI15)</f>
        <v>1586.73</v>
      </c>
      <c r="AN156" s="759">
        <f>+SUBTOTAL(9,AN138:AN145,AN128:AN131,AN125:AN127,AN116,AN107:AN109,AN102:AN104,AN93,AN76,AN56:AN67,AN48:AN49,AN15)</f>
        <v>1586.73</v>
      </c>
      <c r="AS156" s="759">
        <f>+SUBTOTAL(9,AS138:AS145,AS128:AS131,AS125:AS127,AS116,AS107:AS109,AS102:AS104,AS93,AS76,AS56:AS67,AS48:AS49,AS15)</f>
        <v>1586.73</v>
      </c>
      <c r="AX156" s="759">
        <f>+SUBTOTAL(9,AX138:AX145,AX128:AX131,AX125:AX127,AX116,AX107:AX109,AX102:AX104,AX93,AX76,AX56:AX67,AX48:AX49,AX15)</f>
        <v>1586.73</v>
      </c>
      <c r="BC156" s="759">
        <f>+SUBTOTAL(9,BC138:BC145,BC128:BC131,BC125:BC127,BC116,BC107:BC109,BC102:BC104,BC93,BC76,BC56:BC67,BC48:BC49,BC15)</f>
        <v>1586.73</v>
      </c>
      <c r="BH156" s="759">
        <f>+SUBTOTAL(9,BH138:BH145,BH128:BH131,BH125:BH127,BH116,BH107:BH109,BH102:BH104,BH93,BH76,BH56:BH67,BH48:BH49,BH15)</f>
        <v>1586.73</v>
      </c>
      <c r="BM156" s="759">
        <f>+SUBTOTAL(9,BM138:BM145,BM128:BM131,BM125:BM127,BM116,BM107:BM109,BM102:BM104,BM93,BM76,BM56:BM67,BM48:BM49,BM15)</f>
        <v>1586.73</v>
      </c>
      <c r="BR156" s="759">
        <f>+SUBTOTAL(9,BR138:BR145,BR128:BR131,BR125:BR127,BR116,BR107:BR109,BR102:BR104,BR93,BR76,BR56:BR67,BR48:BR49,BR15)</f>
        <v>1586.73</v>
      </c>
      <c r="BW156" s="759">
        <f>+SUBTOTAL(9,BW138:BW145,BW128:BW131,BW125:BW127,BW116,BW107:BW109,BW102:BW104,BW93,BW76,BW56:BW67,BW48:BW49,BW15)</f>
        <v>1314.73</v>
      </c>
      <c r="CB156" s="759">
        <f>+SUBTOTAL(9,CB138:CB145,CB128:CB131,CB125:CB127,CB116,CB107:CB109,CB102:CB104,CB93,CB76,CB56:CB67,CB48:CB49,CB15)</f>
        <v>1586.73</v>
      </c>
      <c r="CG156" s="759">
        <f>+SUBTOTAL(9,CG138:CG145,CG128:CG131,CG125:CG127,CG116,CG107:CG109,CG102:CG104,CG93,CG76,CG56:CG67,CG48:CG49,CG15)</f>
        <v>1586.73</v>
      </c>
      <c r="CL156" s="759">
        <f>+SUBTOTAL(9,CL138:CL145,CL128:CL131,CL125:CL127,CL116,CL107:CL109,CL102:CL104,CL93,CL76,CL56:CL67,CL48:CL49,CL15)</f>
        <v>1586.73</v>
      </c>
      <c r="CQ156" s="759">
        <f>+SUBTOTAL(9,CQ138:CQ145,CQ128:CQ131,CQ125:CQ127,CQ116,CQ107:CQ109,CQ102:CQ104,CQ93,CQ76,CQ56:CQ67,CQ48:CQ49,CQ15)</f>
        <v>1586.73</v>
      </c>
      <c r="CV156" s="759">
        <f>+SUBTOTAL(9,CV138:CV145,CV128:CV131,CV125:CV127,CV116,CV107:CV109,CV102:CV104,CV93,CV76,CV56:CV67,CV48:CV49,CV15)</f>
        <v>1586.73</v>
      </c>
      <c r="DA156" s="759">
        <f>+SUBTOTAL(9,DA138:DA145,DA128:DA131,DA125:DA127,DA116,DA107:DA109,DA102:DA104,DA93,DA76,DA56:DA67,DA48:DA49,DA15)</f>
        <v>1544.73</v>
      </c>
    </row>
    <row r="157" spans="1:105" ht="27.75" customHeight="1" thickTop="1" thickBot="1" x14ac:dyDescent="0.3">
      <c r="D157" s="754"/>
      <c r="E157" s="750"/>
      <c r="H157" s="762" t="s">
        <v>1237</v>
      </c>
      <c r="I157" s="763"/>
      <c r="J157" s="764">
        <f>+J156+J155</f>
        <v>13435.73</v>
      </c>
      <c r="K157" s="763"/>
      <c r="L157" s="763"/>
      <c r="M157" s="763"/>
      <c r="N157" s="763"/>
      <c r="O157" s="764">
        <f>+O156+O155</f>
        <v>14572.58</v>
      </c>
      <c r="P157" s="763"/>
      <c r="Q157" s="763"/>
      <c r="R157" s="763"/>
      <c r="S157" s="763"/>
      <c r="T157" s="764">
        <f>+T156+T155</f>
        <v>15752.73</v>
      </c>
      <c r="U157" s="763"/>
      <c r="V157" s="763"/>
      <c r="W157" s="763"/>
      <c r="X157" s="763"/>
      <c r="Y157" s="764">
        <f>+Y156+Y155</f>
        <v>14487.73</v>
      </c>
      <c r="Z157" s="763"/>
      <c r="AA157" s="763"/>
      <c r="AB157" s="763"/>
      <c r="AC157" s="763"/>
      <c r="AD157" s="764">
        <f>+AD156+AD155</f>
        <v>14572.73</v>
      </c>
      <c r="AE157" s="763"/>
      <c r="AF157" s="763"/>
      <c r="AG157" s="763"/>
      <c r="AH157" s="763"/>
      <c r="AI157" s="764">
        <f>+AI156+AI155</f>
        <v>14342.73</v>
      </c>
      <c r="AJ157" s="763"/>
      <c r="AK157" s="763"/>
      <c r="AL157" s="763"/>
      <c r="AM157" s="763"/>
      <c r="AN157" s="764">
        <f>+AN156+AN155</f>
        <v>14572.73</v>
      </c>
      <c r="AO157" s="763"/>
      <c r="AP157" s="763"/>
      <c r="AQ157" s="763"/>
      <c r="AR157" s="763"/>
      <c r="AS157" s="764">
        <f>+AS156+AS155</f>
        <v>14287.73</v>
      </c>
      <c r="AT157" s="763"/>
      <c r="AU157" s="763"/>
      <c r="AV157" s="763"/>
      <c r="AW157" s="763"/>
      <c r="AX157" s="764">
        <f>+AX156+AX155</f>
        <v>14572.73</v>
      </c>
      <c r="AY157" s="763"/>
      <c r="AZ157" s="763"/>
      <c r="BA157" s="763"/>
      <c r="BB157" s="763"/>
      <c r="BC157" s="765">
        <f>+BC156+BC155</f>
        <v>14477.73</v>
      </c>
      <c r="BD157" s="763"/>
      <c r="BE157" s="763"/>
      <c r="BF157" s="763"/>
      <c r="BG157" s="763"/>
      <c r="BH157" s="765">
        <f>+BH156+BH155</f>
        <v>14547.73</v>
      </c>
      <c r="BI157" s="763"/>
      <c r="BJ157" s="763"/>
      <c r="BK157" s="763"/>
      <c r="BL157" s="763"/>
      <c r="BM157" s="765">
        <f>+BM156+BM155</f>
        <v>14572.73</v>
      </c>
      <c r="BN157" s="763"/>
      <c r="BO157" s="763"/>
      <c r="BP157" s="763"/>
      <c r="BQ157" s="763"/>
      <c r="BR157" s="765">
        <f>+BR156+BR155</f>
        <v>14522.73</v>
      </c>
      <c r="BS157" s="763"/>
      <c r="BT157" s="763"/>
      <c r="BU157" s="763"/>
      <c r="BV157" s="763"/>
      <c r="BW157" s="765">
        <f>+BW156+BW155</f>
        <v>14300.73</v>
      </c>
      <c r="BX157" s="763"/>
      <c r="BY157" s="763"/>
      <c r="BZ157" s="763"/>
      <c r="CA157" s="763"/>
      <c r="CB157" s="765">
        <f>+CB156+CB155</f>
        <v>14522.73</v>
      </c>
      <c r="CC157" s="763"/>
      <c r="CD157" s="763"/>
      <c r="CE157" s="763"/>
      <c r="CF157" s="763"/>
      <c r="CG157" s="765">
        <f>+CG156+CG155</f>
        <v>14377.73</v>
      </c>
      <c r="CH157" s="763"/>
      <c r="CI157" s="763"/>
      <c r="CJ157" s="763"/>
      <c r="CK157" s="763"/>
      <c r="CL157" s="765">
        <f>+CL156+CL155</f>
        <v>14572.73</v>
      </c>
      <c r="CM157" s="763"/>
      <c r="CN157" s="763"/>
      <c r="CO157" s="763"/>
      <c r="CP157" s="763"/>
      <c r="CQ157" s="765">
        <f>+CQ156+CQ155</f>
        <v>14572.73</v>
      </c>
      <c r="CR157" s="763"/>
      <c r="CS157" s="763"/>
      <c r="CT157" s="763"/>
      <c r="CU157" s="763"/>
      <c r="CV157" s="765">
        <f>+CV156+CV155</f>
        <v>14572.73</v>
      </c>
      <c r="CW157" s="763"/>
      <c r="CX157" s="763"/>
      <c r="CY157" s="763"/>
      <c r="CZ157" s="763"/>
      <c r="DA157" s="765">
        <f>+DA156+DA155</f>
        <v>14295.73</v>
      </c>
    </row>
    <row r="158" spans="1:105" ht="28.5" customHeight="1" thickTop="1" x14ac:dyDescent="0.25">
      <c r="D158" s="754"/>
      <c r="E158" s="750"/>
      <c r="H158" s="791"/>
      <c r="I158" s="791"/>
      <c r="J158" s="792"/>
      <c r="K158" s="791"/>
      <c r="L158" s="791"/>
      <c r="M158" s="791"/>
      <c r="N158" s="791"/>
      <c r="O158" s="792"/>
      <c r="P158" s="791"/>
      <c r="Q158" s="791"/>
      <c r="R158" s="791"/>
      <c r="S158" s="791"/>
      <c r="T158" s="792"/>
      <c r="U158" s="791"/>
      <c r="V158" s="791"/>
      <c r="W158" s="791"/>
      <c r="X158" s="791"/>
      <c r="Y158" s="792"/>
      <c r="Z158" s="791"/>
      <c r="AA158" s="791"/>
      <c r="AB158" s="791"/>
      <c r="AC158" s="791"/>
      <c r="AD158" s="792"/>
      <c r="AE158" s="791"/>
      <c r="AF158" s="791"/>
      <c r="AG158" s="791"/>
      <c r="AH158" s="791"/>
      <c r="AI158" s="792"/>
      <c r="AJ158" s="791"/>
      <c r="AK158" s="791"/>
      <c r="AL158" s="791"/>
      <c r="AM158" s="791"/>
      <c r="AN158" s="792"/>
      <c r="AO158" s="791"/>
      <c r="AP158" s="791"/>
      <c r="AQ158" s="791"/>
      <c r="AR158" s="791"/>
      <c r="AS158" s="792"/>
      <c r="AT158" s="791"/>
      <c r="AU158" s="791"/>
      <c r="AV158" s="791"/>
      <c r="AW158" s="791"/>
      <c r="AX158" s="792"/>
      <c r="AY158" s="791"/>
      <c r="AZ158" s="791"/>
      <c r="BA158" s="791"/>
      <c r="BB158" s="791"/>
      <c r="BC158" s="792"/>
    </row>
    <row r="159" spans="1:105" ht="28.5" customHeight="1" x14ac:dyDescent="0.25">
      <c r="J159" s="140" t="s">
        <v>163</v>
      </c>
    </row>
    <row r="160" spans="1:105" ht="28.5" customHeight="1" x14ac:dyDescent="0.25">
      <c r="C160" s="599" t="str">
        <f>"TRC Equipment for "&amp;TabName1</f>
        <v>TRC Equipment for Phase 1</v>
      </c>
      <c r="D160" s="753"/>
      <c r="E160" s="599"/>
      <c r="G160" s="251">
        <f>+SUMIF($I$7:$BB$7,$J161,$J$155:$BC$155)</f>
        <v>12049</v>
      </c>
      <c r="J160" s="140"/>
    </row>
    <row r="161" spans="3:10" ht="28.5" customHeight="1" x14ac:dyDescent="0.25">
      <c r="C161" s="150" t="str">
        <f>"TRC Supplies for " &amp; TabName1</f>
        <v>TRC Supplies for Phase 1</v>
      </c>
      <c r="D161" s="752"/>
      <c r="E161" s="150"/>
      <c r="G161" s="766">
        <f>+SUMIF($I$7:$BB$7,$J161,$J$156:$BC$156)</f>
        <v>1386.73</v>
      </c>
      <c r="J161" s="86">
        <f>INDEX(ValidateTable,1)</f>
        <v>1</v>
      </c>
    </row>
    <row r="162" spans="3:10" ht="28.5" customHeight="1" x14ac:dyDescent="0.25">
      <c r="C162" s="150"/>
      <c r="D162" s="752"/>
      <c r="E162" s="150"/>
      <c r="J162" s="86">
        <f>INDEX(ValidateTable,2)</f>
        <v>2</v>
      </c>
    </row>
    <row r="163" spans="3:10" ht="28.5" customHeight="1" x14ac:dyDescent="0.25">
      <c r="C163" s="599" t="str">
        <f>"TRC Equipment for "&amp;TabName2</f>
        <v>TRC Equipment for Phase 2</v>
      </c>
      <c r="D163" s="753"/>
      <c r="E163" s="599"/>
      <c r="G163" s="251">
        <f>+SUMIF($I$7:$BB$7,$J162,$J$155:$BC$155)</f>
        <v>12986</v>
      </c>
      <c r="J163" s="86">
        <f>INDEX(ValidateTable,3)</f>
        <v>3</v>
      </c>
    </row>
    <row r="164" spans="3:10" ht="28.5" customHeight="1" x14ac:dyDescent="0.25">
      <c r="C164" s="150" t="str">
        <f>"TRC Supplies for " &amp; TabName2</f>
        <v>TRC Supplies for Phase 2</v>
      </c>
      <c r="D164" s="752"/>
      <c r="E164" s="150"/>
      <c r="G164" s="766">
        <f>+SUMIF($I$7:$BB$7,$J162,$J$156:$BC$156)</f>
        <v>1586.58</v>
      </c>
      <c r="J164" s="86">
        <f>INDEX(ValidateTable,4)</f>
        <v>4</v>
      </c>
    </row>
    <row r="165" spans="3:10" ht="28.5" customHeight="1" x14ac:dyDescent="0.25">
      <c r="C165" s="150"/>
      <c r="D165" s="752"/>
      <c r="E165" s="150"/>
      <c r="J165" s="86">
        <f>INDEX(ValidateTable,5)</f>
        <v>5</v>
      </c>
    </row>
    <row r="166" spans="3:10" ht="28.5" customHeight="1" x14ac:dyDescent="0.25">
      <c r="C166" s="599" t="str">
        <f>"TRC Equipment for "&amp;TabName3</f>
        <v>TRC Equipment for Phase 3</v>
      </c>
      <c r="D166" s="753"/>
      <c r="E166" s="599"/>
      <c r="G166" s="251">
        <f>+SUMIF($I$7:$BB$7,$J163,$J$155:$BC$155)</f>
        <v>14166</v>
      </c>
      <c r="J166" s="86">
        <f>INDEX(ValidateTable,6)</f>
        <v>6</v>
      </c>
    </row>
    <row r="167" spans="3:10" ht="28.5" customHeight="1" x14ac:dyDescent="0.25">
      <c r="C167" s="150" t="str">
        <f>"TRC Supplies for " &amp; TabName3</f>
        <v>TRC Supplies for Phase 3</v>
      </c>
      <c r="D167" s="752"/>
      <c r="E167" s="150"/>
      <c r="G167" s="766">
        <f>+SUMIF($I$7:$BB$7,$J163,$J$156:$BC$156)</f>
        <v>1586.73</v>
      </c>
      <c r="J167" s="86">
        <f>INDEX(ValidateTable,7)</f>
        <v>7</v>
      </c>
    </row>
    <row r="168" spans="3:10" ht="28.5" customHeight="1" x14ac:dyDescent="0.25">
      <c r="C168" s="150"/>
      <c r="D168" s="752"/>
      <c r="E168" s="150"/>
      <c r="J168" s="86">
        <f>INDEX(ValidateTable,8)</f>
        <v>8</v>
      </c>
    </row>
    <row r="169" spans="3:10" ht="28.5" customHeight="1" x14ac:dyDescent="0.25">
      <c r="C169" s="599" t="str">
        <f>"TRC Equipment for "&amp;TabName4</f>
        <v>TRC Equipment for Phase 4</v>
      </c>
      <c r="D169" s="753"/>
      <c r="E169" s="599"/>
      <c r="G169" s="251">
        <f>+SUMIF($I$7:$BB$7,$J164,$J$155:$BC$155)</f>
        <v>12901</v>
      </c>
      <c r="J169" s="86">
        <f>INDEX(ValidateTable,9)</f>
        <v>9</v>
      </c>
    </row>
    <row r="170" spans="3:10" ht="28.5" customHeight="1" x14ac:dyDescent="0.25">
      <c r="C170" s="150" t="str">
        <f>"TRC Supplies for " &amp; TabName4</f>
        <v>TRC Supplies for Phase 4</v>
      </c>
      <c r="D170" s="752"/>
      <c r="E170" s="150"/>
      <c r="G170" s="766">
        <f>+SUMIF($I$7:$BB$7,$J164,$J$156:$BC$156)</f>
        <v>1586.73</v>
      </c>
      <c r="J170" s="86">
        <f>INDEX(ValidateTable,10)</f>
        <v>10</v>
      </c>
    </row>
    <row r="171" spans="3:10" ht="28.5" customHeight="1" x14ac:dyDescent="0.25">
      <c r="C171" s="150"/>
      <c r="D171" s="752"/>
      <c r="E171" s="150"/>
      <c r="J171" s="233">
        <f>INDEX(ValidateTable,11)</f>
        <v>11</v>
      </c>
    </row>
    <row r="172" spans="3:10" ht="28.5" customHeight="1" x14ac:dyDescent="0.25">
      <c r="C172" s="599" t="str">
        <f>"TRC Equipment for "&amp;TabName5</f>
        <v>TRC Equipment for Phase 5</v>
      </c>
      <c r="D172" s="753"/>
      <c r="E172" s="599"/>
      <c r="G172" s="251">
        <f>+SUMIF($I$7:$BB$7,$J165,$J$155:$BC$155)</f>
        <v>12986</v>
      </c>
      <c r="J172" s="233">
        <f>INDEX(ValidateTable,12)</f>
        <v>12</v>
      </c>
    </row>
    <row r="173" spans="3:10" ht="28.5" customHeight="1" x14ac:dyDescent="0.25">
      <c r="C173" s="150" t="str">
        <f>"TRC Supplies for " &amp; TabName5</f>
        <v>TRC Supplies for Phase 5</v>
      </c>
      <c r="D173" s="752"/>
      <c r="E173" s="150"/>
      <c r="G173" s="766">
        <f>+SUMIF($I$7:$BB$7,$J165,$J$156:$BC$156)</f>
        <v>1586.73</v>
      </c>
      <c r="J173" s="233">
        <f>INDEX(ValidateTable,13)</f>
        <v>13</v>
      </c>
    </row>
    <row r="174" spans="3:10" ht="28.5" customHeight="1" x14ac:dyDescent="0.25">
      <c r="C174" s="150"/>
      <c r="D174" s="752"/>
      <c r="E174" s="150"/>
      <c r="J174" s="233">
        <f>INDEX(ValidateTable,14)</f>
        <v>14</v>
      </c>
    </row>
    <row r="175" spans="3:10" ht="28.5" customHeight="1" x14ac:dyDescent="0.25">
      <c r="C175" s="599" t="str">
        <f>"TRC Equipment for "&amp;TabName6</f>
        <v>TRC Equipment for Phase 6</v>
      </c>
      <c r="D175" s="753"/>
      <c r="E175" s="599"/>
      <c r="G175" s="251">
        <f>+SUMIF($I$7:$BB$7,$J166,$J$155:$BC$155)</f>
        <v>12756</v>
      </c>
      <c r="J175" s="233">
        <f>INDEX(ValidateTable,15)</f>
        <v>15</v>
      </c>
    </row>
    <row r="176" spans="3:10" ht="28.5" customHeight="1" x14ac:dyDescent="0.25">
      <c r="C176" s="150" t="str">
        <f>"TRC Supplies for " &amp; TabName6</f>
        <v>TRC Supplies for Phase 6</v>
      </c>
      <c r="D176" s="752"/>
      <c r="E176" s="150"/>
      <c r="G176" s="766">
        <f>+SUMIF($I$7:$BB$7,$J166,$J$156:$BC$156)</f>
        <v>1586.73</v>
      </c>
      <c r="J176" s="233">
        <f>INDEX(ValidateTable,16)</f>
        <v>16</v>
      </c>
    </row>
    <row r="177" spans="3:10" ht="28.5" customHeight="1" x14ac:dyDescent="0.25">
      <c r="C177" s="150"/>
      <c r="D177" s="752"/>
      <c r="E177" s="150"/>
      <c r="J177" s="233">
        <f>INDEX(ValidateTable,17)</f>
        <v>17</v>
      </c>
    </row>
    <row r="178" spans="3:10" ht="28.5" customHeight="1" x14ac:dyDescent="0.25">
      <c r="C178" s="599" t="str">
        <f>"TRC Equipment for "&amp;TabName7</f>
        <v>TRC Equipment for Phase 7</v>
      </c>
      <c r="D178" s="753"/>
      <c r="E178" s="599"/>
      <c r="G178" s="251">
        <f>+SUMIF($I$7:$BB$7,$J167,$J$155:$BC$155)</f>
        <v>12986</v>
      </c>
      <c r="J178" s="233">
        <f>INDEX(ValidateTable,18)</f>
        <v>18</v>
      </c>
    </row>
    <row r="179" spans="3:10" ht="28.5" customHeight="1" x14ac:dyDescent="0.25">
      <c r="C179" s="150" t="str">
        <f>"TRC Supplies for " &amp; TabName7</f>
        <v>TRC Supplies for Phase 7</v>
      </c>
      <c r="D179" s="752"/>
      <c r="E179" s="150"/>
      <c r="G179" s="766">
        <f>+SUMIF($I$7:$BB$7,$J167,$J$156:$BC$156)</f>
        <v>1586.73</v>
      </c>
      <c r="J179" s="233">
        <f>INDEX(ValidateTable,19)</f>
        <v>19</v>
      </c>
    </row>
    <row r="180" spans="3:10" ht="28.5" customHeight="1" x14ac:dyDescent="0.25">
      <c r="C180" s="150"/>
      <c r="D180" s="752"/>
      <c r="E180" s="150"/>
      <c r="J180" s="233">
        <f>INDEX(ValidateTable,20)</f>
        <v>20</v>
      </c>
    </row>
    <row r="181" spans="3:10" ht="28.5" customHeight="1" x14ac:dyDescent="0.25">
      <c r="C181" s="599" t="str">
        <f>"TRC Equipment for "&amp;TabName8</f>
        <v>TRC Equipment for Phase 8</v>
      </c>
      <c r="D181" s="753"/>
      <c r="E181" s="599"/>
      <c r="G181" s="251">
        <f>+SUMIF($I$7:$BB$7,$J168,$J$155:$BC$155)</f>
        <v>12701</v>
      </c>
    </row>
    <row r="182" spans="3:10" ht="28.5" customHeight="1" x14ac:dyDescent="0.25">
      <c r="C182" s="150" t="str">
        <f>"TRC Supplies for " &amp; TabName8</f>
        <v>TRC Supplies for Phase 8</v>
      </c>
      <c r="D182" s="752"/>
      <c r="E182" s="150"/>
      <c r="G182" s="766">
        <f>+SUMIF($I$7:$BB$7,$J168,$J$156:$BC$156)</f>
        <v>1586.73</v>
      </c>
    </row>
    <row r="183" spans="3:10" ht="28.5" customHeight="1" x14ac:dyDescent="0.25">
      <c r="C183" s="150"/>
      <c r="D183" s="752"/>
      <c r="E183" s="150"/>
    </row>
    <row r="184" spans="3:10" ht="28.5" customHeight="1" x14ac:dyDescent="0.25">
      <c r="C184" s="599" t="str">
        <f>"TRC Equipment for "&amp;TabName9</f>
        <v>TRC Equipment for Phase 9</v>
      </c>
      <c r="D184" s="753"/>
      <c r="E184" s="599"/>
      <c r="G184" s="251">
        <f>+SUMIF($I$7:$BB$7,$J169,$J$155:$BC$155)</f>
        <v>12986</v>
      </c>
    </row>
    <row r="185" spans="3:10" ht="28.5" customHeight="1" x14ac:dyDescent="0.25">
      <c r="C185" s="150" t="str">
        <f>"TRC Supplies for " &amp; TabName9</f>
        <v>TRC Supplies for Phase 9</v>
      </c>
      <c r="D185" s="752"/>
      <c r="E185" s="150"/>
      <c r="G185" s="766">
        <f>+SUMIF($I$7:$BB$7,$J169,$J$156:$BC$156)</f>
        <v>1586.73</v>
      </c>
    </row>
    <row r="186" spans="3:10" ht="28.5" customHeight="1" x14ac:dyDescent="0.25">
      <c r="C186" s="150"/>
      <c r="D186" s="752"/>
      <c r="E186" s="150"/>
    </row>
    <row r="187" spans="3:10" ht="28.5" customHeight="1" x14ac:dyDescent="0.25">
      <c r="C187" s="599" t="str">
        <f>"TRC Equipment for "&amp;tabname10</f>
        <v>TRC Equipment for Phase 10</v>
      </c>
      <c r="D187" s="753"/>
      <c r="E187" s="599"/>
      <c r="G187" s="251">
        <f>+SUMIF($I$7:$BB$7,$J170,$J$155:$BC$155)</f>
        <v>12891</v>
      </c>
    </row>
    <row r="188" spans="3:10" ht="28.5" customHeight="1" x14ac:dyDescent="0.25">
      <c r="C188" s="150" t="str">
        <f>"TRC Supplies for " &amp; tabname10</f>
        <v>TRC Supplies for Phase 10</v>
      </c>
      <c r="D188" s="752"/>
      <c r="E188" s="150"/>
      <c r="G188" s="766">
        <f>+SUMIF($I$7:$BB$7,$J170,$J$156:$BC$156)</f>
        <v>1586.73</v>
      </c>
    </row>
    <row r="189" spans="3:10" ht="28.5" customHeight="1" x14ac:dyDescent="0.25"/>
    <row r="190" spans="3:10" ht="28.5" customHeight="1" x14ac:dyDescent="0.25">
      <c r="C190" s="599" t="str">
        <f>"TRC Equipment for "&amp;TabName11</f>
        <v>TRC Equipment for Phase 11</v>
      </c>
      <c r="D190" s="753"/>
      <c r="E190" s="599"/>
      <c r="G190" s="761">
        <f>BH155</f>
        <v>12961</v>
      </c>
    </row>
    <row r="191" spans="3:10" ht="28.5" customHeight="1" x14ac:dyDescent="0.25">
      <c r="C191" s="150" t="str">
        <f>"TRC Supplies for " &amp; TabName11</f>
        <v>TRC Supplies for Phase 11</v>
      </c>
      <c r="D191" s="752"/>
      <c r="E191" s="150"/>
      <c r="G191" s="766">
        <f>BH156</f>
        <v>1586.73</v>
      </c>
    </row>
    <row r="192" spans="3:10" ht="28.5" customHeight="1" x14ac:dyDescent="0.25"/>
    <row r="193" spans="3:7" ht="28.5" customHeight="1" x14ac:dyDescent="0.25">
      <c r="C193" s="599" t="str">
        <f>"TRC Equipment for "&amp;TabName12</f>
        <v>TRC Equipment for Phase 12</v>
      </c>
      <c r="D193" s="753"/>
      <c r="E193" s="599"/>
      <c r="G193" s="761">
        <f>BM155</f>
        <v>12986</v>
      </c>
    </row>
    <row r="194" spans="3:7" ht="28.5" customHeight="1" x14ac:dyDescent="0.25">
      <c r="C194" s="150" t="str">
        <f>"TRC Supplies for " &amp; TabName12</f>
        <v>TRC Supplies for Phase 12</v>
      </c>
      <c r="D194" s="752"/>
      <c r="E194" s="150"/>
      <c r="G194" s="766">
        <f>BM156</f>
        <v>1586.73</v>
      </c>
    </row>
    <row r="195" spans="3:7" ht="28.5" customHeight="1" x14ac:dyDescent="0.25"/>
    <row r="196" spans="3:7" ht="25.5" customHeight="1" x14ac:dyDescent="0.25">
      <c r="C196" s="599" t="str">
        <f>"TRC Equipment for "&amp;TabName13</f>
        <v>TRC Equipment for Phase 13</v>
      </c>
      <c r="G196" s="761">
        <f>BR155</f>
        <v>12936</v>
      </c>
    </row>
    <row r="197" spans="3:7" ht="27" customHeight="1" x14ac:dyDescent="0.25">
      <c r="C197" s="150" t="str">
        <f>"TRC Supplies for " &amp; TabName13</f>
        <v>TRC Supplies for Phase 13</v>
      </c>
      <c r="G197" s="766">
        <f>BR156</f>
        <v>1586.73</v>
      </c>
    </row>
    <row r="198" spans="3:7" ht="18.75" customHeight="1" x14ac:dyDescent="0.25"/>
    <row r="199" spans="3:7" ht="19.5" customHeight="1" x14ac:dyDescent="0.25">
      <c r="C199" s="599" t="str">
        <f>"TRC Equipment for "&amp;TabName14</f>
        <v>TRC Equipment for Phase 14</v>
      </c>
      <c r="G199" s="761">
        <f>BW155</f>
        <v>12986</v>
      </c>
    </row>
    <row r="200" spans="3:7" ht="11.25" customHeight="1" x14ac:dyDescent="0.25">
      <c r="C200" s="150" t="str">
        <f>"TRC Supplies for " &amp; TabName14</f>
        <v>TRC Supplies for Phase 14</v>
      </c>
      <c r="G200" s="766">
        <f>BW156</f>
        <v>1314.73</v>
      </c>
    </row>
    <row r="201" spans="3:7" ht="21.75" customHeight="1" x14ac:dyDescent="0.25"/>
    <row r="202" spans="3:7" ht="18.75" customHeight="1" x14ac:dyDescent="0.25">
      <c r="C202" s="599" t="str">
        <f>"TRC Equipment for "&amp;TabName15</f>
        <v>TRC Equipment for Phase 15</v>
      </c>
      <c r="G202" s="759">
        <f>CB155</f>
        <v>12936</v>
      </c>
    </row>
    <row r="203" spans="3:7" ht="15" customHeight="1" x14ac:dyDescent="0.25">
      <c r="C203" s="150" t="str">
        <f>"TRC Supplies for " &amp; TabName15</f>
        <v>TRC Supplies for Phase 15</v>
      </c>
      <c r="G203" s="759">
        <f>CB156</f>
        <v>1586.73</v>
      </c>
    </row>
    <row r="204" spans="3:7" ht="28.5" customHeight="1" x14ac:dyDescent="0.25"/>
    <row r="205" spans="3:7" ht="23.25" customHeight="1" x14ac:dyDescent="0.25">
      <c r="C205" s="599" t="str">
        <f>"TRC Equipment for "&amp;TabName16</f>
        <v>TRC Equipment for Phase 16</v>
      </c>
      <c r="G205" s="759">
        <f>CG155</f>
        <v>12791</v>
      </c>
    </row>
    <row r="206" spans="3:7" ht="25.5" customHeight="1" x14ac:dyDescent="0.25">
      <c r="C206" s="150" t="str">
        <f>"TRC Supplies for " &amp; TabName16</f>
        <v>TRC Supplies for Phase 16</v>
      </c>
      <c r="G206" s="759">
        <f>CG156</f>
        <v>1586.73</v>
      </c>
    </row>
    <row r="207" spans="3:7" ht="10.5" customHeight="1" x14ac:dyDescent="0.25"/>
    <row r="208" spans="3:7" ht="18.75" customHeight="1" x14ac:dyDescent="0.25">
      <c r="C208" s="599" t="str">
        <f>"TRC Equipment for "&amp;TabName17</f>
        <v>TRC Equipment for Phase 17</v>
      </c>
      <c r="G208" s="759">
        <f>CL155</f>
        <v>12986</v>
      </c>
    </row>
    <row r="209" spans="3:7" ht="23.25" customHeight="1" x14ac:dyDescent="0.25">
      <c r="C209" s="150" t="str">
        <f>"TRC Supplies for " &amp; TabName17</f>
        <v>TRC Supplies for Phase 17</v>
      </c>
      <c r="G209" s="759">
        <f>CL156</f>
        <v>1586.73</v>
      </c>
    </row>
    <row r="210" spans="3:7" ht="21.75" customHeight="1" x14ac:dyDescent="0.25"/>
    <row r="211" spans="3:7" ht="18.75" customHeight="1" x14ac:dyDescent="0.25">
      <c r="C211" s="599" t="str">
        <f>"TRC Equipment for "&amp;TabName18</f>
        <v>TRC Equipment for Phase 18</v>
      </c>
      <c r="G211" s="759">
        <f>CQ155</f>
        <v>12986</v>
      </c>
    </row>
    <row r="212" spans="3:7" ht="21" customHeight="1" x14ac:dyDescent="0.25">
      <c r="C212" s="150" t="str">
        <f>"TRC Supplies for " &amp; TabName18</f>
        <v>TRC Supplies for Phase 18</v>
      </c>
      <c r="G212" s="759">
        <f>CQ156</f>
        <v>1586.73</v>
      </c>
    </row>
    <row r="213" spans="3:7" ht="24.75" customHeight="1" x14ac:dyDescent="0.25"/>
    <row r="214" spans="3:7" ht="21" customHeight="1" x14ac:dyDescent="0.25">
      <c r="C214" s="599" t="str">
        <f>"TRC Equipment for "&amp;TabName19</f>
        <v>TRC Equipment for Phase 19</v>
      </c>
      <c r="G214" s="759">
        <f>CV155</f>
        <v>12986</v>
      </c>
    </row>
    <row r="215" spans="3:7" ht="18" customHeight="1" x14ac:dyDescent="0.25">
      <c r="C215" s="150" t="str">
        <f>"TRC Supplies for " &amp; TabName19</f>
        <v>TRC Supplies for Phase 19</v>
      </c>
      <c r="G215" s="759">
        <f>CV156</f>
        <v>1586.73</v>
      </c>
    </row>
    <row r="216" spans="3:7" ht="26.25" customHeight="1" x14ac:dyDescent="0.25"/>
    <row r="217" spans="3:7" ht="24" customHeight="1" x14ac:dyDescent="0.25">
      <c r="C217" s="599" t="str">
        <f>"TRC Equipment for "&amp;TabName20</f>
        <v>TRC Equipment for Phase 20</v>
      </c>
      <c r="G217" s="759">
        <f>DA155</f>
        <v>12751</v>
      </c>
    </row>
    <row r="218" spans="3:7" ht="28.5" customHeight="1" x14ac:dyDescent="0.25">
      <c r="C218" s="150" t="str">
        <f>"TRC Supplies for " &amp; TabName20</f>
        <v>TRC Supplies for Phase 20</v>
      </c>
      <c r="G218" s="759">
        <f>DA156</f>
        <v>1544.73</v>
      </c>
    </row>
  </sheetData>
  <sheetProtection autoFilter="0"/>
  <protectedRanges>
    <protectedRange sqref="G9:G153 L9:L153 Q9:Q153 V9:V153 AA9:AA153 AF9:AF153 AK9:AK153 AP9:AP153 AU9:AU153 AZ9:AZ153 BE9:BE153 BJ9:BJ153 BO9:BO153 BT9:BT153 CD9:CD153 CI9:CI153 CN9:CN153 CS9:CS153 BY9:BY10 BY12:BY14 BY16:BY153 CX9:CX153" name="Equipment Quantity"/>
    <protectedRange sqref="I9:I153 N9:N153 S9:S153 X9:X153 AC9:AC153 AH9:AH153 AM9:AM153 AR9:AR153 AW9:AW153 BB9:BB153 BG9:BG153 BL9:BL153 BQ9:BQ153 BV9:BV153 CA9:CA153 CF9:CF153 CK9:CK153 CP9:CP153 CU9:CU153 CZ9:CZ153" name="Equipment User_Entered Cost"/>
    <protectedRange sqref="B8" name="Selector"/>
  </protectedRanges>
  <autoFilter ref="B8:BC157" xr:uid="{3F285E22-1478-4307-B10E-BA3E5CAD5C61}"/>
  <mergeCells count="142">
    <mergeCell ref="CW7:CY7"/>
    <mergeCell ref="BD7:BF7"/>
    <mergeCell ref="BI7:BK7"/>
    <mergeCell ref="BN7:BP7"/>
    <mergeCell ref="BS7:BU7"/>
    <mergeCell ref="BX7:BZ7"/>
    <mergeCell ref="CC7:CE7"/>
    <mergeCell ref="CH7:CJ7"/>
    <mergeCell ref="CM7:CO7"/>
    <mergeCell ref="CR7:CT7"/>
    <mergeCell ref="AT7:AV7"/>
    <mergeCell ref="AY7:BA7"/>
    <mergeCell ref="AO7:AQ7"/>
    <mergeCell ref="E16:E17"/>
    <mergeCell ref="E18:E19"/>
    <mergeCell ref="E54:E55"/>
    <mergeCell ref="A9:A69"/>
    <mergeCell ref="D9:D10"/>
    <mergeCell ref="D11:D12"/>
    <mergeCell ref="D13:D14"/>
    <mergeCell ref="D16:D17"/>
    <mergeCell ref="D18:D19"/>
    <mergeCell ref="D68:D69"/>
    <mergeCell ref="E68:E69"/>
    <mergeCell ref="D54:D55"/>
    <mergeCell ref="D52:D53"/>
    <mergeCell ref="E52:E53"/>
    <mergeCell ref="K7:M7"/>
    <mergeCell ref="P7:R7"/>
    <mergeCell ref="U7:W7"/>
    <mergeCell ref="Z7:AB7"/>
    <mergeCell ref="AE7:AG7"/>
    <mergeCell ref="AJ7:AL7"/>
    <mergeCell ref="E9:E10"/>
    <mergeCell ref="E11:E12"/>
    <mergeCell ref="E13:E14"/>
    <mergeCell ref="C1:G1"/>
    <mergeCell ref="C2:F2"/>
    <mergeCell ref="C3:F3"/>
    <mergeCell ref="C4:F4"/>
    <mergeCell ref="C5:F5"/>
    <mergeCell ref="F7:H7"/>
    <mergeCell ref="D151:D152"/>
    <mergeCell ref="E151:E152"/>
    <mergeCell ref="D146:D147"/>
    <mergeCell ref="E146:E147"/>
    <mergeCell ref="D142:D143"/>
    <mergeCell ref="E142:E143"/>
    <mergeCell ref="E121:E122"/>
    <mergeCell ref="D119:D120"/>
    <mergeCell ref="E119:E120"/>
    <mergeCell ref="D117:D118"/>
    <mergeCell ref="E117:E118"/>
    <mergeCell ref="D96:D97"/>
    <mergeCell ref="E96:E97"/>
    <mergeCell ref="D94:D95"/>
    <mergeCell ref="E94:E95"/>
    <mergeCell ref="D91:D92"/>
    <mergeCell ref="A70:A82"/>
    <mergeCell ref="A83:A97"/>
    <mergeCell ref="A98:A141"/>
    <mergeCell ref="A142:A145"/>
    <mergeCell ref="A146:A153"/>
    <mergeCell ref="D133:D134"/>
    <mergeCell ref="E133:E134"/>
    <mergeCell ref="D126:D127"/>
    <mergeCell ref="E126:E127"/>
    <mergeCell ref="D123:D124"/>
    <mergeCell ref="E123:E124"/>
    <mergeCell ref="D140:D141"/>
    <mergeCell ref="E140:E141"/>
    <mergeCell ref="D138:D139"/>
    <mergeCell ref="E138:E139"/>
    <mergeCell ref="D136:D137"/>
    <mergeCell ref="E136:E137"/>
    <mergeCell ref="D114:D115"/>
    <mergeCell ref="E114:E115"/>
    <mergeCell ref="D112:D113"/>
    <mergeCell ref="E112:E113"/>
    <mergeCell ref="D110:D111"/>
    <mergeCell ref="E110:E111"/>
    <mergeCell ref="D121:D122"/>
    <mergeCell ref="E91:E92"/>
    <mergeCell ref="D105:D106"/>
    <mergeCell ref="E105:E106"/>
    <mergeCell ref="D100:D101"/>
    <mergeCell ref="E100:E101"/>
    <mergeCell ref="D98:D99"/>
    <mergeCell ref="E98:E99"/>
    <mergeCell ref="D81:D82"/>
    <mergeCell ref="E81:E82"/>
    <mergeCell ref="D89:D90"/>
    <mergeCell ref="E89:E90"/>
    <mergeCell ref="E72:E73"/>
    <mergeCell ref="D70:D71"/>
    <mergeCell ref="E70:E71"/>
    <mergeCell ref="D79:D80"/>
    <mergeCell ref="E79:E80"/>
    <mergeCell ref="D77:D78"/>
    <mergeCell ref="E77:E78"/>
    <mergeCell ref="D87:D88"/>
    <mergeCell ref="E87:E88"/>
    <mergeCell ref="D85:D86"/>
    <mergeCell ref="E85:E86"/>
    <mergeCell ref="D83:D84"/>
    <mergeCell ref="E83:E84"/>
    <mergeCell ref="D24:D25"/>
    <mergeCell ref="E24:E25"/>
    <mergeCell ref="D22:D23"/>
    <mergeCell ref="E22:E23"/>
    <mergeCell ref="D20:D21"/>
    <mergeCell ref="E20:E21"/>
    <mergeCell ref="D30:D31"/>
    <mergeCell ref="E30:E31"/>
    <mergeCell ref="D28:D29"/>
    <mergeCell ref="E28:E29"/>
    <mergeCell ref="D26:D27"/>
    <mergeCell ref="E26:E27"/>
    <mergeCell ref="D128:D129"/>
    <mergeCell ref="D148:D150"/>
    <mergeCell ref="E148:E150"/>
    <mergeCell ref="D36:D37"/>
    <mergeCell ref="E36:E37"/>
    <mergeCell ref="D34:D35"/>
    <mergeCell ref="E34:E35"/>
    <mergeCell ref="D32:D33"/>
    <mergeCell ref="E32:E33"/>
    <mergeCell ref="D42:D43"/>
    <mergeCell ref="E42:E43"/>
    <mergeCell ref="D40:D41"/>
    <mergeCell ref="E40:E41"/>
    <mergeCell ref="D38:D39"/>
    <mergeCell ref="E38:E39"/>
    <mergeCell ref="D50:D51"/>
    <mergeCell ref="E50:E51"/>
    <mergeCell ref="D46:D47"/>
    <mergeCell ref="E46:E47"/>
    <mergeCell ref="D44:D45"/>
    <mergeCell ref="E44:E45"/>
    <mergeCell ref="D74:D75"/>
    <mergeCell ref="E74:E75"/>
    <mergeCell ref="D72:D73"/>
  </mergeCells>
  <conditionalFormatting sqref="C9:C127 C131:C147 C151:C153">
    <cfRule type="duplicateValues" dxfId="620" priority="121"/>
  </conditionalFormatting>
  <conditionalFormatting sqref="B9">
    <cfRule type="duplicateValues" dxfId="619" priority="120"/>
  </conditionalFormatting>
  <conditionalFormatting sqref="B10">
    <cfRule type="duplicateValues" dxfId="618" priority="119"/>
  </conditionalFormatting>
  <conditionalFormatting sqref="B11">
    <cfRule type="duplicateValues" dxfId="617" priority="118"/>
  </conditionalFormatting>
  <conditionalFormatting sqref="B12">
    <cfRule type="duplicateValues" dxfId="616" priority="117"/>
  </conditionalFormatting>
  <conditionalFormatting sqref="B13">
    <cfRule type="duplicateValues" dxfId="615" priority="116"/>
  </conditionalFormatting>
  <conditionalFormatting sqref="B14">
    <cfRule type="duplicateValues" dxfId="614" priority="115"/>
  </conditionalFormatting>
  <conditionalFormatting sqref="B15">
    <cfRule type="duplicateValues" dxfId="613" priority="114"/>
  </conditionalFormatting>
  <conditionalFormatting sqref="B16">
    <cfRule type="duplicateValues" dxfId="612" priority="113"/>
  </conditionalFormatting>
  <conditionalFormatting sqref="B17">
    <cfRule type="duplicateValues" dxfId="611" priority="112"/>
  </conditionalFormatting>
  <conditionalFormatting sqref="B18">
    <cfRule type="duplicateValues" dxfId="610" priority="111"/>
  </conditionalFormatting>
  <conditionalFormatting sqref="B19">
    <cfRule type="duplicateValues" dxfId="609" priority="110"/>
  </conditionalFormatting>
  <conditionalFormatting sqref="B20">
    <cfRule type="duplicateValues" dxfId="608" priority="109"/>
  </conditionalFormatting>
  <conditionalFormatting sqref="B21">
    <cfRule type="duplicateValues" dxfId="607" priority="108"/>
  </conditionalFormatting>
  <conditionalFormatting sqref="B22">
    <cfRule type="duplicateValues" dxfId="606" priority="107"/>
  </conditionalFormatting>
  <conditionalFormatting sqref="B23">
    <cfRule type="duplicateValues" dxfId="605" priority="106"/>
  </conditionalFormatting>
  <conditionalFormatting sqref="B24">
    <cfRule type="duplicateValues" dxfId="604" priority="105"/>
  </conditionalFormatting>
  <conditionalFormatting sqref="B25">
    <cfRule type="duplicateValues" dxfId="603" priority="104"/>
  </conditionalFormatting>
  <conditionalFormatting sqref="B26">
    <cfRule type="duplicateValues" dxfId="602" priority="103"/>
  </conditionalFormatting>
  <conditionalFormatting sqref="B27">
    <cfRule type="duplicateValues" dxfId="601" priority="102"/>
  </conditionalFormatting>
  <conditionalFormatting sqref="B28">
    <cfRule type="duplicateValues" dxfId="600" priority="101"/>
  </conditionalFormatting>
  <conditionalFormatting sqref="B29">
    <cfRule type="duplicateValues" dxfId="599" priority="100"/>
  </conditionalFormatting>
  <conditionalFormatting sqref="B30">
    <cfRule type="duplicateValues" dxfId="598" priority="99"/>
  </conditionalFormatting>
  <conditionalFormatting sqref="B31">
    <cfRule type="duplicateValues" dxfId="597" priority="98"/>
  </conditionalFormatting>
  <conditionalFormatting sqref="B32">
    <cfRule type="duplicateValues" dxfId="596" priority="97"/>
  </conditionalFormatting>
  <conditionalFormatting sqref="B33">
    <cfRule type="duplicateValues" dxfId="595" priority="96"/>
  </conditionalFormatting>
  <conditionalFormatting sqref="B34">
    <cfRule type="duplicateValues" dxfId="594" priority="95"/>
  </conditionalFormatting>
  <conditionalFormatting sqref="B35">
    <cfRule type="duplicateValues" dxfId="593" priority="94"/>
  </conditionalFormatting>
  <conditionalFormatting sqref="B36">
    <cfRule type="duplicateValues" dxfId="592" priority="93"/>
  </conditionalFormatting>
  <conditionalFormatting sqref="B37">
    <cfRule type="duplicateValues" dxfId="591" priority="92"/>
  </conditionalFormatting>
  <conditionalFormatting sqref="B38">
    <cfRule type="duplicateValues" dxfId="590" priority="91"/>
  </conditionalFormatting>
  <conditionalFormatting sqref="B39">
    <cfRule type="duplicateValues" dxfId="589" priority="90"/>
  </conditionalFormatting>
  <conditionalFormatting sqref="B40">
    <cfRule type="duplicateValues" dxfId="588" priority="89"/>
  </conditionalFormatting>
  <conditionalFormatting sqref="B41">
    <cfRule type="duplicateValues" dxfId="587" priority="88"/>
  </conditionalFormatting>
  <conditionalFormatting sqref="B42">
    <cfRule type="duplicateValues" dxfId="586" priority="87"/>
  </conditionalFormatting>
  <conditionalFormatting sqref="B43">
    <cfRule type="duplicateValues" dxfId="585" priority="86"/>
  </conditionalFormatting>
  <conditionalFormatting sqref="B44">
    <cfRule type="duplicateValues" dxfId="584" priority="85"/>
  </conditionalFormatting>
  <conditionalFormatting sqref="B45">
    <cfRule type="duplicateValues" dxfId="583" priority="84"/>
  </conditionalFormatting>
  <conditionalFormatting sqref="B46">
    <cfRule type="duplicateValues" dxfId="582" priority="83"/>
  </conditionalFormatting>
  <conditionalFormatting sqref="B47">
    <cfRule type="duplicateValues" dxfId="581" priority="82"/>
  </conditionalFormatting>
  <conditionalFormatting sqref="B48">
    <cfRule type="duplicateValues" dxfId="580" priority="81"/>
  </conditionalFormatting>
  <conditionalFormatting sqref="B49">
    <cfRule type="duplicateValues" dxfId="579" priority="80"/>
  </conditionalFormatting>
  <conditionalFormatting sqref="B50">
    <cfRule type="duplicateValues" dxfId="578" priority="79"/>
  </conditionalFormatting>
  <conditionalFormatting sqref="B51">
    <cfRule type="duplicateValues" dxfId="577" priority="78"/>
  </conditionalFormatting>
  <conditionalFormatting sqref="B52">
    <cfRule type="duplicateValues" dxfId="576" priority="77"/>
  </conditionalFormatting>
  <conditionalFormatting sqref="B53">
    <cfRule type="duplicateValues" dxfId="575" priority="76"/>
  </conditionalFormatting>
  <conditionalFormatting sqref="B54">
    <cfRule type="duplicateValues" dxfId="574" priority="75"/>
  </conditionalFormatting>
  <conditionalFormatting sqref="B55">
    <cfRule type="duplicateValues" dxfId="573" priority="74"/>
  </conditionalFormatting>
  <conditionalFormatting sqref="B56">
    <cfRule type="duplicateValues" dxfId="572" priority="73"/>
  </conditionalFormatting>
  <conditionalFormatting sqref="B57">
    <cfRule type="duplicateValues" dxfId="571" priority="72"/>
  </conditionalFormatting>
  <conditionalFormatting sqref="B58">
    <cfRule type="duplicateValues" dxfId="570" priority="71"/>
  </conditionalFormatting>
  <conditionalFormatting sqref="B59">
    <cfRule type="duplicateValues" dxfId="569" priority="70"/>
  </conditionalFormatting>
  <conditionalFormatting sqref="B60">
    <cfRule type="duplicateValues" dxfId="568" priority="69"/>
  </conditionalFormatting>
  <conditionalFormatting sqref="B61">
    <cfRule type="duplicateValues" dxfId="567" priority="68"/>
  </conditionalFormatting>
  <conditionalFormatting sqref="B62">
    <cfRule type="duplicateValues" dxfId="566" priority="67"/>
  </conditionalFormatting>
  <conditionalFormatting sqref="B63">
    <cfRule type="duplicateValues" dxfId="565" priority="66"/>
  </conditionalFormatting>
  <conditionalFormatting sqref="B64">
    <cfRule type="duplicateValues" dxfId="564" priority="65"/>
  </conditionalFormatting>
  <conditionalFormatting sqref="B65">
    <cfRule type="duplicateValues" dxfId="563" priority="64"/>
  </conditionalFormatting>
  <conditionalFormatting sqref="B66">
    <cfRule type="duplicateValues" dxfId="562" priority="63"/>
  </conditionalFormatting>
  <conditionalFormatting sqref="B67">
    <cfRule type="duplicateValues" dxfId="561" priority="62"/>
  </conditionalFormatting>
  <conditionalFormatting sqref="B68">
    <cfRule type="duplicateValues" dxfId="560" priority="61"/>
  </conditionalFormatting>
  <conditionalFormatting sqref="B69">
    <cfRule type="duplicateValues" dxfId="559" priority="60"/>
  </conditionalFormatting>
  <conditionalFormatting sqref="B81">
    <cfRule type="duplicateValues" dxfId="558" priority="58"/>
  </conditionalFormatting>
  <conditionalFormatting sqref="B82">
    <cfRule type="duplicateValues" dxfId="557" priority="57"/>
  </conditionalFormatting>
  <conditionalFormatting sqref="B70">
    <cfRule type="duplicateValues" dxfId="556" priority="56"/>
  </conditionalFormatting>
  <conditionalFormatting sqref="B71">
    <cfRule type="duplicateValues" dxfId="555" priority="55"/>
  </conditionalFormatting>
  <conditionalFormatting sqref="B72">
    <cfRule type="duplicateValues" dxfId="554" priority="54"/>
  </conditionalFormatting>
  <conditionalFormatting sqref="B73">
    <cfRule type="duplicateValues" dxfId="553" priority="53"/>
  </conditionalFormatting>
  <conditionalFormatting sqref="B74">
    <cfRule type="duplicateValues" dxfId="552" priority="52"/>
  </conditionalFormatting>
  <conditionalFormatting sqref="B75">
    <cfRule type="duplicateValues" dxfId="551" priority="51"/>
  </conditionalFormatting>
  <conditionalFormatting sqref="B76">
    <cfRule type="duplicateValues" dxfId="550" priority="50"/>
  </conditionalFormatting>
  <conditionalFormatting sqref="B77">
    <cfRule type="duplicateValues" dxfId="549" priority="49"/>
  </conditionalFormatting>
  <conditionalFormatting sqref="B78">
    <cfRule type="duplicateValues" dxfId="548" priority="48"/>
  </conditionalFormatting>
  <conditionalFormatting sqref="B79">
    <cfRule type="duplicateValues" dxfId="547" priority="47"/>
  </conditionalFormatting>
  <conditionalFormatting sqref="B80">
    <cfRule type="duplicateValues" dxfId="546" priority="46"/>
  </conditionalFormatting>
  <conditionalFormatting sqref="B83">
    <cfRule type="duplicateValues" dxfId="545" priority="45"/>
  </conditionalFormatting>
  <conditionalFormatting sqref="B84">
    <cfRule type="duplicateValues" dxfId="544" priority="44"/>
  </conditionalFormatting>
  <conditionalFormatting sqref="B85">
    <cfRule type="duplicateValues" dxfId="543" priority="43"/>
  </conditionalFormatting>
  <conditionalFormatting sqref="B86">
    <cfRule type="duplicateValues" dxfId="542" priority="42"/>
  </conditionalFormatting>
  <conditionalFormatting sqref="B87">
    <cfRule type="duplicateValues" dxfId="541" priority="41"/>
  </conditionalFormatting>
  <conditionalFormatting sqref="B88">
    <cfRule type="duplicateValues" dxfId="540" priority="40"/>
  </conditionalFormatting>
  <conditionalFormatting sqref="B89">
    <cfRule type="duplicateValues" dxfId="539" priority="39"/>
  </conditionalFormatting>
  <conditionalFormatting sqref="B90">
    <cfRule type="duplicateValues" dxfId="538" priority="38"/>
  </conditionalFormatting>
  <conditionalFormatting sqref="B91">
    <cfRule type="duplicateValues" dxfId="537" priority="37"/>
  </conditionalFormatting>
  <conditionalFormatting sqref="B92">
    <cfRule type="duplicateValues" dxfId="536" priority="36"/>
  </conditionalFormatting>
  <conditionalFormatting sqref="B96">
    <cfRule type="duplicateValues" dxfId="535" priority="34"/>
  </conditionalFormatting>
  <conditionalFormatting sqref="B97">
    <cfRule type="duplicateValues" dxfId="534" priority="33"/>
  </conditionalFormatting>
  <conditionalFormatting sqref="B93">
    <cfRule type="duplicateValues" dxfId="533" priority="32"/>
  </conditionalFormatting>
  <conditionalFormatting sqref="B94">
    <cfRule type="duplicateValues" dxfId="532" priority="31"/>
  </conditionalFormatting>
  <conditionalFormatting sqref="B95">
    <cfRule type="duplicateValues" dxfId="531" priority="30"/>
  </conditionalFormatting>
  <conditionalFormatting sqref="B131">
    <cfRule type="duplicateValues" dxfId="530" priority="27"/>
  </conditionalFormatting>
  <conditionalFormatting sqref="B132">
    <cfRule type="duplicateValues" dxfId="529" priority="26"/>
  </conditionalFormatting>
  <conditionalFormatting sqref="B133">
    <cfRule type="duplicateValues" dxfId="528" priority="25"/>
  </conditionalFormatting>
  <conditionalFormatting sqref="B134">
    <cfRule type="duplicateValues" dxfId="527" priority="24"/>
  </conditionalFormatting>
  <conditionalFormatting sqref="B135">
    <cfRule type="duplicateValues" dxfId="526" priority="23"/>
  </conditionalFormatting>
  <conditionalFormatting sqref="B136">
    <cfRule type="duplicateValues" dxfId="525" priority="22"/>
  </conditionalFormatting>
  <conditionalFormatting sqref="B137">
    <cfRule type="duplicateValues" dxfId="524" priority="21"/>
  </conditionalFormatting>
  <conditionalFormatting sqref="B126">
    <cfRule type="duplicateValues" dxfId="523" priority="19"/>
  </conditionalFormatting>
  <conditionalFormatting sqref="B107">
    <cfRule type="duplicateValues" dxfId="522" priority="18"/>
  </conditionalFormatting>
  <conditionalFormatting sqref="B108">
    <cfRule type="duplicateValues" dxfId="521" priority="17"/>
  </conditionalFormatting>
  <conditionalFormatting sqref="B109">
    <cfRule type="duplicateValues" dxfId="520" priority="16"/>
  </conditionalFormatting>
  <conditionalFormatting sqref="B138">
    <cfRule type="duplicateValues" dxfId="519" priority="15"/>
  </conditionalFormatting>
  <conditionalFormatting sqref="B139">
    <cfRule type="duplicateValues" dxfId="518" priority="14"/>
  </conditionalFormatting>
  <conditionalFormatting sqref="B140">
    <cfRule type="duplicateValues" dxfId="517" priority="13"/>
  </conditionalFormatting>
  <conditionalFormatting sqref="B141">
    <cfRule type="duplicateValues" dxfId="516" priority="12"/>
  </conditionalFormatting>
  <conditionalFormatting sqref="C128:C130">
    <cfRule type="duplicateValues" dxfId="515" priority="6"/>
  </conditionalFormatting>
  <conditionalFormatting sqref="C148:C150">
    <cfRule type="duplicateValues" dxfId="514" priority="5"/>
  </conditionalFormatting>
  <conditionalFormatting sqref="B110">
    <cfRule type="duplicateValues" dxfId="513" priority="4"/>
  </conditionalFormatting>
  <conditionalFormatting sqref="B111">
    <cfRule type="duplicateValues" dxfId="512" priority="3"/>
  </conditionalFormatting>
  <conditionalFormatting sqref="B112">
    <cfRule type="duplicateValues" dxfId="511" priority="2"/>
  </conditionalFormatting>
  <conditionalFormatting sqref="B113">
    <cfRule type="duplicateValues" dxfId="510" priority="1"/>
  </conditionalFormatting>
  <dataValidations count="2">
    <dataValidation type="list" allowBlank="1" showInputMessage="1" showErrorMessage="1" sqref="BB7 AW7 N7 S7 X7 AC7 AH7 AM7 AR7 BG7 BL7 BQ7 BV7 CA7 CF7 CK7 CP7 CU7 CZ7" xr:uid="{00000000-0002-0000-1200-000000000000}">
      <formula1>ValidateTable</formula1>
    </dataValidation>
    <dataValidation type="list" allowBlank="1" showInputMessage="1" showErrorMessage="1" error="Please select the appropriate project phase from the available dropdown menu.  " sqref="I7" xr:uid="{00000000-0002-0000-1200-000002000000}">
      <formula1>ValidateTable</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pageSetUpPr fitToPage="1"/>
  </sheetPr>
  <dimension ref="A1:CI196"/>
  <sheetViews>
    <sheetView zoomScale="80" zoomScaleNormal="80" workbookViewId="0">
      <pane ySplit="7" topLeftCell="A8" activePane="bottomLeft" state="frozen"/>
      <selection activeCell="DH36" sqref="DH36"/>
      <selection pane="bottomLeft" activeCell="F73" sqref="F73"/>
    </sheetView>
  </sheetViews>
  <sheetFormatPr defaultColWidth="9.140625" defaultRowHeight="12.75" x14ac:dyDescent="0.2"/>
  <cols>
    <col min="1" max="1" width="9.42578125" style="50" customWidth="1"/>
    <col min="2" max="2" width="5.28515625" style="50" customWidth="1"/>
    <col min="3" max="3" width="77.42578125" style="29" customWidth="1"/>
    <col min="4" max="5" width="5" style="29" customWidth="1"/>
    <col min="6" max="6" width="10.7109375" style="51" customWidth="1"/>
    <col min="7" max="7" width="11.7109375" style="51" customWidth="1"/>
    <col min="8" max="8" width="12.42578125" style="51" customWidth="1"/>
    <col min="9" max="9" width="11.7109375" style="51" customWidth="1"/>
    <col min="10" max="10" width="16.42578125" style="29" customWidth="1"/>
    <col min="11" max="11" width="3.7109375" bestFit="1" customWidth="1"/>
    <col min="13" max="13" width="16.140625" style="879" hidden="1" customWidth="1"/>
    <col min="14" max="14" width="10.5703125" style="951" hidden="1" customWidth="1"/>
    <col min="15" max="15" width="31.28515625" style="879" hidden="1" customWidth="1"/>
    <col min="16" max="39" width="9.140625" style="879" hidden="1" customWidth="1"/>
    <col min="40" max="40" width="11.28515625" style="879" hidden="1" customWidth="1"/>
    <col min="41" max="72" width="9.140625" style="879" hidden="1" customWidth="1"/>
    <col min="73" max="73" width="11.85546875" style="879" hidden="1" customWidth="1"/>
    <col min="74" max="82" width="9.140625" style="879" hidden="1" customWidth="1"/>
  </cols>
  <sheetData>
    <row r="1" spans="1:87" s="29" customFormat="1" ht="18.75" customHeight="1" x14ac:dyDescent="0.3">
      <c r="A1" s="1434" t="s">
        <v>771</v>
      </c>
      <c r="B1" s="1244"/>
      <c r="C1" s="1244"/>
      <c r="D1" s="1519" t="s">
        <v>726</v>
      </c>
      <c r="E1" s="1519"/>
      <c r="F1" s="1519"/>
      <c r="G1" s="1519"/>
      <c r="H1" s="49"/>
      <c r="I1" s="1517" t="s">
        <v>758</v>
      </c>
      <c r="J1" s="78"/>
      <c r="M1" s="915"/>
      <c r="N1" s="942"/>
      <c r="O1" s="915"/>
      <c r="P1" s="915"/>
      <c r="Q1" s="915"/>
      <c r="R1" s="915"/>
      <c r="S1" s="915"/>
      <c r="T1" s="915"/>
      <c r="U1" s="915"/>
      <c r="V1" s="915"/>
      <c r="W1" s="915"/>
      <c r="X1" s="915"/>
      <c r="Y1" s="915"/>
      <c r="Z1" s="915"/>
      <c r="AA1" s="915"/>
      <c r="AB1" s="915"/>
      <c r="AC1" s="915" t="s">
        <v>9</v>
      </c>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915"/>
      <c r="CB1" s="915"/>
      <c r="CC1" s="915"/>
      <c r="CD1" s="915"/>
    </row>
    <row r="2" spans="1:87" s="29" customFormat="1" ht="12.75" customHeight="1" x14ac:dyDescent="0.2">
      <c r="A2" s="1245" t="s">
        <v>0</v>
      </c>
      <c r="B2" s="1244"/>
      <c r="C2" s="48">
        <f>ProjectName</f>
        <v>0</v>
      </c>
      <c r="D2" s="1519"/>
      <c r="E2" s="1519"/>
      <c r="F2" s="1519"/>
      <c r="G2" s="1519"/>
      <c r="H2" s="571"/>
      <c r="I2" s="1517"/>
      <c r="J2" s="78"/>
      <c r="M2" s="915"/>
      <c r="N2" s="942" t="s">
        <v>323</v>
      </c>
      <c r="O2" s="915"/>
      <c r="P2" s="915"/>
      <c r="Q2" s="915"/>
      <c r="R2" s="915"/>
      <c r="S2" s="915"/>
      <c r="T2" s="915"/>
      <c r="U2" s="915"/>
      <c r="V2" s="915"/>
      <c r="W2" s="915"/>
      <c r="X2" s="915"/>
      <c r="Y2" s="915"/>
      <c r="Z2" s="915"/>
      <c r="AA2" s="915"/>
      <c r="AB2" s="915"/>
      <c r="AC2" s="915"/>
      <c r="AD2" s="915"/>
      <c r="AE2" s="915"/>
      <c r="AF2" s="915"/>
      <c r="AG2" s="915"/>
      <c r="AH2" s="915"/>
      <c r="AI2" s="915"/>
      <c r="AJ2" s="915"/>
      <c r="AK2" s="915"/>
      <c r="AL2" s="915"/>
      <c r="AM2" s="915"/>
      <c r="AN2" s="915"/>
      <c r="AO2" s="915"/>
      <c r="AP2" s="915"/>
      <c r="AQ2" s="915"/>
      <c r="AR2" s="915"/>
      <c r="AS2" s="915"/>
      <c r="AT2" s="915"/>
      <c r="AU2" s="915"/>
      <c r="AV2" s="915"/>
      <c r="AW2" s="915"/>
      <c r="AX2" s="915"/>
      <c r="AY2" s="915"/>
      <c r="AZ2" s="915"/>
      <c r="BA2" s="915"/>
      <c r="BB2" s="915"/>
      <c r="BC2" s="915"/>
      <c r="BD2" s="915"/>
      <c r="BE2" s="915"/>
      <c r="BF2" s="915"/>
      <c r="BG2" s="915"/>
      <c r="BH2" s="915"/>
      <c r="BI2" s="915"/>
      <c r="BJ2" s="915"/>
      <c r="BK2" s="915"/>
      <c r="BL2" s="915"/>
      <c r="BM2" s="915"/>
      <c r="BN2" s="915"/>
      <c r="BO2" s="915"/>
      <c r="BP2" s="915"/>
      <c r="BQ2" s="915"/>
      <c r="BR2" s="915"/>
      <c r="BS2" s="915"/>
      <c r="BT2" s="915"/>
      <c r="BU2" s="915"/>
      <c r="BV2" s="915"/>
      <c r="BW2" s="915"/>
      <c r="BX2" s="915"/>
      <c r="BY2" s="915"/>
      <c r="BZ2" s="915"/>
      <c r="CA2" s="915"/>
      <c r="CB2" s="915"/>
      <c r="CC2" s="915"/>
      <c r="CD2" s="915"/>
    </row>
    <row r="3" spans="1:87" s="29" customFormat="1" ht="12.75" customHeight="1" x14ac:dyDescent="0.2">
      <c r="A3" s="1246" t="s">
        <v>372</v>
      </c>
      <c r="B3" s="1244"/>
      <c r="C3" s="48">
        <f>ProjectNumber</f>
        <v>0</v>
      </c>
      <c r="D3" s="1519"/>
      <c r="E3" s="1519"/>
      <c r="F3" s="1519"/>
      <c r="G3" s="1519"/>
      <c r="H3" s="571"/>
      <c r="I3" s="1517"/>
      <c r="M3" s="915"/>
      <c r="N3" s="942"/>
      <c r="O3" s="915"/>
      <c r="P3" s="915"/>
      <c r="Q3" s="915"/>
      <c r="R3" s="915"/>
      <c r="S3" s="915"/>
      <c r="T3" s="915"/>
      <c r="U3" s="915"/>
      <c r="V3" s="915"/>
      <c r="W3" s="915"/>
      <c r="X3" s="915"/>
      <c r="Y3" s="915"/>
      <c r="Z3" s="915"/>
      <c r="AA3" s="915"/>
      <c r="AB3" s="915"/>
      <c r="AC3" s="915"/>
      <c r="AD3" s="915"/>
      <c r="AE3" s="915"/>
      <c r="AF3" s="915"/>
      <c r="AG3" s="915"/>
      <c r="AH3" s="915"/>
      <c r="AI3" s="915"/>
      <c r="AJ3" s="915"/>
      <c r="AK3" s="915"/>
      <c r="AL3" s="915"/>
      <c r="AM3" s="915"/>
      <c r="AN3" s="915"/>
      <c r="AO3" s="915"/>
      <c r="AP3" s="915"/>
      <c r="AQ3" s="915"/>
      <c r="AR3" s="915"/>
      <c r="AS3" s="915"/>
      <c r="AT3" s="915"/>
      <c r="AU3" s="915"/>
      <c r="AV3" s="915"/>
      <c r="AW3" s="915"/>
      <c r="AX3" s="915"/>
      <c r="AY3" s="915"/>
      <c r="AZ3" s="915"/>
      <c r="BA3" s="915"/>
      <c r="BB3" s="915"/>
      <c r="BC3" s="915"/>
      <c r="BD3" s="915"/>
      <c r="BE3" s="915"/>
      <c r="BF3" s="915"/>
      <c r="BG3" s="915"/>
      <c r="BH3" s="915"/>
      <c r="BI3" s="915"/>
      <c r="BJ3" s="915"/>
      <c r="BK3" s="915"/>
      <c r="BL3" s="915"/>
      <c r="BM3" s="915"/>
      <c r="BN3" s="915"/>
      <c r="BO3" s="915"/>
      <c r="BP3" s="915"/>
      <c r="BQ3" s="915"/>
      <c r="BR3" s="915"/>
      <c r="BS3" s="915"/>
      <c r="BT3" s="915"/>
      <c r="BU3" s="915"/>
      <c r="BV3" s="915"/>
      <c r="BW3" s="915"/>
      <c r="BX3" s="915"/>
      <c r="BY3" s="915"/>
      <c r="BZ3" s="915"/>
      <c r="CA3" s="915"/>
      <c r="CB3" s="915"/>
      <c r="CC3" s="915"/>
      <c r="CD3" s="915"/>
    </row>
    <row r="4" spans="1:87" s="29" customFormat="1" ht="12.75" customHeight="1" x14ac:dyDescent="0.2">
      <c r="A4" s="1245" t="s">
        <v>2</v>
      </c>
      <c r="B4" s="1244"/>
      <c r="C4" s="48">
        <f>PreparedBy</f>
        <v>0</v>
      </c>
      <c r="D4" s="1519"/>
      <c r="E4" s="1519"/>
      <c r="F4" s="1519"/>
      <c r="G4" s="1519"/>
      <c r="H4" s="571"/>
      <c r="I4" s="1517"/>
      <c r="M4" s="915"/>
      <c r="N4" s="942"/>
      <c r="O4" s="915"/>
      <c r="P4" s="915"/>
      <c r="Q4" s="915"/>
      <c r="R4" s="915"/>
      <c r="S4" s="915"/>
      <c r="T4" s="915"/>
      <c r="U4" s="915"/>
      <c r="V4" s="915"/>
      <c r="W4" s="915"/>
      <c r="X4" s="915"/>
      <c r="Y4" s="915"/>
      <c r="Z4" s="915"/>
      <c r="AA4" s="915"/>
      <c r="AB4" s="915"/>
      <c r="AC4" s="915"/>
      <c r="AD4" s="915"/>
      <c r="AE4" s="915"/>
      <c r="AF4" s="915"/>
      <c r="AG4" s="915"/>
      <c r="AH4" s="915"/>
      <c r="AI4" s="915"/>
      <c r="AJ4" s="915"/>
      <c r="AK4" s="915"/>
      <c r="AL4" s="915"/>
      <c r="AM4" s="915"/>
      <c r="AN4" s="915"/>
      <c r="AO4" s="915"/>
      <c r="AP4" s="915"/>
      <c r="AQ4" s="915"/>
      <c r="AR4" s="915"/>
      <c r="AS4" s="915"/>
      <c r="AT4" s="915"/>
      <c r="AU4" s="915"/>
      <c r="AV4" s="915"/>
      <c r="AW4" s="915"/>
      <c r="AX4" s="915"/>
      <c r="AY4" s="915"/>
      <c r="AZ4" s="915"/>
      <c r="BA4" s="915"/>
      <c r="BB4" s="915"/>
      <c r="BC4" s="915"/>
      <c r="BD4" s="915"/>
      <c r="BE4" s="915"/>
      <c r="BF4" s="915"/>
      <c r="BG4" s="915"/>
      <c r="BH4" s="915"/>
      <c r="BI4" s="915"/>
      <c r="BJ4" s="915"/>
      <c r="BK4" s="915"/>
      <c r="BL4" s="915"/>
      <c r="BM4" s="915"/>
      <c r="BN4" s="915"/>
      <c r="BO4" s="915"/>
      <c r="BP4" s="915"/>
      <c r="BQ4" s="915"/>
      <c r="BR4" s="915"/>
      <c r="BS4" s="915"/>
      <c r="BT4" s="915"/>
      <c r="BU4" s="915"/>
      <c r="BV4" s="915"/>
      <c r="BW4" s="915"/>
      <c r="BX4" s="915"/>
      <c r="BY4" s="915"/>
      <c r="BZ4" s="915"/>
      <c r="CA4" s="915"/>
      <c r="CB4" s="915"/>
      <c r="CC4" s="915"/>
      <c r="CD4" s="915"/>
    </row>
    <row r="5" spans="1:87" s="29" customFormat="1" ht="12.75" customHeight="1" x14ac:dyDescent="0.2">
      <c r="A5" s="1455" t="s">
        <v>3</v>
      </c>
      <c r="B5" s="1456"/>
      <c r="C5" s="88">
        <f ca="1">DateField</f>
        <v>45516</v>
      </c>
      <c r="D5" s="1520"/>
      <c r="E5" s="1520"/>
      <c r="F5" s="1520"/>
      <c r="G5" s="1520"/>
      <c r="H5" s="572"/>
      <c r="I5" s="1518"/>
      <c r="J5" s="30"/>
      <c r="K5" s="1440" t="s">
        <v>322</v>
      </c>
      <c r="M5" s="915"/>
      <c r="N5" s="942"/>
      <c r="O5" s="915"/>
      <c r="P5" s="915"/>
      <c r="Q5" s="915"/>
      <c r="R5" s="915"/>
      <c r="S5" s="915"/>
      <c r="T5" s="915"/>
      <c r="U5" s="915"/>
      <c r="V5" s="915"/>
      <c r="W5" s="915"/>
      <c r="X5" s="915"/>
      <c r="Y5" s="915"/>
      <c r="Z5" s="915"/>
      <c r="AA5" s="915"/>
      <c r="AB5" s="915"/>
      <c r="AC5" s="915"/>
      <c r="AD5" s="915"/>
      <c r="AE5" s="915"/>
      <c r="AF5" s="915"/>
      <c r="AG5" s="915"/>
      <c r="AH5" s="915"/>
      <c r="AI5" s="915"/>
      <c r="AJ5" s="915"/>
      <c r="AK5" s="915"/>
      <c r="AL5" s="915"/>
      <c r="AM5" s="915"/>
      <c r="AN5" s="915"/>
      <c r="AO5" s="915"/>
      <c r="AP5" s="915"/>
      <c r="AQ5" s="915"/>
      <c r="AR5" s="915"/>
      <c r="AS5" s="915"/>
      <c r="AT5" s="915"/>
      <c r="AU5" s="915"/>
      <c r="AV5" s="915"/>
      <c r="AW5" s="915"/>
      <c r="AX5" s="915"/>
      <c r="AY5" s="915"/>
      <c r="AZ5" s="915"/>
      <c r="BA5" s="915"/>
      <c r="BB5" s="915"/>
      <c r="BC5" s="915"/>
      <c r="BD5" s="915"/>
      <c r="BE5" s="915"/>
      <c r="BF5" s="915"/>
      <c r="BG5" s="915"/>
      <c r="BH5" s="915"/>
      <c r="BI5" s="915"/>
      <c r="BJ5" s="915"/>
      <c r="BK5" s="915"/>
      <c r="BL5" s="915"/>
      <c r="BM5" s="915"/>
      <c r="BN5" s="915"/>
      <c r="BO5" s="915"/>
      <c r="BP5" s="915"/>
      <c r="BQ5" s="915"/>
      <c r="BR5" s="915"/>
      <c r="BS5" s="915"/>
      <c r="BT5" s="915"/>
      <c r="BU5" s="915"/>
      <c r="BV5" s="915"/>
      <c r="BW5" s="915"/>
      <c r="BX5" s="915"/>
      <c r="BY5" s="915"/>
      <c r="BZ5" s="915"/>
      <c r="CA5" s="915"/>
      <c r="CB5" s="915"/>
      <c r="CC5" s="915"/>
      <c r="CD5" s="915"/>
    </row>
    <row r="6" spans="1:87" s="29" customFormat="1" ht="27.75" customHeight="1" x14ac:dyDescent="0.2">
      <c r="A6" s="1451" t="s">
        <v>81</v>
      </c>
      <c r="B6" s="1521" t="s">
        <v>39</v>
      </c>
      <c r="C6" s="1426"/>
      <c r="D6" s="1516" t="s">
        <v>659</v>
      </c>
      <c r="E6" s="1516" t="s">
        <v>149</v>
      </c>
      <c r="F6" s="1444" t="s">
        <v>84</v>
      </c>
      <c r="G6" s="1444" t="s">
        <v>85</v>
      </c>
      <c r="H6" s="1444" t="s">
        <v>86</v>
      </c>
      <c r="I6" s="93" t="s">
        <v>87</v>
      </c>
      <c r="J6" s="31" t="s">
        <v>190</v>
      </c>
      <c r="K6" s="1441"/>
      <c r="M6" s="915"/>
      <c r="N6" s="942"/>
      <c r="O6" s="915"/>
      <c r="P6" s="915"/>
      <c r="Q6" s="915"/>
      <c r="R6" s="915"/>
      <c r="S6" s="915"/>
      <c r="T6" s="915"/>
      <c r="U6" s="915"/>
      <c r="V6" s="915"/>
      <c r="W6" s="942">
        <f t="shared" ref="W6:AZ6" si="0">SUM(W8:W67)</f>
        <v>8.48</v>
      </c>
      <c r="X6" s="942">
        <f t="shared" si="0"/>
        <v>8.48</v>
      </c>
      <c r="Y6" s="942">
        <f t="shared" si="0"/>
        <v>8.48</v>
      </c>
      <c r="Z6" s="942">
        <f t="shared" si="0"/>
        <v>8.48</v>
      </c>
      <c r="AA6" s="942">
        <f t="shared" si="0"/>
        <v>8.48</v>
      </c>
      <c r="AB6" s="942">
        <f t="shared" si="0"/>
        <v>8.48</v>
      </c>
      <c r="AC6" s="942">
        <f t="shared" si="0"/>
        <v>8.48</v>
      </c>
      <c r="AD6" s="942">
        <f t="shared" si="0"/>
        <v>8.48</v>
      </c>
      <c r="AE6" s="942">
        <f t="shared" si="0"/>
        <v>8.48</v>
      </c>
      <c r="AF6" s="942">
        <f t="shared" si="0"/>
        <v>8.48</v>
      </c>
      <c r="AG6" s="942">
        <f t="shared" si="0"/>
        <v>8.48</v>
      </c>
      <c r="AH6" s="942">
        <f t="shared" si="0"/>
        <v>8.48</v>
      </c>
      <c r="AI6" s="942">
        <f t="shared" si="0"/>
        <v>8.48</v>
      </c>
      <c r="AJ6" s="942">
        <f t="shared" si="0"/>
        <v>8.48</v>
      </c>
      <c r="AK6" s="942">
        <f t="shared" si="0"/>
        <v>8.48</v>
      </c>
      <c r="AL6" s="942">
        <f t="shared" si="0"/>
        <v>8.48</v>
      </c>
      <c r="AM6" s="942">
        <f t="shared" si="0"/>
        <v>8.48</v>
      </c>
      <c r="AN6" s="942">
        <f t="shared" si="0"/>
        <v>8.48</v>
      </c>
      <c r="AO6" s="942">
        <f t="shared" si="0"/>
        <v>8.48</v>
      </c>
      <c r="AP6" s="942">
        <f t="shared" si="0"/>
        <v>8.48</v>
      </c>
      <c r="AQ6" s="942">
        <f t="shared" si="0"/>
        <v>8.48</v>
      </c>
      <c r="AR6" s="942">
        <f t="shared" si="0"/>
        <v>8.48</v>
      </c>
      <c r="AS6" s="942">
        <f t="shared" si="0"/>
        <v>8.48</v>
      </c>
      <c r="AT6" s="942">
        <f t="shared" si="0"/>
        <v>8.48</v>
      </c>
      <c r="AU6" s="942">
        <f t="shared" si="0"/>
        <v>8.48</v>
      </c>
      <c r="AV6" s="942">
        <f t="shared" si="0"/>
        <v>8.48</v>
      </c>
      <c r="AW6" s="942">
        <f t="shared" si="0"/>
        <v>8.48</v>
      </c>
      <c r="AX6" s="942">
        <f t="shared" si="0"/>
        <v>8.48</v>
      </c>
      <c r="AY6" s="942">
        <f t="shared" si="0"/>
        <v>8.48</v>
      </c>
      <c r="AZ6" s="942">
        <f t="shared" si="0"/>
        <v>8.48</v>
      </c>
      <c r="BA6" s="942">
        <f t="shared" ref="BA6:BE6" si="1">SUM(BA8:BA67)</f>
        <v>8.48</v>
      </c>
      <c r="BB6" s="942">
        <f t="shared" si="1"/>
        <v>8.48</v>
      </c>
      <c r="BC6" s="942">
        <f t="shared" si="1"/>
        <v>8.48</v>
      </c>
      <c r="BD6" s="942">
        <f t="shared" si="1"/>
        <v>8.48</v>
      </c>
      <c r="BE6" s="942">
        <f t="shared" si="1"/>
        <v>8.48</v>
      </c>
      <c r="BF6" s="942">
        <f>SUM(BF8:BF68)</f>
        <v>8.48</v>
      </c>
      <c r="BG6" s="942">
        <f t="shared" ref="BG6:CD6" si="2">SUM(BG8:BG68)</f>
        <v>8.48</v>
      </c>
      <c r="BH6" s="942">
        <f t="shared" si="2"/>
        <v>8.48</v>
      </c>
      <c r="BI6" s="942">
        <f t="shared" si="2"/>
        <v>8.48</v>
      </c>
      <c r="BJ6" s="942">
        <f t="shared" si="2"/>
        <v>8.48</v>
      </c>
      <c r="BK6" s="942">
        <f t="shared" si="2"/>
        <v>8.48</v>
      </c>
      <c r="BL6" s="942">
        <f t="shared" si="2"/>
        <v>8.48</v>
      </c>
      <c r="BM6" s="942">
        <f t="shared" si="2"/>
        <v>8.48</v>
      </c>
      <c r="BN6" s="942">
        <f t="shared" si="2"/>
        <v>8.48</v>
      </c>
      <c r="BO6" s="942">
        <f t="shared" si="2"/>
        <v>8.48</v>
      </c>
      <c r="BP6" s="942">
        <f t="shared" si="2"/>
        <v>8.48</v>
      </c>
      <c r="BQ6" s="942">
        <f t="shared" si="2"/>
        <v>8.48</v>
      </c>
      <c r="BR6" s="942">
        <f t="shared" si="2"/>
        <v>8.48</v>
      </c>
      <c r="BS6" s="942">
        <f t="shared" si="2"/>
        <v>8.48</v>
      </c>
      <c r="BT6" s="942">
        <f t="shared" si="2"/>
        <v>8.48</v>
      </c>
      <c r="BU6" s="942">
        <f t="shared" si="2"/>
        <v>8.48</v>
      </c>
      <c r="BV6" s="942">
        <f t="shared" si="2"/>
        <v>8.48</v>
      </c>
      <c r="BW6" s="942">
        <f t="shared" si="2"/>
        <v>8.48</v>
      </c>
      <c r="BX6" s="942">
        <f t="shared" si="2"/>
        <v>8.48</v>
      </c>
      <c r="BY6" s="942">
        <f t="shared" si="2"/>
        <v>8.48</v>
      </c>
      <c r="BZ6" s="942">
        <f t="shared" si="2"/>
        <v>8.48</v>
      </c>
      <c r="CA6" s="942">
        <f t="shared" si="2"/>
        <v>8.48</v>
      </c>
      <c r="CB6" s="942">
        <f t="shared" si="2"/>
        <v>8.48</v>
      </c>
      <c r="CC6" s="942">
        <f t="shared" si="2"/>
        <v>8.48</v>
      </c>
      <c r="CD6" s="942">
        <f t="shared" si="2"/>
        <v>8.48</v>
      </c>
    </row>
    <row r="7" spans="1:87" s="29" customFormat="1" ht="24" customHeight="1" thickBot="1" x14ac:dyDescent="0.3">
      <c r="A7" s="1452"/>
      <c r="B7" s="1427"/>
      <c r="C7" s="1428"/>
      <c r="D7" s="1450"/>
      <c r="E7" s="1450"/>
      <c r="F7" s="1445"/>
      <c r="G7" s="1445"/>
      <c r="H7" s="1445"/>
      <c r="I7" s="102">
        <v>0.06</v>
      </c>
      <c r="J7" s="99" t="s">
        <v>40</v>
      </c>
      <c r="K7" s="1441"/>
      <c r="L7" s="137"/>
      <c r="M7" s="952"/>
      <c r="N7" s="953"/>
      <c r="O7" s="952"/>
      <c r="P7" s="945" t="s">
        <v>130</v>
      </c>
      <c r="Q7" s="952"/>
      <c r="R7" s="947" t="s">
        <v>163</v>
      </c>
      <c r="S7" s="915"/>
      <c r="T7" s="947" t="s">
        <v>169</v>
      </c>
      <c r="U7" s="915"/>
      <c r="V7" s="915"/>
      <c r="W7" s="939" t="s">
        <v>171</v>
      </c>
      <c r="X7" s="939" t="s">
        <v>172</v>
      </c>
      <c r="Y7" s="939" t="s">
        <v>173</v>
      </c>
      <c r="Z7" s="939" t="s">
        <v>174</v>
      </c>
      <c r="AA7" s="939" t="s">
        <v>175</v>
      </c>
      <c r="AB7" s="939" t="s">
        <v>176</v>
      </c>
      <c r="AC7" s="939" t="s">
        <v>177</v>
      </c>
      <c r="AD7" s="939" t="s">
        <v>178</v>
      </c>
      <c r="AE7" s="939" t="s">
        <v>179</v>
      </c>
      <c r="AF7" s="939" t="s">
        <v>180</v>
      </c>
      <c r="AG7" s="939" t="s">
        <v>181</v>
      </c>
      <c r="AH7" s="939" t="s">
        <v>182</v>
      </c>
      <c r="AI7" s="939" t="s">
        <v>183</v>
      </c>
      <c r="AJ7" s="939" t="s">
        <v>184</v>
      </c>
      <c r="AK7" s="939" t="s">
        <v>185</v>
      </c>
      <c r="AL7" s="939" t="s">
        <v>186</v>
      </c>
      <c r="AM7" s="939" t="s">
        <v>187</v>
      </c>
      <c r="AN7" s="939" t="s">
        <v>188</v>
      </c>
      <c r="AO7" s="939" t="s">
        <v>633</v>
      </c>
      <c r="AP7" s="939" t="s">
        <v>634</v>
      </c>
      <c r="AQ7" s="939" t="s">
        <v>635</v>
      </c>
      <c r="AR7" s="939" t="s">
        <v>636</v>
      </c>
      <c r="AS7" s="939" t="s">
        <v>637</v>
      </c>
      <c r="AT7" s="939" t="s">
        <v>638</v>
      </c>
      <c r="AU7" s="939" t="s">
        <v>639</v>
      </c>
      <c r="AV7" s="939" t="s">
        <v>640</v>
      </c>
      <c r="AW7" s="939" t="s">
        <v>641</v>
      </c>
      <c r="AX7" s="939" t="s">
        <v>642</v>
      </c>
      <c r="AY7" s="939" t="s">
        <v>643</v>
      </c>
      <c r="AZ7" s="939" t="s">
        <v>644</v>
      </c>
      <c r="BA7" s="939" t="s">
        <v>2311</v>
      </c>
      <c r="BB7" s="939" t="s">
        <v>2312</v>
      </c>
      <c r="BC7" s="939" t="s">
        <v>2307</v>
      </c>
      <c r="BD7" s="939" t="s">
        <v>2308</v>
      </c>
      <c r="BE7" s="939" t="s">
        <v>2309</v>
      </c>
      <c r="BF7" s="939" t="s">
        <v>2310</v>
      </c>
      <c r="BG7" s="939" t="s">
        <v>2313</v>
      </c>
      <c r="BH7" s="939" t="s">
        <v>2314</v>
      </c>
      <c r="BI7" s="939" t="s">
        <v>2315</v>
      </c>
      <c r="BJ7" s="939" t="s">
        <v>2316</v>
      </c>
      <c r="BK7" s="939" t="s">
        <v>2317</v>
      </c>
      <c r="BL7" s="939" t="s">
        <v>2318</v>
      </c>
      <c r="BM7" s="939" t="s">
        <v>2319</v>
      </c>
      <c r="BN7" s="939" t="s">
        <v>2320</v>
      </c>
      <c r="BO7" s="939" t="s">
        <v>2321</v>
      </c>
      <c r="BP7" s="939" t="s">
        <v>2322</v>
      </c>
      <c r="BQ7" s="939" t="s">
        <v>2323</v>
      </c>
      <c r="BR7" s="939" t="s">
        <v>2324</v>
      </c>
      <c r="BS7" s="939" t="s">
        <v>2325</v>
      </c>
      <c r="BT7" s="939" t="s">
        <v>2326</v>
      </c>
      <c r="BU7" s="939" t="s">
        <v>2327</v>
      </c>
      <c r="BV7" s="939" t="s">
        <v>2328</v>
      </c>
      <c r="BW7" s="939" t="s">
        <v>2329</v>
      </c>
      <c r="BX7" s="939" t="s">
        <v>2330</v>
      </c>
      <c r="BY7" s="939" t="s">
        <v>2331</v>
      </c>
      <c r="BZ7" s="939" t="s">
        <v>2332</v>
      </c>
      <c r="CA7" s="939" t="s">
        <v>2333</v>
      </c>
      <c r="CB7" s="939" t="s">
        <v>2334</v>
      </c>
      <c r="CC7" s="939" t="s">
        <v>2335</v>
      </c>
      <c r="CD7" s="939" t="s">
        <v>2336</v>
      </c>
    </row>
    <row r="8" spans="1:87" s="29" customFormat="1" ht="14.1" customHeight="1" x14ac:dyDescent="0.2">
      <c r="A8" s="496">
        <v>1</v>
      </c>
      <c r="B8" s="1435"/>
      <c r="C8" s="1436"/>
      <c r="D8" s="264">
        <v>1</v>
      </c>
      <c r="E8" s="264" t="s">
        <v>26</v>
      </c>
      <c r="F8" s="265" t="s">
        <v>2544</v>
      </c>
      <c r="G8" s="265" t="s">
        <v>2542</v>
      </c>
      <c r="H8" s="267">
        <v>8</v>
      </c>
      <c r="I8" s="268">
        <f>IF(ISTEXT(K8),0,StateTaxSRL*G8*H8)</f>
        <v>0.48</v>
      </c>
      <c r="J8" s="269">
        <f>(G8*H8)+I8</f>
        <v>8.48</v>
      </c>
      <c r="K8" s="51"/>
      <c r="L8"/>
      <c r="M8" s="915"/>
      <c r="N8" s="942">
        <f>W6</f>
        <v>8.48</v>
      </c>
      <c r="O8" s="915" t="str">
        <f>"Rented Equipment for "&amp;TabName1</f>
        <v>Rented Equipment for Phase 1</v>
      </c>
      <c r="P8" s="949" t="s">
        <v>132</v>
      </c>
      <c r="Q8" s="915"/>
      <c r="R8" s="915">
        <f>INDEX(ValidateTable,1)</f>
        <v>1</v>
      </c>
      <c r="S8" s="915"/>
      <c r="T8" s="915" t="s">
        <v>26</v>
      </c>
      <c r="U8" s="915"/>
      <c r="V8" s="915"/>
      <c r="W8" s="915">
        <f>IF(AND($D8=$R$8,$E8=$T$8),$J8,0)</f>
        <v>8.48</v>
      </c>
      <c r="X8" s="915">
        <f>IF(AND($D8=$R$8,$E8=$T$9),$J8,0)</f>
        <v>0</v>
      </c>
      <c r="Y8" s="915">
        <f>IF(AND($D8=$R$8,$E8=$T$10),$J8,0)</f>
        <v>0</v>
      </c>
      <c r="Z8" s="915">
        <f>IF(AND($D8=$R$9,$E8=$T$8),$J8,0)</f>
        <v>0</v>
      </c>
      <c r="AA8" s="915">
        <f>IF(AND($D8=$R$9,$E8=$T$9),$J8,0)</f>
        <v>0</v>
      </c>
      <c r="AB8" s="915">
        <f>IF(AND($D8=$R$9,$E8=$T$10),$J8,0)</f>
        <v>0</v>
      </c>
      <c r="AC8" s="915">
        <f>IF(AND($D8=$R$10,$E8=$T$8),$J8,0)</f>
        <v>0</v>
      </c>
      <c r="AD8" s="915">
        <f>IF(AND($D8=$R$10,$E8=$T$9),$J8,0)</f>
        <v>0</v>
      </c>
      <c r="AE8" s="915">
        <f>IF(AND($D8=$R$10,$E8=$T$10),$J8,0)</f>
        <v>0</v>
      </c>
      <c r="AF8" s="915">
        <f>IF(AND($D8=$R$11,$E8=$T$8),$J8,0)</f>
        <v>0</v>
      </c>
      <c r="AG8" s="915">
        <f>IF(AND($D8=$R$11,$E8=$T$9),$J8,0)</f>
        <v>0</v>
      </c>
      <c r="AH8" s="915">
        <f>IF(AND($D8=$R$11,$E8=$T$10),$J8,0)</f>
        <v>0</v>
      </c>
      <c r="AI8" s="915">
        <f>IF(AND($D8=$R$12,$E8=$T$8),$J8,0)</f>
        <v>0</v>
      </c>
      <c r="AJ8" s="915">
        <f>IF(AND($D8=$R$12,$E8=$T$9),$J8,0)</f>
        <v>0</v>
      </c>
      <c r="AK8" s="915">
        <f>IF(AND($D8=$R$12,$E8=$T$10),$J8,0)</f>
        <v>0</v>
      </c>
      <c r="AL8" s="915">
        <f>IF(AND($D8=$R$13,$E8=$T$8),$J8,0)</f>
        <v>0</v>
      </c>
      <c r="AM8" s="915">
        <f>IF(AND($D8=$R$13,$E8=$T$9),$J8,0)</f>
        <v>0</v>
      </c>
      <c r="AN8" s="915">
        <f>IF(AND($D8=$R$13,$E8=$T$10),$J8,0)</f>
        <v>0</v>
      </c>
      <c r="AO8" s="915">
        <f>IF(AND($D8=$R$14,$E8=$T$8),$J8,0)</f>
        <v>0</v>
      </c>
      <c r="AP8" s="915">
        <f>IF(AND($D8=$R$14,$E8=$T$9),$J8,0)</f>
        <v>0</v>
      </c>
      <c r="AQ8" s="915">
        <f>IF(AND($D8=$R$14,$E8=$T$10),$J8,0)</f>
        <v>0</v>
      </c>
      <c r="AR8" s="915">
        <f>IF(AND($D8=$R$15,$E8=$T$8),$J8,0)</f>
        <v>0</v>
      </c>
      <c r="AS8" s="915">
        <f>IF(AND($D8=$R$15,$E8=$T$9),$J8,0)</f>
        <v>0</v>
      </c>
      <c r="AT8" s="915">
        <f>IF(AND($D8=$R$15,$E8=$T$10),$J8,0)</f>
        <v>0</v>
      </c>
      <c r="AU8" s="915">
        <f>IF(AND($D8=$R$16,$E8=$T$8),$J8,0)</f>
        <v>0</v>
      </c>
      <c r="AV8" s="915">
        <f>IF(AND($D8=$R$16,$E8=$T$9),$J8,0)</f>
        <v>0</v>
      </c>
      <c r="AW8" s="915">
        <f>IF(AND($D8=$R$16,$E8=$T$10),$J8,0)</f>
        <v>0</v>
      </c>
      <c r="AX8" s="915">
        <f>IF(AND($D8=$R$17,$E8=$T$8),$J8,0)</f>
        <v>0</v>
      </c>
      <c r="AY8" s="915">
        <f>IF(AND($D8=$R$17,$E8=$T$9),$J8,0)</f>
        <v>0</v>
      </c>
      <c r="AZ8" s="915">
        <f>IF(AND($D8=$R$17,$E8=$T$10),$J8,0)</f>
        <v>0</v>
      </c>
      <c r="BA8" s="915">
        <f>IF(AND($D8=$R$18,$E8=$T$8),$J8,0)</f>
        <v>0</v>
      </c>
      <c r="BB8" s="915">
        <f>IF(AND($D8=$R$18,$E8=$T$9),$J8,0)</f>
        <v>0</v>
      </c>
      <c r="BC8" s="915">
        <f>IF(AND($D8=$R$18,$E8=$T$10),$J8,0)</f>
        <v>0</v>
      </c>
      <c r="BD8" s="915">
        <f>IF(AND($D8=$R$19,$E8=$T$8),$J8,0)</f>
        <v>0</v>
      </c>
      <c r="BE8" s="915">
        <f>IF(AND($D8=$R$19,$E8=$T$9),$J8,0)</f>
        <v>0</v>
      </c>
      <c r="BF8" s="915">
        <f>IF(AND($D8=$R$19,$E8=$T$10),$J8,0)</f>
        <v>0</v>
      </c>
      <c r="BG8" s="915">
        <f>IF(AND($D8=$R$20,$E8=$T$8),$J8,0)</f>
        <v>0</v>
      </c>
      <c r="BH8" s="915">
        <f>IF(AND($D8=$R$20,$E8=$T$9),$J8,0)</f>
        <v>0</v>
      </c>
      <c r="BI8" s="915">
        <f>IF(AND($D8=$R$20,$E8=$T$10),$J8,0)</f>
        <v>0</v>
      </c>
      <c r="BJ8" s="915">
        <f>IF(AND($D8=$R$21,$E8=$T$8),$J8,0)</f>
        <v>0</v>
      </c>
      <c r="BK8" s="915">
        <f>IF(AND($D8=$R$21,$E8=$T$9),$J8,0)</f>
        <v>0</v>
      </c>
      <c r="BL8" s="915">
        <f>IF(AND($D8=$R$21,$E8=$T$10),$J8,0)</f>
        <v>0</v>
      </c>
      <c r="BM8" s="915">
        <f>IF(AND($D8=$R$22,$E8=$T$8),$J8,0)</f>
        <v>0</v>
      </c>
      <c r="BN8" s="915">
        <f>IF(AND($D8=$R$22,$E8=$T$9),$J8,0)</f>
        <v>0</v>
      </c>
      <c r="BO8" s="915">
        <f>IF(AND($D8=$R$22,$E8=$T$10),$J8,0)</f>
        <v>0</v>
      </c>
      <c r="BP8" s="915">
        <f>IF(AND($D8=$R$23,$E8=$T$8),$J8,0)</f>
        <v>0</v>
      </c>
      <c r="BQ8" s="915">
        <f>IF(AND($D8=$R$23,$E8=$T$9),$J8,0)</f>
        <v>0</v>
      </c>
      <c r="BR8" s="915">
        <f>IF(AND($D8=$R$23,$E8=$T$10),$J8,0)</f>
        <v>0</v>
      </c>
      <c r="BS8" s="915">
        <f>IF(AND($D8=$R$24,$E8=$T$8),$J8,0)</f>
        <v>0</v>
      </c>
      <c r="BT8" s="915">
        <f>IF(AND($D8=$R$24,$E8=$T$9),$J8,0)</f>
        <v>0</v>
      </c>
      <c r="BU8" s="915">
        <f>IF(AND($D8=$R$24,$E8=$T$10),$J8,0)</f>
        <v>0</v>
      </c>
      <c r="BV8" s="915">
        <f>IF(AND($D8=$R$25,$E8=$T$8),$J8,0)</f>
        <v>0</v>
      </c>
      <c r="BW8" s="915">
        <f>IF(AND($D8=$R$25,$E8=$T$9),$J8,0)</f>
        <v>0</v>
      </c>
      <c r="BX8" s="915">
        <f>IF(AND($D8=$R$25,$E8=$T$10),$J8,0)</f>
        <v>0</v>
      </c>
      <c r="BY8" s="915">
        <f>IF(AND($D8=$R$26,$E8=$T$8),$J8,0)</f>
        <v>0</v>
      </c>
      <c r="BZ8" s="915">
        <f>IF(AND($D8=$R$26,$E8=$T$9),$J8,0)</f>
        <v>0</v>
      </c>
      <c r="CA8" s="915">
        <f>IF(AND($D8=$R$26,$E8=$T$10),$J8,0)</f>
        <v>0</v>
      </c>
      <c r="CB8" s="915">
        <f>IF(AND($D8=$R$27,$E8=$T$8),$J8,0)</f>
        <v>0</v>
      </c>
      <c r="CC8" s="915">
        <f>IF(AND($D8=$R$27,$E8=$T$9),$J8,0)</f>
        <v>0</v>
      </c>
      <c r="CD8" s="915">
        <f>IF(AND($D8=$R$27,$E8=$T$10),$J8,0)</f>
        <v>0</v>
      </c>
      <c r="CF8" s="538" t="s">
        <v>752</v>
      </c>
      <c r="CG8" s="526"/>
      <c r="CH8" s="526"/>
      <c r="CI8" s="532"/>
    </row>
    <row r="9" spans="1:87" ht="14.1" customHeight="1" x14ac:dyDescent="0.2">
      <c r="A9" s="497">
        <v>2</v>
      </c>
      <c r="B9" s="1259"/>
      <c r="C9" s="1437"/>
      <c r="D9" s="138">
        <v>1</v>
      </c>
      <c r="E9" s="138" t="s">
        <v>30</v>
      </c>
      <c r="F9" s="139" t="s">
        <v>2544</v>
      </c>
      <c r="G9" s="139" t="s">
        <v>2542</v>
      </c>
      <c r="H9" s="100">
        <v>8</v>
      </c>
      <c r="I9" s="119">
        <f t="shared" ref="I9:I39" si="3">IF(ISTEXT(K9),0,StateTaxSRL*G9*H9)</f>
        <v>0.48</v>
      </c>
      <c r="J9" s="90">
        <f t="shared" ref="J9:J39" si="4">(G9*H9)+I9</f>
        <v>8.48</v>
      </c>
      <c r="K9" s="51"/>
      <c r="N9" s="942">
        <f>X6</f>
        <v>8.48</v>
      </c>
      <c r="O9" s="879" t="str">
        <f>"Purchased Supplies for " &amp; TabName1</f>
        <v>Purchased Supplies for Phase 1</v>
      </c>
      <c r="P9" s="950" t="s">
        <v>131</v>
      </c>
      <c r="R9" s="915">
        <f>INDEX(ValidateTable,2)</f>
        <v>2</v>
      </c>
      <c r="T9" s="879" t="s">
        <v>30</v>
      </c>
      <c r="W9" s="915">
        <f t="shared" ref="W9:W68" si="5">IF(AND($D9=$R$8,$E9=$T$8),$J9,0)</f>
        <v>0</v>
      </c>
      <c r="X9" s="915">
        <f t="shared" ref="X9:X68" si="6">IF(AND($D9=$R$8,$E9=$T$9),$J9,0)</f>
        <v>8.48</v>
      </c>
      <c r="Y9" s="915">
        <f t="shared" ref="Y9:Y68" si="7">IF(AND($D9=$R$8,$E9=$T$10),$J9,0)</f>
        <v>0</v>
      </c>
      <c r="Z9" s="915">
        <f t="shared" ref="Z9:Z68" si="8">IF(AND($D9=$R$9,$E9=$T$8),$J9,0)</f>
        <v>0</v>
      </c>
      <c r="AA9" s="915">
        <f t="shared" ref="AA9:AA68" si="9">IF(AND($D9=$R$9,$E9=$T$9),$J9,0)</f>
        <v>0</v>
      </c>
      <c r="AB9" s="915">
        <f t="shared" ref="AB9:AB68" si="10">IF(AND($D9=$R$9,$E9=$T$10),$J9,0)</f>
        <v>0</v>
      </c>
      <c r="AC9" s="915">
        <f t="shared" ref="AC9:AC68" si="11">IF(AND($D9=$R$10,$E9=$T$8),$J9,0)</f>
        <v>0</v>
      </c>
      <c r="AD9" s="915">
        <f t="shared" ref="AD9:AD68" si="12">IF(AND($D9=$R$10,$E9=$T$9),$J9,0)</f>
        <v>0</v>
      </c>
      <c r="AE9" s="915">
        <f t="shared" ref="AE9:AE68" si="13">IF(AND($D9=$R$10,$E9=$T$10),$J9,0)</f>
        <v>0</v>
      </c>
      <c r="AF9" s="915">
        <f t="shared" ref="AF9:AF68" si="14">IF(AND($D9=$R$11,$E9=$T$8),$J9,0)</f>
        <v>0</v>
      </c>
      <c r="AG9" s="915">
        <f t="shared" ref="AG9:AG68" si="15">IF(AND($D9=$R$11,$E9=$T$9),$J9,0)</f>
        <v>0</v>
      </c>
      <c r="AH9" s="915">
        <f t="shared" ref="AH9:AH68" si="16">IF(AND($D9=$R$11,$E9=$T$10),$J9,0)</f>
        <v>0</v>
      </c>
      <c r="AI9" s="915">
        <f t="shared" ref="AI9:AI68" si="17">IF(AND($D9=$R$12,$E9=$T$8),$J9,0)</f>
        <v>0</v>
      </c>
      <c r="AJ9" s="915">
        <f t="shared" ref="AJ9:AJ68" si="18">IF(AND($D9=$R$12,$E9=$T$9),$J9,0)</f>
        <v>0</v>
      </c>
      <c r="AK9" s="915">
        <f t="shared" ref="AK9:AK68" si="19">IF(AND($D9=$R$12,$E9=$T$10),$J9,0)</f>
        <v>0</v>
      </c>
      <c r="AL9" s="915">
        <f t="shared" ref="AL9:AL68" si="20">IF(AND($D9=$R$13,$E9=$T$8),$J9,0)</f>
        <v>0</v>
      </c>
      <c r="AM9" s="915">
        <f t="shared" ref="AM9:AM68" si="21">IF(AND($D9=$R$13,$E9=$T$9),$J9,0)</f>
        <v>0</v>
      </c>
      <c r="AN9" s="915">
        <f t="shared" ref="AN9:AN68" si="22">IF(AND($D9=$R$13,$E9=$T$10),$J9,0)</f>
        <v>0</v>
      </c>
      <c r="AO9" s="915">
        <f t="shared" ref="AO9:AO68" si="23">IF(AND($D9=$R$14,$E9=$T$8),$J9,0)</f>
        <v>0</v>
      </c>
      <c r="AP9" s="915">
        <f t="shared" ref="AP9:AP68" si="24">IF(AND($D9=$R$14,$E9=$T$9),$J9,0)</f>
        <v>0</v>
      </c>
      <c r="AQ9" s="915">
        <f t="shared" ref="AQ9:AQ68" si="25">IF(AND($D9=$R$14,$E9=$T$10),$J9,0)</f>
        <v>0</v>
      </c>
      <c r="AR9" s="915">
        <f t="shared" ref="AR9:AR68" si="26">IF(AND($D9=$R$15,$E9=$T$8),$J9,0)</f>
        <v>0</v>
      </c>
      <c r="AS9" s="915">
        <f t="shared" ref="AS9:AS68" si="27">IF(AND($D9=$R$15,$E9=$T$9),$J9,0)</f>
        <v>0</v>
      </c>
      <c r="AT9" s="915">
        <f t="shared" ref="AT9:AT68" si="28">IF(AND($D9=$R$15,$E9=$T$10),$J9,0)</f>
        <v>0</v>
      </c>
      <c r="AU9" s="915">
        <f t="shared" ref="AU9:AU68" si="29">IF(AND($D9=$R$16,$E9=$T$8),$J9,0)</f>
        <v>0</v>
      </c>
      <c r="AV9" s="915">
        <f t="shared" ref="AV9:AV68" si="30">IF(AND($D9=$R$16,$E9=$T$9),$J9,0)</f>
        <v>0</v>
      </c>
      <c r="AW9" s="915">
        <f t="shared" ref="AW9:AW68" si="31">IF(AND($D9=$R$16,$E9=$T$10),$J9,0)</f>
        <v>0</v>
      </c>
      <c r="AX9" s="915">
        <f t="shared" ref="AX9:AX68" si="32">IF(AND($D9=$R$17,$E9=$T$8),$J9,0)</f>
        <v>0</v>
      </c>
      <c r="AY9" s="915">
        <f t="shared" ref="AY9:AY68" si="33">IF(AND($D9=$R$17,$E9=$T$9),$J9,0)</f>
        <v>0</v>
      </c>
      <c r="AZ9" s="915">
        <f t="shared" ref="AZ9:AZ68" si="34">IF(AND($D9=$R$17,$E9=$T$10),$J9,0)</f>
        <v>0</v>
      </c>
      <c r="BA9" s="915">
        <f t="shared" ref="BA9:BA68" si="35">IF(AND($D9=$R$18,$E9=$T$8),$J9,0)</f>
        <v>0</v>
      </c>
      <c r="BB9" s="915">
        <f t="shared" ref="BB9:BB68" si="36">IF(AND($D9=$R$18,$E9=$T$9),$J9,0)</f>
        <v>0</v>
      </c>
      <c r="BC9" s="915">
        <f t="shared" ref="BC9:BC68" si="37">IF(AND($D9=$R$18,$E9=$T$10),$J9,0)</f>
        <v>0</v>
      </c>
      <c r="BD9" s="915">
        <f t="shared" ref="BD9:BD68" si="38">IF(AND($D9=$R$19,$E9=$T$8),$J9,0)</f>
        <v>0</v>
      </c>
      <c r="BE9" s="915">
        <f t="shared" ref="BE9:BE68" si="39">IF(AND($D9=$R$19,$E9=$T$9),$J9,0)</f>
        <v>0</v>
      </c>
      <c r="BF9" s="915">
        <f t="shared" ref="BF9:BF68" si="40">IF(AND($D9=$R$19,$E9=$T$10),$J9,0)</f>
        <v>0</v>
      </c>
      <c r="BG9" s="915">
        <f t="shared" ref="BG9:BG67" si="41">IF(AND($D9=$R$20,$E9=$T$8),$J9,0)</f>
        <v>0</v>
      </c>
      <c r="BH9" s="915">
        <f t="shared" ref="BH9:BH67" si="42">IF(AND($D9=$R$20,$E9=$T$9),$J9,0)</f>
        <v>0</v>
      </c>
      <c r="BI9" s="915">
        <f t="shared" ref="BI9:BI67" si="43">IF(AND($D9=$R$20,$E9=$T$10),$J9,0)</f>
        <v>0</v>
      </c>
      <c r="BJ9" s="915">
        <f t="shared" ref="BJ9:BJ68" si="44">IF(AND($D9=$R$21,$E9=$T$8),$J9,0)</f>
        <v>0</v>
      </c>
      <c r="BK9" s="915">
        <f t="shared" ref="BK9:BK68" si="45">IF(AND($D9=$R$21,$E9=$T$9),$J9,0)</f>
        <v>0</v>
      </c>
      <c r="BL9" s="915">
        <f t="shared" ref="BL9:BL68" si="46">IF(AND($D9=$R$21,$E9=$T$10),$J9,0)</f>
        <v>0</v>
      </c>
      <c r="BM9" s="915">
        <f t="shared" ref="BM9:BM68" si="47">IF(AND($D9=$R$22,$E9=$T$8),$J9,0)</f>
        <v>0</v>
      </c>
      <c r="BN9" s="915">
        <f t="shared" ref="BN9:BN68" si="48">IF(AND($D9=$R$22,$E9=$T$9),$J9,0)</f>
        <v>0</v>
      </c>
      <c r="BO9" s="915">
        <f t="shared" ref="BO9:BO68" si="49">IF(AND($D9=$R$22,$E9=$T$10),$J9,0)</f>
        <v>0</v>
      </c>
      <c r="BP9" s="915">
        <f t="shared" ref="BP9:BP68" si="50">IF(AND($D9=$R$23,$E9=$T$8),$J9,0)</f>
        <v>0</v>
      </c>
      <c r="BQ9" s="915">
        <f t="shared" ref="BQ9:BQ68" si="51">IF(AND($D9=$R$23,$E9=$T$9),$J9,0)</f>
        <v>0</v>
      </c>
      <c r="BR9" s="915">
        <f t="shared" ref="BR9:BR68" si="52">IF(AND($D9=$R$23,$E9=$T$10),$J9,0)</f>
        <v>0</v>
      </c>
      <c r="BS9" s="915">
        <f t="shared" ref="BS9:BS68" si="53">IF(AND($D9=$R$24,$E9=$T$8),$J9,0)</f>
        <v>0</v>
      </c>
      <c r="BT9" s="915">
        <f t="shared" ref="BT9:BT68" si="54">IF(AND($D9=$R$24,$E9=$T$9),$J9,0)</f>
        <v>0</v>
      </c>
      <c r="BU9" s="915">
        <f t="shared" ref="BU9:BU68" si="55">IF(AND($D9=$R$24,$E9=$T$10),$J9,0)</f>
        <v>0</v>
      </c>
      <c r="BV9" s="915">
        <f t="shared" ref="BV9:BV67" si="56">IF(AND($D9=$R$25,$E9=$T$8),$J9,0)</f>
        <v>0</v>
      </c>
      <c r="BW9" s="915">
        <f t="shared" ref="BW9:BW67" si="57">IF(AND($D9=$R$25,$E9=$T$9),$J9,0)</f>
        <v>0</v>
      </c>
      <c r="BX9" s="915">
        <f t="shared" ref="BX9:BX67" si="58">IF(AND($D9=$R$25,$E9=$T$10),$J9,0)</f>
        <v>0</v>
      </c>
      <c r="BY9" s="915">
        <f t="shared" ref="BY9:BY68" si="59">IF(AND($D9=$R$26,$E9=$T$8),$J9,0)</f>
        <v>0</v>
      </c>
      <c r="BZ9" s="915">
        <f t="shared" ref="BZ9:BZ68" si="60">IF(AND($D9=$R$26,$E9=$T$9),$J9,0)</f>
        <v>0</v>
      </c>
      <c r="CA9" s="915">
        <f t="shared" ref="CA9:CA68" si="61">IF(AND($D9=$R$26,$E9=$T$10),$J9,0)</f>
        <v>0</v>
      </c>
      <c r="CB9" s="915">
        <f t="shared" ref="CB9:CB68" si="62">IF(AND($D9=$R$27,$E9=$T$8),$J9,0)</f>
        <v>0</v>
      </c>
      <c r="CC9" s="915">
        <f t="shared" ref="CC9:CC68" si="63">IF(AND($D9=$R$27,$E9=$T$9),$J9,0)</f>
        <v>0</v>
      </c>
      <c r="CD9" s="915">
        <f t="shared" ref="CD9:CD68" si="64">IF(AND($D9=$R$27,$E9=$T$10),$J9,0)</f>
        <v>0</v>
      </c>
      <c r="CF9" s="533"/>
      <c r="CI9" s="534"/>
    </row>
    <row r="10" spans="1:87" ht="14.1" customHeight="1" x14ac:dyDescent="0.2">
      <c r="A10" s="496">
        <v>3</v>
      </c>
      <c r="B10" s="1435"/>
      <c r="C10" s="1436"/>
      <c r="D10" s="264">
        <v>1</v>
      </c>
      <c r="E10" s="264" t="s">
        <v>170</v>
      </c>
      <c r="F10" s="270" t="s">
        <v>2544</v>
      </c>
      <c r="G10" s="270" t="s">
        <v>2542</v>
      </c>
      <c r="H10" s="272">
        <v>8</v>
      </c>
      <c r="I10" s="268">
        <f t="shared" si="3"/>
        <v>0.48</v>
      </c>
      <c r="J10" s="269">
        <f t="shared" si="4"/>
        <v>8.48</v>
      </c>
      <c r="K10" s="51"/>
      <c r="N10" s="942">
        <f>Y6</f>
        <v>8.48</v>
      </c>
      <c r="O10" s="879" t="str">
        <f>"Other for " &amp; TabName1</f>
        <v>Other for Phase 1</v>
      </c>
      <c r="P10" s="949" t="s">
        <v>133</v>
      </c>
      <c r="R10" s="915">
        <f>INDEX(ValidateTable,3)</f>
        <v>3</v>
      </c>
      <c r="T10" s="915" t="s">
        <v>170</v>
      </c>
      <c r="W10" s="915">
        <f t="shared" si="5"/>
        <v>0</v>
      </c>
      <c r="X10" s="915">
        <f t="shared" si="6"/>
        <v>0</v>
      </c>
      <c r="Y10" s="915">
        <f t="shared" si="7"/>
        <v>8.48</v>
      </c>
      <c r="Z10" s="915">
        <f t="shared" si="8"/>
        <v>0</v>
      </c>
      <c r="AA10" s="915">
        <f t="shared" si="9"/>
        <v>0</v>
      </c>
      <c r="AB10" s="915">
        <f t="shared" si="10"/>
        <v>0</v>
      </c>
      <c r="AC10" s="915">
        <f t="shared" si="11"/>
        <v>0</v>
      </c>
      <c r="AD10" s="915">
        <f t="shared" si="12"/>
        <v>0</v>
      </c>
      <c r="AE10" s="915">
        <f t="shared" si="13"/>
        <v>0</v>
      </c>
      <c r="AF10" s="915">
        <f t="shared" si="14"/>
        <v>0</v>
      </c>
      <c r="AG10" s="915">
        <f t="shared" si="15"/>
        <v>0</v>
      </c>
      <c r="AH10" s="915">
        <f t="shared" si="16"/>
        <v>0</v>
      </c>
      <c r="AI10" s="915">
        <f t="shared" si="17"/>
        <v>0</v>
      </c>
      <c r="AJ10" s="915">
        <f t="shared" si="18"/>
        <v>0</v>
      </c>
      <c r="AK10" s="915">
        <f t="shared" si="19"/>
        <v>0</v>
      </c>
      <c r="AL10" s="915">
        <f t="shared" si="20"/>
        <v>0</v>
      </c>
      <c r="AM10" s="915">
        <f t="shared" si="21"/>
        <v>0</v>
      </c>
      <c r="AN10" s="915">
        <f t="shared" si="22"/>
        <v>0</v>
      </c>
      <c r="AO10" s="915">
        <f t="shared" si="23"/>
        <v>0</v>
      </c>
      <c r="AP10" s="915">
        <f t="shared" si="24"/>
        <v>0</v>
      </c>
      <c r="AQ10" s="915">
        <f t="shared" si="25"/>
        <v>0</v>
      </c>
      <c r="AR10" s="915">
        <f t="shared" si="26"/>
        <v>0</v>
      </c>
      <c r="AS10" s="915">
        <f t="shared" si="27"/>
        <v>0</v>
      </c>
      <c r="AT10" s="915">
        <f t="shared" si="28"/>
        <v>0</v>
      </c>
      <c r="AU10" s="915">
        <f t="shared" si="29"/>
        <v>0</v>
      </c>
      <c r="AV10" s="915">
        <f t="shared" si="30"/>
        <v>0</v>
      </c>
      <c r="AW10" s="915">
        <f t="shared" si="31"/>
        <v>0</v>
      </c>
      <c r="AX10" s="915">
        <f t="shared" si="32"/>
        <v>0</v>
      </c>
      <c r="AY10" s="915">
        <f t="shared" si="33"/>
        <v>0</v>
      </c>
      <c r="AZ10" s="915">
        <f t="shared" si="34"/>
        <v>0</v>
      </c>
      <c r="BA10" s="915">
        <f t="shared" si="35"/>
        <v>0</v>
      </c>
      <c r="BB10" s="915">
        <f t="shared" si="36"/>
        <v>0</v>
      </c>
      <c r="BC10" s="915">
        <f t="shared" si="37"/>
        <v>0</v>
      </c>
      <c r="BD10" s="915">
        <f t="shared" si="38"/>
        <v>0</v>
      </c>
      <c r="BE10" s="915">
        <f t="shared" si="39"/>
        <v>0</v>
      </c>
      <c r="BF10" s="915">
        <f t="shared" si="40"/>
        <v>0</v>
      </c>
      <c r="BG10" s="915">
        <f t="shared" si="41"/>
        <v>0</v>
      </c>
      <c r="BH10" s="915">
        <f t="shared" si="42"/>
        <v>0</v>
      </c>
      <c r="BI10" s="915">
        <f t="shared" si="43"/>
        <v>0</v>
      </c>
      <c r="BJ10" s="915">
        <f t="shared" si="44"/>
        <v>0</v>
      </c>
      <c r="BK10" s="915">
        <f t="shared" si="45"/>
        <v>0</v>
      </c>
      <c r="BL10" s="915">
        <f t="shared" si="46"/>
        <v>0</v>
      </c>
      <c r="BM10" s="915">
        <f t="shared" si="47"/>
        <v>0</v>
      </c>
      <c r="BN10" s="915">
        <f t="shared" si="48"/>
        <v>0</v>
      </c>
      <c r="BO10" s="915">
        <f t="shared" si="49"/>
        <v>0</v>
      </c>
      <c r="BP10" s="915">
        <f t="shared" si="50"/>
        <v>0</v>
      </c>
      <c r="BQ10" s="915">
        <f t="shared" si="51"/>
        <v>0</v>
      </c>
      <c r="BR10" s="915">
        <f t="shared" si="52"/>
        <v>0</v>
      </c>
      <c r="BS10" s="915">
        <f t="shared" si="53"/>
        <v>0</v>
      </c>
      <c r="BT10" s="915">
        <f t="shared" si="54"/>
        <v>0</v>
      </c>
      <c r="BU10" s="915">
        <f t="shared" si="55"/>
        <v>0</v>
      </c>
      <c r="BV10" s="915">
        <f t="shared" si="56"/>
        <v>0</v>
      </c>
      <c r="BW10" s="915">
        <f t="shared" si="57"/>
        <v>0</v>
      </c>
      <c r="BX10" s="915">
        <f t="shared" si="58"/>
        <v>0</v>
      </c>
      <c r="BY10" s="915">
        <f t="shared" si="59"/>
        <v>0</v>
      </c>
      <c r="BZ10" s="915">
        <f t="shared" si="60"/>
        <v>0</v>
      </c>
      <c r="CA10" s="915">
        <f t="shared" si="61"/>
        <v>0</v>
      </c>
      <c r="CB10" s="915">
        <f t="shared" si="62"/>
        <v>0</v>
      </c>
      <c r="CC10" s="915">
        <f t="shared" si="63"/>
        <v>0</v>
      </c>
      <c r="CD10" s="915">
        <f t="shared" si="64"/>
        <v>0</v>
      </c>
      <c r="CF10" s="533"/>
      <c r="CI10" s="534"/>
    </row>
    <row r="11" spans="1:87" ht="14.1" customHeight="1" x14ac:dyDescent="0.2">
      <c r="A11" s="497">
        <v>4</v>
      </c>
      <c r="B11" s="1423"/>
      <c r="C11" s="1424"/>
      <c r="D11" s="138">
        <v>2</v>
      </c>
      <c r="E11" s="138" t="s">
        <v>26</v>
      </c>
      <c r="F11" s="139" t="s">
        <v>2544</v>
      </c>
      <c r="G11" s="139" t="s">
        <v>2542</v>
      </c>
      <c r="H11" s="100">
        <v>8</v>
      </c>
      <c r="I11" s="119">
        <f t="shared" si="3"/>
        <v>0.48</v>
      </c>
      <c r="J11" s="90">
        <f t="shared" si="4"/>
        <v>8.48</v>
      </c>
      <c r="K11" s="51"/>
      <c r="N11" s="942">
        <f>Z6</f>
        <v>8.48</v>
      </c>
      <c r="O11" s="915" t="str">
        <f>"Rented Equipment for "&amp;TabName2</f>
        <v>Rented Equipment for Phase 2</v>
      </c>
      <c r="P11" s="949" t="s">
        <v>134</v>
      </c>
      <c r="R11" s="915">
        <f>INDEX(ValidateTable,4)</f>
        <v>4</v>
      </c>
      <c r="W11" s="915">
        <f t="shared" si="5"/>
        <v>0</v>
      </c>
      <c r="X11" s="915">
        <f t="shared" si="6"/>
        <v>0</v>
      </c>
      <c r="Y11" s="915">
        <f t="shared" si="7"/>
        <v>0</v>
      </c>
      <c r="Z11" s="915">
        <f t="shared" si="8"/>
        <v>8.48</v>
      </c>
      <c r="AA11" s="915">
        <f t="shared" si="9"/>
        <v>0</v>
      </c>
      <c r="AB11" s="915">
        <f t="shared" si="10"/>
        <v>0</v>
      </c>
      <c r="AC11" s="915">
        <f t="shared" si="11"/>
        <v>0</v>
      </c>
      <c r="AD11" s="915">
        <f t="shared" si="12"/>
        <v>0</v>
      </c>
      <c r="AE11" s="915">
        <f t="shared" si="13"/>
        <v>0</v>
      </c>
      <c r="AF11" s="915">
        <f t="shared" si="14"/>
        <v>0</v>
      </c>
      <c r="AG11" s="915">
        <f t="shared" si="15"/>
        <v>0</v>
      </c>
      <c r="AH11" s="915">
        <f t="shared" si="16"/>
        <v>0</v>
      </c>
      <c r="AI11" s="915">
        <f t="shared" si="17"/>
        <v>0</v>
      </c>
      <c r="AJ11" s="915">
        <f t="shared" si="18"/>
        <v>0</v>
      </c>
      <c r="AK11" s="915">
        <f t="shared" si="19"/>
        <v>0</v>
      </c>
      <c r="AL11" s="915">
        <f t="shared" si="20"/>
        <v>0</v>
      </c>
      <c r="AM11" s="915">
        <f t="shared" si="21"/>
        <v>0</v>
      </c>
      <c r="AN11" s="915">
        <f t="shared" si="22"/>
        <v>0</v>
      </c>
      <c r="AO11" s="915">
        <f t="shared" si="23"/>
        <v>0</v>
      </c>
      <c r="AP11" s="915">
        <f t="shared" si="24"/>
        <v>0</v>
      </c>
      <c r="AQ11" s="915">
        <f t="shared" si="25"/>
        <v>0</v>
      </c>
      <c r="AR11" s="915">
        <f t="shared" si="26"/>
        <v>0</v>
      </c>
      <c r="AS11" s="915">
        <f t="shared" si="27"/>
        <v>0</v>
      </c>
      <c r="AT11" s="915">
        <f t="shared" si="28"/>
        <v>0</v>
      </c>
      <c r="AU11" s="915">
        <f t="shared" si="29"/>
        <v>0</v>
      </c>
      <c r="AV11" s="915">
        <f t="shared" si="30"/>
        <v>0</v>
      </c>
      <c r="AW11" s="915">
        <f t="shared" si="31"/>
        <v>0</v>
      </c>
      <c r="AX11" s="915">
        <f t="shared" si="32"/>
        <v>0</v>
      </c>
      <c r="AY11" s="915">
        <f t="shared" si="33"/>
        <v>0</v>
      </c>
      <c r="AZ11" s="915">
        <f t="shared" si="34"/>
        <v>0</v>
      </c>
      <c r="BA11" s="915">
        <f t="shared" si="35"/>
        <v>0</v>
      </c>
      <c r="BB11" s="915">
        <f t="shared" si="36"/>
        <v>0</v>
      </c>
      <c r="BC11" s="915">
        <f t="shared" si="37"/>
        <v>0</v>
      </c>
      <c r="BD11" s="915">
        <f t="shared" si="38"/>
        <v>0</v>
      </c>
      <c r="BE11" s="915">
        <f t="shared" si="39"/>
        <v>0</v>
      </c>
      <c r="BF11" s="915">
        <f t="shared" si="40"/>
        <v>0</v>
      </c>
      <c r="BG11" s="915">
        <f t="shared" si="41"/>
        <v>0</v>
      </c>
      <c r="BH11" s="915">
        <f t="shared" si="42"/>
        <v>0</v>
      </c>
      <c r="BI11" s="915">
        <f t="shared" si="43"/>
        <v>0</v>
      </c>
      <c r="BJ11" s="915">
        <f t="shared" si="44"/>
        <v>0</v>
      </c>
      <c r="BK11" s="915">
        <f t="shared" si="45"/>
        <v>0</v>
      </c>
      <c r="BL11" s="915">
        <f t="shared" si="46"/>
        <v>0</v>
      </c>
      <c r="BM11" s="915">
        <f t="shared" si="47"/>
        <v>0</v>
      </c>
      <c r="BN11" s="915">
        <f t="shared" si="48"/>
        <v>0</v>
      </c>
      <c r="BO11" s="915">
        <f t="shared" si="49"/>
        <v>0</v>
      </c>
      <c r="BP11" s="915">
        <f t="shared" si="50"/>
        <v>0</v>
      </c>
      <c r="BQ11" s="915">
        <f t="shared" si="51"/>
        <v>0</v>
      </c>
      <c r="BR11" s="915">
        <f t="shared" si="52"/>
        <v>0</v>
      </c>
      <c r="BS11" s="915">
        <f t="shared" si="53"/>
        <v>0</v>
      </c>
      <c r="BT11" s="915">
        <f t="shared" si="54"/>
        <v>0</v>
      </c>
      <c r="BU11" s="915">
        <f t="shared" si="55"/>
        <v>0</v>
      </c>
      <c r="BV11" s="915">
        <f t="shared" si="56"/>
        <v>0</v>
      </c>
      <c r="BW11" s="915">
        <f t="shared" si="57"/>
        <v>0</v>
      </c>
      <c r="BX11" s="915">
        <f t="shared" si="58"/>
        <v>0</v>
      </c>
      <c r="BY11" s="915">
        <f t="shared" si="59"/>
        <v>0</v>
      </c>
      <c r="BZ11" s="915">
        <f t="shared" si="60"/>
        <v>0</v>
      </c>
      <c r="CA11" s="915">
        <f t="shared" si="61"/>
        <v>0</v>
      </c>
      <c r="CB11" s="915">
        <f t="shared" si="62"/>
        <v>0</v>
      </c>
      <c r="CC11" s="915">
        <f t="shared" si="63"/>
        <v>0</v>
      </c>
      <c r="CD11" s="915">
        <f t="shared" si="64"/>
        <v>0</v>
      </c>
      <c r="CF11" s="533"/>
      <c r="CI11" s="534"/>
    </row>
    <row r="12" spans="1:87" ht="14.1" customHeight="1" x14ac:dyDescent="0.2">
      <c r="A12" s="496">
        <v>5</v>
      </c>
      <c r="B12" s="1419"/>
      <c r="C12" s="1433"/>
      <c r="D12" s="264">
        <v>2</v>
      </c>
      <c r="E12" s="264" t="s">
        <v>30</v>
      </c>
      <c r="F12" s="270" t="s">
        <v>2544</v>
      </c>
      <c r="G12" s="270" t="s">
        <v>2542</v>
      </c>
      <c r="H12" s="272">
        <v>8</v>
      </c>
      <c r="I12" s="268">
        <f t="shared" si="3"/>
        <v>0.48</v>
      </c>
      <c r="J12" s="269">
        <f t="shared" si="4"/>
        <v>8.48</v>
      </c>
      <c r="K12" s="51"/>
      <c r="N12" s="942">
        <f>AA6</f>
        <v>8.48</v>
      </c>
      <c r="O12" s="879" t="str">
        <f>"Purchased Supplies for " &amp; TabName2</f>
        <v>Purchased Supplies for Phase 2</v>
      </c>
      <c r="P12" s="950" t="s">
        <v>135</v>
      </c>
      <c r="R12" s="915">
        <f>INDEX(ValidateTable,5)</f>
        <v>5</v>
      </c>
      <c r="W12" s="915">
        <f t="shared" si="5"/>
        <v>0</v>
      </c>
      <c r="X12" s="915">
        <f t="shared" si="6"/>
        <v>0</v>
      </c>
      <c r="Y12" s="915">
        <f t="shared" si="7"/>
        <v>0</v>
      </c>
      <c r="Z12" s="915">
        <f t="shared" si="8"/>
        <v>0</v>
      </c>
      <c r="AA12" s="915">
        <f t="shared" si="9"/>
        <v>8.48</v>
      </c>
      <c r="AB12" s="915">
        <f t="shared" si="10"/>
        <v>0</v>
      </c>
      <c r="AC12" s="915">
        <f t="shared" si="11"/>
        <v>0</v>
      </c>
      <c r="AD12" s="915">
        <f t="shared" si="12"/>
        <v>0</v>
      </c>
      <c r="AE12" s="915">
        <f t="shared" si="13"/>
        <v>0</v>
      </c>
      <c r="AF12" s="915">
        <f t="shared" si="14"/>
        <v>0</v>
      </c>
      <c r="AG12" s="915">
        <f t="shared" si="15"/>
        <v>0</v>
      </c>
      <c r="AH12" s="915">
        <f t="shared" si="16"/>
        <v>0</v>
      </c>
      <c r="AI12" s="915">
        <f t="shared" si="17"/>
        <v>0</v>
      </c>
      <c r="AJ12" s="915">
        <f t="shared" si="18"/>
        <v>0</v>
      </c>
      <c r="AK12" s="915">
        <f t="shared" si="19"/>
        <v>0</v>
      </c>
      <c r="AL12" s="915">
        <f t="shared" si="20"/>
        <v>0</v>
      </c>
      <c r="AM12" s="915">
        <f t="shared" si="21"/>
        <v>0</v>
      </c>
      <c r="AN12" s="915">
        <f t="shared" si="22"/>
        <v>0</v>
      </c>
      <c r="AO12" s="915">
        <f t="shared" si="23"/>
        <v>0</v>
      </c>
      <c r="AP12" s="915">
        <f t="shared" si="24"/>
        <v>0</v>
      </c>
      <c r="AQ12" s="915">
        <f t="shared" si="25"/>
        <v>0</v>
      </c>
      <c r="AR12" s="915">
        <f t="shared" si="26"/>
        <v>0</v>
      </c>
      <c r="AS12" s="915">
        <f t="shared" si="27"/>
        <v>0</v>
      </c>
      <c r="AT12" s="915">
        <f t="shared" si="28"/>
        <v>0</v>
      </c>
      <c r="AU12" s="915">
        <f t="shared" si="29"/>
        <v>0</v>
      </c>
      <c r="AV12" s="915">
        <f t="shared" si="30"/>
        <v>0</v>
      </c>
      <c r="AW12" s="915">
        <f t="shared" si="31"/>
        <v>0</v>
      </c>
      <c r="AX12" s="915">
        <f t="shared" si="32"/>
        <v>0</v>
      </c>
      <c r="AY12" s="915">
        <f t="shared" si="33"/>
        <v>0</v>
      </c>
      <c r="AZ12" s="915">
        <f t="shared" si="34"/>
        <v>0</v>
      </c>
      <c r="BA12" s="915">
        <f t="shared" si="35"/>
        <v>0</v>
      </c>
      <c r="BB12" s="915">
        <f t="shared" si="36"/>
        <v>0</v>
      </c>
      <c r="BC12" s="915">
        <f t="shared" si="37"/>
        <v>0</v>
      </c>
      <c r="BD12" s="915">
        <f t="shared" si="38"/>
        <v>0</v>
      </c>
      <c r="BE12" s="915">
        <f t="shared" si="39"/>
        <v>0</v>
      </c>
      <c r="BF12" s="915">
        <f t="shared" si="40"/>
        <v>0</v>
      </c>
      <c r="BG12" s="915">
        <f t="shared" si="41"/>
        <v>0</v>
      </c>
      <c r="BH12" s="915">
        <f t="shared" si="42"/>
        <v>0</v>
      </c>
      <c r="BI12" s="915">
        <f t="shared" si="43"/>
        <v>0</v>
      </c>
      <c r="BJ12" s="915">
        <f t="shared" si="44"/>
        <v>0</v>
      </c>
      <c r="BK12" s="915">
        <f t="shared" si="45"/>
        <v>0</v>
      </c>
      <c r="BL12" s="915">
        <f t="shared" si="46"/>
        <v>0</v>
      </c>
      <c r="BM12" s="915">
        <f t="shared" si="47"/>
        <v>0</v>
      </c>
      <c r="BN12" s="915">
        <f t="shared" si="48"/>
        <v>0</v>
      </c>
      <c r="BO12" s="915">
        <f t="shared" si="49"/>
        <v>0</v>
      </c>
      <c r="BP12" s="915">
        <f t="shared" si="50"/>
        <v>0</v>
      </c>
      <c r="BQ12" s="915">
        <f t="shared" si="51"/>
        <v>0</v>
      </c>
      <c r="BR12" s="915">
        <f t="shared" si="52"/>
        <v>0</v>
      </c>
      <c r="BS12" s="915">
        <f t="shared" si="53"/>
        <v>0</v>
      </c>
      <c r="BT12" s="915">
        <f t="shared" si="54"/>
        <v>0</v>
      </c>
      <c r="BU12" s="915">
        <f t="shared" si="55"/>
        <v>0</v>
      </c>
      <c r="BV12" s="915">
        <f t="shared" si="56"/>
        <v>0</v>
      </c>
      <c r="BW12" s="915">
        <f t="shared" si="57"/>
        <v>0</v>
      </c>
      <c r="BX12" s="915">
        <f t="shared" si="58"/>
        <v>0</v>
      </c>
      <c r="BY12" s="915">
        <f t="shared" si="59"/>
        <v>0</v>
      </c>
      <c r="BZ12" s="915">
        <f t="shared" si="60"/>
        <v>0</v>
      </c>
      <c r="CA12" s="915">
        <f t="shared" si="61"/>
        <v>0</v>
      </c>
      <c r="CB12" s="915">
        <f t="shared" si="62"/>
        <v>0</v>
      </c>
      <c r="CC12" s="915">
        <f t="shared" si="63"/>
        <v>0</v>
      </c>
      <c r="CD12" s="915">
        <f t="shared" si="64"/>
        <v>0</v>
      </c>
      <c r="CF12" s="533"/>
      <c r="CI12" s="534"/>
    </row>
    <row r="13" spans="1:87" ht="14.1" customHeight="1" x14ac:dyDescent="0.2">
      <c r="A13" s="497">
        <v>6</v>
      </c>
      <c r="B13" s="1423"/>
      <c r="C13" s="1424"/>
      <c r="D13" s="138">
        <v>2</v>
      </c>
      <c r="E13" s="138" t="s">
        <v>170</v>
      </c>
      <c r="F13" s="139" t="s">
        <v>2544</v>
      </c>
      <c r="G13" s="139" t="s">
        <v>2542</v>
      </c>
      <c r="H13" s="100">
        <v>8</v>
      </c>
      <c r="I13" s="119">
        <f t="shared" si="3"/>
        <v>0.48</v>
      </c>
      <c r="J13" s="90">
        <f t="shared" si="4"/>
        <v>8.48</v>
      </c>
      <c r="K13" s="51"/>
      <c r="N13" s="942">
        <f>AB6</f>
        <v>8.48</v>
      </c>
      <c r="O13" s="879" t="str">
        <f>"Other for " &amp; TabName2</f>
        <v>Other for Phase 2</v>
      </c>
      <c r="P13" s="949" t="s">
        <v>136</v>
      </c>
      <c r="R13" s="915">
        <f>INDEX(ValidateTable,6)</f>
        <v>6</v>
      </c>
      <c r="W13" s="915">
        <f t="shared" si="5"/>
        <v>0</v>
      </c>
      <c r="X13" s="915">
        <f t="shared" si="6"/>
        <v>0</v>
      </c>
      <c r="Y13" s="915">
        <f t="shared" si="7"/>
        <v>0</v>
      </c>
      <c r="Z13" s="915">
        <f t="shared" si="8"/>
        <v>0</v>
      </c>
      <c r="AA13" s="915">
        <f t="shared" si="9"/>
        <v>0</v>
      </c>
      <c r="AB13" s="915">
        <f t="shared" si="10"/>
        <v>8.48</v>
      </c>
      <c r="AC13" s="915">
        <f t="shared" si="11"/>
        <v>0</v>
      </c>
      <c r="AD13" s="915">
        <f t="shared" si="12"/>
        <v>0</v>
      </c>
      <c r="AE13" s="915">
        <f t="shared" si="13"/>
        <v>0</v>
      </c>
      <c r="AF13" s="915">
        <f t="shared" si="14"/>
        <v>0</v>
      </c>
      <c r="AG13" s="915">
        <f t="shared" si="15"/>
        <v>0</v>
      </c>
      <c r="AH13" s="915">
        <f t="shared" si="16"/>
        <v>0</v>
      </c>
      <c r="AI13" s="915">
        <f t="shared" si="17"/>
        <v>0</v>
      </c>
      <c r="AJ13" s="915">
        <f t="shared" si="18"/>
        <v>0</v>
      </c>
      <c r="AK13" s="915">
        <f t="shared" si="19"/>
        <v>0</v>
      </c>
      <c r="AL13" s="915">
        <f t="shared" si="20"/>
        <v>0</v>
      </c>
      <c r="AM13" s="915">
        <f t="shared" si="21"/>
        <v>0</v>
      </c>
      <c r="AN13" s="915">
        <f t="shared" si="22"/>
        <v>0</v>
      </c>
      <c r="AO13" s="915">
        <f t="shared" si="23"/>
        <v>0</v>
      </c>
      <c r="AP13" s="915">
        <f t="shared" si="24"/>
        <v>0</v>
      </c>
      <c r="AQ13" s="915">
        <f t="shared" si="25"/>
        <v>0</v>
      </c>
      <c r="AR13" s="915">
        <f t="shared" si="26"/>
        <v>0</v>
      </c>
      <c r="AS13" s="915">
        <f t="shared" si="27"/>
        <v>0</v>
      </c>
      <c r="AT13" s="915">
        <f t="shared" si="28"/>
        <v>0</v>
      </c>
      <c r="AU13" s="915">
        <f t="shared" si="29"/>
        <v>0</v>
      </c>
      <c r="AV13" s="915">
        <f t="shared" si="30"/>
        <v>0</v>
      </c>
      <c r="AW13" s="915">
        <f t="shared" si="31"/>
        <v>0</v>
      </c>
      <c r="AX13" s="915">
        <f t="shared" si="32"/>
        <v>0</v>
      </c>
      <c r="AY13" s="915">
        <f t="shared" si="33"/>
        <v>0</v>
      </c>
      <c r="AZ13" s="915">
        <f t="shared" si="34"/>
        <v>0</v>
      </c>
      <c r="BA13" s="915">
        <f t="shared" si="35"/>
        <v>0</v>
      </c>
      <c r="BB13" s="915">
        <f t="shared" si="36"/>
        <v>0</v>
      </c>
      <c r="BC13" s="915">
        <f t="shared" si="37"/>
        <v>0</v>
      </c>
      <c r="BD13" s="915">
        <f t="shared" si="38"/>
        <v>0</v>
      </c>
      <c r="BE13" s="915">
        <f t="shared" si="39"/>
        <v>0</v>
      </c>
      <c r="BF13" s="915">
        <f t="shared" si="40"/>
        <v>0</v>
      </c>
      <c r="BG13" s="915">
        <f t="shared" si="41"/>
        <v>0</v>
      </c>
      <c r="BH13" s="915">
        <f t="shared" si="42"/>
        <v>0</v>
      </c>
      <c r="BI13" s="915">
        <f t="shared" si="43"/>
        <v>0</v>
      </c>
      <c r="BJ13" s="915">
        <f t="shared" si="44"/>
        <v>0</v>
      </c>
      <c r="BK13" s="915">
        <f t="shared" si="45"/>
        <v>0</v>
      </c>
      <c r="BL13" s="915">
        <f t="shared" si="46"/>
        <v>0</v>
      </c>
      <c r="BM13" s="915">
        <f t="shared" si="47"/>
        <v>0</v>
      </c>
      <c r="BN13" s="915">
        <f t="shared" si="48"/>
        <v>0</v>
      </c>
      <c r="BO13" s="915">
        <f t="shared" si="49"/>
        <v>0</v>
      </c>
      <c r="BP13" s="915">
        <f t="shared" si="50"/>
        <v>0</v>
      </c>
      <c r="BQ13" s="915">
        <f t="shared" si="51"/>
        <v>0</v>
      </c>
      <c r="BR13" s="915">
        <f t="shared" si="52"/>
        <v>0</v>
      </c>
      <c r="BS13" s="915">
        <f t="shared" si="53"/>
        <v>0</v>
      </c>
      <c r="BT13" s="915">
        <f t="shared" si="54"/>
        <v>0</v>
      </c>
      <c r="BU13" s="915">
        <f t="shared" si="55"/>
        <v>0</v>
      </c>
      <c r="BV13" s="915">
        <f t="shared" si="56"/>
        <v>0</v>
      </c>
      <c r="BW13" s="915">
        <f t="shared" si="57"/>
        <v>0</v>
      </c>
      <c r="BX13" s="915">
        <f t="shared" si="58"/>
        <v>0</v>
      </c>
      <c r="BY13" s="915">
        <f t="shared" si="59"/>
        <v>0</v>
      </c>
      <c r="BZ13" s="915">
        <f t="shared" si="60"/>
        <v>0</v>
      </c>
      <c r="CA13" s="915">
        <f t="shared" si="61"/>
        <v>0</v>
      </c>
      <c r="CB13" s="915">
        <f t="shared" si="62"/>
        <v>0</v>
      </c>
      <c r="CC13" s="915">
        <f t="shared" si="63"/>
        <v>0</v>
      </c>
      <c r="CD13" s="915">
        <f t="shared" si="64"/>
        <v>0</v>
      </c>
      <c r="CF13" s="533"/>
      <c r="CI13" s="534"/>
    </row>
    <row r="14" spans="1:87" ht="14.1" customHeight="1" x14ac:dyDescent="0.2">
      <c r="A14" s="496">
        <v>7</v>
      </c>
      <c r="B14" s="1419"/>
      <c r="C14" s="1433"/>
      <c r="D14" s="264">
        <v>3</v>
      </c>
      <c r="E14" s="264" t="s">
        <v>26</v>
      </c>
      <c r="F14" s="270" t="s">
        <v>2544</v>
      </c>
      <c r="G14" s="270" t="s">
        <v>2542</v>
      </c>
      <c r="H14" s="272">
        <v>8</v>
      </c>
      <c r="I14" s="268">
        <f t="shared" si="3"/>
        <v>0.48</v>
      </c>
      <c r="J14" s="269">
        <f t="shared" si="4"/>
        <v>8.48</v>
      </c>
      <c r="K14" s="51"/>
      <c r="N14" s="942">
        <f>AC6</f>
        <v>8.48</v>
      </c>
      <c r="O14" s="915" t="str">
        <f>"Rented Equipment for "&amp;TabName3</f>
        <v>Rented Equipment for Phase 3</v>
      </c>
      <c r="P14" s="949" t="s">
        <v>137</v>
      </c>
      <c r="R14" s="915">
        <f>INDEX(ValidateTable,7)</f>
        <v>7</v>
      </c>
      <c r="W14" s="915">
        <f t="shared" si="5"/>
        <v>0</v>
      </c>
      <c r="X14" s="915">
        <f t="shared" si="6"/>
        <v>0</v>
      </c>
      <c r="Y14" s="915">
        <f t="shared" si="7"/>
        <v>0</v>
      </c>
      <c r="Z14" s="915">
        <f t="shared" si="8"/>
        <v>0</v>
      </c>
      <c r="AA14" s="915">
        <f t="shared" si="9"/>
        <v>0</v>
      </c>
      <c r="AB14" s="915">
        <f t="shared" si="10"/>
        <v>0</v>
      </c>
      <c r="AC14" s="915">
        <f t="shared" si="11"/>
        <v>8.48</v>
      </c>
      <c r="AD14" s="915">
        <f t="shared" si="12"/>
        <v>0</v>
      </c>
      <c r="AE14" s="915">
        <f t="shared" si="13"/>
        <v>0</v>
      </c>
      <c r="AF14" s="915">
        <f t="shared" si="14"/>
        <v>0</v>
      </c>
      <c r="AG14" s="915">
        <f t="shared" si="15"/>
        <v>0</v>
      </c>
      <c r="AH14" s="915">
        <f t="shared" si="16"/>
        <v>0</v>
      </c>
      <c r="AI14" s="915">
        <f t="shared" si="17"/>
        <v>0</v>
      </c>
      <c r="AJ14" s="915">
        <f t="shared" si="18"/>
        <v>0</v>
      </c>
      <c r="AK14" s="915">
        <f t="shared" si="19"/>
        <v>0</v>
      </c>
      <c r="AL14" s="915">
        <f t="shared" si="20"/>
        <v>0</v>
      </c>
      <c r="AM14" s="915">
        <f t="shared" si="21"/>
        <v>0</v>
      </c>
      <c r="AN14" s="915">
        <f t="shared" si="22"/>
        <v>0</v>
      </c>
      <c r="AO14" s="915">
        <f t="shared" si="23"/>
        <v>0</v>
      </c>
      <c r="AP14" s="915">
        <f t="shared" si="24"/>
        <v>0</v>
      </c>
      <c r="AQ14" s="915">
        <f t="shared" si="25"/>
        <v>0</v>
      </c>
      <c r="AR14" s="915">
        <f t="shared" si="26"/>
        <v>0</v>
      </c>
      <c r="AS14" s="915">
        <f t="shared" si="27"/>
        <v>0</v>
      </c>
      <c r="AT14" s="915">
        <f t="shared" si="28"/>
        <v>0</v>
      </c>
      <c r="AU14" s="915">
        <f t="shared" si="29"/>
        <v>0</v>
      </c>
      <c r="AV14" s="915">
        <f t="shared" si="30"/>
        <v>0</v>
      </c>
      <c r="AW14" s="915">
        <f t="shared" si="31"/>
        <v>0</v>
      </c>
      <c r="AX14" s="915">
        <f t="shared" si="32"/>
        <v>0</v>
      </c>
      <c r="AY14" s="915">
        <f t="shared" si="33"/>
        <v>0</v>
      </c>
      <c r="AZ14" s="915">
        <f t="shared" si="34"/>
        <v>0</v>
      </c>
      <c r="BA14" s="915">
        <f t="shared" si="35"/>
        <v>0</v>
      </c>
      <c r="BB14" s="915">
        <f t="shared" si="36"/>
        <v>0</v>
      </c>
      <c r="BC14" s="915">
        <f t="shared" si="37"/>
        <v>0</v>
      </c>
      <c r="BD14" s="915">
        <f t="shared" si="38"/>
        <v>0</v>
      </c>
      <c r="BE14" s="915">
        <f t="shared" si="39"/>
        <v>0</v>
      </c>
      <c r="BF14" s="915">
        <f t="shared" si="40"/>
        <v>0</v>
      </c>
      <c r="BG14" s="915">
        <f t="shared" si="41"/>
        <v>0</v>
      </c>
      <c r="BH14" s="915">
        <f t="shared" si="42"/>
        <v>0</v>
      </c>
      <c r="BI14" s="915">
        <f t="shared" si="43"/>
        <v>0</v>
      </c>
      <c r="BJ14" s="915">
        <f t="shared" si="44"/>
        <v>0</v>
      </c>
      <c r="BK14" s="915">
        <f t="shared" si="45"/>
        <v>0</v>
      </c>
      <c r="BL14" s="915">
        <f t="shared" si="46"/>
        <v>0</v>
      </c>
      <c r="BM14" s="915">
        <f t="shared" si="47"/>
        <v>0</v>
      </c>
      <c r="BN14" s="915">
        <f t="shared" si="48"/>
        <v>0</v>
      </c>
      <c r="BO14" s="915">
        <f t="shared" si="49"/>
        <v>0</v>
      </c>
      <c r="BP14" s="915">
        <f t="shared" si="50"/>
        <v>0</v>
      </c>
      <c r="BQ14" s="915">
        <f t="shared" si="51"/>
        <v>0</v>
      </c>
      <c r="BR14" s="915">
        <f t="shared" si="52"/>
        <v>0</v>
      </c>
      <c r="BS14" s="915">
        <f t="shared" si="53"/>
        <v>0</v>
      </c>
      <c r="BT14" s="915">
        <f t="shared" si="54"/>
        <v>0</v>
      </c>
      <c r="BU14" s="915">
        <f t="shared" si="55"/>
        <v>0</v>
      </c>
      <c r="BV14" s="915">
        <f t="shared" si="56"/>
        <v>0</v>
      </c>
      <c r="BW14" s="915">
        <f t="shared" si="57"/>
        <v>0</v>
      </c>
      <c r="BX14" s="915">
        <f t="shared" si="58"/>
        <v>0</v>
      </c>
      <c r="BY14" s="915">
        <f t="shared" si="59"/>
        <v>0</v>
      </c>
      <c r="BZ14" s="915">
        <f t="shared" si="60"/>
        <v>0</v>
      </c>
      <c r="CA14" s="915">
        <f t="shared" si="61"/>
        <v>0</v>
      </c>
      <c r="CB14" s="915">
        <f t="shared" si="62"/>
        <v>0</v>
      </c>
      <c r="CC14" s="915">
        <f t="shared" si="63"/>
        <v>0</v>
      </c>
      <c r="CD14" s="915">
        <f t="shared" si="64"/>
        <v>0</v>
      </c>
      <c r="CF14" s="533"/>
      <c r="CI14" s="534"/>
    </row>
    <row r="15" spans="1:87" ht="14.1" customHeight="1" x14ac:dyDescent="0.2">
      <c r="A15" s="497">
        <v>8</v>
      </c>
      <c r="B15" s="1423"/>
      <c r="C15" s="1424"/>
      <c r="D15" s="138">
        <v>3</v>
      </c>
      <c r="E15" s="138" t="s">
        <v>30</v>
      </c>
      <c r="F15" s="139" t="s">
        <v>2544</v>
      </c>
      <c r="G15" s="139" t="s">
        <v>2542</v>
      </c>
      <c r="H15" s="100">
        <v>8</v>
      </c>
      <c r="I15" s="119">
        <f t="shared" si="3"/>
        <v>0.48</v>
      </c>
      <c r="J15" s="90">
        <f t="shared" si="4"/>
        <v>8.48</v>
      </c>
      <c r="K15" s="51"/>
      <c r="N15" s="942">
        <f>AD6</f>
        <v>8.48</v>
      </c>
      <c r="O15" s="879" t="str">
        <f>"Purchased Supplies for " &amp; TabName3</f>
        <v>Purchased Supplies for Phase 3</v>
      </c>
      <c r="P15" s="950" t="s">
        <v>138</v>
      </c>
      <c r="R15" s="915">
        <f>INDEX(ValidateTable,8)</f>
        <v>8</v>
      </c>
      <c r="W15" s="915">
        <f t="shared" si="5"/>
        <v>0</v>
      </c>
      <c r="X15" s="915">
        <f t="shared" si="6"/>
        <v>0</v>
      </c>
      <c r="Y15" s="915">
        <f t="shared" si="7"/>
        <v>0</v>
      </c>
      <c r="Z15" s="915">
        <f t="shared" si="8"/>
        <v>0</v>
      </c>
      <c r="AA15" s="915">
        <f t="shared" si="9"/>
        <v>0</v>
      </c>
      <c r="AB15" s="915">
        <f t="shared" si="10"/>
        <v>0</v>
      </c>
      <c r="AC15" s="915">
        <f t="shared" si="11"/>
        <v>0</v>
      </c>
      <c r="AD15" s="915">
        <f t="shared" si="12"/>
        <v>8.48</v>
      </c>
      <c r="AE15" s="915">
        <f t="shared" si="13"/>
        <v>0</v>
      </c>
      <c r="AF15" s="915">
        <f t="shared" si="14"/>
        <v>0</v>
      </c>
      <c r="AG15" s="915">
        <f t="shared" si="15"/>
        <v>0</v>
      </c>
      <c r="AH15" s="915">
        <f t="shared" si="16"/>
        <v>0</v>
      </c>
      <c r="AI15" s="915">
        <f t="shared" si="17"/>
        <v>0</v>
      </c>
      <c r="AJ15" s="915">
        <f t="shared" si="18"/>
        <v>0</v>
      </c>
      <c r="AK15" s="915">
        <f t="shared" si="19"/>
        <v>0</v>
      </c>
      <c r="AL15" s="915">
        <f t="shared" si="20"/>
        <v>0</v>
      </c>
      <c r="AM15" s="915">
        <f t="shared" si="21"/>
        <v>0</v>
      </c>
      <c r="AN15" s="915">
        <f t="shared" si="22"/>
        <v>0</v>
      </c>
      <c r="AO15" s="915">
        <f t="shared" si="23"/>
        <v>0</v>
      </c>
      <c r="AP15" s="915">
        <f t="shared" si="24"/>
        <v>0</v>
      </c>
      <c r="AQ15" s="915">
        <f t="shared" si="25"/>
        <v>0</v>
      </c>
      <c r="AR15" s="915">
        <f t="shared" si="26"/>
        <v>0</v>
      </c>
      <c r="AS15" s="915">
        <f t="shared" si="27"/>
        <v>0</v>
      </c>
      <c r="AT15" s="915">
        <f t="shared" si="28"/>
        <v>0</v>
      </c>
      <c r="AU15" s="915">
        <f t="shared" si="29"/>
        <v>0</v>
      </c>
      <c r="AV15" s="915">
        <f t="shared" si="30"/>
        <v>0</v>
      </c>
      <c r="AW15" s="915">
        <f t="shared" si="31"/>
        <v>0</v>
      </c>
      <c r="AX15" s="915">
        <f t="shared" si="32"/>
        <v>0</v>
      </c>
      <c r="AY15" s="915">
        <f t="shared" si="33"/>
        <v>0</v>
      </c>
      <c r="AZ15" s="915">
        <f t="shared" si="34"/>
        <v>0</v>
      </c>
      <c r="BA15" s="915">
        <f t="shared" si="35"/>
        <v>0</v>
      </c>
      <c r="BB15" s="915">
        <f t="shared" si="36"/>
        <v>0</v>
      </c>
      <c r="BC15" s="915">
        <f t="shared" si="37"/>
        <v>0</v>
      </c>
      <c r="BD15" s="915">
        <f t="shared" si="38"/>
        <v>0</v>
      </c>
      <c r="BE15" s="915">
        <f t="shared" si="39"/>
        <v>0</v>
      </c>
      <c r="BF15" s="915">
        <f t="shared" si="40"/>
        <v>0</v>
      </c>
      <c r="BG15" s="915">
        <f t="shared" si="41"/>
        <v>0</v>
      </c>
      <c r="BH15" s="915">
        <f t="shared" si="42"/>
        <v>0</v>
      </c>
      <c r="BI15" s="915">
        <f t="shared" si="43"/>
        <v>0</v>
      </c>
      <c r="BJ15" s="915">
        <f t="shared" si="44"/>
        <v>0</v>
      </c>
      <c r="BK15" s="915">
        <f t="shared" si="45"/>
        <v>0</v>
      </c>
      <c r="BL15" s="915">
        <f t="shared" si="46"/>
        <v>0</v>
      </c>
      <c r="BM15" s="915">
        <f t="shared" si="47"/>
        <v>0</v>
      </c>
      <c r="BN15" s="915">
        <f t="shared" si="48"/>
        <v>0</v>
      </c>
      <c r="BO15" s="915">
        <f t="shared" si="49"/>
        <v>0</v>
      </c>
      <c r="BP15" s="915">
        <f t="shared" si="50"/>
        <v>0</v>
      </c>
      <c r="BQ15" s="915">
        <f t="shared" si="51"/>
        <v>0</v>
      </c>
      <c r="BR15" s="915">
        <f t="shared" si="52"/>
        <v>0</v>
      </c>
      <c r="BS15" s="915">
        <f t="shared" si="53"/>
        <v>0</v>
      </c>
      <c r="BT15" s="915">
        <f t="shared" si="54"/>
        <v>0</v>
      </c>
      <c r="BU15" s="915">
        <f t="shared" si="55"/>
        <v>0</v>
      </c>
      <c r="BV15" s="915">
        <f t="shared" si="56"/>
        <v>0</v>
      </c>
      <c r="BW15" s="915">
        <f t="shared" si="57"/>
        <v>0</v>
      </c>
      <c r="BX15" s="915">
        <f t="shared" si="58"/>
        <v>0</v>
      </c>
      <c r="BY15" s="915">
        <f t="shared" si="59"/>
        <v>0</v>
      </c>
      <c r="BZ15" s="915">
        <f t="shared" si="60"/>
        <v>0</v>
      </c>
      <c r="CA15" s="915">
        <f t="shared" si="61"/>
        <v>0</v>
      </c>
      <c r="CB15" s="915">
        <f t="shared" si="62"/>
        <v>0</v>
      </c>
      <c r="CC15" s="915">
        <f t="shared" si="63"/>
        <v>0</v>
      </c>
      <c r="CD15" s="915">
        <f t="shared" si="64"/>
        <v>0</v>
      </c>
      <c r="CF15" s="533"/>
      <c r="CI15" s="534"/>
    </row>
    <row r="16" spans="1:87" ht="14.1" customHeight="1" x14ac:dyDescent="0.2">
      <c r="A16" s="496">
        <v>9</v>
      </c>
      <c r="B16" s="1419"/>
      <c r="C16" s="1433"/>
      <c r="D16" s="264">
        <v>3</v>
      </c>
      <c r="E16" s="264" t="s">
        <v>170</v>
      </c>
      <c r="F16" s="270" t="s">
        <v>2544</v>
      </c>
      <c r="G16" s="270" t="s">
        <v>2542</v>
      </c>
      <c r="H16" s="272">
        <v>8</v>
      </c>
      <c r="I16" s="268">
        <f t="shared" si="3"/>
        <v>0.48</v>
      </c>
      <c r="J16" s="269">
        <f t="shared" si="4"/>
        <v>8.48</v>
      </c>
      <c r="K16" s="51"/>
      <c r="N16" s="942">
        <f>AE6</f>
        <v>8.48</v>
      </c>
      <c r="O16" s="879" t="str">
        <f>"Other for " &amp; TabName3</f>
        <v>Other for Phase 3</v>
      </c>
      <c r="P16" s="949" t="s">
        <v>139</v>
      </c>
      <c r="R16" s="915">
        <f>INDEX(ValidateTable,9)</f>
        <v>9</v>
      </c>
      <c r="W16" s="915">
        <f t="shared" si="5"/>
        <v>0</v>
      </c>
      <c r="X16" s="915">
        <f t="shared" si="6"/>
        <v>0</v>
      </c>
      <c r="Y16" s="915">
        <f t="shared" si="7"/>
        <v>0</v>
      </c>
      <c r="Z16" s="915">
        <f t="shared" si="8"/>
        <v>0</v>
      </c>
      <c r="AA16" s="915">
        <f t="shared" si="9"/>
        <v>0</v>
      </c>
      <c r="AB16" s="915">
        <f t="shared" si="10"/>
        <v>0</v>
      </c>
      <c r="AC16" s="915">
        <f t="shared" si="11"/>
        <v>0</v>
      </c>
      <c r="AD16" s="915">
        <f t="shared" si="12"/>
        <v>0</v>
      </c>
      <c r="AE16" s="915">
        <f t="shared" si="13"/>
        <v>8.48</v>
      </c>
      <c r="AF16" s="915">
        <f t="shared" si="14"/>
        <v>0</v>
      </c>
      <c r="AG16" s="915">
        <f t="shared" si="15"/>
        <v>0</v>
      </c>
      <c r="AH16" s="915">
        <f t="shared" si="16"/>
        <v>0</v>
      </c>
      <c r="AI16" s="915">
        <f t="shared" si="17"/>
        <v>0</v>
      </c>
      <c r="AJ16" s="915">
        <f t="shared" si="18"/>
        <v>0</v>
      </c>
      <c r="AK16" s="915">
        <f t="shared" si="19"/>
        <v>0</v>
      </c>
      <c r="AL16" s="915">
        <f t="shared" si="20"/>
        <v>0</v>
      </c>
      <c r="AM16" s="915">
        <f t="shared" si="21"/>
        <v>0</v>
      </c>
      <c r="AN16" s="915">
        <f t="shared" si="22"/>
        <v>0</v>
      </c>
      <c r="AO16" s="915">
        <f t="shared" si="23"/>
        <v>0</v>
      </c>
      <c r="AP16" s="915">
        <f t="shared" si="24"/>
        <v>0</v>
      </c>
      <c r="AQ16" s="915">
        <f t="shared" si="25"/>
        <v>0</v>
      </c>
      <c r="AR16" s="915">
        <f t="shared" si="26"/>
        <v>0</v>
      </c>
      <c r="AS16" s="915">
        <f t="shared" si="27"/>
        <v>0</v>
      </c>
      <c r="AT16" s="915">
        <f t="shared" si="28"/>
        <v>0</v>
      </c>
      <c r="AU16" s="915">
        <f t="shared" si="29"/>
        <v>0</v>
      </c>
      <c r="AV16" s="915">
        <f t="shared" si="30"/>
        <v>0</v>
      </c>
      <c r="AW16" s="915">
        <f t="shared" si="31"/>
        <v>0</v>
      </c>
      <c r="AX16" s="915">
        <f t="shared" si="32"/>
        <v>0</v>
      </c>
      <c r="AY16" s="915">
        <f t="shared" si="33"/>
        <v>0</v>
      </c>
      <c r="AZ16" s="915">
        <f t="shared" si="34"/>
        <v>0</v>
      </c>
      <c r="BA16" s="915">
        <f t="shared" si="35"/>
        <v>0</v>
      </c>
      <c r="BB16" s="915">
        <f t="shared" si="36"/>
        <v>0</v>
      </c>
      <c r="BC16" s="915">
        <f t="shared" si="37"/>
        <v>0</v>
      </c>
      <c r="BD16" s="915">
        <f t="shared" si="38"/>
        <v>0</v>
      </c>
      <c r="BE16" s="915">
        <f t="shared" si="39"/>
        <v>0</v>
      </c>
      <c r="BF16" s="915">
        <f t="shared" si="40"/>
        <v>0</v>
      </c>
      <c r="BG16" s="915">
        <f t="shared" si="41"/>
        <v>0</v>
      </c>
      <c r="BH16" s="915">
        <f t="shared" si="42"/>
        <v>0</v>
      </c>
      <c r="BI16" s="915">
        <f t="shared" si="43"/>
        <v>0</v>
      </c>
      <c r="BJ16" s="915">
        <f t="shared" si="44"/>
        <v>0</v>
      </c>
      <c r="BK16" s="915">
        <f t="shared" si="45"/>
        <v>0</v>
      </c>
      <c r="BL16" s="915">
        <f t="shared" si="46"/>
        <v>0</v>
      </c>
      <c r="BM16" s="915">
        <f t="shared" si="47"/>
        <v>0</v>
      </c>
      <c r="BN16" s="915">
        <f t="shared" si="48"/>
        <v>0</v>
      </c>
      <c r="BO16" s="915">
        <f t="shared" si="49"/>
        <v>0</v>
      </c>
      <c r="BP16" s="915">
        <f t="shared" si="50"/>
        <v>0</v>
      </c>
      <c r="BQ16" s="915">
        <f t="shared" si="51"/>
        <v>0</v>
      </c>
      <c r="BR16" s="915">
        <f t="shared" si="52"/>
        <v>0</v>
      </c>
      <c r="BS16" s="915">
        <f t="shared" si="53"/>
        <v>0</v>
      </c>
      <c r="BT16" s="915">
        <f t="shared" si="54"/>
        <v>0</v>
      </c>
      <c r="BU16" s="915">
        <f t="shared" si="55"/>
        <v>0</v>
      </c>
      <c r="BV16" s="915">
        <f t="shared" si="56"/>
        <v>0</v>
      </c>
      <c r="BW16" s="915">
        <f t="shared" si="57"/>
        <v>0</v>
      </c>
      <c r="BX16" s="915">
        <f t="shared" si="58"/>
        <v>0</v>
      </c>
      <c r="BY16" s="915">
        <f t="shared" si="59"/>
        <v>0</v>
      </c>
      <c r="BZ16" s="915">
        <f t="shared" si="60"/>
        <v>0</v>
      </c>
      <c r="CA16" s="915">
        <f t="shared" si="61"/>
        <v>0</v>
      </c>
      <c r="CB16" s="915">
        <f t="shared" si="62"/>
        <v>0</v>
      </c>
      <c r="CC16" s="915">
        <f t="shared" si="63"/>
        <v>0</v>
      </c>
      <c r="CD16" s="915">
        <f t="shared" si="64"/>
        <v>0</v>
      </c>
      <c r="CF16" s="533"/>
      <c r="CI16" s="534"/>
    </row>
    <row r="17" spans="1:87" ht="14.1" customHeight="1" x14ac:dyDescent="0.2">
      <c r="A17" s="497">
        <v>10</v>
      </c>
      <c r="B17" s="1423"/>
      <c r="C17" s="1424"/>
      <c r="D17" s="138">
        <v>4</v>
      </c>
      <c r="E17" s="138" t="s">
        <v>26</v>
      </c>
      <c r="F17" s="139" t="s">
        <v>2544</v>
      </c>
      <c r="G17" s="139" t="s">
        <v>2542</v>
      </c>
      <c r="H17" s="100">
        <v>8</v>
      </c>
      <c r="I17" s="119">
        <f t="shared" si="3"/>
        <v>0.48</v>
      </c>
      <c r="J17" s="90">
        <f t="shared" si="4"/>
        <v>8.48</v>
      </c>
      <c r="K17" s="51"/>
      <c r="N17" s="942">
        <f>AF6</f>
        <v>8.48</v>
      </c>
      <c r="O17" s="915" t="str">
        <f>"Rented Equipment for "&amp;TabName4</f>
        <v>Rented Equipment for Phase 4</v>
      </c>
      <c r="P17" s="949" t="s">
        <v>140</v>
      </c>
      <c r="R17" s="915">
        <f>INDEX(ValidateTable,10)</f>
        <v>10</v>
      </c>
      <c r="W17" s="915">
        <f t="shared" si="5"/>
        <v>0</v>
      </c>
      <c r="X17" s="915">
        <f t="shared" si="6"/>
        <v>0</v>
      </c>
      <c r="Y17" s="915">
        <f t="shared" si="7"/>
        <v>0</v>
      </c>
      <c r="Z17" s="915">
        <f t="shared" si="8"/>
        <v>0</v>
      </c>
      <c r="AA17" s="915">
        <f t="shared" si="9"/>
        <v>0</v>
      </c>
      <c r="AB17" s="915">
        <f t="shared" si="10"/>
        <v>0</v>
      </c>
      <c r="AC17" s="915">
        <f t="shared" si="11"/>
        <v>0</v>
      </c>
      <c r="AD17" s="915">
        <f t="shared" si="12"/>
        <v>0</v>
      </c>
      <c r="AE17" s="915">
        <f t="shared" si="13"/>
        <v>0</v>
      </c>
      <c r="AF17" s="915">
        <f t="shared" si="14"/>
        <v>8.48</v>
      </c>
      <c r="AG17" s="915">
        <f t="shared" si="15"/>
        <v>0</v>
      </c>
      <c r="AH17" s="915">
        <f t="shared" si="16"/>
        <v>0</v>
      </c>
      <c r="AI17" s="915">
        <f t="shared" si="17"/>
        <v>0</v>
      </c>
      <c r="AJ17" s="915">
        <f t="shared" si="18"/>
        <v>0</v>
      </c>
      <c r="AK17" s="915">
        <f t="shared" si="19"/>
        <v>0</v>
      </c>
      <c r="AL17" s="915">
        <f t="shared" si="20"/>
        <v>0</v>
      </c>
      <c r="AM17" s="915">
        <f t="shared" si="21"/>
        <v>0</v>
      </c>
      <c r="AN17" s="915">
        <f t="shared" si="22"/>
        <v>0</v>
      </c>
      <c r="AO17" s="915">
        <f t="shared" si="23"/>
        <v>0</v>
      </c>
      <c r="AP17" s="915">
        <f t="shared" si="24"/>
        <v>0</v>
      </c>
      <c r="AQ17" s="915">
        <f t="shared" si="25"/>
        <v>0</v>
      </c>
      <c r="AR17" s="915">
        <f t="shared" si="26"/>
        <v>0</v>
      </c>
      <c r="AS17" s="915">
        <f t="shared" si="27"/>
        <v>0</v>
      </c>
      <c r="AT17" s="915">
        <f t="shared" si="28"/>
        <v>0</v>
      </c>
      <c r="AU17" s="915">
        <f t="shared" si="29"/>
        <v>0</v>
      </c>
      <c r="AV17" s="915">
        <f t="shared" si="30"/>
        <v>0</v>
      </c>
      <c r="AW17" s="915">
        <f t="shared" si="31"/>
        <v>0</v>
      </c>
      <c r="AX17" s="915">
        <f t="shared" si="32"/>
        <v>0</v>
      </c>
      <c r="AY17" s="915">
        <f t="shared" si="33"/>
        <v>0</v>
      </c>
      <c r="AZ17" s="915">
        <f t="shared" si="34"/>
        <v>0</v>
      </c>
      <c r="BA17" s="915">
        <f t="shared" si="35"/>
        <v>0</v>
      </c>
      <c r="BB17" s="915">
        <f t="shared" si="36"/>
        <v>0</v>
      </c>
      <c r="BC17" s="915">
        <f t="shared" si="37"/>
        <v>0</v>
      </c>
      <c r="BD17" s="915">
        <f t="shared" si="38"/>
        <v>0</v>
      </c>
      <c r="BE17" s="915">
        <f t="shared" si="39"/>
        <v>0</v>
      </c>
      <c r="BF17" s="915">
        <f t="shared" si="40"/>
        <v>0</v>
      </c>
      <c r="BG17" s="915">
        <f t="shared" si="41"/>
        <v>0</v>
      </c>
      <c r="BH17" s="915">
        <f t="shared" si="42"/>
        <v>0</v>
      </c>
      <c r="BI17" s="915">
        <f t="shared" si="43"/>
        <v>0</v>
      </c>
      <c r="BJ17" s="915">
        <f t="shared" si="44"/>
        <v>0</v>
      </c>
      <c r="BK17" s="915">
        <f t="shared" si="45"/>
        <v>0</v>
      </c>
      <c r="BL17" s="915">
        <f t="shared" si="46"/>
        <v>0</v>
      </c>
      <c r="BM17" s="915">
        <f t="shared" si="47"/>
        <v>0</v>
      </c>
      <c r="BN17" s="915">
        <f t="shared" si="48"/>
        <v>0</v>
      </c>
      <c r="BO17" s="915">
        <f t="shared" si="49"/>
        <v>0</v>
      </c>
      <c r="BP17" s="915">
        <f t="shared" si="50"/>
        <v>0</v>
      </c>
      <c r="BQ17" s="915">
        <f t="shared" si="51"/>
        <v>0</v>
      </c>
      <c r="BR17" s="915">
        <f t="shared" si="52"/>
        <v>0</v>
      </c>
      <c r="BS17" s="915">
        <f t="shared" si="53"/>
        <v>0</v>
      </c>
      <c r="BT17" s="915">
        <f t="shared" si="54"/>
        <v>0</v>
      </c>
      <c r="BU17" s="915">
        <f t="shared" si="55"/>
        <v>0</v>
      </c>
      <c r="BV17" s="915">
        <f t="shared" si="56"/>
        <v>0</v>
      </c>
      <c r="BW17" s="915">
        <f t="shared" si="57"/>
        <v>0</v>
      </c>
      <c r="BX17" s="915">
        <f t="shared" si="58"/>
        <v>0</v>
      </c>
      <c r="BY17" s="915">
        <f t="shared" si="59"/>
        <v>0</v>
      </c>
      <c r="BZ17" s="915">
        <f t="shared" si="60"/>
        <v>0</v>
      </c>
      <c r="CA17" s="915">
        <f t="shared" si="61"/>
        <v>0</v>
      </c>
      <c r="CB17" s="915">
        <f t="shared" si="62"/>
        <v>0</v>
      </c>
      <c r="CC17" s="915">
        <f t="shared" si="63"/>
        <v>0</v>
      </c>
      <c r="CD17" s="915">
        <f t="shared" si="64"/>
        <v>0</v>
      </c>
      <c r="CF17" s="533"/>
      <c r="CI17" s="534"/>
    </row>
    <row r="18" spans="1:87" ht="14.1" customHeight="1" x14ac:dyDescent="0.2">
      <c r="A18" s="496">
        <v>11</v>
      </c>
      <c r="B18" s="1419"/>
      <c r="C18" s="1433"/>
      <c r="D18" s="264">
        <v>4</v>
      </c>
      <c r="E18" s="264" t="s">
        <v>30</v>
      </c>
      <c r="F18" s="270" t="s">
        <v>2544</v>
      </c>
      <c r="G18" s="270" t="s">
        <v>2542</v>
      </c>
      <c r="H18" s="272">
        <v>8</v>
      </c>
      <c r="I18" s="268">
        <f t="shared" si="3"/>
        <v>0.48</v>
      </c>
      <c r="J18" s="269">
        <f t="shared" si="4"/>
        <v>8.48</v>
      </c>
      <c r="K18" s="51"/>
      <c r="N18" s="942">
        <f>AG6</f>
        <v>8.48</v>
      </c>
      <c r="O18" s="879" t="str">
        <f>"Purchased Supplies for " &amp; TabName4</f>
        <v>Purchased Supplies for Phase 4</v>
      </c>
      <c r="P18" s="950" t="s">
        <v>141</v>
      </c>
      <c r="R18" s="879">
        <f>INDEX(ValidateTable,11)</f>
        <v>11</v>
      </c>
      <c r="W18" s="915">
        <f t="shared" si="5"/>
        <v>0</v>
      </c>
      <c r="X18" s="915">
        <f t="shared" si="6"/>
        <v>0</v>
      </c>
      <c r="Y18" s="915">
        <f t="shared" si="7"/>
        <v>0</v>
      </c>
      <c r="Z18" s="915">
        <f t="shared" si="8"/>
        <v>0</v>
      </c>
      <c r="AA18" s="915">
        <f t="shared" si="9"/>
        <v>0</v>
      </c>
      <c r="AB18" s="915">
        <f t="shared" si="10"/>
        <v>0</v>
      </c>
      <c r="AC18" s="915">
        <f t="shared" si="11"/>
        <v>0</v>
      </c>
      <c r="AD18" s="915">
        <f t="shared" si="12"/>
        <v>0</v>
      </c>
      <c r="AE18" s="915">
        <f t="shared" si="13"/>
        <v>0</v>
      </c>
      <c r="AF18" s="915">
        <f t="shared" si="14"/>
        <v>0</v>
      </c>
      <c r="AG18" s="915">
        <f t="shared" si="15"/>
        <v>8.48</v>
      </c>
      <c r="AH18" s="915">
        <f t="shared" si="16"/>
        <v>0</v>
      </c>
      <c r="AI18" s="915">
        <f t="shared" si="17"/>
        <v>0</v>
      </c>
      <c r="AJ18" s="915">
        <f t="shared" si="18"/>
        <v>0</v>
      </c>
      <c r="AK18" s="915">
        <f t="shared" si="19"/>
        <v>0</v>
      </c>
      <c r="AL18" s="915">
        <f t="shared" si="20"/>
        <v>0</v>
      </c>
      <c r="AM18" s="915">
        <f t="shared" si="21"/>
        <v>0</v>
      </c>
      <c r="AN18" s="915">
        <f t="shared" si="22"/>
        <v>0</v>
      </c>
      <c r="AO18" s="915">
        <f t="shared" si="23"/>
        <v>0</v>
      </c>
      <c r="AP18" s="915">
        <f t="shared" si="24"/>
        <v>0</v>
      </c>
      <c r="AQ18" s="915">
        <f t="shared" si="25"/>
        <v>0</v>
      </c>
      <c r="AR18" s="915">
        <f t="shared" si="26"/>
        <v>0</v>
      </c>
      <c r="AS18" s="915">
        <f t="shared" si="27"/>
        <v>0</v>
      </c>
      <c r="AT18" s="915">
        <f t="shared" si="28"/>
        <v>0</v>
      </c>
      <c r="AU18" s="915">
        <f t="shared" si="29"/>
        <v>0</v>
      </c>
      <c r="AV18" s="915">
        <f t="shared" si="30"/>
        <v>0</v>
      </c>
      <c r="AW18" s="915">
        <f t="shared" si="31"/>
        <v>0</v>
      </c>
      <c r="AX18" s="915">
        <f t="shared" si="32"/>
        <v>0</v>
      </c>
      <c r="AY18" s="915">
        <f t="shared" si="33"/>
        <v>0</v>
      </c>
      <c r="AZ18" s="915">
        <f t="shared" si="34"/>
        <v>0</v>
      </c>
      <c r="BA18" s="915">
        <f t="shared" si="35"/>
        <v>0</v>
      </c>
      <c r="BB18" s="915">
        <f t="shared" si="36"/>
        <v>0</v>
      </c>
      <c r="BC18" s="915">
        <f t="shared" si="37"/>
        <v>0</v>
      </c>
      <c r="BD18" s="915">
        <f t="shared" si="38"/>
        <v>0</v>
      </c>
      <c r="BE18" s="915">
        <f t="shared" si="39"/>
        <v>0</v>
      </c>
      <c r="BF18" s="915">
        <f t="shared" si="40"/>
        <v>0</v>
      </c>
      <c r="BG18" s="915">
        <f t="shared" si="41"/>
        <v>0</v>
      </c>
      <c r="BH18" s="915">
        <f t="shared" si="42"/>
        <v>0</v>
      </c>
      <c r="BI18" s="915">
        <f t="shared" si="43"/>
        <v>0</v>
      </c>
      <c r="BJ18" s="915">
        <f t="shared" si="44"/>
        <v>0</v>
      </c>
      <c r="BK18" s="915">
        <f t="shared" si="45"/>
        <v>0</v>
      </c>
      <c r="BL18" s="915">
        <f t="shared" si="46"/>
        <v>0</v>
      </c>
      <c r="BM18" s="915">
        <f t="shared" si="47"/>
        <v>0</v>
      </c>
      <c r="BN18" s="915">
        <f t="shared" si="48"/>
        <v>0</v>
      </c>
      <c r="BO18" s="915">
        <f t="shared" si="49"/>
        <v>0</v>
      </c>
      <c r="BP18" s="915">
        <f t="shared" si="50"/>
        <v>0</v>
      </c>
      <c r="BQ18" s="915">
        <f t="shared" si="51"/>
        <v>0</v>
      </c>
      <c r="BR18" s="915">
        <f t="shared" si="52"/>
        <v>0</v>
      </c>
      <c r="BS18" s="915">
        <f t="shared" si="53"/>
        <v>0</v>
      </c>
      <c r="BT18" s="915">
        <f t="shared" si="54"/>
        <v>0</v>
      </c>
      <c r="BU18" s="915">
        <f t="shared" si="55"/>
        <v>0</v>
      </c>
      <c r="BV18" s="915">
        <f t="shared" si="56"/>
        <v>0</v>
      </c>
      <c r="BW18" s="915">
        <f t="shared" si="57"/>
        <v>0</v>
      </c>
      <c r="BX18" s="915">
        <f t="shared" si="58"/>
        <v>0</v>
      </c>
      <c r="BY18" s="915">
        <f t="shared" si="59"/>
        <v>0</v>
      </c>
      <c r="BZ18" s="915">
        <f t="shared" si="60"/>
        <v>0</v>
      </c>
      <c r="CA18" s="915">
        <f t="shared" si="61"/>
        <v>0</v>
      </c>
      <c r="CB18" s="915">
        <f t="shared" si="62"/>
        <v>0</v>
      </c>
      <c r="CC18" s="915">
        <f t="shared" si="63"/>
        <v>0</v>
      </c>
      <c r="CD18" s="915">
        <f t="shared" si="64"/>
        <v>0</v>
      </c>
      <c r="CF18" s="533"/>
      <c r="CI18" s="534"/>
    </row>
    <row r="19" spans="1:87" ht="14.1" customHeight="1" x14ac:dyDescent="0.2">
      <c r="A19" s="497">
        <v>12</v>
      </c>
      <c r="B19" s="1423"/>
      <c r="C19" s="1424"/>
      <c r="D19" s="138">
        <v>4</v>
      </c>
      <c r="E19" s="138" t="s">
        <v>170</v>
      </c>
      <c r="F19" s="139" t="s">
        <v>2544</v>
      </c>
      <c r="G19" s="139" t="s">
        <v>2542</v>
      </c>
      <c r="H19" s="100">
        <v>8</v>
      </c>
      <c r="I19" s="119">
        <f t="shared" si="3"/>
        <v>0.48</v>
      </c>
      <c r="J19" s="90">
        <f t="shared" si="4"/>
        <v>8.48</v>
      </c>
      <c r="K19" s="51"/>
      <c r="N19" s="942">
        <f>AH6</f>
        <v>8.48</v>
      </c>
      <c r="O19" s="879" t="str">
        <f>"Other for " &amp; TabName4</f>
        <v>Other for Phase 4</v>
      </c>
      <c r="P19" s="949" t="s">
        <v>142</v>
      </c>
      <c r="R19" s="879">
        <f>INDEX(ValidateTable,12)</f>
        <v>12</v>
      </c>
      <c r="W19" s="915">
        <f t="shared" si="5"/>
        <v>0</v>
      </c>
      <c r="X19" s="915">
        <f t="shared" si="6"/>
        <v>0</v>
      </c>
      <c r="Y19" s="915">
        <f t="shared" si="7"/>
        <v>0</v>
      </c>
      <c r="Z19" s="915">
        <f t="shared" si="8"/>
        <v>0</v>
      </c>
      <c r="AA19" s="915">
        <f t="shared" si="9"/>
        <v>0</v>
      </c>
      <c r="AB19" s="915">
        <f t="shared" si="10"/>
        <v>0</v>
      </c>
      <c r="AC19" s="915">
        <f t="shared" si="11"/>
        <v>0</v>
      </c>
      <c r="AD19" s="915">
        <f t="shared" si="12"/>
        <v>0</v>
      </c>
      <c r="AE19" s="915">
        <f t="shared" si="13"/>
        <v>0</v>
      </c>
      <c r="AF19" s="915">
        <f t="shared" si="14"/>
        <v>0</v>
      </c>
      <c r="AG19" s="915">
        <f t="shared" si="15"/>
        <v>0</v>
      </c>
      <c r="AH19" s="915">
        <f t="shared" si="16"/>
        <v>8.48</v>
      </c>
      <c r="AI19" s="915">
        <f t="shared" si="17"/>
        <v>0</v>
      </c>
      <c r="AJ19" s="915">
        <f t="shared" si="18"/>
        <v>0</v>
      </c>
      <c r="AK19" s="915">
        <f t="shared" si="19"/>
        <v>0</v>
      </c>
      <c r="AL19" s="915">
        <f t="shared" si="20"/>
        <v>0</v>
      </c>
      <c r="AM19" s="915">
        <f t="shared" si="21"/>
        <v>0</v>
      </c>
      <c r="AN19" s="915">
        <f t="shared" si="22"/>
        <v>0</v>
      </c>
      <c r="AO19" s="915">
        <f t="shared" si="23"/>
        <v>0</v>
      </c>
      <c r="AP19" s="915">
        <f t="shared" si="24"/>
        <v>0</v>
      </c>
      <c r="AQ19" s="915">
        <f t="shared" si="25"/>
        <v>0</v>
      </c>
      <c r="AR19" s="915">
        <f t="shared" si="26"/>
        <v>0</v>
      </c>
      <c r="AS19" s="915">
        <f t="shared" si="27"/>
        <v>0</v>
      </c>
      <c r="AT19" s="915">
        <f t="shared" si="28"/>
        <v>0</v>
      </c>
      <c r="AU19" s="915">
        <f t="shared" si="29"/>
        <v>0</v>
      </c>
      <c r="AV19" s="915">
        <f t="shared" si="30"/>
        <v>0</v>
      </c>
      <c r="AW19" s="915">
        <f t="shared" si="31"/>
        <v>0</v>
      </c>
      <c r="AX19" s="915">
        <f t="shared" si="32"/>
        <v>0</v>
      </c>
      <c r="AY19" s="915">
        <f t="shared" si="33"/>
        <v>0</v>
      </c>
      <c r="AZ19" s="915">
        <f t="shared" si="34"/>
        <v>0</v>
      </c>
      <c r="BA19" s="915">
        <f t="shared" si="35"/>
        <v>0</v>
      </c>
      <c r="BB19" s="915">
        <f t="shared" si="36"/>
        <v>0</v>
      </c>
      <c r="BC19" s="915">
        <f t="shared" si="37"/>
        <v>0</v>
      </c>
      <c r="BD19" s="915">
        <f t="shared" si="38"/>
        <v>0</v>
      </c>
      <c r="BE19" s="915">
        <f t="shared" si="39"/>
        <v>0</v>
      </c>
      <c r="BF19" s="915">
        <f t="shared" si="40"/>
        <v>0</v>
      </c>
      <c r="BG19" s="915">
        <f t="shared" si="41"/>
        <v>0</v>
      </c>
      <c r="BH19" s="915">
        <f t="shared" si="42"/>
        <v>0</v>
      </c>
      <c r="BI19" s="915">
        <f t="shared" si="43"/>
        <v>0</v>
      </c>
      <c r="BJ19" s="915">
        <f t="shared" si="44"/>
        <v>0</v>
      </c>
      <c r="BK19" s="915">
        <f t="shared" si="45"/>
        <v>0</v>
      </c>
      <c r="BL19" s="915">
        <f t="shared" si="46"/>
        <v>0</v>
      </c>
      <c r="BM19" s="915">
        <f t="shared" si="47"/>
        <v>0</v>
      </c>
      <c r="BN19" s="915">
        <f t="shared" si="48"/>
        <v>0</v>
      </c>
      <c r="BO19" s="915">
        <f t="shared" si="49"/>
        <v>0</v>
      </c>
      <c r="BP19" s="915">
        <f t="shared" si="50"/>
        <v>0</v>
      </c>
      <c r="BQ19" s="915">
        <f t="shared" si="51"/>
        <v>0</v>
      </c>
      <c r="BR19" s="915">
        <f t="shared" si="52"/>
        <v>0</v>
      </c>
      <c r="BS19" s="915">
        <f t="shared" si="53"/>
        <v>0</v>
      </c>
      <c r="BT19" s="915">
        <f t="shared" si="54"/>
        <v>0</v>
      </c>
      <c r="BU19" s="915">
        <f t="shared" si="55"/>
        <v>0</v>
      </c>
      <c r="BV19" s="915">
        <f t="shared" si="56"/>
        <v>0</v>
      </c>
      <c r="BW19" s="915">
        <f t="shared" si="57"/>
        <v>0</v>
      </c>
      <c r="BX19" s="915">
        <f t="shared" si="58"/>
        <v>0</v>
      </c>
      <c r="BY19" s="915">
        <f t="shared" si="59"/>
        <v>0</v>
      </c>
      <c r="BZ19" s="915">
        <f t="shared" si="60"/>
        <v>0</v>
      </c>
      <c r="CA19" s="915">
        <f t="shared" si="61"/>
        <v>0</v>
      </c>
      <c r="CB19" s="915">
        <f t="shared" si="62"/>
        <v>0</v>
      </c>
      <c r="CC19" s="915">
        <f t="shared" si="63"/>
        <v>0</v>
      </c>
      <c r="CD19" s="915">
        <f t="shared" si="64"/>
        <v>0</v>
      </c>
      <c r="CF19" s="533"/>
      <c r="CI19" s="534"/>
    </row>
    <row r="20" spans="1:87" ht="14.1" customHeight="1" x14ac:dyDescent="0.2">
      <c r="A20" s="496">
        <v>13</v>
      </c>
      <c r="B20" s="1419"/>
      <c r="C20" s="1433"/>
      <c r="D20" s="264">
        <v>5</v>
      </c>
      <c r="E20" s="264" t="s">
        <v>26</v>
      </c>
      <c r="F20" s="270" t="s">
        <v>2544</v>
      </c>
      <c r="G20" s="270" t="s">
        <v>2542</v>
      </c>
      <c r="H20" s="272">
        <v>8</v>
      </c>
      <c r="I20" s="268">
        <f t="shared" si="3"/>
        <v>0.48</v>
      </c>
      <c r="J20" s="269">
        <f t="shared" si="4"/>
        <v>8.48</v>
      </c>
      <c r="K20" s="51"/>
      <c r="N20" s="942">
        <f>AI6</f>
        <v>8.48</v>
      </c>
      <c r="O20" s="915" t="str">
        <f>"Rented Equipment for "&amp;TabName5</f>
        <v>Rented Equipment for Phase 5</v>
      </c>
      <c r="P20" s="949" t="s">
        <v>143</v>
      </c>
      <c r="R20" s="879">
        <f>INDEX(ValidateTable,13)</f>
        <v>13</v>
      </c>
      <c r="W20" s="915">
        <f t="shared" si="5"/>
        <v>0</v>
      </c>
      <c r="X20" s="915">
        <f t="shared" si="6"/>
        <v>0</v>
      </c>
      <c r="Y20" s="915">
        <f t="shared" si="7"/>
        <v>0</v>
      </c>
      <c r="Z20" s="915">
        <f t="shared" si="8"/>
        <v>0</v>
      </c>
      <c r="AA20" s="915">
        <f t="shared" si="9"/>
        <v>0</v>
      </c>
      <c r="AB20" s="915">
        <f t="shared" si="10"/>
        <v>0</v>
      </c>
      <c r="AC20" s="915">
        <f t="shared" si="11"/>
        <v>0</v>
      </c>
      <c r="AD20" s="915">
        <f t="shared" si="12"/>
        <v>0</v>
      </c>
      <c r="AE20" s="915">
        <f t="shared" si="13"/>
        <v>0</v>
      </c>
      <c r="AF20" s="915">
        <f t="shared" si="14"/>
        <v>0</v>
      </c>
      <c r="AG20" s="915">
        <f t="shared" si="15"/>
        <v>0</v>
      </c>
      <c r="AH20" s="915">
        <f t="shared" si="16"/>
        <v>0</v>
      </c>
      <c r="AI20" s="915">
        <f t="shared" si="17"/>
        <v>8.48</v>
      </c>
      <c r="AJ20" s="915">
        <f t="shared" si="18"/>
        <v>0</v>
      </c>
      <c r="AK20" s="915">
        <f t="shared" si="19"/>
        <v>0</v>
      </c>
      <c r="AL20" s="915">
        <f t="shared" si="20"/>
        <v>0</v>
      </c>
      <c r="AM20" s="915">
        <f t="shared" si="21"/>
        <v>0</v>
      </c>
      <c r="AN20" s="915">
        <f t="shared" si="22"/>
        <v>0</v>
      </c>
      <c r="AO20" s="915">
        <f t="shared" si="23"/>
        <v>0</v>
      </c>
      <c r="AP20" s="915">
        <f t="shared" si="24"/>
        <v>0</v>
      </c>
      <c r="AQ20" s="915">
        <f t="shared" si="25"/>
        <v>0</v>
      </c>
      <c r="AR20" s="915">
        <f t="shared" si="26"/>
        <v>0</v>
      </c>
      <c r="AS20" s="915">
        <f t="shared" si="27"/>
        <v>0</v>
      </c>
      <c r="AT20" s="915">
        <f t="shared" si="28"/>
        <v>0</v>
      </c>
      <c r="AU20" s="915">
        <f t="shared" si="29"/>
        <v>0</v>
      </c>
      <c r="AV20" s="915">
        <f t="shared" si="30"/>
        <v>0</v>
      </c>
      <c r="AW20" s="915">
        <f t="shared" si="31"/>
        <v>0</v>
      </c>
      <c r="AX20" s="915">
        <f t="shared" si="32"/>
        <v>0</v>
      </c>
      <c r="AY20" s="915">
        <f t="shared" si="33"/>
        <v>0</v>
      </c>
      <c r="AZ20" s="915">
        <f t="shared" si="34"/>
        <v>0</v>
      </c>
      <c r="BA20" s="915">
        <f t="shared" si="35"/>
        <v>0</v>
      </c>
      <c r="BB20" s="915">
        <f t="shared" si="36"/>
        <v>0</v>
      </c>
      <c r="BC20" s="915">
        <f t="shared" si="37"/>
        <v>0</v>
      </c>
      <c r="BD20" s="915">
        <f t="shared" si="38"/>
        <v>0</v>
      </c>
      <c r="BE20" s="915">
        <f t="shared" si="39"/>
        <v>0</v>
      </c>
      <c r="BF20" s="915">
        <f t="shared" si="40"/>
        <v>0</v>
      </c>
      <c r="BG20" s="915">
        <f t="shared" si="41"/>
        <v>0</v>
      </c>
      <c r="BH20" s="915">
        <f t="shared" si="42"/>
        <v>0</v>
      </c>
      <c r="BI20" s="915">
        <f t="shared" si="43"/>
        <v>0</v>
      </c>
      <c r="BJ20" s="915">
        <f t="shared" si="44"/>
        <v>0</v>
      </c>
      <c r="BK20" s="915">
        <f t="shared" si="45"/>
        <v>0</v>
      </c>
      <c r="BL20" s="915">
        <f t="shared" si="46"/>
        <v>0</v>
      </c>
      <c r="BM20" s="915">
        <f t="shared" si="47"/>
        <v>0</v>
      </c>
      <c r="BN20" s="915">
        <f t="shared" si="48"/>
        <v>0</v>
      </c>
      <c r="BO20" s="915">
        <f t="shared" si="49"/>
        <v>0</v>
      </c>
      <c r="BP20" s="915">
        <f t="shared" si="50"/>
        <v>0</v>
      </c>
      <c r="BQ20" s="915">
        <f t="shared" si="51"/>
        <v>0</v>
      </c>
      <c r="BR20" s="915">
        <f t="shared" si="52"/>
        <v>0</v>
      </c>
      <c r="BS20" s="915">
        <f t="shared" si="53"/>
        <v>0</v>
      </c>
      <c r="BT20" s="915">
        <f t="shared" si="54"/>
        <v>0</v>
      </c>
      <c r="BU20" s="915">
        <f t="shared" si="55"/>
        <v>0</v>
      </c>
      <c r="BV20" s="915">
        <f t="shared" si="56"/>
        <v>0</v>
      </c>
      <c r="BW20" s="915">
        <f t="shared" si="57"/>
        <v>0</v>
      </c>
      <c r="BX20" s="915">
        <f t="shared" si="58"/>
        <v>0</v>
      </c>
      <c r="BY20" s="915">
        <f t="shared" si="59"/>
        <v>0</v>
      </c>
      <c r="BZ20" s="915">
        <f t="shared" si="60"/>
        <v>0</v>
      </c>
      <c r="CA20" s="915">
        <f t="shared" si="61"/>
        <v>0</v>
      </c>
      <c r="CB20" s="915">
        <f t="shared" si="62"/>
        <v>0</v>
      </c>
      <c r="CC20" s="915">
        <f t="shared" si="63"/>
        <v>0</v>
      </c>
      <c r="CD20" s="915">
        <f t="shared" si="64"/>
        <v>0</v>
      </c>
      <c r="CF20" s="533"/>
      <c r="CI20" s="534"/>
    </row>
    <row r="21" spans="1:87" ht="14.1" customHeight="1" x14ac:dyDescent="0.2">
      <c r="A21" s="497">
        <v>14</v>
      </c>
      <c r="B21" s="1423"/>
      <c r="C21" s="1424"/>
      <c r="D21" s="138">
        <v>5</v>
      </c>
      <c r="E21" s="138" t="s">
        <v>30</v>
      </c>
      <c r="F21" s="139" t="s">
        <v>2544</v>
      </c>
      <c r="G21" s="139" t="s">
        <v>2542</v>
      </c>
      <c r="H21" s="100">
        <v>8</v>
      </c>
      <c r="I21" s="119">
        <f t="shared" si="3"/>
        <v>0.48</v>
      </c>
      <c r="J21" s="90">
        <f t="shared" si="4"/>
        <v>8.48</v>
      </c>
      <c r="K21" s="51"/>
      <c r="N21" s="942">
        <f>AJ6</f>
        <v>8.48</v>
      </c>
      <c r="O21" s="879" t="str">
        <f>"Purchased Supplies for " &amp; TabName5</f>
        <v>Purchased Supplies for Phase 5</v>
      </c>
      <c r="P21" s="950" t="s">
        <v>144</v>
      </c>
      <c r="R21" s="879">
        <f>INDEX(ValidateTable,14)</f>
        <v>14</v>
      </c>
      <c r="W21" s="915">
        <f t="shared" si="5"/>
        <v>0</v>
      </c>
      <c r="X21" s="915">
        <f t="shared" si="6"/>
        <v>0</v>
      </c>
      <c r="Y21" s="915">
        <f t="shared" si="7"/>
        <v>0</v>
      </c>
      <c r="Z21" s="915">
        <f t="shared" si="8"/>
        <v>0</v>
      </c>
      <c r="AA21" s="915">
        <f t="shared" si="9"/>
        <v>0</v>
      </c>
      <c r="AB21" s="915">
        <f t="shared" si="10"/>
        <v>0</v>
      </c>
      <c r="AC21" s="915">
        <f t="shared" si="11"/>
        <v>0</v>
      </c>
      <c r="AD21" s="915">
        <f t="shared" si="12"/>
        <v>0</v>
      </c>
      <c r="AE21" s="915">
        <f t="shared" si="13"/>
        <v>0</v>
      </c>
      <c r="AF21" s="915">
        <f t="shared" si="14"/>
        <v>0</v>
      </c>
      <c r="AG21" s="915">
        <f t="shared" si="15"/>
        <v>0</v>
      </c>
      <c r="AH21" s="915">
        <f t="shared" si="16"/>
        <v>0</v>
      </c>
      <c r="AI21" s="915">
        <f t="shared" si="17"/>
        <v>0</v>
      </c>
      <c r="AJ21" s="915">
        <f t="shared" si="18"/>
        <v>8.48</v>
      </c>
      <c r="AK21" s="915">
        <f t="shared" si="19"/>
        <v>0</v>
      </c>
      <c r="AL21" s="915">
        <f t="shared" si="20"/>
        <v>0</v>
      </c>
      <c r="AM21" s="915">
        <f t="shared" si="21"/>
        <v>0</v>
      </c>
      <c r="AN21" s="915">
        <f t="shared" si="22"/>
        <v>0</v>
      </c>
      <c r="AO21" s="915">
        <f t="shared" si="23"/>
        <v>0</v>
      </c>
      <c r="AP21" s="915">
        <f t="shared" si="24"/>
        <v>0</v>
      </c>
      <c r="AQ21" s="915">
        <f t="shared" si="25"/>
        <v>0</v>
      </c>
      <c r="AR21" s="915">
        <f t="shared" si="26"/>
        <v>0</v>
      </c>
      <c r="AS21" s="915">
        <f t="shared" si="27"/>
        <v>0</v>
      </c>
      <c r="AT21" s="915">
        <f t="shared" si="28"/>
        <v>0</v>
      </c>
      <c r="AU21" s="915">
        <f t="shared" si="29"/>
        <v>0</v>
      </c>
      <c r="AV21" s="915">
        <f t="shared" si="30"/>
        <v>0</v>
      </c>
      <c r="AW21" s="915">
        <f t="shared" si="31"/>
        <v>0</v>
      </c>
      <c r="AX21" s="915">
        <f t="shared" si="32"/>
        <v>0</v>
      </c>
      <c r="AY21" s="915">
        <f t="shared" si="33"/>
        <v>0</v>
      </c>
      <c r="AZ21" s="915">
        <f t="shared" si="34"/>
        <v>0</v>
      </c>
      <c r="BA21" s="915">
        <f t="shared" si="35"/>
        <v>0</v>
      </c>
      <c r="BB21" s="915">
        <f t="shared" si="36"/>
        <v>0</v>
      </c>
      <c r="BC21" s="915">
        <f t="shared" si="37"/>
        <v>0</v>
      </c>
      <c r="BD21" s="915">
        <f t="shared" si="38"/>
        <v>0</v>
      </c>
      <c r="BE21" s="915">
        <f t="shared" si="39"/>
        <v>0</v>
      </c>
      <c r="BF21" s="915">
        <f t="shared" si="40"/>
        <v>0</v>
      </c>
      <c r="BG21" s="915">
        <f t="shared" si="41"/>
        <v>0</v>
      </c>
      <c r="BH21" s="915">
        <f t="shared" si="42"/>
        <v>0</v>
      </c>
      <c r="BI21" s="915">
        <f t="shared" si="43"/>
        <v>0</v>
      </c>
      <c r="BJ21" s="915">
        <f t="shared" si="44"/>
        <v>0</v>
      </c>
      <c r="BK21" s="915">
        <f t="shared" si="45"/>
        <v>0</v>
      </c>
      <c r="BL21" s="915">
        <f t="shared" si="46"/>
        <v>0</v>
      </c>
      <c r="BM21" s="915">
        <f t="shared" si="47"/>
        <v>0</v>
      </c>
      <c r="BN21" s="915">
        <f t="shared" si="48"/>
        <v>0</v>
      </c>
      <c r="BO21" s="915">
        <f t="shared" si="49"/>
        <v>0</v>
      </c>
      <c r="BP21" s="915">
        <f t="shared" si="50"/>
        <v>0</v>
      </c>
      <c r="BQ21" s="915">
        <f t="shared" si="51"/>
        <v>0</v>
      </c>
      <c r="BR21" s="915">
        <f t="shared" si="52"/>
        <v>0</v>
      </c>
      <c r="BS21" s="915">
        <f t="shared" si="53"/>
        <v>0</v>
      </c>
      <c r="BT21" s="915">
        <f t="shared" si="54"/>
        <v>0</v>
      </c>
      <c r="BU21" s="915">
        <f t="shared" si="55"/>
        <v>0</v>
      </c>
      <c r="BV21" s="915">
        <f t="shared" si="56"/>
        <v>0</v>
      </c>
      <c r="BW21" s="915">
        <f t="shared" si="57"/>
        <v>0</v>
      </c>
      <c r="BX21" s="915">
        <f t="shared" si="58"/>
        <v>0</v>
      </c>
      <c r="BY21" s="915">
        <f t="shared" si="59"/>
        <v>0</v>
      </c>
      <c r="BZ21" s="915">
        <f t="shared" si="60"/>
        <v>0</v>
      </c>
      <c r="CA21" s="915">
        <f t="shared" si="61"/>
        <v>0</v>
      </c>
      <c r="CB21" s="915">
        <f t="shared" si="62"/>
        <v>0</v>
      </c>
      <c r="CC21" s="915">
        <f t="shared" si="63"/>
        <v>0</v>
      </c>
      <c r="CD21" s="915">
        <f t="shared" si="64"/>
        <v>0</v>
      </c>
      <c r="CF21" s="533"/>
      <c r="CI21" s="534"/>
    </row>
    <row r="22" spans="1:87" ht="14.1" customHeight="1" x14ac:dyDescent="0.2">
      <c r="A22" s="496">
        <v>15</v>
      </c>
      <c r="B22" s="1419"/>
      <c r="C22" s="1420"/>
      <c r="D22" s="264">
        <v>5</v>
      </c>
      <c r="E22" s="264" t="s">
        <v>170</v>
      </c>
      <c r="F22" s="270" t="s">
        <v>2544</v>
      </c>
      <c r="G22" s="270" t="s">
        <v>2542</v>
      </c>
      <c r="H22" s="272">
        <v>8</v>
      </c>
      <c r="I22" s="268">
        <f t="shared" si="3"/>
        <v>0.48</v>
      </c>
      <c r="J22" s="269">
        <f t="shared" si="4"/>
        <v>8.48</v>
      </c>
      <c r="K22" s="51"/>
      <c r="N22" s="942">
        <f>AK6</f>
        <v>8.48</v>
      </c>
      <c r="O22" s="879" t="str">
        <f>"Other for " &amp; TabName5</f>
        <v>Other for Phase 5</v>
      </c>
      <c r="P22" s="949" t="s">
        <v>145</v>
      </c>
      <c r="R22" s="879">
        <f>INDEX(ValidateTable,15)</f>
        <v>15</v>
      </c>
      <c r="W22" s="915">
        <f t="shared" si="5"/>
        <v>0</v>
      </c>
      <c r="X22" s="915">
        <f t="shared" si="6"/>
        <v>0</v>
      </c>
      <c r="Y22" s="915">
        <f t="shared" si="7"/>
        <v>0</v>
      </c>
      <c r="Z22" s="915">
        <f t="shared" si="8"/>
        <v>0</v>
      </c>
      <c r="AA22" s="915">
        <f t="shared" si="9"/>
        <v>0</v>
      </c>
      <c r="AB22" s="915">
        <f t="shared" si="10"/>
        <v>0</v>
      </c>
      <c r="AC22" s="915">
        <f t="shared" si="11"/>
        <v>0</v>
      </c>
      <c r="AD22" s="915">
        <f t="shared" si="12"/>
        <v>0</v>
      </c>
      <c r="AE22" s="915">
        <f t="shared" si="13"/>
        <v>0</v>
      </c>
      <c r="AF22" s="915">
        <f t="shared" si="14"/>
        <v>0</v>
      </c>
      <c r="AG22" s="915">
        <f t="shared" si="15"/>
        <v>0</v>
      </c>
      <c r="AH22" s="915">
        <f t="shared" si="16"/>
        <v>0</v>
      </c>
      <c r="AI22" s="915">
        <f t="shared" si="17"/>
        <v>0</v>
      </c>
      <c r="AJ22" s="915">
        <f t="shared" si="18"/>
        <v>0</v>
      </c>
      <c r="AK22" s="915">
        <f t="shared" si="19"/>
        <v>8.48</v>
      </c>
      <c r="AL22" s="915">
        <f t="shared" si="20"/>
        <v>0</v>
      </c>
      <c r="AM22" s="915">
        <f t="shared" si="21"/>
        <v>0</v>
      </c>
      <c r="AN22" s="915">
        <f t="shared" si="22"/>
        <v>0</v>
      </c>
      <c r="AO22" s="915">
        <f t="shared" si="23"/>
        <v>0</v>
      </c>
      <c r="AP22" s="915">
        <f t="shared" si="24"/>
        <v>0</v>
      </c>
      <c r="AQ22" s="915">
        <f t="shared" si="25"/>
        <v>0</v>
      </c>
      <c r="AR22" s="915">
        <f t="shared" si="26"/>
        <v>0</v>
      </c>
      <c r="AS22" s="915">
        <f t="shared" si="27"/>
        <v>0</v>
      </c>
      <c r="AT22" s="915">
        <f t="shared" si="28"/>
        <v>0</v>
      </c>
      <c r="AU22" s="915">
        <f t="shared" si="29"/>
        <v>0</v>
      </c>
      <c r="AV22" s="915">
        <f t="shared" si="30"/>
        <v>0</v>
      </c>
      <c r="AW22" s="915">
        <f t="shared" si="31"/>
        <v>0</v>
      </c>
      <c r="AX22" s="915">
        <f t="shared" si="32"/>
        <v>0</v>
      </c>
      <c r="AY22" s="915">
        <f t="shared" si="33"/>
        <v>0</v>
      </c>
      <c r="AZ22" s="915">
        <f t="shared" si="34"/>
        <v>0</v>
      </c>
      <c r="BA22" s="915">
        <f t="shared" si="35"/>
        <v>0</v>
      </c>
      <c r="BB22" s="915">
        <f t="shared" si="36"/>
        <v>0</v>
      </c>
      <c r="BC22" s="915">
        <f t="shared" si="37"/>
        <v>0</v>
      </c>
      <c r="BD22" s="915">
        <f t="shared" si="38"/>
        <v>0</v>
      </c>
      <c r="BE22" s="915">
        <f t="shared" si="39"/>
        <v>0</v>
      </c>
      <c r="BF22" s="915">
        <f t="shared" si="40"/>
        <v>0</v>
      </c>
      <c r="BG22" s="915">
        <f t="shared" si="41"/>
        <v>0</v>
      </c>
      <c r="BH22" s="915">
        <f t="shared" si="42"/>
        <v>0</v>
      </c>
      <c r="BI22" s="915">
        <f t="shared" si="43"/>
        <v>0</v>
      </c>
      <c r="BJ22" s="915">
        <f t="shared" si="44"/>
        <v>0</v>
      </c>
      <c r="BK22" s="915">
        <f t="shared" si="45"/>
        <v>0</v>
      </c>
      <c r="BL22" s="915">
        <f t="shared" si="46"/>
        <v>0</v>
      </c>
      <c r="BM22" s="915">
        <f t="shared" si="47"/>
        <v>0</v>
      </c>
      <c r="BN22" s="915">
        <f t="shared" si="48"/>
        <v>0</v>
      </c>
      <c r="BO22" s="915">
        <f t="shared" si="49"/>
        <v>0</v>
      </c>
      <c r="BP22" s="915">
        <f t="shared" si="50"/>
        <v>0</v>
      </c>
      <c r="BQ22" s="915">
        <f t="shared" si="51"/>
        <v>0</v>
      </c>
      <c r="BR22" s="915">
        <f t="shared" si="52"/>
        <v>0</v>
      </c>
      <c r="BS22" s="915">
        <f t="shared" si="53"/>
        <v>0</v>
      </c>
      <c r="BT22" s="915">
        <f t="shared" si="54"/>
        <v>0</v>
      </c>
      <c r="BU22" s="915">
        <f t="shared" si="55"/>
        <v>0</v>
      </c>
      <c r="BV22" s="915">
        <f t="shared" si="56"/>
        <v>0</v>
      </c>
      <c r="BW22" s="915">
        <f t="shared" si="57"/>
        <v>0</v>
      </c>
      <c r="BX22" s="915">
        <f t="shared" si="58"/>
        <v>0</v>
      </c>
      <c r="BY22" s="915">
        <f t="shared" si="59"/>
        <v>0</v>
      </c>
      <c r="BZ22" s="915">
        <f t="shared" si="60"/>
        <v>0</v>
      </c>
      <c r="CA22" s="915">
        <f t="shared" si="61"/>
        <v>0</v>
      </c>
      <c r="CB22" s="915">
        <f t="shared" si="62"/>
        <v>0</v>
      </c>
      <c r="CC22" s="915">
        <f t="shared" si="63"/>
        <v>0</v>
      </c>
      <c r="CD22" s="915">
        <f t="shared" si="64"/>
        <v>0</v>
      </c>
      <c r="CF22" s="533"/>
      <c r="CI22" s="534"/>
    </row>
    <row r="23" spans="1:87" ht="14.1" customHeight="1" x14ac:dyDescent="0.2">
      <c r="A23" s="497">
        <v>16</v>
      </c>
      <c r="B23" s="1423"/>
      <c r="C23" s="1424"/>
      <c r="D23" s="138">
        <v>6</v>
      </c>
      <c r="E23" s="138" t="s">
        <v>26</v>
      </c>
      <c r="F23" s="139" t="s">
        <v>2544</v>
      </c>
      <c r="G23" s="139" t="s">
        <v>2542</v>
      </c>
      <c r="H23" s="100">
        <v>8</v>
      </c>
      <c r="I23" s="119">
        <f t="shared" si="3"/>
        <v>0.48</v>
      </c>
      <c r="J23" s="90">
        <f t="shared" si="4"/>
        <v>8.48</v>
      </c>
      <c r="K23" s="51"/>
      <c r="N23" s="942">
        <f>AL6</f>
        <v>8.48</v>
      </c>
      <c r="O23" s="915" t="str">
        <f>"Rented Equipment for "&amp;TabName6</f>
        <v>Rented Equipment for Phase 6</v>
      </c>
      <c r="P23" s="949" t="s">
        <v>146</v>
      </c>
      <c r="R23" s="879">
        <f>INDEX(ValidateTable,16)</f>
        <v>16</v>
      </c>
      <c r="W23" s="915">
        <f t="shared" si="5"/>
        <v>0</v>
      </c>
      <c r="X23" s="915">
        <f t="shared" si="6"/>
        <v>0</v>
      </c>
      <c r="Y23" s="915">
        <f t="shared" si="7"/>
        <v>0</v>
      </c>
      <c r="Z23" s="915">
        <f t="shared" si="8"/>
        <v>0</v>
      </c>
      <c r="AA23" s="915">
        <f t="shared" si="9"/>
        <v>0</v>
      </c>
      <c r="AB23" s="915">
        <f t="shared" si="10"/>
        <v>0</v>
      </c>
      <c r="AC23" s="915">
        <f t="shared" si="11"/>
        <v>0</v>
      </c>
      <c r="AD23" s="915">
        <f t="shared" si="12"/>
        <v>0</v>
      </c>
      <c r="AE23" s="915">
        <f t="shared" si="13"/>
        <v>0</v>
      </c>
      <c r="AF23" s="915">
        <f t="shared" si="14"/>
        <v>0</v>
      </c>
      <c r="AG23" s="915">
        <f t="shared" si="15"/>
        <v>0</v>
      </c>
      <c r="AH23" s="915">
        <f t="shared" si="16"/>
        <v>0</v>
      </c>
      <c r="AI23" s="915">
        <f t="shared" si="17"/>
        <v>0</v>
      </c>
      <c r="AJ23" s="915">
        <f t="shared" si="18"/>
        <v>0</v>
      </c>
      <c r="AK23" s="915">
        <f t="shared" si="19"/>
        <v>0</v>
      </c>
      <c r="AL23" s="915">
        <f t="shared" si="20"/>
        <v>8.48</v>
      </c>
      <c r="AM23" s="915">
        <f t="shared" si="21"/>
        <v>0</v>
      </c>
      <c r="AN23" s="915">
        <f t="shared" si="22"/>
        <v>0</v>
      </c>
      <c r="AO23" s="915">
        <f t="shared" si="23"/>
        <v>0</v>
      </c>
      <c r="AP23" s="915">
        <f t="shared" si="24"/>
        <v>0</v>
      </c>
      <c r="AQ23" s="915">
        <f t="shared" si="25"/>
        <v>0</v>
      </c>
      <c r="AR23" s="915">
        <f t="shared" si="26"/>
        <v>0</v>
      </c>
      <c r="AS23" s="915">
        <f t="shared" si="27"/>
        <v>0</v>
      </c>
      <c r="AT23" s="915">
        <f t="shared" si="28"/>
        <v>0</v>
      </c>
      <c r="AU23" s="915">
        <f t="shared" si="29"/>
        <v>0</v>
      </c>
      <c r="AV23" s="915">
        <f t="shared" si="30"/>
        <v>0</v>
      </c>
      <c r="AW23" s="915">
        <f t="shared" si="31"/>
        <v>0</v>
      </c>
      <c r="AX23" s="915">
        <f t="shared" si="32"/>
        <v>0</v>
      </c>
      <c r="AY23" s="915">
        <f t="shared" si="33"/>
        <v>0</v>
      </c>
      <c r="AZ23" s="915">
        <f t="shared" si="34"/>
        <v>0</v>
      </c>
      <c r="BA23" s="915">
        <f t="shared" si="35"/>
        <v>0</v>
      </c>
      <c r="BB23" s="915">
        <f t="shared" si="36"/>
        <v>0</v>
      </c>
      <c r="BC23" s="915">
        <f t="shared" si="37"/>
        <v>0</v>
      </c>
      <c r="BD23" s="915">
        <f t="shared" si="38"/>
        <v>0</v>
      </c>
      <c r="BE23" s="915">
        <f t="shared" si="39"/>
        <v>0</v>
      </c>
      <c r="BF23" s="915">
        <f t="shared" si="40"/>
        <v>0</v>
      </c>
      <c r="BG23" s="915">
        <f t="shared" si="41"/>
        <v>0</v>
      </c>
      <c r="BH23" s="915">
        <f t="shared" si="42"/>
        <v>0</v>
      </c>
      <c r="BI23" s="915">
        <f t="shared" si="43"/>
        <v>0</v>
      </c>
      <c r="BJ23" s="915">
        <f t="shared" si="44"/>
        <v>0</v>
      </c>
      <c r="BK23" s="915">
        <f t="shared" si="45"/>
        <v>0</v>
      </c>
      <c r="BL23" s="915">
        <f t="shared" si="46"/>
        <v>0</v>
      </c>
      <c r="BM23" s="915">
        <f t="shared" si="47"/>
        <v>0</v>
      </c>
      <c r="BN23" s="915">
        <f t="shared" si="48"/>
        <v>0</v>
      </c>
      <c r="BO23" s="915">
        <f t="shared" si="49"/>
        <v>0</v>
      </c>
      <c r="BP23" s="915">
        <f t="shared" si="50"/>
        <v>0</v>
      </c>
      <c r="BQ23" s="915">
        <f t="shared" si="51"/>
        <v>0</v>
      </c>
      <c r="BR23" s="915">
        <f t="shared" si="52"/>
        <v>0</v>
      </c>
      <c r="BS23" s="915">
        <f t="shared" si="53"/>
        <v>0</v>
      </c>
      <c r="BT23" s="915">
        <f t="shared" si="54"/>
        <v>0</v>
      </c>
      <c r="BU23" s="915">
        <f t="shared" si="55"/>
        <v>0</v>
      </c>
      <c r="BV23" s="915">
        <f t="shared" si="56"/>
        <v>0</v>
      </c>
      <c r="BW23" s="915">
        <f t="shared" si="57"/>
        <v>0</v>
      </c>
      <c r="BX23" s="915">
        <f t="shared" si="58"/>
        <v>0</v>
      </c>
      <c r="BY23" s="915">
        <f t="shared" si="59"/>
        <v>0</v>
      </c>
      <c r="BZ23" s="915">
        <f t="shared" si="60"/>
        <v>0</v>
      </c>
      <c r="CA23" s="915">
        <f t="shared" si="61"/>
        <v>0</v>
      </c>
      <c r="CB23" s="915">
        <f t="shared" si="62"/>
        <v>0</v>
      </c>
      <c r="CC23" s="915">
        <f t="shared" si="63"/>
        <v>0</v>
      </c>
      <c r="CD23" s="915">
        <f t="shared" si="64"/>
        <v>0</v>
      </c>
      <c r="CF23" s="533"/>
      <c r="CI23" s="534"/>
    </row>
    <row r="24" spans="1:87" ht="14.1" customHeight="1" x14ac:dyDescent="0.2">
      <c r="A24" s="496">
        <v>17</v>
      </c>
      <c r="B24" s="1419"/>
      <c r="C24" s="1420"/>
      <c r="D24" s="264">
        <v>6</v>
      </c>
      <c r="E24" s="264" t="s">
        <v>30</v>
      </c>
      <c r="F24" s="270" t="s">
        <v>2544</v>
      </c>
      <c r="G24" s="270" t="s">
        <v>2542</v>
      </c>
      <c r="H24" s="272">
        <v>8</v>
      </c>
      <c r="I24" s="268">
        <f t="shared" si="3"/>
        <v>0.48</v>
      </c>
      <c r="J24" s="269">
        <f t="shared" si="4"/>
        <v>8.48</v>
      </c>
      <c r="K24" s="51"/>
      <c r="N24" s="942">
        <f>AM6</f>
        <v>8.48</v>
      </c>
      <c r="O24" s="879" t="str">
        <f>"Purchased Supplies for " &amp; TabName6</f>
        <v>Purchased Supplies for Phase 6</v>
      </c>
      <c r="P24" s="950" t="s">
        <v>147</v>
      </c>
      <c r="R24" s="879">
        <f>INDEX(ValidateTable,17)</f>
        <v>17</v>
      </c>
      <c r="W24" s="915">
        <f t="shared" si="5"/>
        <v>0</v>
      </c>
      <c r="X24" s="915">
        <f t="shared" si="6"/>
        <v>0</v>
      </c>
      <c r="Y24" s="915">
        <f t="shared" si="7"/>
        <v>0</v>
      </c>
      <c r="Z24" s="915">
        <f t="shared" si="8"/>
        <v>0</v>
      </c>
      <c r="AA24" s="915">
        <f t="shared" si="9"/>
        <v>0</v>
      </c>
      <c r="AB24" s="915">
        <f t="shared" si="10"/>
        <v>0</v>
      </c>
      <c r="AC24" s="915">
        <f t="shared" si="11"/>
        <v>0</v>
      </c>
      <c r="AD24" s="915">
        <f t="shared" si="12"/>
        <v>0</v>
      </c>
      <c r="AE24" s="915">
        <f t="shared" si="13"/>
        <v>0</v>
      </c>
      <c r="AF24" s="915">
        <f t="shared" si="14"/>
        <v>0</v>
      </c>
      <c r="AG24" s="915">
        <f t="shared" si="15"/>
        <v>0</v>
      </c>
      <c r="AH24" s="915">
        <f t="shared" si="16"/>
        <v>0</v>
      </c>
      <c r="AI24" s="915">
        <f t="shared" si="17"/>
        <v>0</v>
      </c>
      <c r="AJ24" s="915">
        <f t="shared" si="18"/>
        <v>0</v>
      </c>
      <c r="AK24" s="915">
        <f t="shared" si="19"/>
        <v>0</v>
      </c>
      <c r="AL24" s="915">
        <f t="shared" si="20"/>
        <v>0</v>
      </c>
      <c r="AM24" s="915">
        <f t="shared" si="21"/>
        <v>8.48</v>
      </c>
      <c r="AN24" s="915">
        <f t="shared" si="22"/>
        <v>0</v>
      </c>
      <c r="AO24" s="915">
        <f t="shared" si="23"/>
        <v>0</v>
      </c>
      <c r="AP24" s="915">
        <f t="shared" si="24"/>
        <v>0</v>
      </c>
      <c r="AQ24" s="915">
        <f t="shared" si="25"/>
        <v>0</v>
      </c>
      <c r="AR24" s="915">
        <f t="shared" si="26"/>
        <v>0</v>
      </c>
      <c r="AS24" s="915">
        <f t="shared" si="27"/>
        <v>0</v>
      </c>
      <c r="AT24" s="915">
        <f t="shared" si="28"/>
        <v>0</v>
      </c>
      <c r="AU24" s="915">
        <f t="shared" si="29"/>
        <v>0</v>
      </c>
      <c r="AV24" s="915">
        <f t="shared" si="30"/>
        <v>0</v>
      </c>
      <c r="AW24" s="915">
        <f t="shared" si="31"/>
        <v>0</v>
      </c>
      <c r="AX24" s="915">
        <f t="shared" si="32"/>
        <v>0</v>
      </c>
      <c r="AY24" s="915">
        <f t="shared" si="33"/>
        <v>0</v>
      </c>
      <c r="AZ24" s="915">
        <f t="shared" si="34"/>
        <v>0</v>
      </c>
      <c r="BA24" s="915">
        <f t="shared" si="35"/>
        <v>0</v>
      </c>
      <c r="BB24" s="915">
        <f t="shared" si="36"/>
        <v>0</v>
      </c>
      <c r="BC24" s="915">
        <f t="shared" si="37"/>
        <v>0</v>
      </c>
      <c r="BD24" s="915">
        <f t="shared" si="38"/>
        <v>0</v>
      </c>
      <c r="BE24" s="915">
        <f t="shared" si="39"/>
        <v>0</v>
      </c>
      <c r="BF24" s="915">
        <f t="shared" si="40"/>
        <v>0</v>
      </c>
      <c r="BG24" s="915">
        <f t="shared" si="41"/>
        <v>0</v>
      </c>
      <c r="BH24" s="915">
        <f t="shared" si="42"/>
        <v>0</v>
      </c>
      <c r="BI24" s="915">
        <f t="shared" si="43"/>
        <v>0</v>
      </c>
      <c r="BJ24" s="915">
        <f t="shared" si="44"/>
        <v>0</v>
      </c>
      <c r="BK24" s="915">
        <f t="shared" si="45"/>
        <v>0</v>
      </c>
      <c r="BL24" s="915">
        <f t="shared" si="46"/>
        <v>0</v>
      </c>
      <c r="BM24" s="915">
        <f t="shared" si="47"/>
        <v>0</v>
      </c>
      <c r="BN24" s="915">
        <f t="shared" si="48"/>
        <v>0</v>
      </c>
      <c r="BO24" s="915">
        <f t="shared" si="49"/>
        <v>0</v>
      </c>
      <c r="BP24" s="915">
        <f t="shared" si="50"/>
        <v>0</v>
      </c>
      <c r="BQ24" s="915">
        <f t="shared" si="51"/>
        <v>0</v>
      </c>
      <c r="BR24" s="915">
        <f t="shared" si="52"/>
        <v>0</v>
      </c>
      <c r="BS24" s="915">
        <f t="shared" si="53"/>
        <v>0</v>
      </c>
      <c r="BT24" s="915">
        <f t="shared" si="54"/>
        <v>0</v>
      </c>
      <c r="BU24" s="915">
        <f t="shared" si="55"/>
        <v>0</v>
      </c>
      <c r="BV24" s="915">
        <f t="shared" si="56"/>
        <v>0</v>
      </c>
      <c r="BW24" s="915">
        <f t="shared" si="57"/>
        <v>0</v>
      </c>
      <c r="BX24" s="915">
        <f t="shared" si="58"/>
        <v>0</v>
      </c>
      <c r="BY24" s="915">
        <f t="shared" si="59"/>
        <v>0</v>
      </c>
      <c r="BZ24" s="915">
        <f t="shared" si="60"/>
        <v>0</v>
      </c>
      <c r="CA24" s="915">
        <f t="shared" si="61"/>
        <v>0</v>
      </c>
      <c r="CB24" s="915">
        <f t="shared" si="62"/>
        <v>0</v>
      </c>
      <c r="CC24" s="915">
        <f t="shared" si="63"/>
        <v>0</v>
      </c>
      <c r="CD24" s="915">
        <f t="shared" si="64"/>
        <v>0</v>
      </c>
      <c r="CF24" s="533"/>
      <c r="CI24" s="534"/>
    </row>
    <row r="25" spans="1:87" ht="14.1" customHeight="1" x14ac:dyDescent="0.2">
      <c r="A25" s="497">
        <v>18</v>
      </c>
      <c r="B25" s="1423"/>
      <c r="C25" s="1431"/>
      <c r="D25" s="138">
        <v>6</v>
      </c>
      <c r="E25" s="138" t="s">
        <v>170</v>
      </c>
      <c r="F25" s="139" t="s">
        <v>2544</v>
      </c>
      <c r="G25" s="139" t="s">
        <v>2542</v>
      </c>
      <c r="H25" s="100">
        <v>8</v>
      </c>
      <c r="I25" s="119">
        <f t="shared" si="3"/>
        <v>0.48</v>
      </c>
      <c r="J25" s="90">
        <f t="shared" si="4"/>
        <v>8.48</v>
      </c>
      <c r="K25" s="51"/>
      <c r="N25" s="942">
        <f>AN6</f>
        <v>8.48</v>
      </c>
      <c r="O25" s="879" t="str">
        <f>"Other for " &amp; TabName6</f>
        <v>Other for Phase 6</v>
      </c>
      <c r="P25" s="949" t="s">
        <v>148</v>
      </c>
      <c r="R25" s="879">
        <f>INDEX(ValidateTable,18)</f>
        <v>18</v>
      </c>
      <c r="W25" s="915">
        <f t="shared" si="5"/>
        <v>0</v>
      </c>
      <c r="X25" s="915">
        <f t="shared" si="6"/>
        <v>0</v>
      </c>
      <c r="Y25" s="915">
        <f t="shared" si="7"/>
        <v>0</v>
      </c>
      <c r="Z25" s="915">
        <f t="shared" si="8"/>
        <v>0</v>
      </c>
      <c r="AA25" s="915">
        <f t="shared" si="9"/>
        <v>0</v>
      </c>
      <c r="AB25" s="915">
        <f t="shared" si="10"/>
        <v>0</v>
      </c>
      <c r="AC25" s="915">
        <f>IF(AND($D25=$R$10,$E25=$T$8),$J25,0)</f>
        <v>0</v>
      </c>
      <c r="AD25" s="915">
        <f t="shared" si="12"/>
        <v>0</v>
      </c>
      <c r="AE25" s="915">
        <f t="shared" si="13"/>
        <v>0</v>
      </c>
      <c r="AF25" s="915">
        <f t="shared" si="14"/>
        <v>0</v>
      </c>
      <c r="AG25" s="915">
        <f t="shared" si="15"/>
        <v>0</v>
      </c>
      <c r="AH25" s="915">
        <f t="shared" si="16"/>
        <v>0</v>
      </c>
      <c r="AI25" s="915">
        <f t="shared" si="17"/>
        <v>0</v>
      </c>
      <c r="AJ25" s="915">
        <f t="shared" si="18"/>
        <v>0</v>
      </c>
      <c r="AK25" s="915">
        <f t="shared" si="19"/>
        <v>0</v>
      </c>
      <c r="AL25" s="915">
        <f t="shared" si="20"/>
        <v>0</v>
      </c>
      <c r="AM25" s="915">
        <f t="shared" si="21"/>
        <v>0</v>
      </c>
      <c r="AN25" s="915">
        <f t="shared" si="22"/>
        <v>8.48</v>
      </c>
      <c r="AO25" s="915">
        <f t="shared" si="23"/>
        <v>0</v>
      </c>
      <c r="AP25" s="915">
        <f t="shared" si="24"/>
        <v>0</v>
      </c>
      <c r="AQ25" s="915">
        <f t="shared" si="25"/>
        <v>0</v>
      </c>
      <c r="AR25" s="915">
        <f t="shared" si="26"/>
        <v>0</v>
      </c>
      <c r="AS25" s="915">
        <f t="shared" si="27"/>
        <v>0</v>
      </c>
      <c r="AT25" s="915">
        <f t="shared" si="28"/>
        <v>0</v>
      </c>
      <c r="AU25" s="915">
        <f t="shared" si="29"/>
        <v>0</v>
      </c>
      <c r="AV25" s="915">
        <f t="shared" si="30"/>
        <v>0</v>
      </c>
      <c r="AW25" s="915">
        <f t="shared" si="31"/>
        <v>0</v>
      </c>
      <c r="AX25" s="915">
        <f t="shared" si="32"/>
        <v>0</v>
      </c>
      <c r="AY25" s="915">
        <f t="shared" si="33"/>
        <v>0</v>
      </c>
      <c r="AZ25" s="915">
        <f t="shared" si="34"/>
        <v>0</v>
      </c>
      <c r="BA25" s="915">
        <f t="shared" si="35"/>
        <v>0</v>
      </c>
      <c r="BB25" s="915">
        <f t="shared" si="36"/>
        <v>0</v>
      </c>
      <c r="BC25" s="915">
        <f t="shared" si="37"/>
        <v>0</v>
      </c>
      <c r="BD25" s="915">
        <f t="shared" si="38"/>
        <v>0</v>
      </c>
      <c r="BE25" s="915">
        <f t="shared" si="39"/>
        <v>0</v>
      </c>
      <c r="BF25" s="915">
        <f t="shared" si="40"/>
        <v>0</v>
      </c>
      <c r="BG25" s="915">
        <f t="shared" si="41"/>
        <v>0</v>
      </c>
      <c r="BH25" s="915">
        <f t="shared" si="42"/>
        <v>0</v>
      </c>
      <c r="BI25" s="915">
        <f t="shared" si="43"/>
        <v>0</v>
      </c>
      <c r="BJ25" s="915">
        <f t="shared" si="44"/>
        <v>0</v>
      </c>
      <c r="BK25" s="915">
        <f t="shared" si="45"/>
        <v>0</v>
      </c>
      <c r="BL25" s="915">
        <f t="shared" si="46"/>
        <v>0</v>
      </c>
      <c r="BM25" s="915">
        <f t="shared" si="47"/>
        <v>0</v>
      </c>
      <c r="BN25" s="915">
        <f t="shared" si="48"/>
        <v>0</v>
      </c>
      <c r="BO25" s="915">
        <f t="shared" si="49"/>
        <v>0</v>
      </c>
      <c r="BP25" s="915">
        <f t="shared" si="50"/>
        <v>0</v>
      </c>
      <c r="BQ25" s="915">
        <f t="shared" si="51"/>
        <v>0</v>
      </c>
      <c r="BR25" s="915">
        <f t="shared" si="52"/>
        <v>0</v>
      </c>
      <c r="BS25" s="915">
        <f t="shared" si="53"/>
        <v>0</v>
      </c>
      <c r="BT25" s="915">
        <f t="shared" si="54"/>
        <v>0</v>
      </c>
      <c r="BU25" s="915">
        <f t="shared" si="55"/>
        <v>0</v>
      </c>
      <c r="BV25" s="915">
        <f t="shared" si="56"/>
        <v>0</v>
      </c>
      <c r="BW25" s="915">
        <f t="shared" si="57"/>
        <v>0</v>
      </c>
      <c r="BX25" s="915">
        <f t="shared" si="58"/>
        <v>0</v>
      </c>
      <c r="BY25" s="915">
        <f t="shared" si="59"/>
        <v>0</v>
      </c>
      <c r="BZ25" s="915">
        <f t="shared" si="60"/>
        <v>0</v>
      </c>
      <c r="CA25" s="915">
        <f t="shared" si="61"/>
        <v>0</v>
      </c>
      <c r="CB25" s="915">
        <f t="shared" si="62"/>
        <v>0</v>
      </c>
      <c r="CC25" s="915">
        <f t="shared" si="63"/>
        <v>0</v>
      </c>
      <c r="CD25" s="915">
        <f t="shared" si="64"/>
        <v>0</v>
      </c>
      <c r="CF25" s="533"/>
      <c r="CI25" s="534"/>
    </row>
    <row r="26" spans="1:87" ht="14.1" customHeight="1" x14ac:dyDescent="0.2">
      <c r="A26" s="496">
        <v>19</v>
      </c>
      <c r="B26" s="1419"/>
      <c r="C26" s="1420"/>
      <c r="D26" s="264">
        <v>7</v>
      </c>
      <c r="E26" s="264" t="s">
        <v>26</v>
      </c>
      <c r="F26" s="270" t="s">
        <v>2544</v>
      </c>
      <c r="G26" s="270" t="s">
        <v>2542</v>
      </c>
      <c r="H26" s="272">
        <v>8</v>
      </c>
      <c r="I26" s="268">
        <f t="shared" si="3"/>
        <v>0.48</v>
      </c>
      <c r="J26" s="269">
        <f t="shared" si="4"/>
        <v>8.48</v>
      </c>
      <c r="K26" s="51"/>
      <c r="N26" s="942">
        <f>AO6</f>
        <v>8.48</v>
      </c>
      <c r="O26" s="915" t="str">
        <f>"Rented Equipment for "&amp;TabName7</f>
        <v>Rented Equipment for Phase 7</v>
      </c>
      <c r="P26" s="949" t="s">
        <v>621</v>
      </c>
      <c r="R26" s="879">
        <f>INDEX(ValidateTable,19)</f>
        <v>19</v>
      </c>
      <c r="W26" s="915">
        <f t="shared" si="5"/>
        <v>0</v>
      </c>
      <c r="X26" s="915">
        <f t="shared" si="6"/>
        <v>0</v>
      </c>
      <c r="Y26" s="915">
        <f t="shared" si="7"/>
        <v>0</v>
      </c>
      <c r="Z26" s="915">
        <f t="shared" si="8"/>
        <v>0</v>
      </c>
      <c r="AA26" s="915">
        <f t="shared" si="9"/>
        <v>0</v>
      </c>
      <c r="AB26" s="915">
        <f t="shared" si="10"/>
        <v>0</v>
      </c>
      <c r="AC26" s="915">
        <f t="shared" si="11"/>
        <v>0</v>
      </c>
      <c r="AD26" s="915">
        <f t="shared" si="12"/>
        <v>0</v>
      </c>
      <c r="AE26" s="915">
        <f t="shared" si="13"/>
        <v>0</v>
      </c>
      <c r="AF26" s="915">
        <f t="shared" si="14"/>
        <v>0</v>
      </c>
      <c r="AG26" s="915">
        <f t="shared" si="15"/>
        <v>0</v>
      </c>
      <c r="AH26" s="915">
        <f t="shared" si="16"/>
        <v>0</v>
      </c>
      <c r="AI26" s="915">
        <f t="shared" si="17"/>
        <v>0</v>
      </c>
      <c r="AJ26" s="915">
        <f t="shared" si="18"/>
        <v>0</v>
      </c>
      <c r="AK26" s="915">
        <f t="shared" si="19"/>
        <v>0</v>
      </c>
      <c r="AL26" s="915">
        <f t="shared" si="20"/>
        <v>0</v>
      </c>
      <c r="AM26" s="915">
        <f t="shared" si="21"/>
        <v>0</v>
      </c>
      <c r="AN26" s="915">
        <f t="shared" si="22"/>
        <v>0</v>
      </c>
      <c r="AO26" s="915">
        <f t="shared" si="23"/>
        <v>8.48</v>
      </c>
      <c r="AP26" s="915">
        <f t="shared" si="24"/>
        <v>0</v>
      </c>
      <c r="AQ26" s="915">
        <f t="shared" si="25"/>
        <v>0</v>
      </c>
      <c r="AR26" s="915">
        <f t="shared" si="26"/>
        <v>0</v>
      </c>
      <c r="AS26" s="915">
        <f t="shared" si="27"/>
        <v>0</v>
      </c>
      <c r="AT26" s="915">
        <f t="shared" si="28"/>
        <v>0</v>
      </c>
      <c r="AU26" s="915">
        <f t="shared" si="29"/>
        <v>0</v>
      </c>
      <c r="AV26" s="915">
        <f t="shared" si="30"/>
        <v>0</v>
      </c>
      <c r="AW26" s="915">
        <f t="shared" si="31"/>
        <v>0</v>
      </c>
      <c r="AX26" s="915">
        <f t="shared" si="32"/>
        <v>0</v>
      </c>
      <c r="AY26" s="915">
        <f t="shared" si="33"/>
        <v>0</v>
      </c>
      <c r="AZ26" s="915">
        <f t="shared" si="34"/>
        <v>0</v>
      </c>
      <c r="BA26" s="915">
        <f t="shared" si="35"/>
        <v>0</v>
      </c>
      <c r="BB26" s="915">
        <f t="shared" si="36"/>
        <v>0</v>
      </c>
      <c r="BC26" s="915">
        <f t="shared" si="37"/>
        <v>0</v>
      </c>
      <c r="BD26" s="915">
        <f t="shared" si="38"/>
        <v>0</v>
      </c>
      <c r="BE26" s="915">
        <f t="shared" si="39"/>
        <v>0</v>
      </c>
      <c r="BF26" s="915">
        <f t="shared" si="40"/>
        <v>0</v>
      </c>
      <c r="BG26" s="915">
        <f t="shared" si="41"/>
        <v>0</v>
      </c>
      <c r="BH26" s="915">
        <f t="shared" si="42"/>
        <v>0</v>
      </c>
      <c r="BI26" s="915">
        <f t="shared" si="43"/>
        <v>0</v>
      </c>
      <c r="BJ26" s="915">
        <f t="shared" si="44"/>
        <v>0</v>
      </c>
      <c r="BK26" s="915">
        <f t="shared" si="45"/>
        <v>0</v>
      </c>
      <c r="BL26" s="915">
        <f t="shared" si="46"/>
        <v>0</v>
      </c>
      <c r="BM26" s="915">
        <f t="shared" si="47"/>
        <v>0</v>
      </c>
      <c r="BN26" s="915">
        <f t="shared" si="48"/>
        <v>0</v>
      </c>
      <c r="BO26" s="915">
        <f t="shared" si="49"/>
        <v>0</v>
      </c>
      <c r="BP26" s="915">
        <f t="shared" si="50"/>
        <v>0</v>
      </c>
      <c r="BQ26" s="915">
        <f t="shared" si="51"/>
        <v>0</v>
      </c>
      <c r="BR26" s="915">
        <f t="shared" si="52"/>
        <v>0</v>
      </c>
      <c r="BS26" s="915">
        <f t="shared" si="53"/>
        <v>0</v>
      </c>
      <c r="BT26" s="915">
        <f t="shared" si="54"/>
        <v>0</v>
      </c>
      <c r="BU26" s="915">
        <f t="shared" si="55"/>
        <v>0</v>
      </c>
      <c r="BV26" s="915">
        <f t="shared" si="56"/>
        <v>0</v>
      </c>
      <c r="BW26" s="915">
        <f t="shared" si="57"/>
        <v>0</v>
      </c>
      <c r="BX26" s="915">
        <f t="shared" si="58"/>
        <v>0</v>
      </c>
      <c r="BY26" s="915">
        <f t="shared" si="59"/>
        <v>0</v>
      </c>
      <c r="BZ26" s="915">
        <f t="shared" si="60"/>
        <v>0</v>
      </c>
      <c r="CA26" s="915">
        <f t="shared" si="61"/>
        <v>0</v>
      </c>
      <c r="CB26" s="915">
        <f t="shared" si="62"/>
        <v>0</v>
      </c>
      <c r="CC26" s="915">
        <f t="shared" si="63"/>
        <v>0</v>
      </c>
      <c r="CD26" s="915">
        <f t="shared" si="64"/>
        <v>0</v>
      </c>
      <c r="CF26" s="533"/>
      <c r="CI26" s="534"/>
    </row>
    <row r="27" spans="1:87" ht="14.1" customHeight="1" x14ac:dyDescent="0.2">
      <c r="A27" s="497">
        <v>20</v>
      </c>
      <c r="B27" s="1423"/>
      <c r="C27" s="1431"/>
      <c r="D27" s="138">
        <v>7</v>
      </c>
      <c r="E27" s="138" t="s">
        <v>30</v>
      </c>
      <c r="F27" s="139" t="s">
        <v>2544</v>
      </c>
      <c r="G27" s="139" t="s">
        <v>2542</v>
      </c>
      <c r="H27" s="100">
        <v>8</v>
      </c>
      <c r="I27" s="119">
        <f t="shared" si="3"/>
        <v>0.48</v>
      </c>
      <c r="J27" s="90">
        <f t="shared" si="4"/>
        <v>8.48</v>
      </c>
      <c r="K27" s="51"/>
      <c r="N27" s="942">
        <f>AP6</f>
        <v>8.48</v>
      </c>
      <c r="O27" s="879" t="str">
        <f>"Purchased Supplies for " &amp; TabName7</f>
        <v>Purchased Supplies for Phase 7</v>
      </c>
      <c r="P27" s="950" t="s">
        <v>622</v>
      </c>
      <c r="R27" s="879">
        <f>INDEX(ValidateTable,20)</f>
        <v>20</v>
      </c>
      <c r="W27" s="915">
        <f t="shared" si="5"/>
        <v>0</v>
      </c>
      <c r="X27" s="915">
        <f t="shared" si="6"/>
        <v>0</v>
      </c>
      <c r="Y27" s="915">
        <f t="shared" si="7"/>
        <v>0</v>
      </c>
      <c r="Z27" s="915">
        <f t="shared" si="8"/>
        <v>0</v>
      </c>
      <c r="AA27" s="915">
        <f t="shared" si="9"/>
        <v>0</v>
      </c>
      <c r="AB27" s="915">
        <f t="shared" si="10"/>
        <v>0</v>
      </c>
      <c r="AC27" s="915">
        <f t="shared" si="11"/>
        <v>0</v>
      </c>
      <c r="AD27" s="915">
        <f t="shared" si="12"/>
        <v>0</v>
      </c>
      <c r="AE27" s="915">
        <f t="shared" si="13"/>
        <v>0</v>
      </c>
      <c r="AF27" s="915">
        <f t="shared" si="14"/>
        <v>0</v>
      </c>
      <c r="AG27" s="915">
        <f t="shared" si="15"/>
        <v>0</v>
      </c>
      <c r="AH27" s="915">
        <f t="shared" si="16"/>
        <v>0</v>
      </c>
      <c r="AI27" s="915">
        <f t="shared" si="17"/>
        <v>0</v>
      </c>
      <c r="AJ27" s="915">
        <f t="shared" si="18"/>
        <v>0</v>
      </c>
      <c r="AK27" s="915">
        <f t="shared" si="19"/>
        <v>0</v>
      </c>
      <c r="AL27" s="915">
        <f t="shared" si="20"/>
        <v>0</v>
      </c>
      <c r="AM27" s="915">
        <f t="shared" si="21"/>
        <v>0</v>
      </c>
      <c r="AN27" s="915">
        <f t="shared" si="22"/>
        <v>0</v>
      </c>
      <c r="AO27" s="915">
        <f t="shared" si="23"/>
        <v>0</v>
      </c>
      <c r="AP27" s="915">
        <f t="shared" si="24"/>
        <v>8.48</v>
      </c>
      <c r="AQ27" s="915">
        <f t="shared" si="25"/>
        <v>0</v>
      </c>
      <c r="AR27" s="915">
        <f t="shared" si="26"/>
        <v>0</v>
      </c>
      <c r="AS27" s="915">
        <f t="shared" si="27"/>
        <v>0</v>
      </c>
      <c r="AT27" s="915">
        <f t="shared" si="28"/>
        <v>0</v>
      </c>
      <c r="AU27" s="915">
        <f t="shared" si="29"/>
        <v>0</v>
      </c>
      <c r="AV27" s="915">
        <f t="shared" si="30"/>
        <v>0</v>
      </c>
      <c r="AW27" s="915">
        <f t="shared" si="31"/>
        <v>0</v>
      </c>
      <c r="AX27" s="915">
        <f t="shared" si="32"/>
        <v>0</v>
      </c>
      <c r="AY27" s="915">
        <f t="shared" si="33"/>
        <v>0</v>
      </c>
      <c r="AZ27" s="915">
        <f t="shared" si="34"/>
        <v>0</v>
      </c>
      <c r="BA27" s="915">
        <f t="shared" si="35"/>
        <v>0</v>
      </c>
      <c r="BB27" s="915">
        <f t="shared" si="36"/>
        <v>0</v>
      </c>
      <c r="BC27" s="915">
        <f t="shared" si="37"/>
        <v>0</v>
      </c>
      <c r="BD27" s="915">
        <f t="shared" si="38"/>
        <v>0</v>
      </c>
      <c r="BE27" s="915">
        <f t="shared" si="39"/>
        <v>0</v>
      </c>
      <c r="BF27" s="915">
        <f t="shared" si="40"/>
        <v>0</v>
      </c>
      <c r="BG27" s="915">
        <f t="shared" si="41"/>
        <v>0</v>
      </c>
      <c r="BH27" s="915">
        <f t="shared" si="42"/>
        <v>0</v>
      </c>
      <c r="BI27" s="915">
        <f t="shared" si="43"/>
        <v>0</v>
      </c>
      <c r="BJ27" s="915">
        <f t="shared" si="44"/>
        <v>0</v>
      </c>
      <c r="BK27" s="915">
        <f t="shared" si="45"/>
        <v>0</v>
      </c>
      <c r="BL27" s="915">
        <f t="shared" si="46"/>
        <v>0</v>
      </c>
      <c r="BM27" s="915">
        <f t="shared" si="47"/>
        <v>0</v>
      </c>
      <c r="BN27" s="915">
        <f t="shared" si="48"/>
        <v>0</v>
      </c>
      <c r="BO27" s="915">
        <f t="shared" si="49"/>
        <v>0</v>
      </c>
      <c r="BP27" s="915">
        <f t="shared" si="50"/>
        <v>0</v>
      </c>
      <c r="BQ27" s="915">
        <f t="shared" si="51"/>
        <v>0</v>
      </c>
      <c r="BR27" s="915">
        <f t="shared" si="52"/>
        <v>0</v>
      </c>
      <c r="BS27" s="915">
        <f t="shared" si="53"/>
        <v>0</v>
      </c>
      <c r="BT27" s="915">
        <f t="shared" si="54"/>
        <v>0</v>
      </c>
      <c r="BU27" s="915">
        <f t="shared" si="55"/>
        <v>0</v>
      </c>
      <c r="BV27" s="915">
        <f>IF(AND($D27=$R$25,$E27=$T$8),$J27,0)</f>
        <v>0</v>
      </c>
      <c r="BW27" s="915">
        <f>IF(AND($D27=$R$25,$E27=$T$9),$J27,0)</f>
        <v>0</v>
      </c>
      <c r="BX27" s="915">
        <f>IF(AND($D27=$R$25,$E27=$T$10),$J27,0)</f>
        <v>0</v>
      </c>
      <c r="BY27" s="915">
        <f t="shared" si="59"/>
        <v>0</v>
      </c>
      <c r="BZ27" s="915">
        <f t="shared" si="60"/>
        <v>0</v>
      </c>
      <c r="CA27" s="915">
        <f t="shared" si="61"/>
        <v>0</v>
      </c>
      <c r="CB27" s="915">
        <f t="shared" si="62"/>
        <v>0</v>
      </c>
      <c r="CC27" s="915">
        <f t="shared" si="63"/>
        <v>0</v>
      </c>
      <c r="CD27" s="915">
        <f t="shared" si="64"/>
        <v>0</v>
      </c>
      <c r="CF27" s="533"/>
      <c r="CI27" s="534"/>
    </row>
    <row r="28" spans="1:87" ht="14.1" customHeight="1" x14ac:dyDescent="0.2">
      <c r="A28" s="496">
        <v>21</v>
      </c>
      <c r="B28" s="1419"/>
      <c r="C28" s="1420"/>
      <c r="D28" s="264">
        <v>7</v>
      </c>
      <c r="E28" s="264" t="s">
        <v>170</v>
      </c>
      <c r="F28" s="270" t="s">
        <v>2544</v>
      </c>
      <c r="G28" s="270" t="s">
        <v>2542</v>
      </c>
      <c r="H28" s="272">
        <v>8</v>
      </c>
      <c r="I28" s="268">
        <f t="shared" si="3"/>
        <v>0.48</v>
      </c>
      <c r="J28" s="269">
        <f t="shared" si="4"/>
        <v>8.48</v>
      </c>
      <c r="K28" s="51"/>
      <c r="N28" s="942">
        <f>AQ6</f>
        <v>8.48</v>
      </c>
      <c r="O28" s="879" t="str">
        <f>"Other for " &amp; TabName7</f>
        <v>Other for Phase 7</v>
      </c>
      <c r="P28" s="949" t="s">
        <v>623</v>
      </c>
      <c r="W28" s="915">
        <f t="shared" si="5"/>
        <v>0</v>
      </c>
      <c r="X28" s="915">
        <f t="shared" si="6"/>
        <v>0</v>
      </c>
      <c r="Y28" s="915">
        <f t="shared" si="7"/>
        <v>0</v>
      </c>
      <c r="Z28" s="915">
        <f t="shared" si="8"/>
        <v>0</v>
      </c>
      <c r="AA28" s="915">
        <f t="shared" si="9"/>
        <v>0</v>
      </c>
      <c r="AB28" s="915">
        <f t="shared" si="10"/>
        <v>0</v>
      </c>
      <c r="AC28" s="915">
        <f t="shared" si="11"/>
        <v>0</v>
      </c>
      <c r="AD28" s="915">
        <f t="shared" si="12"/>
        <v>0</v>
      </c>
      <c r="AE28" s="915">
        <f t="shared" si="13"/>
        <v>0</v>
      </c>
      <c r="AF28" s="915">
        <f t="shared" si="14"/>
        <v>0</v>
      </c>
      <c r="AG28" s="915">
        <f t="shared" si="15"/>
        <v>0</v>
      </c>
      <c r="AH28" s="915">
        <f t="shared" si="16"/>
        <v>0</v>
      </c>
      <c r="AI28" s="915">
        <f t="shared" si="17"/>
        <v>0</v>
      </c>
      <c r="AJ28" s="915">
        <f t="shared" si="18"/>
        <v>0</v>
      </c>
      <c r="AK28" s="915">
        <f t="shared" si="19"/>
        <v>0</v>
      </c>
      <c r="AL28" s="915">
        <f t="shared" si="20"/>
        <v>0</v>
      </c>
      <c r="AM28" s="915">
        <f t="shared" si="21"/>
        <v>0</v>
      </c>
      <c r="AN28" s="915">
        <f t="shared" si="22"/>
        <v>0</v>
      </c>
      <c r="AO28" s="915">
        <f t="shared" si="23"/>
        <v>0</v>
      </c>
      <c r="AP28" s="915">
        <f t="shared" si="24"/>
        <v>0</v>
      </c>
      <c r="AQ28" s="915">
        <f t="shared" si="25"/>
        <v>8.48</v>
      </c>
      <c r="AR28" s="915">
        <f t="shared" si="26"/>
        <v>0</v>
      </c>
      <c r="AS28" s="915">
        <f t="shared" si="27"/>
        <v>0</v>
      </c>
      <c r="AT28" s="915">
        <f t="shared" si="28"/>
        <v>0</v>
      </c>
      <c r="AU28" s="915">
        <f t="shared" si="29"/>
        <v>0</v>
      </c>
      <c r="AV28" s="915">
        <f t="shared" si="30"/>
        <v>0</v>
      </c>
      <c r="AW28" s="915">
        <f t="shared" si="31"/>
        <v>0</v>
      </c>
      <c r="AX28" s="915">
        <f t="shared" si="32"/>
        <v>0</v>
      </c>
      <c r="AY28" s="915">
        <f t="shared" si="33"/>
        <v>0</v>
      </c>
      <c r="AZ28" s="915">
        <f t="shared" si="34"/>
        <v>0</v>
      </c>
      <c r="BA28" s="915">
        <f t="shared" si="35"/>
        <v>0</v>
      </c>
      <c r="BB28" s="915">
        <f t="shared" si="36"/>
        <v>0</v>
      </c>
      <c r="BC28" s="915">
        <f t="shared" si="37"/>
        <v>0</v>
      </c>
      <c r="BD28" s="915">
        <f t="shared" si="38"/>
        <v>0</v>
      </c>
      <c r="BE28" s="915">
        <f t="shared" si="39"/>
        <v>0</v>
      </c>
      <c r="BF28" s="915">
        <f t="shared" si="40"/>
        <v>0</v>
      </c>
      <c r="BG28" s="915">
        <f t="shared" si="41"/>
        <v>0</v>
      </c>
      <c r="BH28" s="915">
        <f t="shared" si="42"/>
        <v>0</v>
      </c>
      <c r="BI28" s="915">
        <f t="shared" si="43"/>
        <v>0</v>
      </c>
      <c r="BJ28" s="915">
        <f t="shared" si="44"/>
        <v>0</v>
      </c>
      <c r="BK28" s="915">
        <f t="shared" si="45"/>
        <v>0</v>
      </c>
      <c r="BL28" s="915">
        <f t="shared" si="46"/>
        <v>0</v>
      </c>
      <c r="BM28" s="915">
        <f t="shared" si="47"/>
        <v>0</v>
      </c>
      <c r="BN28" s="915">
        <f t="shared" si="48"/>
        <v>0</v>
      </c>
      <c r="BO28" s="915">
        <f t="shared" si="49"/>
        <v>0</v>
      </c>
      <c r="BP28" s="915">
        <f t="shared" si="50"/>
        <v>0</v>
      </c>
      <c r="BQ28" s="915">
        <f t="shared" si="51"/>
        <v>0</v>
      </c>
      <c r="BR28" s="915">
        <f t="shared" si="52"/>
        <v>0</v>
      </c>
      <c r="BS28" s="915">
        <f t="shared" si="53"/>
        <v>0</v>
      </c>
      <c r="BT28" s="915">
        <f t="shared" si="54"/>
        <v>0</v>
      </c>
      <c r="BU28" s="915">
        <f t="shared" si="55"/>
        <v>0</v>
      </c>
      <c r="BV28" s="915">
        <f t="shared" si="56"/>
        <v>0</v>
      </c>
      <c r="BW28" s="915">
        <f t="shared" si="57"/>
        <v>0</v>
      </c>
      <c r="BX28" s="915">
        <f t="shared" si="58"/>
        <v>0</v>
      </c>
      <c r="BY28" s="915">
        <f t="shared" si="59"/>
        <v>0</v>
      </c>
      <c r="BZ28" s="915">
        <f t="shared" si="60"/>
        <v>0</v>
      </c>
      <c r="CA28" s="915">
        <f t="shared" si="61"/>
        <v>0</v>
      </c>
      <c r="CB28" s="915">
        <f t="shared" si="62"/>
        <v>0</v>
      </c>
      <c r="CC28" s="915">
        <f t="shared" si="63"/>
        <v>0</v>
      </c>
      <c r="CD28" s="915">
        <f t="shared" si="64"/>
        <v>0</v>
      </c>
      <c r="CF28" s="533"/>
      <c r="CI28" s="534"/>
    </row>
    <row r="29" spans="1:87" ht="14.1" customHeight="1" x14ac:dyDescent="0.2">
      <c r="A29" s="497">
        <v>22</v>
      </c>
      <c r="B29" s="1423"/>
      <c r="C29" s="1431"/>
      <c r="D29" s="138">
        <v>8</v>
      </c>
      <c r="E29" s="138" t="s">
        <v>26</v>
      </c>
      <c r="F29" s="139" t="s">
        <v>2544</v>
      </c>
      <c r="G29" s="139" t="s">
        <v>2542</v>
      </c>
      <c r="H29" s="100">
        <v>8</v>
      </c>
      <c r="I29" s="119">
        <f t="shared" si="3"/>
        <v>0.48</v>
      </c>
      <c r="J29" s="90">
        <f t="shared" si="4"/>
        <v>8.48</v>
      </c>
      <c r="K29" s="51"/>
      <c r="N29" s="942">
        <f>AR6</f>
        <v>8.48</v>
      </c>
      <c r="O29" s="915" t="str">
        <f>"Rented Equipment for "&amp;TabName8</f>
        <v>Rented Equipment for Phase 8</v>
      </c>
      <c r="P29" s="949" t="s">
        <v>624</v>
      </c>
      <c r="W29" s="915">
        <f t="shared" si="5"/>
        <v>0</v>
      </c>
      <c r="X29" s="915">
        <f t="shared" si="6"/>
        <v>0</v>
      </c>
      <c r="Y29" s="915">
        <f t="shared" si="7"/>
        <v>0</v>
      </c>
      <c r="Z29" s="915">
        <f t="shared" si="8"/>
        <v>0</v>
      </c>
      <c r="AA29" s="915">
        <f t="shared" si="9"/>
        <v>0</v>
      </c>
      <c r="AB29" s="915">
        <f t="shared" si="10"/>
        <v>0</v>
      </c>
      <c r="AC29" s="915">
        <f t="shared" si="11"/>
        <v>0</v>
      </c>
      <c r="AD29" s="915">
        <f t="shared" si="12"/>
        <v>0</v>
      </c>
      <c r="AE29" s="915">
        <f t="shared" si="13"/>
        <v>0</v>
      </c>
      <c r="AF29" s="915">
        <f t="shared" si="14"/>
        <v>0</v>
      </c>
      <c r="AG29" s="915">
        <f t="shared" si="15"/>
        <v>0</v>
      </c>
      <c r="AH29" s="915">
        <f t="shared" si="16"/>
        <v>0</v>
      </c>
      <c r="AI29" s="915">
        <f t="shared" si="17"/>
        <v>0</v>
      </c>
      <c r="AJ29" s="915">
        <f t="shared" si="18"/>
        <v>0</v>
      </c>
      <c r="AK29" s="915">
        <f t="shared" si="19"/>
        <v>0</v>
      </c>
      <c r="AL29" s="915">
        <f t="shared" si="20"/>
        <v>0</v>
      </c>
      <c r="AM29" s="915">
        <f t="shared" si="21"/>
        <v>0</v>
      </c>
      <c r="AN29" s="915">
        <f t="shared" si="22"/>
        <v>0</v>
      </c>
      <c r="AO29" s="915">
        <f t="shared" si="23"/>
        <v>0</v>
      </c>
      <c r="AP29" s="915">
        <f t="shared" si="24"/>
        <v>0</v>
      </c>
      <c r="AQ29" s="915">
        <f t="shared" si="25"/>
        <v>0</v>
      </c>
      <c r="AR29" s="915">
        <f t="shared" si="26"/>
        <v>8.48</v>
      </c>
      <c r="AS29" s="915">
        <f t="shared" si="27"/>
        <v>0</v>
      </c>
      <c r="AT29" s="915">
        <f t="shared" si="28"/>
        <v>0</v>
      </c>
      <c r="AU29" s="915">
        <f t="shared" si="29"/>
        <v>0</v>
      </c>
      <c r="AV29" s="915">
        <f t="shared" si="30"/>
        <v>0</v>
      </c>
      <c r="AW29" s="915">
        <f t="shared" si="31"/>
        <v>0</v>
      </c>
      <c r="AX29" s="915">
        <f t="shared" si="32"/>
        <v>0</v>
      </c>
      <c r="AY29" s="915">
        <f t="shared" si="33"/>
        <v>0</v>
      </c>
      <c r="AZ29" s="915">
        <f t="shared" si="34"/>
        <v>0</v>
      </c>
      <c r="BA29" s="915">
        <f t="shared" si="35"/>
        <v>0</v>
      </c>
      <c r="BB29" s="915">
        <f t="shared" si="36"/>
        <v>0</v>
      </c>
      <c r="BC29" s="915">
        <f t="shared" si="37"/>
        <v>0</v>
      </c>
      <c r="BD29" s="915">
        <f t="shared" si="38"/>
        <v>0</v>
      </c>
      <c r="BE29" s="915">
        <f t="shared" si="39"/>
        <v>0</v>
      </c>
      <c r="BF29" s="915">
        <f t="shared" si="40"/>
        <v>0</v>
      </c>
      <c r="BG29" s="915">
        <f t="shared" si="41"/>
        <v>0</v>
      </c>
      <c r="BH29" s="915">
        <f t="shared" si="42"/>
        <v>0</v>
      </c>
      <c r="BI29" s="915">
        <f t="shared" si="43"/>
        <v>0</v>
      </c>
      <c r="BJ29" s="915">
        <f t="shared" si="44"/>
        <v>0</v>
      </c>
      <c r="BK29" s="915">
        <f t="shared" si="45"/>
        <v>0</v>
      </c>
      <c r="BL29" s="915">
        <f t="shared" si="46"/>
        <v>0</v>
      </c>
      <c r="BM29" s="915">
        <f t="shared" si="47"/>
        <v>0</v>
      </c>
      <c r="BN29" s="915">
        <f t="shared" si="48"/>
        <v>0</v>
      </c>
      <c r="BO29" s="915">
        <f t="shared" si="49"/>
        <v>0</v>
      </c>
      <c r="BP29" s="915">
        <f t="shared" si="50"/>
        <v>0</v>
      </c>
      <c r="BQ29" s="915">
        <f t="shared" si="51"/>
        <v>0</v>
      </c>
      <c r="BR29" s="915">
        <f t="shared" si="52"/>
        <v>0</v>
      </c>
      <c r="BS29" s="915">
        <f t="shared" si="53"/>
        <v>0</v>
      </c>
      <c r="BT29" s="915">
        <f t="shared" si="54"/>
        <v>0</v>
      </c>
      <c r="BU29" s="915">
        <f t="shared" si="55"/>
        <v>0</v>
      </c>
      <c r="BV29" s="915">
        <f t="shared" si="56"/>
        <v>0</v>
      </c>
      <c r="BW29" s="915">
        <f t="shared" si="57"/>
        <v>0</v>
      </c>
      <c r="BX29" s="915">
        <f t="shared" si="58"/>
        <v>0</v>
      </c>
      <c r="BY29" s="915">
        <f t="shared" si="59"/>
        <v>0</v>
      </c>
      <c r="BZ29" s="915">
        <f t="shared" si="60"/>
        <v>0</v>
      </c>
      <c r="CA29" s="915">
        <f t="shared" si="61"/>
        <v>0</v>
      </c>
      <c r="CB29" s="915">
        <f t="shared" si="62"/>
        <v>0</v>
      </c>
      <c r="CC29" s="915">
        <f t="shared" si="63"/>
        <v>0</v>
      </c>
      <c r="CD29" s="915">
        <f t="shared" si="64"/>
        <v>0</v>
      </c>
      <c r="CF29" s="533"/>
      <c r="CI29" s="534"/>
    </row>
    <row r="30" spans="1:87" ht="14.1" customHeight="1" x14ac:dyDescent="0.2">
      <c r="A30" s="496">
        <v>23</v>
      </c>
      <c r="B30" s="1419"/>
      <c r="C30" s="1420"/>
      <c r="D30" s="264">
        <v>8</v>
      </c>
      <c r="E30" s="264" t="s">
        <v>30</v>
      </c>
      <c r="F30" s="270" t="s">
        <v>2544</v>
      </c>
      <c r="G30" s="270" t="s">
        <v>2542</v>
      </c>
      <c r="H30" s="272">
        <v>8</v>
      </c>
      <c r="I30" s="268">
        <f t="shared" si="3"/>
        <v>0.48</v>
      </c>
      <c r="J30" s="269">
        <f t="shared" si="4"/>
        <v>8.48</v>
      </c>
      <c r="K30" s="51"/>
      <c r="N30" s="942">
        <f>AS6</f>
        <v>8.48</v>
      </c>
      <c r="O30" s="879" t="str">
        <f>"Purchased Supplies for " &amp; TabName8</f>
        <v>Purchased Supplies for Phase 8</v>
      </c>
      <c r="P30" s="950" t="s">
        <v>625</v>
      </c>
      <c r="W30" s="915">
        <f>IF(AND($D30=$R$8,$E30=$T$8),$J30,0)</f>
        <v>0</v>
      </c>
      <c r="X30" s="915">
        <f>IF(AND($D30=$R$8,$E30=$T$9),$J30,0)</f>
        <v>0</v>
      </c>
      <c r="Y30" s="915">
        <f>IF(AND($D30=$R$8,$E30=$T$10),$J30,0)</f>
        <v>0</v>
      </c>
      <c r="Z30" s="915">
        <f>IF(AND($D30=$R$9,$E30=$T$8),$J30,0)</f>
        <v>0</v>
      </c>
      <c r="AA30" s="915">
        <f>IF(AND($D30=$R$9,$E30=$T$9),$J30,0)</f>
        <v>0</v>
      </c>
      <c r="AB30" s="915">
        <f>IF(AND($D30=$R$9,$E30=$T$10),$J30,0)</f>
        <v>0</v>
      </c>
      <c r="AC30" s="915">
        <f>IF(AND($D30=$R$10,$E30=$T$8),$J30,0)</f>
        <v>0</v>
      </c>
      <c r="AD30" s="915">
        <f>IF(AND($D30=$R$10,$E30=$T$9),$J30,0)</f>
        <v>0</v>
      </c>
      <c r="AE30" s="915">
        <f>IF(AND($D30=$R$10,$E30=$T$10),$J30,0)</f>
        <v>0</v>
      </c>
      <c r="AF30" s="915">
        <f>IF(AND($D30=$R$11,$E30=$T$8),$J30,0)</f>
        <v>0</v>
      </c>
      <c r="AG30" s="915">
        <f>IF(AND($D30=$R$11,$E30=$T$9),$J30,0)</f>
        <v>0</v>
      </c>
      <c r="AH30" s="915">
        <f>IF(AND($D30=$R$11,$E30=$T$10),$J30,0)</f>
        <v>0</v>
      </c>
      <c r="AI30" s="915">
        <f>IF(AND($D30=$R$12,$E30=$T$8),$J30,0)</f>
        <v>0</v>
      </c>
      <c r="AJ30" s="915">
        <f>IF(AND($D30=$R$12,$E30=$T$9),$J30,0)</f>
        <v>0</v>
      </c>
      <c r="AK30" s="915">
        <f>IF(AND($D30=$R$12,$E30=$T$10),$J30,0)</f>
        <v>0</v>
      </c>
      <c r="AL30" s="915">
        <f>IF(AND($D30=$R$13,$E30=$T$8),$J30,0)</f>
        <v>0</v>
      </c>
      <c r="AM30" s="915">
        <f>IF(AND($D30=$R$13,$E30=$T$9),$J30,0)</f>
        <v>0</v>
      </c>
      <c r="AN30" s="915">
        <f>IF(AND($D30=$R$13,$E30=$T$10),$J30,0)</f>
        <v>0</v>
      </c>
      <c r="AO30" s="915">
        <f>IF(AND($D30=$R$14,$E30=$T$8),$J30,0)</f>
        <v>0</v>
      </c>
      <c r="AP30" s="915">
        <f>IF(AND($D30=$R$14,$E30=$T$9),$J30,0)</f>
        <v>0</v>
      </c>
      <c r="AQ30" s="915">
        <f>IF(AND($D30=$R$14,$E30=$T$10),$J30,0)</f>
        <v>0</v>
      </c>
      <c r="AR30" s="915">
        <f>IF(AND($D30=$R$15,$E30=$T$8),$J30,0)</f>
        <v>0</v>
      </c>
      <c r="AS30" s="915">
        <f>IF(AND($D30=$R$15,$E30=$T$9),$J30,0)</f>
        <v>8.48</v>
      </c>
      <c r="AT30" s="915">
        <f>IF(AND($D30=$R$15,$E30=$T$10),$J30,0)</f>
        <v>0</v>
      </c>
      <c r="AU30" s="915">
        <f>IF(AND($D30=$R$16,$E30=$T$8),$J30,0)</f>
        <v>0</v>
      </c>
      <c r="AV30" s="915">
        <f>IF(AND($D30=$R$16,$E30=$T$9),$J30,0)</f>
        <v>0</v>
      </c>
      <c r="AW30" s="915">
        <f>IF(AND($D30=$R$16,$E30=$T$10),$J30,0)</f>
        <v>0</v>
      </c>
      <c r="AX30" s="915">
        <f>IF(AND($D30=$R$17,$E30=$T$8),$J30,0)</f>
        <v>0</v>
      </c>
      <c r="AY30" s="915">
        <f>IF(AND($D30=$R$17,$E30=$T$9),$J30,0)</f>
        <v>0</v>
      </c>
      <c r="AZ30" s="915">
        <f>IF(AND($D30=$R$17,$E30=$T$10),$J30,0)</f>
        <v>0</v>
      </c>
      <c r="BA30" s="915">
        <f>IF(AND($D30=$R$18,$E30=$T$8),$J30,0)</f>
        <v>0</v>
      </c>
      <c r="BB30" s="915">
        <f>IF(AND($D30=$R$18,$E30=$T$9),$J30,0)</f>
        <v>0</v>
      </c>
      <c r="BC30" s="915">
        <f>IF(AND($D30=$R$18,$E30=$T$10),$J30,0)</f>
        <v>0</v>
      </c>
      <c r="BD30" s="915">
        <f>IF(AND($D30=$R$19,$E30=$T$8),$J30,0)</f>
        <v>0</v>
      </c>
      <c r="BE30" s="915">
        <f>IF(AND($D30=$R$19,$E30=$T$9),$J30,0)</f>
        <v>0</v>
      </c>
      <c r="BF30" s="915">
        <f>IF(AND($D30=$R$19,$E30=$T$10),$J30,0)</f>
        <v>0</v>
      </c>
      <c r="BG30" s="915">
        <f>IF(AND($D30=$R$20,$E30=$T$8),$J30,0)</f>
        <v>0</v>
      </c>
      <c r="BH30" s="915">
        <f>IF(AND($D30=$R$20,$E30=$T$9),$J30,0)</f>
        <v>0</v>
      </c>
      <c r="BI30" s="915">
        <f>IF(AND($D30=$R$20,$E30=$T$10),$J30,0)</f>
        <v>0</v>
      </c>
      <c r="BJ30" s="915">
        <f>IF(AND($D30=$R$21,$E30=$T$8),$J30,0)</f>
        <v>0</v>
      </c>
      <c r="BK30" s="915">
        <f>IF(AND($D30=$R$21,$E30=$T$9),$J30,0)</f>
        <v>0</v>
      </c>
      <c r="BL30" s="915">
        <f>IF(AND($D30=$R$21,$E30=$T$10),$J30,0)</f>
        <v>0</v>
      </c>
      <c r="BM30" s="915">
        <f>IF(AND($D30=$R$22,$E30=$T$8),$J30,0)</f>
        <v>0</v>
      </c>
      <c r="BN30" s="915">
        <f>IF(AND($D30=$R$22,$E30=$T$9),$J30,0)</f>
        <v>0</v>
      </c>
      <c r="BO30" s="915">
        <f>IF(AND($D30=$R$22,$E30=$T$10),$J30,0)</f>
        <v>0</v>
      </c>
      <c r="BP30" s="915">
        <f>IF(AND($D30=$R$23,$E30=$T$8),$J30,0)</f>
        <v>0</v>
      </c>
      <c r="BQ30" s="915">
        <f>IF(AND($D30=$R$23,$E30=$T$9),$J30,0)</f>
        <v>0</v>
      </c>
      <c r="BR30" s="915">
        <f>IF(AND($D30=$R$23,$E30=$T$10),$J30,0)</f>
        <v>0</v>
      </c>
      <c r="BS30" s="915">
        <f>IF(AND($D30=$R$24,$E30=$T$8),$J30,0)</f>
        <v>0</v>
      </c>
      <c r="BT30" s="915">
        <f>IF(AND($D30=$R$24,$E30=$T$9),$J30,0)</f>
        <v>0</v>
      </c>
      <c r="BU30" s="915">
        <f>IF(AND($D30=$R$24,$E30=$T$10),$J30,0)</f>
        <v>0</v>
      </c>
      <c r="BV30" s="915">
        <f>IF(AND($D30=$R$25,$E30=$T$8),$J30,0)</f>
        <v>0</v>
      </c>
      <c r="BW30" s="915">
        <f>IF(AND($D30=$R$25,$E30=$T$9),$J30,0)</f>
        <v>0</v>
      </c>
      <c r="BX30" s="915">
        <f>IF(AND($D30=$R$25,$E30=$T$10),$J30,0)</f>
        <v>0</v>
      </c>
      <c r="BY30" s="915">
        <f>IF(AND($D30=$R$26,$E30=$T$8),$J30,0)</f>
        <v>0</v>
      </c>
      <c r="BZ30" s="915">
        <f>IF(AND($D30=$R$26,$E30=$T$9),$J30,0)</f>
        <v>0</v>
      </c>
      <c r="CA30" s="915">
        <f>IF(AND($D30=$R$26,$E30=$T$10),$J30,0)</f>
        <v>0</v>
      </c>
      <c r="CB30" s="915">
        <f>IF(AND($D30=$R$27,$E30=$T$8),$J30,0)</f>
        <v>0</v>
      </c>
      <c r="CC30" s="915">
        <f>IF(AND($D30=$R$27,$E30=$T$9),$J30,0)</f>
        <v>0</v>
      </c>
      <c r="CD30" s="915">
        <f>IF(AND($D30=$R$27,$E30=$T$10),$J30,0)</f>
        <v>0</v>
      </c>
      <c r="CF30" s="533"/>
      <c r="CI30" s="534"/>
    </row>
    <row r="31" spans="1:87" ht="14.1" customHeight="1" x14ac:dyDescent="0.2">
      <c r="A31" s="497">
        <v>24</v>
      </c>
      <c r="B31" s="1423"/>
      <c r="C31" s="1431"/>
      <c r="D31" s="138">
        <v>8</v>
      </c>
      <c r="E31" s="138" t="s">
        <v>170</v>
      </c>
      <c r="F31" s="139" t="s">
        <v>2544</v>
      </c>
      <c r="G31" s="139" t="s">
        <v>2542</v>
      </c>
      <c r="H31" s="100">
        <v>8</v>
      </c>
      <c r="I31" s="119">
        <f t="shared" si="3"/>
        <v>0.48</v>
      </c>
      <c r="J31" s="90">
        <f t="shared" si="4"/>
        <v>8.48</v>
      </c>
      <c r="K31" s="51"/>
      <c r="N31" s="942">
        <f>AT6</f>
        <v>8.48</v>
      </c>
      <c r="O31" s="879" t="str">
        <f>"Other for " &amp; TabName8</f>
        <v>Other for Phase 8</v>
      </c>
      <c r="P31" s="949" t="s">
        <v>626</v>
      </c>
      <c r="W31" s="915">
        <f>IF(AND($D31=$R$8,$E31=$T$8),$J31,0)</f>
        <v>0</v>
      </c>
      <c r="X31" s="915">
        <f>IF(AND($D31=$R$8,$E31=$T$9),$J31,0)</f>
        <v>0</v>
      </c>
      <c r="Y31" s="915">
        <f>IF(AND($D31=$R$8,$E31=$T$10),$J31,0)</f>
        <v>0</v>
      </c>
      <c r="Z31" s="915">
        <f>IF(AND($D31=$R$9,$E31=$T$8),$J31,0)</f>
        <v>0</v>
      </c>
      <c r="AA31" s="915">
        <f>IF(AND($D31=$R$9,$E31=$T$9),$J31,0)</f>
        <v>0</v>
      </c>
      <c r="AB31" s="915">
        <f>IF(AND($D31=$R$9,$E31=$T$10),$J31,0)</f>
        <v>0</v>
      </c>
      <c r="AC31" s="915">
        <f>IF(AND($D31=$R$10,$E31=$T$8),$J31,0)</f>
        <v>0</v>
      </c>
      <c r="AD31" s="915">
        <f>IF(AND($D31=$R$10,$E31=$T$9),$J31,0)</f>
        <v>0</v>
      </c>
      <c r="AE31" s="915">
        <f>IF(AND($D31=$R$10,$E31=$T$10),$J31,0)</f>
        <v>0</v>
      </c>
      <c r="AF31" s="915">
        <f>IF(AND($D31=$R$11,$E31=$T$8),$J31,0)</f>
        <v>0</v>
      </c>
      <c r="AG31" s="915">
        <f>IF(AND($D31=$R$11,$E31=$T$9),$J31,0)</f>
        <v>0</v>
      </c>
      <c r="AH31" s="915">
        <f>IF(AND($D31=$R$11,$E31=$T$10),$J31,0)</f>
        <v>0</v>
      </c>
      <c r="AI31" s="915">
        <f>IF(AND($D31=$R$12,$E31=$T$8),$J31,0)</f>
        <v>0</v>
      </c>
      <c r="AJ31" s="915">
        <f>IF(AND($D31=$R$12,$E31=$T$9),$J31,0)</f>
        <v>0</v>
      </c>
      <c r="AK31" s="915">
        <f>IF(AND($D31=$R$12,$E31=$T$10),$J31,0)</f>
        <v>0</v>
      </c>
      <c r="AL31" s="915">
        <f>IF(AND($D31=$R$13,$E31=$T$8),$J31,0)</f>
        <v>0</v>
      </c>
      <c r="AM31" s="915">
        <f>IF(AND($D31=$R$13,$E31=$T$9),$J31,0)</f>
        <v>0</v>
      </c>
      <c r="AN31" s="915">
        <f>IF(AND($D31=$R$13,$E31=$T$10),$J31,0)</f>
        <v>0</v>
      </c>
      <c r="AO31" s="915">
        <f>IF(AND($D31=$R$14,$E31=$T$8),$J31,0)</f>
        <v>0</v>
      </c>
      <c r="AP31" s="915">
        <f>IF(AND($D31=$R$14,$E31=$T$9),$J31,0)</f>
        <v>0</v>
      </c>
      <c r="AQ31" s="915">
        <f>IF(AND($D31=$R$14,$E31=$T$10),$J31,0)</f>
        <v>0</v>
      </c>
      <c r="AR31" s="915">
        <f>IF(AND($D31=$R$15,$E31=$T$8),$J31,0)</f>
        <v>0</v>
      </c>
      <c r="AS31" s="915">
        <f>IF(AND($D31=$R$15,$E31=$T$9),$J31,0)</f>
        <v>0</v>
      </c>
      <c r="AT31" s="915">
        <f>IF(AND($D31=$R$15,$E31=$T$10),$J31,0)</f>
        <v>8.48</v>
      </c>
      <c r="AU31" s="915">
        <f>IF(AND($D31=$R$16,$E31=$T$8),$J31,0)</f>
        <v>0</v>
      </c>
      <c r="AV31" s="915">
        <f>IF(AND($D31=$R$16,$E31=$T$9),$J31,0)</f>
        <v>0</v>
      </c>
      <c r="AW31" s="915">
        <f>IF(AND($D31=$R$16,$E31=$T$10),$J31,0)</f>
        <v>0</v>
      </c>
      <c r="AX31" s="915">
        <f>IF(AND($D31=$R$17,$E31=$T$8),$J31,0)</f>
        <v>0</v>
      </c>
      <c r="AY31" s="915">
        <f>IF(AND($D31=$R$17,$E31=$T$9),$J31,0)</f>
        <v>0</v>
      </c>
      <c r="AZ31" s="915">
        <f>IF(AND($D31=$R$17,$E31=$T$10),$J31,0)</f>
        <v>0</v>
      </c>
      <c r="BA31" s="915">
        <f>IF(AND($D31=$R$18,$E31=$T$8),$J31,0)</f>
        <v>0</v>
      </c>
      <c r="BB31" s="915">
        <f>IF(AND($D31=$R$18,$E31=$T$9),$J31,0)</f>
        <v>0</v>
      </c>
      <c r="BC31" s="915">
        <f>IF(AND($D31=$R$18,$E31=$T$10),$J31,0)</f>
        <v>0</v>
      </c>
      <c r="BD31" s="915">
        <f>IF(AND($D31=$R$19,$E31=$T$8),$J31,0)</f>
        <v>0</v>
      </c>
      <c r="BE31" s="915">
        <f>IF(AND($D31=$R$19,$E31=$T$9),$J31,0)</f>
        <v>0</v>
      </c>
      <c r="BF31" s="915">
        <f>IF(AND($D31=$R$19,$E31=$T$10),$J31,0)</f>
        <v>0</v>
      </c>
      <c r="BG31" s="915">
        <f>IF(AND($D31=$R$20,$E31=$T$8),$J31,0)</f>
        <v>0</v>
      </c>
      <c r="BH31" s="915">
        <f>IF(AND($D31=$R$20,$E31=$T$9),$J31,0)</f>
        <v>0</v>
      </c>
      <c r="BI31" s="915">
        <f>IF(AND($D31=$R$20,$E31=$T$10),$J31,0)</f>
        <v>0</v>
      </c>
      <c r="BJ31" s="915">
        <f>IF(AND($D31=$R$21,$E31=$T$8),$J31,0)</f>
        <v>0</v>
      </c>
      <c r="BK31" s="915">
        <f>IF(AND($D31=$R$21,$E31=$T$9),$J31,0)</f>
        <v>0</v>
      </c>
      <c r="BL31" s="915">
        <f>IF(AND($D31=$R$21,$E31=$T$10),$J31,0)</f>
        <v>0</v>
      </c>
      <c r="BM31" s="915">
        <f>IF(AND($D31=$R$22,$E31=$T$8),$J31,0)</f>
        <v>0</v>
      </c>
      <c r="BN31" s="915">
        <f>IF(AND($D31=$R$22,$E31=$T$9),$J31,0)</f>
        <v>0</v>
      </c>
      <c r="BO31" s="915">
        <f>IF(AND($D31=$R$22,$E31=$T$10),$J31,0)</f>
        <v>0</v>
      </c>
      <c r="BP31" s="915">
        <f>IF(AND($D31=$R$23,$E31=$T$8),$J31,0)</f>
        <v>0</v>
      </c>
      <c r="BQ31" s="915">
        <f>IF(AND($D31=$R$23,$E31=$T$9),$J31,0)</f>
        <v>0</v>
      </c>
      <c r="BR31" s="915">
        <f>IF(AND($D31=$R$23,$E31=$T$10),$J31,0)</f>
        <v>0</v>
      </c>
      <c r="BS31" s="915">
        <f>IF(AND($D31=$R$24,$E31=$T$8),$J31,0)</f>
        <v>0</v>
      </c>
      <c r="BT31" s="915">
        <f>IF(AND($D31=$R$24,$E31=$T$9),$J31,0)</f>
        <v>0</v>
      </c>
      <c r="BU31" s="915">
        <f>IF(AND($D31=$R$24,$E31=$T$10),$J31,0)</f>
        <v>0</v>
      </c>
      <c r="BV31" s="915">
        <f>IF(AND($D31=$R$25,$E31=$T$8),$J31,0)</f>
        <v>0</v>
      </c>
      <c r="BW31" s="915">
        <f>IF(AND($D31=$R$25,$E31=$T$9),$J31,0)</f>
        <v>0</v>
      </c>
      <c r="BX31" s="915">
        <f>IF(AND($D31=$R$25,$E31=$T$10),$J31,0)</f>
        <v>0</v>
      </c>
      <c r="BY31" s="915">
        <f>IF(AND($D31=$R$26,$E31=$T$8),$J31,0)</f>
        <v>0</v>
      </c>
      <c r="BZ31" s="915">
        <f>IF(AND($D31=$R$26,$E31=$T$9),$J31,0)</f>
        <v>0</v>
      </c>
      <c r="CA31" s="915">
        <f>IF(AND($D31=$R$26,$E31=$T$10),$J31,0)</f>
        <v>0</v>
      </c>
      <c r="CB31" s="915">
        <f>IF(AND($D31=$R$27,$E31=$T$8),$J31,0)</f>
        <v>0</v>
      </c>
      <c r="CC31" s="915">
        <f>IF(AND($D31=$R$27,$E31=$T$9),$J31,0)</f>
        <v>0</v>
      </c>
      <c r="CD31" s="915">
        <f>IF(AND($D31=$R$27,$E31=$T$10),$J31,0)</f>
        <v>0</v>
      </c>
      <c r="CF31" s="533"/>
      <c r="CI31" s="534"/>
    </row>
    <row r="32" spans="1:87" ht="14.1" customHeight="1" x14ac:dyDescent="0.2">
      <c r="A32" s="496">
        <v>25</v>
      </c>
      <c r="B32" s="1419"/>
      <c r="C32" s="1420"/>
      <c r="D32" s="264">
        <v>9</v>
      </c>
      <c r="E32" s="264" t="s">
        <v>26</v>
      </c>
      <c r="F32" s="270" t="s">
        <v>2544</v>
      </c>
      <c r="G32" s="270" t="s">
        <v>2542</v>
      </c>
      <c r="H32" s="272">
        <v>8</v>
      </c>
      <c r="I32" s="268">
        <f t="shared" si="3"/>
        <v>0.48</v>
      </c>
      <c r="J32" s="269">
        <f t="shared" si="4"/>
        <v>8.48</v>
      </c>
      <c r="K32" s="51"/>
      <c r="N32" s="942">
        <f>AU6</f>
        <v>8.48</v>
      </c>
      <c r="O32" s="915" t="str">
        <f>"Rented Equipment for "&amp;TabName9</f>
        <v>Rented Equipment for Phase 9</v>
      </c>
      <c r="P32" s="949" t="s">
        <v>627</v>
      </c>
      <c r="W32" s="915">
        <f t="shared" si="5"/>
        <v>0</v>
      </c>
      <c r="X32" s="915">
        <f t="shared" si="6"/>
        <v>0</v>
      </c>
      <c r="Y32" s="915">
        <f t="shared" si="7"/>
        <v>0</v>
      </c>
      <c r="Z32" s="915">
        <f t="shared" si="8"/>
        <v>0</v>
      </c>
      <c r="AA32" s="915">
        <f t="shared" si="9"/>
        <v>0</v>
      </c>
      <c r="AB32" s="915">
        <f t="shared" si="10"/>
        <v>0</v>
      </c>
      <c r="AC32" s="915">
        <f t="shared" si="11"/>
        <v>0</v>
      </c>
      <c r="AD32" s="915">
        <f t="shared" si="12"/>
        <v>0</v>
      </c>
      <c r="AE32" s="915">
        <f t="shared" si="13"/>
        <v>0</v>
      </c>
      <c r="AF32" s="915">
        <f t="shared" si="14"/>
        <v>0</v>
      </c>
      <c r="AG32" s="915">
        <f t="shared" si="15"/>
        <v>0</v>
      </c>
      <c r="AH32" s="915">
        <f t="shared" si="16"/>
        <v>0</v>
      </c>
      <c r="AI32" s="915">
        <f t="shared" si="17"/>
        <v>0</v>
      </c>
      <c r="AJ32" s="915">
        <f t="shared" si="18"/>
        <v>0</v>
      </c>
      <c r="AK32" s="915">
        <f t="shared" si="19"/>
        <v>0</v>
      </c>
      <c r="AL32" s="915">
        <f t="shared" si="20"/>
        <v>0</v>
      </c>
      <c r="AM32" s="915">
        <f t="shared" si="21"/>
        <v>0</v>
      </c>
      <c r="AN32" s="915">
        <f t="shared" si="22"/>
        <v>0</v>
      </c>
      <c r="AO32" s="915">
        <f t="shared" si="23"/>
        <v>0</v>
      </c>
      <c r="AP32" s="915">
        <f t="shared" si="24"/>
        <v>0</v>
      </c>
      <c r="AQ32" s="915">
        <f t="shared" si="25"/>
        <v>0</v>
      </c>
      <c r="AR32" s="915">
        <f t="shared" si="26"/>
        <v>0</v>
      </c>
      <c r="AS32" s="915">
        <f t="shared" si="27"/>
        <v>0</v>
      </c>
      <c r="AT32" s="915">
        <f t="shared" si="28"/>
        <v>0</v>
      </c>
      <c r="AU32" s="915">
        <f t="shared" si="29"/>
        <v>8.48</v>
      </c>
      <c r="AV32" s="915">
        <f t="shared" si="30"/>
        <v>0</v>
      </c>
      <c r="AW32" s="915">
        <f t="shared" si="31"/>
        <v>0</v>
      </c>
      <c r="AX32" s="915">
        <f t="shared" si="32"/>
        <v>0</v>
      </c>
      <c r="AY32" s="915">
        <f t="shared" si="33"/>
        <v>0</v>
      </c>
      <c r="AZ32" s="915">
        <f t="shared" si="34"/>
        <v>0</v>
      </c>
      <c r="BA32" s="915">
        <f t="shared" si="35"/>
        <v>0</v>
      </c>
      <c r="BB32" s="915">
        <f t="shared" si="36"/>
        <v>0</v>
      </c>
      <c r="BC32" s="915">
        <f t="shared" si="37"/>
        <v>0</v>
      </c>
      <c r="BD32" s="915">
        <f t="shared" si="38"/>
        <v>0</v>
      </c>
      <c r="BE32" s="915">
        <f t="shared" si="39"/>
        <v>0</v>
      </c>
      <c r="BF32" s="915">
        <f t="shared" si="40"/>
        <v>0</v>
      </c>
      <c r="BG32" s="915">
        <f t="shared" si="41"/>
        <v>0</v>
      </c>
      <c r="BH32" s="915">
        <f t="shared" si="42"/>
        <v>0</v>
      </c>
      <c r="BI32" s="915">
        <f t="shared" si="43"/>
        <v>0</v>
      </c>
      <c r="BJ32" s="915">
        <f t="shared" si="44"/>
        <v>0</v>
      </c>
      <c r="BK32" s="915">
        <f t="shared" si="45"/>
        <v>0</v>
      </c>
      <c r="BL32" s="915">
        <f t="shared" si="46"/>
        <v>0</v>
      </c>
      <c r="BM32" s="915">
        <f t="shared" si="47"/>
        <v>0</v>
      </c>
      <c r="BN32" s="915">
        <f t="shared" si="48"/>
        <v>0</v>
      </c>
      <c r="BO32" s="915">
        <f t="shared" si="49"/>
        <v>0</v>
      </c>
      <c r="BP32" s="915">
        <f t="shared" si="50"/>
        <v>0</v>
      </c>
      <c r="BQ32" s="915">
        <f t="shared" si="51"/>
        <v>0</v>
      </c>
      <c r="BR32" s="915">
        <f t="shared" si="52"/>
        <v>0</v>
      </c>
      <c r="BS32" s="915">
        <f t="shared" si="53"/>
        <v>0</v>
      </c>
      <c r="BT32" s="915">
        <f t="shared" si="54"/>
        <v>0</v>
      </c>
      <c r="BU32" s="915">
        <f t="shared" si="55"/>
        <v>0</v>
      </c>
      <c r="BV32" s="915">
        <f t="shared" si="56"/>
        <v>0</v>
      </c>
      <c r="BW32" s="915">
        <f t="shared" si="57"/>
        <v>0</v>
      </c>
      <c r="BX32" s="915">
        <f t="shared" si="58"/>
        <v>0</v>
      </c>
      <c r="BY32" s="915">
        <f t="shared" si="59"/>
        <v>0</v>
      </c>
      <c r="BZ32" s="915">
        <f t="shared" si="60"/>
        <v>0</v>
      </c>
      <c r="CA32" s="915">
        <f t="shared" si="61"/>
        <v>0</v>
      </c>
      <c r="CB32" s="915">
        <f t="shared" si="62"/>
        <v>0</v>
      </c>
      <c r="CC32" s="915">
        <f t="shared" si="63"/>
        <v>0</v>
      </c>
      <c r="CD32" s="915">
        <f t="shared" si="64"/>
        <v>0</v>
      </c>
      <c r="CF32" s="533"/>
      <c r="CI32" s="534"/>
    </row>
    <row r="33" spans="1:87" ht="14.1" customHeight="1" x14ac:dyDescent="0.2">
      <c r="A33" s="497">
        <v>26</v>
      </c>
      <c r="B33" s="1423"/>
      <c r="C33" s="1431"/>
      <c r="D33" s="138">
        <v>9</v>
      </c>
      <c r="E33" s="138" t="s">
        <v>30</v>
      </c>
      <c r="F33" s="139" t="s">
        <v>2544</v>
      </c>
      <c r="G33" s="139" t="s">
        <v>2542</v>
      </c>
      <c r="H33" s="100">
        <v>8</v>
      </c>
      <c r="I33" s="119">
        <f t="shared" si="3"/>
        <v>0.48</v>
      </c>
      <c r="J33" s="90">
        <f t="shared" si="4"/>
        <v>8.48</v>
      </c>
      <c r="K33" s="51"/>
      <c r="N33" s="942">
        <f>AV6</f>
        <v>8.48</v>
      </c>
      <c r="O33" s="879" t="str">
        <f>"Purchased Supplies for " &amp; TabName9</f>
        <v>Purchased Supplies for Phase 9</v>
      </c>
      <c r="P33" s="950" t="s">
        <v>628</v>
      </c>
      <c r="W33" s="915">
        <f t="shared" si="5"/>
        <v>0</v>
      </c>
      <c r="X33" s="915">
        <f t="shared" si="6"/>
        <v>0</v>
      </c>
      <c r="Y33" s="915">
        <f t="shared" si="7"/>
        <v>0</v>
      </c>
      <c r="Z33" s="915">
        <f t="shared" si="8"/>
        <v>0</v>
      </c>
      <c r="AA33" s="915">
        <f t="shared" si="9"/>
        <v>0</v>
      </c>
      <c r="AB33" s="915">
        <f t="shared" si="10"/>
        <v>0</v>
      </c>
      <c r="AC33" s="915">
        <f t="shared" si="11"/>
        <v>0</v>
      </c>
      <c r="AD33" s="915">
        <f t="shared" si="12"/>
        <v>0</v>
      </c>
      <c r="AE33" s="915">
        <f t="shared" si="13"/>
        <v>0</v>
      </c>
      <c r="AF33" s="915">
        <f t="shared" si="14"/>
        <v>0</v>
      </c>
      <c r="AG33" s="915">
        <f t="shared" si="15"/>
        <v>0</v>
      </c>
      <c r="AH33" s="915">
        <f t="shared" si="16"/>
        <v>0</v>
      </c>
      <c r="AI33" s="915">
        <f t="shared" si="17"/>
        <v>0</v>
      </c>
      <c r="AJ33" s="915">
        <f t="shared" si="18"/>
        <v>0</v>
      </c>
      <c r="AK33" s="915">
        <f t="shared" si="19"/>
        <v>0</v>
      </c>
      <c r="AL33" s="915">
        <f t="shared" si="20"/>
        <v>0</v>
      </c>
      <c r="AM33" s="915">
        <f t="shared" si="21"/>
        <v>0</v>
      </c>
      <c r="AN33" s="915">
        <f t="shared" si="22"/>
        <v>0</v>
      </c>
      <c r="AO33" s="915">
        <f t="shared" si="23"/>
        <v>0</v>
      </c>
      <c r="AP33" s="915">
        <f t="shared" si="24"/>
        <v>0</v>
      </c>
      <c r="AQ33" s="915">
        <f t="shared" si="25"/>
        <v>0</v>
      </c>
      <c r="AR33" s="915">
        <f t="shared" si="26"/>
        <v>0</v>
      </c>
      <c r="AS33" s="915">
        <f t="shared" si="27"/>
        <v>0</v>
      </c>
      <c r="AT33" s="915">
        <f t="shared" si="28"/>
        <v>0</v>
      </c>
      <c r="AU33" s="915">
        <f t="shared" si="29"/>
        <v>0</v>
      </c>
      <c r="AV33" s="915">
        <f t="shared" si="30"/>
        <v>8.48</v>
      </c>
      <c r="AW33" s="915">
        <f t="shared" si="31"/>
        <v>0</v>
      </c>
      <c r="AX33" s="915">
        <f t="shared" si="32"/>
        <v>0</v>
      </c>
      <c r="AY33" s="915">
        <f t="shared" si="33"/>
        <v>0</v>
      </c>
      <c r="AZ33" s="915">
        <f t="shared" si="34"/>
        <v>0</v>
      </c>
      <c r="BA33" s="915">
        <f t="shared" si="35"/>
        <v>0</v>
      </c>
      <c r="BB33" s="915">
        <f t="shared" si="36"/>
        <v>0</v>
      </c>
      <c r="BC33" s="915">
        <f t="shared" si="37"/>
        <v>0</v>
      </c>
      <c r="BD33" s="915">
        <f t="shared" si="38"/>
        <v>0</v>
      </c>
      <c r="BE33" s="915">
        <f t="shared" si="39"/>
        <v>0</v>
      </c>
      <c r="BF33" s="915">
        <f t="shared" si="40"/>
        <v>0</v>
      </c>
      <c r="BG33" s="915">
        <f t="shared" si="41"/>
        <v>0</v>
      </c>
      <c r="BH33" s="915">
        <f t="shared" si="42"/>
        <v>0</v>
      </c>
      <c r="BI33" s="915">
        <f t="shared" si="43"/>
        <v>0</v>
      </c>
      <c r="BJ33" s="915">
        <f t="shared" si="44"/>
        <v>0</v>
      </c>
      <c r="BK33" s="915">
        <f t="shared" si="45"/>
        <v>0</v>
      </c>
      <c r="BL33" s="915">
        <f t="shared" si="46"/>
        <v>0</v>
      </c>
      <c r="BM33" s="915">
        <f t="shared" si="47"/>
        <v>0</v>
      </c>
      <c r="BN33" s="915">
        <f t="shared" si="48"/>
        <v>0</v>
      </c>
      <c r="BO33" s="915">
        <f t="shared" si="49"/>
        <v>0</v>
      </c>
      <c r="BP33" s="915">
        <f t="shared" si="50"/>
        <v>0</v>
      </c>
      <c r="BQ33" s="915">
        <f t="shared" si="51"/>
        <v>0</v>
      </c>
      <c r="BR33" s="915">
        <f t="shared" si="52"/>
        <v>0</v>
      </c>
      <c r="BS33" s="915">
        <f t="shared" si="53"/>
        <v>0</v>
      </c>
      <c r="BT33" s="915">
        <f t="shared" si="54"/>
        <v>0</v>
      </c>
      <c r="BU33" s="915">
        <f t="shared" si="55"/>
        <v>0</v>
      </c>
      <c r="BV33" s="915">
        <f t="shared" si="56"/>
        <v>0</v>
      </c>
      <c r="BW33" s="915">
        <f t="shared" si="57"/>
        <v>0</v>
      </c>
      <c r="BX33" s="915">
        <f t="shared" si="58"/>
        <v>0</v>
      </c>
      <c r="BY33" s="915">
        <f t="shared" si="59"/>
        <v>0</v>
      </c>
      <c r="BZ33" s="915">
        <f t="shared" si="60"/>
        <v>0</v>
      </c>
      <c r="CA33" s="915">
        <f t="shared" si="61"/>
        <v>0</v>
      </c>
      <c r="CB33" s="915">
        <f>IF(AND($D33=$R$27,$E33=$T$8),$J33,0)</f>
        <v>0</v>
      </c>
      <c r="CC33" s="915">
        <f>IF(AND($D33=$R$27,$E33=$T$9),$J33,0)</f>
        <v>0</v>
      </c>
      <c r="CD33" s="915">
        <f>IF(AND($D33=$R$27,$E33=$T$10),$J33,0)</f>
        <v>0</v>
      </c>
      <c r="CF33" s="533"/>
      <c r="CI33" s="534"/>
    </row>
    <row r="34" spans="1:87" ht="14.1" customHeight="1" x14ac:dyDescent="0.2">
      <c r="A34" s="496">
        <v>27</v>
      </c>
      <c r="B34" s="1419"/>
      <c r="C34" s="1420"/>
      <c r="D34" s="264">
        <v>9</v>
      </c>
      <c r="E34" s="264" t="s">
        <v>170</v>
      </c>
      <c r="F34" s="270" t="s">
        <v>2544</v>
      </c>
      <c r="G34" s="270" t="s">
        <v>2542</v>
      </c>
      <c r="H34" s="272">
        <v>8</v>
      </c>
      <c r="I34" s="268">
        <f t="shared" si="3"/>
        <v>0.48</v>
      </c>
      <c r="J34" s="269">
        <f t="shared" si="4"/>
        <v>8.48</v>
      </c>
      <c r="K34" s="51"/>
      <c r="N34" s="942">
        <f>AW6</f>
        <v>8.48</v>
      </c>
      <c r="O34" s="879" t="str">
        <f>"Other for " &amp; TabName9</f>
        <v>Other for Phase 9</v>
      </c>
      <c r="P34" s="949" t="s">
        <v>629</v>
      </c>
      <c r="W34" s="915">
        <f t="shared" si="5"/>
        <v>0</v>
      </c>
      <c r="X34" s="915">
        <f t="shared" si="6"/>
        <v>0</v>
      </c>
      <c r="Y34" s="915">
        <f t="shared" si="7"/>
        <v>0</v>
      </c>
      <c r="Z34" s="915">
        <f t="shared" si="8"/>
        <v>0</v>
      </c>
      <c r="AA34" s="915">
        <f t="shared" si="9"/>
        <v>0</v>
      </c>
      <c r="AB34" s="915">
        <f t="shared" si="10"/>
        <v>0</v>
      </c>
      <c r="AC34" s="915">
        <f t="shared" si="11"/>
        <v>0</v>
      </c>
      <c r="AD34" s="915">
        <f t="shared" si="12"/>
        <v>0</v>
      </c>
      <c r="AE34" s="915">
        <f t="shared" si="13"/>
        <v>0</v>
      </c>
      <c r="AF34" s="915">
        <f t="shared" si="14"/>
        <v>0</v>
      </c>
      <c r="AG34" s="915">
        <f t="shared" si="15"/>
        <v>0</v>
      </c>
      <c r="AH34" s="915">
        <f>IF(AND($D34=$R$11,$E34=$T$10),$J34,0)</f>
        <v>0</v>
      </c>
      <c r="AI34" s="915">
        <f t="shared" si="17"/>
        <v>0</v>
      </c>
      <c r="AJ34" s="915">
        <f t="shared" si="18"/>
        <v>0</v>
      </c>
      <c r="AK34" s="915">
        <f t="shared" si="19"/>
        <v>0</v>
      </c>
      <c r="AL34" s="915">
        <f t="shared" si="20"/>
        <v>0</v>
      </c>
      <c r="AM34" s="915">
        <f t="shared" si="21"/>
        <v>0</v>
      </c>
      <c r="AN34" s="915">
        <f t="shared" si="22"/>
        <v>0</v>
      </c>
      <c r="AO34" s="915">
        <f t="shared" si="23"/>
        <v>0</v>
      </c>
      <c r="AP34" s="915">
        <f t="shared" si="24"/>
        <v>0</v>
      </c>
      <c r="AQ34" s="915">
        <f t="shared" si="25"/>
        <v>0</v>
      </c>
      <c r="AR34" s="915">
        <f t="shared" si="26"/>
        <v>0</v>
      </c>
      <c r="AS34" s="915">
        <f t="shared" si="27"/>
        <v>0</v>
      </c>
      <c r="AT34" s="915">
        <f t="shared" si="28"/>
        <v>0</v>
      </c>
      <c r="AU34" s="915">
        <f t="shared" si="29"/>
        <v>0</v>
      </c>
      <c r="AV34" s="915">
        <f t="shared" si="30"/>
        <v>0</v>
      </c>
      <c r="AW34" s="915">
        <f t="shared" si="31"/>
        <v>8.48</v>
      </c>
      <c r="AX34" s="915">
        <f t="shared" si="32"/>
        <v>0</v>
      </c>
      <c r="AY34" s="915">
        <f t="shared" si="33"/>
        <v>0</v>
      </c>
      <c r="AZ34" s="915">
        <f t="shared" si="34"/>
        <v>0</v>
      </c>
      <c r="BA34" s="915">
        <f t="shared" si="35"/>
        <v>0</v>
      </c>
      <c r="BB34" s="915">
        <f t="shared" si="36"/>
        <v>0</v>
      </c>
      <c r="BC34" s="915">
        <f t="shared" si="37"/>
        <v>0</v>
      </c>
      <c r="BD34" s="915">
        <f t="shared" si="38"/>
        <v>0</v>
      </c>
      <c r="BE34" s="915">
        <f t="shared" si="39"/>
        <v>0</v>
      </c>
      <c r="BF34" s="915">
        <f t="shared" si="40"/>
        <v>0</v>
      </c>
      <c r="BG34" s="915">
        <f t="shared" si="41"/>
        <v>0</v>
      </c>
      <c r="BH34" s="915">
        <f t="shared" si="42"/>
        <v>0</v>
      </c>
      <c r="BI34" s="915">
        <f t="shared" si="43"/>
        <v>0</v>
      </c>
      <c r="BJ34" s="915">
        <f t="shared" si="44"/>
        <v>0</v>
      </c>
      <c r="BK34" s="915">
        <f t="shared" si="45"/>
        <v>0</v>
      </c>
      <c r="BL34" s="915">
        <f t="shared" si="46"/>
        <v>0</v>
      </c>
      <c r="BM34" s="915">
        <f t="shared" si="47"/>
        <v>0</v>
      </c>
      <c r="BN34" s="915">
        <f t="shared" si="48"/>
        <v>0</v>
      </c>
      <c r="BO34" s="915">
        <f t="shared" si="49"/>
        <v>0</v>
      </c>
      <c r="BP34" s="915">
        <f t="shared" si="50"/>
        <v>0</v>
      </c>
      <c r="BQ34" s="915">
        <f t="shared" si="51"/>
        <v>0</v>
      </c>
      <c r="BR34" s="915">
        <f t="shared" si="52"/>
        <v>0</v>
      </c>
      <c r="BS34" s="915">
        <f t="shared" si="53"/>
        <v>0</v>
      </c>
      <c r="BT34" s="915">
        <f t="shared" si="54"/>
        <v>0</v>
      </c>
      <c r="BU34" s="915">
        <f t="shared" si="55"/>
        <v>0</v>
      </c>
      <c r="BV34" s="915">
        <f t="shared" si="56"/>
        <v>0</v>
      </c>
      <c r="BW34" s="915">
        <f t="shared" si="57"/>
        <v>0</v>
      </c>
      <c r="BX34" s="915">
        <f t="shared" si="58"/>
        <v>0</v>
      </c>
      <c r="BY34" s="915">
        <f t="shared" si="59"/>
        <v>0</v>
      </c>
      <c r="BZ34" s="915">
        <f t="shared" si="60"/>
        <v>0</v>
      </c>
      <c r="CA34" s="915">
        <f t="shared" si="61"/>
        <v>0</v>
      </c>
      <c r="CB34" s="915">
        <f t="shared" si="62"/>
        <v>0</v>
      </c>
      <c r="CC34" s="915">
        <f t="shared" si="63"/>
        <v>0</v>
      </c>
      <c r="CD34" s="915">
        <f t="shared" si="64"/>
        <v>0</v>
      </c>
      <c r="CF34" s="533"/>
      <c r="CI34" s="534"/>
    </row>
    <row r="35" spans="1:87" ht="14.1" customHeight="1" x14ac:dyDescent="0.2">
      <c r="A35" s="497">
        <v>28</v>
      </c>
      <c r="B35" s="1423"/>
      <c r="C35" s="1431"/>
      <c r="D35" s="138">
        <v>10</v>
      </c>
      <c r="E35" s="138" t="s">
        <v>26</v>
      </c>
      <c r="F35" s="139" t="s">
        <v>2544</v>
      </c>
      <c r="G35" s="139" t="s">
        <v>2542</v>
      </c>
      <c r="H35" s="100">
        <v>8</v>
      </c>
      <c r="I35" s="119">
        <f t="shared" si="3"/>
        <v>0.48</v>
      </c>
      <c r="J35" s="90">
        <f t="shared" si="4"/>
        <v>8.48</v>
      </c>
      <c r="K35" s="51"/>
      <c r="N35" s="942">
        <f>AX6</f>
        <v>8.48</v>
      </c>
      <c r="O35" s="915" t="str">
        <f>"Rented Equipment for "&amp;tabname10</f>
        <v>Rented Equipment for Phase 10</v>
      </c>
      <c r="P35" s="949" t="s">
        <v>630</v>
      </c>
      <c r="W35" s="915">
        <f t="shared" si="5"/>
        <v>0</v>
      </c>
      <c r="X35" s="915">
        <f t="shared" si="6"/>
        <v>0</v>
      </c>
      <c r="Y35" s="915">
        <f t="shared" si="7"/>
        <v>0</v>
      </c>
      <c r="Z35" s="915">
        <f t="shared" si="8"/>
        <v>0</v>
      </c>
      <c r="AA35" s="915">
        <f t="shared" si="9"/>
        <v>0</v>
      </c>
      <c r="AB35" s="915">
        <f t="shared" si="10"/>
        <v>0</v>
      </c>
      <c r="AC35" s="915">
        <f t="shared" si="11"/>
        <v>0</v>
      </c>
      <c r="AD35" s="915">
        <f t="shared" si="12"/>
        <v>0</v>
      </c>
      <c r="AE35" s="915">
        <f t="shared" si="13"/>
        <v>0</v>
      </c>
      <c r="AF35" s="915">
        <f t="shared" si="14"/>
        <v>0</v>
      </c>
      <c r="AG35" s="915">
        <f t="shared" si="15"/>
        <v>0</v>
      </c>
      <c r="AH35" s="915">
        <f t="shared" si="16"/>
        <v>0</v>
      </c>
      <c r="AI35" s="915">
        <f t="shared" si="17"/>
        <v>0</v>
      </c>
      <c r="AJ35" s="915">
        <f t="shared" si="18"/>
        <v>0</v>
      </c>
      <c r="AK35" s="915">
        <f t="shared" si="19"/>
        <v>0</v>
      </c>
      <c r="AL35" s="915">
        <f t="shared" si="20"/>
        <v>0</v>
      </c>
      <c r="AM35" s="915">
        <f t="shared" si="21"/>
        <v>0</v>
      </c>
      <c r="AN35" s="915">
        <f t="shared" si="22"/>
        <v>0</v>
      </c>
      <c r="AO35" s="915">
        <f t="shared" si="23"/>
        <v>0</v>
      </c>
      <c r="AP35" s="915">
        <f t="shared" si="24"/>
        <v>0</v>
      </c>
      <c r="AQ35" s="915">
        <f t="shared" si="25"/>
        <v>0</v>
      </c>
      <c r="AR35" s="915">
        <f t="shared" si="26"/>
        <v>0</v>
      </c>
      <c r="AS35" s="915">
        <f t="shared" si="27"/>
        <v>0</v>
      </c>
      <c r="AT35" s="915">
        <f t="shared" si="28"/>
        <v>0</v>
      </c>
      <c r="AU35" s="915">
        <f t="shared" si="29"/>
        <v>0</v>
      </c>
      <c r="AV35" s="915">
        <f t="shared" si="30"/>
        <v>0</v>
      </c>
      <c r="AW35" s="915">
        <f t="shared" si="31"/>
        <v>0</v>
      </c>
      <c r="AX35" s="915">
        <f t="shared" si="32"/>
        <v>8.48</v>
      </c>
      <c r="AY35" s="915">
        <f t="shared" si="33"/>
        <v>0</v>
      </c>
      <c r="AZ35" s="915">
        <f t="shared" si="34"/>
        <v>0</v>
      </c>
      <c r="BA35" s="915">
        <f t="shared" si="35"/>
        <v>0</v>
      </c>
      <c r="BB35" s="915">
        <f t="shared" si="36"/>
        <v>0</v>
      </c>
      <c r="BC35" s="915">
        <f t="shared" si="37"/>
        <v>0</v>
      </c>
      <c r="BD35" s="915">
        <f t="shared" si="38"/>
        <v>0</v>
      </c>
      <c r="BE35" s="915">
        <f t="shared" si="39"/>
        <v>0</v>
      </c>
      <c r="BF35" s="915">
        <f t="shared" si="40"/>
        <v>0</v>
      </c>
      <c r="BG35" s="915">
        <f t="shared" si="41"/>
        <v>0</v>
      </c>
      <c r="BH35" s="915">
        <f t="shared" si="42"/>
        <v>0</v>
      </c>
      <c r="BI35" s="915">
        <f t="shared" si="43"/>
        <v>0</v>
      </c>
      <c r="BJ35" s="915">
        <f t="shared" si="44"/>
        <v>0</v>
      </c>
      <c r="BK35" s="915">
        <f t="shared" si="45"/>
        <v>0</v>
      </c>
      <c r="BL35" s="915">
        <f t="shared" si="46"/>
        <v>0</v>
      </c>
      <c r="BM35" s="915">
        <f t="shared" si="47"/>
        <v>0</v>
      </c>
      <c r="BN35" s="915">
        <f t="shared" si="48"/>
        <v>0</v>
      </c>
      <c r="BO35" s="915">
        <f t="shared" si="49"/>
        <v>0</v>
      </c>
      <c r="BP35" s="915">
        <f t="shared" si="50"/>
        <v>0</v>
      </c>
      <c r="BQ35" s="915">
        <f t="shared" si="51"/>
        <v>0</v>
      </c>
      <c r="BR35" s="915">
        <f t="shared" si="52"/>
        <v>0</v>
      </c>
      <c r="BS35" s="915">
        <f t="shared" si="53"/>
        <v>0</v>
      </c>
      <c r="BT35" s="915">
        <f t="shared" si="54"/>
        <v>0</v>
      </c>
      <c r="BU35" s="915">
        <f t="shared" si="55"/>
        <v>0</v>
      </c>
      <c r="BV35" s="915">
        <f t="shared" si="56"/>
        <v>0</v>
      </c>
      <c r="BW35" s="915">
        <f t="shared" si="57"/>
        <v>0</v>
      </c>
      <c r="BX35" s="915">
        <f t="shared" si="58"/>
        <v>0</v>
      </c>
      <c r="BY35" s="915">
        <f t="shared" si="59"/>
        <v>0</v>
      </c>
      <c r="BZ35" s="915">
        <f t="shared" si="60"/>
        <v>0</v>
      </c>
      <c r="CA35" s="915">
        <f t="shared" si="61"/>
        <v>0</v>
      </c>
      <c r="CB35" s="915">
        <f t="shared" si="62"/>
        <v>0</v>
      </c>
      <c r="CC35" s="915">
        <f t="shared" si="63"/>
        <v>0</v>
      </c>
      <c r="CD35" s="915">
        <f t="shared" si="64"/>
        <v>0</v>
      </c>
      <c r="CF35" s="533"/>
      <c r="CI35" s="534"/>
    </row>
    <row r="36" spans="1:87" ht="14.1" customHeight="1" x14ac:dyDescent="0.2">
      <c r="A36" s="496">
        <v>29</v>
      </c>
      <c r="B36" s="1419"/>
      <c r="C36" s="1420"/>
      <c r="D36" s="264">
        <v>10</v>
      </c>
      <c r="E36" s="264" t="s">
        <v>30</v>
      </c>
      <c r="F36" s="270" t="s">
        <v>2544</v>
      </c>
      <c r="G36" s="270" t="s">
        <v>2542</v>
      </c>
      <c r="H36" s="272">
        <v>8</v>
      </c>
      <c r="I36" s="268">
        <f t="shared" si="3"/>
        <v>0.48</v>
      </c>
      <c r="J36" s="269">
        <f t="shared" si="4"/>
        <v>8.48</v>
      </c>
      <c r="K36" s="51"/>
      <c r="N36" s="942">
        <f>AY6</f>
        <v>8.48</v>
      </c>
      <c r="O36" s="879" t="str">
        <f>"Purchased Supplies for " &amp; tabname10</f>
        <v>Purchased Supplies for Phase 10</v>
      </c>
      <c r="P36" s="950" t="s">
        <v>631</v>
      </c>
      <c r="W36" s="915">
        <f t="shared" si="5"/>
        <v>0</v>
      </c>
      <c r="X36" s="915">
        <f t="shared" si="6"/>
        <v>0</v>
      </c>
      <c r="Y36" s="915">
        <f t="shared" si="7"/>
        <v>0</v>
      </c>
      <c r="Z36" s="915">
        <f t="shared" si="8"/>
        <v>0</v>
      </c>
      <c r="AA36" s="915">
        <f t="shared" si="9"/>
        <v>0</v>
      </c>
      <c r="AB36" s="915">
        <f t="shared" si="10"/>
        <v>0</v>
      </c>
      <c r="AC36" s="915">
        <f t="shared" si="11"/>
        <v>0</v>
      </c>
      <c r="AD36" s="915">
        <f t="shared" si="12"/>
        <v>0</v>
      </c>
      <c r="AE36" s="915">
        <f t="shared" si="13"/>
        <v>0</v>
      </c>
      <c r="AF36" s="915">
        <f t="shared" si="14"/>
        <v>0</v>
      </c>
      <c r="AG36" s="915">
        <f t="shared" si="15"/>
        <v>0</v>
      </c>
      <c r="AH36" s="915">
        <f t="shared" si="16"/>
        <v>0</v>
      </c>
      <c r="AI36" s="915">
        <f t="shared" si="17"/>
        <v>0</v>
      </c>
      <c r="AJ36" s="915">
        <f t="shared" si="18"/>
        <v>0</v>
      </c>
      <c r="AK36" s="915">
        <f t="shared" si="19"/>
        <v>0</v>
      </c>
      <c r="AL36" s="915">
        <f t="shared" si="20"/>
        <v>0</v>
      </c>
      <c r="AM36" s="915">
        <f t="shared" si="21"/>
        <v>0</v>
      </c>
      <c r="AN36" s="915">
        <f t="shared" si="22"/>
        <v>0</v>
      </c>
      <c r="AO36" s="915">
        <f t="shared" si="23"/>
        <v>0</v>
      </c>
      <c r="AP36" s="915">
        <f t="shared" si="24"/>
        <v>0</v>
      </c>
      <c r="AQ36" s="915">
        <f t="shared" si="25"/>
        <v>0</v>
      </c>
      <c r="AR36" s="915">
        <f t="shared" si="26"/>
        <v>0</v>
      </c>
      <c r="AS36" s="915">
        <f t="shared" si="27"/>
        <v>0</v>
      </c>
      <c r="AT36" s="915">
        <f t="shared" si="28"/>
        <v>0</v>
      </c>
      <c r="AU36" s="915">
        <f t="shared" si="29"/>
        <v>0</v>
      </c>
      <c r="AV36" s="915">
        <f t="shared" si="30"/>
        <v>0</v>
      </c>
      <c r="AW36" s="915">
        <f t="shared" si="31"/>
        <v>0</v>
      </c>
      <c r="AX36" s="915">
        <f t="shared" si="32"/>
        <v>0</v>
      </c>
      <c r="AY36" s="915">
        <f t="shared" si="33"/>
        <v>8.48</v>
      </c>
      <c r="AZ36" s="915">
        <f t="shared" si="34"/>
        <v>0</v>
      </c>
      <c r="BA36" s="915">
        <f t="shared" si="35"/>
        <v>0</v>
      </c>
      <c r="BB36" s="915">
        <f t="shared" si="36"/>
        <v>0</v>
      </c>
      <c r="BC36" s="915">
        <f t="shared" si="37"/>
        <v>0</v>
      </c>
      <c r="BD36" s="915">
        <f t="shared" si="38"/>
        <v>0</v>
      </c>
      <c r="BE36" s="915">
        <f t="shared" si="39"/>
        <v>0</v>
      </c>
      <c r="BF36" s="915">
        <f t="shared" si="40"/>
        <v>0</v>
      </c>
      <c r="BG36" s="915">
        <f t="shared" si="41"/>
        <v>0</v>
      </c>
      <c r="BH36" s="915">
        <f t="shared" si="42"/>
        <v>0</v>
      </c>
      <c r="BI36" s="915">
        <f t="shared" si="43"/>
        <v>0</v>
      </c>
      <c r="BJ36" s="915">
        <f t="shared" si="44"/>
        <v>0</v>
      </c>
      <c r="BK36" s="915">
        <f t="shared" si="45"/>
        <v>0</v>
      </c>
      <c r="BL36" s="915">
        <f t="shared" si="46"/>
        <v>0</v>
      </c>
      <c r="BM36" s="915">
        <f t="shared" si="47"/>
        <v>0</v>
      </c>
      <c r="BN36" s="915">
        <f t="shared" si="48"/>
        <v>0</v>
      </c>
      <c r="BO36" s="915">
        <f t="shared" si="49"/>
        <v>0</v>
      </c>
      <c r="BP36" s="915">
        <f t="shared" si="50"/>
        <v>0</v>
      </c>
      <c r="BQ36" s="915">
        <f t="shared" si="51"/>
        <v>0</v>
      </c>
      <c r="BR36" s="915">
        <f t="shared" si="52"/>
        <v>0</v>
      </c>
      <c r="BS36" s="915">
        <f t="shared" si="53"/>
        <v>0</v>
      </c>
      <c r="BT36" s="915">
        <f t="shared" si="54"/>
        <v>0</v>
      </c>
      <c r="BU36" s="915">
        <f t="shared" si="55"/>
        <v>0</v>
      </c>
      <c r="BV36" s="915">
        <f t="shared" si="56"/>
        <v>0</v>
      </c>
      <c r="BW36" s="915">
        <f t="shared" si="57"/>
        <v>0</v>
      </c>
      <c r="BX36" s="915">
        <f t="shared" si="58"/>
        <v>0</v>
      </c>
      <c r="BY36" s="915">
        <f t="shared" si="59"/>
        <v>0</v>
      </c>
      <c r="BZ36" s="915">
        <f t="shared" si="60"/>
        <v>0</v>
      </c>
      <c r="CA36" s="915">
        <f t="shared" si="61"/>
        <v>0</v>
      </c>
      <c r="CB36" s="915">
        <f t="shared" si="62"/>
        <v>0</v>
      </c>
      <c r="CC36" s="915">
        <f t="shared" si="63"/>
        <v>0</v>
      </c>
      <c r="CD36" s="915">
        <f t="shared" si="64"/>
        <v>0</v>
      </c>
      <c r="CF36" s="533"/>
      <c r="CI36" s="534"/>
    </row>
    <row r="37" spans="1:87" ht="14.1" customHeight="1" x14ac:dyDescent="0.2">
      <c r="A37" s="497">
        <v>30</v>
      </c>
      <c r="B37" s="1423"/>
      <c r="C37" s="1424"/>
      <c r="D37" s="138">
        <v>10</v>
      </c>
      <c r="E37" s="138" t="s">
        <v>170</v>
      </c>
      <c r="F37" s="139" t="s">
        <v>2544</v>
      </c>
      <c r="G37" s="139" t="s">
        <v>2542</v>
      </c>
      <c r="H37" s="100">
        <v>8</v>
      </c>
      <c r="I37" s="119">
        <f t="shared" si="3"/>
        <v>0.48</v>
      </c>
      <c r="J37" s="90">
        <f t="shared" si="4"/>
        <v>8.48</v>
      </c>
      <c r="K37" s="51"/>
      <c r="N37" s="942">
        <f>AZ6</f>
        <v>8.48</v>
      </c>
      <c r="O37" s="879" t="str">
        <f>"Other for " &amp; tabname10</f>
        <v>Other for Phase 10</v>
      </c>
      <c r="P37" s="949" t="s">
        <v>632</v>
      </c>
      <c r="W37" s="915">
        <f t="shared" si="5"/>
        <v>0</v>
      </c>
      <c r="X37" s="915">
        <f t="shared" si="6"/>
        <v>0</v>
      </c>
      <c r="Y37" s="915">
        <f t="shared" si="7"/>
        <v>0</v>
      </c>
      <c r="Z37" s="915">
        <f t="shared" si="8"/>
        <v>0</v>
      </c>
      <c r="AA37" s="915">
        <f t="shared" si="9"/>
        <v>0</v>
      </c>
      <c r="AB37" s="915">
        <f t="shared" si="10"/>
        <v>0</v>
      </c>
      <c r="AC37" s="915">
        <f t="shared" si="11"/>
        <v>0</v>
      </c>
      <c r="AD37" s="915">
        <f t="shared" si="12"/>
        <v>0</v>
      </c>
      <c r="AE37" s="915">
        <f t="shared" si="13"/>
        <v>0</v>
      </c>
      <c r="AF37" s="915">
        <f t="shared" si="14"/>
        <v>0</v>
      </c>
      <c r="AG37" s="915">
        <f t="shared" si="15"/>
        <v>0</v>
      </c>
      <c r="AH37" s="915">
        <f t="shared" si="16"/>
        <v>0</v>
      </c>
      <c r="AI37" s="915">
        <f t="shared" si="17"/>
        <v>0</v>
      </c>
      <c r="AJ37" s="915">
        <f t="shared" si="18"/>
        <v>0</v>
      </c>
      <c r="AK37" s="915">
        <f t="shared" si="19"/>
        <v>0</v>
      </c>
      <c r="AL37" s="915">
        <f t="shared" si="20"/>
        <v>0</v>
      </c>
      <c r="AM37" s="915">
        <f t="shared" si="21"/>
        <v>0</v>
      </c>
      <c r="AN37" s="915">
        <f t="shared" si="22"/>
        <v>0</v>
      </c>
      <c r="AO37" s="915">
        <f t="shared" si="23"/>
        <v>0</v>
      </c>
      <c r="AP37" s="915">
        <f t="shared" si="24"/>
        <v>0</v>
      </c>
      <c r="AQ37" s="915">
        <f t="shared" si="25"/>
        <v>0</v>
      </c>
      <c r="AR37" s="915">
        <f t="shared" si="26"/>
        <v>0</v>
      </c>
      <c r="AS37" s="915">
        <f t="shared" si="27"/>
        <v>0</v>
      </c>
      <c r="AT37" s="915">
        <f t="shared" si="28"/>
        <v>0</v>
      </c>
      <c r="AU37" s="915">
        <f t="shared" si="29"/>
        <v>0</v>
      </c>
      <c r="AV37" s="915">
        <f t="shared" si="30"/>
        <v>0</v>
      </c>
      <c r="AW37" s="915">
        <f t="shared" si="31"/>
        <v>0</v>
      </c>
      <c r="AX37" s="915">
        <f t="shared" si="32"/>
        <v>0</v>
      </c>
      <c r="AY37" s="915">
        <f t="shared" si="33"/>
        <v>0</v>
      </c>
      <c r="AZ37" s="915">
        <f t="shared" si="34"/>
        <v>8.48</v>
      </c>
      <c r="BA37" s="915">
        <f t="shared" si="35"/>
        <v>0</v>
      </c>
      <c r="BB37" s="915">
        <f t="shared" si="36"/>
        <v>0</v>
      </c>
      <c r="BC37" s="915">
        <f t="shared" si="37"/>
        <v>0</v>
      </c>
      <c r="BD37" s="915">
        <f t="shared" si="38"/>
        <v>0</v>
      </c>
      <c r="BE37" s="915">
        <f t="shared" si="39"/>
        <v>0</v>
      </c>
      <c r="BF37" s="915">
        <f t="shared" si="40"/>
        <v>0</v>
      </c>
      <c r="BG37" s="915">
        <f t="shared" si="41"/>
        <v>0</v>
      </c>
      <c r="BH37" s="915">
        <f t="shared" si="42"/>
        <v>0</v>
      </c>
      <c r="BI37" s="915">
        <f t="shared" si="43"/>
        <v>0</v>
      </c>
      <c r="BJ37" s="915">
        <f t="shared" si="44"/>
        <v>0</v>
      </c>
      <c r="BK37" s="915">
        <f t="shared" si="45"/>
        <v>0</v>
      </c>
      <c r="BL37" s="915">
        <f t="shared" si="46"/>
        <v>0</v>
      </c>
      <c r="BM37" s="915">
        <f t="shared" si="47"/>
        <v>0</v>
      </c>
      <c r="BN37" s="915">
        <f t="shared" si="48"/>
        <v>0</v>
      </c>
      <c r="BO37" s="915">
        <f t="shared" si="49"/>
        <v>0</v>
      </c>
      <c r="BP37" s="915">
        <f t="shared" si="50"/>
        <v>0</v>
      </c>
      <c r="BQ37" s="915">
        <f t="shared" si="51"/>
        <v>0</v>
      </c>
      <c r="BR37" s="915">
        <f t="shared" si="52"/>
        <v>0</v>
      </c>
      <c r="BS37" s="915">
        <f t="shared" si="53"/>
        <v>0</v>
      </c>
      <c r="BT37" s="915">
        <f t="shared" si="54"/>
        <v>0</v>
      </c>
      <c r="BU37" s="915">
        <f t="shared" si="55"/>
        <v>0</v>
      </c>
      <c r="BV37" s="915">
        <f t="shared" si="56"/>
        <v>0</v>
      </c>
      <c r="BW37" s="915">
        <f t="shared" si="57"/>
        <v>0</v>
      </c>
      <c r="BX37" s="915">
        <f t="shared" si="58"/>
        <v>0</v>
      </c>
      <c r="BY37" s="915">
        <f t="shared" si="59"/>
        <v>0</v>
      </c>
      <c r="BZ37" s="915">
        <f t="shared" si="60"/>
        <v>0</v>
      </c>
      <c r="CA37" s="915">
        <f t="shared" si="61"/>
        <v>0</v>
      </c>
      <c r="CB37" s="915">
        <f t="shared" si="62"/>
        <v>0</v>
      </c>
      <c r="CC37" s="915">
        <f t="shared" si="63"/>
        <v>0</v>
      </c>
      <c r="CD37" s="915">
        <f t="shared" si="64"/>
        <v>0</v>
      </c>
      <c r="CF37" s="533"/>
      <c r="CI37" s="534"/>
    </row>
    <row r="38" spans="1:87" ht="14.1" customHeight="1" x14ac:dyDescent="0.2">
      <c r="A38" s="496">
        <v>31</v>
      </c>
      <c r="B38" s="1419"/>
      <c r="C38" s="1433"/>
      <c r="D38" s="264">
        <v>11</v>
      </c>
      <c r="E38" s="264" t="s">
        <v>26</v>
      </c>
      <c r="F38" s="270" t="s">
        <v>2544</v>
      </c>
      <c r="G38" s="270" t="s">
        <v>2542</v>
      </c>
      <c r="H38" s="272">
        <v>8</v>
      </c>
      <c r="I38" s="268">
        <f t="shared" si="3"/>
        <v>0.48</v>
      </c>
      <c r="J38" s="269">
        <f t="shared" si="4"/>
        <v>8.48</v>
      </c>
      <c r="K38" s="51"/>
      <c r="N38" s="951">
        <f>BA6</f>
        <v>8.48</v>
      </c>
      <c r="O38" s="915" t="str">
        <f>"Rented Equipment for "&amp;TabName11</f>
        <v>Rented Equipment for Phase 11</v>
      </c>
      <c r="P38" s="949" t="s">
        <v>2277</v>
      </c>
      <c r="W38" s="915">
        <f t="shared" si="5"/>
        <v>0</v>
      </c>
      <c r="X38" s="915">
        <f t="shared" si="6"/>
        <v>0</v>
      </c>
      <c r="Y38" s="915">
        <f t="shared" si="7"/>
        <v>0</v>
      </c>
      <c r="Z38" s="915">
        <f t="shared" si="8"/>
        <v>0</v>
      </c>
      <c r="AA38" s="915">
        <f t="shared" si="9"/>
        <v>0</v>
      </c>
      <c r="AB38" s="915">
        <f t="shared" si="10"/>
        <v>0</v>
      </c>
      <c r="AC38" s="915">
        <f t="shared" si="11"/>
        <v>0</v>
      </c>
      <c r="AD38" s="915">
        <f t="shared" si="12"/>
        <v>0</v>
      </c>
      <c r="AE38" s="915">
        <f t="shared" si="13"/>
        <v>0</v>
      </c>
      <c r="AF38" s="915">
        <f t="shared" si="14"/>
        <v>0</v>
      </c>
      <c r="AG38" s="915">
        <f t="shared" si="15"/>
        <v>0</v>
      </c>
      <c r="AH38" s="915">
        <f t="shared" si="16"/>
        <v>0</v>
      </c>
      <c r="AI38" s="915">
        <f t="shared" si="17"/>
        <v>0</v>
      </c>
      <c r="AJ38" s="915">
        <f t="shared" si="18"/>
        <v>0</v>
      </c>
      <c r="AK38" s="915">
        <f t="shared" si="19"/>
        <v>0</v>
      </c>
      <c r="AL38" s="915">
        <f t="shared" si="20"/>
        <v>0</v>
      </c>
      <c r="AM38" s="915">
        <f t="shared" si="21"/>
        <v>0</v>
      </c>
      <c r="AN38" s="915">
        <f t="shared" si="22"/>
        <v>0</v>
      </c>
      <c r="AO38" s="915">
        <f t="shared" si="23"/>
        <v>0</v>
      </c>
      <c r="AP38" s="915">
        <f t="shared" si="24"/>
        <v>0</v>
      </c>
      <c r="AQ38" s="915">
        <f t="shared" si="25"/>
        <v>0</v>
      </c>
      <c r="AR38" s="915">
        <f t="shared" si="26"/>
        <v>0</v>
      </c>
      <c r="AS38" s="915">
        <f t="shared" si="27"/>
        <v>0</v>
      </c>
      <c r="AT38" s="915">
        <f t="shared" si="28"/>
        <v>0</v>
      </c>
      <c r="AU38" s="915">
        <f t="shared" si="29"/>
        <v>0</v>
      </c>
      <c r="AV38" s="915">
        <f t="shared" si="30"/>
        <v>0</v>
      </c>
      <c r="AW38" s="915">
        <f t="shared" si="31"/>
        <v>0</v>
      </c>
      <c r="AX38" s="915">
        <f t="shared" si="32"/>
        <v>0</v>
      </c>
      <c r="AY38" s="915">
        <f t="shared" si="33"/>
        <v>0</v>
      </c>
      <c r="AZ38" s="915">
        <f t="shared" si="34"/>
        <v>0</v>
      </c>
      <c r="BA38" s="915">
        <f t="shared" si="35"/>
        <v>8.48</v>
      </c>
      <c r="BB38" s="915">
        <f t="shared" si="36"/>
        <v>0</v>
      </c>
      <c r="BC38" s="915">
        <f t="shared" si="37"/>
        <v>0</v>
      </c>
      <c r="BD38" s="915">
        <f t="shared" si="38"/>
        <v>0</v>
      </c>
      <c r="BE38" s="915">
        <f t="shared" si="39"/>
        <v>0</v>
      </c>
      <c r="BF38" s="915">
        <f t="shared" si="40"/>
        <v>0</v>
      </c>
      <c r="BG38" s="915">
        <f t="shared" si="41"/>
        <v>0</v>
      </c>
      <c r="BH38" s="915">
        <f t="shared" si="42"/>
        <v>0</v>
      </c>
      <c r="BI38" s="915">
        <f t="shared" si="43"/>
        <v>0</v>
      </c>
      <c r="BJ38" s="915">
        <f t="shared" si="44"/>
        <v>0</v>
      </c>
      <c r="BK38" s="915">
        <f t="shared" si="45"/>
        <v>0</v>
      </c>
      <c r="BL38" s="915">
        <f t="shared" si="46"/>
        <v>0</v>
      </c>
      <c r="BM38" s="915">
        <f t="shared" si="47"/>
        <v>0</v>
      </c>
      <c r="BN38" s="915">
        <f t="shared" si="48"/>
        <v>0</v>
      </c>
      <c r="BO38" s="915">
        <f t="shared" si="49"/>
        <v>0</v>
      </c>
      <c r="BP38" s="915">
        <f t="shared" si="50"/>
        <v>0</v>
      </c>
      <c r="BQ38" s="915">
        <f t="shared" si="51"/>
        <v>0</v>
      </c>
      <c r="BR38" s="915">
        <f t="shared" si="52"/>
        <v>0</v>
      </c>
      <c r="BS38" s="915">
        <f t="shared" si="53"/>
        <v>0</v>
      </c>
      <c r="BT38" s="915">
        <f t="shared" si="54"/>
        <v>0</v>
      </c>
      <c r="BU38" s="915">
        <f t="shared" si="55"/>
        <v>0</v>
      </c>
      <c r="BV38" s="915">
        <f t="shared" si="56"/>
        <v>0</v>
      </c>
      <c r="BW38" s="915">
        <f t="shared" si="57"/>
        <v>0</v>
      </c>
      <c r="BX38" s="915">
        <f t="shared" si="58"/>
        <v>0</v>
      </c>
      <c r="BY38" s="915">
        <f t="shared" si="59"/>
        <v>0</v>
      </c>
      <c r="BZ38" s="915">
        <f t="shared" si="60"/>
        <v>0</v>
      </c>
      <c r="CA38" s="915">
        <f t="shared" si="61"/>
        <v>0</v>
      </c>
      <c r="CB38" s="915">
        <f t="shared" si="62"/>
        <v>0</v>
      </c>
      <c r="CC38" s="915">
        <f t="shared" si="63"/>
        <v>0</v>
      </c>
      <c r="CD38" s="915">
        <f t="shared" si="64"/>
        <v>0</v>
      </c>
      <c r="CF38" s="533"/>
      <c r="CI38" s="534"/>
    </row>
    <row r="39" spans="1:87" ht="14.1" customHeight="1" x14ac:dyDescent="0.2">
      <c r="A39" s="497">
        <v>32</v>
      </c>
      <c r="B39" s="1423"/>
      <c r="C39" s="1424"/>
      <c r="D39" s="138">
        <v>11</v>
      </c>
      <c r="E39" s="138" t="s">
        <v>30</v>
      </c>
      <c r="F39" s="139" t="s">
        <v>2544</v>
      </c>
      <c r="G39" s="139" t="s">
        <v>2542</v>
      </c>
      <c r="H39" s="100">
        <v>8</v>
      </c>
      <c r="I39" s="119">
        <f t="shared" si="3"/>
        <v>0.48</v>
      </c>
      <c r="J39" s="90">
        <f t="shared" si="4"/>
        <v>8.48</v>
      </c>
      <c r="K39" s="51"/>
      <c r="N39" s="951">
        <f>BB6</f>
        <v>8.48</v>
      </c>
      <c r="O39" s="879" t="str">
        <f>"Purchased Supplies for " &amp; TabName11</f>
        <v>Purchased Supplies for Phase 11</v>
      </c>
      <c r="P39" s="950" t="s">
        <v>2278</v>
      </c>
      <c r="W39" s="915">
        <f t="shared" si="5"/>
        <v>0</v>
      </c>
      <c r="X39" s="915">
        <f t="shared" si="6"/>
        <v>0</v>
      </c>
      <c r="Y39" s="915">
        <f t="shared" si="7"/>
        <v>0</v>
      </c>
      <c r="Z39" s="915">
        <f t="shared" si="8"/>
        <v>0</v>
      </c>
      <c r="AA39" s="915">
        <f t="shared" si="9"/>
        <v>0</v>
      </c>
      <c r="AB39" s="915">
        <f t="shared" si="10"/>
        <v>0</v>
      </c>
      <c r="AC39" s="915">
        <f t="shared" si="11"/>
        <v>0</v>
      </c>
      <c r="AD39" s="915">
        <f t="shared" si="12"/>
        <v>0</v>
      </c>
      <c r="AE39" s="915">
        <f t="shared" si="13"/>
        <v>0</v>
      </c>
      <c r="AF39" s="915">
        <f t="shared" si="14"/>
        <v>0</v>
      </c>
      <c r="AG39" s="915">
        <f t="shared" si="15"/>
        <v>0</v>
      </c>
      <c r="AH39" s="915">
        <f t="shared" si="16"/>
        <v>0</v>
      </c>
      <c r="AI39" s="915">
        <f t="shared" si="17"/>
        <v>0</v>
      </c>
      <c r="AJ39" s="915">
        <f t="shared" si="18"/>
        <v>0</v>
      </c>
      <c r="AK39" s="915">
        <f t="shared" si="19"/>
        <v>0</v>
      </c>
      <c r="AL39" s="915">
        <f t="shared" si="20"/>
        <v>0</v>
      </c>
      <c r="AM39" s="915">
        <f t="shared" si="21"/>
        <v>0</v>
      </c>
      <c r="AN39" s="915">
        <f t="shared" si="22"/>
        <v>0</v>
      </c>
      <c r="AO39" s="915">
        <f t="shared" si="23"/>
        <v>0</v>
      </c>
      <c r="AP39" s="915">
        <f t="shared" si="24"/>
        <v>0</v>
      </c>
      <c r="AQ39" s="915">
        <f t="shared" si="25"/>
        <v>0</v>
      </c>
      <c r="AR39" s="915">
        <f t="shared" si="26"/>
        <v>0</v>
      </c>
      <c r="AS39" s="915">
        <f t="shared" si="27"/>
        <v>0</v>
      </c>
      <c r="AT39" s="915">
        <f t="shared" si="28"/>
        <v>0</v>
      </c>
      <c r="AU39" s="915">
        <f t="shared" si="29"/>
        <v>0</v>
      </c>
      <c r="AV39" s="915">
        <f t="shared" si="30"/>
        <v>0</v>
      </c>
      <c r="AW39" s="915">
        <f t="shared" si="31"/>
        <v>0</v>
      </c>
      <c r="AX39" s="915">
        <f t="shared" si="32"/>
        <v>0</v>
      </c>
      <c r="AY39" s="915">
        <f t="shared" si="33"/>
        <v>0</v>
      </c>
      <c r="AZ39" s="915">
        <f t="shared" si="34"/>
        <v>0</v>
      </c>
      <c r="BA39" s="915">
        <f t="shared" si="35"/>
        <v>0</v>
      </c>
      <c r="BB39" s="915">
        <f t="shared" si="36"/>
        <v>8.48</v>
      </c>
      <c r="BC39" s="915">
        <f t="shared" si="37"/>
        <v>0</v>
      </c>
      <c r="BD39" s="915">
        <f t="shared" si="38"/>
        <v>0</v>
      </c>
      <c r="BE39" s="915">
        <f t="shared" si="39"/>
        <v>0</v>
      </c>
      <c r="BF39" s="915">
        <f t="shared" si="40"/>
        <v>0</v>
      </c>
      <c r="BG39" s="915">
        <f t="shared" si="41"/>
        <v>0</v>
      </c>
      <c r="BH39" s="915">
        <f t="shared" si="42"/>
        <v>0</v>
      </c>
      <c r="BI39" s="915">
        <f t="shared" si="43"/>
        <v>0</v>
      </c>
      <c r="BJ39" s="915">
        <f t="shared" si="44"/>
        <v>0</v>
      </c>
      <c r="BK39" s="915">
        <f t="shared" si="45"/>
        <v>0</v>
      </c>
      <c r="BL39" s="915">
        <f t="shared" si="46"/>
        <v>0</v>
      </c>
      <c r="BM39" s="915">
        <f t="shared" si="47"/>
        <v>0</v>
      </c>
      <c r="BN39" s="915">
        <f t="shared" si="48"/>
        <v>0</v>
      </c>
      <c r="BO39" s="915">
        <f t="shared" si="49"/>
        <v>0</v>
      </c>
      <c r="BP39" s="915">
        <f t="shared" si="50"/>
        <v>0</v>
      </c>
      <c r="BQ39" s="915">
        <f t="shared" si="51"/>
        <v>0</v>
      </c>
      <c r="BR39" s="915">
        <f t="shared" si="52"/>
        <v>0</v>
      </c>
      <c r="BS39" s="915">
        <f t="shared" si="53"/>
        <v>0</v>
      </c>
      <c r="BT39" s="915">
        <f t="shared" si="54"/>
        <v>0</v>
      </c>
      <c r="BU39" s="915">
        <f t="shared" si="55"/>
        <v>0</v>
      </c>
      <c r="BV39" s="915">
        <f t="shared" si="56"/>
        <v>0</v>
      </c>
      <c r="BW39" s="915">
        <f t="shared" si="57"/>
        <v>0</v>
      </c>
      <c r="BX39" s="915">
        <f t="shared" si="58"/>
        <v>0</v>
      </c>
      <c r="BY39" s="915">
        <f t="shared" si="59"/>
        <v>0</v>
      </c>
      <c r="BZ39" s="915">
        <f t="shared" si="60"/>
        <v>0</v>
      </c>
      <c r="CA39" s="915">
        <f t="shared" si="61"/>
        <v>0</v>
      </c>
      <c r="CB39" s="915">
        <f t="shared" si="62"/>
        <v>0</v>
      </c>
      <c r="CC39" s="915">
        <f t="shared" si="63"/>
        <v>0</v>
      </c>
      <c r="CD39" s="915">
        <f t="shared" si="64"/>
        <v>0</v>
      </c>
      <c r="CF39" s="533"/>
      <c r="CI39" s="534"/>
    </row>
    <row r="40" spans="1:87" ht="14.1" customHeight="1" x14ac:dyDescent="0.2">
      <c r="A40" s="496">
        <v>33</v>
      </c>
      <c r="B40" s="1419"/>
      <c r="C40" s="1433"/>
      <c r="D40" s="264">
        <v>11</v>
      </c>
      <c r="E40" s="264" t="s">
        <v>170</v>
      </c>
      <c r="F40" s="270" t="s">
        <v>2544</v>
      </c>
      <c r="G40" s="270" t="s">
        <v>2542</v>
      </c>
      <c r="H40" s="272">
        <v>8</v>
      </c>
      <c r="I40" s="268">
        <f t="shared" ref="I40:I43" si="65">IF(ISTEXT(K40),0,StateTaxSRL*G40*H40)</f>
        <v>0.48</v>
      </c>
      <c r="J40" s="269">
        <f t="shared" ref="J40:J43" si="66">(G40*H40)+I40</f>
        <v>8.48</v>
      </c>
      <c r="K40" s="51"/>
      <c r="N40" s="951">
        <f>BC6</f>
        <v>8.48</v>
      </c>
      <c r="O40" s="879" t="str">
        <f>"Other for " &amp; TabName11</f>
        <v>Other for Phase 11</v>
      </c>
      <c r="P40" s="949" t="s">
        <v>2279</v>
      </c>
      <c r="W40" s="915">
        <f t="shared" si="5"/>
        <v>0</v>
      </c>
      <c r="X40" s="915">
        <f t="shared" si="6"/>
        <v>0</v>
      </c>
      <c r="Y40" s="915">
        <f t="shared" si="7"/>
        <v>0</v>
      </c>
      <c r="Z40" s="915">
        <f t="shared" si="8"/>
        <v>0</v>
      </c>
      <c r="AA40" s="915">
        <f t="shared" si="9"/>
        <v>0</v>
      </c>
      <c r="AB40" s="915">
        <f t="shared" si="10"/>
        <v>0</v>
      </c>
      <c r="AC40" s="915">
        <f t="shared" si="11"/>
        <v>0</v>
      </c>
      <c r="AD40" s="915">
        <f t="shared" si="12"/>
        <v>0</v>
      </c>
      <c r="AE40" s="915">
        <f t="shared" si="13"/>
        <v>0</v>
      </c>
      <c r="AF40" s="915">
        <f t="shared" si="14"/>
        <v>0</v>
      </c>
      <c r="AG40" s="915">
        <f t="shared" si="15"/>
        <v>0</v>
      </c>
      <c r="AH40" s="915">
        <f t="shared" si="16"/>
        <v>0</v>
      </c>
      <c r="AI40" s="915">
        <f t="shared" si="17"/>
        <v>0</v>
      </c>
      <c r="AJ40" s="915">
        <f t="shared" si="18"/>
        <v>0</v>
      </c>
      <c r="AK40" s="915">
        <f t="shared" si="19"/>
        <v>0</v>
      </c>
      <c r="AL40" s="915">
        <f t="shared" si="20"/>
        <v>0</v>
      </c>
      <c r="AM40" s="915">
        <f t="shared" si="21"/>
        <v>0</v>
      </c>
      <c r="AN40" s="915">
        <f t="shared" si="22"/>
        <v>0</v>
      </c>
      <c r="AO40" s="915">
        <f t="shared" si="23"/>
        <v>0</v>
      </c>
      <c r="AP40" s="915">
        <f t="shared" si="24"/>
        <v>0</v>
      </c>
      <c r="AQ40" s="915">
        <f t="shared" si="25"/>
        <v>0</v>
      </c>
      <c r="AR40" s="915">
        <f t="shared" si="26"/>
        <v>0</v>
      </c>
      <c r="AS40" s="915">
        <f t="shared" si="27"/>
        <v>0</v>
      </c>
      <c r="AT40" s="915">
        <f t="shared" si="28"/>
        <v>0</v>
      </c>
      <c r="AU40" s="915">
        <f t="shared" si="29"/>
        <v>0</v>
      </c>
      <c r="AV40" s="915">
        <f t="shared" si="30"/>
        <v>0</v>
      </c>
      <c r="AW40" s="915">
        <f t="shared" si="31"/>
        <v>0</v>
      </c>
      <c r="AX40" s="915">
        <f t="shared" si="32"/>
        <v>0</v>
      </c>
      <c r="AY40" s="915">
        <f t="shared" si="33"/>
        <v>0</v>
      </c>
      <c r="AZ40" s="915">
        <f t="shared" si="34"/>
        <v>0</v>
      </c>
      <c r="BA40" s="915">
        <f t="shared" si="35"/>
        <v>0</v>
      </c>
      <c r="BB40" s="915">
        <f t="shared" si="36"/>
        <v>0</v>
      </c>
      <c r="BC40" s="915">
        <f t="shared" si="37"/>
        <v>8.48</v>
      </c>
      <c r="BD40" s="915">
        <f t="shared" si="38"/>
        <v>0</v>
      </c>
      <c r="BE40" s="915">
        <f t="shared" si="39"/>
        <v>0</v>
      </c>
      <c r="BF40" s="915">
        <f t="shared" si="40"/>
        <v>0</v>
      </c>
      <c r="BG40" s="915">
        <f t="shared" si="41"/>
        <v>0</v>
      </c>
      <c r="BH40" s="915">
        <f t="shared" si="42"/>
        <v>0</v>
      </c>
      <c r="BI40" s="915">
        <f t="shared" si="43"/>
        <v>0</v>
      </c>
      <c r="BJ40" s="915">
        <f t="shared" si="44"/>
        <v>0</v>
      </c>
      <c r="BK40" s="915">
        <f t="shared" si="45"/>
        <v>0</v>
      </c>
      <c r="BL40" s="915">
        <f t="shared" si="46"/>
        <v>0</v>
      </c>
      <c r="BM40" s="915">
        <f t="shared" si="47"/>
        <v>0</v>
      </c>
      <c r="BN40" s="915">
        <f t="shared" si="48"/>
        <v>0</v>
      </c>
      <c r="BO40" s="915">
        <f t="shared" si="49"/>
        <v>0</v>
      </c>
      <c r="BP40" s="915">
        <f t="shared" si="50"/>
        <v>0</v>
      </c>
      <c r="BQ40" s="915">
        <f t="shared" si="51"/>
        <v>0</v>
      </c>
      <c r="BR40" s="915">
        <f t="shared" si="52"/>
        <v>0</v>
      </c>
      <c r="BS40" s="915">
        <f>IF(AND($D40=$R$24,$E40=$T$8),$J40,0)</f>
        <v>0</v>
      </c>
      <c r="BT40" s="915">
        <f>IF(AND($D40=$R$24,$E40=$T$9),$J40,0)</f>
        <v>0</v>
      </c>
      <c r="BU40" s="915">
        <f>IF(AND($D40=$R$24,$E40=$T$10),$J40,0)</f>
        <v>0</v>
      </c>
      <c r="BV40" s="915">
        <f t="shared" si="56"/>
        <v>0</v>
      </c>
      <c r="BW40" s="915">
        <f t="shared" si="57"/>
        <v>0</v>
      </c>
      <c r="BX40" s="915">
        <f t="shared" si="58"/>
        <v>0</v>
      </c>
      <c r="BY40" s="915">
        <f t="shared" si="59"/>
        <v>0</v>
      </c>
      <c r="BZ40" s="915">
        <f t="shared" si="60"/>
        <v>0</v>
      </c>
      <c r="CA40" s="915">
        <f t="shared" si="61"/>
        <v>0</v>
      </c>
      <c r="CB40" s="915">
        <f t="shared" si="62"/>
        <v>0</v>
      </c>
      <c r="CC40" s="915">
        <f t="shared" si="63"/>
        <v>0</v>
      </c>
      <c r="CD40" s="915">
        <f t="shared" si="64"/>
        <v>0</v>
      </c>
      <c r="CF40" s="533"/>
      <c r="CI40" s="534"/>
    </row>
    <row r="41" spans="1:87" ht="14.1" customHeight="1" x14ac:dyDescent="0.2">
      <c r="A41" s="497">
        <v>34</v>
      </c>
      <c r="B41" s="1423"/>
      <c r="C41" s="1424"/>
      <c r="D41" s="138">
        <v>12</v>
      </c>
      <c r="E41" s="138" t="s">
        <v>26</v>
      </c>
      <c r="F41" s="139" t="s">
        <v>2544</v>
      </c>
      <c r="G41" s="139" t="s">
        <v>2542</v>
      </c>
      <c r="H41" s="100">
        <v>8</v>
      </c>
      <c r="I41" s="119">
        <f t="shared" si="65"/>
        <v>0.48</v>
      </c>
      <c r="J41" s="90">
        <f t="shared" si="66"/>
        <v>8.48</v>
      </c>
      <c r="K41" s="51"/>
      <c r="N41" s="951">
        <f>BD6</f>
        <v>8.48</v>
      </c>
      <c r="O41" s="915" t="str">
        <f>"Rented Equipment for "&amp;TabName12</f>
        <v>Rented Equipment for Phase 12</v>
      </c>
      <c r="P41" s="949" t="s">
        <v>2280</v>
      </c>
      <c r="W41" s="915">
        <f t="shared" si="5"/>
        <v>0</v>
      </c>
      <c r="X41" s="915">
        <f t="shared" si="6"/>
        <v>0</v>
      </c>
      <c r="Y41" s="915">
        <f t="shared" si="7"/>
        <v>0</v>
      </c>
      <c r="Z41" s="915">
        <f t="shared" si="8"/>
        <v>0</v>
      </c>
      <c r="AA41" s="915">
        <f t="shared" si="9"/>
        <v>0</v>
      </c>
      <c r="AB41" s="915">
        <f t="shared" si="10"/>
        <v>0</v>
      </c>
      <c r="AC41" s="915">
        <f t="shared" si="11"/>
        <v>0</v>
      </c>
      <c r="AD41" s="915">
        <f t="shared" si="12"/>
        <v>0</v>
      </c>
      <c r="AE41" s="915">
        <f t="shared" si="13"/>
        <v>0</v>
      </c>
      <c r="AF41" s="915">
        <f t="shared" si="14"/>
        <v>0</v>
      </c>
      <c r="AG41" s="915">
        <f t="shared" si="15"/>
        <v>0</v>
      </c>
      <c r="AH41" s="915">
        <f t="shared" si="16"/>
        <v>0</v>
      </c>
      <c r="AI41" s="915">
        <f t="shared" si="17"/>
        <v>0</v>
      </c>
      <c r="AJ41" s="915">
        <f t="shared" si="18"/>
        <v>0</v>
      </c>
      <c r="AK41" s="915">
        <f t="shared" si="19"/>
        <v>0</v>
      </c>
      <c r="AL41" s="915">
        <f t="shared" si="20"/>
        <v>0</v>
      </c>
      <c r="AM41" s="915">
        <f t="shared" si="21"/>
        <v>0</v>
      </c>
      <c r="AN41" s="915">
        <f t="shared" si="22"/>
        <v>0</v>
      </c>
      <c r="AO41" s="915">
        <f t="shared" si="23"/>
        <v>0</v>
      </c>
      <c r="AP41" s="915">
        <f t="shared" si="24"/>
        <v>0</v>
      </c>
      <c r="AQ41" s="915">
        <f t="shared" si="25"/>
        <v>0</v>
      </c>
      <c r="AR41" s="915">
        <f t="shared" si="26"/>
        <v>0</v>
      </c>
      <c r="AS41" s="915">
        <f t="shared" si="27"/>
        <v>0</v>
      </c>
      <c r="AT41" s="915">
        <f t="shared" si="28"/>
        <v>0</v>
      </c>
      <c r="AU41" s="915">
        <f t="shared" si="29"/>
        <v>0</v>
      </c>
      <c r="AV41" s="915">
        <f t="shared" si="30"/>
        <v>0</v>
      </c>
      <c r="AW41" s="915">
        <f t="shared" si="31"/>
        <v>0</v>
      </c>
      <c r="AX41" s="915">
        <f t="shared" si="32"/>
        <v>0</v>
      </c>
      <c r="AY41" s="915">
        <f t="shared" si="33"/>
        <v>0</v>
      </c>
      <c r="AZ41" s="915">
        <f t="shared" si="34"/>
        <v>0</v>
      </c>
      <c r="BA41" s="915">
        <f t="shared" si="35"/>
        <v>0</v>
      </c>
      <c r="BB41" s="915">
        <f t="shared" si="36"/>
        <v>0</v>
      </c>
      <c r="BC41" s="915">
        <f t="shared" si="37"/>
        <v>0</v>
      </c>
      <c r="BD41" s="915">
        <f t="shared" si="38"/>
        <v>8.48</v>
      </c>
      <c r="BE41" s="915">
        <f t="shared" si="39"/>
        <v>0</v>
      </c>
      <c r="BF41" s="915">
        <f t="shared" si="40"/>
        <v>0</v>
      </c>
      <c r="BG41" s="915">
        <f t="shared" si="41"/>
        <v>0</v>
      </c>
      <c r="BH41" s="915">
        <f t="shared" si="42"/>
        <v>0</v>
      </c>
      <c r="BI41" s="915">
        <f t="shared" si="43"/>
        <v>0</v>
      </c>
      <c r="BJ41" s="915">
        <f t="shared" si="44"/>
        <v>0</v>
      </c>
      <c r="BK41" s="915">
        <f t="shared" si="45"/>
        <v>0</v>
      </c>
      <c r="BL41" s="915">
        <f t="shared" si="46"/>
        <v>0</v>
      </c>
      <c r="BM41" s="915">
        <f>IF(AND($D41=$R$22,$E41=$T$8),$J41,0)</f>
        <v>0</v>
      </c>
      <c r="BN41" s="915">
        <f>IF(AND($D41=$R$22,$E41=$T$9),$J41,0)</f>
        <v>0</v>
      </c>
      <c r="BO41" s="915">
        <f>IF(AND($D41=$R$22,$E41=$T$10),$J41,0)</f>
        <v>0</v>
      </c>
      <c r="BP41" s="915">
        <f t="shared" si="50"/>
        <v>0</v>
      </c>
      <c r="BQ41" s="915">
        <f t="shared" si="51"/>
        <v>0</v>
      </c>
      <c r="BR41" s="915">
        <f t="shared" si="52"/>
        <v>0</v>
      </c>
      <c r="BS41" s="915">
        <f t="shared" si="53"/>
        <v>0</v>
      </c>
      <c r="BT41" s="915">
        <f t="shared" si="54"/>
        <v>0</v>
      </c>
      <c r="BU41" s="915">
        <f t="shared" si="55"/>
        <v>0</v>
      </c>
      <c r="BV41" s="915">
        <f>IF(AND($D41=$R$25,$E41=$T$8),$J41,0)</f>
        <v>0</v>
      </c>
      <c r="BW41" s="915">
        <f>IF(AND($D41=$R$25,$E41=$T$9),$J41,0)</f>
        <v>0</v>
      </c>
      <c r="BX41" s="915">
        <f>IF(AND($D41=$R$25,$E41=$T$10),$J41,0)</f>
        <v>0</v>
      </c>
      <c r="BY41" s="915">
        <f t="shared" si="59"/>
        <v>0</v>
      </c>
      <c r="BZ41" s="915">
        <f t="shared" si="60"/>
        <v>0</v>
      </c>
      <c r="CA41" s="915">
        <f t="shared" si="61"/>
        <v>0</v>
      </c>
      <c r="CB41" s="915">
        <f>IF(AND($D41=$R$27,$E41=$T$8),$J41,0)</f>
        <v>0</v>
      </c>
      <c r="CC41" s="915">
        <f>IF(AND($D41=$R$27,$E41=$T$9),$J41,0)</f>
        <v>0</v>
      </c>
      <c r="CD41" s="915">
        <f>IF(AND($D41=$R$27,$E41=$T$10),$J41,0)</f>
        <v>0</v>
      </c>
      <c r="CF41" s="533"/>
      <c r="CI41" s="534"/>
    </row>
    <row r="42" spans="1:87" ht="14.1" customHeight="1" x14ac:dyDescent="0.2">
      <c r="A42" s="496">
        <v>35</v>
      </c>
      <c r="B42" s="1419"/>
      <c r="C42" s="1433"/>
      <c r="D42" s="264">
        <v>12</v>
      </c>
      <c r="E42" s="264" t="s">
        <v>30</v>
      </c>
      <c r="F42" s="270" t="s">
        <v>2544</v>
      </c>
      <c r="G42" s="270" t="s">
        <v>2542</v>
      </c>
      <c r="H42" s="272">
        <v>8</v>
      </c>
      <c r="I42" s="268">
        <f t="shared" si="65"/>
        <v>0.48</v>
      </c>
      <c r="J42" s="269">
        <f t="shared" si="66"/>
        <v>8.48</v>
      </c>
      <c r="K42" s="51"/>
      <c r="N42" s="951">
        <f>BE6</f>
        <v>8.48</v>
      </c>
      <c r="O42" s="879" t="str">
        <f>"Purchased Supplies for " &amp; TabName12</f>
        <v>Purchased Supplies for Phase 12</v>
      </c>
      <c r="P42" s="950" t="s">
        <v>2281</v>
      </c>
      <c r="W42" s="915">
        <f t="shared" si="5"/>
        <v>0</v>
      </c>
      <c r="X42" s="915">
        <f t="shared" si="6"/>
        <v>0</v>
      </c>
      <c r="Y42" s="915">
        <f t="shared" si="7"/>
        <v>0</v>
      </c>
      <c r="Z42" s="915">
        <f t="shared" si="8"/>
        <v>0</v>
      </c>
      <c r="AA42" s="915">
        <f t="shared" si="9"/>
        <v>0</v>
      </c>
      <c r="AB42" s="915">
        <f t="shared" si="10"/>
        <v>0</v>
      </c>
      <c r="AC42" s="915">
        <f t="shared" si="11"/>
        <v>0</v>
      </c>
      <c r="AD42" s="915">
        <f t="shared" si="12"/>
        <v>0</v>
      </c>
      <c r="AE42" s="915">
        <f t="shared" si="13"/>
        <v>0</v>
      </c>
      <c r="AF42" s="915">
        <f t="shared" si="14"/>
        <v>0</v>
      </c>
      <c r="AG42" s="915">
        <f t="shared" si="15"/>
        <v>0</v>
      </c>
      <c r="AH42" s="915">
        <f t="shared" si="16"/>
        <v>0</v>
      </c>
      <c r="AI42" s="915">
        <f t="shared" si="17"/>
        <v>0</v>
      </c>
      <c r="AJ42" s="915">
        <f t="shared" si="18"/>
        <v>0</v>
      </c>
      <c r="AK42" s="915">
        <f t="shared" si="19"/>
        <v>0</v>
      </c>
      <c r="AL42" s="915">
        <f t="shared" si="20"/>
        <v>0</v>
      </c>
      <c r="AM42" s="915">
        <f t="shared" si="21"/>
        <v>0</v>
      </c>
      <c r="AN42" s="915">
        <f t="shared" si="22"/>
        <v>0</v>
      </c>
      <c r="AO42" s="915">
        <f t="shared" si="23"/>
        <v>0</v>
      </c>
      <c r="AP42" s="915">
        <f t="shared" si="24"/>
        <v>0</v>
      </c>
      <c r="AQ42" s="915">
        <f t="shared" si="25"/>
        <v>0</v>
      </c>
      <c r="AR42" s="915">
        <f t="shared" si="26"/>
        <v>0</v>
      </c>
      <c r="AS42" s="915">
        <f t="shared" si="27"/>
        <v>0</v>
      </c>
      <c r="AT42" s="915">
        <f t="shared" si="28"/>
        <v>0</v>
      </c>
      <c r="AU42" s="915">
        <f t="shared" si="29"/>
        <v>0</v>
      </c>
      <c r="AV42" s="915">
        <f t="shared" si="30"/>
        <v>0</v>
      </c>
      <c r="AW42" s="915">
        <f t="shared" si="31"/>
        <v>0</v>
      </c>
      <c r="AX42" s="915">
        <f t="shared" si="32"/>
        <v>0</v>
      </c>
      <c r="AY42" s="915">
        <f t="shared" si="33"/>
        <v>0</v>
      </c>
      <c r="AZ42" s="915">
        <f t="shared" si="34"/>
        <v>0</v>
      </c>
      <c r="BA42" s="915">
        <f t="shared" si="35"/>
        <v>0</v>
      </c>
      <c r="BB42" s="915">
        <f t="shared" si="36"/>
        <v>0</v>
      </c>
      <c r="BC42" s="915">
        <f t="shared" si="37"/>
        <v>0</v>
      </c>
      <c r="BD42" s="915">
        <f t="shared" si="38"/>
        <v>0</v>
      </c>
      <c r="BE42" s="915">
        <f t="shared" si="39"/>
        <v>8.48</v>
      </c>
      <c r="BF42" s="915">
        <f t="shared" si="40"/>
        <v>0</v>
      </c>
      <c r="BG42" s="915">
        <f t="shared" si="41"/>
        <v>0</v>
      </c>
      <c r="BH42" s="915">
        <f t="shared" si="42"/>
        <v>0</v>
      </c>
      <c r="BI42" s="915">
        <f t="shared" si="43"/>
        <v>0</v>
      </c>
      <c r="BJ42" s="915">
        <f t="shared" si="44"/>
        <v>0</v>
      </c>
      <c r="BK42" s="915">
        <f t="shared" si="45"/>
        <v>0</v>
      </c>
      <c r="BL42" s="915">
        <f t="shared" si="46"/>
        <v>0</v>
      </c>
      <c r="BM42" s="915">
        <f t="shared" si="47"/>
        <v>0</v>
      </c>
      <c r="BN42" s="915">
        <f t="shared" si="48"/>
        <v>0</v>
      </c>
      <c r="BO42" s="915">
        <f t="shared" si="49"/>
        <v>0</v>
      </c>
      <c r="BP42" s="915">
        <f t="shared" si="50"/>
        <v>0</v>
      </c>
      <c r="BQ42" s="915">
        <f t="shared" si="51"/>
        <v>0</v>
      </c>
      <c r="BR42" s="915">
        <f t="shared" si="52"/>
        <v>0</v>
      </c>
      <c r="BS42" s="915">
        <f t="shared" si="53"/>
        <v>0</v>
      </c>
      <c r="BT42" s="915">
        <f t="shared" si="54"/>
        <v>0</v>
      </c>
      <c r="BU42" s="915">
        <f t="shared" si="55"/>
        <v>0</v>
      </c>
      <c r="BV42" s="915">
        <f t="shared" si="56"/>
        <v>0</v>
      </c>
      <c r="BW42" s="915">
        <f t="shared" si="57"/>
        <v>0</v>
      </c>
      <c r="BX42" s="915">
        <f t="shared" si="58"/>
        <v>0</v>
      </c>
      <c r="BY42" s="915">
        <f t="shared" si="59"/>
        <v>0</v>
      </c>
      <c r="BZ42" s="915">
        <f t="shared" si="60"/>
        <v>0</v>
      </c>
      <c r="CA42" s="915">
        <f t="shared" si="61"/>
        <v>0</v>
      </c>
      <c r="CB42" s="915">
        <f t="shared" si="62"/>
        <v>0</v>
      </c>
      <c r="CC42" s="915">
        <f t="shared" si="63"/>
        <v>0</v>
      </c>
      <c r="CD42" s="915">
        <f t="shared" si="64"/>
        <v>0</v>
      </c>
      <c r="CF42" s="533"/>
      <c r="CI42" s="534"/>
    </row>
    <row r="43" spans="1:87" ht="14.1" customHeight="1" x14ac:dyDescent="0.2">
      <c r="A43" s="497">
        <v>36</v>
      </c>
      <c r="B43" s="1423"/>
      <c r="C43" s="1424"/>
      <c r="D43" s="138">
        <v>12</v>
      </c>
      <c r="E43" s="138" t="s">
        <v>170</v>
      </c>
      <c r="F43" s="139" t="s">
        <v>2544</v>
      </c>
      <c r="G43" s="139" t="s">
        <v>2542</v>
      </c>
      <c r="H43" s="100">
        <v>8</v>
      </c>
      <c r="I43" s="119">
        <f t="shared" si="65"/>
        <v>0.48</v>
      </c>
      <c r="J43" s="90">
        <f t="shared" si="66"/>
        <v>8.48</v>
      </c>
      <c r="K43" s="51"/>
      <c r="N43" s="951">
        <f>BF6</f>
        <v>8.48</v>
      </c>
      <c r="O43" s="879" t="str">
        <f>"Other for " &amp; TabName12</f>
        <v>Other for Phase 12</v>
      </c>
      <c r="P43" s="949" t="s">
        <v>2282</v>
      </c>
      <c r="W43" s="915">
        <f t="shared" si="5"/>
        <v>0</v>
      </c>
      <c r="X43" s="915">
        <f t="shared" si="6"/>
        <v>0</v>
      </c>
      <c r="Y43" s="915">
        <f t="shared" si="7"/>
        <v>0</v>
      </c>
      <c r="Z43" s="915">
        <f t="shared" si="8"/>
        <v>0</v>
      </c>
      <c r="AA43" s="915">
        <f t="shared" si="9"/>
        <v>0</v>
      </c>
      <c r="AB43" s="915">
        <f t="shared" si="10"/>
        <v>0</v>
      </c>
      <c r="AC43" s="915">
        <f t="shared" si="11"/>
        <v>0</v>
      </c>
      <c r="AD43" s="915">
        <f t="shared" si="12"/>
        <v>0</v>
      </c>
      <c r="AE43" s="915">
        <f t="shared" si="13"/>
        <v>0</v>
      </c>
      <c r="AF43" s="915">
        <f t="shared" si="14"/>
        <v>0</v>
      </c>
      <c r="AG43" s="915">
        <f t="shared" si="15"/>
        <v>0</v>
      </c>
      <c r="AH43" s="915">
        <f t="shared" si="16"/>
        <v>0</v>
      </c>
      <c r="AI43" s="915">
        <f t="shared" si="17"/>
        <v>0</v>
      </c>
      <c r="AJ43" s="915">
        <f t="shared" si="18"/>
        <v>0</v>
      </c>
      <c r="AK43" s="915">
        <f t="shared" si="19"/>
        <v>0</v>
      </c>
      <c r="AL43" s="915">
        <f t="shared" si="20"/>
        <v>0</v>
      </c>
      <c r="AM43" s="915">
        <f t="shared" si="21"/>
        <v>0</v>
      </c>
      <c r="AN43" s="915">
        <f t="shared" si="22"/>
        <v>0</v>
      </c>
      <c r="AO43" s="915">
        <f t="shared" si="23"/>
        <v>0</v>
      </c>
      <c r="AP43" s="915">
        <f t="shared" si="24"/>
        <v>0</v>
      </c>
      <c r="AQ43" s="915">
        <f t="shared" si="25"/>
        <v>0</v>
      </c>
      <c r="AR43" s="915">
        <f t="shared" si="26"/>
        <v>0</v>
      </c>
      <c r="AS43" s="915">
        <f t="shared" si="27"/>
        <v>0</v>
      </c>
      <c r="AT43" s="915">
        <f t="shared" si="28"/>
        <v>0</v>
      </c>
      <c r="AU43" s="915">
        <f t="shared" si="29"/>
        <v>0</v>
      </c>
      <c r="AV43" s="915">
        <f t="shared" si="30"/>
        <v>0</v>
      </c>
      <c r="AW43" s="915">
        <f t="shared" si="31"/>
        <v>0</v>
      </c>
      <c r="AX43" s="915">
        <f t="shared" si="32"/>
        <v>0</v>
      </c>
      <c r="AY43" s="915">
        <f t="shared" si="33"/>
        <v>0</v>
      </c>
      <c r="AZ43" s="915">
        <f t="shared" si="34"/>
        <v>0</v>
      </c>
      <c r="BA43" s="915">
        <f t="shared" si="35"/>
        <v>0</v>
      </c>
      <c r="BB43" s="915">
        <f t="shared" si="36"/>
        <v>0</v>
      </c>
      <c r="BC43" s="915">
        <f t="shared" si="37"/>
        <v>0</v>
      </c>
      <c r="BD43" s="915">
        <f t="shared" si="38"/>
        <v>0</v>
      </c>
      <c r="BE43" s="915">
        <f t="shared" si="39"/>
        <v>0</v>
      </c>
      <c r="BF43" s="915">
        <f t="shared" si="40"/>
        <v>8.48</v>
      </c>
      <c r="BG43" s="915">
        <f t="shared" si="41"/>
        <v>0</v>
      </c>
      <c r="BH43" s="915">
        <f t="shared" si="42"/>
        <v>0</v>
      </c>
      <c r="BI43" s="915">
        <f t="shared" si="43"/>
        <v>0</v>
      </c>
      <c r="BJ43" s="915">
        <f t="shared" si="44"/>
        <v>0</v>
      </c>
      <c r="BK43" s="915">
        <f t="shared" si="45"/>
        <v>0</v>
      </c>
      <c r="BL43" s="915">
        <f t="shared" si="46"/>
        <v>0</v>
      </c>
      <c r="BM43" s="915">
        <f t="shared" si="47"/>
        <v>0</v>
      </c>
      <c r="BN43" s="915">
        <f t="shared" si="48"/>
        <v>0</v>
      </c>
      <c r="BO43" s="915">
        <f t="shared" si="49"/>
        <v>0</v>
      </c>
      <c r="BP43" s="915">
        <f t="shared" si="50"/>
        <v>0</v>
      </c>
      <c r="BQ43" s="915">
        <f t="shared" si="51"/>
        <v>0</v>
      </c>
      <c r="BR43" s="915">
        <f t="shared" si="52"/>
        <v>0</v>
      </c>
      <c r="BS43" s="915">
        <f t="shared" si="53"/>
        <v>0</v>
      </c>
      <c r="BT43" s="915">
        <f t="shared" si="54"/>
        <v>0</v>
      </c>
      <c r="BU43" s="915">
        <f t="shared" si="55"/>
        <v>0</v>
      </c>
      <c r="BV43" s="915">
        <f t="shared" si="56"/>
        <v>0</v>
      </c>
      <c r="BW43" s="915">
        <f t="shared" si="57"/>
        <v>0</v>
      </c>
      <c r="BX43" s="915">
        <f t="shared" si="58"/>
        <v>0</v>
      </c>
      <c r="BY43" s="915">
        <f t="shared" si="59"/>
        <v>0</v>
      </c>
      <c r="BZ43" s="915">
        <f t="shared" si="60"/>
        <v>0</v>
      </c>
      <c r="CA43" s="915">
        <f t="shared" si="61"/>
        <v>0</v>
      </c>
      <c r="CB43" s="915">
        <f t="shared" si="62"/>
        <v>0</v>
      </c>
      <c r="CC43" s="915">
        <f t="shared" si="63"/>
        <v>0</v>
      </c>
      <c r="CD43" s="915">
        <f t="shared" si="64"/>
        <v>0</v>
      </c>
      <c r="CF43" s="533"/>
      <c r="CI43" s="534"/>
    </row>
    <row r="44" spans="1:87" ht="14.1" customHeight="1" x14ac:dyDescent="0.2">
      <c r="A44" s="496">
        <v>37</v>
      </c>
      <c r="B44" s="1419"/>
      <c r="C44" s="1433"/>
      <c r="D44" s="264">
        <v>13</v>
      </c>
      <c r="E44" s="264" t="s">
        <v>26</v>
      </c>
      <c r="F44" s="270" t="s">
        <v>2544</v>
      </c>
      <c r="G44" s="270" t="s">
        <v>2542</v>
      </c>
      <c r="H44" s="272">
        <v>8</v>
      </c>
      <c r="I44" s="268">
        <f t="shared" ref="I44:I45" si="67">IF(ISTEXT(K44),0,StateTaxSRL*G44*H44)</f>
        <v>0.48</v>
      </c>
      <c r="J44" s="269">
        <f t="shared" ref="J44:J45" si="68">(G44*H44)+I44</f>
        <v>8.48</v>
      </c>
      <c r="K44" s="51"/>
      <c r="N44" s="951">
        <f>BG6</f>
        <v>8.48</v>
      </c>
      <c r="O44" s="915" t="str">
        <f>"Rented Equipment for "&amp;TabName13</f>
        <v>Rented Equipment for Phase 13</v>
      </c>
      <c r="P44" s="949" t="s">
        <v>2283</v>
      </c>
      <c r="W44" s="915">
        <f t="shared" si="5"/>
        <v>0</v>
      </c>
      <c r="X44" s="915">
        <f t="shared" si="6"/>
        <v>0</v>
      </c>
      <c r="Y44" s="915">
        <f t="shared" si="7"/>
        <v>0</v>
      </c>
      <c r="Z44" s="915">
        <f t="shared" si="8"/>
        <v>0</v>
      </c>
      <c r="AA44" s="915">
        <f t="shared" si="9"/>
        <v>0</v>
      </c>
      <c r="AB44" s="915">
        <f t="shared" si="10"/>
        <v>0</v>
      </c>
      <c r="AC44" s="915">
        <f t="shared" si="11"/>
        <v>0</v>
      </c>
      <c r="AD44" s="915">
        <f t="shared" si="12"/>
        <v>0</v>
      </c>
      <c r="AE44" s="915">
        <f t="shared" si="13"/>
        <v>0</v>
      </c>
      <c r="AF44" s="915">
        <f t="shared" si="14"/>
        <v>0</v>
      </c>
      <c r="AG44" s="915">
        <f t="shared" si="15"/>
        <v>0</v>
      </c>
      <c r="AH44" s="915">
        <f t="shared" si="16"/>
        <v>0</v>
      </c>
      <c r="AI44" s="915">
        <f t="shared" si="17"/>
        <v>0</v>
      </c>
      <c r="AJ44" s="915">
        <f t="shared" si="18"/>
        <v>0</v>
      </c>
      <c r="AK44" s="915">
        <f t="shared" si="19"/>
        <v>0</v>
      </c>
      <c r="AL44" s="915">
        <f t="shared" si="20"/>
        <v>0</v>
      </c>
      <c r="AM44" s="915">
        <f t="shared" si="21"/>
        <v>0</v>
      </c>
      <c r="AN44" s="915">
        <f t="shared" si="22"/>
        <v>0</v>
      </c>
      <c r="AO44" s="915">
        <f t="shared" si="23"/>
        <v>0</v>
      </c>
      <c r="AP44" s="915">
        <f t="shared" si="24"/>
        <v>0</v>
      </c>
      <c r="AQ44" s="915">
        <f t="shared" si="25"/>
        <v>0</v>
      </c>
      <c r="AR44" s="915">
        <f t="shared" si="26"/>
        <v>0</v>
      </c>
      <c r="AS44" s="915">
        <f t="shared" si="27"/>
        <v>0</v>
      </c>
      <c r="AT44" s="915">
        <f t="shared" si="28"/>
        <v>0</v>
      </c>
      <c r="AU44" s="915">
        <f t="shared" si="29"/>
        <v>0</v>
      </c>
      <c r="AV44" s="915">
        <f t="shared" si="30"/>
        <v>0</v>
      </c>
      <c r="AW44" s="915">
        <f t="shared" si="31"/>
        <v>0</v>
      </c>
      <c r="AX44" s="915">
        <f t="shared" si="32"/>
        <v>0</v>
      </c>
      <c r="AY44" s="915">
        <f t="shared" si="33"/>
        <v>0</v>
      </c>
      <c r="AZ44" s="915">
        <f t="shared" si="34"/>
        <v>0</v>
      </c>
      <c r="BA44" s="915">
        <f t="shared" si="35"/>
        <v>0</v>
      </c>
      <c r="BB44" s="915">
        <f t="shared" si="36"/>
        <v>0</v>
      </c>
      <c r="BC44" s="915">
        <f t="shared" si="37"/>
        <v>0</v>
      </c>
      <c r="BD44" s="915">
        <f t="shared" si="38"/>
        <v>0</v>
      </c>
      <c r="BE44" s="915">
        <f t="shared" si="39"/>
        <v>0</v>
      </c>
      <c r="BF44" s="915">
        <f t="shared" si="40"/>
        <v>0</v>
      </c>
      <c r="BG44" s="915">
        <f t="shared" si="41"/>
        <v>8.48</v>
      </c>
      <c r="BH44" s="915">
        <f t="shared" si="42"/>
        <v>0</v>
      </c>
      <c r="BI44" s="915">
        <f t="shared" si="43"/>
        <v>0</v>
      </c>
      <c r="BJ44" s="915">
        <f t="shared" si="44"/>
        <v>0</v>
      </c>
      <c r="BK44" s="915">
        <f t="shared" si="45"/>
        <v>0</v>
      </c>
      <c r="BL44" s="915">
        <f t="shared" si="46"/>
        <v>0</v>
      </c>
      <c r="BM44" s="915">
        <f t="shared" si="47"/>
        <v>0</v>
      </c>
      <c r="BN44" s="915">
        <f t="shared" si="48"/>
        <v>0</v>
      </c>
      <c r="BO44" s="915">
        <f t="shared" si="49"/>
        <v>0</v>
      </c>
      <c r="BP44" s="915">
        <f t="shared" si="50"/>
        <v>0</v>
      </c>
      <c r="BQ44" s="915">
        <f t="shared" si="51"/>
        <v>0</v>
      </c>
      <c r="BR44" s="915">
        <f t="shared" si="52"/>
        <v>0</v>
      </c>
      <c r="BS44" s="915">
        <f t="shared" si="53"/>
        <v>0</v>
      </c>
      <c r="BT44" s="915">
        <f t="shared" si="54"/>
        <v>0</v>
      </c>
      <c r="BU44" s="915">
        <f t="shared" si="55"/>
        <v>0</v>
      </c>
      <c r="BV44" s="915">
        <f t="shared" si="56"/>
        <v>0</v>
      </c>
      <c r="BW44" s="915">
        <f t="shared" si="57"/>
        <v>0</v>
      </c>
      <c r="BX44" s="915">
        <f t="shared" si="58"/>
        <v>0</v>
      </c>
      <c r="BY44" s="915">
        <f t="shared" si="59"/>
        <v>0</v>
      </c>
      <c r="BZ44" s="915">
        <f t="shared" si="60"/>
        <v>0</v>
      </c>
      <c r="CA44" s="915">
        <f t="shared" si="61"/>
        <v>0</v>
      </c>
      <c r="CB44" s="915">
        <f t="shared" si="62"/>
        <v>0</v>
      </c>
      <c r="CC44" s="915">
        <f t="shared" si="63"/>
        <v>0</v>
      </c>
      <c r="CD44" s="915">
        <f t="shared" si="64"/>
        <v>0</v>
      </c>
      <c r="CF44" s="533"/>
      <c r="CI44" s="534"/>
    </row>
    <row r="45" spans="1:87" ht="14.1" customHeight="1" x14ac:dyDescent="0.2">
      <c r="A45" s="497">
        <v>38</v>
      </c>
      <c r="B45" s="1423"/>
      <c r="C45" s="1424"/>
      <c r="D45" s="138">
        <v>13</v>
      </c>
      <c r="E45" s="138" t="s">
        <v>30</v>
      </c>
      <c r="F45" s="139" t="s">
        <v>2544</v>
      </c>
      <c r="G45" s="139" t="s">
        <v>2542</v>
      </c>
      <c r="H45" s="100">
        <v>8</v>
      </c>
      <c r="I45" s="119">
        <f t="shared" si="67"/>
        <v>0.48</v>
      </c>
      <c r="J45" s="90">
        <f t="shared" si="68"/>
        <v>8.48</v>
      </c>
      <c r="K45" s="51"/>
      <c r="N45" s="951">
        <f>BH6</f>
        <v>8.48</v>
      </c>
      <c r="O45" s="879" t="str">
        <f>"Purchased Supplies for " &amp; TabName13</f>
        <v>Purchased Supplies for Phase 13</v>
      </c>
      <c r="P45" s="950" t="s">
        <v>2284</v>
      </c>
      <c r="W45" s="915">
        <f t="shared" si="5"/>
        <v>0</v>
      </c>
      <c r="X45" s="915">
        <f t="shared" si="6"/>
        <v>0</v>
      </c>
      <c r="Y45" s="915">
        <f t="shared" si="7"/>
        <v>0</v>
      </c>
      <c r="Z45" s="915">
        <f t="shared" si="8"/>
        <v>0</v>
      </c>
      <c r="AA45" s="915">
        <f t="shared" si="9"/>
        <v>0</v>
      </c>
      <c r="AB45" s="915">
        <f t="shared" si="10"/>
        <v>0</v>
      </c>
      <c r="AC45" s="915">
        <f t="shared" si="11"/>
        <v>0</v>
      </c>
      <c r="AD45" s="915">
        <f t="shared" si="12"/>
        <v>0</v>
      </c>
      <c r="AE45" s="915">
        <f t="shared" si="13"/>
        <v>0</v>
      </c>
      <c r="AF45" s="915">
        <f t="shared" si="14"/>
        <v>0</v>
      </c>
      <c r="AG45" s="915">
        <f t="shared" si="15"/>
        <v>0</v>
      </c>
      <c r="AH45" s="915">
        <f t="shared" si="16"/>
        <v>0</v>
      </c>
      <c r="AI45" s="915">
        <f t="shared" si="17"/>
        <v>0</v>
      </c>
      <c r="AJ45" s="915">
        <f t="shared" si="18"/>
        <v>0</v>
      </c>
      <c r="AK45" s="915">
        <f t="shared" si="19"/>
        <v>0</v>
      </c>
      <c r="AL45" s="915">
        <f t="shared" si="20"/>
        <v>0</v>
      </c>
      <c r="AM45" s="915">
        <f t="shared" si="21"/>
        <v>0</v>
      </c>
      <c r="AN45" s="915">
        <f t="shared" si="22"/>
        <v>0</v>
      </c>
      <c r="AO45" s="915">
        <f t="shared" si="23"/>
        <v>0</v>
      </c>
      <c r="AP45" s="915">
        <f t="shared" si="24"/>
        <v>0</v>
      </c>
      <c r="AQ45" s="915">
        <f t="shared" si="25"/>
        <v>0</v>
      </c>
      <c r="AR45" s="915">
        <f t="shared" si="26"/>
        <v>0</v>
      </c>
      <c r="AS45" s="915">
        <f t="shared" si="27"/>
        <v>0</v>
      </c>
      <c r="AT45" s="915">
        <f t="shared" si="28"/>
        <v>0</v>
      </c>
      <c r="AU45" s="915">
        <f t="shared" si="29"/>
        <v>0</v>
      </c>
      <c r="AV45" s="915">
        <f t="shared" si="30"/>
        <v>0</v>
      </c>
      <c r="AW45" s="915">
        <f t="shared" si="31"/>
        <v>0</v>
      </c>
      <c r="AX45" s="915">
        <f t="shared" si="32"/>
        <v>0</v>
      </c>
      <c r="AY45" s="915">
        <f t="shared" si="33"/>
        <v>0</v>
      </c>
      <c r="AZ45" s="915">
        <f t="shared" si="34"/>
        <v>0</v>
      </c>
      <c r="BA45" s="915">
        <f t="shared" si="35"/>
        <v>0</v>
      </c>
      <c r="BB45" s="915">
        <f t="shared" si="36"/>
        <v>0</v>
      </c>
      <c r="BC45" s="915">
        <f t="shared" si="37"/>
        <v>0</v>
      </c>
      <c r="BD45" s="915">
        <f t="shared" si="38"/>
        <v>0</v>
      </c>
      <c r="BE45" s="915">
        <f t="shared" si="39"/>
        <v>0</v>
      </c>
      <c r="BF45" s="915">
        <f t="shared" si="40"/>
        <v>0</v>
      </c>
      <c r="BG45" s="915">
        <f t="shared" si="41"/>
        <v>0</v>
      </c>
      <c r="BH45" s="915">
        <f t="shared" si="42"/>
        <v>8.48</v>
      </c>
      <c r="BI45" s="915">
        <f t="shared" si="43"/>
        <v>0</v>
      </c>
      <c r="BJ45" s="915">
        <f t="shared" si="44"/>
        <v>0</v>
      </c>
      <c r="BK45" s="915">
        <f t="shared" si="45"/>
        <v>0</v>
      </c>
      <c r="BL45" s="915">
        <f t="shared" si="46"/>
        <v>0</v>
      </c>
      <c r="BM45" s="915">
        <f t="shared" si="47"/>
        <v>0</v>
      </c>
      <c r="BN45" s="915">
        <f t="shared" si="48"/>
        <v>0</v>
      </c>
      <c r="BO45" s="915">
        <f t="shared" si="49"/>
        <v>0</v>
      </c>
      <c r="BP45" s="915">
        <f t="shared" si="50"/>
        <v>0</v>
      </c>
      <c r="BQ45" s="915">
        <f t="shared" si="51"/>
        <v>0</v>
      </c>
      <c r="BR45" s="915">
        <f t="shared" si="52"/>
        <v>0</v>
      </c>
      <c r="BS45" s="915">
        <f t="shared" si="53"/>
        <v>0</v>
      </c>
      <c r="BT45" s="915">
        <f t="shared" si="54"/>
        <v>0</v>
      </c>
      <c r="BU45" s="915">
        <f t="shared" si="55"/>
        <v>0</v>
      </c>
      <c r="BV45" s="915">
        <f t="shared" si="56"/>
        <v>0</v>
      </c>
      <c r="BW45" s="915">
        <f t="shared" si="57"/>
        <v>0</v>
      </c>
      <c r="BX45" s="915">
        <f t="shared" si="58"/>
        <v>0</v>
      </c>
      <c r="BY45" s="915">
        <f t="shared" si="59"/>
        <v>0</v>
      </c>
      <c r="BZ45" s="915">
        <f t="shared" si="60"/>
        <v>0</v>
      </c>
      <c r="CA45" s="915">
        <f t="shared" si="61"/>
        <v>0</v>
      </c>
      <c r="CB45" s="915">
        <f t="shared" si="62"/>
        <v>0</v>
      </c>
      <c r="CC45" s="915">
        <f t="shared" si="63"/>
        <v>0</v>
      </c>
      <c r="CD45" s="915">
        <f t="shared" si="64"/>
        <v>0</v>
      </c>
      <c r="CF45" s="533"/>
      <c r="CI45" s="534"/>
    </row>
    <row r="46" spans="1:87" ht="14.1" customHeight="1" x14ac:dyDescent="0.2">
      <c r="A46" s="496">
        <v>39</v>
      </c>
      <c r="B46" s="1419"/>
      <c r="C46" s="1433"/>
      <c r="D46" s="264">
        <v>13</v>
      </c>
      <c r="E46" s="264" t="s">
        <v>170</v>
      </c>
      <c r="F46" s="270" t="s">
        <v>2544</v>
      </c>
      <c r="G46" s="270" t="s">
        <v>2542</v>
      </c>
      <c r="H46" s="272">
        <v>8</v>
      </c>
      <c r="I46" s="268">
        <f t="shared" ref="I46:I55" si="69">IF(ISTEXT(K46),0,StateTaxSRL*G46*H46)</f>
        <v>0.48</v>
      </c>
      <c r="J46" s="269">
        <f t="shared" ref="J46:J55" si="70">(G46*H46)+I46</f>
        <v>8.48</v>
      </c>
      <c r="K46" s="51"/>
      <c r="N46" s="951">
        <f>BI6</f>
        <v>8.48</v>
      </c>
      <c r="O46" s="879" t="str">
        <f>"Other for " &amp; TabName13</f>
        <v>Other for Phase 13</v>
      </c>
      <c r="P46" s="949" t="s">
        <v>2285</v>
      </c>
      <c r="W46" s="915">
        <f t="shared" si="5"/>
        <v>0</v>
      </c>
      <c r="X46" s="915">
        <f t="shared" si="6"/>
        <v>0</v>
      </c>
      <c r="Y46" s="915">
        <f t="shared" si="7"/>
        <v>0</v>
      </c>
      <c r="Z46" s="915">
        <f t="shared" si="8"/>
        <v>0</v>
      </c>
      <c r="AA46" s="915">
        <f t="shared" si="9"/>
        <v>0</v>
      </c>
      <c r="AB46" s="915">
        <f t="shared" si="10"/>
        <v>0</v>
      </c>
      <c r="AC46" s="915">
        <f t="shared" si="11"/>
        <v>0</v>
      </c>
      <c r="AD46" s="915">
        <f t="shared" si="12"/>
        <v>0</v>
      </c>
      <c r="AE46" s="915">
        <f t="shared" si="13"/>
        <v>0</v>
      </c>
      <c r="AF46" s="915">
        <f t="shared" si="14"/>
        <v>0</v>
      </c>
      <c r="AG46" s="915">
        <f t="shared" si="15"/>
        <v>0</v>
      </c>
      <c r="AH46" s="915">
        <f t="shared" si="16"/>
        <v>0</v>
      </c>
      <c r="AI46" s="915">
        <f t="shared" si="17"/>
        <v>0</v>
      </c>
      <c r="AJ46" s="915">
        <f t="shared" si="18"/>
        <v>0</v>
      </c>
      <c r="AK46" s="915">
        <f t="shared" si="19"/>
        <v>0</v>
      </c>
      <c r="AL46" s="915">
        <f t="shared" si="20"/>
        <v>0</v>
      </c>
      <c r="AM46" s="915">
        <f t="shared" si="21"/>
        <v>0</v>
      </c>
      <c r="AN46" s="915">
        <f t="shared" si="22"/>
        <v>0</v>
      </c>
      <c r="AO46" s="915">
        <f t="shared" si="23"/>
        <v>0</v>
      </c>
      <c r="AP46" s="915">
        <f t="shared" si="24"/>
        <v>0</v>
      </c>
      <c r="AQ46" s="915">
        <f t="shared" si="25"/>
        <v>0</v>
      </c>
      <c r="AR46" s="915">
        <f t="shared" si="26"/>
        <v>0</v>
      </c>
      <c r="AS46" s="915">
        <f t="shared" si="27"/>
        <v>0</v>
      </c>
      <c r="AT46" s="915">
        <f t="shared" si="28"/>
        <v>0</v>
      </c>
      <c r="AU46" s="915">
        <f t="shared" si="29"/>
        <v>0</v>
      </c>
      <c r="AV46" s="915">
        <f t="shared" si="30"/>
        <v>0</v>
      </c>
      <c r="AW46" s="915">
        <f t="shared" si="31"/>
        <v>0</v>
      </c>
      <c r="AX46" s="915">
        <f t="shared" si="32"/>
        <v>0</v>
      </c>
      <c r="AY46" s="915">
        <f t="shared" si="33"/>
        <v>0</v>
      </c>
      <c r="AZ46" s="915">
        <f t="shared" si="34"/>
        <v>0</v>
      </c>
      <c r="BA46" s="915">
        <f t="shared" si="35"/>
        <v>0</v>
      </c>
      <c r="BB46" s="915">
        <f t="shared" si="36"/>
        <v>0</v>
      </c>
      <c r="BC46" s="915">
        <f t="shared" si="37"/>
        <v>0</v>
      </c>
      <c r="BD46" s="915">
        <f t="shared" si="38"/>
        <v>0</v>
      </c>
      <c r="BE46" s="915">
        <f t="shared" si="39"/>
        <v>0</v>
      </c>
      <c r="BF46" s="915">
        <f t="shared" si="40"/>
        <v>0</v>
      </c>
      <c r="BG46" s="915">
        <f t="shared" si="41"/>
        <v>0</v>
      </c>
      <c r="BH46" s="915">
        <f t="shared" si="42"/>
        <v>0</v>
      </c>
      <c r="BI46" s="915">
        <f t="shared" si="43"/>
        <v>8.48</v>
      </c>
      <c r="BJ46" s="915">
        <f t="shared" si="44"/>
        <v>0</v>
      </c>
      <c r="BK46" s="915">
        <f t="shared" si="45"/>
        <v>0</v>
      </c>
      <c r="BL46" s="915">
        <f t="shared" si="46"/>
        <v>0</v>
      </c>
      <c r="BM46" s="915">
        <f t="shared" si="47"/>
        <v>0</v>
      </c>
      <c r="BN46" s="915">
        <f t="shared" si="48"/>
        <v>0</v>
      </c>
      <c r="BO46" s="915">
        <f t="shared" si="49"/>
        <v>0</v>
      </c>
      <c r="BP46" s="915">
        <f t="shared" si="50"/>
        <v>0</v>
      </c>
      <c r="BQ46" s="915">
        <f t="shared" si="51"/>
        <v>0</v>
      </c>
      <c r="BR46" s="915">
        <f t="shared" si="52"/>
        <v>0</v>
      </c>
      <c r="BS46" s="915">
        <f t="shared" si="53"/>
        <v>0</v>
      </c>
      <c r="BT46" s="915">
        <f t="shared" si="54"/>
        <v>0</v>
      </c>
      <c r="BU46" s="915">
        <f t="shared" si="55"/>
        <v>0</v>
      </c>
      <c r="BV46" s="915">
        <f t="shared" si="56"/>
        <v>0</v>
      </c>
      <c r="BW46" s="915">
        <f t="shared" si="57"/>
        <v>0</v>
      </c>
      <c r="BX46" s="915">
        <f t="shared" si="58"/>
        <v>0</v>
      </c>
      <c r="BY46" s="915">
        <f t="shared" si="59"/>
        <v>0</v>
      </c>
      <c r="BZ46" s="915">
        <f t="shared" si="60"/>
        <v>0</v>
      </c>
      <c r="CA46" s="915">
        <f t="shared" si="61"/>
        <v>0</v>
      </c>
      <c r="CB46" s="915">
        <f t="shared" si="62"/>
        <v>0</v>
      </c>
      <c r="CC46" s="915">
        <f t="shared" si="63"/>
        <v>0</v>
      </c>
      <c r="CD46" s="915">
        <f t="shared" si="64"/>
        <v>0</v>
      </c>
      <c r="CF46" s="533"/>
      <c r="CI46" s="534"/>
    </row>
    <row r="47" spans="1:87" ht="14.1" customHeight="1" x14ac:dyDescent="0.2">
      <c r="A47" s="497">
        <v>40</v>
      </c>
      <c r="B47" s="1423"/>
      <c r="C47" s="1424"/>
      <c r="D47" s="138">
        <v>14</v>
      </c>
      <c r="E47" s="138" t="s">
        <v>26</v>
      </c>
      <c r="F47" s="139" t="s">
        <v>2544</v>
      </c>
      <c r="G47" s="139" t="s">
        <v>2542</v>
      </c>
      <c r="H47" s="100">
        <v>8</v>
      </c>
      <c r="I47" s="119">
        <f t="shared" si="69"/>
        <v>0.48</v>
      </c>
      <c r="J47" s="90">
        <f t="shared" si="70"/>
        <v>8.48</v>
      </c>
      <c r="K47" s="51"/>
      <c r="N47" s="951">
        <f>BJ6</f>
        <v>8.48</v>
      </c>
      <c r="O47" s="915" t="str">
        <f>"Rented Equipment for "&amp;TabName14</f>
        <v>Rented Equipment for Phase 14</v>
      </c>
      <c r="P47" s="949" t="s">
        <v>2286</v>
      </c>
      <c r="W47" s="915">
        <f t="shared" si="5"/>
        <v>0</v>
      </c>
      <c r="X47" s="915">
        <f t="shared" si="6"/>
        <v>0</v>
      </c>
      <c r="Y47" s="915">
        <f t="shared" si="7"/>
        <v>0</v>
      </c>
      <c r="Z47" s="915">
        <f t="shared" si="8"/>
        <v>0</v>
      </c>
      <c r="AA47" s="915">
        <f t="shared" si="9"/>
        <v>0</v>
      </c>
      <c r="AB47" s="915">
        <f t="shared" si="10"/>
        <v>0</v>
      </c>
      <c r="AC47" s="915">
        <f t="shared" si="11"/>
        <v>0</v>
      </c>
      <c r="AD47" s="915">
        <f t="shared" si="12"/>
        <v>0</v>
      </c>
      <c r="AE47" s="915">
        <f t="shared" si="13"/>
        <v>0</v>
      </c>
      <c r="AF47" s="915">
        <f t="shared" si="14"/>
        <v>0</v>
      </c>
      <c r="AG47" s="915">
        <f t="shared" si="15"/>
        <v>0</v>
      </c>
      <c r="AH47" s="915">
        <f t="shared" si="16"/>
        <v>0</v>
      </c>
      <c r="AI47" s="915">
        <f t="shared" si="17"/>
        <v>0</v>
      </c>
      <c r="AJ47" s="915">
        <f t="shared" si="18"/>
        <v>0</v>
      </c>
      <c r="AK47" s="915">
        <f t="shared" si="19"/>
        <v>0</v>
      </c>
      <c r="AL47" s="915">
        <f t="shared" si="20"/>
        <v>0</v>
      </c>
      <c r="AM47" s="915">
        <f t="shared" si="21"/>
        <v>0</v>
      </c>
      <c r="AN47" s="915">
        <f t="shared" si="22"/>
        <v>0</v>
      </c>
      <c r="AO47" s="915">
        <f t="shared" si="23"/>
        <v>0</v>
      </c>
      <c r="AP47" s="915">
        <f t="shared" si="24"/>
        <v>0</v>
      </c>
      <c r="AQ47" s="915">
        <f t="shared" si="25"/>
        <v>0</v>
      </c>
      <c r="AR47" s="915">
        <f t="shared" si="26"/>
        <v>0</v>
      </c>
      <c r="AS47" s="915">
        <f t="shared" si="27"/>
        <v>0</v>
      </c>
      <c r="AT47" s="915">
        <f t="shared" si="28"/>
        <v>0</v>
      </c>
      <c r="AU47" s="915">
        <f t="shared" si="29"/>
        <v>0</v>
      </c>
      <c r="AV47" s="915">
        <f t="shared" si="30"/>
        <v>0</v>
      </c>
      <c r="AW47" s="915">
        <f t="shared" si="31"/>
        <v>0</v>
      </c>
      <c r="AX47" s="915">
        <f t="shared" si="32"/>
        <v>0</v>
      </c>
      <c r="AY47" s="915">
        <f t="shared" si="33"/>
        <v>0</v>
      </c>
      <c r="AZ47" s="915">
        <f t="shared" si="34"/>
        <v>0</v>
      </c>
      <c r="BA47" s="915">
        <f t="shared" si="35"/>
        <v>0</v>
      </c>
      <c r="BB47" s="915">
        <f t="shared" si="36"/>
        <v>0</v>
      </c>
      <c r="BC47" s="915">
        <f t="shared" si="37"/>
        <v>0</v>
      </c>
      <c r="BD47" s="915">
        <f t="shared" si="38"/>
        <v>0</v>
      </c>
      <c r="BE47" s="915">
        <f t="shared" si="39"/>
        <v>0</v>
      </c>
      <c r="BF47" s="915">
        <f t="shared" si="40"/>
        <v>0</v>
      </c>
      <c r="BG47" s="915">
        <f t="shared" si="41"/>
        <v>0</v>
      </c>
      <c r="BH47" s="915">
        <f t="shared" si="42"/>
        <v>0</v>
      </c>
      <c r="BI47" s="915">
        <f t="shared" si="43"/>
        <v>0</v>
      </c>
      <c r="BJ47" s="915">
        <f t="shared" si="44"/>
        <v>8.48</v>
      </c>
      <c r="BK47" s="915">
        <f t="shared" si="45"/>
        <v>0</v>
      </c>
      <c r="BL47" s="915">
        <f t="shared" si="46"/>
        <v>0</v>
      </c>
      <c r="BM47" s="915">
        <f t="shared" si="47"/>
        <v>0</v>
      </c>
      <c r="BN47" s="915">
        <f t="shared" si="48"/>
        <v>0</v>
      </c>
      <c r="BO47" s="915">
        <f t="shared" si="49"/>
        <v>0</v>
      </c>
      <c r="BP47" s="915">
        <f t="shared" si="50"/>
        <v>0</v>
      </c>
      <c r="BQ47" s="915">
        <f t="shared" si="51"/>
        <v>0</v>
      </c>
      <c r="BR47" s="915">
        <f t="shared" si="52"/>
        <v>0</v>
      </c>
      <c r="BS47" s="915">
        <f t="shared" si="53"/>
        <v>0</v>
      </c>
      <c r="BT47" s="915">
        <f t="shared" si="54"/>
        <v>0</v>
      </c>
      <c r="BU47" s="915">
        <f t="shared" si="55"/>
        <v>0</v>
      </c>
      <c r="BV47" s="915">
        <f t="shared" si="56"/>
        <v>0</v>
      </c>
      <c r="BW47" s="915">
        <f t="shared" si="57"/>
        <v>0</v>
      </c>
      <c r="BX47" s="915">
        <f t="shared" si="58"/>
        <v>0</v>
      </c>
      <c r="BY47" s="915">
        <f t="shared" si="59"/>
        <v>0</v>
      </c>
      <c r="BZ47" s="915">
        <f t="shared" si="60"/>
        <v>0</v>
      </c>
      <c r="CA47" s="915">
        <f t="shared" si="61"/>
        <v>0</v>
      </c>
      <c r="CB47" s="915">
        <f t="shared" si="62"/>
        <v>0</v>
      </c>
      <c r="CC47" s="915">
        <f t="shared" si="63"/>
        <v>0</v>
      </c>
      <c r="CD47" s="915">
        <f t="shared" si="64"/>
        <v>0</v>
      </c>
      <c r="CF47" s="533"/>
      <c r="CI47" s="534"/>
    </row>
    <row r="48" spans="1:87" ht="14.1" customHeight="1" x14ac:dyDescent="0.2">
      <c r="A48" s="496">
        <v>41</v>
      </c>
      <c r="B48" s="1419"/>
      <c r="C48" s="1433"/>
      <c r="D48" s="264">
        <v>14</v>
      </c>
      <c r="E48" s="264" t="s">
        <v>30</v>
      </c>
      <c r="F48" s="270" t="s">
        <v>2544</v>
      </c>
      <c r="G48" s="270" t="s">
        <v>2542</v>
      </c>
      <c r="H48" s="272">
        <v>8</v>
      </c>
      <c r="I48" s="268">
        <f t="shared" si="69"/>
        <v>0.48</v>
      </c>
      <c r="J48" s="269">
        <f t="shared" si="70"/>
        <v>8.48</v>
      </c>
      <c r="K48" s="51"/>
      <c r="N48" s="951">
        <f>BK6</f>
        <v>8.48</v>
      </c>
      <c r="O48" s="879" t="str">
        <f>"Purchased Supplies for " &amp; TabName14</f>
        <v>Purchased Supplies for Phase 14</v>
      </c>
      <c r="P48" s="950" t="s">
        <v>2287</v>
      </c>
      <c r="W48" s="915">
        <f t="shared" si="5"/>
        <v>0</v>
      </c>
      <c r="X48" s="915">
        <f t="shared" si="6"/>
        <v>0</v>
      </c>
      <c r="Y48" s="915">
        <f t="shared" si="7"/>
        <v>0</v>
      </c>
      <c r="Z48" s="915">
        <f t="shared" si="8"/>
        <v>0</v>
      </c>
      <c r="AA48" s="915">
        <f t="shared" si="9"/>
        <v>0</v>
      </c>
      <c r="AB48" s="915">
        <f t="shared" si="10"/>
        <v>0</v>
      </c>
      <c r="AC48" s="915">
        <f t="shared" si="11"/>
        <v>0</v>
      </c>
      <c r="AD48" s="915">
        <f t="shared" si="12"/>
        <v>0</v>
      </c>
      <c r="AE48" s="915">
        <f t="shared" si="13"/>
        <v>0</v>
      </c>
      <c r="AF48" s="915">
        <f t="shared" si="14"/>
        <v>0</v>
      </c>
      <c r="AG48" s="915">
        <f t="shared" si="15"/>
        <v>0</v>
      </c>
      <c r="AH48" s="915">
        <f t="shared" si="16"/>
        <v>0</v>
      </c>
      <c r="AI48" s="915">
        <f t="shared" si="17"/>
        <v>0</v>
      </c>
      <c r="AJ48" s="915">
        <f t="shared" si="18"/>
        <v>0</v>
      </c>
      <c r="AK48" s="915">
        <f t="shared" si="19"/>
        <v>0</v>
      </c>
      <c r="AL48" s="915">
        <f t="shared" si="20"/>
        <v>0</v>
      </c>
      <c r="AM48" s="915">
        <f t="shared" si="21"/>
        <v>0</v>
      </c>
      <c r="AN48" s="915">
        <f t="shared" si="22"/>
        <v>0</v>
      </c>
      <c r="AO48" s="915">
        <f t="shared" si="23"/>
        <v>0</v>
      </c>
      <c r="AP48" s="915">
        <f t="shared" si="24"/>
        <v>0</v>
      </c>
      <c r="AQ48" s="915">
        <f t="shared" si="25"/>
        <v>0</v>
      </c>
      <c r="AR48" s="915">
        <f t="shared" si="26"/>
        <v>0</v>
      </c>
      <c r="AS48" s="915">
        <f t="shared" si="27"/>
        <v>0</v>
      </c>
      <c r="AT48" s="915">
        <f t="shared" si="28"/>
        <v>0</v>
      </c>
      <c r="AU48" s="915">
        <f t="shared" si="29"/>
        <v>0</v>
      </c>
      <c r="AV48" s="915">
        <f t="shared" si="30"/>
        <v>0</v>
      </c>
      <c r="AW48" s="915">
        <f t="shared" si="31"/>
        <v>0</v>
      </c>
      <c r="AX48" s="915">
        <f t="shared" si="32"/>
        <v>0</v>
      </c>
      <c r="AY48" s="915">
        <f t="shared" si="33"/>
        <v>0</v>
      </c>
      <c r="AZ48" s="915">
        <f t="shared" si="34"/>
        <v>0</v>
      </c>
      <c r="BA48" s="915">
        <f t="shared" si="35"/>
        <v>0</v>
      </c>
      <c r="BB48" s="915">
        <f t="shared" si="36"/>
        <v>0</v>
      </c>
      <c r="BC48" s="915">
        <f t="shared" si="37"/>
        <v>0</v>
      </c>
      <c r="BD48" s="915">
        <f t="shared" si="38"/>
        <v>0</v>
      </c>
      <c r="BE48" s="915">
        <f t="shared" si="39"/>
        <v>0</v>
      </c>
      <c r="BF48" s="915">
        <f t="shared" si="40"/>
        <v>0</v>
      </c>
      <c r="BG48" s="915">
        <f t="shared" si="41"/>
        <v>0</v>
      </c>
      <c r="BH48" s="915">
        <f t="shared" si="42"/>
        <v>0</v>
      </c>
      <c r="BI48" s="915">
        <f t="shared" si="43"/>
        <v>0</v>
      </c>
      <c r="BJ48" s="915">
        <f t="shared" si="44"/>
        <v>0</v>
      </c>
      <c r="BK48" s="915">
        <f t="shared" si="45"/>
        <v>8.48</v>
      </c>
      <c r="BL48" s="915">
        <f t="shared" si="46"/>
        <v>0</v>
      </c>
      <c r="BM48" s="915">
        <f t="shared" si="47"/>
        <v>0</v>
      </c>
      <c r="BN48" s="915">
        <f t="shared" si="48"/>
        <v>0</v>
      </c>
      <c r="BO48" s="915">
        <f t="shared" si="49"/>
        <v>0</v>
      </c>
      <c r="BP48" s="915">
        <f t="shared" si="50"/>
        <v>0</v>
      </c>
      <c r="BQ48" s="915">
        <f t="shared" si="51"/>
        <v>0</v>
      </c>
      <c r="BR48" s="915">
        <f t="shared" si="52"/>
        <v>0</v>
      </c>
      <c r="BS48" s="915">
        <f t="shared" si="53"/>
        <v>0</v>
      </c>
      <c r="BT48" s="915">
        <f t="shared" si="54"/>
        <v>0</v>
      </c>
      <c r="BU48" s="915">
        <f t="shared" si="55"/>
        <v>0</v>
      </c>
      <c r="BV48" s="915">
        <f t="shared" si="56"/>
        <v>0</v>
      </c>
      <c r="BW48" s="915">
        <f t="shared" si="57"/>
        <v>0</v>
      </c>
      <c r="BX48" s="915">
        <f t="shared" si="58"/>
        <v>0</v>
      </c>
      <c r="BY48" s="915">
        <f t="shared" si="59"/>
        <v>0</v>
      </c>
      <c r="BZ48" s="915">
        <f t="shared" si="60"/>
        <v>0</v>
      </c>
      <c r="CA48" s="915">
        <f t="shared" si="61"/>
        <v>0</v>
      </c>
      <c r="CB48" s="915">
        <f t="shared" si="62"/>
        <v>0</v>
      </c>
      <c r="CC48" s="915">
        <f t="shared" si="63"/>
        <v>0</v>
      </c>
      <c r="CD48" s="915">
        <f t="shared" si="64"/>
        <v>0</v>
      </c>
      <c r="CF48" s="533"/>
      <c r="CI48" s="534"/>
    </row>
    <row r="49" spans="1:87" ht="14.1" customHeight="1" x14ac:dyDescent="0.2">
      <c r="A49" s="497">
        <v>42</v>
      </c>
      <c r="B49" s="1423"/>
      <c r="C49" s="1424"/>
      <c r="D49" s="138">
        <v>14</v>
      </c>
      <c r="E49" s="138" t="s">
        <v>170</v>
      </c>
      <c r="F49" s="139" t="s">
        <v>2544</v>
      </c>
      <c r="G49" s="139" t="s">
        <v>2542</v>
      </c>
      <c r="H49" s="100">
        <v>8</v>
      </c>
      <c r="I49" s="119">
        <f t="shared" si="69"/>
        <v>0.48</v>
      </c>
      <c r="J49" s="90">
        <f t="shared" si="70"/>
        <v>8.48</v>
      </c>
      <c r="K49" s="51"/>
      <c r="N49" s="951">
        <f>BL6</f>
        <v>8.48</v>
      </c>
      <c r="O49" s="879" t="str">
        <f>"Other for " &amp; TabName14</f>
        <v>Other for Phase 14</v>
      </c>
      <c r="P49" s="949" t="s">
        <v>2288</v>
      </c>
      <c r="W49" s="915">
        <f t="shared" si="5"/>
        <v>0</v>
      </c>
      <c r="X49" s="915">
        <f t="shared" si="6"/>
        <v>0</v>
      </c>
      <c r="Y49" s="915">
        <f t="shared" si="7"/>
        <v>0</v>
      </c>
      <c r="Z49" s="915">
        <f t="shared" si="8"/>
        <v>0</v>
      </c>
      <c r="AA49" s="915">
        <f t="shared" si="9"/>
        <v>0</v>
      </c>
      <c r="AB49" s="915">
        <f t="shared" si="10"/>
        <v>0</v>
      </c>
      <c r="AC49" s="915">
        <f t="shared" si="11"/>
        <v>0</v>
      </c>
      <c r="AD49" s="915">
        <f t="shared" si="12"/>
        <v>0</v>
      </c>
      <c r="AE49" s="915">
        <f t="shared" si="13"/>
        <v>0</v>
      </c>
      <c r="AF49" s="915">
        <f t="shared" si="14"/>
        <v>0</v>
      </c>
      <c r="AG49" s="915">
        <f t="shared" si="15"/>
        <v>0</v>
      </c>
      <c r="AH49" s="915">
        <f t="shared" si="16"/>
        <v>0</v>
      </c>
      <c r="AI49" s="915">
        <f t="shared" si="17"/>
        <v>0</v>
      </c>
      <c r="AJ49" s="915">
        <f t="shared" si="18"/>
        <v>0</v>
      </c>
      <c r="AK49" s="915">
        <f t="shared" si="19"/>
        <v>0</v>
      </c>
      <c r="AL49" s="915">
        <f t="shared" si="20"/>
        <v>0</v>
      </c>
      <c r="AM49" s="915">
        <f t="shared" si="21"/>
        <v>0</v>
      </c>
      <c r="AN49" s="915">
        <f t="shared" si="22"/>
        <v>0</v>
      </c>
      <c r="AO49" s="915">
        <f t="shared" si="23"/>
        <v>0</v>
      </c>
      <c r="AP49" s="915">
        <f t="shared" si="24"/>
        <v>0</v>
      </c>
      <c r="AQ49" s="915">
        <f t="shared" si="25"/>
        <v>0</v>
      </c>
      <c r="AR49" s="915">
        <f t="shared" si="26"/>
        <v>0</v>
      </c>
      <c r="AS49" s="915">
        <f t="shared" si="27"/>
        <v>0</v>
      </c>
      <c r="AT49" s="915">
        <f t="shared" si="28"/>
        <v>0</v>
      </c>
      <c r="AU49" s="915">
        <f t="shared" si="29"/>
        <v>0</v>
      </c>
      <c r="AV49" s="915">
        <f t="shared" si="30"/>
        <v>0</v>
      </c>
      <c r="AW49" s="915">
        <f t="shared" si="31"/>
        <v>0</v>
      </c>
      <c r="AX49" s="915">
        <f t="shared" si="32"/>
        <v>0</v>
      </c>
      <c r="AY49" s="915">
        <f t="shared" si="33"/>
        <v>0</v>
      </c>
      <c r="AZ49" s="915">
        <f t="shared" si="34"/>
        <v>0</v>
      </c>
      <c r="BA49" s="915">
        <f t="shared" si="35"/>
        <v>0</v>
      </c>
      <c r="BB49" s="915">
        <f t="shared" si="36"/>
        <v>0</v>
      </c>
      <c r="BC49" s="915">
        <f t="shared" si="37"/>
        <v>0</v>
      </c>
      <c r="BD49" s="915">
        <f t="shared" si="38"/>
        <v>0</v>
      </c>
      <c r="BE49" s="915">
        <f t="shared" si="39"/>
        <v>0</v>
      </c>
      <c r="BF49" s="915">
        <f t="shared" si="40"/>
        <v>0</v>
      </c>
      <c r="BG49" s="915">
        <f t="shared" si="41"/>
        <v>0</v>
      </c>
      <c r="BH49" s="915">
        <f t="shared" si="42"/>
        <v>0</v>
      </c>
      <c r="BI49" s="915">
        <f t="shared" si="43"/>
        <v>0</v>
      </c>
      <c r="BJ49" s="915">
        <f t="shared" si="44"/>
        <v>0</v>
      </c>
      <c r="BK49" s="915">
        <f t="shared" si="45"/>
        <v>0</v>
      </c>
      <c r="BL49" s="915">
        <f t="shared" si="46"/>
        <v>8.48</v>
      </c>
      <c r="BM49" s="915">
        <f t="shared" si="47"/>
        <v>0</v>
      </c>
      <c r="BN49" s="915">
        <f t="shared" si="48"/>
        <v>0</v>
      </c>
      <c r="BO49" s="915">
        <f t="shared" si="49"/>
        <v>0</v>
      </c>
      <c r="BP49" s="915">
        <f t="shared" si="50"/>
        <v>0</v>
      </c>
      <c r="BQ49" s="915">
        <f t="shared" si="51"/>
        <v>0</v>
      </c>
      <c r="BR49" s="915">
        <f t="shared" si="52"/>
        <v>0</v>
      </c>
      <c r="BS49" s="915">
        <f t="shared" si="53"/>
        <v>0</v>
      </c>
      <c r="BT49" s="915">
        <f t="shared" si="54"/>
        <v>0</v>
      </c>
      <c r="BU49" s="915">
        <f t="shared" si="55"/>
        <v>0</v>
      </c>
      <c r="BV49" s="915">
        <f t="shared" si="56"/>
        <v>0</v>
      </c>
      <c r="BW49" s="915">
        <f t="shared" si="57"/>
        <v>0</v>
      </c>
      <c r="BX49" s="915">
        <f t="shared" si="58"/>
        <v>0</v>
      </c>
      <c r="BY49" s="915">
        <f t="shared" si="59"/>
        <v>0</v>
      </c>
      <c r="BZ49" s="915">
        <f t="shared" si="60"/>
        <v>0</v>
      </c>
      <c r="CA49" s="915">
        <f t="shared" si="61"/>
        <v>0</v>
      </c>
      <c r="CB49" s="915">
        <f t="shared" si="62"/>
        <v>0</v>
      </c>
      <c r="CC49" s="915">
        <f t="shared" si="63"/>
        <v>0</v>
      </c>
      <c r="CD49" s="915">
        <f t="shared" si="64"/>
        <v>0</v>
      </c>
      <c r="CF49" s="533"/>
      <c r="CI49" s="534"/>
    </row>
    <row r="50" spans="1:87" ht="14.1" customHeight="1" x14ac:dyDescent="0.2">
      <c r="A50" s="496">
        <v>43</v>
      </c>
      <c r="B50" s="1419"/>
      <c r="C50" s="1433"/>
      <c r="D50" s="264">
        <v>15</v>
      </c>
      <c r="E50" s="264" t="s">
        <v>26</v>
      </c>
      <c r="F50" s="270" t="s">
        <v>2544</v>
      </c>
      <c r="G50" s="270" t="s">
        <v>2542</v>
      </c>
      <c r="H50" s="272">
        <v>8</v>
      </c>
      <c r="I50" s="268">
        <f t="shared" si="69"/>
        <v>0.48</v>
      </c>
      <c r="J50" s="269">
        <f t="shared" si="70"/>
        <v>8.48</v>
      </c>
      <c r="K50" s="51"/>
      <c r="N50" s="951">
        <f>BM6</f>
        <v>8.48</v>
      </c>
      <c r="O50" s="915" t="str">
        <f>"Rented Equipment for "&amp;TabName15</f>
        <v>Rented Equipment for Phase 15</v>
      </c>
      <c r="P50" s="949" t="s">
        <v>2289</v>
      </c>
      <c r="W50" s="915">
        <f t="shared" si="5"/>
        <v>0</v>
      </c>
      <c r="X50" s="915">
        <f t="shared" si="6"/>
        <v>0</v>
      </c>
      <c r="Y50" s="915">
        <f t="shared" si="7"/>
        <v>0</v>
      </c>
      <c r="Z50" s="915">
        <f t="shared" si="8"/>
        <v>0</v>
      </c>
      <c r="AA50" s="915">
        <f t="shared" si="9"/>
        <v>0</v>
      </c>
      <c r="AB50" s="915">
        <f t="shared" si="10"/>
        <v>0</v>
      </c>
      <c r="AC50" s="915">
        <f t="shared" si="11"/>
        <v>0</v>
      </c>
      <c r="AD50" s="915">
        <f t="shared" si="12"/>
        <v>0</v>
      </c>
      <c r="AE50" s="915">
        <f t="shared" si="13"/>
        <v>0</v>
      </c>
      <c r="AF50" s="915">
        <f t="shared" si="14"/>
        <v>0</v>
      </c>
      <c r="AG50" s="915">
        <f t="shared" si="15"/>
        <v>0</v>
      </c>
      <c r="AH50" s="915">
        <f t="shared" si="16"/>
        <v>0</v>
      </c>
      <c r="AI50" s="915">
        <f t="shared" si="17"/>
        <v>0</v>
      </c>
      <c r="AJ50" s="915">
        <f t="shared" si="18"/>
        <v>0</v>
      </c>
      <c r="AK50" s="915">
        <f t="shared" si="19"/>
        <v>0</v>
      </c>
      <c r="AL50" s="915">
        <f t="shared" si="20"/>
        <v>0</v>
      </c>
      <c r="AM50" s="915">
        <f t="shared" si="21"/>
        <v>0</v>
      </c>
      <c r="AN50" s="915">
        <f t="shared" si="22"/>
        <v>0</v>
      </c>
      <c r="AO50" s="915">
        <f t="shared" si="23"/>
        <v>0</v>
      </c>
      <c r="AP50" s="915">
        <f t="shared" si="24"/>
        <v>0</v>
      </c>
      <c r="AQ50" s="915">
        <f t="shared" si="25"/>
        <v>0</v>
      </c>
      <c r="AR50" s="915">
        <f t="shared" si="26"/>
        <v>0</v>
      </c>
      <c r="AS50" s="915">
        <f t="shared" si="27"/>
        <v>0</v>
      </c>
      <c r="AT50" s="915">
        <f t="shared" si="28"/>
        <v>0</v>
      </c>
      <c r="AU50" s="915">
        <f t="shared" si="29"/>
        <v>0</v>
      </c>
      <c r="AV50" s="915">
        <f t="shared" si="30"/>
        <v>0</v>
      </c>
      <c r="AW50" s="915">
        <f t="shared" si="31"/>
        <v>0</v>
      </c>
      <c r="AX50" s="915">
        <f t="shared" si="32"/>
        <v>0</v>
      </c>
      <c r="AY50" s="915">
        <f t="shared" si="33"/>
        <v>0</v>
      </c>
      <c r="AZ50" s="915">
        <f t="shared" si="34"/>
        <v>0</v>
      </c>
      <c r="BA50" s="915">
        <f t="shared" si="35"/>
        <v>0</v>
      </c>
      <c r="BB50" s="915">
        <f t="shared" si="36"/>
        <v>0</v>
      </c>
      <c r="BC50" s="915">
        <f t="shared" si="37"/>
        <v>0</v>
      </c>
      <c r="BD50" s="915">
        <f t="shared" si="38"/>
        <v>0</v>
      </c>
      <c r="BE50" s="915">
        <f t="shared" si="39"/>
        <v>0</v>
      </c>
      <c r="BF50" s="915">
        <f t="shared" si="40"/>
        <v>0</v>
      </c>
      <c r="BG50" s="915">
        <f t="shared" si="41"/>
        <v>0</v>
      </c>
      <c r="BH50" s="915">
        <f t="shared" si="42"/>
        <v>0</v>
      </c>
      <c r="BI50" s="915">
        <f t="shared" si="43"/>
        <v>0</v>
      </c>
      <c r="BJ50" s="915">
        <f t="shared" si="44"/>
        <v>0</v>
      </c>
      <c r="BK50" s="915">
        <f t="shared" si="45"/>
        <v>0</v>
      </c>
      <c r="BL50" s="915">
        <f t="shared" si="46"/>
        <v>0</v>
      </c>
      <c r="BM50" s="915">
        <f t="shared" si="47"/>
        <v>8.48</v>
      </c>
      <c r="BN50" s="915">
        <f t="shared" si="48"/>
        <v>0</v>
      </c>
      <c r="BO50" s="915">
        <f t="shared" si="49"/>
        <v>0</v>
      </c>
      <c r="BP50" s="915">
        <f t="shared" si="50"/>
        <v>0</v>
      </c>
      <c r="BQ50" s="915">
        <f t="shared" si="51"/>
        <v>0</v>
      </c>
      <c r="BR50" s="915">
        <f t="shared" si="52"/>
        <v>0</v>
      </c>
      <c r="BS50" s="915">
        <f>IF(AND($D50=$R$24,$E50=$T$8),$J50,0)</f>
        <v>0</v>
      </c>
      <c r="BT50" s="915">
        <f>IF(AND($D50=$R$24,$E50=$T$9),$J50,0)</f>
        <v>0</v>
      </c>
      <c r="BU50" s="915">
        <f>IF(AND($D50=$R$24,$E50=$T$10),$J50,0)</f>
        <v>0</v>
      </c>
      <c r="BV50" s="915">
        <f t="shared" si="56"/>
        <v>0</v>
      </c>
      <c r="BW50" s="915">
        <f t="shared" si="57"/>
        <v>0</v>
      </c>
      <c r="BX50" s="915">
        <f t="shared" si="58"/>
        <v>0</v>
      </c>
      <c r="BY50" s="915">
        <f t="shared" si="59"/>
        <v>0</v>
      </c>
      <c r="BZ50" s="915">
        <f t="shared" si="60"/>
        <v>0</v>
      </c>
      <c r="CA50" s="915">
        <f t="shared" si="61"/>
        <v>0</v>
      </c>
      <c r="CB50" s="915">
        <f t="shared" si="62"/>
        <v>0</v>
      </c>
      <c r="CC50" s="915">
        <f t="shared" si="63"/>
        <v>0</v>
      </c>
      <c r="CD50" s="915">
        <f t="shared" si="64"/>
        <v>0</v>
      </c>
      <c r="CF50" s="533"/>
      <c r="CI50" s="534"/>
    </row>
    <row r="51" spans="1:87" ht="14.1" customHeight="1" x14ac:dyDescent="0.2">
      <c r="A51" s="497">
        <v>44</v>
      </c>
      <c r="B51" s="1423"/>
      <c r="C51" s="1424"/>
      <c r="D51" s="138">
        <v>15</v>
      </c>
      <c r="E51" s="138" t="s">
        <v>30</v>
      </c>
      <c r="F51" s="139" t="s">
        <v>2544</v>
      </c>
      <c r="G51" s="139" t="s">
        <v>2542</v>
      </c>
      <c r="H51" s="100">
        <v>8</v>
      </c>
      <c r="I51" s="119">
        <f t="shared" si="69"/>
        <v>0.48</v>
      </c>
      <c r="J51" s="90">
        <f t="shared" si="70"/>
        <v>8.48</v>
      </c>
      <c r="K51" s="51"/>
      <c r="N51" s="951">
        <f>BN6</f>
        <v>8.48</v>
      </c>
      <c r="O51" s="879" t="str">
        <f>"Purchased Supplies for " &amp; TabName15</f>
        <v>Purchased Supplies for Phase 15</v>
      </c>
      <c r="P51" s="950" t="s">
        <v>2290</v>
      </c>
      <c r="W51" s="915">
        <f t="shared" si="5"/>
        <v>0</v>
      </c>
      <c r="X51" s="915">
        <f t="shared" si="6"/>
        <v>0</v>
      </c>
      <c r="Y51" s="915">
        <f t="shared" si="7"/>
        <v>0</v>
      </c>
      <c r="Z51" s="915">
        <f t="shared" si="8"/>
        <v>0</v>
      </c>
      <c r="AA51" s="915">
        <f t="shared" si="9"/>
        <v>0</v>
      </c>
      <c r="AB51" s="915">
        <f t="shared" si="10"/>
        <v>0</v>
      </c>
      <c r="AC51" s="915">
        <f t="shared" si="11"/>
        <v>0</v>
      </c>
      <c r="AD51" s="915">
        <f t="shared" si="12"/>
        <v>0</v>
      </c>
      <c r="AE51" s="915">
        <f t="shared" si="13"/>
        <v>0</v>
      </c>
      <c r="AF51" s="915">
        <f t="shared" si="14"/>
        <v>0</v>
      </c>
      <c r="AG51" s="915">
        <f t="shared" si="15"/>
        <v>0</v>
      </c>
      <c r="AH51" s="915">
        <f t="shared" si="16"/>
        <v>0</v>
      </c>
      <c r="AI51" s="915">
        <f t="shared" si="17"/>
        <v>0</v>
      </c>
      <c r="AJ51" s="915">
        <f t="shared" si="18"/>
        <v>0</v>
      </c>
      <c r="AK51" s="915">
        <f t="shared" si="19"/>
        <v>0</v>
      </c>
      <c r="AL51" s="915">
        <f t="shared" si="20"/>
        <v>0</v>
      </c>
      <c r="AM51" s="915">
        <f t="shared" si="21"/>
        <v>0</v>
      </c>
      <c r="AN51" s="915">
        <f t="shared" si="22"/>
        <v>0</v>
      </c>
      <c r="AO51" s="915">
        <f t="shared" si="23"/>
        <v>0</v>
      </c>
      <c r="AP51" s="915">
        <f t="shared" si="24"/>
        <v>0</v>
      </c>
      <c r="AQ51" s="915">
        <f t="shared" si="25"/>
        <v>0</v>
      </c>
      <c r="AR51" s="915">
        <f t="shared" si="26"/>
        <v>0</v>
      </c>
      <c r="AS51" s="915">
        <f t="shared" si="27"/>
        <v>0</v>
      </c>
      <c r="AT51" s="915">
        <f t="shared" si="28"/>
        <v>0</v>
      </c>
      <c r="AU51" s="915">
        <f t="shared" si="29"/>
        <v>0</v>
      </c>
      <c r="AV51" s="915">
        <f t="shared" si="30"/>
        <v>0</v>
      </c>
      <c r="AW51" s="915">
        <f t="shared" si="31"/>
        <v>0</v>
      </c>
      <c r="AX51" s="915">
        <f t="shared" si="32"/>
        <v>0</v>
      </c>
      <c r="AY51" s="915">
        <f t="shared" si="33"/>
        <v>0</v>
      </c>
      <c r="AZ51" s="915">
        <f t="shared" si="34"/>
        <v>0</v>
      </c>
      <c r="BA51" s="915">
        <f t="shared" si="35"/>
        <v>0</v>
      </c>
      <c r="BB51" s="915">
        <f t="shared" si="36"/>
        <v>0</v>
      </c>
      <c r="BC51" s="915">
        <f t="shared" si="37"/>
        <v>0</v>
      </c>
      <c r="BD51" s="915">
        <f t="shared" si="38"/>
        <v>0</v>
      </c>
      <c r="BE51" s="915">
        <f t="shared" si="39"/>
        <v>0</v>
      </c>
      <c r="BF51" s="915">
        <f t="shared" si="40"/>
        <v>0</v>
      </c>
      <c r="BG51" s="915">
        <f t="shared" si="41"/>
        <v>0</v>
      </c>
      <c r="BH51" s="915">
        <f t="shared" si="42"/>
        <v>0</v>
      </c>
      <c r="BI51" s="915">
        <f t="shared" si="43"/>
        <v>0</v>
      </c>
      <c r="BJ51" s="915">
        <f t="shared" si="44"/>
        <v>0</v>
      </c>
      <c r="BK51" s="915">
        <f t="shared" si="45"/>
        <v>0</v>
      </c>
      <c r="BL51" s="915">
        <f t="shared" si="46"/>
        <v>0</v>
      </c>
      <c r="BM51" s="915">
        <f t="shared" si="47"/>
        <v>0</v>
      </c>
      <c r="BN51" s="915">
        <f t="shared" si="48"/>
        <v>8.48</v>
      </c>
      <c r="BO51" s="915">
        <f t="shared" si="49"/>
        <v>0</v>
      </c>
      <c r="BP51" s="915">
        <f>IF(AND($D51=$R$23,$E51=$T$8),$J51,0)</f>
        <v>0</v>
      </c>
      <c r="BQ51" s="915">
        <f>IF(AND($D51=$R$23,$E51=$T$9),$J51,0)</f>
        <v>0</v>
      </c>
      <c r="BR51" s="915">
        <f>IF(AND($D51=$R$23,$E51=$T$10),$J51,0)</f>
        <v>0</v>
      </c>
      <c r="BS51" s="915">
        <f t="shared" si="53"/>
        <v>0</v>
      </c>
      <c r="BT51" s="915">
        <f t="shared" si="54"/>
        <v>0</v>
      </c>
      <c r="BU51" s="915">
        <f t="shared" si="55"/>
        <v>0</v>
      </c>
      <c r="BV51" s="915">
        <f t="shared" si="56"/>
        <v>0</v>
      </c>
      <c r="BW51" s="915">
        <f t="shared" si="57"/>
        <v>0</v>
      </c>
      <c r="BX51" s="915">
        <f t="shared" si="58"/>
        <v>0</v>
      </c>
      <c r="BY51" s="915">
        <f t="shared" si="59"/>
        <v>0</v>
      </c>
      <c r="BZ51" s="915">
        <f t="shared" si="60"/>
        <v>0</v>
      </c>
      <c r="CA51" s="915">
        <f t="shared" si="61"/>
        <v>0</v>
      </c>
      <c r="CB51" s="915">
        <f>IF(AND($D51=$R$27,$E51=$T$8),$J51,0)</f>
        <v>0</v>
      </c>
      <c r="CC51" s="915">
        <f>IF(AND($D51=$R$27,$E51=$T$9),$J51,0)</f>
        <v>0</v>
      </c>
      <c r="CD51" s="915">
        <f>IF(AND($D51=$R$27,$E51=$T$10),$J51,0)</f>
        <v>0</v>
      </c>
      <c r="CF51" s="533"/>
      <c r="CI51" s="534"/>
    </row>
    <row r="52" spans="1:87" ht="14.1" customHeight="1" x14ac:dyDescent="0.2">
      <c r="A52" s="496">
        <v>45</v>
      </c>
      <c r="B52" s="1419"/>
      <c r="C52" s="1433"/>
      <c r="D52" s="264">
        <v>15</v>
      </c>
      <c r="E52" s="264" t="s">
        <v>170</v>
      </c>
      <c r="F52" s="270" t="s">
        <v>2544</v>
      </c>
      <c r="G52" s="270" t="s">
        <v>2542</v>
      </c>
      <c r="H52" s="272">
        <v>8</v>
      </c>
      <c r="I52" s="268">
        <f t="shared" si="69"/>
        <v>0.48</v>
      </c>
      <c r="J52" s="269">
        <f t="shared" si="70"/>
        <v>8.48</v>
      </c>
      <c r="K52" s="51"/>
      <c r="N52" s="951">
        <f>BO6</f>
        <v>8.48</v>
      </c>
      <c r="O52" s="879" t="str">
        <f>"Other for " &amp; TabName15</f>
        <v>Other for Phase 15</v>
      </c>
      <c r="P52" s="949" t="s">
        <v>2291</v>
      </c>
      <c r="W52" s="915">
        <f t="shared" si="5"/>
        <v>0</v>
      </c>
      <c r="X52" s="915">
        <f t="shared" si="6"/>
        <v>0</v>
      </c>
      <c r="Y52" s="915">
        <f t="shared" si="7"/>
        <v>0</v>
      </c>
      <c r="Z52" s="915">
        <f t="shared" si="8"/>
        <v>0</v>
      </c>
      <c r="AA52" s="915">
        <f t="shared" si="9"/>
        <v>0</v>
      </c>
      <c r="AB52" s="915">
        <f t="shared" si="10"/>
        <v>0</v>
      </c>
      <c r="AC52" s="915">
        <f t="shared" si="11"/>
        <v>0</v>
      </c>
      <c r="AD52" s="915">
        <f t="shared" si="12"/>
        <v>0</v>
      </c>
      <c r="AE52" s="915">
        <f t="shared" si="13"/>
        <v>0</v>
      </c>
      <c r="AF52" s="915">
        <f t="shared" si="14"/>
        <v>0</v>
      </c>
      <c r="AG52" s="915">
        <f t="shared" si="15"/>
        <v>0</v>
      </c>
      <c r="AH52" s="915">
        <f t="shared" si="16"/>
        <v>0</v>
      </c>
      <c r="AI52" s="915">
        <f t="shared" si="17"/>
        <v>0</v>
      </c>
      <c r="AJ52" s="915">
        <f t="shared" si="18"/>
        <v>0</v>
      </c>
      <c r="AK52" s="915">
        <f t="shared" si="19"/>
        <v>0</v>
      </c>
      <c r="AL52" s="915">
        <f t="shared" si="20"/>
        <v>0</v>
      </c>
      <c r="AM52" s="915">
        <f t="shared" si="21"/>
        <v>0</v>
      </c>
      <c r="AN52" s="915">
        <f t="shared" si="22"/>
        <v>0</v>
      </c>
      <c r="AO52" s="915">
        <f t="shared" si="23"/>
        <v>0</v>
      </c>
      <c r="AP52" s="915">
        <f t="shared" si="24"/>
        <v>0</v>
      </c>
      <c r="AQ52" s="915">
        <f t="shared" si="25"/>
        <v>0</v>
      </c>
      <c r="AR52" s="915">
        <f t="shared" si="26"/>
        <v>0</v>
      </c>
      <c r="AS52" s="915">
        <f t="shared" si="27"/>
        <v>0</v>
      </c>
      <c r="AT52" s="915">
        <f t="shared" si="28"/>
        <v>0</v>
      </c>
      <c r="AU52" s="915">
        <f t="shared" si="29"/>
        <v>0</v>
      </c>
      <c r="AV52" s="915">
        <f t="shared" si="30"/>
        <v>0</v>
      </c>
      <c r="AW52" s="915">
        <f t="shared" si="31"/>
        <v>0</v>
      </c>
      <c r="AX52" s="915">
        <f t="shared" si="32"/>
        <v>0</v>
      </c>
      <c r="AY52" s="915">
        <f t="shared" si="33"/>
        <v>0</v>
      </c>
      <c r="AZ52" s="915">
        <f t="shared" si="34"/>
        <v>0</v>
      </c>
      <c r="BA52" s="915">
        <f t="shared" si="35"/>
        <v>0</v>
      </c>
      <c r="BB52" s="915">
        <f t="shared" si="36"/>
        <v>0</v>
      </c>
      <c r="BC52" s="915">
        <f t="shared" si="37"/>
        <v>0</v>
      </c>
      <c r="BD52" s="915">
        <f t="shared" si="38"/>
        <v>0</v>
      </c>
      <c r="BE52" s="915">
        <f t="shared" si="39"/>
        <v>0</v>
      </c>
      <c r="BF52" s="915">
        <f t="shared" si="40"/>
        <v>0</v>
      </c>
      <c r="BG52" s="915">
        <f t="shared" si="41"/>
        <v>0</v>
      </c>
      <c r="BH52" s="915">
        <f t="shared" si="42"/>
        <v>0</v>
      </c>
      <c r="BI52" s="915">
        <f t="shared" si="43"/>
        <v>0</v>
      </c>
      <c r="BJ52" s="915">
        <f t="shared" si="44"/>
        <v>0</v>
      </c>
      <c r="BK52" s="915">
        <f t="shared" si="45"/>
        <v>0</v>
      </c>
      <c r="BL52" s="915">
        <f t="shared" si="46"/>
        <v>0</v>
      </c>
      <c r="BM52" s="915">
        <f t="shared" si="47"/>
        <v>0</v>
      </c>
      <c r="BN52" s="915">
        <f t="shared" si="48"/>
        <v>0</v>
      </c>
      <c r="BO52" s="915">
        <f t="shared" si="49"/>
        <v>8.48</v>
      </c>
      <c r="BP52" s="915">
        <f t="shared" si="50"/>
        <v>0</v>
      </c>
      <c r="BQ52" s="915">
        <f t="shared" si="51"/>
        <v>0</v>
      </c>
      <c r="BR52" s="915">
        <f t="shared" si="52"/>
        <v>0</v>
      </c>
      <c r="BS52" s="915">
        <f t="shared" si="53"/>
        <v>0</v>
      </c>
      <c r="BT52" s="915">
        <f t="shared" si="54"/>
        <v>0</v>
      </c>
      <c r="BU52" s="915">
        <f t="shared" si="55"/>
        <v>0</v>
      </c>
      <c r="BV52" s="915">
        <f t="shared" si="56"/>
        <v>0</v>
      </c>
      <c r="BW52" s="915">
        <f t="shared" si="57"/>
        <v>0</v>
      </c>
      <c r="BX52" s="915">
        <f t="shared" si="58"/>
        <v>0</v>
      </c>
      <c r="BY52" s="915">
        <f t="shared" si="59"/>
        <v>0</v>
      </c>
      <c r="BZ52" s="915">
        <f t="shared" si="60"/>
        <v>0</v>
      </c>
      <c r="CA52" s="915">
        <f t="shared" si="61"/>
        <v>0</v>
      </c>
      <c r="CB52" s="915">
        <f t="shared" si="62"/>
        <v>0</v>
      </c>
      <c r="CC52" s="915">
        <f t="shared" si="63"/>
        <v>0</v>
      </c>
      <c r="CD52" s="915">
        <f t="shared" si="64"/>
        <v>0</v>
      </c>
      <c r="CF52" s="533"/>
      <c r="CI52" s="534"/>
    </row>
    <row r="53" spans="1:87" ht="14.1" customHeight="1" x14ac:dyDescent="0.2">
      <c r="A53" s="497">
        <v>46</v>
      </c>
      <c r="B53" s="1423"/>
      <c r="C53" s="1424"/>
      <c r="D53" s="138">
        <v>16</v>
      </c>
      <c r="E53" s="138" t="s">
        <v>26</v>
      </c>
      <c r="F53" s="139" t="s">
        <v>2544</v>
      </c>
      <c r="G53" s="139" t="s">
        <v>2542</v>
      </c>
      <c r="H53" s="100">
        <v>8</v>
      </c>
      <c r="I53" s="119">
        <f t="shared" si="69"/>
        <v>0.48</v>
      </c>
      <c r="J53" s="90">
        <f t="shared" si="70"/>
        <v>8.48</v>
      </c>
      <c r="K53" s="51"/>
      <c r="N53" s="951">
        <f>BP6</f>
        <v>8.48</v>
      </c>
      <c r="O53" s="915" t="str">
        <f>"Rented Equipment for "&amp;TabName16</f>
        <v>Rented Equipment for Phase 16</v>
      </c>
      <c r="P53" s="949" t="s">
        <v>2292</v>
      </c>
      <c r="W53" s="915">
        <f t="shared" si="5"/>
        <v>0</v>
      </c>
      <c r="X53" s="915">
        <f t="shared" si="6"/>
        <v>0</v>
      </c>
      <c r="Y53" s="915">
        <f t="shared" si="7"/>
        <v>0</v>
      </c>
      <c r="Z53" s="915">
        <f t="shared" si="8"/>
        <v>0</v>
      </c>
      <c r="AA53" s="915">
        <f t="shared" si="9"/>
        <v>0</v>
      </c>
      <c r="AB53" s="915">
        <f t="shared" si="10"/>
        <v>0</v>
      </c>
      <c r="AC53" s="915">
        <f t="shared" si="11"/>
        <v>0</v>
      </c>
      <c r="AD53" s="915">
        <f t="shared" si="12"/>
        <v>0</v>
      </c>
      <c r="AE53" s="915">
        <f t="shared" si="13"/>
        <v>0</v>
      </c>
      <c r="AF53" s="915">
        <f t="shared" si="14"/>
        <v>0</v>
      </c>
      <c r="AG53" s="915">
        <f t="shared" si="15"/>
        <v>0</v>
      </c>
      <c r="AH53" s="915">
        <f t="shared" si="16"/>
        <v>0</v>
      </c>
      <c r="AI53" s="915">
        <f t="shared" si="17"/>
        <v>0</v>
      </c>
      <c r="AJ53" s="915">
        <f t="shared" si="18"/>
        <v>0</v>
      </c>
      <c r="AK53" s="915">
        <f t="shared" si="19"/>
        <v>0</v>
      </c>
      <c r="AL53" s="915">
        <f t="shared" si="20"/>
        <v>0</v>
      </c>
      <c r="AM53" s="915">
        <f t="shared" si="21"/>
        <v>0</v>
      </c>
      <c r="AN53" s="915">
        <f t="shared" si="22"/>
        <v>0</v>
      </c>
      <c r="AO53" s="915">
        <f t="shared" si="23"/>
        <v>0</v>
      </c>
      <c r="AP53" s="915">
        <f t="shared" si="24"/>
        <v>0</v>
      </c>
      <c r="AQ53" s="915">
        <f t="shared" si="25"/>
        <v>0</v>
      </c>
      <c r="AR53" s="915">
        <f t="shared" si="26"/>
        <v>0</v>
      </c>
      <c r="AS53" s="915">
        <f t="shared" si="27"/>
        <v>0</v>
      </c>
      <c r="AT53" s="915">
        <f t="shared" si="28"/>
        <v>0</v>
      </c>
      <c r="AU53" s="915">
        <f t="shared" si="29"/>
        <v>0</v>
      </c>
      <c r="AV53" s="915">
        <f t="shared" si="30"/>
        <v>0</v>
      </c>
      <c r="AW53" s="915">
        <f t="shared" si="31"/>
        <v>0</v>
      </c>
      <c r="AX53" s="915">
        <f t="shared" si="32"/>
        <v>0</v>
      </c>
      <c r="AY53" s="915">
        <f t="shared" si="33"/>
        <v>0</v>
      </c>
      <c r="AZ53" s="915">
        <f t="shared" si="34"/>
        <v>0</v>
      </c>
      <c r="BA53" s="915">
        <f t="shared" si="35"/>
        <v>0</v>
      </c>
      <c r="BB53" s="915">
        <f t="shared" si="36"/>
        <v>0</v>
      </c>
      <c r="BC53" s="915">
        <f t="shared" si="37"/>
        <v>0</v>
      </c>
      <c r="BD53" s="915">
        <f t="shared" si="38"/>
        <v>0</v>
      </c>
      <c r="BE53" s="915">
        <f t="shared" si="39"/>
        <v>0</v>
      </c>
      <c r="BF53" s="915">
        <f t="shared" si="40"/>
        <v>0</v>
      </c>
      <c r="BG53" s="915">
        <f t="shared" si="41"/>
        <v>0</v>
      </c>
      <c r="BH53" s="915">
        <f t="shared" si="42"/>
        <v>0</v>
      </c>
      <c r="BI53" s="915">
        <f t="shared" si="43"/>
        <v>0</v>
      </c>
      <c r="BJ53" s="915">
        <f t="shared" si="44"/>
        <v>0</v>
      </c>
      <c r="BK53" s="915">
        <f t="shared" si="45"/>
        <v>0</v>
      </c>
      <c r="BL53" s="915">
        <f t="shared" si="46"/>
        <v>0</v>
      </c>
      <c r="BM53" s="915">
        <f t="shared" si="47"/>
        <v>0</v>
      </c>
      <c r="BN53" s="915">
        <f t="shared" si="48"/>
        <v>0</v>
      </c>
      <c r="BO53" s="915">
        <f t="shared" si="49"/>
        <v>0</v>
      </c>
      <c r="BP53" s="915">
        <f t="shared" si="50"/>
        <v>8.48</v>
      </c>
      <c r="BQ53" s="915">
        <f t="shared" si="51"/>
        <v>0</v>
      </c>
      <c r="BR53" s="915">
        <f t="shared" si="52"/>
        <v>0</v>
      </c>
      <c r="BS53" s="915">
        <f t="shared" si="53"/>
        <v>0</v>
      </c>
      <c r="BT53" s="915">
        <f t="shared" si="54"/>
        <v>0</v>
      </c>
      <c r="BU53" s="915">
        <f t="shared" si="55"/>
        <v>0</v>
      </c>
      <c r="BV53" s="915">
        <f t="shared" si="56"/>
        <v>0</v>
      </c>
      <c r="BW53" s="915">
        <f t="shared" si="57"/>
        <v>0</v>
      </c>
      <c r="BX53" s="915">
        <f t="shared" si="58"/>
        <v>0</v>
      </c>
      <c r="BY53" s="915">
        <f t="shared" si="59"/>
        <v>0</v>
      </c>
      <c r="BZ53" s="915">
        <f t="shared" si="60"/>
        <v>0</v>
      </c>
      <c r="CA53" s="915">
        <f t="shared" si="61"/>
        <v>0</v>
      </c>
      <c r="CB53" s="915">
        <f t="shared" si="62"/>
        <v>0</v>
      </c>
      <c r="CC53" s="915">
        <f t="shared" si="63"/>
        <v>0</v>
      </c>
      <c r="CD53" s="915">
        <f t="shared" si="64"/>
        <v>0</v>
      </c>
      <c r="CF53" s="533"/>
      <c r="CI53" s="534"/>
    </row>
    <row r="54" spans="1:87" ht="14.1" customHeight="1" x14ac:dyDescent="0.2">
      <c r="A54" s="496">
        <v>47</v>
      </c>
      <c r="B54" s="1419"/>
      <c r="C54" s="1433"/>
      <c r="D54" s="264">
        <v>16</v>
      </c>
      <c r="E54" s="264" t="s">
        <v>30</v>
      </c>
      <c r="F54" s="270" t="s">
        <v>2544</v>
      </c>
      <c r="G54" s="270" t="s">
        <v>2542</v>
      </c>
      <c r="H54" s="272">
        <v>8</v>
      </c>
      <c r="I54" s="268">
        <f t="shared" si="69"/>
        <v>0.48</v>
      </c>
      <c r="J54" s="269">
        <f t="shared" si="70"/>
        <v>8.48</v>
      </c>
      <c r="K54" s="51"/>
      <c r="N54" s="951">
        <f>BQ6</f>
        <v>8.48</v>
      </c>
      <c r="O54" s="879" t="str">
        <f>"Purchased Supplies for " &amp; TabName16</f>
        <v>Purchased Supplies for Phase 16</v>
      </c>
      <c r="P54" s="950" t="s">
        <v>2293</v>
      </c>
      <c r="W54" s="915">
        <f t="shared" si="5"/>
        <v>0</v>
      </c>
      <c r="X54" s="915">
        <f t="shared" si="6"/>
        <v>0</v>
      </c>
      <c r="Y54" s="915">
        <f t="shared" si="7"/>
        <v>0</v>
      </c>
      <c r="Z54" s="915">
        <f t="shared" si="8"/>
        <v>0</v>
      </c>
      <c r="AA54" s="915">
        <f t="shared" si="9"/>
        <v>0</v>
      </c>
      <c r="AB54" s="915">
        <f t="shared" si="10"/>
        <v>0</v>
      </c>
      <c r="AC54" s="915">
        <f t="shared" si="11"/>
        <v>0</v>
      </c>
      <c r="AD54" s="915">
        <f t="shared" si="12"/>
        <v>0</v>
      </c>
      <c r="AE54" s="915">
        <f t="shared" si="13"/>
        <v>0</v>
      </c>
      <c r="AF54" s="915">
        <f t="shared" si="14"/>
        <v>0</v>
      </c>
      <c r="AG54" s="915">
        <f t="shared" si="15"/>
        <v>0</v>
      </c>
      <c r="AH54" s="915">
        <f t="shared" si="16"/>
        <v>0</v>
      </c>
      <c r="AI54" s="915">
        <f t="shared" si="17"/>
        <v>0</v>
      </c>
      <c r="AJ54" s="915">
        <f t="shared" si="18"/>
        <v>0</v>
      </c>
      <c r="AK54" s="915">
        <f t="shared" si="19"/>
        <v>0</v>
      </c>
      <c r="AL54" s="915">
        <f t="shared" si="20"/>
        <v>0</v>
      </c>
      <c r="AM54" s="915">
        <f t="shared" si="21"/>
        <v>0</v>
      </c>
      <c r="AN54" s="915">
        <f t="shared" si="22"/>
        <v>0</v>
      </c>
      <c r="AO54" s="915">
        <f t="shared" si="23"/>
        <v>0</v>
      </c>
      <c r="AP54" s="915">
        <f t="shared" si="24"/>
        <v>0</v>
      </c>
      <c r="AQ54" s="915">
        <f t="shared" si="25"/>
        <v>0</v>
      </c>
      <c r="AR54" s="915">
        <f t="shared" si="26"/>
        <v>0</v>
      </c>
      <c r="AS54" s="915">
        <f t="shared" si="27"/>
        <v>0</v>
      </c>
      <c r="AT54" s="915">
        <f t="shared" si="28"/>
        <v>0</v>
      </c>
      <c r="AU54" s="915">
        <f t="shared" si="29"/>
        <v>0</v>
      </c>
      <c r="AV54" s="915">
        <f t="shared" si="30"/>
        <v>0</v>
      </c>
      <c r="AW54" s="915">
        <f t="shared" si="31"/>
        <v>0</v>
      </c>
      <c r="AX54" s="915">
        <f t="shared" si="32"/>
        <v>0</v>
      </c>
      <c r="AY54" s="915">
        <f t="shared" si="33"/>
        <v>0</v>
      </c>
      <c r="AZ54" s="915">
        <f t="shared" si="34"/>
        <v>0</v>
      </c>
      <c r="BA54" s="915">
        <f t="shared" si="35"/>
        <v>0</v>
      </c>
      <c r="BB54" s="915">
        <f t="shared" si="36"/>
        <v>0</v>
      </c>
      <c r="BC54" s="915">
        <f t="shared" si="37"/>
        <v>0</v>
      </c>
      <c r="BD54" s="915">
        <f t="shared" si="38"/>
        <v>0</v>
      </c>
      <c r="BE54" s="915">
        <f t="shared" si="39"/>
        <v>0</v>
      </c>
      <c r="BF54" s="915">
        <f t="shared" si="40"/>
        <v>0</v>
      </c>
      <c r="BG54" s="915">
        <f t="shared" si="41"/>
        <v>0</v>
      </c>
      <c r="BH54" s="915">
        <f t="shared" si="42"/>
        <v>0</v>
      </c>
      <c r="BI54" s="915">
        <f t="shared" si="43"/>
        <v>0</v>
      </c>
      <c r="BJ54" s="915">
        <f t="shared" si="44"/>
        <v>0</v>
      </c>
      <c r="BK54" s="915">
        <f t="shared" si="45"/>
        <v>0</v>
      </c>
      <c r="BL54" s="915">
        <f t="shared" si="46"/>
        <v>0</v>
      </c>
      <c r="BM54" s="915">
        <f>IF(AND($D54=$R$22,$E54=$T$8),$J54,0)</f>
        <v>0</v>
      </c>
      <c r="BN54" s="915">
        <f>IF(AND($D54=$R$22,$E54=$T$9),$J54,0)</f>
        <v>0</v>
      </c>
      <c r="BO54" s="915">
        <f>IF(AND($D54=$R$22,$E54=$T$10),$J54,0)</f>
        <v>0</v>
      </c>
      <c r="BP54" s="915">
        <f t="shared" si="50"/>
        <v>0</v>
      </c>
      <c r="BQ54" s="915">
        <f t="shared" si="51"/>
        <v>8.48</v>
      </c>
      <c r="BR54" s="915">
        <f t="shared" si="52"/>
        <v>0</v>
      </c>
      <c r="BS54" s="915">
        <f t="shared" si="53"/>
        <v>0</v>
      </c>
      <c r="BT54" s="915">
        <f t="shared" si="54"/>
        <v>0</v>
      </c>
      <c r="BU54" s="915">
        <f t="shared" si="55"/>
        <v>0</v>
      </c>
      <c r="BV54" s="915">
        <f t="shared" si="56"/>
        <v>0</v>
      </c>
      <c r="BW54" s="915">
        <f t="shared" si="57"/>
        <v>0</v>
      </c>
      <c r="BX54" s="915">
        <f t="shared" si="58"/>
        <v>0</v>
      </c>
      <c r="BY54" s="915">
        <f t="shared" si="59"/>
        <v>0</v>
      </c>
      <c r="BZ54" s="915">
        <f t="shared" si="60"/>
        <v>0</v>
      </c>
      <c r="CA54" s="915">
        <f t="shared" si="61"/>
        <v>0</v>
      </c>
      <c r="CB54" s="915">
        <f t="shared" si="62"/>
        <v>0</v>
      </c>
      <c r="CC54" s="915">
        <f t="shared" si="63"/>
        <v>0</v>
      </c>
      <c r="CD54" s="915">
        <f t="shared" si="64"/>
        <v>0</v>
      </c>
      <c r="CF54" s="533"/>
      <c r="CI54" s="534"/>
    </row>
    <row r="55" spans="1:87" ht="14.1" customHeight="1" x14ac:dyDescent="0.2">
      <c r="A55" s="497">
        <v>48</v>
      </c>
      <c r="B55" s="1423"/>
      <c r="C55" s="1424"/>
      <c r="D55" s="138">
        <v>16</v>
      </c>
      <c r="E55" s="138" t="s">
        <v>170</v>
      </c>
      <c r="F55" s="139" t="s">
        <v>2544</v>
      </c>
      <c r="G55" s="139" t="s">
        <v>2542</v>
      </c>
      <c r="H55" s="100">
        <v>8</v>
      </c>
      <c r="I55" s="119">
        <f t="shared" si="69"/>
        <v>0.48</v>
      </c>
      <c r="J55" s="90">
        <f t="shared" si="70"/>
        <v>8.48</v>
      </c>
      <c r="K55" s="51"/>
      <c r="N55" s="951">
        <f>BR6</f>
        <v>8.48</v>
      </c>
      <c r="O55" s="879" t="str">
        <f>"Other for " &amp; TabName16</f>
        <v>Other for Phase 16</v>
      </c>
      <c r="P55" s="949" t="s">
        <v>2294</v>
      </c>
      <c r="W55" s="915">
        <f t="shared" si="5"/>
        <v>0</v>
      </c>
      <c r="X55" s="915">
        <f t="shared" si="6"/>
        <v>0</v>
      </c>
      <c r="Y55" s="915">
        <f t="shared" si="7"/>
        <v>0</v>
      </c>
      <c r="Z55" s="915">
        <f t="shared" si="8"/>
        <v>0</v>
      </c>
      <c r="AA55" s="915">
        <f t="shared" si="9"/>
        <v>0</v>
      </c>
      <c r="AB55" s="915">
        <f t="shared" si="10"/>
        <v>0</v>
      </c>
      <c r="AC55" s="915">
        <f t="shared" si="11"/>
        <v>0</v>
      </c>
      <c r="AD55" s="915">
        <f t="shared" si="12"/>
        <v>0</v>
      </c>
      <c r="AE55" s="915">
        <f t="shared" si="13"/>
        <v>0</v>
      </c>
      <c r="AF55" s="915">
        <f t="shared" si="14"/>
        <v>0</v>
      </c>
      <c r="AG55" s="915">
        <f t="shared" si="15"/>
        <v>0</v>
      </c>
      <c r="AH55" s="915">
        <f t="shared" si="16"/>
        <v>0</v>
      </c>
      <c r="AI55" s="915">
        <f t="shared" si="17"/>
        <v>0</v>
      </c>
      <c r="AJ55" s="915">
        <f t="shared" si="18"/>
        <v>0</v>
      </c>
      <c r="AK55" s="915">
        <f t="shared" si="19"/>
        <v>0</v>
      </c>
      <c r="AL55" s="915">
        <f t="shared" si="20"/>
        <v>0</v>
      </c>
      <c r="AM55" s="915">
        <f t="shared" si="21"/>
        <v>0</v>
      </c>
      <c r="AN55" s="915">
        <f t="shared" si="22"/>
        <v>0</v>
      </c>
      <c r="AO55" s="915">
        <f t="shared" si="23"/>
        <v>0</v>
      </c>
      <c r="AP55" s="915">
        <f t="shared" si="24"/>
        <v>0</v>
      </c>
      <c r="AQ55" s="915">
        <f t="shared" si="25"/>
        <v>0</v>
      </c>
      <c r="AR55" s="915">
        <f t="shared" si="26"/>
        <v>0</v>
      </c>
      <c r="AS55" s="915">
        <f t="shared" si="27"/>
        <v>0</v>
      </c>
      <c r="AT55" s="915">
        <f t="shared" si="28"/>
        <v>0</v>
      </c>
      <c r="AU55" s="915">
        <f t="shared" si="29"/>
        <v>0</v>
      </c>
      <c r="AV55" s="915">
        <f t="shared" si="30"/>
        <v>0</v>
      </c>
      <c r="AW55" s="915">
        <f t="shared" si="31"/>
        <v>0</v>
      </c>
      <c r="AX55" s="915">
        <f t="shared" si="32"/>
        <v>0</v>
      </c>
      <c r="AY55" s="915">
        <f t="shared" si="33"/>
        <v>0</v>
      </c>
      <c r="AZ55" s="915">
        <f t="shared" si="34"/>
        <v>0</v>
      </c>
      <c r="BA55" s="915">
        <f t="shared" si="35"/>
        <v>0</v>
      </c>
      <c r="BB55" s="915">
        <f t="shared" si="36"/>
        <v>0</v>
      </c>
      <c r="BC55" s="915">
        <f t="shared" si="37"/>
        <v>0</v>
      </c>
      <c r="BD55" s="915">
        <f t="shared" si="38"/>
        <v>0</v>
      </c>
      <c r="BE55" s="915">
        <f t="shared" si="39"/>
        <v>0</v>
      </c>
      <c r="BF55" s="915">
        <f t="shared" si="40"/>
        <v>0</v>
      </c>
      <c r="BG55" s="915">
        <f t="shared" si="41"/>
        <v>0</v>
      </c>
      <c r="BH55" s="915">
        <f t="shared" si="42"/>
        <v>0</v>
      </c>
      <c r="BI55" s="915">
        <f t="shared" si="43"/>
        <v>0</v>
      </c>
      <c r="BJ55" s="915">
        <f t="shared" si="44"/>
        <v>0</v>
      </c>
      <c r="BK55" s="915">
        <f t="shared" si="45"/>
        <v>0</v>
      </c>
      <c r="BL55" s="915">
        <f t="shared" si="46"/>
        <v>0</v>
      </c>
      <c r="BM55" s="915">
        <f t="shared" si="47"/>
        <v>0</v>
      </c>
      <c r="BN55" s="915">
        <f t="shared" si="48"/>
        <v>0</v>
      </c>
      <c r="BO55" s="915">
        <f t="shared" si="49"/>
        <v>0</v>
      </c>
      <c r="BP55" s="915">
        <f t="shared" si="50"/>
        <v>0</v>
      </c>
      <c r="BQ55" s="915">
        <f t="shared" si="51"/>
        <v>0</v>
      </c>
      <c r="BR55" s="915">
        <f t="shared" si="52"/>
        <v>8.48</v>
      </c>
      <c r="BS55" s="915">
        <f t="shared" si="53"/>
        <v>0</v>
      </c>
      <c r="BT55" s="915">
        <f t="shared" si="54"/>
        <v>0</v>
      </c>
      <c r="BU55" s="915">
        <f t="shared" si="55"/>
        <v>0</v>
      </c>
      <c r="BV55" s="915">
        <f t="shared" si="56"/>
        <v>0</v>
      </c>
      <c r="BW55" s="915">
        <f t="shared" si="57"/>
        <v>0</v>
      </c>
      <c r="BX55" s="915">
        <f t="shared" si="58"/>
        <v>0</v>
      </c>
      <c r="BY55" s="915">
        <f t="shared" si="59"/>
        <v>0</v>
      </c>
      <c r="BZ55" s="915">
        <f t="shared" si="60"/>
        <v>0</v>
      </c>
      <c r="CA55" s="915">
        <f t="shared" si="61"/>
        <v>0</v>
      </c>
      <c r="CB55" s="915">
        <f t="shared" si="62"/>
        <v>0</v>
      </c>
      <c r="CC55" s="915">
        <f t="shared" si="63"/>
        <v>0</v>
      </c>
      <c r="CD55" s="915">
        <f t="shared" si="64"/>
        <v>0</v>
      </c>
      <c r="CF55" s="533"/>
      <c r="CI55" s="534"/>
    </row>
    <row r="56" spans="1:87" ht="14.1" customHeight="1" x14ac:dyDescent="0.2">
      <c r="A56" s="496">
        <v>49</v>
      </c>
      <c r="B56" s="1419"/>
      <c r="C56" s="1433"/>
      <c r="D56" s="264">
        <v>17</v>
      </c>
      <c r="E56" s="264" t="s">
        <v>26</v>
      </c>
      <c r="F56" s="270" t="s">
        <v>2544</v>
      </c>
      <c r="G56" s="270" t="s">
        <v>2542</v>
      </c>
      <c r="H56" s="272">
        <v>8</v>
      </c>
      <c r="I56" s="268">
        <f t="shared" ref="I56:I62" si="71">IF(ISTEXT(K56),0,StateTaxSRL*G56*H56)</f>
        <v>0.48</v>
      </c>
      <c r="J56" s="269">
        <f t="shared" ref="J56:J62" si="72">(G56*H56)+I56</f>
        <v>8.48</v>
      </c>
      <c r="K56" s="51"/>
      <c r="N56" s="951">
        <f>BS6</f>
        <v>8.48</v>
      </c>
      <c r="O56" s="915" t="str">
        <f>"Rented Equipment for "&amp;TabName17</f>
        <v>Rented Equipment for Phase 17</v>
      </c>
      <c r="P56" s="949" t="s">
        <v>2295</v>
      </c>
      <c r="W56" s="915">
        <f t="shared" si="5"/>
        <v>0</v>
      </c>
      <c r="X56" s="915">
        <f t="shared" si="6"/>
        <v>0</v>
      </c>
      <c r="Y56" s="915">
        <f t="shared" si="7"/>
        <v>0</v>
      </c>
      <c r="Z56" s="915">
        <f t="shared" si="8"/>
        <v>0</v>
      </c>
      <c r="AA56" s="915">
        <f t="shared" si="9"/>
        <v>0</v>
      </c>
      <c r="AB56" s="915">
        <f t="shared" si="10"/>
        <v>0</v>
      </c>
      <c r="AC56" s="915">
        <f t="shared" si="11"/>
        <v>0</v>
      </c>
      <c r="AD56" s="915">
        <f t="shared" si="12"/>
        <v>0</v>
      </c>
      <c r="AE56" s="915">
        <f t="shared" si="13"/>
        <v>0</v>
      </c>
      <c r="AF56" s="915">
        <f t="shared" si="14"/>
        <v>0</v>
      </c>
      <c r="AG56" s="915">
        <f t="shared" si="15"/>
        <v>0</v>
      </c>
      <c r="AH56" s="915">
        <f t="shared" si="16"/>
        <v>0</v>
      </c>
      <c r="AI56" s="915">
        <f t="shared" si="17"/>
        <v>0</v>
      </c>
      <c r="AJ56" s="915">
        <f t="shared" si="18"/>
        <v>0</v>
      </c>
      <c r="AK56" s="915">
        <f t="shared" si="19"/>
        <v>0</v>
      </c>
      <c r="AL56" s="915">
        <f t="shared" si="20"/>
        <v>0</v>
      </c>
      <c r="AM56" s="915">
        <f t="shared" si="21"/>
        <v>0</v>
      </c>
      <c r="AN56" s="915">
        <f t="shared" si="22"/>
        <v>0</v>
      </c>
      <c r="AO56" s="915">
        <f t="shared" si="23"/>
        <v>0</v>
      </c>
      <c r="AP56" s="915">
        <f t="shared" si="24"/>
        <v>0</v>
      </c>
      <c r="AQ56" s="915">
        <f t="shared" si="25"/>
        <v>0</v>
      </c>
      <c r="AR56" s="915">
        <f t="shared" si="26"/>
        <v>0</v>
      </c>
      <c r="AS56" s="915">
        <f t="shared" si="27"/>
        <v>0</v>
      </c>
      <c r="AT56" s="915">
        <f t="shared" si="28"/>
        <v>0</v>
      </c>
      <c r="AU56" s="915">
        <f t="shared" si="29"/>
        <v>0</v>
      </c>
      <c r="AV56" s="915">
        <f t="shared" si="30"/>
        <v>0</v>
      </c>
      <c r="AW56" s="915">
        <f t="shared" si="31"/>
        <v>0</v>
      </c>
      <c r="AX56" s="915">
        <f t="shared" si="32"/>
        <v>0</v>
      </c>
      <c r="AY56" s="915">
        <f t="shared" si="33"/>
        <v>0</v>
      </c>
      <c r="AZ56" s="915">
        <f t="shared" si="34"/>
        <v>0</v>
      </c>
      <c r="BA56" s="915">
        <f t="shared" si="35"/>
        <v>0</v>
      </c>
      <c r="BB56" s="915">
        <f t="shared" si="36"/>
        <v>0</v>
      </c>
      <c r="BC56" s="915">
        <f t="shared" si="37"/>
        <v>0</v>
      </c>
      <c r="BD56" s="915">
        <f t="shared" si="38"/>
        <v>0</v>
      </c>
      <c r="BE56" s="915">
        <f t="shared" si="39"/>
        <v>0</v>
      </c>
      <c r="BF56" s="915">
        <f t="shared" si="40"/>
        <v>0</v>
      </c>
      <c r="BG56" s="915">
        <f t="shared" si="41"/>
        <v>0</v>
      </c>
      <c r="BH56" s="915">
        <f t="shared" si="42"/>
        <v>0</v>
      </c>
      <c r="BI56" s="915">
        <f t="shared" si="43"/>
        <v>0</v>
      </c>
      <c r="BJ56" s="915">
        <f t="shared" si="44"/>
        <v>0</v>
      </c>
      <c r="BK56" s="915">
        <f t="shared" si="45"/>
        <v>0</v>
      </c>
      <c r="BL56" s="915">
        <f t="shared" si="46"/>
        <v>0</v>
      </c>
      <c r="BM56" s="915">
        <f t="shared" si="47"/>
        <v>0</v>
      </c>
      <c r="BN56" s="915">
        <f t="shared" si="48"/>
        <v>0</v>
      </c>
      <c r="BO56" s="915">
        <f t="shared" si="49"/>
        <v>0</v>
      </c>
      <c r="BP56" s="915">
        <f t="shared" si="50"/>
        <v>0</v>
      </c>
      <c r="BQ56" s="915">
        <f t="shared" si="51"/>
        <v>0</v>
      </c>
      <c r="BR56" s="915">
        <f t="shared" si="52"/>
        <v>0</v>
      </c>
      <c r="BS56" s="915">
        <f t="shared" si="53"/>
        <v>8.48</v>
      </c>
      <c r="BT56" s="915">
        <f t="shared" si="54"/>
        <v>0</v>
      </c>
      <c r="BU56" s="915">
        <f t="shared" si="55"/>
        <v>0</v>
      </c>
      <c r="BV56" s="915">
        <f t="shared" si="56"/>
        <v>0</v>
      </c>
      <c r="BW56" s="915">
        <f t="shared" si="57"/>
        <v>0</v>
      </c>
      <c r="BX56" s="915">
        <f t="shared" si="58"/>
        <v>0</v>
      </c>
      <c r="BY56" s="915">
        <f t="shared" si="59"/>
        <v>0</v>
      </c>
      <c r="BZ56" s="915">
        <f t="shared" si="60"/>
        <v>0</v>
      </c>
      <c r="CA56" s="915">
        <f t="shared" si="61"/>
        <v>0</v>
      </c>
      <c r="CB56" s="915">
        <f t="shared" si="62"/>
        <v>0</v>
      </c>
      <c r="CC56" s="915">
        <f t="shared" si="63"/>
        <v>0</v>
      </c>
      <c r="CD56" s="915">
        <f t="shared" si="64"/>
        <v>0</v>
      </c>
      <c r="CF56" s="533"/>
      <c r="CI56" s="534"/>
    </row>
    <row r="57" spans="1:87" ht="14.1" customHeight="1" x14ac:dyDescent="0.2">
      <c r="A57" s="497">
        <v>50</v>
      </c>
      <c r="B57" s="1423"/>
      <c r="C57" s="1424"/>
      <c r="D57" s="138">
        <v>17</v>
      </c>
      <c r="E57" s="138" t="s">
        <v>30</v>
      </c>
      <c r="F57" s="139" t="s">
        <v>2544</v>
      </c>
      <c r="G57" s="139" t="s">
        <v>2542</v>
      </c>
      <c r="H57" s="100">
        <v>8</v>
      </c>
      <c r="I57" s="119">
        <f t="shared" si="71"/>
        <v>0.48</v>
      </c>
      <c r="J57" s="90">
        <f t="shared" si="72"/>
        <v>8.48</v>
      </c>
      <c r="K57" s="51"/>
      <c r="N57" s="951">
        <f>BT6</f>
        <v>8.48</v>
      </c>
      <c r="O57" s="879" t="str">
        <f>"Purchased Supplies for " &amp; TabName17</f>
        <v>Purchased Supplies for Phase 17</v>
      </c>
      <c r="P57" s="950" t="s">
        <v>2296</v>
      </c>
      <c r="W57" s="915">
        <f t="shared" si="5"/>
        <v>0</v>
      </c>
      <c r="X57" s="915">
        <f t="shared" si="6"/>
        <v>0</v>
      </c>
      <c r="Y57" s="915">
        <f t="shared" si="7"/>
        <v>0</v>
      </c>
      <c r="Z57" s="915">
        <f t="shared" si="8"/>
        <v>0</v>
      </c>
      <c r="AA57" s="915">
        <f t="shared" si="9"/>
        <v>0</v>
      </c>
      <c r="AB57" s="915">
        <f t="shared" si="10"/>
        <v>0</v>
      </c>
      <c r="AC57" s="915">
        <f t="shared" si="11"/>
        <v>0</v>
      </c>
      <c r="AD57" s="915">
        <f t="shared" si="12"/>
        <v>0</v>
      </c>
      <c r="AE57" s="915">
        <f t="shared" si="13"/>
        <v>0</v>
      </c>
      <c r="AF57" s="915">
        <f t="shared" si="14"/>
        <v>0</v>
      </c>
      <c r="AG57" s="915">
        <f t="shared" si="15"/>
        <v>0</v>
      </c>
      <c r="AH57" s="915">
        <f t="shared" si="16"/>
        <v>0</v>
      </c>
      <c r="AI57" s="915">
        <f t="shared" si="17"/>
        <v>0</v>
      </c>
      <c r="AJ57" s="915">
        <f t="shared" si="18"/>
        <v>0</v>
      </c>
      <c r="AK57" s="915">
        <f t="shared" si="19"/>
        <v>0</v>
      </c>
      <c r="AL57" s="915">
        <f t="shared" si="20"/>
        <v>0</v>
      </c>
      <c r="AM57" s="915">
        <f t="shared" si="21"/>
        <v>0</v>
      </c>
      <c r="AN57" s="915">
        <f t="shared" si="22"/>
        <v>0</v>
      </c>
      <c r="AO57" s="915">
        <f t="shared" si="23"/>
        <v>0</v>
      </c>
      <c r="AP57" s="915">
        <f t="shared" si="24"/>
        <v>0</v>
      </c>
      <c r="AQ57" s="915">
        <f t="shared" si="25"/>
        <v>0</v>
      </c>
      <c r="AR57" s="915">
        <f t="shared" si="26"/>
        <v>0</v>
      </c>
      <c r="AS57" s="915">
        <f t="shared" si="27"/>
        <v>0</v>
      </c>
      <c r="AT57" s="915">
        <f t="shared" si="28"/>
        <v>0</v>
      </c>
      <c r="AU57" s="915">
        <f t="shared" si="29"/>
        <v>0</v>
      </c>
      <c r="AV57" s="915">
        <f t="shared" si="30"/>
        <v>0</v>
      </c>
      <c r="AW57" s="915">
        <f t="shared" si="31"/>
        <v>0</v>
      </c>
      <c r="AX57" s="915">
        <f t="shared" si="32"/>
        <v>0</v>
      </c>
      <c r="AY57" s="915">
        <f t="shared" si="33"/>
        <v>0</v>
      </c>
      <c r="AZ57" s="915">
        <f t="shared" si="34"/>
        <v>0</v>
      </c>
      <c r="BA57" s="915">
        <f t="shared" si="35"/>
        <v>0</v>
      </c>
      <c r="BB57" s="915">
        <f t="shared" si="36"/>
        <v>0</v>
      </c>
      <c r="BC57" s="915">
        <f t="shared" si="37"/>
        <v>0</v>
      </c>
      <c r="BD57" s="915">
        <f t="shared" si="38"/>
        <v>0</v>
      </c>
      <c r="BE57" s="915">
        <f t="shared" si="39"/>
        <v>0</v>
      </c>
      <c r="BF57" s="915">
        <f t="shared" si="40"/>
        <v>0</v>
      </c>
      <c r="BG57" s="915">
        <f t="shared" si="41"/>
        <v>0</v>
      </c>
      <c r="BH57" s="915">
        <f t="shared" si="42"/>
        <v>0</v>
      </c>
      <c r="BI57" s="915">
        <f t="shared" si="43"/>
        <v>0</v>
      </c>
      <c r="BJ57" s="915">
        <f t="shared" si="44"/>
        <v>0</v>
      </c>
      <c r="BK57" s="915">
        <f t="shared" si="45"/>
        <v>0</v>
      </c>
      <c r="BL57" s="915">
        <f t="shared" si="46"/>
        <v>0</v>
      </c>
      <c r="BM57" s="915">
        <f t="shared" si="47"/>
        <v>0</v>
      </c>
      <c r="BN57" s="915">
        <f t="shared" si="48"/>
        <v>0</v>
      </c>
      <c r="BO57" s="915">
        <f t="shared" si="49"/>
        <v>0</v>
      </c>
      <c r="BP57" s="915">
        <f t="shared" si="50"/>
        <v>0</v>
      </c>
      <c r="BQ57" s="915">
        <f t="shared" si="51"/>
        <v>0</v>
      </c>
      <c r="BR57" s="915">
        <f t="shared" si="52"/>
        <v>0</v>
      </c>
      <c r="BS57" s="915">
        <f t="shared" si="53"/>
        <v>0</v>
      </c>
      <c r="BT57" s="915">
        <f t="shared" si="54"/>
        <v>8.48</v>
      </c>
      <c r="BU57" s="915">
        <f t="shared" si="55"/>
        <v>0</v>
      </c>
      <c r="BV57" s="915">
        <f>IF(AND($D57=$R$25,$E57=$T$8),$J57,0)</f>
        <v>0</v>
      </c>
      <c r="BW57" s="915">
        <f>IF(AND($D57=$R$25,$E57=$T$9),$J57,0)</f>
        <v>0</v>
      </c>
      <c r="BX57" s="915">
        <f>IF(AND($D57=$R$25,$E57=$T$10),$J57,0)</f>
        <v>0</v>
      </c>
      <c r="BY57" s="915">
        <f t="shared" si="59"/>
        <v>0</v>
      </c>
      <c r="BZ57" s="915">
        <f t="shared" si="60"/>
        <v>0</v>
      </c>
      <c r="CA57" s="915">
        <f t="shared" si="61"/>
        <v>0</v>
      </c>
      <c r="CB57" s="915">
        <f t="shared" si="62"/>
        <v>0</v>
      </c>
      <c r="CC57" s="915">
        <f t="shared" si="63"/>
        <v>0</v>
      </c>
      <c r="CD57" s="915">
        <f t="shared" si="64"/>
        <v>0</v>
      </c>
      <c r="CF57" s="533"/>
      <c r="CI57" s="534"/>
    </row>
    <row r="58" spans="1:87" ht="14.1" customHeight="1" x14ac:dyDescent="0.2">
      <c r="A58" s="496">
        <v>51</v>
      </c>
      <c r="B58" s="1419"/>
      <c r="C58" s="1433"/>
      <c r="D58" s="264">
        <v>17</v>
      </c>
      <c r="E58" s="264" t="s">
        <v>170</v>
      </c>
      <c r="F58" s="270" t="s">
        <v>2544</v>
      </c>
      <c r="G58" s="270" t="s">
        <v>2542</v>
      </c>
      <c r="H58" s="272">
        <v>8</v>
      </c>
      <c r="I58" s="268">
        <f t="shared" si="71"/>
        <v>0.48</v>
      </c>
      <c r="J58" s="269">
        <f t="shared" si="72"/>
        <v>8.48</v>
      </c>
      <c r="K58" s="51"/>
      <c r="N58" s="951">
        <f>BU6</f>
        <v>8.48</v>
      </c>
      <c r="O58" s="879" t="str">
        <f>"Other for " &amp; TabName17</f>
        <v>Other for Phase 17</v>
      </c>
      <c r="P58" s="949" t="s">
        <v>2297</v>
      </c>
      <c r="W58" s="915">
        <f t="shared" si="5"/>
        <v>0</v>
      </c>
      <c r="X58" s="915">
        <f t="shared" si="6"/>
        <v>0</v>
      </c>
      <c r="Y58" s="915">
        <f t="shared" si="7"/>
        <v>0</v>
      </c>
      <c r="Z58" s="915">
        <f t="shared" si="8"/>
        <v>0</v>
      </c>
      <c r="AA58" s="915">
        <f t="shared" si="9"/>
        <v>0</v>
      </c>
      <c r="AB58" s="915">
        <f t="shared" si="10"/>
        <v>0</v>
      </c>
      <c r="AC58" s="915">
        <f t="shared" si="11"/>
        <v>0</v>
      </c>
      <c r="AD58" s="915">
        <f t="shared" si="12"/>
        <v>0</v>
      </c>
      <c r="AE58" s="915">
        <f t="shared" si="13"/>
        <v>0</v>
      </c>
      <c r="AF58" s="915">
        <f t="shared" si="14"/>
        <v>0</v>
      </c>
      <c r="AG58" s="915">
        <f t="shared" si="15"/>
        <v>0</v>
      </c>
      <c r="AH58" s="915">
        <f t="shared" si="16"/>
        <v>0</v>
      </c>
      <c r="AI58" s="915">
        <f t="shared" si="17"/>
        <v>0</v>
      </c>
      <c r="AJ58" s="915">
        <f t="shared" si="18"/>
        <v>0</v>
      </c>
      <c r="AK58" s="915">
        <f t="shared" si="19"/>
        <v>0</v>
      </c>
      <c r="AL58" s="915">
        <f t="shared" si="20"/>
        <v>0</v>
      </c>
      <c r="AM58" s="915">
        <f t="shared" si="21"/>
        <v>0</v>
      </c>
      <c r="AN58" s="915">
        <f t="shared" si="22"/>
        <v>0</v>
      </c>
      <c r="AO58" s="915">
        <f t="shared" si="23"/>
        <v>0</v>
      </c>
      <c r="AP58" s="915">
        <f t="shared" si="24"/>
        <v>0</v>
      </c>
      <c r="AQ58" s="915">
        <f t="shared" si="25"/>
        <v>0</v>
      </c>
      <c r="AR58" s="915">
        <f t="shared" si="26"/>
        <v>0</v>
      </c>
      <c r="AS58" s="915">
        <f t="shared" si="27"/>
        <v>0</v>
      </c>
      <c r="AT58" s="915">
        <f t="shared" si="28"/>
        <v>0</v>
      </c>
      <c r="AU58" s="915">
        <f t="shared" si="29"/>
        <v>0</v>
      </c>
      <c r="AV58" s="915">
        <f t="shared" si="30"/>
        <v>0</v>
      </c>
      <c r="AW58" s="915">
        <f t="shared" si="31"/>
        <v>0</v>
      </c>
      <c r="AX58" s="915">
        <f t="shared" si="32"/>
        <v>0</v>
      </c>
      <c r="AY58" s="915">
        <f t="shared" si="33"/>
        <v>0</v>
      </c>
      <c r="AZ58" s="915">
        <f t="shared" si="34"/>
        <v>0</v>
      </c>
      <c r="BA58" s="915">
        <f t="shared" si="35"/>
        <v>0</v>
      </c>
      <c r="BB58" s="915">
        <f t="shared" si="36"/>
        <v>0</v>
      </c>
      <c r="BC58" s="915">
        <f t="shared" si="37"/>
        <v>0</v>
      </c>
      <c r="BD58" s="915">
        <f t="shared" si="38"/>
        <v>0</v>
      </c>
      <c r="BE58" s="915">
        <f t="shared" si="39"/>
        <v>0</v>
      </c>
      <c r="BF58" s="915">
        <f t="shared" si="40"/>
        <v>0</v>
      </c>
      <c r="BG58" s="915">
        <f t="shared" si="41"/>
        <v>0</v>
      </c>
      <c r="BH58" s="915">
        <f t="shared" si="42"/>
        <v>0</v>
      </c>
      <c r="BI58" s="915">
        <f t="shared" si="43"/>
        <v>0</v>
      </c>
      <c r="BJ58" s="915">
        <f t="shared" si="44"/>
        <v>0</v>
      </c>
      <c r="BK58" s="915">
        <f t="shared" si="45"/>
        <v>0</v>
      </c>
      <c r="BL58" s="915">
        <f t="shared" si="46"/>
        <v>0</v>
      </c>
      <c r="BM58" s="915">
        <f t="shared" si="47"/>
        <v>0</v>
      </c>
      <c r="BN58" s="915">
        <f t="shared" si="48"/>
        <v>0</v>
      </c>
      <c r="BO58" s="915">
        <f t="shared" si="49"/>
        <v>0</v>
      </c>
      <c r="BP58" s="915">
        <f t="shared" si="50"/>
        <v>0</v>
      </c>
      <c r="BQ58" s="915">
        <f t="shared" si="51"/>
        <v>0</v>
      </c>
      <c r="BR58" s="915">
        <f t="shared" si="52"/>
        <v>0</v>
      </c>
      <c r="BS58" s="915">
        <f t="shared" si="53"/>
        <v>0</v>
      </c>
      <c r="BT58" s="915">
        <f t="shared" si="54"/>
        <v>0</v>
      </c>
      <c r="BU58" s="915">
        <f t="shared" si="55"/>
        <v>8.48</v>
      </c>
      <c r="BV58" s="915">
        <f t="shared" si="56"/>
        <v>0</v>
      </c>
      <c r="BW58" s="915">
        <f t="shared" si="57"/>
        <v>0</v>
      </c>
      <c r="BX58" s="915">
        <f t="shared" si="58"/>
        <v>0</v>
      </c>
      <c r="BY58" s="915">
        <f t="shared" si="59"/>
        <v>0</v>
      </c>
      <c r="BZ58" s="915">
        <f t="shared" si="60"/>
        <v>0</v>
      </c>
      <c r="CA58" s="915">
        <f t="shared" si="61"/>
        <v>0</v>
      </c>
      <c r="CB58" s="915">
        <f t="shared" si="62"/>
        <v>0</v>
      </c>
      <c r="CC58" s="915">
        <f t="shared" si="63"/>
        <v>0</v>
      </c>
      <c r="CD58" s="915">
        <f t="shared" si="64"/>
        <v>0</v>
      </c>
      <c r="CF58" s="533"/>
      <c r="CI58" s="534"/>
    </row>
    <row r="59" spans="1:87" ht="14.1" customHeight="1" x14ac:dyDescent="0.2">
      <c r="A59" s="497">
        <v>52</v>
      </c>
      <c r="B59" s="1423"/>
      <c r="C59" s="1424"/>
      <c r="D59" s="138">
        <v>18</v>
      </c>
      <c r="E59" s="138" t="s">
        <v>26</v>
      </c>
      <c r="F59" s="139" t="s">
        <v>2544</v>
      </c>
      <c r="G59" s="139" t="s">
        <v>2542</v>
      </c>
      <c r="H59" s="100">
        <v>8</v>
      </c>
      <c r="I59" s="119">
        <f t="shared" si="71"/>
        <v>0.48</v>
      </c>
      <c r="J59" s="90">
        <f t="shared" si="72"/>
        <v>8.48</v>
      </c>
      <c r="K59" s="51"/>
      <c r="N59" s="951">
        <f>BV6</f>
        <v>8.48</v>
      </c>
      <c r="O59" s="915" t="str">
        <f>"Rented Equipment for "&amp;TabName18</f>
        <v>Rented Equipment for Phase 18</v>
      </c>
      <c r="P59" s="949" t="s">
        <v>2298</v>
      </c>
      <c r="W59" s="915">
        <f t="shared" si="5"/>
        <v>0</v>
      </c>
      <c r="X59" s="915">
        <f t="shared" si="6"/>
        <v>0</v>
      </c>
      <c r="Y59" s="915">
        <f t="shared" si="7"/>
        <v>0</v>
      </c>
      <c r="Z59" s="915">
        <f t="shared" si="8"/>
        <v>0</v>
      </c>
      <c r="AA59" s="915">
        <f t="shared" si="9"/>
        <v>0</v>
      </c>
      <c r="AB59" s="915">
        <f t="shared" si="10"/>
        <v>0</v>
      </c>
      <c r="AC59" s="915">
        <f t="shared" si="11"/>
        <v>0</v>
      </c>
      <c r="AD59" s="915">
        <f t="shared" si="12"/>
        <v>0</v>
      </c>
      <c r="AE59" s="915">
        <f t="shared" si="13"/>
        <v>0</v>
      </c>
      <c r="AF59" s="915">
        <f t="shared" si="14"/>
        <v>0</v>
      </c>
      <c r="AG59" s="915">
        <f t="shared" si="15"/>
        <v>0</v>
      </c>
      <c r="AH59" s="915">
        <f t="shared" si="16"/>
        <v>0</v>
      </c>
      <c r="AI59" s="915">
        <f t="shared" si="17"/>
        <v>0</v>
      </c>
      <c r="AJ59" s="915">
        <f t="shared" si="18"/>
        <v>0</v>
      </c>
      <c r="AK59" s="915">
        <f t="shared" si="19"/>
        <v>0</v>
      </c>
      <c r="AL59" s="915">
        <f t="shared" si="20"/>
        <v>0</v>
      </c>
      <c r="AM59" s="915">
        <f t="shared" si="21"/>
        <v>0</v>
      </c>
      <c r="AN59" s="915">
        <f t="shared" si="22"/>
        <v>0</v>
      </c>
      <c r="AO59" s="915">
        <f t="shared" si="23"/>
        <v>0</v>
      </c>
      <c r="AP59" s="915">
        <f t="shared" si="24"/>
        <v>0</v>
      </c>
      <c r="AQ59" s="915">
        <f t="shared" si="25"/>
        <v>0</v>
      </c>
      <c r="AR59" s="915">
        <f t="shared" si="26"/>
        <v>0</v>
      </c>
      <c r="AS59" s="915">
        <f t="shared" si="27"/>
        <v>0</v>
      </c>
      <c r="AT59" s="915">
        <f t="shared" si="28"/>
        <v>0</v>
      </c>
      <c r="AU59" s="915">
        <f t="shared" si="29"/>
        <v>0</v>
      </c>
      <c r="AV59" s="915">
        <f t="shared" si="30"/>
        <v>0</v>
      </c>
      <c r="AW59" s="915">
        <f t="shared" si="31"/>
        <v>0</v>
      </c>
      <c r="AX59" s="915">
        <f t="shared" si="32"/>
        <v>0</v>
      </c>
      <c r="AY59" s="915">
        <f t="shared" si="33"/>
        <v>0</v>
      </c>
      <c r="AZ59" s="915">
        <f t="shared" si="34"/>
        <v>0</v>
      </c>
      <c r="BA59" s="915">
        <f t="shared" si="35"/>
        <v>0</v>
      </c>
      <c r="BB59" s="915">
        <f t="shared" si="36"/>
        <v>0</v>
      </c>
      <c r="BC59" s="915">
        <f t="shared" si="37"/>
        <v>0</v>
      </c>
      <c r="BD59" s="915">
        <f t="shared" si="38"/>
        <v>0</v>
      </c>
      <c r="BE59" s="915">
        <f t="shared" si="39"/>
        <v>0</v>
      </c>
      <c r="BF59" s="915">
        <f t="shared" si="40"/>
        <v>0</v>
      </c>
      <c r="BG59" s="915">
        <f>IF(AND($D59=$R$20,$E59=$T$8),$J59,0)</f>
        <v>0</v>
      </c>
      <c r="BH59" s="915">
        <f>IF(AND($D59=$R$20,$E59=$T$9),$J59,0)</f>
        <v>0</v>
      </c>
      <c r="BI59" s="915">
        <f>IF(AND($D59=$R$20,$E59=$T$10),$J59,0)</f>
        <v>0</v>
      </c>
      <c r="BJ59" s="915">
        <f t="shared" si="44"/>
        <v>0</v>
      </c>
      <c r="BK59" s="915">
        <f t="shared" si="45"/>
        <v>0</v>
      </c>
      <c r="BL59" s="915">
        <f t="shared" si="46"/>
        <v>0</v>
      </c>
      <c r="BM59" s="915">
        <f t="shared" si="47"/>
        <v>0</v>
      </c>
      <c r="BN59" s="915">
        <f t="shared" si="48"/>
        <v>0</v>
      </c>
      <c r="BO59" s="915">
        <f t="shared" si="49"/>
        <v>0</v>
      </c>
      <c r="BP59" s="915">
        <f t="shared" si="50"/>
        <v>0</v>
      </c>
      <c r="BQ59" s="915">
        <f t="shared" si="51"/>
        <v>0</v>
      </c>
      <c r="BR59" s="915">
        <f t="shared" si="52"/>
        <v>0</v>
      </c>
      <c r="BS59" s="915">
        <f t="shared" si="53"/>
        <v>0</v>
      </c>
      <c r="BT59" s="915">
        <f t="shared" si="54"/>
        <v>0</v>
      </c>
      <c r="BU59" s="915">
        <f t="shared" si="55"/>
        <v>0</v>
      </c>
      <c r="BV59" s="915">
        <f t="shared" si="56"/>
        <v>8.48</v>
      </c>
      <c r="BW59" s="915">
        <f t="shared" si="57"/>
        <v>0</v>
      </c>
      <c r="BX59" s="915">
        <f t="shared" si="58"/>
        <v>0</v>
      </c>
      <c r="BY59" s="915">
        <f t="shared" si="59"/>
        <v>0</v>
      </c>
      <c r="BZ59" s="915">
        <f t="shared" si="60"/>
        <v>0</v>
      </c>
      <c r="CA59" s="915">
        <f t="shared" si="61"/>
        <v>0</v>
      </c>
      <c r="CB59" s="915">
        <f t="shared" si="62"/>
        <v>0</v>
      </c>
      <c r="CC59" s="915">
        <f t="shared" si="63"/>
        <v>0</v>
      </c>
      <c r="CD59" s="915">
        <f t="shared" si="64"/>
        <v>0</v>
      </c>
      <c r="CF59" s="533"/>
      <c r="CI59" s="534"/>
    </row>
    <row r="60" spans="1:87" ht="14.1" customHeight="1" x14ac:dyDescent="0.2">
      <c r="A60" s="496">
        <v>53</v>
      </c>
      <c r="B60" s="1419"/>
      <c r="C60" s="1433"/>
      <c r="D60" s="264">
        <v>18</v>
      </c>
      <c r="E60" s="264" t="s">
        <v>30</v>
      </c>
      <c r="F60" s="270" t="s">
        <v>2544</v>
      </c>
      <c r="G60" s="270" t="s">
        <v>2542</v>
      </c>
      <c r="H60" s="272">
        <v>8</v>
      </c>
      <c r="I60" s="268">
        <f t="shared" si="71"/>
        <v>0.48</v>
      </c>
      <c r="J60" s="269">
        <f t="shared" si="72"/>
        <v>8.48</v>
      </c>
      <c r="K60" s="51"/>
      <c r="N60" s="951">
        <f>BW6</f>
        <v>8.48</v>
      </c>
      <c r="O60" s="879" t="str">
        <f>"Purchased Supplies for " &amp; TabName18</f>
        <v>Purchased Supplies for Phase 18</v>
      </c>
      <c r="P60" s="950" t="s">
        <v>2299</v>
      </c>
      <c r="W60" s="915">
        <f>IF(AND($D60=$R$8,$E60=$T$8),$J60,0)</f>
        <v>0</v>
      </c>
      <c r="X60" s="915">
        <f>IF(AND($D60=$R$8,$E60=$T$9),$J60,0)</f>
        <v>0</v>
      </c>
      <c r="Y60" s="915">
        <f>IF(AND($D60=$R$8,$E60=$T$10),$J60,0)</f>
        <v>0</v>
      </c>
      <c r="Z60" s="915">
        <f>IF(AND($D60=$R$9,$E60=$T$8),$J60,0)</f>
        <v>0</v>
      </c>
      <c r="AA60" s="915">
        <f>IF(AND($D60=$R$9,$E60=$T$9),$J60,0)</f>
        <v>0</v>
      </c>
      <c r="AB60" s="915">
        <f>IF(AND($D60=$R$9,$E60=$T$10),$J60,0)</f>
        <v>0</v>
      </c>
      <c r="AC60" s="915">
        <f>IF(AND($D60=$R$10,$E60=$T$8),$J60,0)</f>
        <v>0</v>
      </c>
      <c r="AD60" s="915">
        <f>IF(AND($D60=$R$10,$E60=$T$9),$J60,0)</f>
        <v>0</v>
      </c>
      <c r="AE60" s="915">
        <f>IF(AND($D60=$R$10,$E60=$T$10),$J60,0)</f>
        <v>0</v>
      </c>
      <c r="AF60" s="915">
        <f>IF(AND($D60=$R$11,$E60=$T$8),$J60,0)</f>
        <v>0</v>
      </c>
      <c r="AG60" s="915">
        <f>IF(AND($D60=$R$11,$E60=$T$9),$J60,0)</f>
        <v>0</v>
      </c>
      <c r="AH60" s="915">
        <f>IF(AND($D60=$R$11,$E60=$T$10),$J60,0)</f>
        <v>0</v>
      </c>
      <c r="AI60" s="915">
        <f>IF(AND($D60=$R$12,$E60=$T$8),$J60,0)</f>
        <v>0</v>
      </c>
      <c r="AJ60" s="915">
        <f>IF(AND($D60=$R$12,$E60=$T$9),$J60,0)</f>
        <v>0</v>
      </c>
      <c r="AK60" s="915">
        <f>IF(AND($D60=$R$12,$E60=$T$10),$J60,0)</f>
        <v>0</v>
      </c>
      <c r="AL60" s="915">
        <f>IF(AND($D60=$R$13,$E60=$T$8),$J60,0)</f>
        <v>0</v>
      </c>
      <c r="AM60" s="915">
        <f>IF(AND($D60=$R$13,$E60=$T$9),$J60,0)</f>
        <v>0</v>
      </c>
      <c r="AN60" s="915">
        <f>IF(AND($D60=$R$13,$E60=$T$10),$J60,0)</f>
        <v>0</v>
      </c>
      <c r="AO60" s="915">
        <f>IF(AND($D60=$R$14,$E60=$T$8),$J60,0)</f>
        <v>0</v>
      </c>
      <c r="AP60" s="915">
        <f>IF(AND($D60=$R$14,$E60=$T$9),$J60,0)</f>
        <v>0</v>
      </c>
      <c r="AQ60" s="915">
        <f>IF(AND($D60=$R$14,$E60=$T$10),$J60,0)</f>
        <v>0</v>
      </c>
      <c r="AR60" s="915">
        <f>IF(AND($D60=$R$15,$E60=$T$8),$J60,0)</f>
        <v>0</v>
      </c>
      <c r="AS60" s="915">
        <f>IF(AND($D60=$R$15,$E60=$T$9),$J60,0)</f>
        <v>0</v>
      </c>
      <c r="AT60" s="915">
        <f>IF(AND($D60=$R$15,$E60=$T$10),$J60,0)</f>
        <v>0</v>
      </c>
      <c r="AU60" s="915">
        <f>IF(AND($D60=$R$16,$E60=$T$8),$J60,0)</f>
        <v>0</v>
      </c>
      <c r="AV60" s="915">
        <f>IF(AND($D60=$R$16,$E60=$T$9),$J60,0)</f>
        <v>0</v>
      </c>
      <c r="AW60" s="915">
        <f>IF(AND($D60=$R$16,$E60=$T$10),$J60,0)</f>
        <v>0</v>
      </c>
      <c r="AX60" s="915">
        <f>IF(AND($D60=$R$17,$E60=$T$8),$J60,0)</f>
        <v>0</v>
      </c>
      <c r="AY60" s="915">
        <f>IF(AND($D60=$R$17,$E60=$T$9),$J60,0)</f>
        <v>0</v>
      </c>
      <c r="AZ60" s="915">
        <f>IF(AND($D60=$R$17,$E60=$T$10),$J60,0)</f>
        <v>0</v>
      </c>
      <c r="BA60" s="915">
        <f>IF(AND($D60=$R$18,$E60=$T$8),$J60,0)</f>
        <v>0</v>
      </c>
      <c r="BB60" s="915">
        <f>IF(AND($D60=$R$18,$E60=$T$9),$J60,0)</f>
        <v>0</v>
      </c>
      <c r="BC60" s="915">
        <f>IF(AND($D60=$R$18,$E60=$T$10),$J60,0)</f>
        <v>0</v>
      </c>
      <c r="BD60" s="915">
        <f>IF(AND($D60=$R$19,$E60=$T$8),$J60,0)</f>
        <v>0</v>
      </c>
      <c r="BE60" s="915">
        <f>IF(AND($D60=$R$19,$E60=$T$9),$J60,0)</f>
        <v>0</v>
      </c>
      <c r="BF60" s="915">
        <f>IF(AND($D60=$R$19,$E60=$T$10),$J60,0)</f>
        <v>0</v>
      </c>
      <c r="BG60" s="915">
        <f>IF(AND($D60=$R$20,$E60=$T$8),$J60,0)</f>
        <v>0</v>
      </c>
      <c r="BH60" s="915">
        <f>IF(AND($D60=$R$20,$E60=$T$9),$J60,0)</f>
        <v>0</v>
      </c>
      <c r="BI60" s="915">
        <f>IF(AND($D60=$R$20,$E60=$T$10),$J60,0)</f>
        <v>0</v>
      </c>
      <c r="BJ60" s="915">
        <f>IF(AND($D60=$R$21,$E60=$T$8),$J60,0)</f>
        <v>0</v>
      </c>
      <c r="BK60" s="915">
        <f>IF(AND($D60=$R$21,$E60=$T$9),$J60,0)</f>
        <v>0</v>
      </c>
      <c r="BL60" s="915">
        <f>IF(AND($D60=$R$21,$E60=$T$10),$J60,0)</f>
        <v>0</v>
      </c>
      <c r="BM60" s="915">
        <f>IF(AND($D60=$R$22,$E60=$T$8),$J60,0)</f>
        <v>0</v>
      </c>
      <c r="BN60" s="915">
        <f>IF(AND($D60=$R$22,$E60=$T$9),$J60,0)</f>
        <v>0</v>
      </c>
      <c r="BO60" s="915">
        <f>IF(AND($D60=$R$22,$E60=$T$10),$J60,0)</f>
        <v>0</v>
      </c>
      <c r="BP60" s="915">
        <f>IF(AND($D60=$R$23,$E60=$T$8),$J60,0)</f>
        <v>0</v>
      </c>
      <c r="BQ60" s="915">
        <f>IF(AND($D60=$R$23,$E60=$T$9),$J60,0)</f>
        <v>0</v>
      </c>
      <c r="BR60" s="915">
        <f>IF(AND($D60=$R$23,$E60=$T$10),$J60,0)</f>
        <v>0</v>
      </c>
      <c r="BS60" s="915">
        <f>IF(AND($D60=$R$24,$E60=$T$8),$J60,0)</f>
        <v>0</v>
      </c>
      <c r="BT60" s="915">
        <f>IF(AND($D60=$R$24,$E60=$T$9),$J60,0)</f>
        <v>0</v>
      </c>
      <c r="BU60" s="915">
        <f>IF(AND($D60=$R$24,$E60=$T$10),$J60,0)</f>
        <v>0</v>
      </c>
      <c r="BV60" s="915">
        <f>IF(AND($D60=$R$25,$E60=$T$8),$J60,0)</f>
        <v>0</v>
      </c>
      <c r="BW60" s="915">
        <f>IF(AND($D60=$R$25,$E60=$T$9),$J60,0)</f>
        <v>8.48</v>
      </c>
      <c r="BX60" s="915">
        <f>IF(AND($D60=$R$25,$E60=$T$10),$J60,0)</f>
        <v>0</v>
      </c>
      <c r="BY60" s="915">
        <f>IF(AND($D60=$R$26,$E60=$T$8),$J60,0)</f>
        <v>0</v>
      </c>
      <c r="BZ60" s="915">
        <f>IF(AND($D60=$R$26,$E60=$T$9),$J60,0)</f>
        <v>0</v>
      </c>
      <c r="CA60" s="915">
        <f>IF(AND($D60=$R$26,$E60=$T$10),$J60,0)</f>
        <v>0</v>
      </c>
      <c r="CB60" s="915">
        <f>IF(AND($D60=$R$27,$E60=$T$8),$J60,0)</f>
        <v>0</v>
      </c>
      <c r="CC60" s="915">
        <f>IF(AND($D60=$R$27,$E60=$T$9),$J60,0)</f>
        <v>0</v>
      </c>
      <c r="CD60" s="915">
        <f>IF(AND($D60=$R$27,$E60=$T$10),$J60,0)</f>
        <v>0</v>
      </c>
      <c r="CF60" s="533"/>
      <c r="CI60" s="534"/>
    </row>
    <row r="61" spans="1:87" ht="14.1" customHeight="1" x14ac:dyDescent="0.2">
      <c r="A61" s="497">
        <v>54</v>
      </c>
      <c r="B61" s="1423"/>
      <c r="C61" s="1424"/>
      <c r="D61" s="138">
        <v>18</v>
      </c>
      <c r="E61" s="138" t="s">
        <v>170</v>
      </c>
      <c r="F61" s="139" t="s">
        <v>2544</v>
      </c>
      <c r="G61" s="139" t="s">
        <v>2542</v>
      </c>
      <c r="H61" s="100">
        <v>8</v>
      </c>
      <c r="I61" s="119">
        <f t="shared" si="71"/>
        <v>0.48</v>
      </c>
      <c r="J61" s="90">
        <f t="shared" si="72"/>
        <v>8.48</v>
      </c>
      <c r="K61" s="51"/>
      <c r="N61" s="951">
        <f>BX6</f>
        <v>8.48</v>
      </c>
      <c r="O61" s="879" t="str">
        <f>"Other for " &amp; TabName18</f>
        <v>Other for Phase 18</v>
      </c>
      <c r="P61" s="949" t="s">
        <v>2300</v>
      </c>
      <c r="W61" s="915">
        <f>IF(AND($D61=$R$8,$E61=$T$8),$J61,0)</f>
        <v>0</v>
      </c>
      <c r="X61" s="915">
        <f>IF(AND($D61=$R$8,$E61=$T$9),$J61,0)</f>
        <v>0</v>
      </c>
      <c r="Y61" s="915">
        <f>IF(AND($D61=$R$8,$E61=$T$10),$J61,0)</f>
        <v>0</v>
      </c>
      <c r="Z61" s="915">
        <f>IF(AND($D61=$R$9,$E61=$T$8),$J61,0)</f>
        <v>0</v>
      </c>
      <c r="AA61" s="915">
        <f>IF(AND($D61=$R$9,$E61=$T$9),$J61,0)</f>
        <v>0</v>
      </c>
      <c r="AB61" s="915">
        <f>IF(AND($D61=$R$9,$E61=$T$10),$J61,0)</f>
        <v>0</v>
      </c>
      <c r="AC61" s="915">
        <f>IF(AND($D61=$R$10,$E61=$T$8),$J61,0)</f>
        <v>0</v>
      </c>
      <c r="AD61" s="915">
        <f>IF(AND($D61=$R$10,$E61=$T$9),$J61,0)</f>
        <v>0</v>
      </c>
      <c r="AE61" s="915">
        <f>IF(AND($D61=$R$10,$E61=$T$10),$J61,0)</f>
        <v>0</v>
      </c>
      <c r="AF61" s="915">
        <f>IF(AND($D61=$R$11,$E61=$T$8),$J61,0)</f>
        <v>0</v>
      </c>
      <c r="AG61" s="915">
        <f>IF(AND($D61=$R$11,$E61=$T$9),$J61,0)</f>
        <v>0</v>
      </c>
      <c r="AH61" s="915">
        <f>IF(AND($D61=$R$11,$E61=$T$10),$J61,0)</f>
        <v>0</v>
      </c>
      <c r="AI61" s="915">
        <f>IF(AND($D61=$R$12,$E61=$T$8),$J61,0)</f>
        <v>0</v>
      </c>
      <c r="AJ61" s="915">
        <f>IF(AND($D61=$R$12,$E61=$T$9),$J61,0)</f>
        <v>0</v>
      </c>
      <c r="AK61" s="915">
        <f>IF(AND($D61=$R$12,$E61=$T$10),$J61,0)</f>
        <v>0</v>
      </c>
      <c r="AL61" s="915">
        <f>IF(AND($D61=$R$13,$E61=$T$8),$J61,0)</f>
        <v>0</v>
      </c>
      <c r="AM61" s="915">
        <f>IF(AND($D61=$R$13,$E61=$T$9),$J61,0)</f>
        <v>0</v>
      </c>
      <c r="AN61" s="915">
        <f>IF(AND($D61=$R$13,$E61=$T$10),$J61,0)</f>
        <v>0</v>
      </c>
      <c r="AO61" s="915">
        <f>IF(AND($D61=$R$14,$E61=$T$8),$J61,0)</f>
        <v>0</v>
      </c>
      <c r="AP61" s="915">
        <f>IF(AND($D61=$R$14,$E61=$T$9),$J61,0)</f>
        <v>0</v>
      </c>
      <c r="AQ61" s="915">
        <f>IF(AND($D61=$R$14,$E61=$T$10),$J61,0)</f>
        <v>0</v>
      </c>
      <c r="AR61" s="915">
        <f>IF(AND($D61=$R$15,$E61=$T$8),$J61,0)</f>
        <v>0</v>
      </c>
      <c r="AS61" s="915">
        <f>IF(AND($D61=$R$15,$E61=$T$9),$J61,0)</f>
        <v>0</v>
      </c>
      <c r="AT61" s="915">
        <f>IF(AND($D61=$R$15,$E61=$T$10),$J61,0)</f>
        <v>0</v>
      </c>
      <c r="AU61" s="915">
        <f>IF(AND($D61=$R$16,$E61=$T$8),$J61,0)</f>
        <v>0</v>
      </c>
      <c r="AV61" s="915">
        <f>IF(AND($D61=$R$16,$E61=$T$9),$J61,0)</f>
        <v>0</v>
      </c>
      <c r="AW61" s="915">
        <f>IF(AND($D61=$R$16,$E61=$T$10),$J61,0)</f>
        <v>0</v>
      </c>
      <c r="AX61" s="915">
        <f>IF(AND($D61=$R$17,$E61=$T$8),$J61,0)</f>
        <v>0</v>
      </c>
      <c r="AY61" s="915">
        <f>IF(AND($D61=$R$17,$E61=$T$9),$J61,0)</f>
        <v>0</v>
      </c>
      <c r="AZ61" s="915">
        <f>IF(AND($D61=$R$17,$E61=$T$10),$J61,0)</f>
        <v>0</v>
      </c>
      <c r="BA61" s="915">
        <f>IF(AND($D61=$R$18,$E61=$T$8),$J61,0)</f>
        <v>0</v>
      </c>
      <c r="BB61" s="915">
        <f>IF(AND($D61=$R$18,$E61=$T$9),$J61,0)</f>
        <v>0</v>
      </c>
      <c r="BC61" s="915">
        <f>IF(AND($D61=$R$18,$E61=$T$10),$J61,0)</f>
        <v>0</v>
      </c>
      <c r="BD61" s="915">
        <f>IF(AND($D61=$R$19,$E61=$T$8),$J61,0)</f>
        <v>0</v>
      </c>
      <c r="BE61" s="915">
        <f>IF(AND($D61=$R$19,$E61=$T$9),$J61,0)</f>
        <v>0</v>
      </c>
      <c r="BF61" s="915">
        <f>IF(AND($D61=$R$19,$E61=$T$10),$J61,0)</f>
        <v>0</v>
      </c>
      <c r="BG61" s="915">
        <f>IF(AND($D61=$R$20,$E61=$T$8),$J61,0)</f>
        <v>0</v>
      </c>
      <c r="BH61" s="915">
        <f>IF(AND($D61=$R$20,$E61=$T$9),$J61,0)</f>
        <v>0</v>
      </c>
      <c r="BI61" s="915">
        <f>IF(AND($D61=$R$20,$E61=$T$10),$J61,0)</f>
        <v>0</v>
      </c>
      <c r="BJ61" s="915">
        <f>IF(AND($D61=$R$21,$E61=$T$8),$J61,0)</f>
        <v>0</v>
      </c>
      <c r="BK61" s="915">
        <f>IF(AND($D61=$R$21,$E61=$T$9),$J61,0)</f>
        <v>0</v>
      </c>
      <c r="BL61" s="915">
        <f>IF(AND($D61=$R$21,$E61=$T$10),$J61,0)</f>
        <v>0</v>
      </c>
      <c r="BM61" s="915">
        <f>IF(AND($D61=$R$22,$E61=$T$8),$J61,0)</f>
        <v>0</v>
      </c>
      <c r="BN61" s="915">
        <f>IF(AND($D61=$R$22,$E61=$T$9),$J61,0)</f>
        <v>0</v>
      </c>
      <c r="BO61" s="915">
        <f>IF(AND($D61=$R$22,$E61=$T$10),$J61,0)</f>
        <v>0</v>
      </c>
      <c r="BP61" s="915">
        <f>IF(AND($D61=$R$23,$E61=$T$8),$J61,0)</f>
        <v>0</v>
      </c>
      <c r="BQ61" s="915">
        <f>IF(AND($D61=$R$23,$E61=$T$9),$J61,0)</f>
        <v>0</v>
      </c>
      <c r="BR61" s="915">
        <f>IF(AND($D61=$R$23,$E61=$T$10),$J61,0)</f>
        <v>0</v>
      </c>
      <c r="BS61" s="915">
        <f>IF(AND($D61=$R$24,$E61=$T$8),$J61,0)</f>
        <v>0</v>
      </c>
      <c r="BT61" s="915">
        <f>IF(AND($D61=$R$24,$E61=$T$9),$J61,0)</f>
        <v>0</v>
      </c>
      <c r="BU61" s="915">
        <f>IF(AND($D61=$R$24,$E61=$T$10),$J61,0)</f>
        <v>0</v>
      </c>
      <c r="BV61" s="915">
        <f>IF(AND($D61=$R$25,$E61=$T$8),$J61,0)</f>
        <v>0</v>
      </c>
      <c r="BW61" s="915">
        <f>IF(AND($D61=$R$25,$E61=$T$9),$J61,0)</f>
        <v>0</v>
      </c>
      <c r="BX61" s="915">
        <f>IF(AND($D61=$R$25,$E61=$T$10),$J61,0)</f>
        <v>8.48</v>
      </c>
      <c r="BY61" s="915">
        <f>IF(AND($D61=$R$26,$E61=$T$8),$J61,0)</f>
        <v>0</v>
      </c>
      <c r="BZ61" s="915">
        <f>IF(AND($D61=$R$26,$E61=$T$9),$J61,0)</f>
        <v>0</v>
      </c>
      <c r="CA61" s="915">
        <f>IF(AND($D61=$R$26,$E61=$T$10),$J61,0)</f>
        <v>0</v>
      </c>
      <c r="CB61" s="915">
        <f>IF(AND($D61=$R$27,$E61=$T$8),$J61,0)</f>
        <v>0</v>
      </c>
      <c r="CC61" s="915">
        <f>IF(AND($D61=$R$27,$E61=$T$9),$J61,0)</f>
        <v>0</v>
      </c>
      <c r="CD61" s="915">
        <f>IF(AND($D61=$R$27,$E61=$T$10),$J61,0)</f>
        <v>0</v>
      </c>
      <c r="CF61" s="533"/>
      <c r="CI61" s="534"/>
    </row>
    <row r="62" spans="1:87" ht="14.1" customHeight="1" x14ac:dyDescent="0.2">
      <c r="A62" s="496">
        <v>55</v>
      </c>
      <c r="B62" s="1419"/>
      <c r="C62" s="1433"/>
      <c r="D62" s="264">
        <v>19</v>
      </c>
      <c r="E62" s="264" t="s">
        <v>26</v>
      </c>
      <c r="F62" s="270" t="s">
        <v>2544</v>
      </c>
      <c r="G62" s="270" t="s">
        <v>2542</v>
      </c>
      <c r="H62" s="272">
        <v>8</v>
      </c>
      <c r="I62" s="268">
        <f t="shared" si="71"/>
        <v>0.48</v>
      </c>
      <c r="J62" s="269">
        <f t="shared" si="72"/>
        <v>8.48</v>
      </c>
      <c r="K62" s="51"/>
      <c r="N62" s="951">
        <f>BY6</f>
        <v>8.48</v>
      </c>
      <c r="O62" s="915" t="str">
        <f>"Rented Equipment for "&amp;TabName19</f>
        <v>Rented Equipment for Phase 19</v>
      </c>
      <c r="P62" s="949" t="s">
        <v>2301</v>
      </c>
      <c r="W62" s="915">
        <f t="shared" si="5"/>
        <v>0</v>
      </c>
      <c r="X62" s="915">
        <f t="shared" si="6"/>
        <v>0</v>
      </c>
      <c r="Y62" s="915">
        <f t="shared" si="7"/>
        <v>0</v>
      </c>
      <c r="Z62" s="915">
        <f t="shared" si="8"/>
        <v>0</v>
      </c>
      <c r="AA62" s="915">
        <f t="shared" si="9"/>
        <v>0</v>
      </c>
      <c r="AB62" s="915">
        <f t="shared" si="10"/>
        <v>0</v>
      </c>
      <c r="AC62" s="915">
        <f t="shared" si="11"/>
        <v>0</v>
      </c>
      <c r="AD62" s="915">
        <f t="shared" si="12"/>
        <v>0</v>
      </c>
      <c r="AE62" s="915">
        <f t="shared" si="13"/>
        <v>0</v>
      </c>
      <c r="AF62" s="915">
        <f t="shared" si="14"/>
        <v>0</v>
      </c>
      <c r="AG62" s="915">
        <f t="shared" si="15"/>
        <v>0</v>
      </c>
      <c r="AH62" s="915">
        <f t="shared" si="16"/>
        <v>0</v>
      </c>
      <c r="AI62" s="915">
        <f t="shared" si="17"/>
        <v>0</v>
      </c>
      <c r="AJ62" s="915">
        <f t="shared" si="18"/>
        <v>0</v>
      </c>
      <c r="AK62" s="915">
        <f t="shared" si="19"/>
        <v>0</v>
      </c>
      <c r="AL62" s="915">
        <f t="shared" si="20"/>
        <v>0</v>
      </c>
      <c r="AM62" s="915">
        <f t="shared" si="21"/>
        <v>0</v>
      </c>
      <c r="AN62" s="915">
        <f t="shared" si="22"/>
        <v>0</v>
      </c>
      <c r="AO62" s="915">
        <f t="shared" si="23"/>
        <v>0</v>
      </c>
      <c r="AP62" s="915">
        <f t="shared" si="24"/>
        <v>0</v>
      </c>
      <c r="AQ62" s="915">
        <f t="shared" si="25"/>
        <v>0</v>
      </c>
      <c r="AR62" s="915">
        <f t="shared" si="26"/>
        <v>0</v>
      </c>
      <c r="AS62" s="915">
        <f t="shared" si="27"/>
        <v>0</v>
      </c>
      <c r="AT62" s="915">
        <f t="shared" si="28"/>
        <v>0</v>
      </c>
      <c r="AU62" s="915">
        <f t="shared" si="29"/>
        <v>0</v>
      </c>
      <c r="AV62" s="915">
        <f t="shared" si="30"/>
        <v>0</v>
      </c>
      <c r="AW62" s="915">
        <f t="shared" si="31"/>
        <v>0</v>
      </c>
      <c r="AX62" s="915">
        <f t="shared" si="32"/>
        <v>0</v>
      </c>
      <c r="AY62" s="915">
        <f t="shared" si="33"/>
        <v>0</v>
      </c>
      <c r="AZ62" s="915">
        <f t="shared" si="34"/>
        <v>0</v>
      </c>
      <c r="BA62" s="915">
        <f t="shared" si="35"/>
        <v>0</v>
      </c>
      <c r="BB62" s="915">
        <f t="shared" si="36"/>
        <v>0</v>
      </c>
      <c r="BC62" s="915">
        <f t="shared" si="37"/>
        <v>0</v>
      </c>
      <c r="BD62" s="915">
        <f t="shared" si="38"/>
        <v>0</v>
      </c>
      <c r="BE62" s="915">
        <f t="shared" si="39"/>
        <v>0</v>
      </c>
      <c r="BF62" s="915">
        <f t="shared" si="40"/>
        <v>0</v>
      </c>
      <c r="BG62" s="915">
        <f t="shared" si="41"/>
        <v>0</v>
      </c>
      <c r="BH62" s="915">
        <f t="shared" si="42"/>
        <v>0</v>
      </c>
      <c r="BI62" s="915">
        <f t="shared" si="43"/>
        <v>0</v>
      </c>
      <c r="BJ62" s="915">
        <f t="shared" si="44"/>
        <v>0</v>
      </c>
      <c r="BK62" s="915">
        <f t="shared" si="45"/>
        <v>0</v>
      </c>
      <c r="BL62" s="915">
        <f t="shared" si="46"/>
        <v>0</v>
      </c>
      <c r="BM62" s="915">
        <f t="shared" si="47"/>
        <v>0</v>
      </c>
      <c r="BN62" s="915">
        <f t="shared" si="48"/>
        <v>0</v>
      </c>
      <c r="BO62" s="915">
        <f t="shared" si="49"/>
        <v>0</v>
      </c>
      <c r="BP62" s="915">
        <f t="shared" si="50"/>
        <v>0</v>
      </c>
      <c r="BQ62" s="915">
        <f t="shared" si="51"/>
        <v>0</v>
      </c>
      <c r="BR62" s="915">
        <f t="shared" si="52"/>
        <v>0</v>
      </c>
      <c r="BS62" s="915">
        <f t="shared" si="53"/>
        <v>0</v>
      </c>
      <c r="BT62" s="915">
        <f t="shared" si="54"/>
        <v>0</v>
      </c>
      <c r="BU62" s="915">
        <f t="shared" si="55"/>
        <v>0</v>
      </c>
      <c r="BV62" s="915">
        <f t="shared" si="56"/>
        <v>0</v>
      </c>
      <c r="BW62" s="915">
        <f t="shared" si="57"/>
        <v>0</v>
      </c>
      <c r="BX62" s="915">
        <f t="shared" si="58"/>
        <v>0</v>
      </c>
      <c r="BY62" s="915">
        <f t="shared" si="59"/>
        <v>8.48</v>
      </c>
      <c r="BZ62" s="915">
        <f t="shared" si="60"/>
        <v>0</v>
      </c>
      <c r="CA62" s="915">
        <f t="shared" si="61"/>
        <v>0</v>
      </c>
      <c r="CB62" s="915">
        <f t="shared" si="62"/>
        <v>0</v>
      </c>
      <c r="CC62" s="915">
        <f t="shared" si="63"/>
        <v>0</v>
      </c>
      <c r="CD62" s="915">
        <f t="shared" si="64"/>
        <v>0</v>
      </c>
      <c r="CF62" s="533"/>
      <c r="CI62" s="534"/>
    </row>
    <row r="63" spans="1:87" ht="14.1" customHeight="1" x14ac:dyDescent="0.2">
      <c r="A63" s="497">
        <v>56</v>
      </c>
      <c r="B63" s="1423"/>
      <c r="C63" s="1424"/>
      <c r="D63" s="138">
        <v>19</v>
      </c>
      <c r="E63" s="138" t="s">
        <v>30</v>
      </c>
      <c r="F63" s="139" t="s">
        <v>2544</v>
      </c>
      <c r="G63" s="139" t="s">
        <v>2542</v>
      </c>
      <c r="H63" s="100">
        <v>8</v>
      </c>
      <c r="I63" s="119">
        <f t="shared" ref="I63:I64" si="73">IF(ISTEXT(K63),0,StateTaxSRL*G63*H63)</f>
        <v>0.48</v>
      </c>
      <c r="J63" s="90">
        <f t="shared" ref="J63:J64" si="74">(G63*H63)+I63</f>
        <v>8.48</v>
      </c>
      <c r="K63" s="51"/>
      <c r="N63" s="951">
        <f>BZ6</f>
        <v>8.48</v>
      </c>
      <c r="O63" s="879" t="str">
        <f>"Purchased Supplies for " &amp; TabName19</f>
        <v>Purchased Supplies for Phase 19</v>
      </c>
      <c r="P63" s="950" t="s">
        <v>2302</v>
      </c>
      <c r="W63" s="915">
        <f t="shared" si="5"/>
        <v>0</v>
      </c>
      <c r="X63" s="915">
        <f t="shared" si="6"/>
        <v>0</v>
      </c>
      <c r="Y63" s="915">
        <f t="shared" si="7"/>
        <v>0</v>
      </c>
      <c r="Z63" s="915">
        <f t="shared" si="8"/>
        <v>0</v>
      </c>
      <c r="AA63" s="915">
        <f t="shared" si="9"/>
        <v>0</v>
      </c>
      <c r="AB63" s="915">
        <f t="shared" si="10"/>
        <v>0</v>
      </c>
      <c r="AC63" s="915">
        <f t="shared" si="11"/>
        <v>0</v>
      </c>
      <c r="AD63" s="915">
        <f t="shared" si="12"/>
        <v>0</v>
      </c>
      <c r="AE63" s="915">
        <f t="shared" si="13"/>
        <v>0</v>
      </c>
      <c r="AF63" s="915">
        <f t="shared" si="14"/>
        <v>0</v>
      </c>
      <c r="AG63" s="915">
        <f t="shared" si="15"/>
        <v>0</v>
      </c>
      <c r="AH63" s="915">
        <f t="shared" si="16"/>
        <v>0</v>
      </c>
      <c r="AI63" s="915">
        <f t="shared" si="17"/>
        <v>0</v>
      </c>
      <c r="AJ63" s="915">
        <f t="shared" si="18"/>
        <v>0</v>
      </c>
      <c r="AK63" s="915">
        <f t="shared" si="19"/>
        <v>0</v>
      </c>
      <c r="AL63" s="915">
        <f t="shared" si="20"/>
        <v>0</v>
      </c>
      <c r="AM63" s="915">
        <f t="shared" si="21"/>
        <v>0</v>
      </c>
      <c r="AN63" s="915">
        <f t="shared" si="22"/>
        <v>0</v>
      </c>
      <c r="AO63" s="915">
        <f t="shared" si="23"/>
        <v>0</v>
      </c>
      <c r="AP63" s="915">
        <f t="shared" si="24"/>
        <v>0</v>
      </c>
      <c r="AQ63" s="915">
        <f t="shared" si="25"/>
        <v>0</v>
      </c>
      <c r="AR63" s="915">
        <f t="shared" si="26"/>
        <v>0</v>
      </c>
      <c r="AS63" s="915">
        <f t="shared" si="27"/>
        <v>0</v>
      </c>
      <c r="AT63" s="915">
        <f t="shared" si="28"/>
        <v>0</v>
      </c>
      <c r="AU63" s="915">
        <f t="shared" si="29"/>
        <v>0</v>
      </c>
      <c r="AV63" s="915">
        <f t="shared" si="30"/>
        <v>0</v>
      </c>
      <c r="AW63" s="915">
        <f t="shared" si="31"/>
        <v>0</v>
      </c>
      <c r="AX63" s="915">
        <f t="shared" si="32"/>
        <v>0</v>
      </c>
      <c r="AY63" s="915">
        <f t="shared" si="33"/>
        <v>0</v>
      </c>
      <c r="AZ63" s="915">
        <f t="shared" si="34"/>
        <v>0</v>
      </c>
      <c r="BA63" s="915">
        <f t="shared" si="35"/>
        <v>0</v>
      </c>
      <c r="BB63" s="915">
        <f t="shared" si="36"/>
        <v>0</v>
      </c>
      <c r="BC63" s="915">
        <f t="shared" si="37"/>
        <v>0</v>
      </c>
      <c r="BD63" s="915">
        <f t="shared" si="38"/>
        <v>0</v>
      </c>
      <c r="BE63" s="915">
        <f t="shared" si="39"/>
        <v>0</v>
      </c>
      <c r="BF63" s="915">
        <f t="shared" si="40"/>
        <v>0</v>
      </c>
      <c r="BG63" s="915">
        <f t="shared" si="41"/>
        <v>0</v>
      </c>
      <c r="BH63" s="915">
        <f t="shared" si="42"/>
        <v>0</v>
      </c>
      <c r="BI63" s="915">
        <f t="shared" si="43"/>
        <v>0</v>
      </c>
      <c r="BJ63" s="915">
        <f t="shared" si="44"/>
        <v>0</v>
      </c>
      <c r="BK63" s="915">
        <f t="shared" si="45"/>
        <v>0</v>
      </c>
      <c r="BL63" s="915">
        <f t="shared" si="46"/>
        <v>0</v>
      </c>
      <c r="BM63" s="915">
        <f t="shared" si="47"/>
        <v>0</v>
      </c>
      <c r="BN63" s="915">
        <f t="shared" si="48"/>
        <v>0</v>
      </c>
      <c r="BO63" s="915">
        <f t="shared" si="49"/>
        <v>0</v>
      </c>
      <c r="BP63" s="915">
        <f t="shared" si="50"/>
        <v>0</v>
      </c>
      <c r="BQ63" s="915">
        <f t="shared" si="51"/>
        <v>0</v>
      </c>
      <c r="BR63" s="915">
        <f t="shared" si="52"/>
        <v>0</v>
      </c>
      <c r="BS63" s="915">
        <f t="shared" si="53"/>
        <v>0</v>
      </c>
      <c r="BT63" s="915">
        <f t="shared" si="54"/>
        <v>0</v>
      </c>
      <c r="BU63" s="915">
        <f t="shared" si="55"/>
        <v>0</v>
      </c>
      <c r="BV63" s="915">
        <f t="shared" si="56"/>
        <v>0</v>
      </c>
      <c r="BW63" s="915">
        <f t="shared" si="57"/>
        <v>0</v>
      </c>
      <c r="BX63" s="915">
        <f t="shared" si="58"/>
        <v>0</v>
      </c>
      <c r="BY63" s="915">
        <f t="shared" si="59"/>
        <v>0</v>
      </c>
      <c r="BZ63" s="915">
        <f t="shared" si="60"/>
        <v>8.48</v>
      </c>
      <c r="CA63" s="915">
        <f t="shared" si="61"/>
        <v>0</v>
      </c>
      <c r="CB63" s="915">
        <f t="shared" si="62"/>
        <v>0</v>
      </c>
      <c r="CC63" s="915">
        <f t="shared" si="63"/>
        <v>0</v>
      </c>
      <c r="CD63" s="915">
        <f t="shared" si="64"/>
        <v>0</v>
      </c>
      <c r="CF63" s="533"/>
      <c r="CI63" s="534"/>
    </row>
    <row r="64" spans="1:87" ht="14.1" customHeight="1" x14ac:dyDescent="0.2">
      <c r="A64" s="496">
        <v>57</v>
      </c>
      <c r="B64" s="1419"/>
      <c r="C64" s="1433"/>
      <c r="D64" s="264">
        <v>19</v>
      </c>
      <c r="E64" s="264" t="s">
        <v>170</v>
      </c>
      <c r="F64" s="270" t="s">
        <v>2544</v>
      </c>
      <c r="G64" s="270" t="s">
        <v>2542</v>
      </c>
      <c r="H64" s="272">
        <v>8</v>
      </c>
      <c r="I64" s="268">
        <f t="shared" si="73"/>
        <v>0.48</v>
      </c>
      <c r="J64" s="269">
        <f t="shared" si="74"/>
        <v>8.48</v>
      </c>
      <c r="K64" s="51"/>
      <c r="N64" s="951">
        <f>CA6</f>
        <v>8.48</v>
      </c>
      <c r="O64" s="879" t="str">
        <f>"Other for " &amp; TabName19</f>
        <v>Other for Phase 19</v>
      </c>
      <c r="P64" s="949" t="s">
        <v>2303</v>
      </c>
      <c r="W64" s="915">
        <f t="shared" si="5"/>
        <v>0</v>
      </c>
      <c r="X64" s="915">
        <f t="shared" si="6"/>
        <v>0</v>
      </c>
      <c r="Y64" s="915">
        <f t="shared" si="7"/>
        <v>0</v>
      </c>
      <c r="Z64" s="915">
        <f t="shared" si="8"/>
        <v>0</v>
      </c>
      <c r="AA64" s="915">
        <f t="shared" si="9"/>
        <v>0</v>
      </c>
      <c r="AB64" s="915">
        <f t="shared" si="10"/>
        <v>0</v>
      </c>
      <c r="AC64" s="915">
        <f t="shared" si="11"/>
        <v>0</v>
      </c>
      <c r="AD64" s="915">
        <f t="shared" si="12"/>
        <v>0</v>
      </c>
      <c r="AE64" s="915">
        <f t="shared" si="13"/>
        <v>0</v>
      </c>
      <c r="AF64" s="915">
        <f t="shared" si="14"/>
        <v>0</v>
      </c>
      <c r="AG64" s="915">
        <f t="shared" si="15"/>
        <v>0</v>
      </c>
      <c r="AH64" s="915">
        <f t="shared" si="16"/>
        <v>0</v>
      </c>
      <c r="AI64" s="915">
        <f t="shared" si="17"/>
        <v>0</v>
      </c>
      <c r="AJ64" s="915">
        <f t="shared" si="18"/>
        <v>0</v>
      </c>
      <c r="AK64" s="915">
        <f t="shared" si="19"/>
        <v>0</v>
      </c>
      <c r="AL64" s="915">
        <f t="shared" si="20"/>
        <v>0</v>
      </c>
      <c r="AM64" s="915">
        <f t="shared" si="21"/>
        <v>0</v>
      </c>
      <c r="AN64" s="915">
        <f t="shared" si="22"/>
        <v>0</v>
      </c>
      <c r="AO64" s="915">
        <f t="shared" si="23"/>
        <v>0</v>
      </c>
      <c r="AP64" s="915">
        <f t="shared" si="24"/>
        <v>0</v>
      </c>
      <c r="AQ64" s="915">
        <f t="shared" si="25"/>
        <v>0</v>
      </c>
      <c r="AR64" s="915">
        <f t="shared" si="26"/>
        <v>0</v>
      </c>
      <c r="AS64" s="915">
        <f t="shared" si="27"/>
        <v>0</v>
      </c>
      <c r="AT64" s="915">
        <f t="shared" si="28"/>
        <v>0</v>
      </c>
      <c r="AU64" s="915">
        <f t="shared" si="29"/>
        <v>0</v>
      </c>
      <c r="AV64" s="915">
        <f t="shared" si="30"/>
        <v>0</v>
      </c>
      <c r="AW64" s="915">
        <f t="shared" si="31"/>
        <v>0</v>
      </c>
      <c r="AX64" s="915">
        <f t="shared" si="32"/>
        <v>0</v>
      </c>
      <c r="AY64" s="915">
        <f t="shared" si="33"/>
        <v>0</v>
      </c>
      <c r="AZ64" s="915">
        <f t="shared" si="34"/>
        <v>0</v>
      </c>
      <c r="BA64" s="915">
        <f t="shared" si="35"/>
        <v>0</v>
      </c>
      <c r="BB64" s="915">
        <f t="shared" si="36"/>
        <v>0</v>
      </c>
      <c r="BC64" s="915">
        <f t="shared" si="37"/>
        <v>0</v>
      </c>
      <c r="BD64" s="915">
        <f t="shared" si="38"/>
        <v>0</v>
      </c>
      <c r="BE64" s="915">
        <f t="shared" si="39"/>
        <v>0</v>
      </c>
      <c r="BF64" s="915">
        <f t="shared" si="40"/>
        <v>0</v>
      </c>
      <c r="BG64" s="915">
        <f t="shared" si="41"/>
        <v>0</v>
      </c>
      <c r="BH64" s="915">
        <f t="shared" si="42"/>
        <v>0</v>
      </c>
      <c r="BI64" s="915">
        <f t="shared" si="43"/>
        <v>0</v>
      </c>
      <c r="BJ64" s="915">
        <f t="shared" si="44"/>
        <v>0</v>
      </c>
      <c r="BK64" s="915">
        <f t="shared" si="45"/>
        <v>0</v>
      </c>
      <c r="BL64" s="915">
        <f t="shared" si="46"/>
        <v>0</v>
      </c>
      <c r="BM64" s="915">
        <f t="shared" si="47"/>
        <v>0</v>
      </c>
      <c r="BN64" s="915">
        <f t="shared" si="48"/>
        <v>0</v>
      </c>
      <c r="BO64" s="915">
        <f t="shared" si="49"/>
        <v>0</v>
      </c>
      <c r="BP64" s="915">
        <f t="shared" si="50"/>
        <v>0</v>
      </c>
      <c r="BQ64" s="915">
        <f t="shared" si="51"/>
        <v>0</v>
      </c>
      <c r="BR64" s="915">
        <f t="shared" si="52"/>
        <v>0</v>
      </c>
      <c r="BS64" s="915">
        <f t="shared" si="53"/>
        <v>0</v>
      </c>
      <c r="BT64" s="915">
        <f t="shared" si="54"/>
        <v>0</v>
      </c>
      <c r="BU64" s="915">
        <f t="shared" si="55"/>
        <v>0</v>
      </c>
      <c r="BV64" s="915">
        <f t="shared" si="56"/>
        <v>0</v>
      </c>
      <c r="BW64" s="915">
        <f t="shared" si="57"/>
        <v>0</v>
      </c>
      <c r="BX64" s="915">
        <f t="shared" si="58"/>
        <v>0</v>
      </c>
      <c r="BY64" s="915">
        <f t="shared" si="59"/>
        <v>0</v>
      </c>
      <c r="BZ64" s="915">
        <f t="shared" si="60"/>
        <v>0</v>
      </c>
      <c r="CA64" s="915">
        <f t="shared" si="61"/>
        <v>8.48</v>
      </c>
      <c r="CB64" s="915">
        <f t="shared" si="62"/>
        <v>0</v>
      </c>
      <c r="CC64" s="915">
        <f t="shared" si="63"/>
        <v>0</v>
      </c>
      <c r="CD64" s="915">
        <f t="shared" si="64"/>
        <v>0</v>
      </c>
      <c r="CF64" s="533"/>
      <c r="CI64" s="534"/>
    </row>
    <row r="65" spans="1:87" ht="14.1" customHeight="1" x14ac:dyDescent="0.2">
      <c r="A65" s="497">
        <v>58</v>
      </c>
      <c r="B65" s="1423"/>
      <c r="C65" s="1424"/>
      <c r="D65" s="138">
        <v>20</v>
      </c>
      <c r="E65" s="138" t="s">
        <v>26</v>
      </c>
      <c r="F65" s="139" t="s">
        <v>2544</v>
      </c>
      <c r="G65" s="139" t="s">
        <v>2542</v>
      </c>
      <c r="H65" s="100">
        <v>8</v>
      </c>
      <c r="I65" s="119">
        <f t="shared" ref="I65:I66" si="75">IF(ISTEXT(K65),0,StateTaxSRL*G65*H65)</f>
        <v>0.48</v>
      </c>
      <c r="J65" s="90">
        <f t="shared" ref="J65:J66" si="76">(G65*H65)+I65</f>
        <v>8.48</v>
      </c>
      <c r="K65" s="51"/>
      <c r="N65" s="951">
        <f>CB6</f>
        <v>8.48</v>
      </c>
      <c r="O65" s="915" t="str">
        <f>"Rented Equipment for "&amp;TabName20</f>
        <v>Rented Equipment for Phase 20</v>
      </c>
      <c r="P65" s="949" t="s">
        <v>2304</v>
      </c>
      <c r="W65" s="915">
        <f t="shared" si="5"/>
        <v>0</v>
      </c>
      <c r="X65" s="915">
        <f t="shared" si="6"/>
        <v>0</v>
      </c>
      <c r="Y65" s="915">
        <f t="shared" si="7"/>
        <v>0</v>
      </c>
      <c r="Z65" s="915">
        <f t="shared" si="8"/>
        <v>0</v>
      </c>
      <c r="AA65" s="915">
        <f t="shared" si="9"/>
        <v>0</v>
      </c>
      <c r="AB65" s="915">
        <f t="shared" si="10"/>
        <v>0</v>
      </c>
      <c r="AC65" s="915">
        <f t="shared" si="11"/>
        <v>0</v>
      </c>
      <c r="AD65" s="915">
        <f t="shared" si="12"/>
        <v>0</v>
      </c>
      <c r="AE65" s="915">
        <f t="shared" si="13"/>
        <v>0</v>
      </c>
      <c r="AF65" s="915">
        <f t="shared" si="14"/>
        <v>0</v>
      </c>
      <c r="AG65" s="915">
        <f t="shared" si="15"/>
        <v>0</v>
      </c>
      <c r="AH65" s="915">
        <f t="shared" si="16"/>
        <v>0</v>
      </c>
      <c r="AI65" s="915">
        <f t="shared" si="17"/>
        <v>0</v>
      </c>
      <c r="AJ65" s="915">
        <f t="shared" si="18"/>
        <v>0</v>
      </c>
      <c r="AK65" s="915">
        <f t="shared" si="19"/>
        <v>0</v>
      </c>
      <c r="AL65" s="915">
        <f t="shared" si="20"/>
        <v>0</v>
      </c>
      <c r="AM65" s="915">
        <f t="shared" si="21"/>
        <v>0</v>
      </c>
      <c r="AN65" s="915">
        <f t="shared" si="22"/>
        <v>0</v>
      </c>
      <c r="AO65" s="915">
        <f t="shared" si="23"/>
        <v>0</v>
      </c>
      <c r="AP65" s="915">
        <f t="shared" si="24"/>
        <v>0</v>
      </c>
      <c r="AQ65" s="915">
        <f t="shared" si="25"/>
        <v>0</v>
      </c>
      <c r="AR65" s="915">
        <f t="shared" si="26"/>
        <v>0</v>
      </c>
      <c r="AS65" s="915">
        <f t="shared" si="27"/>
        <v>0</v>
      </c>
      <c r="AT65" s="915">
        <f t="shared" si="28"/>
        <v>0</v>
      </c>
      <c r="AU65" s="915">
        <f t="shared" si="29"/>
        <v>0</v>
      </c>
      <c r="AV65" s="915">
        <f t="shared" si="30"/>
        <v>0</v>
      </c>
      <c r="AW65" s="915">
        <f t="shared" si="31"/>
        <v>0</v>
      </c>
      <c r="AX65" s="915">
        <f t="shared" si="32"/>
        <v>0</v>
      </c>
      <c r="AY65" s="915">
        <f t="shared" si="33"/>
        <v>0</v>
      </c>
      <c r="AZ65" s="915">
        <f t="shared" si="34"/>
        <v>0</v>
      </c>
      <c r="BA65" s="915">
        <f>IF(AND($D65=$R$18,$E65=$T$8),$J65,0)</f>
        <v>0</v>
      </c>
      <c r="BB65" s="915">
        <f>IF(AND($D65=$R$18,$E65=$T$9),$J65,0)</f>
        <v>0</v>
      </c>
      <c r="BC65" s="915">
        <f>IF(AND($D65=$R$18,$E65=$T$10),$J65,0)</f>
        <v>0</v>
      </c>
      <c r="BD65" s="915">
        <f t="shared" si="38"/>
        <v>0</v>
      </c>
      <c r="BE65" s="915">
        <f t="shared" si="39"/>
        <v>0</v>
      </c>
      <c r="BF65" s="915">
        <f t="shared" si="40"/>
        <v>0</v>
      </c>
      <c r="BG65" s="915">
        <f t="shared" si="41"/>
        <v>0</v>
      </c>
      <c r="BH65" s="915">
        <f t="shared" si="42"/>
        <v>0</v>
      </c>
      <c r="BI65" s="915">
        <f t="shared" si="43"/>
        <v>0</v>
      </c>
      <c r="BJ65" s="915">
        <f t="shared" si="44"/>
        <v>0</v>
      </c>
      <c r="BK65" s="915">
        <f t="shared" si="45"/>
        <v>0</v>
      </c>
      <c r="BL65" s="915">
        <f t="shared" si="46"/>
        <v>0</v>
      </c>
      <c r="BM65" s="915">
        <f t="shared" si="47"/>
        <v>0</v>
      </c>
      <c r="BN65" s="915">
        <f t="shared" si="48"/>
        <v>0</v>
      </c>
      <c r="BO65" s="915">
        <f t="shared" si="49"/>
        <v>0</v>
      </c>
      <c r="BP65" s="915">
        <f t="shared" si="50"/>
        <v>0</v>
      </c>
      <c r="BQ65" s="915">
        <f t="shared" si="51"/>
        <v>0</v>
      </c>
      <c r="BR65" s="915">
        <f t="shared" si="52"/>
        <v>0</v>
      </c>
      <c r="BS65" s="915">
        <f>IF(AND($D65=$R$24,$E65=$T$8),$J65,0)</f>
        <v>0</v>
      </c>
      <c r="BT65" s="915">
        <f>IF(AND($D65=$R$24,$E65=$T$9),$J65,0)</f>
        <v>0</v>
      </c>
      <c r="BU65" s="915">
        <f>IF(AND($D65=$R$24,$E65=$T$10),$J65,0)</f>
        <v>0</v>
      </c>
      <c r="BV65" s="915">
        <f t="shared" si="56"/>
        <v>0</v>
      </c>
      <c r="BW65" s="915">
        <f t="shared" si="57"/>
        <v>0</v>
      </c>
      <c r="BX65" s="915">
        <f t="shared" si="58"/>
        <v>0</v>
      </c>
      <c r="BY65" s="915">
        <f t="shared" si="59"/>
        <v>0</v>
      </c>
      <c r="BZ65" s="915">
        <f t="shared" si="60"/>
        <v>0</v>
      </c>
      <c r="CA65" s="915">
        <f t="shared" si="61"/>
        <v>0</v>
      </c>
      <c r="CB65" s="915">
        <f t="shared" si="62"/>
        <v>8.48</v>
      </c>
      <c r="CC65" s="915">
        <f t="shared" si="63"/>
        <v>0</v>
      </c>
      <c r="CD65" s="915">
        <f t="shared" si="64"/>
        <v>0</v>
      </c>
      <c r="CF65" s="533"/>
      <c r="CI65" s="534"/>
    </row>
    <row r="66" spans="1:87" ht="14.1" customHeight="1" x14ac:dyDescent="0.2">
      <c r="A66" s="496">
        <v>59</v>
      </c>
      <c r="B66" s="1419"/>
      <c r="C66" s="1433"/>
      <c r="D66" s="264">
        <v>20</v>
      </c>
      <c r="E66" s="264" t="s">
        <v>30</v>
      </c>
      <c r="F66" s="270" t="s">
        <v>2544</v>
      </c>
      <c r="G66" s="270" t="s">
        <v>2542</v>
      </c>
      <c r="H66" s="272">
        <v>8</v>
      </c>
      <c r="I66" s="268">
        <f t="shared" si="75"/>
        <v>0.48</v>
      </c>
      <c r="J66" s="269">
        <f t="shared" si="76"/>
        <v>8.48</v>
      </c>
      <c r="K66" s="51"/>
      <c r="N66" s="951">
        <f>CC6</f>
        <v>8.48</v>
      </c>
      <c r="O66" s="879" t="str">
        <f>"Purchased Supplies for " &amp; TabName20</f>
        <v>Purchased Supplies for Phase 20</v>
      </c>
      <c r="P66" s="950" t="s">
        <v>2305</v>
      </c>
      <c r="W66" s="915">
        <f t="shared" si="5"/>
        <v>0</v>
      </c>
      <c r="X66" s="915">
        <f t="shared" si="6"/>
        <v>0</v>
      </c>
      <c r="Y66" s="915">
        <f t="shared" si="7"/>
        <v>0</v>
      </c>
      <c r="Z66" s="915">
        <f t="shared" si="8"/>
        <v>0</v>
      </c>
      <c r="AA66" s="915">
        <f t="shared" si="9"/>
        <v>0</v>
      </c>
      <c r="AB66" s="915">
        <f t="shared" si="10"/>
        <v>0</v>
      </c>
      <c r="AC66" s="915">
        <f t="shared" si="11"/>
        <v>0</v>
      </c>
      <c r="AD66" s="915">
        <f t="shared" si="12"/>
        <v>0</v>
      </c>
      <c r="AE66" s="915">
        <f t="shared" si="13"/>
        <v>0</v>
      </c>
      <c r="AF66" s="915">
        <f t="shared" si="14"/>
        <v>0</v>
      </c>
      <c r="AG66" s="915">
        <f t="shared" si="15"/>
        <v>0</v>
      </c>
      <c r="AH66" s="915">
        <f t="shared" si="16"/>
        <v>0</v>
      </c>
      <c r="AI66" s="915">
        <f t="shared" si="17"/>
        <v>0</v>
      </c>
      <c r="AJ66" s="915">
        <f t="shared" si="18"/>
        <v>0</v>
      </c>
      <c r="AK66" s="915">
        <f t="shared" si="19"/>
        <v>0</v>
      </c>
      <c r="AL66" s="915">
        <f t="shared" si="20"/>
        <v>0</v>
      </c>
      <c r="AM66" s="915">
        <f t="shared" si="21"/>
        <v>0</v>
      </c>
      <c r="AN66" s="915">
        <f t="shared" si="22"/>
        <v>0</v>
      </c>
      <c r="AO66" s="915">
        <f t="shared" si="23"/>
        <v>0</v>
      </c>
      <c r="AP66" s="915">
        <f t="shared" si="24"/>
        <v>0</v>
      </c>
      <c r="AQ66" s="915">
        <f t="shared" si="25"/>
        <v>0</v>
      </c>
      <c r="AR66" s="915">
        <f t="shared" si="26"/>
        <v>0</v>
      </c>
      <c r="AS66" s="915">
        <f t="shared" si="27"/>
        <v>0</v>
      </c>
      <c r="AT66" s="915">
        <f t="shared" si="28"/>
        <v>0</v>
      </c>
      <c r="AU66" s="915">
        <f t="shared" si="29"/>
        <v>0</v>
      </c>
      <c r="AV66" s="915">
        <f t="shared" si="30"/>
        <v>0</v>
      </c>
      <c r="AW66" s="915">
        <f t="shared" si="31"/>
        <v>0</v>
      </c>
      <c r="AX66" s="915">
        <f t="shared" si="32"/>
        <v>0</v>
      </c>
      <c r="AY66" s="915">
        <f t="shared" si="33"/>
        <v>0</v>
      </c>
      <c r="AZ66" s="915">
        <f t="shared" si="34"/>
        <v>0</v>
      </c>
      <c r="BA66" s="915">
        <f t="shared" si="35"/>
        <v>0</v>
      </c>
      <c r="BB66" s="915">
        <f t="shared" si="36"/>
        <v>0</v>
      </c>
      <c r="BC66" s="915">
        <f t="shared" si="37"/>
        <v>0</v>
      </c>
      <c r="BD66" s="915">
        <f t="shared" si="38"/>
        <v>0</v>
      </c>
      <c r="BE66" s="915">
        <f t="shared" si="39"/>
        <v>0</v>
      </c>
      <c r="BF66" s="915">
        <f t="shared" si="40"/>
        <v>0</v>
      </c>
      <c r="BG66" s="915">
        <f t="shared" si="41"/>
        <v>0</v>
      </c>
      <c r="BH66" s="915">
        <f t="shared" si="42"/>
        <v>0</v>
      </c>
      <c r="BI66" s="915">
        <f t="shared" si="43"/>
        <v>0</v>
      </c>
      <c r="BJ66" s="915">
        <f t="shared" si="44"/>
        <v>0</v>
      </c>
      <c r="BK66" s="915">
        <f t="shared" si="45"/>
        <v>0</v>
      </c>
      <c r="BL66" s="915">
        <f t="shared" si="46"/>
        <v>0</v>
      </c>
      <c r="BM66" s="915">
        <f>IF(AND($D66=$R$22,$E66=$T$8),$J66,0)</f>
        <v>0</v>
      </c>
      <c r="BN66" s="915">
        <f>IF(AND($D66=$R$22,$E66=$T$9),$J66,0)</f>
        <v>0</v>
      </c>
      <c r="BO66" s="915">
        <f>IF(AND($D66=$R$22,$E66=$T$10),$J66,0)</f>
        <v>0</v>
      </c>
      <c r="BP66" s="915">
        <f t="shared" si="50"/>
        <v>0</v>
      </c>
      <c r="BQ66" s="915">
        <f t="shared" si="51"/>
        <v>0</v>
      </c>
      <c r="BR66" s="915">
        <f t="shared" si="52"/>
        <v>0</v>
      </c>
      <c r="BS66" s="915">
        <f t="shared" si="53"/>
        <v>0</v>
      </c>
      <c r="BT66" s="915">
        <f t="shared" si="54"/>
        <v>0</v>
      </c>
      <c r="BU66" s="915">
        <f t="shared" si="55"/>
        <v>0</v>
      </c>
      <c r="BV66" s="915">
        <f t="shared" si="56"/>
        <v>0</v>
      </c>
      <c r="BW66" s="915">
        <f t="shared" si="57"/>
        <v>0</v>
      </c>
      <c r="BX66" s="915">
        <f t="shared" si="58"/>
        <v>0</v>
      </c>
      <c r="BY66" s="915">
        <f t="shared" si="59"/>
        <v>0</v>
      </c>
      <c r="BZ66" s="915">
        <f t="shared" si="60"/>
        <v>0</v>
      </c>
      <c r="CA66" s="915">
        <f t="shared" si="61"/>
        <v>0</v>
      </c>
      <c r="CB66" s="915">
        <f t="shared" si="62"/>
        <v>0</v>
      </c>
      <c r="CC66" s="915">
        <f t="shared" si="63"/>
        <v>8.48</v>
      </c>
      <c r="CD66" s="915">
        <f t="shared" si="64"/>
        <v>0</v>
      </c>
      <c r="CF66" s="533"/>
      <c r="CI66" s="534"/>
    </row>
    <row r="67" spans="1:87" ht="14.1" customHeight="1" thickBot="1" x14ac:dyDescent="0.25">
      <c r="A67" s="497">
        <v>60</v>
      </c>
      <c r="B67" s="1423"/>
      <c r="C67" s="1424"/>
      <c r="D67" s="138">
        <v>20</v>
      </c>
      <c r="E67" s="138" t="s">
        <v>170</v>
      </c>
      <c r="F67" s="139" t="s">
        <v>2544</v>
      </c>
      <c r="G67" s="139" t="s">
        <v>2542</v>
      </c>
      <c r="H67" s="100">
        <v>8</v>
      </c>
      <c r="I67" s="119">
        <f t="shared" ref="I67" si="77">IF(ISTEXT(K67),0,StateTaxSRL*G67*H67)</f>
        <v>0.48</v>
      </c>
      <c r="J67" s="90">
        <f t="shared" ref="J67" si="78">(G67*H67)+I67</f>
        <v>8.48</v>
      </c>
      <c r="K67" s="51"/>
      <c r="N67" s="951">
        <f>CD6</f>
        <v>8.48</v>
      </c>
      <c r="O67" s="879" t="str">
        <f>"Other for " &amp; TabName20</f>
        <v>Other for Phase 20</v>
      </c>
      <c r="P67" s="949" t="s">
        <v>2306</v>
      </c>
      <c r="W67" s="915">
        <f t="shared" si="5"/>
        <v>0</v>
      </c>
      <c r="X67" s="915">
        <f t="shared" si="6"/>
        <v>0</v>
      </c>
      <c r="Y67" s="915">
        <f t="shared" si="7"/>
        <v>0</v>
      </c>
      <c r="Z67" s="915">
        <f t="shared" si="8"/>
        <v>0</v>
      </c>
      <c r="AA67" s="915">
        <f t="shared" si="9"/>
        <v>0</v>
      </c>
      <c r="AB67" s="915">
        <f t="shared" si="10"/>
        <v>0</v>
      </c>
      <c r="AC67" s="915">
        <f t="shared" si="11"/>
        <v>0</v>
      </c>
      <c r="AD67" s="915">
        <f t="shared" si="12"/>
        <v>0</v>
      </c>
      <c r="AE67" s="915">
        <f t="shared" si="13"/>
        <v>0</v>
      </c>
      <c r="AF67" s="915">
        <f t="shared" si="14"/>
        <v>0</v>
      </c>
      <c r="AG67" s="915">
        <f t="shared" si="15"/>
        <v>0</v>
      </c>
      <c r="AH67" s="915">
        <f t="shared" si="16"/>
        <v>0</v>
      </c>
      <c r="AI67" s="915">
        <f t="shared" si="17"/>
        <v>0</v>
      </c>
      <c r="AJ67" s="915">
        <f t="shared" si="18"/>
        <v>0</v>
      </c>
      <c r="AK67" s="915">
        <f t="shared" si="19"/>
        <v>0</v>
      </c>
      <c r="AL67" s="915">
        <f t="shared" si="20"/>
        <v>0</v>
      </c>
      <c r="AM67" s="915">
        <f t="shared" si="21"/>
        <v>0</v>
      </c>
      <c r="AN67" s="915">
        <f t="shared" si="22"/>
        <v>0</v>
      </c>
      <c r="AO67" s="915">
        <f t="shared" si="23"/>
        <v>0</v>
      </c>
      <c r="AP67" s="915">
        <f t="shared" si="24"/>
        <v>0</v>
      </c>
      <c r="AQ67" s="915">
        <f t="shared" si="25"/>
        <v>0</v>
      </c>
      <c r="AR67" s="915">
        <f t="shared" si="26"/>
        <v>0</v>
      </c>
      <c r="AS67" s="915">
        <f t="shared" si="27"/>
        <v>0</v>
      </c>
      <c r="AT67" s="915">
        <f t="shared" si="28"/>
        <v>0</v>
      </c>
      <c r="AU67" s="915">
        <f t="shared" si="29"/>
        <v>0</v>
      </c>
      <c r="AV67" s="915">
        <f t="shared" si="30"/>
        <v>0</v>
      </c>
      <c r="AW67" s="915">
        <f t="shared" si="31"/>
        <v>0</v>
      </c>
      <c r="AX67" s="915">
        <f t="shared" si="32"/>
        <v>0</v>
      </c>
      <c r="AY67" s="915">
        <f t="shared" si="33"/>
        <v>0</v>
      </c>
      <c r="AZ67" s="915">
        <f t="shared" si="34"/>
        <v>0</v>
      </c>
      <c r="BA67" s="915">
        <f t="shared" si="35"/>
        <v>0</v>
      </c>
      <c r="BB67" s="915">
        <f t="shared" si="36"/>
        <v>0</v>
      </c>
      <c r="BC67" s="915">
        <f t="shared" si="37"/>
        <v>0</v>
      </c>
      <c r="BD67" s="915">
        <f>IF(AND($D67=$R$19,$E67=$T$8),$J67,0)</f>
        <v>0</v>
      </c>
      <c r="BE67" s="915">
        <f>IF(AND($D67=$R$19,$E67=$T$9),$J67,0)</f>
        <v>0</v>
      </c>
      <c r="BF67" s="915">
        <f>IF(AND($D67=$R$19,$E67=$T$10),$J67,0)</f>
        <v>0</v>
      </c>
      <c r="BG67" s="915">
        <f t="shared" si="41"/>
        <v>0</v>
      </c>
      <c r="BH67" s="915">
        <f t="shared" si="42"/>
        <v>0</v>
      </c>
      <c r="BI67" s="915">
        <f t="shared" si="43"/>
        <v>0</v>
      </c>
      <c r="BJ67" s="915">
        <f t="shared" si="44"/>
        <v>0</v>
      </c>
      <c r="BK67" s="915">
        <f t="shared" si="45"/>
        <v>0</v>
      </c>
      <c r="BL67" s="915">
        <f t="shared" si="46"/>
        <v>0</v>
      </c>
      <c r="BM67" s="915">
        <f t="shared" si="47"/>
        <v>0</v>
      </c>
      <c r="BN67" s="915">
        <f t="shared" si="48"/>
        <v>0</v>
      </c>
      <c r="BO67" s="915">
        <f t="shared" si="49"/>
        <v>0</v>
      </c>
      <c r="BP67" s="915">
        <f>IF(AND($D67=$R$23,$E67=$T$8),$J67,0)</f>
        <v>0</v>
      </c>
      <c r="BQ67" s="915">
        <f>IF(AND($D67=$R$23,$E67=$T$9),$J67,0)</f>
        <v>0</v>
      </c>
      <c r="BR67" s="915">
        <f>IF(AND($D67=$R$23,$E67=$T$10),$J67,0)</f>
        <v>0</v>
      </c>
      <c r="BS67" s="915">
        <f t="shared" si="53"/>
        <v>0</v>
      </c>
      <c r="BT67" s="915">
        <f t="shared" si="54"/>
        <v>0</v>
      </c>
      <c r="BU67" s="915">
        <f t="shared" si="55"/>
        <v>0</v>
      </c>
      <c r="BV67" s="915">
        <f t="shared" si="56"/>
        <v>0</v>
      </c>
      <c r="BW67" s="915">
        <f t="shared" si="57"/>
        <v>0</v>
      </c>
      <c r="BX67" s="915">
        <f t="shared" si="58"/>
        <v>0</v>
      </c>
      <c r="BY67" s="915">
        <f t="shared" si="59"/>
        <v>0</v>
      </c>
      <c r="BZ67" s="915">
        <f t="shared" si="60"/>
        <v>0</v>
      </c>
      <c r="CA67" s="915">
        <f t="shared" si="61"/>
        <v>0</v>
      </c>
      <c r="CB67" s="915">
        <f t="shared" si="62"/>
        <v>0</v>
      </c>
      <c r="CC67" s="915">
        <f t="shared" si="63"/>
        <v>0</v>
      </c>
      <c r="CD67" s="915">
        <f t="shared" si="64"/>
        <v>8.48</v>
      </c>
      <c r="CF67" s="533"/>
      <c r="CI67" s="534"/>
    </row>
    <row r="68" spans="1:87" ht="14.25" thickTop="1" thickBot="1" x14ac:dyDescent="0.25">
      <c r="A68" s="96"/>
      <c r="B68" s="1429"/>
      <c r="C68" s="1430"/>
      <c r="D68" s="101"/>
      <c r="E68" s="101"/>
      <c r="F68" s="97"/>
      <c r="G68" s="97"/>
      <c r="H68" s="97"/>
      <c r="I68" s="108">
        <f>SUM(I8:I67)</f>
        <v>28.800000000000022</v>
      </c>
      <c r="J68" s="98">
        <f>SUM(J8:J67)</f>
        <v>508.80000000000041</v>
      </c>
      <c r="K68" s="53"/>
      <c r="W68" s="915">
        <f t="shared" si="5"/>
        <v>0</v>
      </c>
      <c r="X68" s="915">
        <f t="shared" si="6"/>
        <v>0</v>
      </c>
      <c r="Y68" s="915">
        <f t="shared" si="7"/>
        <v>0</v>
      </c>
      <c r="Z68" s="915">
        <f t="shared" si="8"/>
        <v>0</v>
      </c>
      <c r="AA68" s="915">
        <f t="shared" si="9"/>
        <v>0</v>
      </c>
      <c r="AB68" s="915">
        <f t="shared" si="10"/>
        <v>0</v>
      </c>
      <c r="AC68" s="915">
        <f t="shared" si="11"/>
        <v>0</v>
      </c>
      <c r="AD68" s="915">
        <f t="shared" si="12"/>
        <v>0</v>
      </c>
      <c r="AE68" s="915">
        <f t="shared" si="13"/>
        <v>0</v>
      </c>
      <c r="AF68" s="915">
        <f t="shared" si="14"/>
        <v>0</v>
      </c>
      <c r="AG68" s="915">
        <f t="shared" si="15"/>
        <v>0</v>
      </c>
      <c r="AH68" s="915">
        <f t="shared" si="16"/>
        <v>0</v>
      </c>
      <c r="AI68" s="915">
        <f t="shared" si="17"/>
        <v>0</v>
      </c>
      <c r="AJ68" s="915">
        <f t="shared" si="18"/>
        <v>0</v>
      </c>
      <c r="AK68" s="915">
        <f t="shared" si="19"/>
        <v>0</v>
      </c>
      <c r="AL68" s="915">
        <f t="shared" si="20"/>
        <v>0</v>
      </c>
      <c r="AM68" s="915">
        <f t="shared" si="21"/>
        <v>0</v>
      </c>
      <c r="AN68" s="915">
        <f t="shared" si="22"/>
        <v>0</v>
      </c>
      <c r="AO68" s="915">
        <f t="shared" si="23"/>
        <v>0</v>
      </c>
      <c r="AP68" s="915">
        <f t="shared" si="24"/>
        <v>0</v>
      </c>
      <c r="AQ68" s="915">
        <f t="shared" si="25"/>
        <v>0</v>
      </c>
      <c r="AR68" s="915">
        <f t="shared" si="26"/>
        <v>0</v>
      </c>
      <c r="AS68" s="915">
        <f t="shared" si="27"/>
        <v>0</v>
      </c>
      <c r="AT68" s="915">
        <f t="shared" si="28"/>
        <v>0</v>
      </c>
      <c r="AU68" s="915">
        <f t="shared" si="29"/>
        <v>0</v>
      </c>
      <c r="AV68" s="915">
        <f t="shared" si="30"/>
        <v>0</v>
      </c>
      <c r="AW68" s="915">
        <f t="shared" si="31"/>
        <v>0</v>
      </c>
      <c r="AX68" s="915">
        <f t="shared" si="32"/>
        <v>0</v>
      </c>
      <c r="AY68" s="915">
        <f t="shared" si="33"/>
        <v>0</v>
      </c>
      <c r="AZ68" s="915">
        <f t="shared" si="34"/>
        <v>0</v>
      </c>
      <c r="BA68" s="915">
        <f t="shared" si="35"/>
        <v>0</v>
      </c>
      <c r="BB68" s="915">
        <f t="shared" si="36"/>
        <v>0</v>
      </c>
      <c r="BC68" s="915">
        <f t="shared" si="37"/>
        <v>0</v>
      </c>
      <c r="BD68" s="915">
        <f t="shared" si="38"/>
        <v>0</v>
      </c>
      <c r="BE68" s="915">
        <f t="shared" si="39"/>
        <v>0</v>
      </c>
      <c r="BF68" s="915">
        <f t="shared" si="40"/>
        <v>0</v>
      </c>
      <c r="BG68" s="915">
        <f>IF(AND($D68=$R$20,$E68=$T$8),$J68,0)</f>
        <v>0</v>
      </c>
      <c r="BH68" s="915">
        <f>IF(AND($D68=$R$20,$E68=$T$9),$J68,0)</f>
        <v>0</v>
      </c>
      <c r="BI68" s="915">
        <f>IF(AND($D68=$R$20,$E68=$T$10),$J68,0)</f>
        <v>0</v>
      </c>
      <c r="BJ68" s="915">
        <f t="shared" si="44"/>
        <v>0</v>
      </c>
      <c r="BK68" s="915">
        <f t="shared" si="45"/>
        <v>0</v>
      </c>
      <c r="BL68" s="915">
        <f t="shared" si="46"/>
        <v>0</v>
      </c>
      <c r="BM68" s="915">
        <f t="shared" si="47"/>
        <v>0</v>
      </c>
      <c r="BN68" s="915">
        <f t="shared" si="48"/>
        <v>0</v>
      </c>
      <c r="BO68" s="915">
        <f t="shared" si="49"/>
        <v>0</v>
      </c>
      <c r="BP68" s="915">
        <f t="shared" si="50"/>
        <v>0</v>
      </c>
      <c r="BQ68" s="915">
        <f t="shared" si="51"/>
        <v>0</v>
      </c>
      <c r="BR68" s="915">
        <f t="shared" si="52"/>
        <v>0</v>
      </c>
      <c r="BS68" s="915">
        <f t="shared" si="53"/>
        <v>0</v>
      </c>
      <c r="BT68" s="915">
        <f t="shared" si="54"/>
        <v>0</v>
      </c>
      <c r="BU68" s="915">
        <f t="shared" si="55"/>
        <v>0</v>
      </c>
      <c r="BV68" s="915">
        <f>IF(AND($D68=$R$25,$E68=$T$8),$J68,0)</f>
        <v>0</v>
      </c>
      <c r="BW68" s="915">
        <f>IF(AND($D68=$R$25,$E68=$T$9),$J68,0)</f>
        <v>0</v>
      </c>
      <c r="BX68" s="915">
        <f>IF(AND($D68=$R$25,$E68=$T$10),$J68,0)</f>
        <v>0</v>
      </c>
      <c r="BY68" s="915">
        <f t="shared" si="59"/>
        <v>0</v>
      </c>
      <c r="BZ68" s="915">
        <f t="shared" si="60"/>
        <v>0</v>
      </c>
      <c r="CA68" s="915">
        <f t="shared" si="61"/>
        <v>0</v>
      </c>
      <c r="CB68" s="915">
        <f t="shared" si="62"/>
        <v>0</v>
      </c>
      <c r="CC68" s="915">
        <f t="shared" si="63"/>
        <v>0</v>
      </c>
      <c r="CD68" s="915">
        <f t="shared" si="64"/>
        <v>0</v>
      </c>
      <c r="CF68" s="535"/>
      <c r="CG68" s="536"/>
      <c r="CH68" s="536"/>
      <c r="CI68" s="537"/>
    </row>
    <row r="69" spans="1:87" x14ac:dyDescent="0.2">
      <c r="B69" s="29"/>
      <c r="C69" s="51"/>
      <c r="D69" s="51"/>
      <c r="E69" s="51"/>
      <c r="K69" s="53"/>
    </row>
    <row r="70" spans="1:87" x14ac:dyDescent="0.2">
      <c r="B70" s="29"/>
      <c r="C70" s="51"/>
      <c r="D70" s="51"/>
      <c r="E70" s="51"/>
      <c r="K70" s="53"/>
    </row>
    <row r="71" spans="1:87" x14ac:dyDescent="0.2">
      <c r="B71" s="29"/>
      <c r="C71" s="51"/>
      <c r="D71" s="51"/>
      <c r="E71" s="51"/>
      <c r="K71" s="53"/>
    </row>
    <row r="72" spans="1:87" x14ac:dyDescent="0.2">
      <c r="B72" s="29"/>
      <c r="C72" s="51"/>
      <c r="D72" s="51"/>
      <c r="E72" s="51"/>
      <c r="K72" s="53"/>
    </row>
    <row r="73" spans="1:87" x14ac:dyDescent="0.2">
      <c r="B73" s="29"/>
      <c r="C73" s="51"/>
      <c r="D73" s="51"/>
      <c r="E73" s="51"/>
      <c r="K73" s="53"/>
    </row>
    <row r="74" spans="1:87" x14ac:dyDescent="0.2">
      <c r="B74" s="29"/>
      <c r="C74" s="51"/>
      <c r="D74" s="51"/>
      <c r="E74" s="51"/>
      <c r="K74" s="53"/>
    </row>
    <row r="75" spans="1:87" x14ac:dyDescent="0.2">
      <c r="B75" s="29"/>
      <c r="C75" s="51"/>
      <c r="D75" s="51"/>
      <c r="E75" s="51"/>
      <c r="K75" s="53"/>
    </row>
    <row r="76" spans="1:87" x14ac:dyDescent="0.2">
      <c r="B76" s="29"/>
      <c r="C76" s="51"/>
      <c r="D76" s="51"/>
      <c r="E76" s="51"/>
    </row>
    <row r="77" spans="1:87" x14ac:dyDescent="0.2">
      <c r="B77" s="29"/>
      <c r="C77" s="51"/>
      <c r="D77" s="51"/>
      <c r="E77" s="51"/>
    </row>
    <row r="78" spans="1:87" x14ac:dyDescent="0.2">
      <c r="B78" s="29"/>
      <c r="C78" s="51"/>
      <c r="D78" s="51"/>
      <c r="E78" s="51"/>
    </row>
    <row r="79" spans="1:87" x14ac:dyDescent="0.2">
      <c r="B79" s="29"/>
      <c r="C79" s="51"/>
      <c r="D79" s="51"/>
      <c r="E79" s="51"/>
    </row>
    <row r="80" spans="1:87" x14ac:dyDescent="0.2">
      <c r="B80" s="29"/>
      <c r="C80" s="51"/>
      <c r="D80" s="51"/>
      <c r="E80" s="51"/>
    </row>
    <row r="81" spans="2:5" x14ac:dyDescent="0.2">
      <c r="B81" s="29"/>
      <c r="C81" s="51"/>
      <c r="D81" s="51"/>
      <c r="E81" s="51"/>
    </row>
    <row r="82" spans="2:5" x14ac:dyDescent="0.2">
      <c r="B82" s="29"/>
      <c r="C82" s="51"/>
      <c r="D82" s="51"/>
      <c r="E82" s="51"/>
    </row>
    <row r="83" spans="2:5" x14ac:dyDescent="0.2">
      <c r="B83" s="29"/>
      <c r="C83" s="51"/>
      <c r="D83" s="51"/>
      <c r="E83" s="51"/>
    </row>
    <row r="84" spans="2:5" x14ac:dyDescent="0.2">
      <c r="B84" s="29"/>
      <c r="C84" s="51"/>
      <c r="D84" s="51"/>
      <c r="E84" s="51"/>
    </row>
    <row r="85" spans="2:5" x14ac:dyDescent="0.2">
      <c r="B85" s="29"/>
      <c r="C85" s="51"/>
      <c r="D85" s="51"/>
      <c r="E85" s="51"/>
    </row>
    <row r="86" spans="2:5" x14ac:dyDescent="0.2">
      <c r="B86" s="29"/>
      <c r="C86" s="51"/>
      <c r="D86" s="51"/>
      <c r="E86" s="51"/>
    </row>
    <row r="87" spans="2:5" x14ac:dyDescent="0.2">
      <c r="B87" s="29"/>
      <c r="C87" s="51"/>
      <c r="D87" s="51"/>
      <c r="E87" s="51"/>
    </row>
    <row r="88" spans="2:5" x14ac:dyDescent="0.2">
      <c r="B88" s="29"/>
      <c r="C88" s="51"/>
      <c r="D88" s="51"/>
      <c r="E88" s="51"/>
    </row>
    <row r="89" spans="2:5" x14ac:dyDescent="0.2">
      <c r="B89" s="29"/>
      <c r="C89" s="51"/>
      <c r="D89" s="51"/>
      <c r="E89" s="51"/>
    </row>
    <row r="90" spans="2:5" x14ac:dyDescent="0.2">
      <c r="B90" s="29"/>
      <c r="C90" s="51"/>
      <c r="D90" s="51"/>
      <c r="E90" s="51"/>
    </row>
    <row r="91" spans="2:5" x14ac:dyDescent="0.2">
      <c r="B91" s="29"/>
      <c r="C91" s="51"/>
      <c r="D91" s="51"/>
      <c r="E91" s="51"/>
    </row>
    <row r="92" spans="2:5" x14ac:dyDescent="0.2">
      <c r="B92" s="29"/>
      <c r="C92" s="51"/>
      <c r="D92" s="51"/>
      <c r="E92" s="51"/>
    </row>
    <row r="93" spans="2:5" x14ac:dyDescent="0.2">
      <c r="B93" s="29"/>
      <c r="C93" s="51"/>
      <c r="D93" s="51"/>
      <c r="E93" s="51"/>
    </row>
    <row r="94" spans="2:5" x14ac:dyDescent="0.2">
      <c r="B94" s="29"/>
      <c r="C94" s="51"/>
      <c r="D94" s="51"/>
      <c r="E94" s="51"/>
    </row>
    <row r="95" spans="2:5" x14ac:dyDescent="0.2">
      <c r="B95" s="29"/>
      <c r="C95" s="51"/>
      <c r="D95" s="51"/>
      <c r="E95" s="51"/>
    </row>
    <row r="96" spans="2:5" x14ac:dyDescent="0.2">
      <c r="B96" s="29"/>
      <c r="C96" s="51"/>
      <c r="D96" s="51"/>
      <c r="E96" s="51"/>
    </row>
    <row r="97" spans="2:5" x14ac:dyDescent="0.2">
      <c r="B97" s="29"/>
      <c r="C97" s="51"/>
      <c r="D97" s="51"/>
      <c r="E97" s="51"/>
    </row>
    <row r="98" spans="2:5" x14ac:dyDescent="0.2">
      <c r="B98" s="29"/>
      <c r="C98" s="103"/>
      <c r="D98" s="51"/>
      <c r="E98" s="51"/>
    </row>
    <row r="99" spans="2:5" x14ac:dyDescent="0.2">
      <c r="B99" s="29"/>
      <c r="C99" s="51"/>
      <c r="D99" s="51"/>
      <c r="E99" s="51"/>
    </row>
    <row r="100" spans="2:5" x14ac:dyDescent="0.2">
      <c r="B100" s="29"/>
      <c r="C100" s="51"/>
      <c r="D100" s="51"/>
      <c r="E100" s="51"/>
    </row>
    <row r="101" spans="2:5" x14ac:dyDescent="0.2">
      <c r="B101" s="29"/>
      <c r="C101" s="51"/>
      <c r="D101" s="51"/>
      <c r="E101" s="51"/>
    </row>
    <row r="102" spans="2:5" x14ac:dyDescent="0.2">
      <c r="B102" s="29"/>
      <c r="C102" s="51"/>
      <c r="D102" s="51"/>
      <c r="E102" s="51"/>
    </row>
    <row r="103" spans="2:5" x14ac:dyDescent="0.2">
      <c r="B103" s="29"/>
      <c r="C103" s="51"/>
      <c r="D103" s="51"/>
      <c r="E103" s="51"/>
    </row>
    <row r="104" spans="2:5" x14ac:dyDescent="0.2">
      <c r="B104" s="29"/>
      <c r="C104" s="51"/>
      <c r="D104" s="51"/>
      <c r="E104" s="51"/>
    </row>
    <row r="105" spans="2:5" x14ac:dyDescent="0.2">
      <c r="B105" s="29"/>
      <c r="C105" s="51"/>
      <c r="D105" s="51"/>
      <c r="E105" s="51"/>
    </row>
    <row r="106" spans="2:5" x14ac:dyDescent="0.2">
      <c r="B106" s="29"/>
      <c r="C106" s="51"/>
      <c r="D106" s="51"/>
      <c r="E106" s="51"/>
    </row>
    <row r="107" spans="2:5" x14ac:dyDescent="0.2">
      <c r="B107" s="29"/>
      <c r="C107" s="51"/>
      <c r="D107" s="51"/>
      <c r="E107" s="51"/>
    </row>
    <row r="108" spans="2:5" x14ac:dyDescent="0.2">
      <c r="B108" s="29"/>
      <c r="C108" s="51"/>
      <c r="D108" s="51"/>
      <c r="E108" s="51"/>
    </row>
    <row r="109" spans="2:5" x14ac:dyDescent="0.2">
      <c r="B109" s="29"/>
      <c r="C109" s="51"/>
      <c r="D109" s="51"/>
      <c r="E109" s="51"/>
    </row>
    <row r="110" spans="2:5" x14ac:dyDescent="0.2">
      <c r="B110" s="29"/>
      <c r="C110" s="51"/>
      <c r="D110" s="51"/>
      <c r="E110" s="51"/>
    </row>
    <row r="111" spans="2:5" x14ac:dyDescent="0.2">
      <c r="B111" s="29"/>
      <c r="C111" s="51"/>
      <c r="D111" s="51"/>
      <c r="E111" s="51"/>
    </row>
    <row r="112" spans="2:5" x14ac:dyDescent="0.2">
      <c r="B112" s="29"/>
      <c r="C112" s="51"/>
      <c r="D112" s="51"/>
      <c r="E112" s="51"/>
    </row>
    <row r="113" spans="2:5" x14ac:dyDescent="0.2">
      <c r="B113" s="29"/>
      <c r="C113" s="51"/>
      <c r="D113" s="51"/>
      <c r="E113" s="51"/>
    </row>
    <row r="114" spans="2:5" x14ac:dyDescent="0.2">
      <c r="B114" s="29"/>
      <c r="C114" s="51"/>
      <c r="D114" s="51"/>
      <c r="E114" s="51"/>
    </row>
    <row r="115" spans="2:5" x14ac:dyDescent="0.2">
      <c r="B115" s="29"/>
      <c r="C115" s="51"/>
      <c r="D115" s="51"/>
      <c r="E115" s="51"/>
    </row>
    <row r="116" spans="2:5" x14ac:dyDescent="0.2">
      <c r="B116" s="29"/>
      <c r="C116" s="51"/>
      <c r="D116" s="51"/>
      <c r="E116" s="51"/>
    </row>
    <row r="117" spans="2:5" x14ac:dyDescent="0.2">
      <c r="B117" s="29"/>
      <c r="C117" s="51"/>
      <c r="D117" s="51"/>
      <c r="E117" s="51"/>
    </row>
    <row r="118" spans="2:5" x14ac:dyDescent="0.2">
      <c r="B118" s="29"/>
      <c r="C118" s="51"/>
      <c r="D118" s="51"/>
      <c r="E118" s="51"/>
    </row>
    <row r="119" spans="2:5" x14ac:dyDescent="0.2">
      <c r="B119" s="29"/>
      <c r="C119" s="51"/>
      <c r="D119" s="51"/>
      <c r="E119" s="51"/>
    </row>
    <row r="120" spans="2:5" x14ac:dyDescent="0.2">
      <c r="B120" s="29"/>
      <c r="C120" s="51"/>
      <c r="D120" s="51"/>
      <c r="E120" s="51"/>
    </row>
    <row r="121" spans="2:5" x14ac:dyDescent="0.2">
      <c r="B121" s="29"/>
      <c r="C121" s="51"/>
      <c r="D121" s="51"/>
      <c r="E121" s="51"/>
    </row>
    <row r="122" spans="2:5" x14ac:dyDescent="0.2">
      <c r="B122" s="29"/>
      <c r="C122" s="51"/>
      <c r="D122" s="51"/>
      <c r="E122" s="51"/>
    </row>
    <row r="123" spans="2:5" x14ac:dyDescent="0.2">
      <c r="B123" s="29"/>
      <c r="C123" s="51"/>
      <c r="D123" s="51"/>
      <c r="E123" s="51"/>
    </row>
    <row r="124" spans="2:5" x14ac:dyDescent="0.2">
      <c r="B124" s="29"/>
      <c r="C124" s="51"/>
      <c r="D124" s="51"/>
      <c r="E124" s="51"/>
    </row>
    <row r="125" spans="2:5" x14ac:dyDescent="0.2">
      <c r="B125" s="29"/>
      <c r="C125" s="51"/>
      <c r="D125" s="51"/>
      <c r="E125" s="51"/>
    </row>
    <row r="126" spans="2:5" x14ac:dyDescent="0.2">
      <c r="B126" s="29"/>
      <c r="C126" s="51"/>
      <c r="D126" s="51"/>
      <c r="E126" s="51"/>
    </row>
    <row r="127" spans="2:5" x14ac:dyDescent="0.2">
      <c r="B127" s="29"/>
      <c r="C127" s="51"/>
      <c r="D127" s="51"/>
      <c r="E127" s="51"/>
    </row>
    <row r="128" spans="2:5" x14ac:dyDescent="0.2">
      <c r="B128" s="29"/>
      <c r="C128" s="51"/>
      <c r="D128" s="51"/>
      <c r="E128" s="51"/>
    </row>
    <row r="129" spans="2:5" x14ac:dyDescent="0.2">
      <c r="B129" s="29"/>
      <c r="C129" s="51"/>
      <c r="D129" s="51"/>
      <c r="E129" s="51"/>
    </row>
    <row r="130" spans="2:5" x14ac:dyDescent="0.2">
      <c r="B130" s="29"/>
      <c r="C130" s="51"/>
      <c r="D130" s="51"/>
      <c r="E130" s="51"/>
    </row>
    <row r="131" spans="2:5" x14ac:dyDescent="0.2">
      <c r="B131" s="29"/>
      <c r="C131" s="51"/>
      <c r="D131" s="51"/>
      <c r="E131" s="51"/>
    </row>
    <row r="132" spans="2:5" x14ac:dyDescent="0.2">
      <c r="B132" s="29"/>
      <c r="C132" s="51"/>
      <c r="D132" s="51"/>
      <c r="E132" s="51"/>
    </row>
    <row r="133" spans="2:5" x14ac:dyDescent="0.2">
      <c r="B133" s="29"/>
      <c r="C133" s="51"/>
      <c r="D133" s="51"/>
      <c r="E133" s="51"/>
    </row>
    <row r="134" spans="2:5" x14ac:dyDescent="0.2">
      <c r="B134" s="29"/>
      <c r="C134" s="51"/>
      <c r="D134" s="51"/>
      <c r="E134" s="51"/>
    </row>
    <row r="135" spans="2:5" x14ac:dyDescent="0.2">
      <c r="B135" s="29"/>
      <c r="C135" s="51"/>
      <c r="D135" s="51"/>
      <c r="E135" s="51"/>
    </row>
    <row r="136" spans="2:5" x14ac:dyDescent="0.2">
      <c r="B136" s="29"/>
      <c r="C136" s="51"/>
      <c r="D136" s="51"/>
      <c r="E136" s="51"/>
    </row>
    <row r="137" spans="2:5" x14ac:dyDescent="0.2">
      <c r="B137" s="29"/>
      <c r="C137" s="51"/>
      <c r="D137" s="51"/>
      <c r="E137" s="51"/>
    </row>
    <row r="138" spans="2:5" x14ac:dyDescent="0.2">
      <c r="B138" s="29"/>
      <c r="C138" s="51"/>
      <c r="D138" s="51"/>
      <c r="E138" s="51"/>
    </row>
    <row r="139" spans="2:5" x14ac:dyDescent="0.2">
      <c r="B139" s="29"/>
      <c r="C139" s="51"/>
      <c r="D139" s="51"/>
      <c r="E139" s="51"/>
    </row>
    <row r="140" spans="2:5" x14ac:dyDescent="0.2">
      <c r="B140" s="29"/>
      <c r="C140" s="51"/>
      <c r="D140" s="51"/>
      <c r="E140" s="51"/>
    </row>
    <row r="141" spans="2:5" x14ac:dyDescent="0.2">
      <c r="B141" s="29"/>
      <c r="C141" s="51"/>
      <c r="D141" s="51"/>
      <c r="E141" s="51"/>
    </row>
    <row r="142" spans="2:5" x14ac:dyDescent="0.2">
      <c r="B142" s="29"/>
      <c r="C142" s="51"/>
      <c r="D142" s="51"/>
      <c r="E142" s="51"/>
    </row>
    <row r="143" spans="2:5" x14ac:dyDescent="0.2">
      <c r="B143" s="29"/>
      <c r="C143" s="51"/>
      <c r="D143" s="51"/>
      <c r="E143" s="51"/>
    </row>
    <row r="144" spans="2:5" x14ac:dyDescent="0.2">
      <c r="B144" s="29"/>
      <c r="C144" s="51"/>
      <c r="D144" s="51"/>
      <c r="E144" s="51"/>
    </row>
    <row r="145" spans="2:5" x14ac:dyDescent="0.2">
      <c r="B145" s="29"/>
      <c r="C145" s="51"/>
      <c r="D145" s="51"/>
      <c r="E145" s="51"/>
    </row>
    <row r="146" spans="2:5" x14ac:dyDescent="0.2">
      <c r="B146" s="29"/>
      <c r="C146" s="51"/>
      <c r="D146" s="51"/>
      <c r="E146" s="51"/>
    </row>
    <row r="147" spans="2:5" x14ac:dyDescent="0.2">
      <c r="B147" s="29"/>
      <c r="C147" s="51"/>
      <c r="D147" s="51"/>
      <c r="E147" s="51"/>
    </row>
    <row r="148" spans="2:5" x14ac:dyDescent="0.2">
      <c r="B148" s="29"/>
      <c r="C148" s="51"/>
      <c r="D148" s="51"/>
      <c r="E148" s="51"/>
    </row>
    <row r="149" spans="2:5" x14ac:dyDescent="0.2">
      <c r="B149" s="29"/>
      <c r="C149" s="51"/>
      <c r="D149" s="51"/>
      <c r="E149" s="51"/>
    </row>
    <row r="150" spans="2:5" x14ac:dyDescent="0.2">
      <c r="B150" s="29"/>
      <c r="C150" s="51"/>
      <c r="D150" s="51"/>
      <c r="E150" s="51"/>
    </row>
    <row r="151" spans="2:5" x14ac:dyDescent="0.2">
      <c r="B151" s="29"/>
      <c r="C151" s="51"/>
      <c r="D151" s="51"/>
      <c r="E151" s="51"/>
    </row>
    <row r="152" spans="2:5" x14ac:dyDescent="0.2">
      <c r="B152" s="29"/>
      <c r="C152" s="51"/>
      <c r="D152" s="51"/>
      <c r="E152" s="51"/>
    </row>
    <row r="153" spans="2:5" x14ac:dyDescent="0.2">
      <c r="B153" s="29"/>
      <c r="C153" s="51"/>
      <c r="D153" s="51"/>
      <c r="E153" s="51"/>
    </row>
    <row r="154" spans="2:5" x14ac:dyDescent="0.2">
      <c r="B154" s="29"/>
      <c r="C154" s="51"/>
      <c r="D154" s="51"/>
      <c r="E154" s="51"/>
    </row>
    <row r="155" spans="2:5" x14ac:dyDescent="0.2">
      <c r="B155" s="29"/>
      <c r="C155" s="51"/>
      <c r="D155" s="51"/>
      <c r="E155" s="51"/>
    </row>
    <row r="156" spans="2:5" x14ac:dyDescent="0.2">
      <c r="B156" s="29"/>
      <c r="C156" s="51"/>
      <c r="D156" s="51"/>
      <c r="E156" s="51"/>
    </row>
    <row r="157" spans="2:5" x14ac:dyDescent="0.2">
      <c r="B157" s="29"/>
      <c r="C157" s="51"/>
      <c r="D157" s="51"/>
      <c r="E157" s="51"/>
    </row>
    <row r="158" spans="2:5" x14ac:dyDescent="0.2">
      <c r="B158" s="29"/>
      <c r="C158" s="51"/>
      <c r="D158" s="51"/>
      <c r="E158" s="51"/>
    </row>
    <row r="159" spans="2:5" x14ac:dyDescent="0.2">
      <c r="B159" s="29"/>
      <c r="C159" s="51"/>
      <c r="D159" s="51"/>
      <c r="E159" s="51"/>
    </row>
    <row r="160" spans="2:5" x14ac:dyDescent="0.2">
      <c r="B160" s="29"/>
      <c r="C160" s="51"/>
      <c r="D160" s="51"/>
      <c r="E160" s="51"/>
    </row>
    <row r="161" spans="2:5" x14ac:dyDescent="0.2">
      <c r="B161" s="29"/>
      <c r="C161" s="51"/>
      <c r="D161" s="51"/>
      <c r="E161" s="51"/>
    </row>
    <row r="162" spans="2:5" x14ac:dyDescent="0.2">
      <c r="B162" s="29"/>
      <c r="C162" s="51"/>
      <c r="D162" s="51"/>
      <c r="E162" s="51"/>
    </row>
    <row r="163" spans="2:5" x14ac:dyDescent="0.2">
      <c r="B163" s="29"/>
      <c r="C163" s="51"/>
      <c r="D163" s="51"/>
      <c r="E163" s="51"/>
    </row>
    <row r="164" spans="2:5" x14ac:dyDescent="0.2">
      <c r="B164" s="29"/>
      <c r="C164" s="51"/>
      <c r="D164" s="51"/>
      <c r="E164" s="51"/>
    </row>
    <row r="165" spans="2:5" x14ac:dyDescent="0.2">
      <c r="B165" s="29"/>
      <c r="C165" s="51"/>
      <c r="D165" s="51"/>
      <c r="E165" s="51"/>
    </row>
    <row r="166" spans="2:5" x14ac:dyDescent="0.2">
      <c r="B166" s="29"/>
      <c r="C166" s="51"/>
      <c r="D166" s="51"/>
      <c r="E166" s="51"/>
    </row>
    <row r="167" spans="2:5" x14ac:dyDescent="0.2">
      <c r="B167" s="29"/>
      <c r="C167" s="51"/>
      <c r="D167" s="51"/>
      <c r="E167" s="51"/>
    </row>
    <row r="168" spans="2:5" x14ac:dyDescent="0.2">
      <c r="B168" s="29"/>
      <c r="C168" s="51"/>
      <c r="D168" s="51"/>
      <c r="E168" s="51"/>
    </row>
    <row r="169" spans="2:5" x14ac:dyDescent="0.2">
      <c r="B169" s="29"/>
      <c r="C169" s="51"/>
      <c r="D169" s="51"/>
      <c r="E169" s="51"/>
    </row>
    <row r="170" spans="2:5" x14ac:dyDescent="0.2">
      <c r="B170" s="29"/>
      <c r="C170" s="51"/>
      <c r="D170" s="51"/>
      <c r="E170" s="51"/>
    </row>
    <row r="171" spans="2:5" x14ac:dyDescent="0.2">
      <c r="B171" s="29"/>
      <c r="C171" s="51"/>
      <c r="D171" s="51"/>
      <c r="E171" s="51"/>
    </row>
    <row r="172" spans="2:5" x14ac:dyDescent="0.2">
      <c r="B172" s="29"/>
      <c r="C172" s="51"/>
      <c r="D172" s="51"/>
      <c r="E172" s="51"/>
    </row>
    <row r="173" spans="2:5" x14ac:dyDescent="0.2">
      <c r="B173" s="29"/>
      <c r="C173" s="51"/>
      <c r="D173" s="51"/>
      <c r="E173" s="51"/>
    </row>
    <row r="174" spans="2:5" x14ac:dyDescent="0.2">
      <c r="B174" s="29"/>
      <c r="C174" s="51"/>
      <c r="D174" s="51"/>
      <c r="E174" s="51"/>
    </row>
    <row r="175" spans="2:5" x14ac:dyDescent="0.2">
      <c r="B175" s="29"/>
      <c r="C175" s="51"/>
      <c r="D175" s="51"/>
      <c r="E175" s="51"/>
    </row>
    <row r="176" spans="2:5" x14ac:dyDescent="0.2">
      <c r="B176" s="29"/>
      <c r="C176" s="51"/>
      <c r="D176" s="51"/>
      <c r="E176" s="51"/>
    </row>
    <row r="177" spans="2:5" x14ac:dyDescent="0.2">
      <c r="B177" s="29"/>
      <c r="C177" s="51"/>
      <c r="D177" s="51"/>
      <c r="E177" s="51"/>
    </row>
    <row r="178" spans="2:5" x14ac:dyDescent="0.2">
      <c r="B178" s="29"/>
      <c r="C178" s="51"/>
      <c r="D178" s="51"/>
      <c r="E178" s="51"/>
    </row>
    <row r="179" spans="2:5" x14ac:dyDescent="0.2">
      <c r="B179" s="29"/>
      <c r="C179" s="51"/>
      <c r="D179" s="51"/>
      <c r="E179" s="51"/>
    </row>
    <row r="180" spans="2:5" x14ac:dyDescent="0.2">
      <c r="B180" s="29"/>
      <c r="C180" s="51"/>
      <c r="D180" s="51"/>
      <c r="E180" s="51"/>
    </row>
    <row r="181" spans="2:5" x14ac:dyDescent="0.2">
      <c r="B181" s="29"/>
      <c r="C181" s="51"/>
      <c r="D181" s="51"/>
      <c r="E181" s="51"/>
    </row>
    <row r="182" spans="2:5" x14ac:dyDescent="0.2">
      <c r="B182" s="29"/>
      <c r="C182" s="51"/>
      <c r="D182" s="51"/>
      <c r="E182" s="51"/>
    </row>
    <row r="183" spans="2:5" x14ac:dyDescent="0.2">
      <c r="B183" s="29"/>
      <c r="C183" s="51"/>
      <c r="D183" s="51"/>
      <c r="E183" s="51"/>
    </row>
    <row r="184" spans="2:5" x14ac:dyDescent="0.2">
      <c r="B184" s="29"/>
      <c r="C184" s="51"/>
      <c r="D184" s="51"/>
      <c r="E184" s="51"/>
    </row>
    <row r="185" spans="2:5" x14ac:dyDescent="0.2">
      <c r="B185" s="29"/>
      <c r="C185" s="51"/>
      <c r="D185" s="51"/>
      <c r="E185" s="51"/>
    </row>
    <row r="186" spans="2:5" x14ac:dyDescent="0.2">
      <c r="B186" s="29"/>
      <c r="C186" s="51"/>
      <c r="D186" s="51"/>
      <c r="E186" s="51"/>
    </row>
    <row r="187" spans="2:5" x14ac:dyDescent="0.2">
      <c r="B187" s="29"/>
      <c r="C187" s="51"/>
      <c r="D187" s="51"/>
      <c r="E187" s="51"/>
    </row>
    <row r="188" spans="2:5" x14ac:dyDescent="0.2">
      <c r="B188" s="29"/>
      <c r="C188" s="51"/>
      <c r="D188" s="51"/>
      <c r="E188" s="51"/>
    </row>
    <row r="189" spans="2:5" x14ac:dyDescent="0.2">
      <c r="B189" s="29"/>
      <c r="C189" s="51"/>
      <c r="D189" s="51"/>
      <c r="E189" s="51"/>
    </row>
    <row r="190" spans="2:5" x14ac:dyDescent="0.2">
      <c r="B190" s="29"/>
      <c r="C190" s="51"/>
      <c r="D190" s="51"/>
      <c r="E190" s="51"/>
    </row>
    <row r="191" spans="2:5" x14ac:dyDescent="0.2">
      <c r="B191" s="29"/>
      <c r="C191" s="51"/>
      <c r="D191" s="51"/>
      <c r="E191" s="51"/>
    </row>
    <row r="192" spans="2:5" x14ac:dyDescent="0.2">
      <c r="B192" s="29"/>
      <c r="C192" s="51"/>
      <c r="D192" s="51"/>
      <c r="E192" s="51"/>
    </row>
    <row r="193" spans="2:5" x14ac:dyDescent="0.2">
      <c r="B193" s="29"/>
      <c r="C193" s="51"/>
      <c r="D193" s="51"/>
      <c r="E193" s="51"/>
    </row>
    <row r="194" spans="2:5" x14ac:dyDescent="0.2">
      <c r="B194" s="29"/>
      <c r="C194" s="51"/>
      <c r="D194" s="51"/>
      <c r="E194" s="51"/>
    </row>
    <row r="195" spans="2:5" x14ac:dyDescent="0.2">
      <c r="B195" s="29"/>
      <c r="C195" s="51"/>
      <c r="D195" s="51"/>
      <c r="E195" s="51"/>
    </row>
    <row r="196" spans="2:5" x14ac:dyDescent="0.2">
      <c r="B196" s="29"/>
      <c r="C196" s="51"/>
      <c r="D196" s="51"/>
      <c r="E196" s="51"/>
    </row>
  </sheetData>
  <sheetProtection algorithmName="SHA-512" hashValue="tzZEIv09kcsfSkHlohO6Blu2mtGEZObPxl964smP564HHP6m55Ow15kqjJWU85YOELrgKpN5mub0gGyRJq9cug==" saltValue="0KQ2MxHJjhbBYh065b8AEg==" spinCount="100000" sheet="1" formatRows="0"/>
  <protectedRanges>
    <protectedRange sqref="K1:K1048576" name="tax overdie"/>
    <protectedRange sqref="A8:H67" name="Data Entry"/>
    <protectedRange sqref="CF8:CI68" name="Notes"/>
  </protectedRanges>
  <dataConsolidate/>
  <mergeCells count="76">
    <mergeCell ref="B47:C47"/>
    <mergeCell ref="B48:C48"/>
    <mergeCell ref="B49:C49"/>
    <mergeCell ref="B42:C42"/>
    <mergeCell ref="B43:C43"/>
    <mergeCell ref="B44:C44"/>
    <mergeCell ref="B45:C45"/>
    <mergeCell ref="B46:C46"/>
    <mergeCell ref="B38:C38"/>
    <mergeCell ref="B35:C35"/>
    <mergeCell ref="B36:C36"/>
    <mergeCell ref="B40:C40"/>
    <mergeCell ref="B41:C41"/>
    <mergeCell ref="B68:C68"/>
    <mergeCell ref="B22:C22"/>
    <mergeCell ref="B18:C18"/>
    <mergeCell ref="B19:C19"/>
    <mergeCell ref="B29:C29"/>
    <mergeCell ref="B30:C30"/>
    <mergeCell ref="B23:C23"/>
    <mergeCell ref="B27:C27"/>
    <mergeCell ref="B28:C28"/>
    <mergeCell ref="B66:C66"/>
    <mergeCell ref="B67:C67"/>
    <mergeCell ref="B64:C64"/>
    <mergeCell ref="B65:C65"/>
    <mergeCell ref="B39:C39"/>
    <mergeCell ref="B63:C63"/>
    <mergeCell ref="B37:C37"/>
    <mergeCell ref="B32:C32"/>
    <mergeCell ref="B33:C33"/>
    <mergeCell ref="B34:C34"/>
    <mergeCell ref="A1:C1"/>
    <mergeCell ref="B10:C10"/>
    <mergeCell ref="B11:C11"/>
    <mergeCell ref="B9:C9"/>
    <mergeCell ref="A5:B5"/>
    <mergeCell ref="A6:A7"/>
    <mergeCell ref="B12:C12"/>
    <mergeCell ref="B8:C8"/>
    <mergeCell ref="A2:B2"/>
    <mergeCell ref="A3:B3"/>
    <mergeCell ref="A4:B4"/>
    <mergeCell ref="B25:C25"/>
    <mergeCell ref="B26:C26"/>
    <mergeCell ref="B6:C7"/>
    <mergeCell ref="B16:C16"/>
    <mergeCell ref="B17:C17"/>
    <mergeCell ref="B20:C20"/>
    <mergeCell ref="B21:C21"/>
    <mergeCell ref="B31:C31"/>
    <mergeCell ref="B13:C13"/>
    <mergeCell ref="B14:C14"/>
    <mergeCell ref="B15:C15"/>
    <mergeCell ref="B24:C24"/>
    <mergeCell ref="D6:D7"/>
    <mergeCell ref="I1:I5"/>
    <mergeCell ref="D1:G5"/>
    <mergeCell ref="K5:K7"/>
    <mergeCell ref="F6:F7"/>
    <mergeCell ref="G6:G7"/>
    <mergeCell ref="H6:H7"/>
    <mergeCell ref="E6:E7"/>
    <mergeCell ref="B50:C50"/>
    <mergeCell ref="B51:C51"/>
    <mergeCell ref="B52:C52"/>
    <mergeCell ref="B53:C53"/>
    <mergeCell ref="B54:C54"/>
    <mergeCell ref="B60:C60"/>
    <mergeCell ref="B61:C61"/>
    <mergeCell ref="B62:C62"/>
    <mergeCell ref="B55:C55"/>
    <mergeCell ref="B56:C56"/>
    <mergeCell ref="B57:C57"/>
    <mergeCell ref="B58:C58"/>
    <mergeCell ref="B59:C59"/>
  </mergeCells>
  <phoneticPr fontId="0" type="noConversion"/>
  <conditionalFormatting sqref="D8">
    <cfRule type="expression" dxfId="509" priority="68" stopIfTrue="1">
      <formula>AND(G8&gt;0,ISBLANK(D8))</formula>
    </cfRule>
  </conditionalFormatting>
  <conditionalFormatting sqref="E8 E19:E22">
    <cfRule type="expression" dxfId="508" priority="69" stopIfTrue="1">
      <formula>AND((G8&gt;0),NOT(E8="R"),NOT(E8="S"),NOT(E8="O"))</formula>
    </cfRule>
  </conditionalFormatting>
  <conditionalFormatting sqref="E10">
    <cfRule type="expression" dxfId="507" priority="45" stopIfTrue="1">
      <formula>AND((G10&gt;0),NOT(E10="R"),NOT(E10="S"),NOT(E10="O"))</formula>
    </cfRule>
  </conditionalFormatting>
  <conditionalFormatting sqref="E11:E12">
    <cfRule type="expression" dxfId="506" priority="44" stopIfTrue="1">
      <formula>AND((G11&gt;0),NOT(E11="R"),NOT(E11="S"),NOT(E11="O"))</formula>
    </cfRule>
  </conditionalFormatting>
  <conditionalFormatting sqref="E13:E14">
    <cfRule type="expression" dxfId="505" priority="43" stopIfTrue="1">
      <formula>AND((G13&gt;0),NOT(E13="R"),NOT(E13="S"),NOT(E13="O"))</formula>
    </cfRule>
  </conditionalFormatting>
  <conditionalFormatting sqref="E15:E16">
    <cfRule type="expression" dxfId="504" priority="42" stopIfTrue="1">
      <formula>AND((G15&gt;0),NOT(E15="R"),NOT(E15="S"),NOT(E15="O"))</formula>
    </cfRule>
  </conditionalFormatting>
  <conditionalFormatting sqref="E17:E18">
    <cfRule type="expression" dxfId="503" priority="41" stopIfTrue="1">
      <formula>AND((G17&gt;0),NOT(E17="R"),NOT(E17="S"),NOT(E17="O"))</formula>
    </cfRule>
  </conditionalFormatting>
  <conditionalFormatting sqref="E23:E24">
    <cfRule type="expression" dxfId="502" priority="40" stopIfTrue="1">
      <formula>AND((G23&gt;0),NOT(E23="R"),NOT(E23="S"),NOT(E23="O"))</formula>
    </cfRule>
  </conditionalFormatting>
  <conditionalFormatting sqref="E25:E26">
    <cfRule type="expression" dxfId="501" priority="39" stopIfTrue="1">
      <formula>AND((G25&gt;0),NOT(E25="R"),NOT(E25="S"),NOT(E25="O"))</formula>
    </cfRule>
  </conditionalFormatting>
  <conditionalFormatting sqref="E27:E28">
    <cfRule type="expression" dxfId="500" priority="38" stopIfTrue="1">
      <formula>AND((G27&gt;0),NOT(E27="R"),NOT(E27="S"),NOT(E27="O"))</formula>
    </cfRule>
  </conditionalFormatting>
  <conditionalFormatting sqref="E29:E30">
    <cfRule type="expression" dxfId="499" priority="37" stopIfTrue="1">
      <formula>AND((G29&gt;0),NOT(E29="R"),NOT(E29="S"),NOT(E29="O"))</formula>
    </cfRule>
  </conditionalFormatting>
  <conditionalFormatting sqref="E31:E32">
    <cfRule type="expression" dxfId="498" priority="36" stopIfTrue="1">
      <formula>AND((G31&gt;0),NOT(E31="R"),NOT(E31="S"),NOT(E31="O"))</formula>
    </cfRule>
  </conditionalFormatting>
  <conditionalFormatting sqref="E33:E34">
    <cfRule type="expression" dxfId="497" priority="35" stopIfTrue="1">
      <formula>AND((G33&gt;0),NOT(E33="R"),NOT(E33="S"),NOT(E33="O"))</formula>
    </cfRule>
  </conditionalFormatting>
  <conditionalFormatting sqref="E35:E36">
    <cfRule type="expression" dxfId="496" priority="34" stopIfTrue="1">
      <formula>AND((G35&gt;0),NOT(E35="R"),NOT(E35="S"),NOT(E35="O"))</formula>
    </cfRule>
  </conditionalFormatting>
  <conditionalFormatting sqref="E37:E38">
    <cfRule type="expression" dxfId="495" priority="33" stopIfTrue="1">
      <formula>AND((G37&gt;0),NOT(E37="R"),NOT(E37="S"),NOT(E37="O"))</formula>
    </cfRule>
  </conditionalFormatting>
  <conditionalFormatting sqref="E39 E41 E43 E45 E47 E49 E51 E53 E55 E57 E59 E61 E63">
    <cfRule type="expression" dxfId="494" priority="32" stopIfTrue="1">
      <formula>AND((G39&gt;0),NOT(E39="R"),NOT(E39="S"),NOT(E39="O"))</formula>
    </cfRule>
  </conditionalFormatting>
  <conditionalFormatting sqref="D9:D10">
    <cfRule type="expression" dxfId="493" priority="31" stopIfTrue="1">
      <formula>AND(G9&gt;0,ISBLANK(D9))</formula>
    </cfRule>
  </conditionalFormatting>
  <conditionalFormatting sqref="D11:D12">
    <cfRule type="expression" dxfId="492" priority="30" stopIfTrue="1">
      <formula>AND(G11&gt;0,ISBLANK(D11))</formula>
    </cfRule>
  </conditionalFormatting>
  <conditionalFormatting sqref="D13:D14">
    <cfRule type="expression" dxfId="491" priority="29" stopIfTrue="1">
      <formula>AND(G13&gt;0,ISBLANK(D13))</formula>
    </cfRule>
  </conditionalFormatting>
  <conditionalFormatting sqref="D15:D16">
    <cfRule type="expression" dxfId="490" priority="28" stopIfTrue="1">
      <formula>AND(G15&gt;0,ISBLANK(D15))</formula>
    </cfRule>
  </conditionalFormatting>
  <conditionalFormatting sqref="D17:D18">
    <cfRule type="expression" dxfId="489" priority="27" stopIfTrue="1">
      <formula>AND(G17&gt;0,ISBLANK(D17))</formula>
    </cfRule>
  </conditionalFormatting>
  <conditionalFormatting sqref="D19:D20">
    <cfRule type="expression" dxfId="488" priority="26" stopIfTrue="1">
      <formula>AND(G19&gt;0,ISBLANK(D19))</formula>
    </cfRule>
  </conditionalFormatting>
  <conditionalFormatting sqref="D21:D22">
    <cfRule type="expression" dxfId="487" priority="25" stopIfTrue="1">
      <formula>AND(G21&gt;0,ISBLANK(D21))</formula>
    </cfRule>
  </conditionalFormatting>
  <conditionalFormatting sqref="D23:D24">
    <cfRule type="expression" dxfId="486" priority="24" stopIfTrue="1">
      <formula>AND(G23&gt;0,ISBLANK(D23))</formula>
    </cfRule>
  </conditionalFormatting>
  <conditionalFormatting sqref="D25:D26">
    <cfRule type="expression" dxfId="485" priority="23" stopIfTrue="1">
      <formula>AND(G25&gt;0,ISBLANK(D25))</formula>
    </cfRule>
  </conditionalFormatting>
  <conditionalFormatting sqref="D27:D28">
    <cfRule type="expression" dxfId="484" priority="22" stopIfTrue="1">
      <formula>AND(G27&gt;0,ISBLANK(D27))</formula>
    </cfRule>
  </conditionalFormatting>
  <conditionalFormatting sqref="D29:D30">
    <cfRule type="expression" dxfId="483" priority="21" stopIfTrue="1">
      <formula>AND(G29&gt;0,ISBLANK(D29))</formula>
    </cfRule>
  </conditionalFormatting>
  <conditionalFormatting sqref="D31:D32">
    <cfRule type="expression" dxfId="482" priority="20" stopIfTrue="1">
      <formula>AND(G31&gt;0,ISBLANK(D31))</formula>
    </cfRule>
  </conditionalFormatting>
  <conditionalFormatting sqref="D33:D34">
    <cfRule type="expression" dxfId="481" priority="19" stopIfTrue="1">
      <formula>AND(G33&gt;0,ISBLANK(D33))</formula>
    </cfRule>
  </conditionalFormatting>
  <conditionalFormatting sqref="D35:D36">
    <cfRule type="expression" dxfId="480" priority="18" stopIfTrue="1">
      <formula>AND(G35&gt;0,ISBLANK(D35))</formula>
    </cfRule>
  </conditionalFormatting>
  <conditionalFormatting sqref="D37:D38">
    <cfRule type="expression" dxfId="479" priority="17" stopIfTrue="1">
      <formula>AND(G37&gt;0,ISBLANK(D37))</formula>
    </cfRule>
  </conditionalFormatting>
  <conditionalFormatting sqref="D39 D41 D43 D45 D47 D49 D51 D53 D55 D57 D59 D61 D63">
    <cfRule type="expression" dxfId="478" priority="16" stopIfTrue="1">
      <formula>AND(G39&gt;0,ISBLANK(D39))</formula>
    </cfRule>
  </conditionalFormatting>
  <conditionalFormatting sqref="E9">
    <cfRule type="expression" dxfId="477" priority="15" stopIfTrue="1">
      <formula>AND((G9&gt;0),NOT(E9="R"),NOT(E9="S"),NOT(E9="O"))</formula>
    </cfRule>
  </conditionalFormatting>
  <conditionalFormatting sqref="E40">
    <cfRule type="expression" dxfId="476" priority="14" stopIfTrue="1">
      <formula>AND((G40&gt;0),NOT(E40="R"),NOT(E40="S"),NOT(E40="O"))</formula>
    </cfRule>
  </conditionalFormatting>
  <conditionalFormatting sqref="D40">
    <cfRule type="expression" dxfId="475" priority="13" stopIfTrue="1">
      <formula>AND(G40&gt;0,ISBLANK(D40))</formula>
    </cfRule>
  </conditionalFormatting>
  <conditionalFormatting sqref="E42">
    <cfRule type="expression" dxfId="474" priority="12" stopIfTrue="1">
      <formula>AND((G42&gt;0),NOT(E42="R"),NOT(E42="S"),NOT(E42="O"))</formula>
    </cfRule>
  </conditionalFormatting>
  <conditionalFormatting sqref="D42">
    <cfRule type="expression" dxfId="473" priority="11" stopIfTrue="1">
      <formula>AND(G42&gt;0,ISBLANK(D42))</formula>
    </cfRule>
  </conditionalFormatting>
  <conditionalFormatting sqref="E44 E46 E48 E50 E52 E54 E56 E58 E60 E62">
    <cfRule type="expression" dxfId="472" priority="10" stopIfTrue="1">
      <formula>AND((G44&gt;0),NOT(E44="R"),NOT(E44="S"),NOT(E44="O"))</formula>
    </cfRule>
  </conditionalFormatting>
  <conditionalFormatting sqref="D44 D46 D48 D50 D52 D54 D56 D58 D60 D62">
    <cfRule type="expression" dxfId="471" priority="9" stopIfTrue="1">
      <formula>AND(G44&gt;0,ISBLANK(D44))</formula>
    </cfRule>
  </conditionalFormatting>
  <conditionalFormatting sqref="E64">
    <cfRule type="expression" dxfId="470" priority="8" stopIfTrue="1">
      <formula>AND((G64&gt;0),NOT(E64="R"),NOT(E64="S"),NOT(E64="O"))</formula>
    </cfRule>
  </conditionalFormatting>
  <conditionalFormatting sqref="D64">
    <cfRule type="expression" dxfId="469" priority="7" stopIfTrue="1">
      <formula>AND(G64&gt;0,ISBLANK(D64))</formula>
    </cfRule>
  </conditionalFormatting>
  <conditionalFormatting sqref="E65">
    <cfRule type="expression" dxfId="468" priority="6" stopIfTrue="1">
      <formula>AND((G65&gt;0),NOT(E65="R"),NOT(E65="S"),NOT(E65="O"))</formula>
    </cfRule>
  </conditionalFormatting>
  <conditionalFormatting sqref="D65">
    <cfRule type="expression" dxfId="467" priority="5" stopIfTrue="1">
      <formula>AND(G65&gt;0,ISBLANK(D65))</formula>
    </cfRule>
  </conditionalFormatting>
  <conditionalFormatting sqref="E66">
    <cfRule type="expression" dxfId="466" priority="4" stopIfTrue="1">
      <formula>AND((G66&gt;0),NOT(E66="R"),NOT(E66="S"),NOT(E66="O"))</formula>
    </cfRule>
  </conditionalFormatting>
  <conditionalFormatting sqref="D66">
    <cfRule type="expression" dxfId="465" priority="3" stopIfTrue="1">
      <formula>AND(G66&gt;0,ISBLANK(D66))</formula>
    </cfRule>
  </conditionalFormatting>
  <conditionalFormatting sqref="E67">
    <cfRule type="expression" dxfId="464" priority="2" stopIfTrue="1">
      <formula>AND((G67&gt;0),NOT(E67="R"),NOT(E67="S"),NOT(E67="O"))</formula>
    </cfRule>
  </conditionalFormatting>
  <conditionalFormatting sqref="D67">
    <cfRule type="expression" dxfId="463" priority="1" stopIfTrue="1">
      <formula>AND(G67&gt;0,ISBLANK(D67))</formula>
    </cfRule>
  </conditionalFormatting>
  <dataValidations count="4">
    <dataValidation type="list" allowBlank="1" showInputMessage="1" showErrorMessage="1" sqref="E8:E67" xr:uid="{00000000-0002-0000-1300-000000000000}">
      <formula1>SupplyValidate</formula1>
    </dataValidation>
    <dataValidation type="list" allowBlank="1" showInputMessage="1" showErrorMessage="1" sqref="D8:D67" xr:uid="{00000000-0002-0000-1300-000001000000}">
      <formula1>ValidateTable</formula1>
    </dataValidation>
    <dataValidation type="custom" allowBlank="1" showInputMessage="1" showErrorMessage="1" sqref="K68" xr:uid="{00000000-0002-0000-1300-000002000000}">
      <formula1>"x"</formula1>
    </dataValidation>
    <dataValidation type="list" allowBlank="1" showInputMessage="1" showErrorMessage="1" sqref="K8:K67" xr:uid="{00000000-0002-0000-1300-000003000000}">
      <formula1>$N$1:$N$2</formula1>
    </dataValidation>
  </dataValidations>
  <printOptions horizontalCentered="1"/>
  <pageMargins left="0.3" right="0.3" top="0.75" bottom="0.75" header="0.5" footer="0.5"/>
  <pageSetup scale="74" orientation="landscape" r:id="rId1"/>
  <headerFooter alignWithMargins="0">
    <oddFooter xml:space="preserve">&amp;R&amp;6&amp;Z&amp;F   &amp;D_x000D_&amp;7© 2014 RMT, Inc.  All rights reserved.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pageSetUpPr fitToPage="1"/>
  </sheetPr>
  <dimension ref="A1:FZ229"/>
  <sheetViews>
    <sheetView zoomScale="81" zoomScaleNormal="81" workbookViewId="0">
      <pane ySplit="7" topLeftCell="A8" activePane="bottomLeft" state="frozen"/>
      <selection activeCell="DH36" sqref="DH36"/>
      <selection pane="bottomLeft" activeCell="M109" sqref="M109"/>
    </sheetView>
  </sheetViews>
  <sheetFormatPr defaultColWidth="9.140625" defaultRowHeight="12.75" x14ac:dyDescent="0.2"/>
  <cols>
    <col min="1" max="1" width="9.42578125" style="50" customWidth="1"/>
    <col min="2" max="2" width="5.28515625" style="50" customWidth="1"/>
    <col min="3" max="3" width="77.42578125" style="29" customWidth="1"/>
    <col min="4" max="5" width="5" style="29" customWidth="1"/>
    <col min="6" max="6" width="10.7109375" style="51" customWidth="1"/>
    <col min="7" max="7" width="11.7109375" style="51" customWidth="1"/>
    <col min="8" max="8" width="12.42578125" style="51" customWidth="1"/>
    <col min="9" max="9" width="11.7109375" style="51" customWidth="1"/>
    <col min="10" max="10" width="16.42578125" style="29" customWidth="1"/>
    <col min="11" max="11" width="10.140625" customWidth="1"/>
    <col min="12" max="12" width="8.7109375" customWidth="1"/>
    <col min="13" max="13" width="16.140625" style="879" customWidth="1"/>
    <col min="14" max="14" width="19.7109375" style="951" customWidth="1"/>
    <col min="15" max="15" width="13.42578125" style="879" customWidth="1"/>
    <col min="16" max="16" width="14.28515625" style="879" customWidth="1"/>
    <col min="17" max="17" width="9.5703125" style="879" customWidth="1"/>
    <col min="18" max="18" width="10.42578125" style="879" bestFit="1" customWidth="1"/>
    <col min="19" max="19" width="6.85546875" style="879" customWidth="1"/>
    <col min="20" max="20" width="12.7109375" style="879" customWidth="1"/>
    <col min="21" max="21" width="3.42578125" style="879" customWidth="1"/>
    <col min="22" max="22" width="3" style="879" customWidth="1"/>
    <col min="23" max="23" width="12.28515625" style="879" customWidth="1"/>
    <col min="24" max="24" width="8.85546875" style="879" customWidth="1"/>
    <col min="25" max="25" width="8.28515625" style="879" customWidth="1"/>
    <col min="26" max="26" width="9" style="879" customWidth="1"/>
    <col min="27" max="27" width="8" style="879" customWidth="1"/>
    <col min="28" max="28" width="9.140625" style="879" customWidth="1"/>
    <col min="29" max="29" width="8.42578125" style="879" customWidth="1"/>
    <col min="30" max="30" width="7.85546875" style="879" customWidth="1"/>
    <col min="31" max="31" width="7.7109375" style="879" customWidth="1"/>
    <col min="32" max="32" width="8" style="879" customWidth="1"/>
    <col min="33" max="33" width="8.140625" style="879" customWidth="1"/>
    <col min="34" max="34" width="9" style="879" customWidth="1"/>
    <col min="35" max="35" width="8.28515625" style="879" customWidth="1"/>
    <col min="36" max="36" width="8.42578125" style="879" customWidth="1"/>
    <col min="37" max="38" width="8.28515625" style="879" customWidth="1"/>
    <col min="39" max="39" width="9.28515625" style="879" customWidth="1"/>
    <col min="40" max="40" width="10" style="879" customWidth="1"/>
    <col min="41" max="41" width="9.85546875" style="879" customWidth="1"/>
    <col min="42" max="42" width="9.7109375" style="879" customWidth="1"/>
    <col min="43" max="43" width="10.7109375" style="879" customWidth="1"/>
    <col min="44" max="44" width="10.42578125" style="879" customWidth="1"/>
    <col min="45" max="45" width="8.5703125" style="879" customWidth="1"/>
    <col min="46" max="46" width="11.140625" style="879" customWidth="1"/>
    <col min="47" max="47" width="10.85546875" style="879" customWidth="1"/>
    <col min="48" max="48" width="9.140625" style="879" customWidth="1"/>
    <col min="49" max="49" width="10.42578125" style="879" customWidth="1"/>
    <col min="50" max="50" width="10" style="879" customWidth="1"/>
    <col min="51" max="51" width="9.28515625" style="879" customWidth="1"/>
    <col min="52" max="52" width="9" style="879" customWidth="1"/>
    <col min="53" max="53" width="7.7109375" style="879" customWidth="1"/>
    <col min="54" max="54" width="8.28515625" style="879" customWidth="1"/>
    <col min="55" max="55" width="7.5703125" style="879" customWidth="1"/>
    <col min="56" max="56" width="8.5703125" style="879" customWidth="1"/>
    <col min="57" max="57" width="7.85546875" style="879" customWidth="1"/>
    <col min="58" max="59" width="9.7109375" style="879" customWidth="1"/>
    <col min="60" max="60" width="12.85546875" style="879" customWidth="1"/>
    <col min="61" max="61" width="9.42578125" style="879" customWidth="1"/>
    <col min="62" max="63" width="9.85546875" style="879" customWidth="1"/>
    <col min="64" max="64" width="11.5703125" style="879" customWidth="1"/>
    <col min="65" max="65" width="8.7109375" style="879" customWidth="1"/>
    <col min="66" max="66" width="10.85546875" style="879" customWidth="1"/>
    <col min="67" max="67" width="12.140625" style="879" customWidth="1"/>
    <col min="68" max="68" width="10.42578125" style="879" customWidth="1"/>
    <col min="69" max="69" width="9.85546875" style="879" customWidth="1"/>
    <col min="70" max="70" width="10.28515625" style="879" customWidth="1"/>
    <col min="71" max="71" width="9.42578125" style="879" customWidth="1"/>
    <col min="72" max="72" width="8.140625" style="879" customWidth="1"/>
    <col min="73" max="73" width="9.7109375" style="879" customWidth="1"/>
    <col min="74" max="74" width="8.85546875" style="879" customWidth="1"/>
    <col min="75" max="75" width="8.28515625" style="879" customWidth="1"/>
    <col min="76" max="76" width="7.5703125" style="879" customWidth="1"/>
    <col min="77" max="77" width="8.42578125" style="879" customWidth="1"/>
    <col min="78" max="78" width="7.7109375" style="879" customWidth="1"/>
    <col min="79" max="79" width="7.140625" style="879" customWidth="1"/>
    <col min="80" max="80" width="7.5703125" style="879" customWidth="1"/>
    <col min="81" max="81" width="7.140625" style="879" customWidth="1"/>
    <col min="82" max="82" width="7.85546875" style="879" customWidth="1"/>
    <col min="83" max="83" width="7.140625" style="879" customWidth="1"/>
    <col min="84" max="84" width="7.7109375" style="879" customWidth="1"/>
    <col min="85" max="86" width="9.28515625" style="879" customWidth="1"/>
    <col min="87" max="87" width="9" style="879" customWidth="1"/>
    <col min="88" max="88" width="7.5703125" style="879" customWidth="1"/>
    <col min="89" max="89" width="9.85546875" style="879" customWidth="1"/>
    <col min="90" max="90" width="8.42578125" style="879" customWidth="1"/>
    <col min="91" max="91" width="8.28515625" style="879" customWidth="1"/>
    <col min="92" max="93" width="9.42578125" style="879" customWidth="1"/>
    <col min="94" max="94" width="8" style="879" customWidth="1"/>
    <col min="95" max="95" width="7.7109375" style="879" customWidth="1"/>
    <col min="96" max="96" width="7.28515625" style="879" customWidth="1"/>
    <col min="97" max="97" width="8.42578125" style="879" customWidth="1"/>
    <col min="98" max="98" width="9.28515625" style="879" customWidth="1"/>
    <col min="99" max="99" width="9.42578125" style="879" customWidth="1"/>
    <col min="100" max="100" width="9.7109375" style="879" customWidth="1"/>
    <col min="101" max="101" width="8.28515625" style="879" customWidth="1"/>
    <col min="102" max="102" width="9.42578125" style="879" customWidth="1"/>
    <col min="103" max="103" width="8.7109375" style="879" customWidth="1"/>
    <col min="104" max="104" width="10.7109375" style="879" customWidth="1"/>
    <col min="105" max="105" width="9.42578125" style="879" customWidth="1"/>
    <col min="106" max="106" width="7" style="879" customWidth="1"/>
    <col min="107" max="107" width="9.7109375" style="879" customWidth="1"/>
    <col min="108" max="108" width="10.42578125" style="879" customWidth="1"/>
    <col min="109" max="109" width="9.28515625" style="879" customWidth="1"/>
    <col min="110" max="110" width="9.7109375" style="879" customWidth="1"/>
    <col min="111" max="111" width="10" style="879" customWidth="1"/>
    <col min="112" max="112" width="9.7109375" style="879" customWidth="1"/>
    <col min="113" max="113" width="8" style="879" customWidth="1"/>
    <col min="114" max="114" width="9.140625" style="879" customWidth="1"/>
    <col min="115" max="115" width="8.140625" style="879" customWidth="1"/>
    <col min="116" max="116" width="8.5703125" style="879" customWidth="1"/>
    <col min="117" max="117" width="8.28515625" style="879" customWidth="1"/>
    <col min="118" max="118" width="10.42578125" style="879" customWidth="1"/>
    <col min="119" max="119" width="10.5703125" style="879" customWidth="1"/>
    <col min="120" max="120" width="9.85546875" style="879" customWidth="1"/>
    <col min="121" max="122" width="10.140625" style="879" customWidth="1"/>
    <col min="123" max="123" width="8.5703125" style="879" customWidth="1"/>
    <col min="124" max="124" width="9.7109375" style="879" customWidth="1"/>
    <col min="125" max="125" width="7.85546875" style="879" customWidth="1"/>
    <col min="126" max="126" width="10.5703125" style="879" customWidth="1"/>
    <col min="127" max="127" width="11.28515625" style="879" customWidth="1"/>
    <col min="128" max="128" width="7.7109375" style="879" customWidth="1"/>
    <col min="129" max="129" width="7.85546875" style="879" customWidth="1"/>
    <col min="130" max="130" width="8.5703125" style="879" customWidth="1"/>
    <col min="131" max="131" width="11.42578125" style="879" customWidth="1"/>
    <col min="132" max="132" width="10.140625" style="879" customWidth="1"/>
    <col min="133" max="133" width="8.42578125" style="879" customWidth="1"/>
    <col min="134" max="134" width="7.140625" style="879" customWidth="1"/>
    <col min="135" max="135" width="9.140625" style="879" customWidth="1"/>
    <col min="136" max="136" width="11.140625" style="879" customWidth="1"/>
    <col min="137" max="137" width="9.85546875" style="879" customWidth="1"/>
    <col min="138" max="138" width="9.42578125" style="879" customWidth="1"/>
    <col min="139" max="139" width="10" style="879" customWidth="1"/>
    <col min="140" max="140" width="9.42578125" style="879" customWidth="1"/>
    <col min="141" max="141" width="9.7109375" style="879" customWidth="1"/>
    <col min="142" max="142" width="10" style="879" customWidth="1"/>
    <col min="143" max="143" width="10.5703125" style="879" customWidth="1"/>
    <col min="144" max="144" width="12.140625" style="879" customWidth="1"/>
    <col min="145" max="145" width="8" style="879" customWidth="1"/>
    <col min="146" max="146" width="7.7109375" style="879" customWidth="1"/>
    <col min="147" max="147" width="7.140625" style="879" customWidth="1"/>
    <col min="148" max="148" width="10.140625" style="879" customWidth="1"/>
    <col min="149" max="149" width="10.85546875" style="879" customWidth="1"/>
    <col min="150" max="150" width="7.85546875" style="879" customWidth="1"/>
    <col min="151" max="151" width="10.5703125" style="879" customWidth="1"/>
    <col min="152" max="152" width="8" style="879" customWidth="1"/>
    <col min="153" max="153" width="8.7109375" style="879" customWidth="1"/>
    <col min="154" max="154" width="9.7109375" style="879" customWidth="1"/>
    <col min="155" max="155" width="9.28515625" style="879" customWidth="1"/>
    <col min="156" max="156" width="10.85546875" style="879" customWidth="1"/>
    <col min="157" max="157" width="10.42578125" style="879" customWidth="1"/>
    <col min="158" max="158" width="8.28515625" style="879" customWidth="1"/>
    <col min="159" max="159" width="10.140625" style="879" customWidth="1"/>
    <col min="160" max="160" width="7.85546875" style="879" customWidth="1"/>
    <col min="161" max="161" width="9" style="879" customWidth="1"/>
    <col min="162" max="162" width="7.28515625" style="879" customWidth="1"/>
    <col min="163" max="164" width="8" style="879" customWidth="1"/>
    <col min="165" max="165" width="9" style="879" customWidth="1"/>
    <col min="166" max="166" width="9.42578125" style="879" customWidth="1"/>
    <col min="167" max="167" width="8.28515625" style="879" customWidth="1"/>
    <col min="168" max="168" width="8.7109375" style="879" customWidth="1"/>
    <col min="169" max="169" width="10.7109375" style="879" customWidth="1"/>
    <col min="170" max="170" width="7.28515625" style="879" customWidth="1"/>
    <col min="171" max="171" width="10.28515625" style="879" customWidth="1"/>
    <col min="172" max="172" width="9" style="879" customWidth="1"/>
    <col min="173" max="173" width="7.7109375" style="879" customWidth="1"/>
    <col min="174" max="174" width="8.28515625" style="879" customWidth="1"/>
    <col min="175" max="175" width="7.140625" style="879" customWidth="1"/>
    <col min="176" max="176" width="8.85546875" style="879" customWidth="1"/>
    <col min="177" max="177" width="8.5703125" style="879" customWidth="1"/>
    <col min="178" max="178" width="7.7109375" style="879" customWidth="1"/>
    <col min="179" max="179" width="8.7109375" style="879" customWidth="1"/>
    <col min="180" max="180" width="9.7109375" style="879" customWidth="1"/>
    <col min="181" max="181" width="10.140625" style="879" customWidth="1"/>
    <col min="182" max="182" width="8.28515625" style="879" customWidth="1"/>
  </cols>
  <sheetData>
    <row r="1" spans="1:182" s="29" customFormat="1" ht="18.75" customHeight="1" x14ac:dyDescent="0.3">
      <c r="A1" s="1434" t="s">
        <v>191</v>
      </c>
      <c r="B1" s="1244"/>
      <c r="C1" s="1244"/>
      <c r="D1"/>
      <c r="E1"/>
      <c r="F1" s="49"/>
      <c r="G1" s="49"/>
      <c r="H1" s="49"/>
      <c r="I1" s="49"/>
      <c r="J1" s="78"/>
      <c r="M1" s="915"/>
      <c r="N1" s="942"/>
      <c r="O1" s="915"/>
      <c r="P1" s="915"/>
      <c r="Q1" s="915"/>
      <c r="R1" s="915"/>
      <c r="S1" s="915"/>
      <c r="T1" s="915"/>
      <c r="U1" s="915"/>
      <c r="V1" s="915"/>
      <c r="W1" s="915"/>
      <c r="X1" s="915"/>
      <c r="Y1" s="915"/>
      <c r="Z1" s="915"/>
      <c r="AA1" s="915"/>
      <c r="AB1" s="915"/>
      <c r="AC1" s="915" t="s">
        <v>319</v>
      </c>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915"/>
      <c r="CB1" s="915"/>
      <c r="CC1" s="915"/>
      <c r="CD1" s="915"/>
      <c r="CE1" s="915"/>
      <c r="CF1" s="915"/>
      <c r="CG1" s="915"/>
      <c r="CH1" s="915"/>
      <c r="CI1" s="915"/>
      <c r="CJ1" s="915"/>
      <c r="CK1" s="915"/>
      <c r="CL1" s="915"/>
      <c r="CM1" s="915"/>
      <c r="CN1" s="915"/>
      <c r="CO1" s="915"/>
      <c r="CP1" s="915"/>
      <c r="CQ1" s="915"/>
      <c r="CR1" s="915"/>
      <c r="CS1" s="915"/>
      <c r="CT1" s="915"/>
      <c r="CU1" s="915"/>
      <c r="CV1" s="915"/>
      <c r="CW1" s="915"/>
      <c r="CX1" s="915"/>
      <c r="CY1" s="915"/>
      <c r="CZ1" s="915"/>
      <c r="DA1" s="915"/>
      <c r="DB1" s="915"/>
      <c r="DC1" s="915"/>
      <c r="DD1" s="915"/>
      <c r="DE1" s="915"/>
      <c r="DF1" s="915"/>
      <c r="DG1" s="915"/>
      <c r="DH1" s="915"/>
      <c r="DI1" s="915"/>
      <c r="DJ1" s="915"/>
      <c r="DK1" s="915"/>
      <c r="DL1" s="915"/>
      <c r="DM1" s="915"/>
      <c r="DN1" s="915"/>
      <c r="DO1" s="915"/>
      <c r="DP1" s="915"/>
      <c r="DQ1" s="915"/>
      <c r="DR1" s="915"/>
      <c r="DS1" s="915"/>
      <c r="DT1" s="915"/>
      <c r="DU1" s="915"/>
      <c r="DV1" s="915"/>
      <c r="DW1" s="915"/>
      <c r="DX1" s="915"/>
      <c r="DY1" s="915"/>
      <c r="DZ1" s="915"/>
      <c r="EA1" s="915"/>
      <c r="EB1" s="915"/>
      <c r="EC1" s="915"/>
      <c r="ED1" s="915"/>
      <c r="EE1" s="915"/>
      <c r="EF1" s="915"/>
      <c r="EG1" s="915"/>
      <c r="EH1" s="915"/>
      <c r="EI1" s="915"/>
      <c r="EJ1" s="915"/>
      <c r="EK1" s="915"/>
      <c r="EL1" s="915"/>
      <c r="EM1" s="915"/>
      <c r="EN1" s="915"/>
      <c r="EO1" s="915"/>
      <c r="EP1" s="915"/>
      <c r="EQ1" s="915"/>
      <c r="ER1" s="915"/>
      <c r="ES1" s="915"/>
      <c r="ET1" s="915"/>
      <c r="EU1" s="915"/>
      <c r="EV1" s="915"/>
      <c r="EW1" s="915"/>
      <c r="EX1" s="915"/>
      <c r="EY1" s="915"/>
      <c r="EZ1" s="915"/>
      <c r="FA1" s="915"/>
      <c r="FB1" s="915"/>
      <c r="FC1" s="915"/>
      <c r="FD1" s="915"/>
      <c r="FE1" s="915"/>
      <c r="FF1" s="915"/>
      <c r="FG1" s="915"/>
      <c r="FH1" s="915"/>
      <c r="FI1" s="915"/>
      <c r="FJ1" s="915"/>
      <c r="FK1" s="915"/>
      <c r="FL1" s="915"/>
      <c r="FM1" s="915"/>
      <c r="FN1" s="915"/>
      <c r="FO1" s="915"/>
      <c r="FP1" s="915"/>
      <c r="FQ1" s="915"/>
      <c r="FR1" s="915"/>
      <c r="FS1" s="915"/>
      <c r="FT1" s="915"/>
      <c r="FU1" s="915"/>
      <c r="FV1" s="915"/>
      <c r="FW1" s="915"/>
      <c r="FX1" s="915"/>
      <c r="FY1" s="915"/>
      <c r="FZ1" s="915"/>
    </row>
    <row r="2" spans="1:182" s="29" customFormat="1" ht="12.75" customHeight="1" x14ac:dyDescent="0.2">
      <c r="A2" s="1245" t="s">
        <v>0</v>
      </c>
      <c r="B2" s="1244"/>
      <c r="C2" s="48">
        <f>ProjectName</f>
        <v>0</v>
      </c>
      <c r="D2" s="1522" t="s">
        <v>725</v>
      </c>
      <c r="E2" s="1522"/>
      <c r="F2" s="1522"/>
      <c r="G2" s="1522"/>
      <c r="H2" s="1522"/>
      <c r="I2" s="1522"/>
      <c r="J2" s="1522"/>
      <c r="M2" s="915"/>
      <c r="N2" s="942" t="s">
        <v>323</v>
      </c>
      <c r="O2" s="915"/>
      <c r="P2" s="915"/>
      <c r="Q2" s="915"/>
      <c r="R2" s="915"/>
      <c r="S2" s="915"/>
      <c r="T2" s="915"/>
      <c r="U2" s="915"/>
      <c r="V2" s="915"/>
      <c r="W2" s="915"/>
      <c r="X2" s="915"/>
      <c r="Y2" s="915"/>
      <c r="Z2" s="915"/>
      <c r="AA2" s="915"/>
      <c r="AB2" s="915"/>
      <c r="AC2" s="915"/>
      <c r="AD2" s="915"/>
      <c r="AE2" s="915"/>
      <c r="AF2" s="915"/>
      <c r="AG2" s="915"/>
      <c r="AH2" s="915"/>
      <c r="AI2" s="915"/>
      <c r="AJ2" s="915"/>
      <c r="AK2" s="915"/>
      <c r="AL2" s="915"/>
      <c r="AM2" s="915"/>
      <c r="AN2" s="915"/>
      <c r="AO2" s="915"/>
      <c r="AP2" s="915"/>
      <c r="AQ2" s="915"/>
      <c r="AR2" s="915"/>
      <c r="AS2" s="915"/>
      <c r="AT2" s="915"/>
      <c r="AU2" s="915"/>
      <c r="AV2" s="915"/>
      <c r="AW2" s="915"/>
      <c r="AX2" s="915"/>
      <c r="AY2" s="915"/>
      <c r="AZ2" s="915"/>
      <c r="BA2" s="915"/>
      <c r="BB2" s="915"/>
      <c r="BC2" s="915"/>
      <c r="BD2" s="915"/>
      <c r="BE2" s="915"/>
      <c r="BF2" s="915"/>
      <c r="BG2" s="915"/>
      <c r="BH2" s="915"/>
      <c r="BI2" s="915"/>
      <c r="BJ2" s="915"/>
      <c r="BK2" s="915"/>
      <c r="BL2" s="915"/>
      <c r="BM2" s="915"/>
      <c r="BN2" s="915"/>
      <c r="BO2" s="915"/>
      <c r="BP2" s="915"/>
      <c r="BQ2" s="915"/>
      <c r="BR2" s="915"/>
      <c r="BS2" s="915"/>
      <c r="BT2" s="915"/>
      <c r="BU2" s="915"/>
      <c r="BV2" s="915"/>
      <c r="BW2" s="915"/>
      <c r="BX2" s="915"/>
      <c r="BY2" s="915"/>
      <c r="BZ2" s="915"/>
      <c r="CA2" s="915"/>
      <c r="CB2" s="915"/>
      <c r="CC2" s="915"/>
      <c r="CD2" s="915"/>
      <c r="CE2" s="915"/>
      <c r="CF2" s="915"/>
      <c r="CG2" s="915"/>
      <c r="CH2" s="915"/>
      <c r="CI2" s="915"/>
      <c r="CJ2" s="915"/>
      <c r="CK2" s="915"/>
      <c r="CL2" s="915"/>
      <c r="CM2" s="915"/>
      <c r="CN2" s="915"/>
      <c r="CO2" s="915"/>
      <c r="CP2" s="915"/>
      <c r="CQ2" s="915"/>
      <c r="CR2" s="915"/>
      <c r="CS2" s="915"/>
      <c r="CT2" s="915"/>
      <c r="CU2" s="915"/>
      <c r="CV2" s="915"/>
      <c r="CW2" s="915"/>
      <c r="CX2" s="915"/>
      <c r="CY2" s="915"/>
      <c r="CZ2" s="915"/>
      <c r="DA2" s="915"/>
      <c r="DB2" s="915"/>
      <c r="DC2" s="915"/>
      <c r="DD2" s="915"/>
      <c r="DE2" s="915"/>
      <c r="DF2" s="915"/>
      <c r="DG2" s="915"/>
      <c r="DH2" s="915"/>
      <c r="DI2" s="915"/>
      <c r="DJ2" s="915"/>
      <c r="DK2" s="915"/>
      <c r="DL2" s="915"/>
      <c r="DM2" s="915"/>
      <c r="DN2" s="915"/>
      <c r="DO2" s="915"/>
      <c r="DP2" s="915"/>
      <c r="DQ2" s="915"/>
      <c r="DR2" s="915"/>
      <c r="DS2" s="915"/>
      <c r="DT2" s="915"/>
      <c r="DU2" s="915"/>
      <c r="DV2" s="915"/>
      <c r="DW2" s="915"/>
      <c r="DX2" s="915"/>
      <c r="DY2" s="915"/>
      <c r="DZ2" s="915"/>
      <c r="EA2" s="915"/>
      <c r="EB2" s="915"/>
      <c r="EC2" s="915"/>
      <c r="ED2" s="915"/>
      <c r="EE2" s="915"/>
      <c r="EF2" s="915"/>
      <c r="EG2" s="915"/>
      <c r="EH2" s="915"/>
      <c r="EI2" s="915"/>
      <c r="EJ2" s="915"/>
      <c r="EK2" s="915"/>
      <c r="EL2" s="915"/>
      <c r="EM2" s="915"/>
      <c r="EN2" s="915"/>
      <c r="EO2" s="915"/>
      <c r="EP2" s="915"/>
      <c r="EQ2" s="915"/>
      <c r="ER2" s="915"/>
      <c r="ES2" s="915"/>
      <c r="ET2" s="915"/>
      <c r="EU2" s="915"/>
      <c r="EV2" s="915"/>
      <c r="EW2" s="915"/>
      <c r="EX2" s="915"/>
      <c r="EY2" s="915"/>
      <c r="EZ2" s="915"/>
      <c r="FA2" s="915"/>
      <c r="FB2" s="915"/>
      <c r="FC2" s="915"/>
      <c r="FD2" s="915"/>
      <c r="FE2" s="915"/>
      <c r="FF2" s="915"/>
      <c r="FG2" s="915"/>
      <c r="FH2" s="915"/>
      <c r="FI2" s="915"/>
      <c r="FJ2" s="915"/>
      <c r="FK2" s="915"/>
      <c r="FL2" s="915"/>
      <c r="FM2" s="915"/>
      <c r="FN2" s="915"/>
      <c r="FO2" s="915"/>
      <c r="FP2" s="915"/>
      <c r="FQ2" s="915"/>
      <c r="FR2" s="915"/>
      <c r="FS2" s="915"/>
      <c r="FT2" s="915"/>
      <c r="FU2" s="915"/>
      <c r="FV2" s="915"/>
      <c r="FW2" s="915"/>
      <c r="FX2" s="915"/>
      <c r="FY2" s="915"/>
      <c r="FZ2" s="915"/>
    </row>
    <row r="3" spans="1:182" s="29" customFormat="1" ht="12.75" customHeight="1" x14ac:dyDescent="0.2">
      <c r="A3" s="1245" t="s">
        <v>1</v>
      </c>
      <c r="B3" s="1244"/>
      <c r="C3" s="48">
        <f>ProjectNumber</f>
        <v>0</v>
      </c>
      <c r="D3" s="1522"/>
      <c r="E3" s="1522"/>
      <c r="F3" s="1522"/>
      <c r="G3" s="1522"/>
      <c r="H3" s="1522"/>
      <c r="I3" s="1522"/>
      <c r="J3" s="1522"/>
      <c r="M3" s="915"/>
      <c r="N3" s="942"/>
      <c r="O3" s="915"/>
      <c r="P3" s="915"/>
      <c r="Q3" s="915"/>
      <c r="R3" s="915"/>
      <c r="S3" s="915"/>
      <c r="T3" s="915"/>
      <c r="U3" s="915"/>
      <c r="V3" s="915"/>
      <c r="W3" s="915"/>
      <c r="X3" s="915"/>
      <c r="Y3" s="915"/>
      <c r="Z3" s="915"/>
      <c r="AA3" s="915"/>
      <c r="AB3" s="915"/>
      <c r="AC3" s="915"/>
      <c r="AD3" s="915"/>
      <c r="AE3" s="915"/>
      <c r="AF3" s="915"/>
      <c r="AG3" s="915"/>
      <c r="AH3" s="915"/>
      <c r="AI3" s="915"/>
      <c r="AJ3" s="915"/>
      <c r="AK3" s="915"/>
      <c r="AL3" s="915"/>
      <c r="AM3" s="915"/>
      <c r="AN3" s="915"/>
      <c r="AO3" s="915"/>
      <c r="AP3" s="915"/>
      <c r="AQ3" s="915"/>
      <c r="AR3" s="915"/>
      <c r="AS3" s="915"/>
      <c r="AT3" s="915"/>
      <c r="AU3" s="915"/>
      <c r="AV3" s="915"/>
      <c r="AW3" s="915"/>
      <c r="AX3" s="915"/>
      <c r="AY3" s="915"/>
      <c r="AZ3" s="915"/>
      <c r="BA3" s="915"/>
      <c r="BB3" s="915"/>
      <c r="BC3" s="915"/>
      <c r="BD3" s="915"/>
      <c r="BE3" s="915"/>
      <c r="BF3" s="915"/>
      <c r="BG3" s="915"/>
      <c r="BH3" s="915"/>
      <c r="BI3" s="915"/>
      <c r="BJ3" s="915"/>
      <c r="BK3" s="915"/>
      <c r="BL3" s="915"/>
      <c r="BM3" s="915"/>
      <c r="BN3" s="915"/>
      <c r="BO3" s="915"/>
      <c r="BP3" s="915"/>
      <c r="BQ3" s="915"/>
      <c r="BR3" s="915"/>
      <c r="BS3" s="915"/>
      <c r="BT3" s="915"/>
      <c r="BU3" s="915"/>
      <c r="BV3" s="915"/>
      <c r="BW3" s="915"/>
      <c r="BX3" s="915"/>
      <c r="BY3" s="915"/>
      <c r="BZ3" s="915"/>
      <c r="CA3" s="915"/>
      <c r="CB3" s="915"/>
      <c r="CC3" s="915"/>
      <c r="CD3" s="915"/>
      <c r="CE3" s="915"/>
      <c r="CF3" s="915"/>
      <c r="CG3" s="915"/>
      <c r="CH3" s="915"/>
      <c r="CI3" s="915"/>
      <c r="CJ3" s="915"/>
      <c r="CK3" s="915"/>
      <c r="CL3" s="915"/>
      <c r="CM3" s="915"/>
      <c r="CN3" s="915"/>
      <c r="CO3" s="915"/>
      <c r="CP3" s="915"/>
      <c r="CQ3" s="915"/>
      <c r="CR3" s="915"/>
      <c r="CS3" s="915"/>
      <c r="CT3" s="915"/>
      <c r="CU3" s="915"/>
      <c r="CV3" s="915"/>
      <c r="CW3" s="915"/>
      <c r="CX3" s="915"/>
      <c r="CY3" s="915"/>
      <c r="CZ3" s="915"/>
      <c r="DA3" s="915"/>
      <c r="DB3" s="915"/>
      <c r="DC3" s="915"/>
      <c r="DD3" s="915"/>
      <c r="DE3" s="915"/>
      <c r="DF3" s="915"/>
      <c r="DG3" s="915"/>
      <c r="DH3" s="915"/>
      <c r="DI3" s="915"/>
      <c r="DJ3" s="915"/>
      <c r="DK3" s="915"/>
      <c r="DL3" s="915"/>
      <c r="DM3" s="915"/>
      <c r="DN3" s="915"/>
      <c r="DO3" s="915"/>
      <c r="DP3" s="915"/>
      <c r="DQ3" s="915"/>
      <c r="DR3" s="915"/>
      <c r="DS3" s="915"/>
      <c r="DT3" s="915"/>
      <c r="DU3" s="915"/>
      <c r="DV3" s="915"/>
      <c r="DW3" s="915"/>
      <c r="DX3" s="915"/>
      <c r="DY3" s="915"/>
      <c r="DZ3" s="915"/>
      <c r="EA3" s="915"/>
      <c r="EB3" s="915"/>
      <c r="EC3" s="915"/>
      <c r="ED3" s="915"/>
      <c r="EE3" s="915"/>
      <c r="EF3" s="915"/>
      <c r="EG3" s="915"/>
      <c r="EH3" s="915"/>
      <c r="EI3" s="915"/>
      <c r="EJ3" s="915"/>
      <c r="EK3" s="915"/>
      <c r="EL3" s="915"/>
      <c r="EM3" s="915"/>
      <c r="EN3" s="915"/>
      <c r="EO3" s="915"/>
      <c r="EP3" s="915"/>
      <c r="EQ3" s="915"/>
      <c r="ER3" s="915"/>
      <c r="ES3" s="915"/>
      <c r="ET3" s="915"/>
      <c r="EU3" s="915"/>
      <c r="EV3" s="915"/>
      <c r="EW3" s="915"/>
      <c r="EX3" s="915"/>
      <c r="EY3" s="915"/>
      <c r="EZ3" s="915"/>
      <c r="FA3" s="915"/>
      <c r="FB3" s="915"/>
      <c r="FC3" s="915"/>
      <c r="FD3" s="915"/>
      <c r="FE3" s="915"/>
      <c r="FF3" s="915"/>
      <c r="FG3" s="915"/>
      <c r="FH3" s="915"/>
      <c r="FI3" s="915"/>
      <c r="FJ3" s="915"/>
      <c r="FK3" s="915"/>
      <c r="FL3" s="915"/>
      <c r="FM3" s="915"/>
      <c r="FN3" s="915"/>
      <c r="FO3" s="915"/>
      <c r="FP3" s="915"/>
      <c r="FQ3" s="915"/>
      <c r="FR3" s="915"/>
      <c r="FS3" s="915"/>
      <c r="FT3" s="915"/>
      <c r="FU3" s="915"/>
      <c r="FV3" s="915"/>
      <c r="FW3" s="915"/>
      <c r="FX3" s="915"/>
      <c r="FY3" s="915"/>
      <c r="FZ3" s="915"/>
    </row>
    <row r="4" spans="1:182" s="29" customFormat="1" ht="12.75" customHeight="1" x14ac:dyDescent="0.2">
      <c r="A4" s="1245" t="s">
        <v>2</v>
      </c>
      <c r="B4" s="1244"/>
      <c r="C4" s="48">
        <f>PreparedBy</f>
        <v>0</v>
      </c>
      <c r="D4" s="1522"/>
      <c r="E4" s="1522"/>
      <c r="F4" s="1522"/>
      <c r="G4" s="1522"/>
      <c r="H4" s="1522"/>
      <c r="I4" s="1522"/>
      <c r="J4" s="1522"/>
      <c r="M4" s="915"/>
      <c r="N4" s="942"/>
      <c r="O4" s="915"/>
      <c r="P4" s="915"/>
      <c r="Q4" s="915"/>
      <c r="R4" s="915"/>
      <c r="S4" s="915"/>
      <c r="T4" s="915"/>
      <c r="U4" s="915"/>
      <c r="V4" s="915"/>
      <c r="W4" s="915"/>
      <c r="X4" s="915"/>
      <c r="Y4" s="915"/>
      <c r="Z4" s="915"/>
      <c r="AA4" s="915"/>
      <c r="AB4" s="915"/>
      <c r="AC4" s="915"/>
      <c r="AD4" s="915"/>
      <c r="AE4" s="915"/>
      <c r="AF4" s="915"/>
      <c r="AG4" s="915"/>
      <c r="AH4" s="915"/>
      <c r="AI4" s="915"/>
      <c r="AJ4" s="915"/>
      <c r="AK4" s="915"/>
      <c r="AL4" s="915"/>
      <c r="AM4" s="915"/>
      <c r="AN4" s="915"/>
      <c r="AO4" s="915"/>
      <c r="AP4" s="915"/>
      <c r="AQ4" s="915"/>
      <c r="AR4" s="915"/>
      <c r="AS4" s="915"/>
      <c r="AT4" s="915"/>
      <c r="AU4" s="915"/>
      <c r="AV4" s="915"/>
      <c r="AW4" s="915"/>
      <c r="AX4" s="915"/>
      <c r="AY4" s="915"/>
      <c r="AZ4" s="915"/>
      <c r="BA4" s="915"/>
      <c r="BB4" s="915"/>
      <c r="BC4" s="915"/>
      <c r="BD4" s="915"/>
      <c r="BE4" s="915"/>
      <c r="BF4" s="915"/>
      <c r="BG4" s="915"/>
      <c r="BH4" s="915"/>
      <c r="BI4" s="915"/>
      <c r="BJ4" s="915"/>
      <c r="BK4" s="915"/>
      <c r="BL4" s="915"/>
      <c r="BM4" s="915"/>
      <c r="BN4" s="915"/>
      <c r="BO4" s="915"/>
      <c r="BP4" s="915"/>
      <c r="BQ4" s="915"/>
      <c r="BR4" s="915"/>
      <c r="BS4" s="915"/>
      <c r="BT4" s="915"/>
      <c r="BU4" s="915"/>
      <c r="BV4" s="915"/>
      <c r="BW4" s="915"/>
      <c r="BX4" s="915"/>
      <c r="BY4" s="915"/>
      <c r="BZ4" s="915"/>
      <c r="CA4" s="915"/>
      <c r="CB4" s="915"/>
      <c r="CC4" s="915"/>
      <c r="CD4" s="915"/>
      <c r="CE4" s="915"/>
      <c r="CF4" s="915"/>
      <c r="CG4" s="915"/>
      <c r="CH4" s="915"/>
      <c r="CI4" s="915"/>
      <c r="CJ4" s="915"/>
      <c r="CK4" s="915"/>
      <c r="CL4" s="915"/>
      <c r="CM4" s="915"/>
      <c r="CN4" s="915"/>
      <c r="CO4" s="915"/>
      <c r="CP4" s="915"/>
      <c r="CQ4" s="915"/>
      <c r="CR4" s="915"/>
      <c r="CS4" s="915"/>
      <c r="CT4" s="915"/>
      <c r="CU4" s="915"/>
      <c r="CV4" s="915"/>
      <c r="CW4" s="915"/>
      <c r="CX4" s="915"/>
      <c r="CY4" s="915"/>
      <c r="CZ4" s="915"/>
      <c r="DA4" s="915"/>
      <c r="DB4" s="915"/>
      <c r="DC4" s="915"/>
      <c r="DD4" s="915"/>
      <c r="DE4" s="915"/>
      <c r="DF4" s="915"/>
      <c r="DG4" s="915"/>
      <c r="DH4" s="915"/>
      <c r="DI4" s="915"/>
      <c r="DJ4" s="915"/>
      <c r="DK4" s="915"/>
      <c r="DL4" s="915"/>
      <c r="DM4" s="915"/>
      <c r="DN4" s="915"/>
      <c r="DO4" s="915"/>
      <c r="DP4" s="915"/>
      <c r="DQ4" s="915"/>
      <c r="DR4" s="915"/>
      <c r="DS4" s="915"/>
      <c r="DT4" s="915"/>
      <c r="DU4" s="915"/>
      <c r="DV4" s="915"/>
      <c r="DW4" s="915"/>
      <c r="DX4" s="915"/>
      <c r="DY4" s="915"/>
      <c r="DZ4" s="915"/>
      <c r="EA4" s="915"/>
      <c r="EB4" s="915"/>
      <c r="EC4" s="915"/>
      <c r="ED4" s="915"/>
      <c r="EE4" s="915"/>
      <c r="EF4" s="915"/>
      <c r="EG4" s="915"/>
      <c r="EH4" s="915"/>
      <c r="EI4" s="915"/>
      <c r="EJ4" s="915"/>
      <c r="EK4" s="915"/>
      <c r="EL4" s="915"/>
      <c r="EM4" s="915"/>
      <c r="EN4" s="915"/>
      <c r="EO4" s="915"/>
      <c r="EP4" s="915"/>
      <c r="EQ4" s="915"/>
      <c r="ER4" s="915"/>
      <c r="ES4" s="915"/>
      <c r="ET4" s="915"/>
      <c r="EU4" s="915"/>
      <c r="EV4" s="915"/>
      <c r="EW4" s="915"/>
      <c r="EX4" s="915"/>
      <c r="EY4" s="915"/>
      <c r="EZ4" s="915"/>
      <c r="FA4" s="915"/>
      <c r="FB4" s="915"/>
      <c r="FC4" s="915"/>
      <c r="FD4" s="915"/>
      <c r="FE4" s="915"/>
      <c r="FF4" s="915"/>
      <c r="FG4" s="915"/>
      <c r="FH4" s="915"/>
      <c r="FI4" s="915"/>
      <c r="FJ4" s="915"/>
      <c r="FK4" s="915"/>
      <c r="FL4" s="915"/>
      <c r="FM4" s="915"/>
      <c r="FN4" s="915"/>
      <c r="FO4" s="915"/>
      <c r="FP4" s="915"/>
      <c r="FQ4" s="915"/>
      <c r="FR4" s="915"/>
      <c r="FS4" s="915"/>
      <c r="FT4" s="915"/>
      <c r="FU4" s="915"/>
      <c r="FV4" s="915"/>
      <c r="FW4" s="915"/>
      <c r="FX4" s="915"/>
      <c r="FY4" s="915"/>
      <c r="FZ4" s="915"/>
    </row>
    <row r="5" spans="1:182" s="29" customFormat="1" ht="12.75" customHeight="1" x14ac:dyDescent="0.2">
      <c r="A5" s="1455" t="s">
        <v>3</v>
      </c>
      <c r="B5" s="1456"/>
      <c r="C5" s="88">
        <f ca="1">DateField</f>
        <v>45516</v>
      </c>
      <c r="D5" s="1523"/>
      <c r="E5" s="1523"/>
      <c r="F5" s="1523"/>
      <c r="G5" s="1523"/>
      <c r="H5" s="1523"/>
      <c r="I5" s="1523"/>
      <c r="J5" s="1523"/>
      <c r="K5" s="1440" t="s">
        <v>322</v>
      </c>
      <c r="M5" s="915"/>
      <c r="N5" s="942"/>
      <c r="O5" s="915"/>
      <c r="P5" s="915"/>
      <c r="Q5" s="915"/>
      <c r="R5" s="915"/>
      <c r="S5" s="915"/>
      <c r="T5" s="915"/>
      <c r="U5" s="915"/>
      <c r="V5" s="915"/>
      <c r="W5" s="915"/>
      <c r="X5" s="915"/>
      <c r="Y5" s="915"/>
      <c r="Z5" s="915"/>
      <c r="AA5" s="915"/>
      <c r="AB5" s="915"/>
      <c r="AC5" s="915"/>
      <c r="AD5" s="915"/>
      <c r="AE5" s="915"/>
      <c r="AF5" s="915"/>
      <c r="AG5" s="915"/>
      <c r="AH5" s="915"/>
      <c r="AI5" s="915"/>
      <c r="AJ5" s="915"/>
      <c r="AK5" s="915"/>
      <c r="AL5" s="915"/>
      <c r="AM5" s="915"/>
      <c r="AN5" s="915"/>
      <c r="AO5" s="915"/>
      <c r="AP5" s="915"/>
      <c r="AQ5" s="915"/>
      <c r="AR5" s="915"/>
      <c r="AS5" s="915"/>
      <c r="AT5" s="915"/>
      <c r="AU5" s="915"/>
      <c r="AV5" s="915"/>
      <c r="AW5" s="915"/>
      <c r="AX5" s="915"/>
      <c r="AY5" s="915"/>
      <c r="AZ5" s="915"/>
      <c r="BA5" s="915"/>
      <c r="BB5" s="915"/>
      <c r="BC5" s="915"/>
      <c r="BD5" s="915"/>
      <c r="BE5" s="915"/>
      <c r="BF5" s="915"/>
      <c r="BG5" s="915"/>
      <c r="BH5" s="915"/>
      <c r="BI5" s="915"/>
      <c r="BJ5" s="915"/>
      <c r="BK5" s="915"/>
      <c r="BL5" s="915"/>
      <c r="BM5" s="915"/>
      <c r="BN5" s="915"/>
      <c r="BO5" s="915"/>
      <c r="BP5" s="915"/>
      <c r="BQ5" s="915"/>
      <c r="BR5" s="915"/>
      <c r="BS5" s="915"/>
      <c r="BT5" s="915"/>
      <c r="BU5" s="915"/>
      <c r="BV5" s="915"/>
      <c r="BW5" s="915"/>
      <c r="BX5" s="915"/>
      <c r="BY5" s="915"/>
      <c r="BZ5" s="915"/>
      <c r="CA5" s="915"/>
      <c r="CB5" s="915"/>
      <c r="CC5" s="915"/>
      <c r="CD5" s="915"/>
      <c r="CE5" s="915"/>
      <c r="CF5" s="915"/>
      <c r="CG5" s="915"/>
      <c r="CH5" s="915"/>
      <c r="CI5" s="915"/>
      <c r="CJ5" s="915"/>
      <c r="CK5" s="915"/>
      <c r="CL5" s="915"/>
      <c r="CM5" s="915"/>
      <c r="CN5" s="915"/>
      <c r="CO5" s="915"/>
      <c r="CP5" s="915"/>
      <c r="CQ5" s="915"/>
      <c r="CR5" s="915"/>
      <c r="CS5" s="915"/>
      <c r="CT5" s="915"/>
      <c r="CU5" s="915"/>
      <c r="CV5" s="915"/>
      <c r="CW5" s="915"/>
      <c r="CX5" s="915"/>
      <c r="CY5" s="915"/>
      <c r="CZ5" s="915"/>
      <c r="DA5" s="915"/>
      <c r="DB5" s="915"/>
      <c r="DC5" s="915"/>
      <c r="DD5" s="915"/>
      <c r="DE5" s="915"/>
      <c r="DF5" s="915"/>
      <c r="DG5" s="915"/>
      <c r="DH5" s="915"/>
      <c r="DI5" s="915"/>
      <c r="DJ5" s="915"/>
      <c r="DK5" s="915"/>
      <c r="DL5" s="915"/>
      <c r="DM5" s="915"/>
      <c r="DN5" s="915"/>
      <c r="DO5" s="915"/>
      <c r="DP5" s="915"/>
      <c r="DQ5" s="915"/>
      <c r="DR5" s="915"/>
      <c r="DS5" s="915"/>
      <c r="DT5" s="915"/>
      <c r="DU5" s="915"/>
      <c r="DV5" s="915"/>
      <c r="DW5" s="915"/>
      <c r="DX5" s="915"/>
      <c r="DY5" s="915"/>
      <c r="DZ5" s="915"/>
      <c r="EA5" s="915"/>
      <c r="EB5" s="915"/>
      <c r="EC5" s="915"/>
      <c r="ED5" s="915"/>
      <c r="EE5" s="915"/>
      <c r="EF5" s="915"/>
      <c r="EG5" s="915"/>
      <c r="EH5" s="915"/>
      <c r="EI5" s="915"/>
      <c r="EJ5" s="915"/>
      <c r="EK5" s="915"/>
      <c r="EL5" s="915"/>
      <c r="EM5" s="915"/>
      <c r="EN5" s="915"/>
      <c r="EO5" s="915"/>
      <c r="EP5" s="915"/>
      <c r="EQ5" s="915"/>
      <c r="ER5" s="915"/>
      <c r="ES5" s="915"/>
      <c r="ET5" s="915"/>
      <c r="EU5" s="915"/>
      <c r="EV5" s="915"/>
      <c r="EW5" s="915"/>
      <c r="EX5" s="915"/>
      <c r="EY5" s="915"/>
      <c r="EZ5" s="915"/>
      <c r="FA5" s="915"/>
      <c r="FB5" s="915"/>
      <c r="FC5" s="915"/>
      <c r="FD5" s="915"/>
      <c r="FE5" s="915"/>
      <c r="FF5" s="915"/>
      <c r="FG5" s="915"/>
      <c r="FH5" s="915"/>
      <c r="FI5" s="915"/>
      <c r="FJ5" s="915"/>
      <c r="FK5" s="915"/>
      <c r="FL5" s="915"/>
      <c r="FM5" s="915"/>
      <c r="FN5" s="915"/>
      <c r="FO5" s="915"/>
      <c r="FP5" s="915"/>
      <c r="FQ5" s="915"/>
      <c r="FR5" s="915"/>
      <c r="FS5" s="915"/>
      <c r="FT5" s="915"/>
      <c r="FU5" s="915"/>
      <c r="FV5" s="915"/>
      <c r="FW5" s="915"/>
      <c r="FX5" s="915"/>
      <c r="FY5" s="915"/>
      <c r="FZ5" s="915"/>
    </row>
    <row r="6" spans="1:182" s="29" customFormat="1" ht="27.75" customHeight="1" x14ac:dyDescent="0.2">
      <c r="A6" s="1451" t="s">
        <v>81</v>
      </c>
      <c r="B6" s="1521" t="s">
        <v>39</v>
      </c>
      <c r="C6" s="1426"/>
      <c r="D6" s="1516" t="s">
        <v>670</v>
      </c>
      <c r="E6" s="1516" t="s">
        <v>149</v>
      </c>
      <c r="F6" s="1444" t="s">
        <v>84</v>
      </c>
      <c r="G6" s="1444" t="s">
        <v>85</v>
      </c>
      <c r="H6" s="1444" t="s">
        <v>86</v>
      </c>
      <c r="I6" s="93" t="s">
        <v>87</v>
      </c>
      <c r="J6" s="31" t="s">
        <v>190</v>
      </c>
      <c r="K6" s="1441"/>
      <c r="M6" s="915"/>
      <c r="N6" s="942"/>
      <c r="O6" s="915"/>
      <c r="P6" s="915"/>
      <c r="Q6" s="915"/>
      <c r="R6" s="915"/>
      <c r="S6" s="915"/>
      <c r="T6" s="915"/>
      <c r="U6" s="915"/>
      <c r="V6" s="915"/>
      <c r="W6" s="942">
        <f>SUM(W8:W167)</f>
        <v>7.42</v>
      </c>
      <c r="X6" s="942">
        <f t="shared" ref="X6:CI6" si="0">SUM(X8:X167)</f>
        <v>7.42</v>
      </c>
      <c r="Y6" s="942">
        <f t="shared" si="0"/>
        <v>7.42</v>
      </c>
      <c r="Z6" s="942">
        <f t="shared" si="0"/>
        <v>7.42</v>
      </c>
      <c r="AA6" s="942">
        <f t="shared" si="0"/>
        <v>7.42</v>
      </c>
      <c r="AB6" s="942">
        <f t="shared" si="0"/>
        <v>7.42</v>
      </c>
      <c r="AC6" s="942">
        <f t="shared" si="0"/>
        <v>7.42</v>
      </c>
      <c r="AD6" s="942">
        <f t="shared" si="0"/>
        <v>7.42</v>
      </c>
      <c r="AE6" s="942">
        <f t="shared" si="0"/>
        <v>7.42</v>
      </c>
      <c r="AF6" s="942">
        <f t="shared" si="0"/>
        <v>7.42</v>
      </c>
      <c r="AG6" s="942">
        <f t="shared" si="0"/>
        <v>7.42</v>
      </c>
      <c r="AH6" s="942">
        <f t="shared" si="0"/>
        <v>7.42</v>
      </c>
      <c r="AI6" s="942">
        <f t="shared" si="0"/>
        <v>7.42</v>
      </c>
      <c r="AJ6" s="942">
        <f t="shared" si="0"/>
        <v>7.42</v>
      </c>
      <c r="AK6" s="942">
        <f t="shared" si="0"/>
        <v>7.42</v>
      </c>
      <c r="AL6" s="942">
        <f t="shared" si="0"/>
        <v>7.42</v>
      </c>
      <c r="AM6" s="942">
        <f t="shared" si="0"/>
        <v>7.42</v>
      </c>
      <c r="AN6" s="942">
        <f t="shared" si="0"/>
        <v>7.42</v>
      </c>
      <c r="AO6" s="942">
        <f t="shared" si="0"/>
        <v>7.42</v>
      </c>
      <c r="AP6" s="942">
        <f t="shared" si="0"/>
        <v>7.42</v>
      </c>
      <c r="AQ6" s="942">
        <f t="shared" si="0"/>
        <v>7.42</v>
      </c>
      <c r="AR6" s="942">
        <f t="shared" si="0"/>
        <v>7.42</v>
      </c>
      <c r="AS6" s="942">
        <f t="shared" si="0"/>
        <v>7.42</v>
      </c>
      <c r="AT6" s="942">
        <f t="shared" si="0"/>
        <v>7.42</v>
      </c>
      <c r="AU6" s="942">
        <f t="shared" si="0"/>
        <v>7.42</v>
      </c>
      <c r="AV6" s="942">
        <f t="shared" si="0"/>
        <v>7.42</v>
      </c>
      <c r="AW6" s="942">
        <f t="shared" si="0"/>
        <v>7.42</v>
      </c>
      <c r="AX6" s="942">
        <f t="shared" si="0"/>
        <v>7.42</v>
      </c>
      <c r="AY6" s="942">
        <f t="shared" si="0"/>
        <v>7.42</v>
      </c>
      <c r="AZ6" s="942">
        <f t="shared" si="0"/>
        <v>7.42</v>
      </c>
      <c r="BA6" s="942">
        <f t="shared" si="0"/>
        <v>7.42</v>
      </c>
      <c r="BB6" s="942">
        <f t="shared" si="0"/>
        <v>7.42</v>
      </c>
      <c r="BC6" s="942">
        <f t="shared" si="0"/>
        <v>7.42</v>
      </c>
      <c r="BD6" s="942">
        <f t="shared" si="0"/>
        <v>7.42</v>
      </c>
      <c r="BE6" s="942">
        <f t="shared" si="0"/>
        <v>7.42</v>
      </c>
      <c r="BF6" s="942">
        <f t="shared" si="0"/>
        <v>7.42</v>
      </c>
      <c r="BG6" s="942">
        <f t="shared" si="0"/>
        <v>7.42</v>
      </c>
      <c r="BH6" s="942">
        <f t="shared" si="0"/>
        <v>7.42</v>
      </c>
      <c r="BI6" s="942">
        <f t="shared" si="0"/>
        <v>7.42</v>
      </c>
      <c r="BJ6" s="942">
        <f t="shared" si="0"/>
        <v>7.42</v>
      </c>
      <c r="BK6" s="942">
        <f t="shared" si="0"/>
        <v>7.42</v>
      </c>
      <c r="BL6" s="942">
        <f t="shared" si="0"/>
        <v>7.42</v>
      </c>
      <c r="BM6" s="942">
        <f t="shared" si="0"/>
        <v>7.42</v>
      </c>
      <c r="BN6" s="942">
        <f t="shared" si="0"/>
        <v>7.42</v>
      </c>
      <c r="BO6" s="942">
        <f t="shared" si="0"/>
        <v>7.42</v>
      </c>
      <c r="BP6" s="942">
        <f t="shared" si="0"/>
        <v>7.42</v>
      </c>
      <c r="BQ6" s="942">
        <f t="shared" si="0"/>
        <v>7.42</v>
      </c>
      <c r="BR6" s="942">
        <f t="shared" si="0"/>
        <v>7.42</v>
      </c>
      <c r="BS6" s="942">
        <f t="shared" si="0"/>
        <v>7.42</v>
      </c>
      <c r="BT6" s="942">
        <f t="shared" si="0"/>
        <v>7.42</v>
      </c>
      <c r="BU6" s="942">
        <f t="shared" si="0"/>
        <v>7.42</v>
      </c>
      <c r="BV6" s="942">
        <f t="shared" si="0"/>
        <v>7.42</v>
      </c>
      <c r="BW6" s="942">
        <f t="shared" si="0"/>
        <v>7.42</v>
      </c>
      <c r="BX6" s="942">
        <f t="shared" si="0"/>
        <v>7.42</v>
      </c>
      <c r="BY6" s="942">
        <f t="shared" si="0"/>
        <v>7.42</v>
      </c>
      <c r="BZ6" s="942">
        <f t="shared" si="0"/>
        <v>7.42</v>
      </c>
      <c r="CA6" s="942">
        <f t="shared" si="0"/>
        <v>7.42</v>
      </c>
      <c r="CB6" s="942">
        <f t="shared" si="0"/>
        <v>7.42</v>
      </c>
      <c r="CC6" s="942">
        <f t="shared" si="0"/>
        <v>7.42</v>
      </c>
      <c r="CD6" s="942">
        <f t="shared" si="0"/>
        <v>7.42</v>
      </c>
      <c r="CE6" s="942">
        <f t="shared" si="0"/>
        <v>7.42</v>
      </c>
      <c r="CF6" s="942">
        <f t="shared" si="0"/>
        <v>7.42</v>
      </c>
      <c r="CG6" s="942">
        <f t="shared" si="0"/>
        <v>7.42</v>
      </c>
      <c r="CH6" s="942">
        <f t="shared" si="0"/>
        <v>7.42</v>
      </c>
      <c r="CI6" s="942">
        <f t="shared" si="0"/>
        <v>7.42</v>
      </c>
      <c r="CJ6" s="942">
        <f t="shared" ref="CJ6:CM6" si="1">SUM(CJ8:CJ167)</f>
        <v>7.42</v>
      </c>
      <c r="CK6" s="942">
        <f t="shared" si="1"/>
        <v>7.42</v>
      </c>
      <c r="CL6" s="942">
        <f t="shared" si="1"/>
        <v>7.42</v>
      </c>
      <c r="CM6" s="942">
        <f t="shared" si="1"/>
        <v>7.42</v>
      </c>
      <c r="CN6" s="942">
        <f>SUM(CN8:CN167)</f>
        <v>7.42</v>
      </c>
      <c r="CO6" s="942">
        <f t="shared" ref="CO6:CZ6" si="2">SUM(CO8:CO167)</f>
        <v>7.42</v>
      </c>
      <c r="CP6" s="942">
        <f t="shared" si="2"/>
        <v>7.42</v>
      </c>
      <c r="CQ6" s="942">
        <f t="shared" si="2"/>
        <v>7.42</v>
      </c>
      <c r="CR6" s="942">
        <f t="shared" si="2"/>
        <v>7.42</v>
      </c>
      <c r="CS6" s="942">
        <f t="shared" si="2"/>
        <v>7.42</v>
      </c>
      <c r="CT6" s="942">
        <f t="shared" si="2"/>
        <v>7.42</v>
      </c>
      <c r="CU6" s="942">
        <f t="shared" si="2"/>
        <v>7.42</v>
      </c>
      <c r="CV6" s="942">
        <f t="shared" si="2"/>
        <v>7.42</v>
      </c>
      <c r="CW6" s="942">
        <f t="shared" si="2"/>
        <v>7.42</v>
      </c>
      <c r="CX6" s="942">
        <f t="shared" si="2"/>
        <v>7.42</v>
      </c>
      <c r="CY6" s="942">
        <f t="shared" si="2"/>
        <v>7.42</v>
      </c>
      <c r="CZ6" s="942">
        <f t="shared" si="2"/>
        <v>7.42</v>
      </c>
      <c r="DA6" s="942">
        <f>SUM(DA8:DA167)</f>
        <v>7.42</v>
      </c>
      <c r="DB6" s="942">
        <f t="shared" ref="DB6:DP6" si="3">SUM(DB8:DB167)</f>
        <v>7.42</v>
      </c>
      <c r="DC6" s="942">
        <f t="shared" si="3"/>
        <v>7.42</v>
      </c>
      <c r="DD6" s="942">
        <f t="shared" si="3"/>
        <v>7.42</v>
      </c>
      <c r="DE6" s="942">
        <f t="shared" si="3"/>
        <v>7.42</v>
      </c>
      <c r="DF6" s="942">
        <f t="shared" si="3"/>
        <v>7.42</v>
      </c>
      <c r="DG6" s="942">
        <f t="shared" si="3"/>
        <v>7.42</v>
      </c>
      <c r="DH6" s="942">
        <f t="shared" si="3"/>
        <v>7.42</v>
      </c>
      <c r="DI6" s="942">
        <f t="shared" si="3"/>
        <v>7.42</v>
      </c>
      <c r="DJ6" s="942">
        <f t="shared" si="3"/>
        <v>7.42</v>
      </c>
      <c r="DK6" s="942">
        <f t="shared" si="3"/>
        <v>7.42</v>
      </c>
      <c r="DL6" s="942">
        <f t="shared" si="3"/>
        <v>7.42</v>
      </c>
      <c r="DM6" s="942">
        <f t="shared" si="3"/>
        <v>7.42</v>
      </c>
      <c r="DN6" s="942">
        <f t="shared" si="3"/>
        <v>7.42</v>
      </c>
      <c r="DO6" s="942">
        <f t="shared" si="3"/>
        <v>7.42</v>
      </c>
      <c r="DP6" s="942">
        <f t="shared" si="3"/>
        <v>7.42</v>
      </c>
      <c r="DQ6" s="942">
        <f>SUM(DQ8:DQ167)</f>
        <v>7.42</v>
      </c>
      <c r="DR6" s="942">
        <f t="shared" ref="DR6:EB6" si="4">SUM(DR8:DR167)</f>
        <v>7.42</v>
      </c>
      <c r="DS6" s="942">
        <f t="shared" si="4"/>
        <v>7.42</v>
      </c>
      <c r="DT6" s="942">
        <f t="shared" si="4"/>
        <v>7.42</v>
      </c>
      <c r="DU6" s="942">
        <f t="shared" si="4"/>
        <v>7.42</v>
      </c>
      <c r="DV6" s="942">
        <f t="shared" si="4"/>
        <v>7.42</v>
      </c>
      <c r="DW6" s="942">
        <f t="shared" si="4"/>
        <v>7.42</v>
      </c>
      <c r="DX6" s="942">
        <f t="shared" si="4"/>
        <v>7.42</v>
      </c>
      <c r="DY6" s="942">
        <f t="shared" si="4"/>
        <v>7.42</v>
      </c>
      <c r="DZ6" s="942">
        <f t="shared" si="4"/>
        <v>7.42</v>
      </c>
      <c r="EA6" s="942">
        <f t="shared" si="4"/>
        <v>7.42</v>
      </c>
      <c r="EB6" s="942">
        <f t="shared" si="4"/>
        <v>7.42</v>
      </c>
      <c r="EC6" s="942">
        <f>SUM(EC8:EC167)</f>
        <v>7.42</v>
      </c>
      <c r="ED6" s="942">
        <f t="shared" ref="ED6:ES6" si="5">SUM(ED8:ED167)</f>
        <v>7.42</v>
      </c>
      <c r="EE6" s="942">
        <f t="shared" si="5"/>
        <v>7.42</v>
      </c>
      <c r="EF6" s="942">
        <f t="shared" si="5"/>
        <v>7.42</v>
      </c>
      <c r="EG6" s="942">
        <f t="shared" si="5"/>
        <v>7.42</v>
      </c>
      <c r="EH6" s="942">
        <f t="shared" si="5"/>
        <v>7.42</v>
      </c>
      <c r="EI6" s="942">
        <f t="shared" si="5"/>
        <v>7.42</v>
      </c>
      <c r="EJ6" s="942">
        <f t="shared" si="5"/>
        <v>7.42</v>
      </c>
      <c r="EK6" s="942">
        <f t="shared" si="5"/>
        <v>7.42</v>
      </c>
      <c r="EL6" s="942">
        <f t="shared" si="5"/>
        <v>7.42</v>
      </c>
      <c r="EM6" s="942">
        <f t="shared" si="5"/>
        <v>7.42</v>
      </c>
      <c r="EN6" s="942">
        <f t="shared" si="5"/>
        <v>7.42</v>
      </c>
      <c r="EO6" s="942">
        <f t="shared" si="5"/>
        <v>7.42</v>
      </c>
      <c r="EP6" s="942">
        <f t="shared" si="5"/>
        <v>7.42</v>
      </c>
      <c r="EQ6" s="942">
        <f t="shared" si="5"/>
        <v>7.42</v>
      </c>
      <c r="ER6" s="942">
        <f t="shared" si="5"/>
        <v>7.42</v>
      </c>
      <c r="ES6" s="942">
        <f t="shared" si="5"/>
        <v>7.42</v>
      </c>
      <c r="ET6" s="942">
        <f>SUM(ET8:ET167)</f>
        <v>7.42</v>
      </c>
      <c r="EU6" s="942">
        <f t="shared" ref="EU6:EZ6" si="6">SUM(EU8:EU167)</f>
        <v>7.42</v>
      </c>
      <c r="EV6" s="942">
        <f t="shared" si="6"/>
        <v>7.42</v>
      </c>
      <c r="EW6" s="942">
        <f t="shared" si="6"/>
        <v>7.42</v>
      </c>
      <c r="EX6" s="942">
        <f t="shared" si="6"/>
        <v>7.42</v>
      </c>
      <c r="EY6" s="942">
        <f t="shared" si="6"/>
        <v>7.42</v>
      </c>
      <c r="EZ6" s="942">
        <f t="shared" si="6"/>
        <v>7.42</v>
      </c>
      <c r="FA6" s="942">
        <f>SUM(FA8:FA167)</f>
        <v>7.42</v>
      </c>
      <c r="FB6" s="942">
        <f t="shared" ref="FB6:FZ6" si="7">SUM(FB8:FB167)</f>
        <v>7.42</v>
      </c>
      <c r="FC6" s="942">
        <f t="shared" si="7"/>
        <v>7.42</v>
      </c>
      <c r="FD6" s="942">
        <f t="shared" si="7"/>
        <v>7.42</v>
      </c>
      <c r="FE6" s="942">
        <f t="shared" si="7"/>
        <v>7.42</v>
      </c>
      <c r="FF6" s="942">
        <f t="shared" si="7"/>
        <v>7.42</v>
      </c>
      <c r="FG6" s="942">
        <f t="shared" si="7"/>
        <v>7.42</v>
      </c>
      <c r="FH6" s="942">
        <f t="shared" si="7"/>
        <v>7.42</v>
      </c>
      <c r="FI6" s="942">
        <f t="shared" si="7"/>
        <v>7.42</v>
      </c>
      <c r="FJ6" s="942">
        <f t="shared" si="7"/>
        <v>7.42</v>
      </c>
      <c r="FK6" s="942">
        <f t="shared" si="7"/>
        <v>7.42</v>
      </c>
      <c r="FL6" s="942">
        <f t="shared" si="7"/>
        <v>7.42</v>
      </c>
      <c r="FM6" s="942">
        <f t="shared" si="7"/>
        <v>7.42</v>
      </c>
      <c r="FN6" s="942">
        <f t="shared" si="7"/>
        <v>7.42</v>
      </c>
      <c r="FO6" s="942">
        <f t="shared" si="7"/>
        <v>7.42</v>
      </c>
      <c r="FP6" s="942">
        <f t="shared" si="7"/>
        <v>7.42</v>
      </c>
      <c r="FQ6" s="942">
        <f t="shared" si="7"/>
        <v>7.42</v>
      </c>
      <c r="FR6" s="942">
        <f t="shared" si="7"/>
        <v>7.42</v>
      </c>
      <c r="FS6" s="942">
        <f t="shared" si="7"/>
        <v>7.42</v>
      </c>
      <c r="FT6" s="942">
        <f t="shared" si="7"/>
        <v>7.42</v>
      </c>
      <c r="FU6" s="942">
        <f t="shared" si="7"/>
        <v>7.42</v>
      </c>
      <c r="FV6" s="942">
        <f t="shared" si="7"/>
        <v>7.42</v>
      </c>
      <c r="FW6" s="942">
        <f t="shared" si="7"/>
        <v>7.42</v>
      </c>
      <c r="FX6" s="942">
        <f t="shared" si="7"/>
        <v>7.42</v>
      </c>
      <c r="FY6" s="942">
        <f t="shared" si="7"/>
        <v>7.42</v>
      </c>
      <c r="FZ6" s="942">
        <f t="shared" si="7"/>
        <v>7.42</v>
      </c>
    </row>
    <row r="7" spans="1:182" s="29" customFormat="1" ht="24" customHeight="1" x14ac:dyDescent="0.25">
      <c r="A7" s="1452"/>
      <c r="B7" s="1427"/>
      <c r="C7" s="1428"/>
      <c r="D7" s="1450"/>
      <c r="E7" s="1450"/>
      <c r="F7" s="1445"/>
      <c r="G7" s="1445"/>
      <c r="H7" s="1445"/>
      <c r="I7" s="102">
        <v>0.06</v>
      </c>
      <c r="J7" s="99" t="s">
        <v>40</v>
      </c>
      <c r="K7" s="1441"/>
      <c r="L7" s="137"/>
      <c r="M7" s="952"/>
      <c r="N7" s="953"/>
      <c r="O7" s="952"/>
      <c r="P7" s="945" t="s">
        <v>130</v>
      </c>
      <c r="Q7" s="952"/>
      <c r="R7" s="947" t="s">
        <v>163</v>
      </c>
      <c r="S7" s="915"/>
      <c r="T7" s="947" t="s">
        <v>192</v>
      </c>
      <c r="U7" s="915"/>
      <c r="V7" s="915"/>
      <c r="W7" s="939" t="s">
        <v>194</v>
      </c>
      <c r="X7" s="939" t="s">
        <v>195</v>
      </c>
      <c r="Y7" s="939" t="s">
        <v>196</v>
      </c>
      <c r="Z7" s="939" t="s">
        <v>197</v>
      </c>
      <c r="AA7" s="939" t="s">
        <v>198</v>
      </c>
      <c r="AB7" s="939" t="s">
        <v>199</v>
      </c>
      <c r="AC7" s="939" t="s">
        <v>200</v>
      </c>
      <c r="AD7" s="939" t="s">
        <v>201</v>
      </c>
      <c r="AE7" s="939" t="s">
        <v>202</v>
      </c>
      <c r="AF7" s="939" t="s">
        <v>203</v>
      </c>
      <c r="AG7" s="939" t="s">
        <v>204</v>
      </c>
      <c r="AH7" s="939" t="s">
        <v>205</v>
      </c>
      <c r="AI7" s="939" t="s">
        <v>206</v>
      </c>
      <c r="AJ7" s="939" t="s">
        <v>207</v>
      </c>
      <c r="AK7" s="939" t="s">
        <v>208</v>
      </c>
      <c r="AL7" s="939" t="s">
        <v>209</v>
      </c>
      <c r="AM7" s="939" t="s">
        <v>210</v>
      </c>
      <c r="AN7" s="939" t="s">
        <v>211</v>
      </c>
      <c r="AO7" s="939" t="s">
        <v>212</v>
      </c>
      <c r="AP7" s="939" t="s">
        <v>213</v>
      </c>
      <c r="AQ7" s="939" t="s">
        <v>214</v>
      </c>
      <c r="AR7" s="939" t="s">
        <v>215</v>
      </c>
      <c r="AS7" s="939" t="s">
        <v>216</v>
      </c>
      <c r="AT7" s="939" t="s">
        <v>217</v>
      </c>
      <c r="AU7" s="939" t="s">
        <v>218</v>
      </c>
      <c r="AV7" s="939" t="s">
        <v>219</v>
      </c>
      <c r="AW7" s="939" t="s">
        <v>220</v>
      </c>
      <c r="AX7" s="939" t="s">
        <v>221</v>
      </c>
      <c r="AY7" s="939" t="s">
        <v>222</v>
      </c>
      <c r="AZ7" s="939" t="s">
        <v>223</v>
      </c>
      <c r="BA7" s="939" t="s">
        <v>224</v>
      </c>
      <c r="BB7" s="939" t="s">
        <v>225</v>
      </c>
      <c r="BC7" s="939" t="s">
        <v>226</v>
      </c>
      <c r="BD7" s="939" t="s">
        <v>227</v>
      </c>
      <c r="BE7" s="939" t="s">
        <v>228</v>
      </c>
      <c r="BF7" s="939" t="s">
        <v>229</v>
      </c>
      <c r="BG7" s="939" t="s">
        <v>230</v>
      </c>
      <c r="BH7" s="939" t="s">
        <v>232</v>
      </c>
      <c r="BI7" s="939" t="s">
        <v>231</v>
      </c>
      <c r="BJ7" s="939" t="s">
        <v>233</v>
      </c>
      <c r="BK7" s="939" t="s">
        <v>234</v>
      </c>
      <c r="BL7" s="939" t="s">
        <v>235</v>
      </c>
      <c r="BM7" s="939" t="s">
        <v>236</v>
      </c>
      <c r="BN7" s="939" t="s">
        <v>237</v>
      </c>
      <c r="BO7" s="939" t="s">
        <v>238</v>
      </c>
      <c r="BP7" s="939" t="s">
        <v>239</v>
      </c>
      <c r="BQ7" s="939" t="s">
        <v>240</v>
      </c>
      <c r="BR7" s="939" t="s">
        <v>241</v>
      </c>
      <c r="BS7" s="939" t="s">
        <v>585</v>
      </c>
      <c r="BT7" s="939" t="s">
        <v>586</v>
      </c>
      <c r="BU7" s="939" t="s">
        <v>587</v>
      </c>
      <c r="BV7" s="939" t="s">
        <v>588</v>
      </c>
      <c r="BW7" s="939" t="s">
        <v>589</v>
      </c>
      <c r="BX7" s="939" t="s">
        <v>590</v>
      </c>
      <c r="BY7" s="939" t="s">
        <v>591</v>
      </c>
      <c r="BZ7" s="939" t="s">
        <v>592</v>
      </c>
      <c r="CA7" s="939" t="s">
        <v>593</v>
      </c>
      <c r="CB7" s="939" t="s">
        <v>594</v>
      </c>
      <c r="CC7" s="939" t="s">
        <v>595</v>
      </c>
      <c r="CD7" s="939" t="s">
        <v>596</v>
      </c>
      <c r="CE7" s="939" t="s">
        <v>597</v>
      </c>
      <c r="CF7" s="939" t="s">
        <v>598</v>
      </c>
      <c r="CG7" s="939" t="s">
        <v>599</v>
      </c>
      <c r="CH7" s="939" t="s">
        <v>600</v>
      </c>
      <c r="CI7" s="939" t="s">
        <v>601</v>
      </c>
      <c r="CJ7" s="939" t="s">
        <v>602</v>
      </c>
      <c r="CK7" s="939" t="s">
        <v>603</v>
      </c>
      <c r="CL7" s="939" t="s">
        <v>604</v>
      </c>
      <c r="CM7" s="939" t="s">
        <v>605</v>
      </c>
      <c r="CN7" s="939" t="s">
        <v>606</v>
      </c>
      <c r="CO7" s="939" t="s">
        <v>607</v>
      </c>
      <c r="CP7" s="939" t="s">
        <v>608</v>
      </c>
      <c r="CQ7" s="939" t="s">
        <v>609</v>
      </c>
      <c r="CR7" s="939" t="s">
        <v>610</v>
      </c>
      <c r="CS7" s="939" t="s">
        <v>611</v>
      </c>
      <c r="CT7" s="939" t="s">
        <v>612</v>
      </c>
      <c r="CU7" s="939" t="s">
        <v>613</v>
      </c>
      <c r="CV7" s="939" t="s">
        <v>614</v>
      </c>
      <c r="CW7" s="939" t="s">
        <v>615</v>
      </c>
      <c r="CX7" s="939" t="s">
        <v>616</v>
      </c>
      <c r="CY7" s="939" t="s">
        <v>2134</v>
      </c>
      <c r="CZ7" s="939" t="s">
        <v>2135</v>
      </c>
      <c r="DA7" s="939" t="s">
        <v>2136</v>
      </c>
      <c r="DB7" s="939" t="s">
        <v>2137</v>
      </c>
      <c r="DC7" s="939" t="s">
        <v>2138</v>
      </c>
      <c r="DD7" s="939" t="s">
        <v>2139</v>
      </c>
      <c r="DE7" s="939" t="s">
        <v>2140</v>
      </c>
      <c r="DF7" s="939" t="s">
        <v>2141</v>
      </c>
      <c r="DG7" s="939" t="s">
        <v>2142</v>
      </c>
      <c r="DH7" s="939" t="s">
        <v>2143</v>
      </c>
      <c r="DI7" s="939" t="s">
        <v>2146</v>
      </c>
      <c r="DJ7" s="939" t="s">
        <v>2145</v>
      </c>
      <c r="DK7" s="939" t="s">
        <v>2147</v>
      </c>
      <c r="DL7" s="939" t="s">
        <v>2148</v>
      </c>
      <c r="DM7" s="939" t="s">
        <v>2149</v>
      </c>
      <c r="DN7" s="939" t="s">
        <v>2150</v>
      </c>
      <c r="DO7" s="939" t="s">
        <v>2214</v>
      </c>
      <c r="DP7" s="939" t="s">
        <v>2215</v>
      </c>
      <c r="DQ7" s="939" t="s">
        <v>2144</v>
      </c>
      <c r="DR7" s="939" t="s">
        <v>2216</v>
      </c>
      <c r="DS7" s="939" t="s">
        <v>2217</v>
      </c>
      <c r="DT7" s="939" t="s">
        <v>2218</v>
      </c>
      <c r="DU7" s="939" t="s">
        <v>2219</v>
      </c>
      <c r="DV7" s="939" t="s">
        <v>2220</v>
      </c>
      <c r="DW7" s="939" t="s">
        <v>2221</v>
      </c>
      <c r="DX7" s="939" t="s">
        <v>2222</v>
      </c>
      <c r="DY7" s="939" t="s">
        <v>2223</v>
      </c>
      <c r="DZ7" s="939" t="s">
        <v>2224</v>
      </c>
      <c r="EA7" s="939" t="s">
        <v>2225</v>
      </c>
      <c r="EB7" s="939" t="s">
        <v>2226</v>
      </c>
      <c r="EC7" s="939" t="s">
        <v>2227</v>
      </c>
      <c r="ED7" s="939" t="s">
        <v>2228</v>
      </c>
      <c r="EE7" s="939" t="s">
        <v>2229</v>
      </c>
      <c r="EF7" s="939" t="s">
        <v>2230</v>
      </c>
      <c r="EG7" s="939" t="s">
        <v>2231</v>
      </c>
      <c r="EH7" s="939" t="s">
        <v>2232</v>
      </c>
      <c r="EI7" s="939" t="s">
        <v>2233</v>
      </c>
      <c r="EJ7" s="939" t="s">
        <v>2234</v>
      </c>
      <c r="EK7" s="939" t="s">
        <v>2235</v>
      </c>
      <c r="EL7" s="939" t="s">
        <v>2236</v>
      </c>
      <c r="EM7" s="939" t="s">
        <v>2237</v>
      </c>
      <c r="EN7" s="939" t="s">
        <v>2238</v>
      </c>
      <c r="EO7" s="939" t="s">
        <v>2239</v>
      </c>
      <c r="EP7" s="939" t="s">
        <v>2240</v>
      </c>
      <c r="EQ7" s="939" t="s">
        <v>2241</v>
      </c>
      <c r="ER7" s="939" t="s">
        <v>2242</v>
      </c>
      <c r="ES7" s="939" t="s">
        <v>2243</v>
      </c>
      <c r="ET7" s="939" t="s">
        <v>2244</v>
      </c>
      <c r="EU7" s="939" t="s">
        <v>2245</v>
      </c>
      <c r="EV7" s="939" t="s">
        <v>2246</v>
      </c>
      <c r="EW7" s="939" t="s">
        <v>2247</v>
      </c>
      <c r="EX7" s="939" t="s">
        <v>2248</v>
      </c>
      <c r="EY7" s="939" t="s">
        <v>2249</v>
      </c>
      <c r="EZ7" s="939" t="s">
        <v>2250</v>
      </c>
      <c r="FA7" s="939" t="s">
        <v>2251</v>
      </c>
      <c r="FB7" s="939" t="s">
        <v>2252</v>
      </c>
      <c r="FC7" s="939" t="s">
        <v>2253</v>
      </c>
      <c r="FD7" s="939" t="s">
        <v>2254</v>
      </c>
      <c r="FE7" s="939" t="s">
        <v>2255</v>
      </c>
      <c r="FF7" s="939" t="s">
        <v>2256</v>
      </c>
      <c r="FG7" s="939" t="s">
        <v>2257</v>
      </c>
      <c r="FH7" s="939" t="s">
        <v>2258</v>
      </c>
      <c r="FI7" s="939" t="s">
        <v>2259</v>
      </c>
      <c r="FJ7" s="939" t="s">
        <v>2260</v>
      </c>
      <c r="FK7" s="939" t="s">
        <v>2261</v>
      </c>
      <c r="FL7" s="939" t="s">
        <v>2262</v>
      </c>
      <c r="FM7" s="939" t="s">
        <v>2263</v>
      </c>
      <c r="FN7" s="939" t="s">
        <v>2264</v>
      </c>
      <c r="FO7" s="939" t="s">
        <v>2265</v>
      </c>
      <c r="FP7" s="939" t="s">
        <v>2266</v>
      </c>
      <c r="FQ7" s="939" t="s">
        <v>2267</v>
      </c>
      <c r="FR7" s="939" t="s">
        <v>2268</v>
      </c>
      <c r="FS7" s="939" t="s">
        <v>2269</v>
      </c>
      <c r="FT7" s="939" t="s">
        <v>2270</v>
      </c>
      <c r="FU7" s="939" t="s">
        <v>2271</v>
      </c>
      <c r="FV7" s="939" t="s">
        <v>2272</v>
      </c>
      <c r="FW7" s="939" t="s">
        <v>2273</v>
      </c>
      <c r="FX7" s="939" t="s">
        <v>2274</v>
      </c>
      <c r="FY7" s="939" t="s">
        <v>2275</v>
      </c>
      <c r="FZ7" s="939" t="s">
        <v>2276</v>
      </c>
    </row>
    <row r="8" spans="1:182" s="29" customFormat="1" ht="14.1" customHeight="1" x14ac:dyDescent="0.2">
      <c r="A8" s="496">
        <v>1</v>
      </c>
      <c r="B8" s="1435"/>
      <c r="C8" s="1436"/>
      <c r="D8" s="264">
        <v>1</v>
      </c>
      <c r="E8" s="264" t="s">
        <v>193</v>
      </c>
      <c r="F8" s="265" t="s">
        <v>2544</v>
      </c>
      <c r="G8" s="265" t="s">
        <v>2542</v>
      </c>
      <c r="H8" s="267">
        <v>7</v>
      </c>
      <c r="I8" s="268">
        <f>IF(ISTEXT(K8),0,StateTaxSub*G8*H8)</f>
        <v>0.42</v>
      </c>
      <c r="J8" s="269">
        <f>(G8*H8)+I8</f>
        <v>7.42</v>
      </c>
      <c r="K8" s="225"/>
      <c r="L8"/>
      <c r="M8" s="915"/>
      <c r="N8" s="942">
        <f>W6</f>
        <v>7.42</v>
      </c>
      <c r="O8" s="915" t="str">
        <f>"Boring/Monitoring Wells for "&amp;TabName1</f>
        <v>Boring/Monitoring Wells for Phase 1</v>
      </c>
      <c r="P8" s="949" t="s">
        <v>242</v>
      </c>
      <c r="Q8" s="915"/>
      <c r="R8" s="915">
        <f>INDEX(ValidateTable,1)</f>
        <v>1</v>
      </c>
      <c r="S8" s="915"/>
      <c r="T8" s="915" t="s">
        <v>193</v>
      </c>
      <c r="U8" s="915"/>
      <c r="V8" s="915"/>
      <c r="W8" s="915">
        <f t="shared" ref="W8:W71" si="8">IF(AND($D8=$R$8,$E8=$T$8),$J8,0)</f>
        <v>7.42</v>
      </c>
      <c r="X8" s="915">
        <f t="shared" ref="X8:X71" si="9">IF(AND($D8=$R$8,$E8=$T$9),$J8,0)</f>
        <v>0</v>
      </c>
      <c r="Y8" s="915">
        <f t="shared" ref="Y8:Y71" si="10">IF(AND($D8=$R$8,$E8=$T$10),$J8,0)</f>
        <v>0</v>
      </c>
      <c r="Z8" s="915">
        <f>IF(AND($D8=$R$8,$E8=$T$11),$J8,0)</f>
        <v>0</v>
      </c>
      <c r="AA8" s="915">
        <f>IF(AND($D8=$R$8,$E8=$T$12),$J8,0)</f>
        <v>0</v>
      </c>
      <c r="AB8" s="915">
        <f>IF(AND($D8=$R$8,$E8=$T$13),$J8,0)</f>
        <v>0</v>
      </c>
      <c r="AC8" s="915">
        <f>IF(AND($D8=$R$8,$E8=$T$14),$J8,0)</f>
        <v>0</v>
      </c>
      <c r="AD8" s="915">
        <f>IF(AND($D8=$R$8,$E8=$T$15),$J8,0)</f>
        <v>0</v>
      </c>
      <c r="AE8" s="915">
        <f>IF(AND($D8=$R$9,$E8=$T$8),$J8,0)</f>
        <v>0</v>
      </c>
      <c r="AF8" s="915">
        <f>IF(AND($D8=$R$9,$E8=$T$9),$J8,0)</f>
        <v>0</v>
      </c>
      <c r="AG8" s="915">
        <f>IF(AND($D8=$R$9,$E8=$T$10),$J8,0)</f>
        <v>0</v>
      </c>
      <c r="AH8" s="915">
        <f>IF(AND($D8=$R$9,$E8=$T$11),$J8,0)</f>
        <v>0</v>
      </c>
      <c r="AI8" s="915">
        <f>IF(AND($D8=$R$9,$E8=$T$12),$J8,0)</f>
        <v>0</v>
      </c>
      <c r="AJ8" s="915">
        <f>IF(AND($D8=$R$9,$E8=$T$13),$J8,0)</f>
        <v>0</v>
      </c>
      <c r="AK8" s="915">
        <f>IF(AND($D8=$R$9,$E8=$T$14),$J8,0)</f>
        <v>0</v>
      </c>
      <c r="AL8" s="915">
        <f>IF(AND($D8=$R$9,$E8=$T$15),$J8,0)</f>
        <v>0</v>
      </c>
      <c r="AM8" s="915">
        <f>IF(AND($D8=$R$10,$E8=$T$8),$J8,0)</f>
        <v>0</v>
      </c>
      <c r="AN8" s="915">
        <f>IF(AND($D8=$R$10,$E8=$T$9),$J8,0)</f>
        <v>0</v>
      </c>
      <c r="AO8" s="915">
        <f>IF(AND($D8=$R$10,$E8=$T$10),$J8,0)</f>
        <v>0</v>
      </c>
      <c r="AP8" s="915">
        <f>IF(AND($D8=$R$10,$E8=$T$11),$J8,0)</f>
        <v>0</v>
      </c>
      <c r="AQ8" s="915">
        <f>IF(AND($D8=$R$10,$E8=$T$12),$J8,0)</f>
        <v>0</v>
      </c>
      <c r="AR8" s="915">
        <f>IF(AND($D8=$R$10,$E8=$T$13),$J8,0)</f>
        <v>0</v>
      </c>
      <c r="AS8" s="915">
        <f>IF(AND($D8=$R$10,$E8=$T$14),$J8,0)</f>
        <v>0</v>
      </c>
      <c r="AT8" s="915">
        <f>IF(AND($D8=$R$10,$E8=$T$15),$J8,0)</f>
        <v>0</v>
      </c>
      <c r="AU8" s="915">
        <f>IF(AND($D8=$R$11,$E8=$T$8),$J8,0)</f>
        <v>0</v>
      </c>
      <c r="AV8" s="915">
        <f>IF(AND($D8=$R$11,$E8=$T$9),$J8,0)</f>
        <v>0</v>
      </c>
      <c r="AW8" s="915">
        <f>IF(AND($D8=$R$11,$E8=$T$10),$J8,0)</f>
        <v>0</v>
      </c>
      <c r="AX8" s="915">
        <f>IF(AND($D8=$R$11,$E8=$T$11),$J8,0)</f>
        <v>0</v>
      </c>
      <c r="AY8" s="915">
        <f>IF(AND($D8=$R$11,$E8=$T$12),$J8,0)</f>
        <v>0</v>
      </c>
      <c r="AZ8" s="915">
        <f>IF(AND($D8=$R$11,$E8=$T$13),$J8,0)</f>
        <v>0</v>
      </c>
      <c r="BA8" s="915">
        <f>IF(AND($D8=$R$11,$E8=$T$14),$J8,0)</f>
        <v>0</v>
      </c>
      <c r="BB8" s="915">
        <f>IF(AND($D8=$R$11,$E8=$T$15),$J8,0)</f>
        <v>0</v>
      </c>
      <c r="BC8" s="915">
        <f>IF(AND($D8=$R$12,$E8=$T$8),$J8,0)</f>
        <v>0</v>
      </c>
      <c r="BD8" s="915">
        <f>IF(AND($D8=$R$12,$E8=$T$9),$J8,0)</f>
        <v>0</v>
      </c>
      <c r="BE8" s="915">
        <f>IF(AND($D8=$R$12,$E8=$T$10),$J8,0)</f>
        <v>0</v>
      </c>
      <c r="BF8" s="915">
        <f>IF(AND($D8=$R$12,$E8=$T$11),$J8,0)</f>
        <v>0</v>
      </c>
      <c r="BG8" s="915">
        <f>IF(AND($D8=$R$12,$E8=$T$12),$J8,0)</f>
        <v>0</v>
      </c>
      <c r="BH8" s="915">
        <f>IF(AND($D8=$R$12,$E8=$T$13),$J8,0)</f>
        <v>0</v>
      </c>
      <c r="BI8" s="915">
        <f>IF(AND($D8=$R$12,$E8=$T$14),$J8,0)</f>
        <v>0</v>
      </c>
      <c r="BJ8" s="915">
        <f>IF(AND($D8=$R$12,$E8=$T$15),$J8,0)</f>
        <v>0</v>
      </c>
      <c r="BK8" s="915">
        <f>IF(AND($D8=$R$13,$E8=$T$8),$J8,0)</f>
        <v>0</v>
      </c>
      <c r="BL8" s="915">
        <f>IF(AND($D8=$R$13,$E8=$T$9),$J8,0)</f>
        <v>0</v>
      </c>
      <c r="BM8" s="915">
        <f>IF(AND($D8=$R$13,$E8=$T$10),$J8,0)</f>
        <v>0</v>
      </c>
      <c r="BN8" s="915">
        <f>IF(AND($D8=$R$13,$E8=$T$11),$J8,0)</f>
        <v>0</v>
      </c>
      <c r="BO8" s="915">
        <f>IF(AND($D8=$R$13,$E8=$T$12),$J8,0)</f>
        <v>0</v>
      </c>
      <c r="BP8" s="915">
        <f>IF(AND($D8=$R$13,$E8=$T$13),$J8,0)</f>
        <v>0</v>
      </c>
      <c r="BQ8" s="915">
        <f>IF(AND($D8=$R$13,$E8=$T$14),$J8,0)</f>
        <v>0</v>
      </c>
      <c r="BR8" s="915">
        <f>IF(AND($D8=$R$13,$E8=$T$15),$J8,0)</f>
        <v>0</v>
      </c>
      <c r="BS8" s="915">
        <f>IF(AND($D8=$R$14,$E8=$T$8),$J8,0)</f>
        <v>0</v>
      </c>
      <c r="BT8" s="915">
        <f>IF(AND($D8=$R$14,$E8=$T$9),$J8,0)</f>
        <v>0</v>
      </c>
      <c r="BU8" s="915">
        <f>IF(AND($D8=$R$14,$E8=$T$10),$J8,0)</f>
        <v>0</v>
      </c>
      <c r="BV8" s="915">
        <f>IF(AND($D8=$R$14,$E8=$T$11),$J8,0)</f>
        <v>0</v>
      </c>
      <c r="BW8" s="915">
        <f>IF(AND($D8=$R$14,$E8=$T$12),$J8,0)</f>
        <v>0</v>
      </c>
      <c r="BX8" s="915">
        <f>IF(AND($D8=$R$14,$E8=$T$13),$J8,0)</f>
        <v>0</v>
      </c>
      <c r="BY8" s="915">
        <f>IF(AND($D8=$R$14,$E8=$T$14),$J8,0)</f>
        <v>0</v>
      </c>
      <c r="BZ8" s="915">
        <f>IF(AND($D8=$R$14,$E8=$T$15),$J8,0)</f>
        <v>0</v>
      </c>
      <c r="CA8" s="915">
        <f>IF(AND($D8=$R$15,$E8=$T$8),$J8,0)</f>
        <v>0</v>
      </c>
      <c r="CB8" s="915">
        <f>IF(AND($D8=$R$15,$E8=$T$9),$J8,0)</f>
        <v>0</v>
      </c>
      <c r="CC8" s="915">
        <f>IF(AND($D8=$R$15,$E8=$T$10),$J8,0)</f>
        <v>0</v>
      </c>
      <c r="CD8" s="915">
        <f>IF(AND($D8=$R$15,$E8=$T$11),$J8,0)</f>
        <v>0</v>
      </c>
      <c r="CE8" s="915">
        <f>IF(AND($D8=$R$15,$E8=$T$12),$J8,0)</f>
        <v>0</v>
      </c>
      <c r="CF8" s="915">
        <f>IF(AND($D8=$R$15,$E8=$T$13),$J8,0)</f>
        <v>0</v>
      </c>
      <c r="CG8" s="915">
        <f>IF(AND($D8=$R$15,$E8=$T$14),$J8,0)</f>
        <v>0</v>
      </c>
      <c r="CH8" s="915">
        <f>IF(AND($D8=$R$15,$E8=$T$15),$J8,0)</f>
        <v>0</v>
      </c>
      <c r="CI8" s="915">
        <f>IF(AND($D8=$R$16,$E8=$T$8),$J8,0)</f>
        <v>0</v>
      </c>
      <c r="CJ8" s="915">
        <f>IF(AND($D8=$R$16,$E8=$T$9),$J8,0)</f>
        <v>0</v>
      </c>
      <c r="CK8" s="915">
        <f>IF(AND($D8=$R$16,$E8=$T$10),$J8,0)</f>
        <v>0</v>
      </c>
      <c r="CL8" s="915">
        <f>IF(AND($D8=$R$16,$E8=$T$11),$J8,0)</f>
        <v>0</v>
      </c>
      <c r="CM8" s="915">
        <f>IF(AND($D8=$R$16,$E8=$T$12),$J8,0)</f>
        <v>0</v>
      </c>
      <c r="CN8" s="915">
        <f>IF(AND($D8=$R$16,$E8=$T$13),$J8,0)</f>
        <v>0</v>
      </c>
      <c r="CO8" s="915">
        <f>IF(AND($D8=$R$16,$E8=$T$14),$J8,0)</f>
        <v>0</v>
      </c>
      <c r="CP8" s="915">
        <f>IF(AND($D8=$R$16,$E8=$T$15),$J8,0)</f>
        <v>0</v>
      </c>
      <c r="CQ8" s="915">
        <f>IF(AND($D8=$R$17,$E8=$T$8),$J8,0)</f>
        <v>0</v>
      </c>
      <c r="CR8" s="915">
        <f>IF(AND($D8=$R$17,$E8=$T$9),$J8,0)</f>
        <v>0</v>
      </c>
      <c r="CS8" s="915">
        <f>IF(AND($D8=$R$17,$E8=$T$10),$J8,0)</f>
        <v>0</v>
      </c>
      <c r="CT8" s="915">
        <f>IF(AND($D8=$R$17,$E8=$T$11),$J8,0)</f>
        <v>0</v>
      </c>
      <c r="CU8" s="915">
        <f>IF(AND($D8=$R$17,$E8=$T$12),$J8,0)</f>
        <v>0</v>
      </c>
      <c r="CV8" s="915">
        <f>IF(AND($D8=$R$17,$E8=$T$13),$J8,0)</f>
        <v>0</v>
      </c>
      <c r="CW8" s="915">
        <f>IF(AND($D8=$R$17,$E8=$T$14),$J8,0)</f>
        <v>0</v>
      </c>
      <c r="CX8" s="915">
        <f>IF(AND($D8=$R$17,$E8=$T$15),$J8,0)</f>
        <v>0</v>
      </c>
      <c r="CY8" s="915">
        <f>IF(AND($D8=$R$18,$E8=$T$8),$J8,0)</f>
        <v>0</v>
      </c>
      <c r="CZ8" s="915">
        <f>IF(AND($D8=$R$18,$E8=$T$9),$J8,0)</f>
        <v>0</v>
      </c>
      <c r="DA8" s="915">
        <f>IF(AND($D8=$R$18,$E8=$T$10),$J8,0)</f>
        <v>0</v>
      </c>
      <c r="DB8" s="915">
        <f>IF(AND($D8=$R$18,$E8=$T$11),$J8,0)</f>
        <v>0</v>
      </c>
      <c r="DC8" s="915">
        <f>IF(AND($D8=$R$18,$E8=$T$12),$J8,0)</f>
        <v>0</v>
      </c>
      <c r="DD8" s="915">
        <f>IF(AND($D8=$R$18,$E8=$T$13),$J8,0)</f>
        <v>0</v>
      </c>
      <c r="DE8" s="915">
        <f>IF(AND($D8=$R$18,$E8=$T$14),$J8,0)</f>
        <v>0</v>
      </c>
      <c r="DF8" s="915">
        <f>IF(AND($D8=$R$18,$E8=$T$15),$J8,0)</f>
        <v>0</v>
      </c>
      <c r="DG8" s="915">
        <f>IF(AND($D8=$R$19,$E8=$T$8),$J8,0)</f>
        <v>0</v>
      </c>
      <c r="DH8" s="915">
        <f>IF(AND($D8=$R$19,$E8=$T$9),$J8,0)</f>
        <v>0</v>
      </c>
      <c r="DI8" s="915">
        <f>IF(AND($D8=$R$19,$E8=$T$10),$J8,0)</f>
        <v>0</v>
      </c>
      <c r="DJ8" s="915">
        <f>IF(AND($D8=$R$19,$E8=$T$11),$J8,0)</f>
        <v>0</v>
      </c>
      <c r="DK8" s="915">
        <f>IF(AND($D8=$R$19,$E8=$T$12),$J8,0)</f>
        <v>0</v>
      </c>
      <c r="DL8" s="915">
        <f>IF(AND($D8=$R$19,$E8=$T$13),$J8,0)</f>
        <v>0</v>
      </c>
      <c r="DM8" s="915">
        <f>IF(AND($D8=$R$19,$E8=$T$14),$J8,0)</f>
        <v>0</v>
      </c>
      <c r="DN8" s="915">
        <f>IF(AND($D8=$R$19,$E8=$T$15),$J8,0)</f>
        <v>0</v>
      </c>
      <c r="DO8" s="915">
        <f>IF(AND($D8=$R$20,$E8=$T$8),$J8,0)</f>
        <v>0</v>
      </c>
      <c r="DP8" s="915">
        <f>IF(AND($D8=$R$20,$E8=$T$9),$J8,0)</f>
        <v>0</v>
      </c>
      <c r="DQ8" s="915">
        <f>IF(AND($D8=$R$20,$E8=$T$10),$J8,0)</f>
        <v>0</v>
      </c>
      <c r="DR8" s="915">
        <f>IF(AND($D8=$R$20,$E8=$T$11),$J8,0)</f>
        <v>0</v>
      </c>
      <c r="DS8" s="915">
        <f>IF(AND($D8=$R$20,$E8=$T$12),$J8,0)</f>
        <v>0</v>
      </c>
      <c r="DT8" s="915">
        <f>IF(AND($D8=$R$20,$E8=$T$13),$J8,0)</f>
        <v>0</v>
      </c>
      <c r="DU8" s="915">
        <f>IF(AND($D8=$R$20,$E8=$T$14),$J8,0)</f>
        <v>0</v>
      </c>
      <c r="DV8" s="915">
        <f>IF(AND($D8=$R$20,$E8=$T$15),$J8,0)</f>
        <v>0</v>
      </c>
      <c r="DW8" s="915">
        <f>IF(AND($D8=$R$21,$E8=$T$8),$J8,0)</f>
        <v>0</v>
      </c>
      <c r="DX8" s="915">
        <f>IF(AND($D8=$R$21,$E8=$T$9),$J8,0)</f>
        <v>0</v>
      </c>
      <c r="DY8" s="915">
        <f>IF(AND($D8=$R$21,$E8=$T$10),$J8,0)</f>
        <v>0</v>
      </c>
      <c r="DZ8" s="915">
        <f>IF(AND($D8=$R$21,$E8=$T$11),$J8,0)</f>
        <v>0</v>
      </c>
      <c r="EA8" s="915">
        <f>IF(AND($D8=$R$21,$E8=$T$12),$J8,0)</f>
        <v>0</v>
      </c>
      <c r="EB8" s="915">
        <f>IF(AND($D8=$R$21,$E8=$T$13),$J8,0)</f>
        <v>0</v>
      </c>
      <c r="EC8" s="915">
        <f>IF(AND($D8=$R$21,$E8=$T$14),$J8,0)</f>
        <v>0</v>
      </c>
      <c r="ED8" s="915">
        <f>IF(AND($D8=$R$21,$E8=$T$15),$J8,0)</f>
        <v>0</v>
      </c>
      <c r="EE8" s="915">
        <f>IF(AND($D8=$R$22,$E8=$T$8),$J8,0)</f>
        <v>0</v>
      </c>
      <c r="EF8" s="915">
        <f>IF(AND($D8=$R$22,$E8=$T$9),$J8,0)</f>
        <v>0</v>
      </c>
      <c r="EG8" s="915">
        <f>IF(AND($D8=$R$22,$E8=$T$10),$J8,0)</f>
        <v>0</v>
      </c>
      <c r="EH8" s="915">
        <f>IF(AND($D8=$R$22,$E8=$T$11),$J8,0)</f>
        <v>0</v>
      </c>
      <c r="EI8" s="915">
        <f>IF(AND($D8=$R$22,$E8=$T$12),$J8,0)</f>
        <v>0</v>
      </c>
      <c r="EJ8" s="915">
        <f>IF(AND($D8=$R$22,$E8=$T$13),$J8,0)</f>
        <v>0</v>
      </c>
      <c r="EK8" s="915">
        <f>IF(AND($D8=$R$22,$E8=$T$14),$J8,0)</f>
        <v>0</v>
      </c>
      <c r="EL8" s="915">
        <f>IF(AND($D8=$R$22,$E8=$T$15),$J8,0)</f>
        <v>0</v>
      </c>
      <c r="EM8" s="915">
        <f>IF(AND($D8=$R$23,$E8=$T$8),$J8,0)</f>
        <v>0</v>
      </c>
      <c r="EN8" s="915">
        <f>IF(AND($D8=$R$23,$E8=$T$9),$J8,0)</f>
        <v>0</v>
      </c>
      <c r="EO8" s="915">
        <f>IF(AND($D8=$R$23,$E8=$T$10),$J8,0)</f>
        <v>0</v>
      </c>
      <c r="EP8" s="915">
        <f>IF(AND($D8=$R$23,$E8=$T$11),$J8,0)</f>
        <v>0</v>
      </c>
      <c r="EQ8" s="915">
        <f>IF(AND($D8=$R$23,$E8=$T$12),$J8,0)</f>
        <v>0</v>
      </c>
      <c r="ER8" s="915">
        <f>IF(AND($D8=$R$23,$E8=$T$13),$J8,0)</f>
        <v>0</v>
      </c>
      <c r="ES8" s="915">
        <f>IF(AND($D8=$R$23,$E8=$T$14),$J8,0)</f>
        <v>0</v>
      </c>
      <c r="ET8" s="915">
        <f>IF(AND($D8=$R$23,$E8=$T$15),$J8,0)</f>
        <v>0</v>
      </c>
      <c r="EU8" s="915">
        <f>IF(AND($D8=$R$24,$E8=$T$8),$J8,0)</f>
        <v>0</v>
      </c>
      <c r="EV8" s="915">
        <f>IF(AND($D8=$R$24,$E8=$T$9),$J8,0)</f>
        <v>0</v>
      </c>
      <c r="EW8" s="915">
        <f>IF(AND($D8=$R$24,$E8=$T$10),$J8,0)</f>
        <v>0</v>
      </c>
      <c r="EX8" s="915">
        <f>IF(AND($D8=$R$24,$E8=$T$11),$J8,0)</f>
        <v>0</v>
      </c>
      <c r="EY8" s="915">
        <f>IF(AND($D8=$R$24,$E8=$T$12),$J8,0)</f>
        <v>0</v>
      </c>
      <c r="EZ8" s="915">
        <f>IF(AND($D8=$R$24,$E8=$T$13),$J8,0)</f>
        <v>0</v>
      </c>
      <c r="FA8" s="915">
        <f>IF(AND($D8=$R$24,$E8=$T$14),$J8,0)</f>
        <v>0</v>
      </c>
      <c r="FB8" s="915">
        <f>IF(AND($D8=$R$24,$E8=$T$15),$J8,0)</f>
        <v>0</v>
      </c>
      <c r="FC8" s="915">
        <f>IF(AND($D8=$R$25,$E8=$T$8),$J8,0)</f>
        <v>0</v>
      </c>
      <c r="FD8" s="915">
        <f>IF(AND($D8=$R$25,$E8=$T$9),$J8,0)</f>
        <v>0</v>
      </c>
      <c r="FE8" s="915">
        <f>IF(AND($D8=$R$25,$E8=$T$10),$J8,0)</f>
        <v>0</v>
      </c>
      <c r="FF8" s="915">
        <f>IF(AND($D8=$R$25,$E8=$T$11),$J8,0)</f>
        <v>0</v>
      </c>
      <c r="FG8" s="915">
        <f>IF(AND($D8=$R$25,$E8=$T$12),$J8,0)</f>
        <v>0</v>
      </c>
      <c r="FH8" s="915">
        <f>IF(AND($D8=$R$25,$E8=$T$13),$J8,0)</f>
        <v>0</v>
      </c>
      <c r="FI8" s="915">
        <f>IF(AND($D8=$R$25,$E8=$T$14),$J8,0)</f>
        <v>0</v>
      </c>
      <c r="FJ8" s="915">
        <f>IF(AND($D8=$R$25,$E8=$T$15),$J8,0)</f>
        <v>0</v>
      </c>
      <c r="FK8" s="915">
        <f>IF(AND($D8=$R$26,$E8=$T$8),$J8,0)</f>
        <v>0</v>
      </c>
      <c r="FL8" s="915">
        <f>IF(AND($D8=$R$26,$E8=$T$9),$J8,0)</f>
        <v>0</v>
      </c>
      <c r="FM8" s="915">
        <f>IF(AND($D8=$R$26,$E8=$T$10),$J8,0)</f>
        <v>0</v>
      </c>
      <c r="FN8" s="915">
        <f>IF(AND($D8=$R$26,$E8=$T$11),$J8,0)</f>
        <v>0</v>
      </c>
      <c r="FO8" s="915">
        <f>IF(AND($D8=$R$26,$E8=$T$12),$J8,0)</f>
        <v>0</v>
      </c>
      <c r="FP8" s="915">
        <f>IF(AND($D8=$R$26,$E8=$T$13),$J8,0)</f>
        <v>0</v>
      </c>
      <c r="FQ8" s="915">
        <f>IF(AND($D8=$R$26,$E8=$T$14),$J8,0)</f>
        <v>0</v>
      </c>
      <c r="FR8" s="915">
        <f>IF(AND($D8=$R$26,$E8=$T$15),$J8,0)</f>
        <v>0</v>
      </c>
      <c r="FS8" s="915">
        <f>IF(AND($D8=$R$27,$E8=$T$8),$J8,0)</f>
        <v>0</v>
      </c>
      <c r="FT8" s="915">
        <f>IF(AND($D8=$R$27,$E8=$T$9),$J8,0)</f>
        <v>0</v>
      </c>
      <c r="FU8" s="915">
        <f>IF(AND($D8=$R$27,$E8=$T$10),$J8,0)</f>
        <v>0</v>
      </c>
      <c r="FV8" s="915">
        <f>IF(AND($D8=$R$27,$E8=$T$11),$J8,0)</f>
        <v>0</v>
      </c>
      <c r="FW8" s="915">
        <f>IF(AND($D8=$R$27,$E8=$T$12),$J8,0)</f>
        <v>0</v>
      </c>
      <c r="FX8" s="915">
        <f>IF(AND($D8=$R$27,$E8=$T$13),$J8,0)</f>
        <v>0</v>
      </c>
      <c r="FY8" s="915">
        <f>IF(AND($D8=$R$27,$E8=$T$14),$J8,0)</f>
        <v>0</v>
      </c>
      <c r="FZ8" s="915">
        <f>IF(AND($D8=$R$27,$E8=$T$15),$J8,0)</f>
        <v>0</v>
      </c>
    </row>
    <row r="9" spans="1:182" ht="14.1" customHeight="1" x14ac:dyDescent="0.2">
      <c r="A9" s="497">
        <v>2</v>
      </c>
      <c r="B9" s="1259"/>
      <c r="C9" s="1437"/>
      <c r="D9" s="138">
        <v>1</v>
      </c>
      <c r="E9" s="1020" t="s">
        <v>26</v>
      </c>
      <c r="F9" s="51" t="s">
        <v>2544</v>
      </c>
      <c r="G9" s="139" t="s">
        <v>2542</v>
      </c>
      <c r="H9" s="100">
        <v>7</v>
      </c>
      <c r="I9" s="119">
        <f t="shared" ref="I9:I46" si="11">IF(ISTEXT(K9),0,StateTaxSub*G9*H9)</f>
        <v>0.42</v>
      </c>
      <c r="J9" s="90">
        <f t="shared" ref="J9:J46" si="12">(G9*H9)+I9</f>
        <v>7.42</v>
      </c>
      <c r="K9" s="225"/>
      <c r="N9" s="942">
        <f>X6</f>
        <v>7.42</v>
      </c>
      <c r="O9" s="879" t="str">
        <f>"Remediation for " &amp; TabName1</f>
        <v>Remediation for Phase 1</v>
      </c>
      <c r="P9" s="950" t="s">
        <v>243</v>
      </c>
      <c r="R9" s="915">
        <f>INDEX(ValidateTable,2)</f>
        <v>2</v>
      </c>
      <c r="T9" s="879" t="s">
        <v>26</v>
      </c>
      <c r="W9" s="915">
        <f t="shared" si="8"/>
        <v>0</v>
      </c>
      <c r="X9" s="915">
        <f t="shared" si="9"/>
        <v>7.42</v>
      </c>
      <c r="Y9" s="915">
        <f t="shared" si="10"/>
        <v>0</v>
      </c>
      <c r="Z9" s="915">
        <f t="shared" ref="Z9:Z72" si="13">IF(AND($D9=$R$8,$E9=$T$11),$J9,0)</f>
        <v>0</v>
      </c>
      <c r="AA9" s="915">
        <f t="shared" ref="AA9:AA72" si="14">IF(AND($D9=$R$8,$E9=$T$12),$J9,0)</f>
        <v>0</v>
      </c>
      <c r="AB9" s="915">
        <f t="shared" ref="AB9:AB72" si="15">IF(AND($D9=$R$8,$E9=$T$13),$J9,0)</f>
        <v>0</v>
      </c>
      <c r="AC9" s="915">
        <f t="shared" ref="AC9:AC72" si="16">IF(AND($D9=$R$8,$E9=$T$14),$J9,0)</f>
        <v>0</v>
      </c>
      <c r="AD9" s="915">
        <f t="shared" ref="AD9:AD72" si="17">IF(AND($D9=$R$8,$E9=$T$15),$J9,0)</f>
        <v>0</v>
      </c>
      <c r="AE9" s="915">
        <f t="shared" ref="AE9:AE72" si="18">IF(AND($D9=$R$9,$E9=$T$8),$J9,0)</f>
        <v>0</v>
      </c>
      <c r="AF9" s="915">
        <f t="shared" ref="AF9:AF72" si="19">IF(AND($D9=$R$9,$E9=$T$9),$J9,0)</f>
        <v>0</v>
      </c>
      <c r="AG9" s="915">
        <f t="shared" ref="AG9:AG72" si="20">IF(AND($D9=$R$9,$E9=$T$10),$J9,0)</f>
        <v>0</v>
      </c>
      <c r="AH9" s="915">
        <f t="shared" ref="AH9:AH72" si="21">IF(AND($D9=$R$9,$E9=$T$11),$J9,0)</f>
        <v>0</v>
      </c>
      <c r="AI9" s="915">
        <f t="shared" ref="AI9:AI72" si="22">IF(AND($D9=$R$9,$E9=$T$12),$J9,0)</f>
        <v>0</v>
      </c>
      <c r="AJ9" s="915">
        <f t="shared" ref="AJ9:AJ72" si="23">IF(AND($D9=$R$9,$E9=$T$13),$J9,0)</f>
        <v>0</v>
      </c>
      <c r="AK9" s="915">
        <f t="shared" ref="AK9:AK72" si="24">IF(AND($D9=$R$9,$E9=$T$14),$J9,0)</f>
        <v>0</v>
      </c>
      <c r="AL9" s="915">
        <f t="shared" ref="AL9:AL72" si="25">IF(AND($D9=$R$9,$E9=$T$15),$J9,0)</f>
        <v>0</v>
      </c>
      <c r="AM9" s="915">
        <f t="shared" ref="AM9:AM72" si="26">IF(AND($D9=$R$10,$E9=$T$8),$J9,0)</f>
        <v>0</v>
      </c>
      <c r="AN9" s="915">
        <f t="shared" ref="AN9:AN72" si="27">IF(AND($D9=$R$10,$E9=$T$9),$J9,0)</f>
        <v>0</v>
      </c>
      <c r="AO9" s="915">
        <f t="shared" ref="AO9:AO72" si="28">IF(AND($D9=$R$10,$E9=$T$10),$J9,0)</f>
        <v>0</v>
      </c>
      <c r="AP9" s="915">
        <f t="shared" ref="AP9:AP72" si="29">IF(AND($D9=$R$10,$E9=$T$11),$J9,0)</f>
        <v>0</v>
      </c>
      <c r="AQ9" s="915">
        <f t="shared" ref="AQ9:AQ72" si="30">IF(AND($D9=$R$10,$E9=$T$12),$J9,0)</f>
        <v>0</v>
      </c>
      <c r="AR9" s="915">
        <f t="shared" ref="AR9:AR72" si="31">IF(AND($D9=$R$10,$E9=$T$13),$J9,0)</f>
        <v>0</v>
      </c>
      <c r="AS9" s="915">
        <f t="shared" ref="AS9:AS72" si="32">IF(AND($D9=$R$10,$E9=$T$14),$J9,0)</f>
        <v>0</v>
      </c>
      <c r="AT9" s="915">
        <f t="shared" ref="AT9:AT72" si="33">IF(AND($D9=$R$10,$E9=$T$15),$J9,0)</f>
        <v>0</v>
      </c>
      <c r="AU9" s="915">
        <f t="shared" ref="AU9:AU72" si="34">IF(AND($D9=$R$11,$E9=$T$8),$J9,0)</f>
        <v>0</v>
      </c>
      <c r="AV9" s="915">
        <f t="shared" ref="AV9:AV72" si="35">IF(AND($D9=$R$11,$E9=$T$9),$J9,0)</f>
        <v>0</v>
      </c>
      <c r="AW9" s="915">
        <f t="shared" ref="AW9:AW72" si="36">IF(AND($D9=$R$11,$E9=$T$10),$J9,0)</f>
        <v>0</v>
      </c>
      <c r="AX9" s="915">
        <f t="shared" ref="AX9:AX72" si="37">IF(AND($D9=$R$11,$E9=$T$11),$J9,0)</f>
        <v>0</v>
      </c>
      <c r="AY9" s="915">
        <f t="shared" ref="AY9:AY72" si="38">IF(AND($D9=$R$11,$E9=$T$12),$J9,0)</f>
        <v>0</v>
      </c>
      <c r="AZ9" s="915">
        <f t="shared" ref="AZ9:AZ72" si="39">IF(AND($D9=$R$11,$E9=$T$13),$J9,0)</f>
        <v>0</v>
      </c>
      <c r="BA9" s="915">
        <f t="shared" ref="BA9:BA72" si="40">IF(AND($D9=$R$11,$E9=$T$14),$J9,0)</f>
        <v>0</v>
      </c>
      <c r="BB9" s="915">
        <f t="shared" ref="BB9:BB72" si="41">IF(AND($D9=$R$11,$E9=$T$15),$J9,0)</f>
        <v>0</v>
      </c>
      <c r="BC9" s="915">
        <f t="shared" ref="BC9:BC72" si="42">IF(AND($D9=$R$12,$E9=$T$8),$J9,0)</f>
        <v>0</v>
      </c>
      <c r="BD9" s="915">
        <f t="shared" ref="BD9:BD72" si="43">IF(AND($D9=$R$12,$E9=$T$9),$J9,0)</f>
        <v>0</v>
      </c>
      <c r="BE9" s="915">
        <f t="shared" ref="BE9:BE72" si="44">IF(AND($D9=$R$12,$E9=$T$10),$J9,0)</f>
        <v>0</v>
      </c>
      <c r="BF9" s="915">
        <f t="shared" ref="BF9:BF72" si="45">IF(AND($D9=$R$12,$E9=$T$11),$J9,0)</f>
        <v>0</v>
      </c>
      <c r="BG9" s="915">
        <f t="shared" ref="BG9:BG72" si="46">IF(AND($D9=$R$12,$E9=$T$12),$J9,0)</f>
        <v>0</v>
      </c>
      <c r="BH9" s="915">
        <f t="shared" ref="BH9:BH72" si="47">IF(AND($D9=$R$12,$E9=$T$13),$J9,0)</f>
        <v>0</v>
      </c>
      <c r="BI9" s="915">
        <f t="shared" ref="BI9:BI72" si="48">IF(AND($D9=$R$12,$E9=$T$14),$J9,0)</f>
        <v>0</v>
      </c>
      <c r="BJ9" s="915">
        <f t="shared" ref="BJ9:BJ72" si="49">IF(AND($D9=$R$12,$E9=$T$15),$J9,0)</f>
        <v>0</v>
      </c>
      <c r="BK9" s="915">
        <f t="shared" ref="BK9:BK72" si="50">IF(AND($D9=$R$13,$E9=$T$8),$J9,0)</f>
        <v>0</v>
      </c>
      <c r="BL9" s="915">
        <f t="shared" ref="BL9:BL72" si="51">IF(AND($D9=$R$13,$E9=$T$9),$J9,0)</f>
        <v>0</v>
      </c>
      <c r="BM9" s="915">
        <f t="shared" ref="BM9:BM72" si="52">IF(AND($D9=$R$13,$E9=$T$10),$J9,0)</f>
        <v>0</v>
      </c>
      <c r="BN9" s="915">
        <f t="shared" ref="BN9:BN72" si="53">IF(AND($D9=$R$13,$E9=$T$11),$J9,0)</f>
        <v>0</v>
      </c>
      <c r="BO9" s="915">
        <f t="shared" ref="BO9:BO72" si="54">IF(AND($D9=$R$13,$E9=$T$12),$J9,0)</f>
        <v>0</v>
      </c>
      <c r="BP9" s="915">
        <f t="shared" ref="BP9:BP72" si="55">IF(AND($D9=$R$13,$E9=$T$13),$J9,0)</f>
        <v>0</v>
      </c>
      <c r="BQ9" s="915">
        <f t="shared" ref="BQ9:BQ72" si="56">IF(AND($D9=$R$13,$E9=$T$14),$J9,0)</f>
        <v>0</v>
      </c>
      <c r="BR9" s="915">
        <f t="shared" ref="BR9:BR72" si="57">IF(AND($D9=$R$13,$E9=$T$15),$J9,0)</f>
        <v>0</v>
      </c>
      <c r="BS9" s="915">
        <f t="shared" ref="BS9:BS72" si="58">IF(AND($D9=$R$14,$E9=$T$8),$J9,0)</f>
        <v>0</v>
      </c>
      <c r="BT9" s="915">
        <f t="shared" ref="BT9:BT72" si="59">IF(AND($D9=$R$14,$E9=$T$9),$J9,0)</f>
        <v>0</v>
      </c>
      <c r="BU9" s="915">
        <f t="shared" ref="BU9:BU72" si="60">IF(AND($D9=$R$14,$E9=$T$10),$J9,0)</f>
        <v>0</v>
      </c>
      <c r="BV9" s="915">
        <f t="shared" ref="BV9:BV72" si="61">IF(AND($D9=$R$14,$E9=$T$11),$J9,0)</f>
        <v>0</v>
      </c>
      <c r="BW9" s="915">
        <f t="shared" ref="BW9:BW72" si="62">IF(AND($D9=$R$14,$E9=$T$12),$J9,0)</f>
        <v>0</v>
      </c>
      <c r="BX9" s="915">
        <f t="shared" ref="BX9:BX72" si="63">IF(AND($D9=$R$14,$E9=$T$13),$J9,0)</f>
        <v>0</v>
      </c>
      <c r="BY9" s="915">
        <f t="shared" ref="BY9:BY72" si="64">IF(AND($D9=$R$14,$E9=$T$14),$J9,0)</f>
        <v>0</v>
      </c>
      <c r="BZ9" s="915">
        <f t="shared" ref="BZ9:BZ72" si="65">IF(AND($D9=$R$14,$E9=$T$15),$J9,0)</f>
        <v>0</v>
      </c>
      <c r="CA9" s="915">
        <f t="shared" ref="CA9:CA72" si="66">IF(AND($D9=$R$15,$E9=$T$8),$J9,0)</f>
        <v>0</v>
      </c>
      <c r="CB9" s="915">
        <f t="shared" ref="CB9:CB72" si="67">IF(AND($D9=$R$15,$E9=$T$9),$J9,0)</f>
        <v>0</v>
      </c>
      <c r="CC9" s="915">
        <f t="shared" ref="CC9:CC72" si="68">IF(AND($D9=$R$15,$E9=$T$10),$J9,0)</f>
        <v>0</v>
      </c>
      <c r="CD9" s="915">
        <f t="shared" ref="CD9:CD72" si="69">IF(AND($D9=$R$15,$E9=$T$11),$J9,0)</f>
        <v>0</v>
      </c>
      <c r="CE9" s="915">
        <f t="shared" ref="CE9:CE72" si="70">IF(AND($D9=$R$15,$E9=$T$12),$J9,0)</f>
        <v>0</v>
      </c>
      <c r="CF9" s="915">
        <f t="shared" ref="CF9:CF72" si="71">IF(AND($D9=$R$15,$E9=$T$13),$J9,0)</f>
        <v>0</v>
      </c>
      <c r="CG9" s="915">
        <f t="shared" ref="CG9:CG72" si="72">IF(AND($D9=$R$15,$E9=$T$14),$J9,0)</f>
        <v>0</v>
      </c>
      <c r="CH9" s="915">
        <f t="shared" ref="CH9:CH72" si="73">IF(AND($D9=$R$15,$E9=$T$15),$J9,0)</f>
        <v>0</v>
      </c>
      <c r="CI9" s="915">
        <f t="shared" ref="CI9:CI72" si="74">IF(AND($D9=$R$16,$E9=$T$8),$J9,0)</f>
        <v>0</v>
      </c>
      <c r="CJ9" s="915">
        <f t="shared" ref="CJ9:CJ72" si="75">IF(AND($D9=$R$16,$E9=$T$9),$J9,0)</f>
        <v>0</v>
      </c>
      <c r="CK9" s="915">
        <f t="shared" ref="CK9:CK72" si="76">IF(AND($D9=$R$16,$E9=$T$10),$J9,0)</f>
        <v>0</v>
      </c>
      <c r="CL9" s="915">
        <f t="shared" ref="CL9:CL72" si="77">IF(AND($D9=$R$16,$E9=$T$11),$J9,0)</f>
        <v>0</v>
      </c>
      <c r="CM9" s="915">
        <f t="shared" ref="CM9:CM72" si="78">IF(AND($D9=$R$16,$E9=$T$12),$J9,0)</f>
        <v>0</v>
      </c>
      <c r="CN9" s="915">
        <f t="shared" ref="CN9:CN72" si="79">IF(AND($D9=$R$16,$E9=$T$13),$J9,0)</f>
        <v>0</v>
      </c>
      <c r="CO9" s="915">
        <f t="shared" ref="CO9:CO72" si="80">IF(AND($D9=$R$16,$E9=$T$14),$J9,0)</f>
        <v>0</v>
      </c>
      <c r="CP9" s="915">
        <f t="shared" ref="CP9:CP72" si="81">IF(AND($D9=$R$16,$E9=$T$15),$J9,0)</f>
        <v>0</v>
      </c>
      <c r="CQ9" s="915">
        <f t="shared" ref="CQ9:CQ72" si="82">IF(AND($D9=$R$17,$E9=$T$8),$J9,0)</f>
        <v>0</v>
      </c>
      <c r="CR9" s="915">
        <f t="shared" ref="CR9:CR72" si="83">IF(AND($D9=$R$17,$E9=$T$9),$J9,0)</f>
        <v>0</v>
      </c>
      <c r="CS9" s="915">
        <f t="shared" ref="CS9:CS72" si="84">IF(AND($D9=$R$17,$E9=$T$10),$J9,0)</f>
        <v>0</v>
      </c>
      <c r="CT9" s="915">
        <f t="shared" ref="CT9:CT72" si="85">IF(AND($D9=$R$17,$E9=$T$11),$J9,0)</f>
        <v>0</v>
      </c>
      <c r="CU9" s="915">
        <f t="shared" ref="CU9:CU72" si="86">IF(AND($D9=$R$17,$E9=$T$12),$J9,0)</f>
        <v>0</v>
      </c>
      <c r="CV9" s="915">
        <f t="shared" ref="CV9:CV72" si="87">IF(AND($D9=$R$17,$E9=$T$13),$J9,0)</f>
        <v>0</v>
      </c>
      <c r="CW9" s="915">
        <f t="shared" ref="CW9:CW72" si="88">IF(AND($D9=$R$17,$E9=$T$14),$J9,0)</f>
        <v>0</v>
      </c>
      <c r="CX9" s="915">
        <f t="shared" ref="CX9:CX72" si="89">IF(AND($D9=$R$17,$E9=$T$15),$J9,0)</f>
        <v>0</v>
      </c>
      <c r="CY9" s="915">
        <f t="shared" ref="CY9:CY72" si="90">IF(AND($D9=$R$18,$E9=$T$8),$J9,0)</f>
        <v>0</v>
      </c>
      <c r="CZ9" s="915">
        <f t="shared" ref="CZ9:CZ72" si="91">IF(AND($D9=$R$18,$E9=$T$9),$J9,0)</f>
        <v>0</v>
      </c>
      <c r="DA9" s="915">
        <f t="shared" ref="DA9:DA72" si="92">IF(AND($D9=$R$18,$E9=$T$10),$J9,0)</f>
        <v>0</v>
      </c>
      <c r="DB9" s="915">
        <f t="shared" ref="DB9:DB72" si="93">IF(AND($D9=$R$18,$E9=$T$11),$J9,0)</f>
        <v>0</v>
      </c>
      <c r="DC9" s="915">
        <f t="shared" ref="DC9:DC72" si="94">IF(AND($D9=$R$18,$E9=$T$12),$J9,0)</f>
        <v>0</v>
      </c>
      <c r="DD9" s="915">
        <f t="shared" ref="DD9:DD72" si="95">IF(AND($D9=$R$18,$E9=$T$13),$J9,0)</f>
        <v>0</v>
      </c>
      <c r="DE9" s="915">
        <f t="shared" ref="DE9:DE72" si="96">IF(AND($D9=$R$18,$E9=$T$14),$J9,0)</f>
        <v>0</v>
      </c>
      <c r="DF9" s="915">
        <f t="shared" ref="DF9:DF72" si="97">IF(AND($D9=$R$18,$E9=$T$15),$J9,0)</f>
        <v>0</v>
      </c>
      <c r="DG9" s="915">
        <f t="shared" ref="DG9:DG72" si="98">IF(AND($D9=$R$19,$E9=$T$8),$J9,0)</f>
        <v>0</v>
      </c>
      <c r="DH9" s="915">
        <f t="shared" ref="DH9:DH72" si="99">IF(AND($D9=$R$19,$E9=$T$9),$J9,0)</f>
        <v>0</v>
      </c>
      <c r="DI9" s="915">
        <f t="shared" ref="DI9:DI72" si="100">IF(AND($D9=$R$19,$E9=$T$10),$J9,0)</f>
        <v>0</v>
      </c>
      <c r="DJ9" s="915">
        <f t="shared" ref="DJ9:DJ72" si="101">IF(AND($D9=$R$19,$E9=$T$11),$J9,0)</f>
        <v>0</v>
      </c>
      <c r="DK9" s="915">
        <f t="shared" ref="DK9:DK72" si="102">IF(AND($D9=$R$19,$E9=$T$12),$J9,0)</f>
        <v>0</v>
      </c>
      <c r="DL9" s="915">
        <f t="shared" ref="DL9:DL72" si="103">IF(AND($D9=$R$19,$E9=$T$13),$J9,0)</f>
        <v>0</v>
      </c>
      <c r="DM9" s="915">
        <f t="shared" ref="DM9:DM72" si="104">IF(AND($D9=$R$19,$E9=$T$14),$J9,0)</f>
        <v>0</v>
      </c>
      <c r="DN9" s="915">
        <f t="shared" ref="DN9:DN72" si="105">IF(AND($D9=$R$19,$E9=$T$15),$J9,0)</f>
        <v>0</v>
      </c>
      <c r="DO9" s="915">
        <f t="shared" ref="DO9:DO72" si="106">IF(AND($D9=$R$20,$E9=$T$8),$J9,0)</f>
        <v>0</v>
      </c>
      <c r="DP9" s="915">
        <f t="shared" ref="DP9:DP72" si="107">IF(AND($D9=$R$20,$E9=$T$9),$J9,0)</f>
        <v>0</v>
      </c>
      <c r="DQ9" s="915">
        <f t="shared" ref="DQ9:DQ72" si="108">IF(AND($D9=$R$20,$E9=$T$10),$J9,0)</f>
        <v>0</v>
      </c>
      <c r="DR9" s="915">
        <f t="shared" ref="DR9:DR72" si="109">IF(AND($D9=$R$20,$E9=$T$11),$J9,0)</f>
        <v>0</v>
      </c>
      <c r="DS9" s="915">
        <f t="shared" ref="DS9:DS72" si="110">IF(AND($D9=$R$20,$E9=$T$12),$J9,0)</f>
        <v>0</v>
      </c>
      <c r="DT9" s="915">
        <f t="shared" ref="DT9:DT72" si="111">IF(AND($D9=$R$20,$E9=$T$13),$J9,0)</f>
        <v>0</v>
      </c>
      <c r="DU9" s="915">
        <f t="shared" ref="DU9:DU72" si="112">IF(AND($D9=$R$20,$E9=$T$14),$J9,0)</f>
        <v>0</v>
      </c>
      <c r="DV9" s="915">
        <f t="shared" ref="DV9:DV72" si="113">IF(AND($D9=$R$20,$E9=$T$15),$J9,0)</f>
        <v>0</v>
      </c>
      <c r="DW9" s="915">
        <f t="shared" ref="DW9:DW72" si="114">IF(AND($D9=$R$21,$E9=$T$8),$J9,0)</f>
        <v>0</v>
      </c>
      <c r="DX9" s="915">
        <f t="shared" ref="DX9:DX72" si="115">IF(AND($D9=$R$21,$E9=$T$9),$J9,0)</f>
        <v>0</v>
      </c>
      <c r="DY9" s="915">
        <f t="shared" ref="DY9:DY72" si="116">IF(AND($D9=$R$21,$E9=$T$10),$J9,0)</f>
        <v>0</v>
      </c>
      <c r="DZ9" s="915">
        <f t="shared" ref="DZ9:DZ72" si="117">IF(AND($D9=$R$21,$E9=$T$11),$J9,0)</f>
        <v>0</v>
      </c>
      <c r="EA9" s="915">
        <f t="shared" ref="EA9:EA72" si="118">IF(AND($D9=$R$21,$E9=$T$12),$J9,0)</f>
        <v>0</v>
      </c>
      <c r="EB9" s="915">
        <f t="shared" ref="EB9:EB72" si="119">IF(AND($D9=$R$21,$E9=$T$13),$J9,0)</f>
        <v>0</v>
      </c>
      <c r="EC9" s="915">
        <f t="shared" ref="EC9:EC72" si="120">IF(AND($D9=$R$21,$E9=$T$14),$J9,0)</f>
        <v>0</v>
      </c>
      <c r="ED9" s="915">
        <f t="shared" ref="ED9:ED72" si="121">IF(AND($D9=$R$21,$E9=$T$15),$J9,0)</f>
        <v>0</v>
      </c>
      <c r="EE9" s="915">
        <f t="shared" ref="EE9:EE72" si="122">IF(AND($D9=$R$22,$E9=$T$8),$J9,0)</f>
        <v>0</v>
      </c>
      <c r="EF9" s="915">
        <f t="shared" ref="EF9:EF72" si="123">IF(AND($D9=$R$22,$E9=$T$9),$J9,0)</f>
        <v>0</v>
      </c>
      <c r="EG9" s="915">
        <f t="shared" ref="EG9:EG72" si="124">IF(AND($D9=$R$22,$E9=$T$10),$J9,0)</f>
        <v>0</v>
      </c>
      <c r="EH9" s="915">
        <f t="shared" ref="EH9:EH72" si="125">IF(AND($D9=$R$22,$E9=$T$11),$J9,0)</f>
        <v>0</v>
      </c>
      <c r="EI9" s="915">
        <f t="shared" ref="EI9:EI72" si="126">IF(AND($D9=$R$22,$E9=$T$12),$J9,0)</f>
        <v>0</v>
      </c>
      <c r="EJ9" s="915">
        <f t="shared" ref="EJ9:EJ72" si="127">IF(AND($D9=$R$22,$E9=$T$13),$J9,0)</f>
        <v>0</v>
      </c>
      <c r="EK9" s="915">
        <f t="shared" ref="EK9:EK72" si="128">IF(AND($D9=$R$22,$E9=$T$14),$J9,0)</f>
        <v>0</v>
      </c>
      <c r="EL9" s="915">
        <f t="shared" ref="EL9:EL72" si="129">IF(AND($D9=$R$22,$E9=$T$15),$J9,0)</f>
        <v>0</v>
      </c>
      <c r="EM9" s="915">
        <f t="shared" ref="EM9:EM72" si="130">IF(AND($D9=$R$23,$E9=$T$8),$J9,0)</f>
        <v>0</v>
      </c>
      <c r="EN9" s="915">
        <f t="shared" ref="EN9:EN72" si="131">IF(AND($D9=$R$23,$E9=$T$9),$J9,0)</f>
        <v>0</v>
      </c>
      <c r="EO9" s="915">
        <f t="shared" ref="EO9:EO72" si="132">IF(AND($D9=$R$23,$E9=$T$10),$J9,0)</f>
        <v>0</v>
      </c>
      <c r="EP9" s="915">
        <f t="shared" ref="EP9:EP72" si="133">IF(AND($D9=$R$23,$E9=$T$11),$J9,0)</f>
        <v>0</v>
      </c>
      <c r="EQ9" s="915">
        <f t="shared" ref="EQ9:EQ72" si="134">IF(AND($D9=$R$23,$E9=$T$12),$J9,0)</f>
        <v>0</v>
      </c>
      <c r="ER9" s="915">
        <f t="shared" ref="ER9:ER72" si="135">IF(AND($D9=$R$23,$E9=$T$13),$J9,0)</f>
        <v>0</v>
      </c>
      <c r="ES9" s="915">
        <f t="shared" ref="ES9:ES72" si="136">IF(AND($D9=$R$23,$E9=$T$14),$J9,0)</f>
        <v>0</v>
      </c>
      <c r="ET9" s="915">
        <f t="shared" ref="ET9:ET72" si="137">IF(AND($D9=$R$23,$E9=$T$15),$J9,0)</f>
        <v>0</v>
      </c>
      <c r="EU9" s="915">
        <f t="shared" ref="EU9:EU72" si="138">IF(AND($D9=$R$24,$E9=$T$8),$J9,0)</f>
        <v>0</v>
      </c>
      <c r="EV9" s="915">
        <f t="shared" ref="EV9:EV72" si="139">IF(AND($D9=$R$24,$E9=$T$9),$J9,0)</f>
        <v>0</v>
      </c>
      <c r="EW9" s="915">
        <f t="shared" ref="EW9:EW72" si="140">IF(AND($D9=$R$24,$E9=$T$10),$J9,0)</f>
        <v>0</v>
      </c>
      <c r="EX9" s="915">
        <f t="shared" ref="EX9:EX72" si="141">IF(AND($D9=$R$24,$E9=$T$11),$J9,0)</f>
        <v>0</v>
      </c>
      <c r="EY9" s="915">
        <f t="shared" ref="EY9:EY72" si="142">IF(AND($D9=$R$24,$E9=$T$12),$J9,0)</f>
        <v>0</v>
      </c>
      <c r="EZ9" s="915">
        <f t="shared" ref="EZ9:EZ72" si="143">IF(AND($D9=$R$24,$E9=$T$13),$J9,0)</f>
        <v>0</v>
      </c>
      <c r="FA9" s="915">
        <f t="shared" ref="FA9:FA72" si="144">IF(AND($D9=$R$24,$E9=$T$14),$J9,0)</f>
        <v>0</v>
      </c>
      <c r="FB9" s="915">
        <f t="shared" ref="FB9:FB72" si="145">IF(AND($D9=$R$24,$E9=$T$15),$J9,0)</f>
        <v>0</v>
      </c>
      <c r="FC9" s="915">
        <f t="shared" ref="FC9:FC72" si="146">IF(AND($D9=$R$25,$E9=$T$8),$J9,0)</f>
        <v>0</v>
      </c>
      <c r="FD9" s="915">
        <f t="shared" ref="FD9:FD72" si="147">IF(AND($D9=$R$25,$E9=$T$9),$J9,0)</f>
        <v>0</v>
      </c>
      <c r="FE9" s="915">
        <f t="shared" ref="FE9:FE72" si="148">IF(AND($D9=$R$25,$E9=$T$10),$J9,0)</f>
        <v>0</v>
      </c>
      <c r="FF9" s="915">
        <f t="shared" ref="FF9:FF72" si="149">IF(AND($D9=$R$25,$E9=$T$11),$J9,0)</f>
        <v>0</v>
      </c>
      <c r="FG9" s="915">
        <f t="shared" ref="FG9:FG72" si="150">IF(AND($D9=$R$25,$E9=$T$12),$J9,0)</f>
        <v>0</v>
      </c>
      <c r="FH9" s="915">
        <f t="shared" ref="FH9:FH72" si="151">IF(AND($D9=$R$25,$E9=$T$13),$J9,0)</f>
        <v>0</v>
      </c>
      <c r="FI9" s="915">
        <f t="shared" ref="FI9:FI72" si="152">IF(AND($D9=$R$25,$E9=$T$14),$J9,0)</f>
        <v>0</v>
      </c>
      <c r="FJ9" s="915">
        <f t="shared" ref="FJ9:FJ72" si="153">IF(AND($D9=$R$25,$E9=$T$15),$J9,0)</f>
        <v>0</v>
      </c>
      <c r="FK9" s="915">
        <f t="shared" ref="FK9:FK72" si="154">IF(AND($D9=$R$26,$E9=$T$8),$J9,0)</f>
        <v>0</v>
      </c>
      <c r="FL9" s="915">
        <f t="shared" ref="FL9:FL72" si="155">IF(AND($D9=$R$26,$E9=$T$9),$J9,0)</f>
        <v>0</v>
      </c>
      <c r="FM9" s="915">
        <f t="shared" ref="FM9:FM72" si="156">IF(AND($D9=$R$26,$E9=$T$10),$J9,0)</f>
        <v>0</v>
      </c>
      <c r="FN9" s="915">
        <f t="shared" ref="FN9:FN72" si="157">IF(AND($D9=$R$26,$E9=$T$11),$J9,0)</f>
        <v>0</v>
      </c>
      <c r="FO9" s="915">
        <f t="shared" ref="FO9:FO72" si="158">IF(AND($D9=$R$26,$E9=$T$12),$J9,0)</f>
        <v>0</v>
      </c>
      <c r="FP9" s="915">
        <f t="shared" ref="FP9:FP72" si="159">IF(AND($D9=$R$26,$E9=$T$13),$J9,0)</f>
        <v>0</v>
      </c>
      <c r="FQ9" s="915">
        <f t="shared" ref="FQ9:FQ72" si="160">IF(AND($D9=$R$26,$E9=$T$14),$J9,0)</f>
        <v>0</v>
      </c>
      <c r="FR9" s="915">
        <f t="shared" ref="FR9:FR72" si="161">IF(AND($D9=$R$26,$E9=$T$15),$J9,0)</f>
        <v>0</v>
      </c>
      <c r="FS9" s="915">
        <f t="shared" ref="FS9:FS72" si="162">IF(AND($D9=$R$27,$E9=$T$8),$J9,0)</f>
        <v>0</v>
      </c>
      <c r="FT9" s="915">
        <f t="shared" ref="FT9:FT72" si="163">IF(AND($D9=$R$27,$E9=$T$9),$J9,0)</f>
        <v>0</v>
      </c>
      <c r="FU9" s="915">
        <f t="shared" ref="FU9:FU72" si="164">IF(AND($D9=$R$27,$E9=$T$10),$J9,0)</f>
        <v>0</v>
      </c>
      <c r="FV9" s="915">
        <f t="shared" ref="FV9:FV72" si="165">IF(AND($D9=$R$27,$E9=$T$11),$J9,0)</f>
        <v>0</v>
      </c>
      <c r="FW9" s="915">
        <f t="shared" ref="FW9:FW72" si="166">IF(AND($D9=$R$27,$E9=$T$12),$J9,0)</f>
        <v>0</v>
      </c>
      <c r="FX9" s="915">
        <f t="shared" ref="FX9:FX72" si="167">IF(AND($D9=$R$27,$E9=$T$13),$J9,0)</f>
        <v>0</v>
      </c>
      <c r="FY9" s="915">
        <f t="shared" ref="FY9:FY72" si="168">IF(AND($D9=$R$27,$E9=$T$14),$J9,0)</f>
        <v>0</v>
      </c>
      <c r="FZ9" s="915">
        <f t="shared" ref="FZ9:FZ72" si="169">IF(AND($D9=$R$27,$E9=$T$15),$J9,0)</f>
        <v>0</v>
      </c>
    </row>
    <row r="10" spans="1:182" ht="14.1" customHeight="1" x14ac:dyDescent="0.2">
      <c r="A10" s="496">
        <v>3</v>
      </c>
      <c r="B10" s="1435"/>
      <c r="C10" s="1436"/>
      <c r="D10" s="264">
        <v>1</v>
      </c>
      <c r="E10" s="264" t="s">
        <v>35</v>
      </c>
      <c r="F10" s="270" t="s">
        <v>2544</v>
      </c>
      <c r="G10" s="270" t="s">
        <v>2542</v>
      </c>
      <c r="H10" s="272">
        <v>7</v>
      </c>
      <c r="I10" s="268">
        <f t="shared" si="11"/>
        <v>0.42</v>
      </c>
      <c r="J10" s="269">
        <f t="shared" si="12"/>
        <v>7.42</v>
      </c>
      <c r="K10" s="225"/>
      <c r="N10" s="942">
        <f>Y6</f>
        <v>7.42</v>
      </c>
      <c r="O10" s="879" t="str">
        <f>"General Construction for " &amp; TabName1</f>
        <v>General Construction for Phase 1</v>
      </c>
      <c r="P10" s="949" t="s">
        <v>244</v>
      </c>
      <c r="R10" s="915">
        <f>INDEX(ValidateTable,3)</f>
        <v>3</v>
      </c>
      <c r="T10" s="915" t="s">
        <v>35</v>
      </c>
      <c r="W10" s="915">
        <f t="shared" si="8"/>
        <v>0</v>
      </c>
      <c r="X10" s="915">
        <f t="shared" si="9"/>
        <v>0</v>
      </c>
      <c r="Y10" s="915">
        <f t="shared" si="10"/>
        <v>7.42</v>
      </c>
      <c r="Z10" s="915">
        <f t="shared" si="13"/>
        <v>0</v>
      </c>
      <c r="AA10" s="915">
        <f t="shared" si="14"/>
        <v>0</v>
      </c>
      <c r="AB10" s="915">
        <f t="shared" si="15"/>
        <v>0</v>
      </c>
      <c r="AC10" s="915">
        <f t="shared" si="16"/>
        <v>0</v>
      </c>
      <c r="AD10" s="915">
        <f t="shared" si="17"/>
        <v>0</v>
      </c>
      <c r="AE10" s="915">
        <f t="shared" si="18"/>
        <v>0</v>
      </c>
      <c r="AF10" s="915">
        <f t="shared" si="19"/>
        <v>0</v>
      </c>
      <c r="AG10" s="915">
        <f t="shared" si="20"/>
        <v>0</v>
      </c>
      <c r="AH10" s="915">
        <f t="shared" si="21"/>
        <v>0</v>
      </c>
      <c r="AI10" s="915">
        <f t="shared" si="22"/>
        <v>0</v>
      </c>
      <c r="AJ10" s="915">
        <f t="shared" si="23"/>
        <v>0</v>
      </c>
      <c r="AK10" s="915">
        <f t="shared" si="24"/>
        <v>0</v>
      </c>
      <c r="AL10" s="915">
        <f t="shared" si="25"/>
        <v>0</v>
      </c>
      <c r="AM10" s="915">
        <f t="shared" si="26"/>
        <v>0</v>
      </c>
      <c r="AN10" s="915">
        <f t="shared" si="27"/>
        <v>0</v>
      </c>
      <c r="AO10" s="915">
        <f t="shared" si="28"/>
        <v>0</v>
      </c>
      <c r="AP10" s="915">
        <f t="shared" si="29"/>
        <v>0</v>
      </c>
      <c r="AQ10" s="915">
        <f t="shared" si="30"/>
        <v>0</v>
      </c>
      <c r="AR10" s="915">
        <f t="shared" si="31"/>
        <v>0</v>
      </c>
      <c r="AS10" s="915">
        <f t="shared" si="32"/>
        <v>0</v>
      </c>
      <c r="AT10" s="915">
        <f t="shared" si="33"/>
        <v>0</v>
      </c>
      <c r="AU10" s="915">
        <f t="shared" si="34"/>
        <v>0</v>
      </c>
      <c r="AV10" s="915">
        <f t="shared" si="35"/>
        <v>0</v>
      </c>
      <c r="AW10" s="915">
        <f t="shared" si="36"/>
        <v>0</v>
      </c>
      <c r="AX10" s="915">
        <f t="shared" si="37"/>
        <v>0</v>
      </c>
      <c r="AY10" s="915">
        <f t="shared" si="38"/>
        <v>0</v>
      </c>
      <c r="AZ10" s="915">
        <f t="shared" si="39"/>
        <v>0</v>
      </c>
      <c r="BA10" s="915">
        <f t="shared" si="40"/>
        <v>0</v>
      </c>
      <c r="BB10" s="915">
        <f t="shared" si="41"/>
        <v>0</v>
      </c>
      <c r="BC10" s="915">
        <f t="shared" si="42"/>
        <v>0</v>
      </c>
      <c r="BD10" s="915">
        <f t="shared" si="43"/>
        <v>0</v>
      </c>
      <c r="BE10" s="915">
        <f t="shared" si="44"/>
        <v>0</v>
      </c>
      <c r="BF10" s="915">
        <f t="shared" si="45"/>
        <v>0</v>
      </c>
      <c r="BG10" s="915">
        <f t="shared" si="46"/>
        <v>0</v>
      </c>
      <c r="BH10" s="915">
        <f t="shared" si="47"/>
        <v>0</v>
      </c>
      <c r="BI10" s="915">
        <f t="shared" si="48"/>
        <v>0</v>
      </c>
      <c r="BJ10" s="915">
        <f t="shared" si="49"/>
        <v>0</v>
      </c>
      <c r="BK10" s="915">
        <f t="shared" si="50"/>
        <v>0</v>
      </c>
      <c r="BL10" s="915">
        <f t="shared" si="51"/>
        <v>0</v>
      </c>
      <c r="BM10" s="915">
        <f t="shared" si="52"/>
        <v>0</v>
      </c>
      <c r="BN10" s="915">
        <f t="shared" si="53"/>
        <v>0</v>
      </c>
      <c r="BO10" s="915">
        <f t="shared" si="54"/>
        <v>0</v>
      </c>
      <c r="BP10" s="915">
        <f t="shared" si="55"/>
        <v>0</v>
      </c>
      <c r="BQ10" s="915">
        <f t="shared" si="56"/>
        <v>0</v>
      </c>
      <c r="BR10" s="915">
        <f t="shared" si="57"/>
        <v>0</v>
      </c>
      <c r="BS10" s="915">
        <f t="shared" si="58"/>
        <v>0</v>
      </c>
      <c r="BT10" s="915">
        <f t="shared" si="59"/>
        <v>0</v>
      </c>
      <c r="BU10" s="915">
        <f t="shared" si="60"/>
        <v>0</v>
      </c>
      <c r="BV10" s="915">
        <f t="shared" si="61"/>
        <v>0</v>
      </c>
      <c r="BW10" s="915">
        <f t="shared" si="62"/>
        <v>0</v>
      </c>
      <c r="BX10" s="915">
        <f t="shared" si="63"/>
        <v>0</v>
      </c>
      <c r="BY10" s="915">
        <f t="shared" si="64"/>
        <v>0</v>
      </c>
      <c r="BZ10" s="915">
        <f t="shared" si="65"/>
        <v>0</v>
      </c>
      <c r="CA10" s="915">
        <f t="shared" si="66"/>
        <v>0</v>
      </c>
      <c r="CB10" s="915">
        <f t="shared" si="67"/>
        <v>0</v>
      </c>
      <c r="CC10" s="915">
        <f t="shared" si="68"/>
        <v>0</v>
      </c>
      <c r="CD10" s="915">
        <f t="shared" si="69"/>
        <v>0</v>
      </c>
      <c r="CE10" s="915">
        <f t="shared" si="70"/>
        <v>0</v>
      </c>
      <c r="CF10" s="915">
        <f t="shared" si="71"/>
        <v>0</v>
      </c>
      <c r="CG10" s="915">
        <f t="shared" si="72"/>
        <v>0</v>
      </c>
      <c r="CH10" s="915">
        <f t="shared" si="73"/>
        <v>0</v>
      </c>
      <c r="CI10" s="915">
        <f t="shared" si="74"/>
        <v>0</v>
      </c>
      <c r="CJ10" s="915">
        <f t="shared" si="75"/>
        <v>0</v>
      </c>
      <c r="CK10" s="915">
        <f t="shared" si="76"/>
        <v>0</v>
      </c>
      <c r="CL10" s="915">
        <f t="shared" si="77"/>
        <v>0</v>
      </c>
      <c r="CM10" s="915">
        <f t="shared" si="78"/>
        <v>0</v>
      </c>
      <c r="CN10" s="915">
        <f t="shared" si="79"/>
        <v>0</v>
      </c>
      <c r="CO10" s="915">
        <f t="shared" si="80"/>
        <v>0</v>
      </c>
      <c r="CP10" s="915">
        <f t="shared" si="81"/>
        <v>0</v>
      </c>
      <c r="CQ10" s="915">
        <f t="shared" si="82"/>
        <v>0</v>
      </c>
      <c r="CR10" s="915">
        <f t="shared" si="83"/>
        <v>0</v>
      </c>
      <c r="CS10" s="915">
        <f t="shared" si="84"/>
        <v>0</v>
      </c>
      <c r="CT10" s="915">
        <f t="shared" si="85"/>
        <v>0</v>
      </c>
      <c r="CU10" s="915">
        <f t="shared" si="86"/>
        <v>0</v>
      </c>
      <c r="CV10" s="915">
        <f t="shared" si="87"/>
        <v>0</v>
      </c>
      <c r="CW10" s="915">
        <f t="shared" si="88"/>
        <v>0</v>
      </c>
      <c r="CX10" s="915">
        <f t="shared" si="89"/>
        <v>0</v>
      </c>
      <c r="CY10" s="915">
        <f t="shared" si="90"/>
        <v>0</v>
      </c>
      <c r="CZ10" s="915">
        <f t="shared" si="91"/>
        <v>0</v>
      </c>
      <c r="DA10" s="915">
        <f t="shared" si="92"/>
        <v>0</v>
      </c>
      <c r="DB10" s="915">
        <f t="shared" si="93"/>
        <v>0</v>
      </c>
      <c r="DC10" s="915">
        <f t="shared" si="94"/>
        <v>0</v>
      </c>
      <c r="DD10" s="915">
        <f t="shared" si="95"/>
        <v>0</v>
      </c>
      <c r="DE10" s="915">
        <f t="shared" si="96"/>
        <v>0</v>
      </c>
      <c r="DF10" s="915">
        <f t="shared" si="97"/>
        <v>0</v>
      </c>
      <c r="DG10" s="915">
        <f t="shared" si="98"/>
        <v>0</v>
      </c>
      <c r="DH10" s="915">
        <f t="shared" si="99"/>
        <v>0</v>
      </c>
      <c r="DI10" s="915">
        <f t="shared" si="100"/>
        <v>0</v>
      </c>
      <c r="DJ10" s="915">
        <f t="shared" si="101"/>
        <v>0</v>
      </c>
      <c r="DK10" s="915">
        <f t="shared" si="102"/>
        <v>0</v>
      </c>
      <c r="DL10" s="915">
        <f t="shared" si="103"/>
        <v>0</v>
      </c>
      <c r="DM10" s="915">
        <f t="shared" si="104"/>
        <v>0</v>
      </c>
      <c r="DN10" s="915">
        <f t="shared" si="105"/>
        <v>0</v>
      </c>
      <c r="DO10" s="915">
        <f t="shared" si="106"/>
        <v>0</v>
      </c>
      <c r="DP10" s="915">
        <f t="shared" si="107"/>
        <v>0</v>
      </c>
      <c r="DQ10" s="915">
        <f t="shared" si="108"/>
        <v>0</v>
      </c>
      <c r="DR10" s="915">
        <f t="shared" si="109"/>
        <v>0</v>
      </c>
      <c r="DS10" s="915">
        <f t="shared" si="110"/>
        <v>0</v>
      </c>
      <c r="DT10" s="915">
        <f t="shared" si="111"/>
        <v>0</v>
      </c>
      <c r="DU10" s="915">
        <f t="shared" si="112"/>
        <v>0</v>
      </c>
      <c r="DV10" s="915">
        <f t="shared" si="113"/>
        <v>0</v>
      </c>
      <c r="DW10" s="915">
        <f t="shared" si="114"/>
        <v>0</v>
      </c>
      <c r="DX10" s="915">
        <f t="shared" si="115"/>
        <v>0</v>
      </c>
      <c r="DY10" s="915">
        <f t="shared" si="116"/>
        <v>0</v>
      </c>
      <c r="DZ10" s="915">
        <f t="shared" si="117"/>
        <v>0</v>
      </c>
      <c r="EA10" s="915">
        <f t="shared" si="118"/>
        <v>0</v>
      </c>
      <c r="EB10" s="915">
        <f t="shared" si="119"/>
        <v>0</v>
      </c>
      <c r="EC10" s="915">
        <f t="shared" si="120"/>
        <v>0</v>
      </c>
      <c r="ED10" s="915">
        <f t="shared" si="121"/>
        <v>0</v>
      </c>
      <c r="EE10" s="915">
        <f t="shared" si="122"/>
        <v>0</v>
      </c>
      <c r="EF10" s="915">
        <f t="shared" si="123"/>
        <v>0</v>
      </c>
      <c r="EG10" s="915">
        <f t="shared" si="124"/>
        <v>0</v>
      </c>
      <c r="EH10" s="915">
        <f t="shared" si="125"/>
        <v>0</v>
      </c>
      <c r="EI10" s="915">
        <f t="shared" si="126"/>
        <v>0</v>
      </c>
      <c r="EJ10" s="915">
        <f t="shared" si="127"/>
        <v>0</v>
      </c>
      <c r="EK10" s="915">
        <f t="shared" si="128"/>
        <v>0</v>
      </c>
      <c r="EL10" s="915">
        <f t="shared" si="129"/>
        <v>0</v>
      </c>
      <c r="EM10" s="915">
        <f t="shared" si="130"/>
        <v>0</v>
      </c>
      <c r="EN10" s="915">
        <f t="shared" si="131"/>
        <v>0</v>
      </c>
      <c r="EO10" s="915">
        <f t="shared" si="132"/>
        <v>0</v>
      </c>
      <c r="EP10" s="915">
        <f t="shared" si="133"/>
        <v>0</v>
      </c>
      <c r="EQ10" s="915">
        <f t="shared" si="134"/>
        <v>0</v>
      </c>
      <c r="ER10" s="915">
        <f t="shared" si="135"/>
        <v>0</v>
      </c>
      <c r="ES10" s="915">
        <f t="shared" si="136"/>
        <v>0</v>
      </c>
      <c r="ET10" s="915">
        <f t="shared" si="137"/>
        <v>0</v>
      </c>
      <c r="EU10" s="915">
        <f t="shared" si="138"/>
        <v>0</v>
      </c>
      <c r="EV10" s="915">
        <f t="shared" si="139"/>
        <v>0</v>
      </c>
      <c r="EW10" s="915">
        <f t="shared" si="140"/>
        <v>0</v>
      </c>
      <c r="EX10" s="915">
        <f t="shared" si="141"/>
        <v>0</v>
      </c>
      <c r="EY10" s="915">
        <f t="shared" si="142"/>
        <v>0</v>
      </c>
      <c r="EZ10" s="915">
        <f t="shared" si="143"/>
        <v>0</v>
      </c>
      <c r="FA10" s="915">
        <f t="shared" si="144"/>
        <v>0</v>
      </c>
      <c r="FB10" s="915">
        <f t="shared" si="145"/>
        <v>0</v>
      </c>
      <c r="FC10" s="915">
        <f t="shared" si="146"/>
        <v>0</v>
      </c>
      <c r="FD10" s="915">
        <f t="shared" si="147"/>
        <v>0</v>
      </c>
      <c r="FE10" s="915">
        <f t="shared" si="148"/>
        <v>0</v>
      </c>
      <c r="FF10" s="915">
        <f t="shared" si="149"/>
        <v>0</v>
      </c>
      <c r="FG10" s="915">
        <f t="shared" si="150"/>
        <v>0</v>
      </c>
      <c r="FH10" s="915">
        <f t="shared" si="151"/>
        <v>0</v>
      </c>
      <c r="FI10" s="915">
        <f t="shared" si="152"/>
        <v>0</v>
      </c>
      <c r="FJ10" s="915">
        <f t="shared" si="153"/>
        <v>0</v>
      </c>
      <c r="FK10" s="915">
        <f t="shared" si="154"/>
        <v>0</v>
      </c>
      <c r="FL10" s="915">
        <f t="shared" si="155"/>
        <v>0</v>
      </c>
      <c r="FM10" s="915">
        <f t="shared" si="156"/>
        <v>0</v>
      </c>
      <c r="FN10" s="915">
        <f t="shared" si="157"/>
        <v>0</v>
      </c>
      <c r="FO10" s="915">
        <f t="shared" si="158"/>
        <v>0</v>
      </c>
      <c r="FP10" s="915">
        <f t="shared" si="159"/>
        <v>0</v>
      </c>
      <c r="FQ10" s="915">
        <f t="shared" si="160"/>
        <v>0</v>
      </c>
      <c r="FR10" s="915">
        <f t="shared" si="161"/>
        <v>0</v>
      </c>
      <c r="FS10" s="915">
        <f t="shared" si="162"/>
        <v>0</v>
      </c>
      <c r="FT10" s="915">
        <f t="shared" si="163"/>
        <v>0</v>
      </c>
      <c r="FU10" s="915">
        <f t="shared" si="164"/>
        <v>0</v>
      </c>
      <c r="FV10" s="915">
        <f t="shared" si="165"/>
        <v>0</v>
      </c>
      <c r="FW10" s="915">
        <f t="shared" si="166"/>
        <v>0</v>
      </c>
      <c r="FX10" s="915">
        <f t="shared" si="167"/>
        <v>0</v>
      </c>
      <c r="FY10" s="915">
        <f t="shared" si="168"/>
        <v>0</v>
      </c>
      <c r="FZ10" s="915">
        <f t="shared" si="169"/>
        <v>0</v>
      </c>
    </row>
    <row r="11" spans="1:182" ht="14.1" customHeight="1" x14ac:dyDescent="0.2">
      <c r="A11" s="497">
        <v>4</v>
      </c>
      <c r="B11" s="1423"/>
      <c r="C11" s="1424"/>
      <c r="D11" s="138">
        <v>1</v>
      </c>
      <c r="E11" s="138" t="s">
        <v>52</v>
      </c>
      <c r="F11" s="139" t="s">
        <v>2544</v>
      </c>
      <c r="G11" s="139" t="s">
        <v>2542</v>
      </c>
      <c r="H11" s="100">
        <v>7</v>
      </c>
      <c r="I11" s="119">
        <f t="shared" si="11"/>
        <v>0.42</v>
      </c>
      <c r="J11" s="90">
        <f t="shared" si="12"/>
        <v>7.42</v>
      </c>
      <c r="K11" s="225"/>
      <c r="N11" s="942">
        <f>Z6</f>
        <v>7.42</v>
      </c>
      <c r="O11" s="915" t="str">
        <f>"Waste Haul for "&amp;TabName1</f>
        <v>Waste Haul for Phase 1</v>
      </c>
      <c r="P11" s="949" t="s">
        <v>284</v>
      </c>
      <c r="R11" s="915">
        <f>INDEX(ValidateTable,4)</f>
        <v>4</v>
      </c>
      <c r="T11" s="915" t="s">
        <v>52</v>
      </c>
      <c r="W11" s="915">
        <f t="shared" si="8"/>
        <v>0</v>
      </c>
      <c r="X11" s="915">
        <f t="shared" si="9"/>
        <v>0</v>
      </c>
      <c r="Y11" s="915">
        <f t="shared" si="10"/>
        <v>0</v>
      </c>
      <c r="Z11" s="915">
        <f t="shared" si="13"/>
        <v>7.42</v>
      </c>
      <c r="AA11" s="915">
        <f t="shared" si="14"/>
        <v>0</v>
      </c>
      <c r="AB11" s="915">
        <f t="shared" si="15"/>
        <v>0</v>
      </c>
      <c r="AC11" s="915">
        <f t="shared" si="16"/>
        <v>0</v>
      </c>
      <c r="AD11" s="915">
        <f t="shared" si="17"/>
        <v>0</v>
      </c>
      <c r="AE11" s="915">
        <f t="shared" si="18"/>
        <v>0</v>
      </c>
      <c r="AF11" s="915">
        <f t="shared" si="19"/>
        <v>0</v>
      </c>
      <c r="AG11" s="915">
        <f t="shared" si="20"/>
        <v>0</v>
      </c>
      <c r="AH11" s="915">
        <f t="shared" si="21"/>
        <v>0</v>
      </c>
      <c r="AI11" s="915">
        <f t="shared" si="22"/>
        <v>0</v>
      </c>
      <c r="AJ11" s="915">
        <f t="shared" si="23"/>
        <v>0</v>
      </c>
      <c r="AK11" s="915">
        <f t="shared" si="24"/>
        <v>0</v>
      </c>
      <c r="AL11" s="915">
        <f t="shared" si="25"/>
        <v>0</v>
      </c>
      <c r="AM11" s="915">
        <f t="shared" si="26"/>
        <v>0</v>
      </c>
      <c r="AN11" s="915">
        <f t="shared" si="27"/>
        <v>0</v>
      </c>
      <c r="AO11" s="915">
        <f t="shared" si="28"/>
        <v>0</v>
      </c>
      <c r="AP11" s="915">
        <f t="shared" si="29"/>
        <v>0</v>
      </c>
      <c r="AQ11" s="915">
        <f t="shared" si="30"/>
        <v>0</v>
      </c>
      <c r="AR11" s="915">
        <f t="shared" si="31"/>
        <v>0</v>
      </c>
      <c r="AS11" s="915">
        <f t="shared" si="32"/>
        <v>0</v>
      </c>
      <c r="AT11" s="915">
        <f t="shared" si="33"/>
        <v>0</v>
      </c>
      <c r="AU11" s="915">
        <f t="shared" si="34"/>
        <v>0</v>
      </c>
      <c r="AV11" s="915">
        <f t="shared" si="35"/>
        <v>0</v>
      </c>
      <c r="AW11" s="915">
        <f t="shared" si="36"/>
        <v>0</v>
      </c>
      <c r="AX11" s="915">
        <f t="shared" si="37"/>
        <v>0</v>
      </c>
      <c r="AY11" s="915">
        <f t="shared" si="38"/>
        <v>0</v>
      </c>
      <c r="AZ11" s="915">
        <f t="shared" si="39"/>
        <v>0</v>
      </c>
      <c r="BA11" s="915">
        <f t="shared" si="40"/>
        <v>0</v>
      </c>
      <c r="BB11" s="915">
        <f t="shared" si="41"/>
        <v>0</v>
      </c>
      <c r="BC11" s="915">
        <f t="shared" si="42"/>
        <v>0</v>
      </c>
      <c r="BD11" s="915">
        <f t="shared" si="43"/>
        <v>0</v>
      </c>
      <c r="BE11" s="915">
        <f t="shared" si="44"/>
        <v>0</v>
      </c>
      <c r="BF11" s="915">
        <f t="shared" si="45"/>
        <v>0</v>
      </c>
      <c r="BG11" s="915">
        <f t="shared" si="46"/>
        <v>0</v>
      </c>
      <c r="BH11" s="915">
        <f t="shared" si="47"/>
        <v>0</v>
      </c>
      <c r="BI11" s="915">
        <f t="shared" si="48"/>
        <v>0</v>
      </c>
      <c r="BJ11" s="915">
        <f t="shared" si="49"/>
        <v>0</v>
      </c>
      <c r="BK11" s="915">
        <f t="shared" si="50"/>
        <v>0</v>
      </c>
      <c r="BL11" s="915">
        <f t="shared" si="51"/>
        <v>0</v>
      </c>
      <c r="BM11" s="915">
        <f t="shared" si="52"/>
        <v>0</v>
      </c>
      <c r="BN11" s="915">
        <f t="shared" si="53"/>
        <v>0</v>
      </c>
      <c r="BO11" s="915">
        <f t="shared" si="54"/>
        <v>0</v>
      </c>
      <c r="BP11" s="915">
        <f t="shared" si="55"/>
        <v>0</v>
      </c>
      <c r="BQ11" s="915">
        <f t="shared" si="56"/>
        <v>0</v>
      </c>
      <c r="BR11" s="915">
        <f t="shared" si="57"/>
        <v>0</v>
      </c>
      <c r="BS11" s="915">
        <f t="shared" si="58"/>
        <v>0</v>
      </c>
      <c r="BT11" s="915">
        <f t="shared" si="59"/>
        <v>0</v>
      </c>
      <c r="BU11" s="915">
        <f t="shared" si="60"/>
        <v>0</v>
      </c>
      <c r="BV11" s="915">
        <f t="shared" si="61"/>
        <v>0</v>
      </c>
      <c r="BW11" s="915">
        <f t="shared" si="62"/>
        <v>0</v>
      </c>
      <c r="BX11" s="915">
        <f t="shared" si="63"/>
        <v>0</v>
      </c>
      <c r="BY11" s="915">
        <f t="shared" si="64"/>
        <v>0</v>
      </c>
      <c r="BZ11" s="915">
        <f t="shared" si="65"/>
        <v>0</v>
      </c>
      <c r="CA11" s="915">
        <f t="shared" si="66"/>
        <v>0</v>
      </c>
      <c r="CB11" s="915">
        <f t="shared" si="67"/>
        <v>0</v>
      </c>
      <c r="CC11" s="915">
        <f t="shared" si="68"/>
        <v>0</v>
      </c>
      <c r="CD11" s="915">
        <f t="shared" si="69"/>
        <v>0</v>
      </c>
      <c r="CE11" s="915">
        <f t="shared" si="70"/>
        <v>0</v>
      </c>
      <c r="CF11" s="915">
        <f t="shared" si="71"/>
        <v>0</v>
      </c>
      <c r="CG11" s="915">
        <f t="shared" si="72"/>
        <v>0</v>
      </c>
      <c r="CH11" s="915">
        <f t="shared" si="73"/>
        <v>0</v>
      </c>
      <c r="CI11" s="915">
        <f t="shared" si="74"/>
        <v>0</v>
      </c>
      <c r="CJ11" s="915">
        <f t="shared" si="75"/>
        <v>0</v>
      </c>
      <c r="CK11" s="915">
        <f t="shared" si="76"/>
        <v>0</v>
      </c>
      <c r="CL11" s="915">
        <f t="shared" si="77"/>
        <v>0</v>
      </c>
      <c r="CM11" s="915">
        <f t="shared" si="78"/>
        <v>0</v>
      </c>
      <c r="CN11" s="915">
        <f t="shared" si="79"/>
        <v>0</v>
      </c>
      <c r="CO11" s="915">
        <f t="shared" si="80"/>
        <v>0</v>
      </c>
      <c r="CP11" s="915">
        <f t="shared" si="81"/>
        <v>0</v>
      </c>
      <c r="CQ11" s="915">
        <f t="shared" si="82"/>
        <v>0</v>
      </c>
      <c r="CR11" s="915">
        <f t="shared" si="83"/>
        <v>0</v>
      </c>
      <c r="CS11" s="915">
        <f t="shared" si="84"/>
        <v>0</v>
      </c>
      <c r="CT11" s="915">
        <f t="shared" si="85"/>
        <v>0</v>
      </c>
      <c r="CU11" s="915">
        <f t="shared" si="86"/>
        <v>0</v>
      </c>
      <c r="CV11" s="915">
        <f t="shared" si="87"/>
        <v>0</v>
      </c>
      <c r="CW11" s="915">
        <f t="shared" si="88"/>
        <v>0</v>
      </c>
      <c r="CX11" s="915">
        <f t="shared" si="89"/>
        <v>0</v>
      </c>
      <c r="CY11" s="915">
        <f t="shared" si="90"/>
        <v>0</v>
      </c>
      <c r="CZ11" s="915">
        <f t="shared" si="91"/>
        <v>0</v>
      </c>
      <c r="DA11" s="915">
        <f t="shared" si="92"/>
        <v>0</v>
      </c>
      <c r="DB11" s="915">
        <f t="shared" si="93"/>
        <v>0</v>
      </c>
      <c r="DC11" s="915">
        <f t="shared" si="94"/>
        <v>0</v>
      </c>
      <c r="DD11" s="915">
        <f t="shared" si="95"/>
        <v>0</v>
      </c>
      <c r="DE11" s="915">
        <f t="shared" si="96"/>
        <v>0</v>
      </c>
      <c r="DF11" s="915">
        <f t="shared" si="97"/>
        <v>0</v>
      </c>
      <c r="DG11" s="915">
        <f t="shared" si="98"/>
        <v>0</v>
      </c>
      <c r="DH11" s="915">
        <f t="shared" si="99"/>
        <v>0</v>
      </c>
      <c r="DI11" s="915">
        <f t="shared" si="100"/>
        <v>0</v>
      </c>
      <c r="DJ11" s="915">
        <f t="shared" si="101"/>
        <v>0</v>
      </c>
      <c r="DK11" s="915">
        <f t="shared" si="102"/>
        <v>0</v>
      </c>
      <c r="DL11" s="915">
        <f t="shared" si="103"/>
        <v>0</v>
      </c>
      <c r="DM11" s="915">
        <f t="shared" si="104"/>
        <v>0</v>
      </c>
      <c r="DN11" s="915">
        <f t="shared" si="105"/>
        <v>0</v>
      </c>
      <c r="DO11" s="915">
        <f t="shared" si="106"/>
        <v>0</v>
      </c>
      <c r="DP11" s="915">
        <f t="shared" si="107"/>
        <v>0</v>
      </c>
      <c r="DQ11" s="915">
        <f t="shared" si="108"/>
        <v>0</v>
      </c>
      <c r="DR11" s="915">
        <f t="shared" si="109"/>
        <v>0</v>
      </c>
      <c r="DS11" s="915">
        <f t="shared" si="110"/>
        <v>0</v>
      </c>
      <c r="DT11" s="915">
        <f t="shared" si="111"/>
        <v>0</v>
      </c>
      <c r="DU11" s="915">
        <f t="shared" si="112"/>
        <v>0</v>
      </c>
      <c r="DV11" s="915">
        <f t="shared" si="113"/>
        <v>0</v>
      </c>
      <c r="DW11" s="915">
        <f t="shared" si="114"/>
        <v>0</v>
      </c>
      <c r="DX11" s="915">
        <f t="shared" si="115"/>
        <v>0</v>
      </c>
      <c r="DY11" s="915">
        <f t="shared" si="116"/>
        <v>0</v>
      </c>
      <c r="DZ11" s="915">
        <f t="shared" si="117"/>
        <v>0</v>
      </c>
      <c r="EA11" s="915">
        <f t="shared" si="118"/>
        <v>0</v>
      </c>
      <c r="EB11" s="915">
        <f t="shared" si="119"/>
        <v>0</v>
      </c>
      <c r="EC11" s="915">
        <f t="shared" si="120"/>
        <v>0</v>
      </c>
      <c r="ED11" s="915">
        <f t="shared" si="121"/>
        <v>0</v>
      </c>
      <c r="EE11" s="915">
        <f t="shared" si="122"/>
        <v>0</v>
      </c>
      <c r="EF11" s="915">
        <f t="shared" si="123"/>
        <v>0</v>
      </c>
      <c r="EG11" s="915">
        <f t="shared" si="124"/>
        <v>0</v>
      </c>
      <c r="EH11" s="915">
        <f t="shared" si="125"/>
        <v>0</v>
      </c>
      <c r="EI11" s="915">
        <f t="shared" si="126"/>
        <v>0</v>
      </c>
      <c r="EJ11" s="915">
        <f t="shared" si="127"/>
        <v>0</v>
      </c>
      <c r="EK11" s="915">
        <f t="shared" si="128"/>
        <v>0</v>
      </c>
      <c r="EL11" s="915">
        <f t="shared" si="129"/>
        <v>0</v>
      </c>
      <c r="EM11" s="915">
        <f t="shared" si="130"/>
        <v>0</v>
      </c>
      <c r="EN11" s="915">
        <f t="shared" si="131"/>
        <v>0</v>
      </c>
      <c r="EO11" s="915">
        <f t="shared" si="132"/>
        <v>0</v>
      </c>
      <c r="EP11" s="915">
        <f t="shared" si="133"/>
        <v>0</v>
      </c>
      <c r="EQ11" s="915">
        <f t="shared" si="134"/>
        <v>0</v>
      </c>
      <c r="ER11" s="915">
        <f t="shared" si="135"/>
        <v>0</v>
      </c>
      <c r="ES11" s="915">
        <f t="shared" si="136"/>
        <v>0</v>
      </c>
      <c r="ET11" s="915">
        <f t="shared" si="137"/>
        <v>0</v>
      </c>
      <c r="EU11" s="915">
        <f t="shared" si="138"/>
        <v>0</v>
      </c>
      <c r="EV11" s="915">
        <f t="shared" si="139"/>
        <v>0</v>
      </c>
      <c r="EW11" s="915">
        <f t="shared" si="140"/>
        <v>0</v>
      </c>
      <c r="EX11" s="915">
        <f t="shared" si="141"/>
        <v>0</v>
      </c>
      <c r="EY11" s="915">
        <f t="shared" si="142"/>
        <v>0</v>
      </c>
      <c r="EZ11" s="915">
        <f t="shared" si="143"/>
        <v>0</v>
      </c>
      <c r="FA11" s="915">
        <f t="shared" si="144"/>
        <v>0</v>
      </c>
      <c r="FB11" s="915">
        <f t="shared" si="145"/>
        <v>0</v>
      </c>
      <c r="FC11" s="915">
        <f t="shared" si="146"/>
        <v>0</v>
      </c>
      <c r="FD11" s="915">
        <f t="shared" si="147"/>
        <v>0</v>
      </c>
      <c r="FE11" s="915">
        <f t="shared" si="148"/>
        <v>0</v>
      </c>
      <c r="FF11" s="915">
        <f t="shared" si="149"/>
        <v>0</v>
      </c>
      <c r="FG11" s="915">
        <f t="shared" si="150"/>
        <v>0</v>
      </c>
      <c r="FH11" s="915">
        <f t="shared" si="151"/>
        <v>0</v>
      </c>
      <c r="FI11" s="915">
        <f t="shared" si="152"/>
        <v>0</v>
      </c>
      <c r="FJ11" s="915">
        <f t="shared" si="153"/>
        <v>0</v>
      </c>
      <c r="FK11" s="915">
        <f t="shared" si="154"/>
        <v>0</v>
      </c>
      <c r="FL11" s="915">
        <f t="shared" si="155"/>
        <v>0</v>
      </c>
      <c r="FM11" s="915">
        <f t="shared" si="156"/>
        <v>0</v>
      </c>
      <c r="FN11" s="915">
        <f t="shared" si="157"/>
        <v>0</v>
      </c>
      <c r="FO11" s="915">
        <f t="shared" si="158"/>
        <v>0</v>
      </c>
      <c r="FP11" s="915">
        <f t="shared" si="159"/>
        <v>0</v>
      </c>
      <c r="FQ11" s="915">
        <f t="shared" si="160"/>
        <v>0</v>
      </c>
      <c r="FR11" s="915">
        <f t="shared" si="161"/>
        <v>0</v>
      </c>
      <c r="FS11" s="915">
        <f t="shared" si="162"/>
        <v>0</v>
      </c>
      <c r="FT11" s="915">
        <f t="shared" si="163"/>
        <v>0</v>
      </c>
      <c r="FU11" s="915">
        <f t="shared" si="164"/>
        <v>0</v>
      </c>
      <c r="FV11" s="915">
        <f t="shared" si="165"/>
        <v>0</v>
      </c>
      <c r="FW11" s="915">
        <f t="shared" si="166"/>
        <v>0</v>
      </c>
      <c r="FX11" s="915">
        <f t="shared" si="167"/>
        <v>0</v>
      </c>
      <c r="FY11" s="915">
        <f t="shared" si="168"/>
        <v>0</v>
      </c>
      <c r="FZ11" s="915">
        <f t="shared" si="169"/>
        <v>0</v>
      </c>
    </row>
    <row r="12" spans="1:182" ht="14.1" customHeight="1" x14ac:dyDescent="0.2">
      <c r="A12" s="496">
        <v>5</v>
      </c>
      <c r="B12" s="1419"/>
      <c r="C12" s="1433"/>
      <c r="D12" s="264">
        <v>1</v>
      </c>
      <c r="E12" s="264" t="s">
        <v>30</v>
      </c>
      <c r="F12" s="270" t="s">
        <v>2544</v>
      </c>
      <c r="G12" s="270" t="s">
        <v>2542</v>
      </c>
      <c r="H12" s="272">
        <v>7</v>
      </c>
      <c r="I12" s="268">
        <f t="shared" si="11"/>
        <v>0.42</v>
      </c>
      <c r="J12" s="269">
        <f t="shared" si="12"/>
        <v>7.42</v>
      </c>
      <c r="K12" s="225"/>
      <c r="N12" s="942">
        <f>AA6</f>
        <v>7.42</v>
      </c>
      <c r="O12" s="879" t="str">
        <f>"Surveying/Inspection for " &amp; TabName1</f>
        <v>Surveying/Inspection for Phase 1</v>
      </c>
      <c r="P12" s="950" t="s">
        <v>245</v>
      </c>
      <c r="R12" s="915">
        <f>INDEX(ValidateTable,5)</f>
        <v>5</v>
      </c>
      <c r="T12" s="915" t="s">
        <v>30</v>
      </c>
      <c r="W12" s="915">
        <f t="shared" si="8"/>
        <v>0</v>
      </c>
      <c r="X12" s="915">
        <f t="shared" si="9"/>
        <v>0</v>
      </c>
      <c r="Y12" s="915">
        <f t="shared" si="10"/>
        <v>0</v>
      </c>
      <c r="Z12" s="915">
        <f t="shared" si="13"/>
        <v>0</v>
      </c>
      <c r="AA12" s="915">
        <f t="shared" si="14"/>
        <v>7.42</v>
      </c>
      <c r="AB12" s="915">
        <f t="shared" si="15"/>
        <v>0</v>
      </c>
      <c r="AC12" s="915">
        <f t="shared" si="16"/>
        <v>0</v>
      </c>
      <c r="AD12" s="915">
        <f t="shared" si="17"/>
        <v>0</v>
      </c>
      <c r="AE12" s="915">
        <f t="shared" si="18"/>
        <v>0</v>
      </c>
      <c r="AF12" s="915">
        <f t="shared" si="19"/>
        <v>0</v>
      </c>
      <c r="AG12" s="915">
        <f t="shared" si="20"/>
        <v>0</v>
      </c>
      <c r="AH12" s="915">
        <f t="shared" si="21"/>
        <v>0</v>
      </c>
      <c r="AI12" s="915">
        <f t="shared" si="22"/>
        <v>0</v>
      </c>
      <c r="AJ12" s="915">
        <f t="shared" si="23"/>
        <v>0</v>
      </c>
      <c r="AK12" s="915">
        <f t="shared" si="24"/>
        <v>0</v>
      </c>
      <c r="AL12" s="915">
        <f t="shared" si="25"/>
        <v>0</v>
      </c>
      <c r="AM12" s="915">
        <f t="shared" si="26"/>
        <v>0</v>
      </c>
      <c r="AN12" s="915">
        <f t="shared" si="27"/>
        <v>0</v>
      </c>
      <c r="AO12" s="915">
        <f t="shared" si="28"/>
        <v>0</v>
      </c>
      <c r="AP12" s="915">
        <f t="shared" si="29"/>
        <v>0</v>
      </c>
      <c r="AQ12" s="915">
        <f t="shared" si="30"/>
        <v>0</v>
      </c>
      <c r="AR12" s="915">
        <f t="shared" si="31"/>
        <v>0</v>
      </c>
      <c r="AS12" s="915">
        <f t="shared" si="32"/>
        <v>0</v>
      </c>
      <c r="AT12" s="915">
        <f t="shared" si="33"/>
        <v>0</v>
      </c>
      <c r="AU12" s="915">
        <f t="shared" si="34"/>
        <v>0</v>
      </c>
      <c r="AV12" s="915">
        <f t="shared" si="35"/>
        <v>0</v>
      </c>
      <c r="AW12" s="915">
        <f t="shared" si="36"/>
        <v>0</v>
      </c>
      <c r="AX12" s="915">
        <f t="shared" si="37"/>
        <v>0</v>
      </c>
      <c r="AY12" s="915">
        <f t="shared" si="38"/>
        <v>0</v>
      </c>
      <c r="AZ12" s="915">
        <f t="shared" si="39"/>
        <v>0</v>
      </c>
      <c r="BA12" s="915">
        <f t="shared" si="40"/>
        <v>0</v>
      </c>
      <c r="BB12" s="915">
        <f t="shared" si="41"/>
        <v>0</v>
      </c>
      <c r="BC12" s="915">
        <f t="shared" si="42"/>
        <v>0</v>
      </c>
      <c r="BD12" s="915">
        <f t="shared" si="43"/>
        <v>0</v>
      </c>
      <c r="BE12" s="915">
        <f t="shared" si="44"/>
        <v>0</v>
      </c>
      <c r="BF12" s="915">
        <f t="shared" si="45"/>
        <v>0</v>
      </c>
      <c r="BG12" s="915">
        <f t="shared" si="46"/>
        <v>0</v>
      </c>
      <c r="BH12" s="915">
        <f t="shared" si="47"/>
        <v>0</v>
      </c>
      <c r="BI12" s="915">
        <f t="shared" si="48"/>
        <v>0</v>
      </c>
      <c r="BJ12" s="915">
        <f t="shared" si="49"/>
        <v>0</v>
      </c>
      <c r="BK12" s="915">
        <f t="shared" si="50"/>
        <v>0</v>
      </c>
      <c r="BL12" s="915">
        <f t="shared" si="51"/>
        <v>0</v>
      </c>
      <c r="BM12" s="915">
        <f t="shared" si="52"/>
        <v>0</v>
      </c>
      <c r="BN12" s="915">
        <f t="shared" si="53"/>
        <v>0</v>
      </c>
      <c r="BO12" s="915">
        <f t="shared" si="54"/>
        <v>0</v>
      </c>
      <c r="BP12" s="915">
        <f t="shared" si="55"/>
        <v>0</v>
      </c>
      <c r="BQ12" s="915">
        <f t="shared" si="56"/>
        <v>0</v>
      </c>
      <c r="BR12" s="915">
        <f t="shared" si="57"/>
        <v>0</v>
      </c>
      <c r="BS12" s="915">
        <f t="shared" si="58"/>
        <v>0</v>
      </c>
      <c r="BT12" s="915">
        <f t="shared" si="59"/>
        <v>0</v>
      </c>
      <c r="BU12" s="915">
        <f t="shared" si="60"/>
        <v>0</v>
      </c>
      <c r="BV12" s="915">
        <f t="shared" si="61"/>
        <v>0</v>
      </c>
      <c r="BW12" s="915">
        <f t="shared" si="62"/>
        <v>0</v>
      </c>
      <c r="BX12" s="915">
        <f t="shared" si="63"/>
        <v>0</v>
      </c>
      <c r="BY12" s="915">
        <f t="shared" si="64"/>
        <v>0</v>
      </c>
      <c r="BZ12" s="915">
        <f t="shared" si="65"/>
        <v>0</v>
      </c>
      <c r="CA12" s="915">
        <f t="shared" si="66"/>
        <v>0</v>
      </c>
      <c r="CB12" s="915">
        <f t="shared" si="67"/>
        <v>0</v>
      </c>
      <c r="CC12" s="915">
        <f t="shared" si="68"/>
        <v>0</v>
      </c>
      <c r="CD12" s="915">
        <f t="shared" si="69"/>
        <v>0</v>
      </c>
      <c r="CE12" s="915">
        <f t="shared" si="70"/>
        <v>0</v>
      </c>
      <c r="CF12" s="915">
        <f t="shared" si="71"/>
        <v>0</v>
      </c>
      <c r="CG12" s="915">
        <f t="shared" si="72"/>
        <v>0</v>
      </c>
      <c r="CH12" s="915">
        <f t="shared" si="73"/>
        <v>0</v>
      </c>
      <c r="CI12" s="915">
        <f t="shared" si="74"/>
        <v>0</v>
      </c>
      <c r="CJ12" s="915">
        <f t="shared" si="75"/>
        <v>0</v>
      </c>
      <c r="CK12" s="915">
        <f t="shared" si="76"/>
        <v>0</v>
      </c>
      <c r="CL12" s="915">
        <f t="shared" si="77"/>
        <v>0</v>
      </c>
      <c r="CM12" s="915">
        <f t="shared" si="78"/>
        <v>0</v>
      </c>
      <c r="CN12" s="915">
        <f t="shared" si="79"/>
        <v>0</v>
      </c>
      <c r="CO12" s="915">
        <f t="shared" si="80"/>
        <v>0</v>
      </c>
      <c r="CP12" s="915">
        <f t="shared" si="81"/>
        <v>0</v>
      </c>
      <c r="CQ12" s="915">
        <f t="shared" si="82"/>
        <v>0</v>
      </c>
      <c r="CR12" s="915">
        <f t="shared" si="83"/>
        <v>0</v>
      </c>
      <c r="CS12" s="915">
        <f t="shared" si="84"/>
        <v>0</v>
      </c>
      <c r="CT12" s="915">
        <f t="shared" si="85"/>
        <v>0</v>
      </c>
      <c r="CU12" s="915">
        <f t="shared" si="86"/>
        <v>0</v>
      </c>
      <c r="CV12" s="915">
        <f t="shared" si="87"/>
        <v>0</v>
      </c>
      <c r="CW12" s="915">
        <f t="shared" si="88"/>
        <v>0</v>
      </c>
      <c r="CX12" s="915">
        <f t="shared" si="89"/>
        <v>0</v>
      </c>
      <c r="CY12" s="915">
        <f t="shared" si="90"/>
        <v>0</v>
      </c>
      <c r="CZ12" s="915">
        <f t="shared" si="91"/>
        <v>0</v>
      </c>
      <c r="DA12" s="915">
        <f t="shared" si="92"/>
        <v>0</v>
      </c>
      <c r="DB12" s="915">
        <f t="shared" si="93"/>
        <v>0</v>
      </c>
      <c r="DC12" s="915">
        <f t="shared" si="94"/>
        <v>0</v>
      </c>
      <c r="DD12" s="915">
        <f t="shared" si="95"/>
        <v>0</v>
      </c>
      <c r="DE12" s="915">
        <f t="shared" si="96"/>
        <v>0</v>
      </c>
      <c r="DF12" s="915">
        <f t="shared" si="97"/>
        <v>0</v>
      </c>
      <c r="DG12" s="915">
        <f t="shared" si="98"/>
        <v>0</v>
      </c>
      <c r="DH12" s="915">
        <f t="shared" si="99"/>
        <v>0</v>
      </c>
      <c r="DI12" s="915">
        <f t="shared" si="100"/>
        <v>0</v>
      </c>
      <c r="DJ12" s="915">
        <f t="shared" si="101"/>
        <v>0</v>
      </c>
      <c r="DK12" s="915">
        <f t="shared" si="102"/>
        <v>0</v>
      </c>
      <c r="DL12" s="915">
        <f t="shared" si="103"/>
        <v>0</v>
      </c>
      <c r="DM12" s="915">
        <f t="shared" si="104"/>
        <v>0</v>
      </c>
      <c r="DN12" s="915">
        <f t="shared" si="105"/>
        <v>0</v>
      </c>
      <c r="DO12" s="915">
        <f t="shared" si="106"/>
        <v>0</v>
      </c>
      <c r="DP12" s="915">
        <f t="shared" si="107"/>
        <v>0</v>
      </c>
      <c r="DQ12" s="915">
        <f t="shared" si="108"/>
        <v>0</v>
      </c>
      <c r="DR12" s="915">
        <f t="shared" si="109"/>
        <v>0</v>
      </c>
      <c r="DS12" s="915">
        <f t="shared" si="110"/>
        <v>0</v>
      </c>
      <c r="DT12" s="915">
        <f t="shared" si="111"/>
        <v>0</v>
      </c>
      <c r="DU12" s="915">
        <f t="shared" si="112"/>
        <v>0</v>
      </c>
      <c r="DV12" s="915">
        <f t="shared" si="113"/>
        <v>0</v>
      </c>
      <c r="DW12" s="915">
        <f t="shared" si="114"/>
        <v>0</v>
      </c>
      <c r="DX12" s="915">
        <f t="shared" si="115"/>
        <v>0</v>
      </c>
      <c r="DY12" s="915">
        <f t="shared" si="116"/>
        <v>0</v>
      </c>
      <c r="DZ12" s="915">
        <f t="shared" si="117"/>
        <v>0</v>
      </c>
      <c r="EA12" s="915">
        <f t="shared" si="118"/>
        <v>0</v>
      </c>
      <c r="EB12" s="915">
        <f t="shared" si="119"/>
        <v>0</v>
      </c>
      <c r="EC12" s="915">
        <f t="shared" si="120"/>
        <v>0</v>
      </c>
      <c r="ED12" s="915">
        <f t="shared" si="121"/>
        <v>0</v>
      </c>
      <c r="EE12" s="915">
        <f t="shared" si="122"/>
        <v>0</v>
      </c>
      <c r="EF12" s="915">
        <f t="shared" si="123"/>
        <v>0</v>
      </c>
      <c r="EG12" s="915">
        <f t="shared" si="124"/>
        <v>0</v>
      </c>
      <c r="EH12" s="915">
        <f t="shared" si="125"/>
        <v>0</v>
      </c>
      <c r="EI12" s="915">
        <f t="shared" si="126"/>
        <v>0</v>
      </c>
      <c r="EJ12" s="915">
        <f t="shared" si="127"/>
        <v>0</v>
      </c>
      <c r="EK12" s="915">
        <f t="shared" si="128"/>
        <v>0</v>
      </c>
      <c r="EL12" s="915">
        <f t="shared" si="129"/>
        <v>0</v>
      </c>
      <c r="EM12" s="915">
        <f t="shared" si="130"/>
        <v>0</v>
      </c>
      <c r="EN12" s="915">
        <f t="shared" si="131"/>
        <v>0</v>
      </c>
      <c r="EO12" s="915">
        <f t="shared" si="132"/>
        <v>0</v>
      </c>
      <c r="EP12" s="915">
        <f t="shared" si="133"/>
        <v>0</v>
      </c>
      <c r="EQ12" s="915">
        <f t="shared" si="134"/>
        <v>0</v>
      </c>
      <c r="ER12" s="915">
        <f t="shared" si="135"/>
        <v>0</v>
      </c>
      <c r="ES12" s="915">
        <f t="shared" si="136"/>
        <v>0</v>
      </c>
      <c r="ET12" s="915">
        <f t="shared" si="137"/>
        <v>0</v>
      </c>
      <c r="EU12" s="915">
        <f t="shared" si="138"/>
        <v>0</v>
      </c>
      <c r="EV12" s="915">
        <f t="shared" si="139"/>
        <v>0</v>
      </c>
      <c r="EW12" s="915">
        <f t="shared" si="140"/>
        <v>0</v>
      </c>
      <c r="EX12" s="915">
        <f t="shared" si="141"/>
        <v>0</v>
      </c>
      <c r="EY12" s="915">
        <f t="shared" si="142"/>
        <v>0</v>
      </c>
      <c r="EZ12" s="915">
        <f t="shared" si="143"/>
        <v>0</v>
      </c>
      <c r="FA12" s="915">
        <f t="shared" si="144"/>
        <v>0</v>
      </c>
      <c r="FB12" s="915">
        <f t="shared" si="145"/>
        <v>0</v>
      </c>
      <c r="FC12" s="915">
        <f t="shared" si="146"/>
        <v>0</v>
      </c>
      <c r="FD12" s="915">
        <f t="shared" si="147"/>
        <v>0</v>
      </c>
      <c r="FE12" s="915">
        <f t="shared" si="148"/>
        <v>0</v>
      </c>
      <c r="FF12" s="915">
        <f t="shared" si="149"/>
        <v>0</v>
      </c>
      <c r="FG12" s="915">
        <f t="shared" si="150"/>
        <v>0</v>
      </c>
      <c r="FH12" s="915">
        <f t="shared" si="151"/>
        <v>0</v>
      </c>
      <c r="FI12" s="915">
        <f t="shared" si="152"/>
        <v>0</v>
      </c>
      <c r="FJ12" s="915">
        <f t="shared" si="153"/>
        <v>0</v>
      </c>
      <c r="FK12" s="915">
        <f t="shared" si="154"/>
        <v>0</v>
      </c>
      <c r="FL12" s="915">
        <f t="shared" si="155"/>
        <v>0</v>
      </c>
      <c r="FM12" s="915">
        <f t="shared" si="156"/>
        <v>0</v>
      </c>
      <c r="FN12" s="915">
        <f t="shared" si="157"/>
        <v>0</v>
      </c>
      <c r="FO12" s="915">
        <f t="shared" si="158"/>
        <v>0</v>
      </c>
      <c r="FP12" s="915">
        <f t="shared" si="159"/>
        <v>0</v>
      </c>
      <c r="FQ12" s="915">
        <f t="shared" si="160"/>
        <v>0</v>
      </c>
      <c r="FR12" s="915">
        <f t="shared" si="161"/>
        <v>0</v>
      </c>
      <c r="FS12" s="915">
        <f t="shared" si="162"/>
        <v>0</v>
      </c>
      <c r="FT12" s="915">
        <f t="shared" si="163"/>
        <v>0</v>
      </c>
      <c r="FU12" s="915">
        <f t="shared" si="164"/>
        <v>0</v>
      </c>
      <c r="FV12" s="915">
        <f t="shared" si="165"/>
        <v>0</v>
      </c>
      <c r="FW12" s="915">
        <f t="shared" si="166"/>
        <v>0</v>
      </c>
      <c r="FX12" s="915">
        <f t="shared" si="167"/>
        <v>0</v>
      </c>
      <c r="FY12" s="915">
        <f t="shared" si="168"/>
        <v>0</v>
      </c>
      <c r="FZ12" s="915">
        <f t="shared" si="169"/>
        <v>0</v>
      </c>
    </row>
    <row r="13" spans="1:182" ht="14.1" customHeight="1" x14ac:dyDescent="0.2">
      <c r="A13" s="497">
        <v>6</v>
      </c>
      <c r="B13" s="1423"/>
      <c r="C13" s="1424"/>
      <c r="D13" s="138">
        <v>1</v>
      </c>
      <c r="E13" s="138" t="s">
        <v>170</v>
      </c>
      <c r="F13" s="139" t="s">
        <v>2544</v>
      </c>
      <c r="G13" s="139" t="s">
        <v>2542</v>
      </c>
      <c r="H13" s="100">
        <v>7</v>
      </c>
      <c r="I13" s="119">
        <f t="shared" si="11"/>
        <v>0.42</v>
      </c>
      <c r="J13" s="90">
        <f t="shared" si="12"/>
        <v>7.42</v>
      </c>
      <c r="K13" s="225"/>
      <c r="N13" s="942">
        <f>AB6</f>
        <v>7.42</v>
      </c>
      <c r="O13" s="879" t="str">
        <f>"Other subcontractor for " &amp; TabName1</f>
        <v>Other subcontractor for Phase 1</v>
      </c>
      <c r="P13" s="949" t="s">
        <v>246</v>
      </c>
      <c r="R13" s="915">
        <f>INDEX(ValidateTable,6)</f>
        <v>6</v>
      </c>
      <c r="T13" s="915" t="s">
        <v>170</v>
      </c>
      <c r="W13" s="915">
        <f t="shared" si="8"/>
        <v>0</v>
      </c>
      <c r="X13" s="915">
        <f t="shared" si="9"/>
        <v>0</v>
      </c>
      <c r="Y13" s="915">
        <f t="shared" si="10"/>
        <v>0</v>
      </c>
      <c r="Z13" s="915">
        <f t="shared" si="13"/>
        <v>0</v>
      </c>
      <c r="AA13" s="915">
        <f t="shared" si="14"/>
        <v>0</v>
      </c>
      <c r="AB13" s="915">
        <f t="shared" si="15"/>
        <v>7.42</v>
      </c>
      <c r="AC13" s="915">
        <f t="shared" si="16"/>
        <v>0</v>
      </c>
      <c r="AD13" s="915">
        <f t="shared" si="17"/>
        <v>0</v>
      </c>
      <c r="AE13" s="915">
        <f t="shared" si="18"/>
        <v>0</v>
      </c>
      <c r="AF13" s="915">
        <f t="shared" si="19"/>
        <v>0</v>
      </c>
      <c r="AG13" s="915">
        <f t="shared" si="20"/>
        <v>0</v>
      </c>
      <c r="AH13" s="915">
        <f t="shared" si="21"/>
        <v>0</v>
      </c>
      <c r="AI13" s="915">
        <f t="shared" si="22"/>
        <v>0</v>
      </c>
      <c r="AJ13" s="915">
        <f t="shared" si="23"/>
        <v>0</v>
      </c>
      <c r="AK13" s="915">
        <f t="shared" si="24"/>
        <v>0</v>
      </c>
      <c r="AL13" s="915">
        <f t="shared" si="25"/>
        <v>0</v>
      </c>
      <c r="AM13" s="915">
        <f t="shared" si="26"/>
        <v>0</v>
      </c>
      <c r="AN13" s="915">
        <f t="shared" si="27"/>
        <v>0</v>
      </c>
      <c r="AO13" s="915">
        <f t="shared" si="28"/>
        <v>0</v>
      </c>
      <c r="AP13" s="915">
        <f t="shared" si="29"/>
        <v>0</v>
      </c>
      <c r="AQ13" s="915">
        <f t="shared" si="30"/>
        <v>0</v>
      </c>
      <c r="AR13" s="915">
        <f t="shared" si="31"/>
        <v>0</v>
      </c>
      <c r="AS13" s="915">
        <f t="shared" si="32"/>
        <v>0</v>
      </c>
      <c r="AT13" s="915">
        <f t="shared" si="33"/>
        <v>0</v>
      </c>
      <c r="AU13" s="915">
        <f t="shared" si="34"/>
        <v>0</v>
      </c>
      <c r="AV13" s="915">
        <f t="shared" si="35"/>
        <v>0</v>
      </c>
      <c r="AW13" s="915">
        <f t="shared" si="36"/>
        <v>0</v>
      </c>
      <c r="AX13" s="915">
        <f t="shared" si="37"/>
        <v>0</v>
      </c>
      <c r="AY13" s="915">
        <f t="shared" si="38"/>
        <v>0</v>
      </c>
      <c r="AZ13" s="915">
        <f t="shared" si="39"/>
        <v>0</v>
      </c>
      <c r="BA13" s="915">
        <f t="shared" si="40"/>
        <v>0</v>
      </c>
      <c r="BB13" s="915">
        <f t="shared" si="41"/>
        <v>0</v>
      </c>
      <c r="BC13" s="915">
        <f t="shared" si="42"/>
        <v>0</v>
      </c>
      <c r="BD13" s="915">
        <f t="shared" si="43"/>
        <v>0</v>
      </c>
      <c r="BE13" s="915">
        <f t="shared" si="44"/>
        <v>0</v>
      </c>
      <c r="BF13" s="915">
        <f t="shared" si="45"/>
        <v>0</v>
      </c>
      <c r="BG13" s="915">
        <f t="shared" si="46"/>
        <v>0</v>
      </c>
      <c r="BH13" s="915">
        <f t="shared" si="47"/>
        <v>0</v>
      </c>
      <c r="BI13" s="915">
        <f t="shared" si="48"/>
        <v>0</v>
      </c>
      <c r="BJ13" s="915">
        <f t="shared" si="49"/>
        <v>0</v>
      </c>
      <c r="BK13" s="915">
        <f t="shared" si="50"/>
        <v>0</v>
      </c>
      <c r="BL13" s="915">
        <f t="shared" si="51"/>
        <v>0</v>
      </c>
      <c r="BM13" s="915">
        <f t="shared" si="52"/>
        <v>0</v>
      </c>
      <c r="BN13" s="915">
        <f t="shared" si="53"/>
        <v>0</v>
      </c>
      <c r="BO13" s="915">
        <f t="shared" si="54"/>
        <v>0</v>
      </c>
      <c r="BP13" s="915">
        <f t="shared" si="55"/>
        <v>0</v>
      </c>
      <c r="BQ13" s="915">
        <f t="shared" si="56"/>
        <v>0</v>
      </c>
      <c r="BR13" s="915">
        <f t="shared" si="57"/>
        <v>0</v>
      </c>
      <c r="BS13" s="915">
        <f t="shared" si="58"/>
        <v>0</v>
      </c>
      <c r="BT13" s="915">
        <f t="shared" si="59"/>
        <v>0</v>
      </c>
      <c r="BU13" s="915">
        <f t="shared" si="60"/>
        <v>0</v>
      </c>
      <c r="BV13" s="915">
        <f t="shared" si="61"/>
        <v>0</v>
      </c>
      <c r="BW13" s="915">
        <f t="shared" si="62"/>
        <v>0</v>
      </c>
      <c r="BX13" s="915">
        <f t="shared" si="63"/>
        <v>0</v>
      </c>
      <c r="BY13" s="915">
        <f t="shared" si="64"/>
        <v>0</v>
      </c>
      <c r="BZ13" s="915">
        <f t="shared" si="65"/>
        <v>0</v>
      </c>
      <c r="CA13" s="915">
        <f t="shared" si="66"/>
        <v>0</v>
      </c>
      <c r="CB13" s="915">
        <f t="shared" si="67"/>
        <v>0</v>
      </c>
      <c r="CC13" s="915">
        <f t="shared" si="68"/>
        <v>0</v>
      </c>
      <c r="CD13" s="915">
        <f t="shared" si="69"/>
        <v>0</v>
      </c>
      <c r="CE13" s="915">
        <f t="shared" si="70"/>
        <v>0</v>
      </c>
      <c r="CF13" s="915">
        <f t="shared" si="71"/>
        <v>0</v>
      </c>
      <c r="CG13" s="915">
        <f t="shared" si="72"/>
        <v>0</v>
      </c>
      <c r="CH13" s="915">
        <f t="shared" si="73"/>
        <v>0</v>
      </c>
      <c r="CI13" s="915">
        <f t="shared" si="74"/>
        <v>0</v>
      </c>
      <c r="CJ13" s="915">
        <f t="shared" si="75"/>
        <v>0</v>
      </c>
      <c r="CK13" s="915">
        <f t="shared" si="76"/>
        <v>0</v>
      </c>
      <c r="CL13" s="915">
        <f t="shared" si="77"/>
        <v>0</v>
      </c>
      <c r="CM13" s="915">
        <f t="shared" si="78"/>
        <v>0</v>
      </c>
      <c r="CN13" s="915">
        <f t="shared" si="79"/>
        <v>0</v>
      </c>
      <c r="CO13" s="915">
        <f t="shared" si="80"/>
        <v>0</v>
      </c>
      <c r="CP13" s="915">
        <f t="shared" si="81"/>
        <v>0</v>
      </c>
      <c r="CQ13" s="915">
        <f t="shared" si="82"/>
        <v>0</v>
      </c>
      <c r="CR13" s="915">
        <f t="shared" si="83"/>
        <v>0</v>
      </c>
      <c r="CS13" s="915">
        <f t="shared" si="84"/>
        <v>0</v>
      </c>
      <c r="CT13" s="915">
        <f t="shared" si="85"/>
        <v>0</v>
      </c>
      <c r="CU13" s="915">
        <f t="shared" si="86"/>
        <v>0</v>
      </c>
      <c r="CV13" s="915">
        <f t="shared" si="87"/>
        <v>0</v>
      </c>
      <c r="CW13" s="915">
        <f t="shared" si="88"/>
        <v>0</v>
      </c>
      <c r="CX13" s="915">
        <f t="shared" si="89"/>
        <v>0</v>
      </c>
      <c r="CY13" s="915">
        <f t="shared" si="90"/>
        <v>0</v>
      </c>
      <c r="CZ13" s="915">
        <f t="shared" si="91"/>
        <v>0</v>
      </c>
      <c r="DA13" s="915">
        <f t="shared" si="92"/>
        <v>0</v>
      </c>
      <c r="DB13" s="915">
        <f t="shared" si="93"/>
        <v>0</v>
      </c>
      <c r="DC13" s="915">
        <f t="shared" si="94"/>
        <v>0</v>
      </c>
      <c r="DD13" s="915">
        <f t="shared" si="95"/>
        <v>0</v>
      </c>
      <c r="DE13" s="915">
        <f t="shared" si="96"/>
        <v>0</v>
      </c>
      <c r="DF13" s="915">
        <f t="shared" si="97"/>
        <v>0</v>
      </c>
      <c r="DG13" s="915">
        <f t="shared" si="98"/>
        <v>0</v>
      </c>
      <c r="DH13" s="915">
        <f t="shared" si="99"/>
        <v>0</v>
      </c>
      <c r="DI13" s="915">
        <f t="shared" si="100"/>
        <v>0</v>
      </c>
      <c r="DJ13" s="915">
        <f t="shared" si="101"/>
        <v>0</v>
      </c>
      <c r="DK13" s="915">
        <f t="shared" si="102"/>
        <v>0</v>
      </c>
      <c r="DL13" s="915">
        <f t="shared" si="103"/>
        <v>0</v>
      </c>
      <c r="DM13" s="915">
        <f t="shared" si="104"/>
        <v>0</v>
      </c>
      <c r="DN13" s="915">
        <f t="shared" si="105"/>
        <v>0</v>
      </c>
      <c r="DO13" s="915">
        <f t="shared" si="106"/>
        <v>0</v>
      </c>
      <c r="DP13" s="915">
        <f t="shared" si="107"/>
        <v>0</v>
      </c>
      <c r="DQ13" s="915">
        <f t="shared" si="108"/>
        <v>0</v>
      </c>
      <c r="DR13" s="915">
        <f t="shared" si="109"/>
        <v>0</v>
      </c>
      <c r="DS13" s="915">
        <f t="shared" si="110"/>
        <v>0</v>
      </c>
      <c r="DT13" s="915">
        <f t="shared" si="111"/>
        <v>0</v>
      </c>
      <c r="DU13" s="915">
        <f t="shared" si="112"/>
        <v>0</v>
      </c>
      <c r="DV13" s="915">
        <f t="shared" si="113"/>
        <v>0</v>
      </c>
      <c r="DW13" s="915">
        <f t="shared" si="114"/>
        <v>0</v>
      </c>
      <c r="DX13" s="915">
        <f t="shared" si="115"/>
        <v>0</v>
      </c>
      <c r="DY13" s="915">
        <f t="shared" si="116"/>
        <v>0</v>
      </c>
      <c r="DZ13" s="915">
        <f t="shared" si="117"/>
        <v>0</v>
      </c>
      <c r="EA13" s="915">
        <f t="shared" si="118"/>
        <v>0</v>
      </c>
      <c r="EB13" s="915">
        <f t="shared" si="119"/>
        <v>0</v>
      </c>
      <c r="EC13" s="915">
        <f t="shared" si="120"/>
        <v>0</v>
      </c>
      <c r="ED13" s="915">
        <f t="shared" si="121"/>
        <v>0</v>
      </c>
      <c r="EE13" s="915">
        <f t="shared" si="122"/>
        <v>0</v>
      </c>
      <c r="EF13" s="915">
        <f t="shared" si="123"/>
        <v>0</v>
      </c>
      <c r="EG13" s="915">
        <f t="shared" si="124"/>
        <v>0</v>
      </c>
      <c r="EH13" s="915">
        <f t="shared" si="125"/>
        <v>0</v>
      </c>
      <c r="EI13" s="915">
        <f t="shared" si="126"/>
        <v>0</v>
      </c>
      <c r="EJ13" s="915">
        <f t="shared" si="127"/>
        <v>0</v>
      </c>
      <c r="EK13" s="915">
        <f t="shared" si="128"/>
        <v>0</v>
      </c>
      <c r="EL13" s="915">
        <f t="shared" si="129"/>
        <v>0</v>
      </c>
      <c r="EM13" s="915">
        <f t="shared" si="130"/>
        <v>0</v>
      </c>
      <c r="EN13" s="915">
        <f t="shared" si="131"/>
        <v>0</v>
      </c>
      <c r="EO13" s="915">
        <f t="shared" si="132"/>
        <v>0</v>
      </c>
      <c r="EP13" s="915">
        <f t="shared" si="133"/>
        <v>0</v>
      </c>
      <c r="EQ13" s="915">
        <f t="shared" si="134"/>
        <v>0</v>
      </c>
      <c r="ER13" s="915">
        <f t="shared" si="135"/>
        <v>0</v>
      </c>
      <c r="ES13" s="915">
        <f t="shared" si="136"/>
        <v>0</v>
      </c>
      <c r="ET13" s="915">
        <f t="shared" si="137"/>
        <v>0</v>
      </c>
      <c r="EU13" s="915">
        <f t="shared" si="138"/>
        <v>0</v>
      </c>
      <c r="EV13" s="915">
        <f t="shared" si="139"/>
        <v>0</v>
      </c>
      <c r="EW13" s="915">
        <f t="shared" si="140"/>
        <v>0</v>
      </c>
      <c r="EX13" s="915">
        <f t="shared" si="141"/>
        <v>0</v>
      </c>
      <c r="EY13" s="915">
        <f t="shared" si="142"/>
        <v>0</v>
      </c>
      <c r="EZ13" s="915">
        <f t="shared" si="143"/>
        <v>0</v>
      </c>
      <c r="FA13" s="915">
        <f t="shared" si="144"/>
        <v>0</v>
      </c>
      <c r="FB13" s="915">
        <f t="shared" si="145"/>
        <v>0</v>
      </c>
      <c r="FC13" s="915">
        <f t="shared" si="146"/>
        <v>0</v>
      </c>
      <c r="FD13" s="915">
        <f t="shared" si="147"/>
        <v>0</v>
      </c>
      <c r="FE13" s="915">
        <f t="shared" si="148"/>
        <v>0</v>
      </c>
      <c r="FF13" s="915">
        <f t="shared" si="149"/>
        <v>0</v>
      </c>
      <c r="FG13" s="915">
        <f t="shared" si="150"/>
        <v>0</v>
      </c>
      <c r="FH13" s="915">
        <f t="shared" si="151"/>
        <v>0</v>
      </c>
      <c r="FI13" s="915">
        <f t="shared" si="152"/>
        <v>0</v>
      </c>
      <c r="FJ13" s="915">
        <f t="shared" si="153"/>
        <v>0</v>
      </c>
      <c r="FK13" s="915">
        <f t="shared" si="154"/>
        <v>0</v>
      </c>
      <c r="FL13" s="915">
        <f t="shared" si="155"/>
        <v>0</v>
      </c>
      <c r="FM13" s="915">
        <f t="shared" si="156"/>
        <v>0</v>
      </c>
      <c r="FN13" s="915">
        <f t="shared" si="157"/>
        <v>0</v>
      </c>
      <c r="FO13" s="915">
        <f t="shared" si="158"/>
        <v>0</v>
      </c>
      <c r="FP13" s="915">
        <f t="shared" si="159"/>
        <v>0</v>
      </c>
      <c r="FQ13" s="915">
        <f t="shared" si="160"/>
        <v>0</v>
      </c>
      <c r="FR13" s="915">
        <f t="shared" si="161"/>
        <v>0</v>
      </c>
      <c r="FS13" s="915">
        <f t="shared" si="162"/>
        <v>0</v>
      </c>
      <c r="FT13" s="915">
        <f t="shared" si="163"/>
        <v>0</v>
      </c>
      <c r="FU13" s="915">
        <f t="shared" si="164"/>
        <v>0</v>
      </c>
      <c r="FV13" s="915">
        <f t="shared" si="165"/>
        <v>0</v>
      </c>
      <c r="FW13" s="915">
        <f t="shared" si="166"/>
        <v>0</v>
      </c>
      <c r="FX13" s="915">
        <f t="shared" si="167"/>
        <v>0</v>
      </c>
      <c r="FY13" s="915">
        <f t="shared" si="168"/>
        <v>0</v>
      </c>
      <c r="FZ13" s="915">
        <f t="shared" si="169"/>
        <v>0</v>
      </c>
    </row>
    <row r="14" spans="1:182" ht="14.1" customHeight="1" x14ac:dyDescent="0.2">
      <c r="A14" s="496">
        <v>7</v>
      </c>
      <c r="B14" s="1419"/>
      <c r="C14" s="1433"/>
      <c r="D14" s="264">
        <v>1</v>
      </c>
      <c r="E14" s="264" t="s">
        <v>48</v>
      </c>
      <c r="F14" s="270" t="s">
        <v>2544</v>
      </c>
      <c r="G14" s="270" t="s">
        <v>2542</v>
      </c>
      <c r="H14" s="272">
        <v>7</v>
      </c>
      <c r="I14" s="268">
        <f t="shared" si="11"/>
        <v>0.42</v>
      </c>
      <c r="J14" s="269">
        <f t="shared" si="12"/>
        <v>7.42</v>
      </c>
      <c r="K14" s="225"/>
      <c r="N14" s="942">
        <f>AC6</f>
        <v>7.42</v>
      </c>
      <c r="O14" s="915" t="str">
        <f>"Miscellaneous for "&amp;TabName1</f>
        <v>Miscellaneous for Phase 1</v>
      </c>
      <c r="P14" s="949" t="s">
        <v>247</v>
      </c>
      <c r="R14" s="915">
        <f>INDEX(ValidateTable,7)</f>
        <v>7</v>
      </c>
      <c r="T14" s="915" t="s">
        <v>48</v>
      </c>
      <c r="W14" s="915">
        <f t="shared" si="8"/>
        <v>0</v>
      </c>
      <c r="X14" s="915">
        <f t="shared" si="9"/>
        <v>0</v>
      </c>
      <c r="Y14" s="915">
        <f t="shared" si="10"/>
        <v>0</v>
      </c>
      <c r="Z14" s="915">
        <f t="shared" si="13"/>
        <v>0</v>
      </c>
      <c r="AA14" s="915">
        <f t="shared" si="14"/>
        <v>0</v>
      </c>
      <c r="AB14" s="915">
        <f t="shared" si="15"/>
        <v>0</v>
      </c>
      <c r="AC14" s="915">
        <f t="shared" si="16"/>
        <v>7.42</v>
      </c>
      <c r="AD14" s="915">
        <f t="shared" si="17"/>
        <v>0</v>
      </c>
      <c r="AE14" s="915">
        <f t="shared" si="18"/>
        <v>0</v>
      </c>
      <c r="AF14" s="915">
        <f t="shared" si="19"/>
        <v>0</v>
      </c>
      <c r="AG14" s="915">
        <f t="shared" si="20"/>
        <v>0</v>
      </c>
      <c r="AH14" s="915">
        <f t="shared" si="21"/>
        <v>0</v>
      </c>
      <c r="AI14" s="915">
        <f t="shared" si="22"/>
        <v>0</v>
      </c>
      <c r="AJ14" s="915">
        <f t="shared" si="23"/>
        <v>0</v>
      </c>
      <c r="AK14" s="915">
        <f t="shared" si="24"/>
        <v>0</v>
      </c>
      <c r="AL14" s="915">
        <f t="shared" si="25"/>
        <v>0</v>
      </c>
      <c r="AM14" s="915">
        <f t="shared" si="26"/>
        <v>0</v>
      </c>
      <c r="AN14" s="915">
        <f t="shared" si="27"/>
        <v>0</v>
      </c>
      <c r="AO14" s="915">
        <f t="shared" si="28"/>
        <v>0</v>
      </c>
      <c r="AP14" s="915">
        <f t="shared" si="29"/>
        <v>0</v>
      </c>
      <c r="AQ14" s="915">
        <f t="shared" si="30"/>
        <v>0</v>
      </c>
      <c r="AR14" s="915">
        <f t="shared" si="31"/>
        <v>0</v>
      </c>
      <c r="AS14" s="915">
        <f t="shared" si="32"/>
        <v>0</v>
      </c>
      <c r="AT14" s="915">
        <f t="shared" si="33"/>
        <v>0</v>
      </c>
      <c r="AU14" s="915">
        <f t="shared" si="34"/>
        <v>0</v>
      </c>
      <c r="AV14" s="915">
        <f t="shared" si="35"/>
        <v>0</v>
      </c>
      <c r="AW14" s="915">
        <f t="shared" si="36"/>
        <v>0</v>
      </c>
      <c r="AX14" s="915">
        <f t="shared" si="37"/>
        <v>0</v>
      </c>
      <c r="AY14" s="915">
        <f t="shared" si="38"/>
        <v>0</v>
      </c>
      <c r="AZ14" s="915">
        <f t="shared" si="39"/>
        <v>0</v>
      </c>
      <c r="BA14" s="915">
        <f t="shared" si="40"/>
        <v>0</v>
      </c>
      <c r="BB14" s="915">
        <f t="shared" si="41"/>
        <v>0</v>
      </c>
      <c r="BC14" s="915">
        <f t="shared" si="42"/>
        <v>0</v>
      </c>
      <c r="BD14" s="915">
        <f t="shared" si="43"/>
        <v>0</v>
      </c>
      <c r="BE14" s="915">
        <f t="shared" si="44"/>
        <v>0</v>
      </c>
      <c r="BF14" s="915">
        <f t="shared" si="45"/>
        <v>0</v>
      </c>
      <c r="BG14" s="915">
        <f t="shared" si="46"/>
        <v>0</v>
      </c>
      <c r="BH14" s="915">
        <f t="shared" si="47"/>
        <v>0</v>
      </c>
      <c r="BI14" s="915">
        <f t="shared" si="48"/>
        <v>0</v>
      </c>
      <c r="BJ14" s="915">
        <f t="shared" si="49"/>
        <v>0</v>
      </c>
      <c r="BK14" s="915">
        <f t="shared" si="50"/>
        <v>0</v>
      </c>
      <c r="BL14" s="915">
        <f t="shared" si="51"/>
        <v>0</v>
      </c>
      <c r="BM14" s="915">
        <f t="shared" si="52"/>
        <v>0</v>
      </c>
      <c r="BN14" s="915">
        <f t="shared" si="53"/>
        <v>0</v>
      </c>
      <c r="BO14" s="915">
        <f t="shared" si="54"/>
        <v>0</v>
      </c>
      <c r="BP14" s="915">
        <f t="shared" si="55"/>
        <v>0</v>
      </c>
      <c r="BQ14" s="915">
        <f t="shared" si="56"/>
        <v>0</v>
      </c>
      <c r="BR14" s="915">
        <f t="shared" si="57"/>
        <v>0</v>
      </c>
      <c r="BS14" s="915">
        <f t="shared" si="58"/>
        <v>0</v>
      </c>
      <c r="BT14" s="915">
        <f t="shared" si="59"/>
        <v>0</v>
      </c>
      <c r="BU14" s="915">
        <f t="shared" si="60"/>
        <v>0</v>
      </c>
      <c r="BV14" s="915">
        <f t="shared" si="61"/>
        <v>0</v>
      </c>
      <c r="BW14" s="915">
        <f t="shared" si="62"/>
        <v>0</v>
      </c>
      <c r="BX14" s="915">
        <f t="shared" si="63"/>
        <v>0</v>
      </c>
      <c r="BY14" s="915">
        <f t="shared" si="64"/>
        <v>0</v>
      </c>
      <c r="BZ14" s="915">
        <f t="shared" si="65"/>
        <v>0</v>
      </c>
      <c r="CA14" s="915">
        <f t="shared" si="66"/>
        <v>0</v>
      </c>
      <c r="CB14" s="915">
        <f t="shared" si="67"/>
        <v>0</v>
      </c>
      <c r="CC14" s="915">
        <f t="shared" si="68"/>
        <v>0</v>
      </c>
      <c r="CD14" s="915">
        <f t="shared" si="69"/>
        <v>0</v>
      </c>
      <c r="CE14" s="915">
        <f t="shared" si="70"/>
        <v>0</v>
      </c>
      <c r="CF14" s="915">
        <f t="shared" si="71"/>
        <v>0</v>
      </c>
      <c r="CG14" s="915">
        <f t="shared" si="72"/>
        <v>0</v>
      </c>
      <c r="CH14" s="915">
        <f t="shared" si="73"/>
        <v>0</v>
      </c>
      <c r="CI14" s="915">
        <f t="shared" si="74"/>
        <v>0</v>
      </c>
      <c r="CJ14" s="915">
        <f t="shared" si="75"/>
        <v>0</v>
      </c>
      <c r="CK14" s="915">
        <f t="shared" si="76"/>
        <v>0</v>
      </c>
      <c r="CL14" s="915">
        <f t="shared" si="77"/>
        <v>0</v>
      </c>
      <c r="CM14" s="915">
        <f t="shared" si="78"/>
        <v>0</v>
      </c>
      <c r="CN14" s="915">
        <f t="shared" si="79"/>
        <v>0</v>
      </c>
      <c r="CO14" s="915">
        <f t="shared" si="80"/>
        <v>0</v>
      </c>
      <c r="CP14" s="915">
        <f t="shared" si="81"/>
        <v>0</v>
      </c>
      <c r="CQ14" s="915">
        <f t="shared" si="82"/>
        <v>0</v>
      </c>
      <c r="CR14" s="915">
        <f t="shared" si="83"/>
        <v>0</v>
      </c>
      <c r="CS14" s="915">
        <f t="shared" si="84"/>
        <v>0</v>
      </c>
      <c r="CT14" s="915">
        <f t="shared" si="85"/>
        <v>0</v>
      </c>
      <c r="CU14" s="915">
        <f t="shared" si="86"/>
        <v>0</v>
      </c>
      <c r="CV14" s="915">
        <f t="shared" si="87"/>
        <v>0</v>
      </c>
      <c r="CW14" s="915">
        <f t="shared" si="88"/>
        <v>0</v>
      </c>
      <c r="CX14" s="915">
        <f t="shared" si="89"/>
        <v>0</v>
      </c>
      <c r="CY14" s="915">
        <f t="shared" si="90"/>
        <v>0</v>
      </c>
      <c r="CZ14" s="915">
        <f t="shared" si="91"/>
        <v>0</v>
      </c>
      <c r="DA14" s="915">
        <f t="shared" si="92"/>
        <v>0</v>
      </c>
      <c r="DB14" s="915">
        <f t="shared" si="93"/>
        <v>0</v>
      </c>
      <c r="DC14" s="915">
        <f t="shared" si="94"/>
        <v>0</v>
      </c>
      <c r="DD14" s="915">
        <f t="shared" si="95"/>
        <v>0</v>
      </c>
      <c r="DE14" s="915">
        <f t="shared" si="96"/>
        <v>0</v>
      </c>
      <c r="DF14" s="915">
        <f t="shared" si="97"/>
        <v>0</v>
      </c>
      <c r="DG14" s="915">
        <f t="shared" si="98"/>
        <v>0</v>
      </c>
      <c r="DH14" s="915">
        <f t="shared" si="99"/>
        <v>0</v>
      </c>
      <c r="DI14" s="915">
        <f t="shared" si="100"/>
        <v>0</v>
      </c>
      <c r="DJ14" s="915">
        <f t="shared" si="101"/>
        <v>0</v>
      </c>
      <c r="DK14" s="915">
        <f t="shared" si="102"/>
        <v>0</v>
      </c>
      <c r="DL14" s="915">
        <f t="shared" si="103"/>
        <v>0</v>
      </c>
      <c r="DM14" s="915">
        <f t="shared" si="104"/>
        <v>0</v>
      </c>
      <c r="DN14" s="915">
        <f t="shared" si="105"/>
        <v>0</v>
      </c>
      <c r="DO14" s="915">
        <f t="shared" si="106"/>
        <v>0</v>
      </c>
      <c r="DP14" s="915">
        <f t="shared" si="107"/>
        <v>0</v>
      </c>
      <c r="DQ14" s="915">
        <f t="shared" si="108"/>
        <v>0</v>
      </c>
      <c r="DR14" s="915">
        <f t="shared" si="109"/>
        <v>0</v>
      </c>
      <c r="DS14" s="915">
        <f t="shared" si="110"/>
        <v>0</v>
      </c>
      <c r="DT14" s="915">
        <f t="shared" si="111"/>
        <v>0</v>
      </c>
      <c r="DU14" s="915">
        <f t="shared" si="112"/>
        <v>0</v>
      </c>
      <c r="DV14" s="915">
        <f t="shared" si="113"/>
        <v>0</v>
      </c>
      <c r="DW14" s="915">
        <f t="shared" si="114"/>
        <v>0</v>
      </c>
      <c r="DX14" s="915">
        <f t="shared" si="115"/>
        <v>0</v>
      </c>
      <c r="DY14" s="915">
        <f t="shared" si="116"/>
        <v>0</v>
      </c>
      <c r="DZ14" s="915">
        <f t="shared" si="117"/>
        <v>0</v>
      </c>
      <c r="EA14" s="915">
        <f t="shared" si="118"/>
        <v>0</v>
      </c>
      <c r="EB14" s="915">
        <f t="shared" si="119"/>
        <v>0</v>
      </c>
      <c r="EC14" s="915">
        <f t="shared" si="120"/>
        <v>0</v>
      </c>
      <c r="ED14" s="915">
        <f t="shared" si="121"/>
        <v>0</v>
      </c>
      <c r="EE14" s="915">
        <f t="shared" si="122"/>
        <v>0</v>
      </c>
      <c r="EF14" s="915">
        <f t="shared" si="123"/>
        <v>0</v>
      </c>
      <c r="EG14" s="915">
        <f t="shared" si="124"/>
        <v>0</v>
      </c>
      <c r="EH14" s="915">
        <f t="shared" si="125"/>
        <v>0</v>
      </c>
      <c r="EI14" s="915">
        <f t="shared" si="126"/>
        <v>0</v>
      </c>
      <c r="EJ14" s="915">
        <f t="shared" si="127"/>
        <v>0</v>
      </c>
      <c r="EK14" s="915">
        <f t="shared" si="128"/>
        <v>0</v>
      </c>
      <c r="EL14" s="915">
        <f t="shared" si="129"/>
        <v>0</v>
      </c>
      <c r="EM14" s="915">
        <f t="shared" si="130"/>
        <v>0</v>
      </c>
      <c r="EN14" s="915">
        <f t="shared" si="131"/>
        <v>0</v>
      </c>
      <c r="EO14" s="915">
        <f t="shared" si="132"/>
        <v>0</v>
      </c>
      <c r="EP14" s="915">
        <f t="shared" si="133"/>
        <v>0</v>
      </c>
      <c r="EQ14" s="915">
        <f t="shared" si="134"/>
        <v>0</v>
      </c>
      <c r="ER14" s="915">
        <f t="shared" si="135"/>
        <v>0</v>
      </c>
      <c r="ES14" s="915">
        <f t="shared" si="136"/>
        <v>0</v>
      </c>
      <c r="ET14" s="915">
        <f t="shared" si="137"/>
        <v>0</v>
      </c>
      <c r="EU14" s="915">
        <f t="shared" si="138"/>
        <v>0</v>
      </c>
      <c r="EV14" s="915">
        <f t="shared" si="139"/>
        <v>0</v>
      </c>
      <c r="EW14" s="915">
        <f t="shared" si="140"/>
        <v>0</v>
      </c>
      <c r="EX14" s="915">
        <f t="shared" si="141"/>
        <v>0</v>
      </c>
      <c r="EY14" s="915">
        <f t="shared" si="142"/>
        <v>0</v>
      </c>
      <c r="EZ14" s="915">
        <f t="shared" si="143"/>
        <v>0</v>
      </c>
      <c r="FA14" s="915">
        <f t="shared" si="144"/>
        <v>0</v>
      </c>
      <c r="FB14" s="915">
        <f t="shared" si="145"/>
        <v>0</v>
      </c>
      <c r="FC14" s="915">
        <f t="shared" si="146"/>
        <v>0</v>
      </c>
      <c r="FD14" s="915">
        <f t="shared" si="147"/>
        <v>0</v>
      </c>
      <c r="FE14" s="915">
        <f t="shared" si="148"/>
        <v>0</v>
      </c>
      <c r="FF14" s="915">
        <f t="shared" si="149"/>
        <v>0</v>
      </c>
      <c r="FG14" s="915">
        <f t="shared" si="150"/>
        <v>0</v>
      </c>
      <c r="FH14" s="915">
        <f t="shared" si="151"/>
        <v>0</v>
      </c>
      <c r="FI14" s="915">
        <f t="shared" si="152"/>
        <v>0</v>
      </c>
      <c r="FJ14" s="915">
        <f t="shared" si="153"/>
        <v>0</v>
      </c>
      <c r="FK14" s="915">
        <f t="shared" si="154"/>
        <v>0</v>
      </c>
      <c r="FL14" s="915">
        <f t="shared" si="155"/>
        <v>0</v>
      </c>
      <c r="FM14" s="915">
        <f t="shared" si="156"/>
        <v>0</v>
      </c>
      <c r="FN14" s="915">
        <f t="shared" si="157"/>
        <v>0</v>
      </c>
      <c r="FO14" s="915">
        <f t="shared" si="158"/>
        <v>0</v>
      </c>
      <c r="FP14" s="915">
        <f t="shared" si="159"/>
        <v>0</v>
      </c>
      <c r="FQ14" s="915">
        <f t="shared" si="160"/>
        <v>0</v>
      </c>
      <c r="FR14" s="915">
        <f t="shared" si="161"/>
        <v>0</v>
      </c>
      <c r="FS14" s="915">
        <f t="shared" si="162"/>
        <v>0</v>
      </c>
      <c r="FT14" s="915">
        <f t="shared" si="163"/>
        <v>0</v>
      </c>
      <c r="FU14" s="915">
        <f t="shared" si="164"/>
        <v>0</v>
      </c>
      <c r="FV14" s="915">
        <f t="shared" si="165"/>
        <v>0</v>
      </c>
      <c r="FW14" s="915">
        <f t="shared" si="166"/>
        <v>0</v>
      </c>
      <c r="FX14" s="915">
        <f t="shared" si="167"/>
        <v>0</v>
      </c>
      <c r="FY14" s="915">
        <f t="shared" si="168"/>
        <v>0</v>
      </c>
      <c r="FZ14" s="915">
        <f t="shared" si="169"/>
        <v>0</v>
      </c>
    </row>
    <row r="15" spans="1:182" ht="14.1" customHeight="1" x14ac:dyDescent="0.2">
      <c r="A15" s="497">
        <v>8</v>
      </c>
      <c r="B15" s="1423"/>
      <c r="C15" s="1424"/>
      <c r="D15" s="138">
        <v>1</v>
      </c>
      <c r="E15" s="138" t="s">
        <v>27</v>
      </c>
      <c r="F15" s="139" t="s">
        <v>2544</v>
      </c>
      <c r="G15" s="139" t="s">
        <v>2542</v>
      </c>
      <c r="H15" s="100">
        <v>7</v>
      </c>
      <c r="I15" s="119">
        <f t="shared" si="11"/>
        <v>0.42</v>
      </c>
      <c r="J15" s="90">
        <f t="shared" si="12"/>
        <v>7.42</v>
      </c>
      <c r="K15" s="225"/>
      <c r="N15" s="942">
        <f>AD6</f>
        <v>7.42</v>
      </c>
      <c r="O15" s="879" t="str">
        <f>"Contractor Labor for " &amp; TabName1</f>
        <v>Contractor Labor for Phase 1</v>
      </c>
      <c r="P15" s="950" t="s">
        <v>248</v>
      </c>
      <c r="R15" s="915">
        <f>INDEX(ValidateTable,8)</f>
        <v>8</v>
      </c>
      <c r="T15" s="915" t="s">
        <v>27</v>
      </c>
      <c r="W15" s="915">
        <f t="shared" si="8"/>
        <v>0</v>
      </c>
      <c r="X15" s="915">
        <f t="shared" si="9"/>
        <v>0</v>
      </c>
      <c r="Y15" s="915">
        <f t="shared" si="10"/>
        <v>0</v>
      </c>
      <c r="Z15" s="915">
        <f t="shared" si="13"/>
        <v>0</v>
      </c>
      <c r="AA15" s="915">
        <f t="shared" si="14"/>
        <v>0</v>
      </c>
      <c r="AB15" s="915">
        <f t="shared" si="15"/>
        <v>0</v>
      </c>
      <c r="AC15" s="915">
        <f t="shared" si="16"/>
        <v>0</v>
      </c>
      <c r="AD15" s="915">
        <f t="shared" si="17"/>
        <v>7.42</v>
      </c>
      <c r="AE15" s="915">
        <f t="shared" si="18"/>
        <v>0</v>
      </c>
      <c r="AF15" s="915">
        <f t="shared" si="19"/>
        <v>0</v>
      </c>
      <c r="AG15" s="915">
        <f t="shared" si="20"/>
        <v>0</v>
      </c>
      <c r="AH15" s="915">
        <f t="shared" si="21"/>
        <v>0</v>
      </c>
      <c r="AI15" s="915">
        <f t="shared" si="22"/>
        <v>0</v>
      </c>
      <c r="AJ15" s="915">
        <f t="shared" si="23"/>
        <v>0</v>
      </c>
      <c r="AK15" s="915">
        <f t="shared" si="24"/>
        <v>0</v>
      </c>
      <c r="AL15" s="915">
        <f t="shared" si="25"/>
        <v>0</v>
      </c>
      <c r="AM15" s="915">
        <f t="shared" si="26"/>
        <v>0</v>
      </c>
      <c r="AN15" s="915">
        <f t="shared" si="27"/>
        <v>0</v>
      </c>
      <c r="AO15" s="915">
        <f t="shared" si="28"/>
        <v>0</v>
      </c>
      <c r="AP15" s="915">
        <f t="shared" si="29"/>
        <v>0</v>
      </c>
      <c r="AQ15" s="915">
        <f t="shared" si="30"/>
        <v>0</v>
      </c>
      <c r="AR15" s="915">
        <f t="shared" si="31"/>
        <v>0</v>
      </c>
      <c r="AS15" s="915">
        <f t="shared" si="32"/>
        <v>0</v>
      </c>
      <c r="AT15" s="915">
        <f t="shared" si="33"/>
        <v>0</v>
      </c>
      <c r="AU15" s="915">
        <f t="shared" si="34"/>
        <v>0</v>
      </c>
      <c r="AV15" s="915">
        <f t="shared" si="35"/>
        <v>0</v>
      </c>
      <c r="AW15" s="915">
        <f t="shared" si="36"/>
        <v>0</v>
      </c>
      <c r="AX15" s="915">
        <f t="shared" si="37"/>
        <v>0</v>
      </c>
      <c r="AY15" s="915">
        <f t="shared" si="38"/>
        <v>0</v>
      </c>
      <c r="AZ15" s="915">
        <f t="shared" si="39"/>
        <v>0</v>
      </c>
      <c r="BA15" s="915">
        <f t="shared" si="40"/>
        <v>0</v>
      </c>
      <c r="BB15" s="915">
        <f t="shared" si="41"/>
        <v>0</v>
      </c>
      <c r="BC15" s="915">
        <f t="shared" si="42"/>
        <v>0</v>
      </c>
      <c r="BD15" s="915">
        <f t="shared" si="43"/>
        <v>0</v>
      </c>
      <c r="BE15" s="915">
        <f t="shared" si="44"/>
        <v>0</v>
      </c>
      <c r="BF15" s="915">
        <f t="shared" si="45"/>
        <v>0</v>
      </c>
      <c r="BG15" s="915">
        <f t="shared" si="46"/>
        <v>0</v>
      </c>
      <c r="BH15" s="915">
        <f t="shared" si="47"/>
        <v>0</v>
      </c>
      <c r="BI15" s="915">
        <f t="shared" si="48"/>
        <v>0</v>
      </c>
      <c r="BJ15" s="915">
        <f t="shared" si="49"/>
        <v>0</v>
      </c>
      <c r="BK15" s="915">
        <f t="shared" si="50"/>
        <v>0</v>
      </c>
      <c r="BL15" s="915">
        <f t="shared" si="51"/>
        <v>0</v>
      </c>
      <c r="BM15" s="915">
        <f t="shared" si="52"/>
        <v>0</v>
      </c>
      <c r="BN15" s="915">
        <f t="shared" si="53"/>
        <v>0</v>
      </c>
      <c r="BO15" s="915">
        <f t="shared" si="54"/>
        <v>0</v>
      </c>
      <c r="BP15" s="915">
        <f t="shared" si="55"/>
        <v>0</v>
      </c>
      <c r="BQ15" s="915">
        <f t="shared" si="56"/>
        <v>0</v>
      </c>
      <c r="BR15" s="915">
        <f t="shared" si="57"/>
        <v>0</v>
      </c>
      <c r="BS15" s="915">
        <f t="shared" si="58"/>
        <v>0</v>
      </c>
      <c r="BT15" s="915">
        <f t="shared" si="59"/>
        <v>0</v>
      </c>
      <c r="BU15" s="915">
        <f t="shared" si="60"/>
        <v>0</v>
      </c>
      <c r="BV15" s="915">
        <f t="shared" si="61"/>
        <v>0</v>
      </c>
      <c r="BW15" s="915">
        <f t="shared" si="62"/>
        <v>0</v>
      </c>
      <c r="BX15" s="915">
        <f t="shared" si="63"/>
        <v>0</v>
      </c>
      <c r="BY15" s="915">
        <f t="shared" si="64"/>
        <v>0</v>
      </c>
      <c r="BZ15" s="915">
        <f t="shared" si="65"/>
        <v>0</v>
      </c>
      <c r="CA15" s="915">
        <f t="shared" si="66"/>
        <v>0</v>
      </c>
      <c r="CB15" s="915">
        <f t="shared" si="67"/>
        <v>0</v>
      </c>
      <c r="CC15" s="915">
        <f t="shared" si="68"/>
        <v>0</v>
      </c>
      <c r="CD15" s="915">
        <f t="shared" si="69"/>
        <v>0</v>
      </c>
      <c r="CE15" s="915">
        <f t="shared" si="70"/>
        <v>0</v>
      </c>
      <c r="CF15" s="915">
        <f t="shared" si="71"/>
        <v>0</v>
      </c>
      <c r="CG15" s="915">
        <f t="shared" si="72"/>
        <v>0</v>
      </c>
      <c r="CH15" s="915">
        <f t="shared" si="73"/>
        <v>0</v>
      </c>
      <c r="CI15" s="915">
        <f t="shared" si="74"/>
        <v>0</v>
      </c>
      <c r="CJ15" s="915">
        <f t="shared" si="75"/>
        <v>0</v>
      </c>
      <c r="CK15" s="915">
        <f t="shared" si="76"/>
        <v>0</v>
      </c>
      <c r="CL15" s="915">
        <f t="shared" si="77"/>
        <v>0</v>
      </c>
      <c r="CM15" s="915">
        <f t="shared" si="78"/>
        <v>0</v>
      </c>
      <c r="CN15" s="915">
        <f t="shared" si="79"/>
        <v>0</v>
      </c>
      <c r="CO15" s="915">
        <f t="shared" si="80"/>
        <v>0</v>
      </c>
      <c r="CP15" s="915">
        <f t="shared" si="81"/>
        <v>0</v>
      </c>
      <c r="CQ15" s="915">
        <f t="shared" si="82"/>
        <v>0</v>
      </c>
      <c r="CR15" s="915">
        <f t="shared" si="83"/>
        <v>0</v>
      </c>
      <c r="CS15" s="915">
        <f t="shared" si="84"/>
        <v>0</v>
      </c>
      <c r="CT15" s="915">
        <f t="shared" si="85"/>
        <v>0</v>
      </c>
      <c r="CU15" s="915">
        <f t="shared" si="86"/>
        <v>0</v>
      </c>
      <c r="CV15" s="915">
        <f t="shared" si="87"/>
        <v>0</v>
      </c>
      <c r="CW15" s="915">
        <f t="shared" si="88"/>
        <v>0</v>
      </c>
      <c r="CX15" s="915">
        <f t="shared" si="89"/>
        <v>0</v>
      </c>
      <c r="CY15" s="915">
        <f t="shared" si="90"/>
        <v>0</v>
      </c>
      <c r="CZ15" s="915">
        <f t="shared" si="91"/>
        <v>0</v>
      </c>
      <c r="DA15" s="915">
        <f t="shared" si="92"/>
        <v>0</v>
      </c>
      <c r="DB15" s="915">
        <f t="shared" si="93"/>
        <v>0</v>
      </c>
      <c r="DC15" s="915">
        <f t="shared" si="94"/>
        <v>0</v>
      </c>
      <c r="DD15" s="915">
        <f t="shared" si="95"/>
        <v>0</v>
      </c>
      <c r="DE15" s="915">
        <f t="shared" si="96"/>
        <v>0</v>
      </c>
      <c r="DF15" s="915">
        <f t="shared" si="97"/>
        <v>0</v>
      </c>
      <c r="DG15" s="915">
        <f t="shared" si="98"/>
        <v>0</v>
      </c>
      <c r="DH15" s="915">
        <f t="shared" si="99"/>
        <v>0</v>
      </c>
      <c r="DI15" s="915">
        <f t="shared" si="100"/>
        <v>0</v>
      </c>
      <c r="DJ15" s="915">
        <f t="shared" si="101"/>
        <v>0</v>
      </c>
      <c r="DK15" s="915">
        <f t="shared" si="102"/>
        <v>0</v>
      </c>
      <c r="DL15" s="915">
        <f t="shared" si="103"/>
        <v>0</v>
      </c>
      <c r="DM15" s="915">
        <f t="shared" si="104"/>
        <v>0</v>
      </c>
      <c r="DN15" s="915">
        <f t="shared" si="105"/>
        <v>0</v>
      </c>
      <c r="DO15" s="915">
        <f t="shared" si="106"/>
        <v>0</v>
      </c>
      <c r="DP15" s="915">
        <f t="shared" si="107"/>
        <v>0</v>
      </c>
      <c r="DQ15" s="915">
        <f t="shared" si="108"/>
        <v>0</v>
      </c>
      <c r="DR15" s="915">
        <f t="shared" si="109"/>
        <v>0</v>
      </c>
      <c r="DS15" s="915">
        <f t="shared" si="110"/>
        <v>0</v>
      </c>
      <c r="DT15" s="915">
        <f t="shared" si="111"/>
        <v>0</v>
      </c>
      <c r="DU15" s="915">
        <f t="shared" si="112"/>
        <v>0</v>
      </c>
      <c r="DV15" s="915">
        <f t="shared" si="113"/>
        <v>0</v>
      </c>
      <c r="DW15" s="915">
        <f t="shared" si="114"/>
        <v>0</v>
      </c>
      <c r="DX15" s="915">
        <f t="shared" si="115"/>
        <v>0</v>
      </c>
      <c r="DY15" s="915">
        <f t="shared" si="116"/>
        <v>0</v>
      </c>
      <c r="DZ15" s="915">
        <f t="shared" si="117"/>
        <v>0</v>
      </c>
      <c r="EA15" s="915">
        <f t="shared" si="118"/>
        <v>0</v>
      </c>
      <c r="EB15" s="915">
        <f t="shared" si="119"/>
        <v>0</v>
      </c>
      <c r="EC15" s="915">
        <f t="shared" si="120"/>
        <v>0</v>
      </c>
      <c r="ED15" s="915">
        <f t="shared" si="121"/>
        <v>0</v>
      </c>
      <c r="EE15" s="915">
        <f t="shared" si="122"/>
        <v>0</v>
      </c>
      <c r="EF15" s="915">
        <f t="shared" si="123"/>
        <v>0</v>
      </c>
      <c r="EG15" s="915">
        <f t="shared" si="124"/>
        <v>0</v>
      </c>
      <c r="EH15" s="915">
        <f t="shared" si="125"/>
        <v>0</v>
      </c>
      <c r="EI15" s="915">
        <f t="shared" si="126"/>
        <v>0</v>
      </c>
      <c r="EJ15" s="915">
        <f t="shared" si="127"/>
        <v>0</v>
      </c>
      <c r="EK15" s="915">
        <f t="shared" si="128"/>
        <v>0</v>
      </c>
      <c r="EL15" s="915">
        <f t="shared" si="129"/>
        <v>0</v>
      </c>
      <c r="EM15" s="915">
        <f t="shared" si="130"/>
        <v>0</v>
      </c>
      <c r="EN15" s="915">
        <f t="shared" si="131"/>
        <v>0</v>
      </c>
      <c r="EO15" s="915">
        <f t="shared" si="132"/>
        <v>0</v>
      </c>
      <c r="EP15" s="915">
        <f t="shared" si="133"/>
        <v>0</v>
      </c>
      <c r="EQ15" s="915">
        <f t="shared" si="134"/>
        <v>0</v>
      </c>
      <c r="ER15" s="915">
        <f t="shared" si="135"/>
        <v>0</v>
      </c>
      <c r="ES15" s="915">
        <f t="shared" si="136"/>
        <v>0</v>
      </c>
      <c r="ET15" s="915">
        <f t="shared" si="137"/>
        <v>0</v>
      </c>
      <c r="EU15" s="915">
        <f t="shared" si="138"/>
        <v>0</v>
      </c>
      <c r="EV15" s="915">
        <f t="shared" si="139"/>
        <v>0</v>
      </c>
      <c r="EW15" s="915">
        <f t="shared" si="140"/>
        <v>0</v>
      </c>
      <c r="EX15" s="915">
        <f t="shared" si="141"/>
        <v>0</v>
      </c>
      <c r="EY15" s="915">
        <f t="shared" si="142"/>
        <v>0</v>
      </c>
      <c r="EZ15" s="915">
        <f t="shared" si="143"/>
        <v>0</v>
      </c>
      <c r="FA15" s="915">
        <f t="shared" si="144"/>
        <v>0</v>
      </c>
      <c r="FB15" s="915">
        <f t="shared" si="145"/>
        <v>0</v>
      </c>
      <c r="FC15" s="915">
        <f t="shared" si="146"/>
        <v>0</v>
      </c>
      <c r="FD15" s="915">
        <f t="shared" si="147"/>
        <v>0</v>
      </c>
      <c r="FE15" s="915">
        <f t="shared" si="148"/>
        <v>0</v>
      </c>
      <c r="FF15" s="915">
        <f t="shared" si="149"/>
        <v>0</v>
      </c>
      <c r="FG15" s="915">
        <f t="shared" si="150"/>
        <v>0</v>
      </c>
      <c r="FH15" s="915">
        <f t="shared" si="151"/>
        <v>0</v>
      </c>
      <c r="FI15" s="915">
        <f t="shared" si="152"/>
        <v>0</v>
      </c>
      <c r="FJ15" s="915">
        <f t="shared" si="153"/>
        <v>0</v>
      </c>
      <c r="FK15" s="915">
        <f t="shared" si="154"/>
        <v>0</v>
      </c>
      <c r="FL15" s="915">
        <f t="shared" si="155"/>
        <v>0</v>
      </c>
      <c r="FM15" s="915">
        <f t="shared" si="156"/>
        <v>0</v>
      </c>
      <c r="FN15" s="915">
        <f t="shared" si="157"/>
        <v>0</v>
      </c>
      <c r="FO15" s="915">
        <f t="shared" si="158"/>
        <v>0</v>
      </c>
      <c r="FP15" s="915">
        <f t="shared" si="159"/>
        <v>0</v>
      </c>
      <c r="FQ15" s="915">
        <f t="shared" si="160"/>
        <v>0</v>
      </c>
      <c r="FR15" s="915">
        <f t="shared" si="161"/>
        <v>0</v>
      </c>
      <c r="FS15" s="915">
        <f t="shared" si="162"/>
        <v>0</v>
      </c>
      <c r="FT15" s="915">
        <f t="shared" si="163"/>
        <v>0</v>
      </c>
      <c r="FU15" s="915">
        <f t="shared" si="164"/>
        <v>0</v>
      </c>
      <c r="FV15" s="915">
        <f t="shared" si="165"/>
        <v>0</v>
      </c>
      <c r="FW15" s="915">
        <f t="shared" si="166"/>
        <v>0</v>
      </c>
      <c r="FX15" s="915">
        <f t="shared" si="167"/>
        <v>0</v>
      </c>
      <c r="FY15" s="915">
        <f t="shared" si="168"/>
        <v>0</v>
      </c>
      <c r="FZ15" s="915">
        <f t="shared" si="169"/>
        <v>0</v>
      </c>
    </row>
    <row r="16" spans="1:182" ht="14.1" customHeight="1" x14ac:dyDescent="0.2">
      <c r="A16" s="496">
        <v>9</v>
      </c>
      <c r="B16" s="1419"/>
      <c r="C16" s="1433"/>
      <c r="D16" s="264">
        <v>2</v>
      </c>
      <c r="E16" s="264" t="s">
        <v>193</v>
      </c>
      <c r="F16" s="270" t="s">
        <v>2544</v>
      </c>
      <c r="G16" s="270" t="s">
        <v>2542</v>
      </c>
      <c r="H16" s="272">
        <v>7</v>
      </c>
      <c r="I16" s="268">
        <f t="shared" si="11"/>
        <v>0.42</v>
      </c>
      <c r="J16" s="269">
        <f t="shared" si="12"/>
        <v>7.42</v>
      </c>
      <c r="K16" s="225"/>
      <c r="N16" s="942">
        <f>AE6</f>
        <v>7.42</v>
      </c>
      <c r="O16" s="915" t="str">
        <f>"Boring/Monitoring Wells for "&amp;TabName2</f>
        <v>Boring/Monitoring Wells for Phase 2</v>
      </c>
      <c r="P16" s="949" t="s">
        <v>255</v>
      </c>
      <c r="R16" s="915">
        <f>INDEX(ValidateTable,9)</f>
        <v>9</v>
      </c>
      <c r="W16" s="915">
        <f t="shared" si="8"/>
        <v>0</v>
      </c>
      <c r="X16" s="915">
        <f t="shared" si="9"/>
        <v>0</v>
      </c>
      <c r="Y16" s="915">
        <f t="shared" si="10"/>
        <v>0</v>
      </c>
      <c r="Z16" s="915">
        <f t="shared" si="13"/>
        <v>0</v>
      </c>
      <c r="AA16" s="915">
        <f t="shared" si="14"/>
        <v>0</v>
      </c>
      <c r="AB16" s="915">
        <f t="shared" si="15"/>
        <v>0</v>
      </c>
      <c r="AC16" s="915">
        <f t="shared" si="16"/>
        <v>0</v>
      </c>
      <c r="AD16" s="915">
        <f t="shared" si="17"/>
        <v>0</v>
      </c>
      <c r="AE16" s="915">
        <f t="shared" si="18"/>
        <v>7.42</v>
      </c>
      <c r="AF16" s="915">
        <f t="shared" si="19"/>
        <v>0</v>
      </c>
      <c r="AG16" s="915">
        <f t="shared" si="20"/>
        <v>0</v>
      </c>
      <c r="AH16" s="915">
        <f t="shared" si="21"/>
        <v>0</v>
      </c>
      <c r="AI16" s="915">
        <f t="shared" si="22"/>
        <v>0</v>
      </c>
      <c r="AJ16" s="915">
        <f t="shared" si="23"/>
        <v>0</v>
      </c>
      <c r="AK16" s="915">
        <f t="shared" si="24"/>
        <v>0</v>
      </c>
      <c r="AL16" s="915">
        <f t="shared" si="25"/>
        <v>0</v>
      </c>
      <c r="AM16" s="915">
        <f t="shared" si="26"/>
        <v>0</v>
      </c>
      <c r="AN16" s="915">
        <f t="shared" si="27"/>
        <v>0</v>
      </c>
      <c r="AO16" s="915">
        <f t="shared" si="28"/>
        <v>0</v>
      </c>
      <c r="AP16" s="915">
        <f t="shared" si="29"/>
        <v>0</v>
      </c>
      <c r="AQ16" s="915">
        <f t="shared" si="30"/>
        <v>0</v>
      </c>
      <c r="AR16" s="915">
        <f t="shared" si="31"/>
        <v>0</v>
      </c>
      <c r="AS16" s="915">
        <f t="shared" si="32"/>
        <v>0</v>
      </c>
      <c r="AT16" s="915">
        <f t="shared" si="33"/>
        <v>0</v>
      </c>
      <c r="AU16" s="915">
        <f t="shared" si="34"/>
        <v>0</v>
      </c>
      <c r="AV16" s="915">
        <f t="shared" si="35"/>
        <v>0</v>
      </c>
      <c r="AW16" s="915">
        <f t="shared" si="36"/>
        <v>0</v>
      </c>
      <c r="AX16" s="915">
        <f t="shared" si="37"/>
        <v>0</v>
      </c>
      <c r="AY16" s="915">
        <f t="shared" si="38"/>
        <v>0</v>
      </c>
      <c r="AZ16" s="915">
        <f t="shared" si="39"/>
        <v>0</v>
      </c>
      <c r="BA16" s="915">
        <f t="shared" si="40"/>
        <v>0</v>
      </c>
      <c r="BB16" s="915">
        <f t="shared" si="41"/>
        <v>0</v>
      </c>
      <c r="BC16" s="915">
        <f t="shared" si="42"/>
        <v>0</v>
      </c>
      <c r="BD16" s="915">
        <f t="shared" si="43"/>
        <v>0</v>
      </c>
      <c r="BE16" s="915">
        <f t="shared" si="44"/>
        <v>0</v>
      </c>
      <c r="BF16" s="915">
        <f t="shared" si="45"/>
        <v>0</v>
      </c>
      <c r="BG16" s="915">
        <f t="shared" si="46"/>
        <v>0</v>
      </c>
      <c r="BH16" s="915">
        <f t="shared" si="47"/>
        <v>0</v>
      </c>
      <c r="BI16" s="915">
        <f t="shared" si="48"/>
        <v>0</v>
      </c>
      <c r="BJ16" s="915">
        <f t="shared" si="49"/>
        <v>0</v>
      </c>
      <c r="BK16" s="915">
        <f t="shared" si="50"/>
        <v>0</v>
      </c>
      <c r="BL16" s="915">
        <f t="shared" si="51"/>
        <v>0</v>
      </c>
      <c r="BM16" s="915">
        <f t="shared" si="52"/>
        <v>0</v>
      </c>
      <c r="BN16" s="915">
        <f t="shared" si="53"/>
        <v>0</v>
      </c>
      <c r="BO16" s="915">
        <f t="shared" si="54"/>
        <v>0</v>
      </c>
      <c r="BP16" s="915">
        <f t="shared" si="55"/>
        <v>0</v>
      </c>
      <c r="BQ16" s="915">
        <f t="shared" si="56"/>
        <v>0</v>
      </c>
      <c r="BR16" s="915">
        <f t="shared" si="57"/>
        <v>0</v>
      </c>
      <c r="BS16" s="915">
        <f t="shared" si="58"/>
        <v>0</v>
      </c>
      <c r="BT16" s="915">
        <f t="shared" si="59"/>
        <v>0</v>
      </c>
      <c r="BU16" s="915">
        <f t="shared" si="60"/>
        <v>0</v>
      </c>
      <c r="BV16" s="915">
        <f t="shared" si="61"/>
        <v>0</v>
      </c>
      <c r="BW16" s="915">
        <f t="shared" si="62"/>
        <v>0</v>
      </c>
      <c r="BX16" s="915">
        <f t="shared" si="63"/>
        <v>0</v>
      </c>
      <c r="BY16" s="915">
        <f t="shared" si="64"/>
        <v>0</v>
      </c>
      <c r="BZ16" s="915">
        <f t="shared" si="65"/>
        <v>0</v>
      </c>
      <c r="CA16" s="915">
        <f t="shared" si="66"/>
        <v>0</v>
      </c>
      <c r="CB16" s="915">
        <f t="shared" si="67"/>
        <v>0</v>
      </c>
      <c r="CC16" s="915">
        <f t="shared" si="68"/>
        <v>0</v>
      </c>
      <c r="CD16" s="915">
        <f t="shared" si="69"/>
        <v>0</v>
      </c>
      <c r="CE16" s="915">
        <f t="shared" si="70"/>
        <v>0</v>
      </c>
      <c r="CF16" s="915">
        <f t="shared" si="71"/>
        <v>0</v>
      </c>
      <c r="CG16" s="915">
        <f t="shared" si="72"/>
        <v>0</v>
      </c>
      <c r="CH16" s="915">
        <f t="shared" si="73"/>
        <v>0</v>
      </c>
      <c r="CI16" s="915">
        <f t="shared" si="74"/>
        <v>0</v>
      </c>
      <c r="CJ16" s="915">
        <f t="shared" si="75"/>
        <v>0</v>
      </c>
      <c r="CK16" s="915">
        <f t="shared" si="76"/>
        <v>0</v>
      </c>
      <c r="CL16" s="915">
        <f t="shared" si="77"/>
        <v>0</v>
      </c>
      <c r="CM16" s="915">
        <f t="shared" si="78"/>
        <v>0</v>
      </c>
      <c r="CN16" s="915">
        <f t="shared" si="79"/>
        <v>0</v>
      </c>
      <c r="CO16" s="915">
        <f t="shared" si="80"/>
        <v>0</v>
      </c>
      <c r="CP16" s="915">
        <f t="shared" si="81"/>
        <v>0</v>
      </c>
      <c r="CQ16" s="915">
        <f t="shared" si="82"/>
        <v>0</v>
      </c>
      <c r="CR16" s="915">
        <f t="shared" si="83"/>
        <v>0</v>
      </c>
      <c r="CS16" s="915">
        <f t="shared" si="84"/>
        <v>0</v>
      </c>
      <c r="CT16" s="915">
        <f t="shared" si="85"/>
        <v>0</v>
      </c>
      <c r="CU16" s="915">
        <f t="shared" si="86"/>
        <v>0</v>
      </c>
      <c r="CV16" s="915">
        <f t="shared" si="87"/>
        <v>0</v>
      </c>
      <c r="CW16" s="915">
        <f t="shared" si="88"/>
        <v>0</v>
      </c>
      <c r="CX16" s="915">
        <f t="shared" si="89"/>
        <v>0</v>
      </c>
      <c r="CY16" s="915">
        <f t="shared" si="90"/>
        <v>0</v>
      </c>
      <c r="CZ16" s="915">
        <f t="shared" si="91"/>
        <v>0</v>
      </c>
      <c r="DA16" s="915">
        <f t="shared" si="92"/>
        <v>0</v>
      </c>
      <c r="DB16" s="915">
        <f t="shared" si="93"/>
        <v>0</v>
      </c>
      <c r="DC16" s="915">
        <f t="shared" si="94"/>
        <v>0</v>
      </c>
      <c r="DD16" s="915">
        <f t="shared" si="95"/>
        <v>0</v>
      </c>
      <c r="DE16" s="915">
        <f t="shared" si="96"/>
        <v>0</v>
      </c>
      <c r="DF16" s="915">
        <f t="shared" si="97"/>
        <v>0</v>
      </c>
      <c r="DG16" s="915">
        <f t="shared" si="98"/>
        <v>0</v>
      </c>
      <c r="DH16" s="915">
        <f t="shared" si="99"/>
        <v>0</v>
      </c>
      <c r="DI16" s="915">
        <f t="shared" si="100"/>
        <v>0</v>
      </c>
      <c r="DJ16" s="915">
        <f t="shared" si="101"/>
        <v>0</v>
      </c>
      <c r="DK16" s="915">
        <f t="shared" si="102"/>
        <v>0</v>
      </c>
      <c r="DL16" s="915">
        <f t="shared" si="103"/>
        <v>0</v>
      </c>
      <c r="DM16" s="915">
        <f t="shared" si="104"/>
        <v>0</v>
      </c>
      <c r="DN16" s="915">
        <f t="shared" si="105"/>
        <v>0</v>
      </c>
      <c r="DO16" s="915">
        <f t="shared" si="106"/>
        <v>0</v>
      </c>
      <c r="DP16" s="915">
        <f t="shared" si="107"/>
        <v>0</v>
      </c>
      <c r="DQ16" s="915">
        <f t="shared" si="108"/>
        <v>0</v>
      </c>
      <c r="DR16" s="915">
        <f t="shared" si="109"/>
        <v>0</v>
      </c>
      <c r="DS16" s="915">
        <f t="shared" si="110"/>
        <v>0</v>
      </c>
      <c r="DT16" s="915">
        <f t="shared" si="111"/>
        <v>0</v>
      </c>
      <c r="DU16" s="915">
        <f t="shared" si="112"/>
        <v>0</v>
      </c>
      <c r="DV16" s="915">
        <f t="shared" si="113"/>
        <v>0</v>
      </c>
      <c r="DW16" s="915">
        <f t="shared" si="114"/>
        <v>0</v>
      </c>
      <c r="DX16" s="915">
        <f t="shared" si="115"/>
        <v>0</v>
      </c>
      <c r="DY16" s="915">
        <f t="shared" si="116"/>
        <v>0</v>
      </c>
      <c r="DZ16" s="915">
        <f t="shared" si="117"/>
        <v>0</v>
      </c>
      <c r="EA16" s="915">
        <f t="shared" si="118"/>
        <v>0</v>
      </c>
      <c r="EB16" s="915">
        <f t="shared" si="119"/>
        <v>0</v>
      </c>
      <c r="EC16" s="915">
        <f t="shared" si="120"/>
        <v>0</v>
      </c>
      <c r="ED16" s="915">
        <f t="shared" si="121"/>
        <v>0</v>
      </c>
      <c r="EE16" s="915">
        <f t="shared" si="122"/>
        <v>0</v>
      </c>
      <c r="EF16" s="915">
        <f t="shared" si="123"/>
        <v>0</v>
      </c>
      <c r="EG16" s="915">
        <f t="shared" si="124"/>
        <v>0</v>
      </c>
      <c r="EH16" s="915">
        <f t="shared" si="125"/>
        <v>0</v>
      </c>
      <c r="EI16" s="915">
        <f t="shared" si="126"/>
        <v>0</v>
      </c>
      <c r="EJ16" s="915">
        <f t="shared" si="127"/>
        <v>0</v>
      </c>
      <c r="EK16" s="915">
        <f t="shared" si="128"/>
        <v>0</v>
      </c>
      <c r="EL16" s="915">
        <f t="shared" si="129"/>
        <v>0</v>
      </c>
      <c r="EM16" s="915">
        <f t="shared" si="130"/>
        <v>0</v>
      </c>
      <c r="EN16" s="915">
        <f t="shared" si="131"/>
        <v>0</v>
      </c>
      <c r="EO16" s="915">
        <f t="shared" si="132"/>
        <v>0</v>
      </c>
      <c r="EP16" s="915">
        <f t="shared" si="133"/>
        <v>0</v>
      </c>
      <c r="EQ16" s="915">
        <f t="shared" si="134"/>
        <v>0</v>
      </c>
      <c r="ER16" s="915">
        <f t="shared" si="135"/>
        <v>0</v>
      </c>
      <c r="ES16" s="915">
        <f t="shared" si="136"/>
        <v>0</v>
      </c>
      <c r="ET16" s="915">
        <f t="shared" si="137"/>
        <v>0</v>
      </c>
      <c r="EU16" s="915">
        <f t="shared" si="138"/>
        <v>0</v>
      </c>
      <c r="EV16" s="915">
        <f t="shared" si="139"/>
        <v>0</v>
      </c>
      <c r="EW16" s="915">
        <f t="shared" si="140"/>
        <v>0</v>
      </c>
      <c r="EX16" s="915">
        <f t="shared" si="141"/>
        <v>0</v>
      </c>
      <c r="EY16" s="915">
        <f t="shared" si="142"/>
        <v>0</v>
      </c>
      <c r="EZ16" s="915">
        <f t="shared" si="143"/>
        <v>0</v>
      </c>
      <c r="FA16" s="915">
        <f t="shared" si="144"/>
        <v>0</v>
      </c>
      <c r="FB16" s="915">
        <f t="shared" si="145"/>
        <v>0</v>
      </c>
      <c r="FC16" s="915">
        <f t="shared" si="146"/>
        <v>0</v>
      </c>
      <c r="FD16" s="915">
        <f t="shared" si="147"/>
        <v>0</v>
      </c>
      <c r="FE16" s="915">
        <f t="shared" si="148"/>
        <v>0</v>
      </c>
      <c r="FF16" s="915">
        <f t="shared" si="149"/>
        <v>0</v>
      </c>
      <c r="FG16" s="915">
        <f t="shared" si="150"/>
        <v>0</v>
      </c>
      <c r="FH16" s="915">
        <f t="shared" si="151"/>
        <v>0</v>
      </c>
      <c r="FI16" s="915">
        <f t="shared" si="152"/>
        <v>0</v>
      </c>
      <c r="FJ16" s="915">
        <f t="shared" si="153"/>
        <v>0</v>
      </c>
      <c r="FK16" s="915">
        <f t="shared" si="154"/>
        <v>0</v>
      </c>
      <c r="FL16" s="915">
        <f t="shared" si="155"/>
        <v>0</v>
      </c>
      <c r="FM16" s="915">
        <f t="shared" si="156"/>
        <v>0</v>
      </c>
      <c r="FN16" s="915">
        <f t="shared" si="157"/>
        <v>0</v>
      </c>
      <c r="FO16" s="915">
        <f t="shared" si="158"/>
        <v>0</v>
      </c>
      <c r="FP16" s="915">
        <f t="shared" si="159"/>
        <v>0</v>
      </c>
      <c r="FQ16" s="915">
        <f t="shared" si="160"/>
        <v>0</v>
      </c>
      <c r="FR16" s="915">
        <f t="shared" si="161"/>
        <v>0</v>
      </c>
      <c r="FS16" s="915">
        <f t="shared" si="162"/>
        <v>0</v>
      </c>
      <c r="FT16" s="915">
        <f t="shared" si="163"/>
        <v>0</v>
      </c>
      <c r="FU16" s="915">
        <f t="shared" si="164"/>
        <v>0</v>
      </c>
      <c r="FV16" s="915">
        <f t="shared" si="165"/>
        <v>0</v>
      </c>
      <c r="FW16" s="915">
        <f t="shared" si="166"/>
        <v>0</v>
      </c>
      <c r="FX16" s="915">
        <f t="shared" si="167"/>
        <v>0</v>
      </c>
      <c r="FY16" s="915">
        <f t="shared" si="168"/>
        <v>0</v>
      </c>
      <c r="FZ16" s="915">
        <f t="shared" si="169"/>
        <v>0</v>
      </c>
    </row>
    <row r="17" spans="1:182" ht="14.1" customHeight="1" x14ac:dyDescent="0.2">
      <c r="A17" s="497">
        <v>10</v>
      </c>
      <c r="B17" s="1423"/>
      <c r="C17" s="1424"/>
      <c r="D17" s="138">
        <v>2</v>
      </c>
      <c r="E17" s="138" t="s">
        <v>26</v>
      </c>
      <c r="F17" s="139" t="s">
        <v>2544</v>
      </c>
      <c r="G17" s="139" t="s">
        <v>2542</v>
      </c>
      <c r="H17" s="100">
        <v>7</v>
      </c>
      <c r="I17" s="119">
        <f t="shared" si="11"/>
        <v>0.42</v>
      </c>
      <c r="J17" s="90">
        <f t="shared" si="12"/>
        <v>7.42</v>
      </c>
      <c r="K17" s="225"/>
      <c r="N17" s="942">
        <f>AF6</f>
        <v>7.42</v>
      </c>
      <c r="O17" s="879" t="str">
        <f>"Remediation for " &amp; TabName2</f>
        <v>Remediation for Phase 2</v>
      </c>
      <c r="P17" s="950" t="s">
        <v>249</v>
      </c>
      <c r="R17" s="915">
        <f>INDEX(ValidateTable,10)</f>
        <v>10</v>
      </c>
      <c r="W17" s="915">
        <f t="shared" si="8"/>
        <v>0</v>
      </c>
      <c r="X17" s="915">
        <f t="shared" si="9"/>
        <v>0</v>
      </c>
      <c r="Y17" s="915">
        <f t="shared" si="10"/>
        <v>0</v>
      </c>
      <c r="Z17" s="915">
        <f t="shared" si="13"/>
        <v>0</v>
      </c>
      <c r="AA17" s="915">
        <f t="shared" si="14"/>
        <v>0</v>
      </c>
      <c r="AB17" s="915">
        <f t="shared" si="15"/>
        <v>0</v>
      </c>
      <c r="AC17" s="915">
        <f t="shared" si="16"/>
        <v>0</v>
      </c>
      <c r="AD17" s="915">
        <f t="shared" si="17"/>
        <v>0</v>
      </c>
      <c r="AE17" s="915">
        <f t="shared" si="18"/>
        <v>0</v>
      </c>
      <c r="AF17" s="915">
        <f t="shared" si="19"/>
        <v>7.42</v>
      </c>
      <c r="AG17" s="915">
        <f t="shared" si="20"/>
        <v>0</v>
      </c>
      <c r="AH17" s="915">
        <f t="shared" si="21"/>
        <v>0</v>
      </c>
      <c r="AI17" s="915">
        <f t="shared" si="22"/>
        <v>0</v>
      </c>
      <c r="AJ17" s="915">
        <f t="shared" si="23"/>
        <v>0</v>
      </c>
      <c r="AK17" s="915">
        <f t="shared" si="24"/>
        <v>0</v>
      </c>
      <c r="AL17" s="915">
        <f t="shared" si="25"/>
        <v>0</v>
      </c>
      <c r="AM17" s="915">
        <f t="shared" si="26"/>
        <v>0</v>
      </c>
      <c r="AN17" s="915">
        <f t="shared" si="27"/>
        <v>0</v>
      </c>
      <c r="AO17" s="915">
        <f t="shared" si="28"/>
        <v>0</v>
      </c>
      <c r="AP17" s="915">
        <f t="shared" si="29"/>
        <v>0</v>
      </c>
      <c r="AQ17" s="915">
        <f t="shared" si="30"/>
        <v>0</v>
      </c>
      <c r="AR17" s="915">
        <f t="shared" si="31"/>
        <v>0</v>
      </c>
      <c r="AS17" s="915">
        <f t="shared" si="32"/>
        <v>0</v>
      </c>
      <c r="AT17" s="915">
        <f t="shared" si="33"/>
        <v>0</v>
      </c>
      <c r="AU17" s="915">
        <f t="shared" si="34"/>
        <v>0</v>
      </c>
      <c r="AV17" s="915">
        <f t="shared" si="35"/>
        <v>0</v>
      </c>
      <c r="AW17" s="915">
        <f t="shared" si="36"/>
        <v>0</v>
      </c>
      <c r="AX17" s="915">
        <f t="shared" si="37"/>
        <v>0</v>
      </c>
      <c r="AY17" s="915">
        <f t="shared" si="38"/>
        <v>0</v>
      </c>
      <c r="AZ17" s="915">
        <f t="shared" si="39"/>
        <v>0</v>
      </c>
      <c r="BA17" s="915">
        <f t="shared" si="40"/>
        <v>0</v>
      </c>
      <c r="BB17" s="915">
        <f t="shared" si="41"/>
        <v>0</v>
      </c>
      <c r="BC17" s="915">
        <f t="shared" si="42"/>
        <v>0</v>
      </c>
      <c r="BD17" s="915">
        <f t="shared" si="43"/>
        <v>0</v>
      </c>
      <c r="BE17" s="915">
        <f t="shared" si="44"/>
        <v>0</v>
      </c>
      <c r="BF17" s="915">
        <f t="shared" si="45"/>
        <v>0</v>
      </c>
      <c r="BG17" s="915">
        <f t="shared" si="46"/>
        <v>0</v>
      </c>
      <c r="BH17" s="915">
        <f t="shared" si="47"/>
        <v>0</v>
      </c>
      <c r="BI17" s="915">
        <f t="shared" si="48"/>
        <v>0</v>
      </c>
      <c r="BJ17" s="915">
        <f t="shared" si="49"/>
        <v>0</v>
      </c>
      <c r="BK17" s="915">
        <f t="shared" si="50"/>
        <v>0</v>
      </c>
      <c r="BL17" s="915">
        <f t="shared" si="51"/>
        <v>0</v>
      </c>
      <c r="BM17" s="915">
        <f t="shared" si="52"/>
        <v>0</v>
      </c>
      <c r="BN17" s="915">
        <f t="shared" si="53"/>
        <v>0</v>
      </c>
      <c r="BO17" s="915">
        <f t="shared" si="54"/>
        <v>0</v>
      </c>
      <c r="BP17" s="915">
        <f t="shared" si="55"/>
        <v>0</v>
      </c>
      <c r="BQ17" s="915">
        <f t="shared" si="56"/>
        <v>0</v>
      </c>
      <c r="BR17" s="915">
        <f t="shared" si="57"/>
        <v>0</v>
      </c>
      <c r="BS17" s="915">
        <f t="shared" si="58"/>
        <v>0</v>
      </c>
      <c r="BT17" s="915">
        <f t="shared" si="59"/>
        <v>0</v>
      </c>
      <c r="BU17" s="915">
        <f t="shared" si="60"/>
        <v>0</v>
      </c>
      <c r="BV17" s="915">
        <f t="shared" si="61"/>
        <v>0</v>
      </c>
      <c r="BW17" s="915">
        <f t="shared" si="62"/>
        <v>0</v>
      </c>
      <c r="BX17" s="915">
        <f t="shared" si="63"/>
        <v>0</v>
      </c>
      <c r="BY17" s="915">
        <f t="shared" si="64"/>
        <v>0</v>
      </c>
      <c r="BZ17" s="915">
        <f t="shared" si="65"/>
        <v>0</v>
      </c>
      <c r="CA17" s="915">
        <f t="shared" si="66"/>
        <v>0</v>
      </c>
      <c r="CB17" s="915">
        <f t="shared" si="67"/>
        <v>0</v>
      </c>
      <c r="CC17" s="915">
        <f t="shared" si="68"/>
        <v>0</v>
      </c>
      <c r="CD17" s="915">
        <f t="shared" si="69"/>
        <v>0</v>
      </c>
      <c r="CE17" s="915">
        <f t="shared" si="70"/>
        <v>0</v>
      </c>
      <c r="CF17" s="915">
        <f t="shared" si="71"/>
        <v>0</v>
      </c>
      <c r="CG17" s="915">
        <f t="shared" si="72"/>
        <v>0</v>
      </c>
      <c r="CH17" s="915">
        <f t="shared" si="73"/>
        <v>0</v>
      </c>
      <c r="CI17" s="915">
        <f t="shared" si="74"/>
        <v>0</v>
      </c>
      <c r="CJ17" s="915">
        <f t="shared" si="75"/>
        <v>0</v>
      </c>
      <c r="CK17" s="915">
        <f t="shared" si="76"/>
        <v>0</v>
      </c>
      <c r="CL17" s="915">
        <f t="shared" si="77"/>
        <v>0</v>
      </c>
      <c r="CM17" s="915">
        <f t="shared" si="78"/>
        <v>0</v>
      </c>
      <c r="CN17" s="915">
        <f t="shared" si="79"/>
        <v>0</v>
      </c>
      <c r="CO17" s="915">
        <f t="shared" si="80"/>
        <v>0</v>
      </c>
      <c r="CP17" s="915">
        <f t="shared" si="81"/>
        <v>0</v>
      </c>
      <c r="CQ17" s="915">
        <f t="shared" si="82"/>
        <v>0</v>
      </c>
      <c r="CR17" s="915">
        <f t="shared" si="83"/>
        <v>0</v>
      </c>
      <c r="CS17" s="915">
        <f t="shared" si="84"/>
        <v>0</v>
      </c>
      <c r="CT17" s="915">
        <f t="shared" si="85"/>
        <v>0</v>
      </c>
      <c r="CU17" s="915">
        <f t="shared" si="86"/>
        <v>0</v>
      </c>
      <c r="CV17" s="915">
        <f t="shared" si="87"/>
        <v>0</v>
      </c>
      <c r="CW17" s="915">
        <f t="shared" si="88"/>
        <v>0</v>
      </c>
      <c r="CX17" s="915">
        <f t="shared" si="89"/>
        <v>0</v>
      </c>
      <c r="CY17" s="915">
        <f t="shared" si="90"/>
        <v>0</v>
      </c>
      <c r="CZ17" s="915">
        <f t="shared" si="91"/>
        <v>0</v>
      </c>
      <c r="DA17" s="915">
        <f t="shared" si="92"/>
        <v>0</v>
      </c>
      <c r="DB17" s="915">
        <f t="shared" si="93"/>
        <v>0</v>
      </c>
      <c r="DC17" s="915">
        <f t="shared" si="94"/>
        <v>0</v>
      </c>
      <c r="DD17" s="915">
        <f t="shared" si="95"/>
        <v>0</v>
      </c>
      <c r="DE17" s="915">
        <f t="shared" si="96"/>
        <v>0</v>
      </c>
      <c r="DF17" s="915">
        <f t="shared" si="97"/>
        <v>0</v>
      </c>
      <c r="DG17" s="915">
        <f t="shared" si="98"/>
        <v>0</v>
      </c>
      <c r="DH17" s="915">
        <f t="shared" si="99"/>
        <v>0</v>
      </c>
      <c r="DI17" s="915">
        <f t="shared" si="100"/>
        <v>0</v>
      </c>
      <c r="DJ17" s="915">
        <f t="shared" si="101"/>
        <v>0</v>
      </c>
      <c r="DK17" s="915">
        <f t="shared" si="102"/>
        <v>0</v>
      </c>
      <c r="DL17" s="915">
        <f t="shared" si="103"/>
        <v>0</v>
      </c>
      <c r="DM17" s="915">
        <f t="shared" si="104"/>
        <v>0</v>
      </c>
      <c r="DN17" s="915">
        <f t="shared" si="105"/>
        <v>0</v>
      </c>
      <c r="DO17" s="915">
        <f t="shared" si="106"/>
        <v>0</v>
      </c>
      <c r="DP17" s="915">
        <f t="shared" si="107"/>
        <v>0</v>
      </c>
      <c r="DQ17" s="915">
        <f t="shared" si="108"/>
        <v>0</v>
      </c>
      <c r="DR17" s="915">
        <f t="shared" si="109"/>
        <v>0</v>
      </c>
      <c r="DS17" s="915">
        <f t="shared" si="110"/>
        <v>0</v>
      </c>
      <c r="DT17" s="915">
        <f t="shared" si="111"/>
        <v>0</v>
      </c>
      <c r="DU17" s="915">
        <f t="shared" si="112"/>
        <v>0</v>
      </c>
      <c r="DV17" s="915">
        <f t="shared" si="113"/>
        <v>0</v>
      </c>
      <c r="DW17" s="915">
        <f t="shared" si="114"/>
        <v>0</v>
      </c>
      <c r="DX17" s="915">
        <f t="shared" si="115"/>
        <v>0</v>
      </c>
      <c r="DY17" s="915">
        <f t="shared" si="116"/>
        <v>0</v>
      </c>
      <c r="DZ17" s="915">
        <f t="shared" si="117"/>
        <v>0</v>
      </c>
      <c r="EA17" s="915">
        <f t="shared" si="118"/>
        <v>0</v>
      </c>
      <c r="EB17" s="915">
        <f t="shared" si="119"/>
        <v>0</v>
      </c>
      <c r="EC17" s="915">
        <f t="shared" si="120"/>
        <v>0</v>
      </c>
      <c r="ED17" s="915">
        <f t="shared" si="121"/>
        <v>0</v>
      </c>
      <c r="EE17" s="915">
        <f t="shared" si="122"/>
        <v>0</v>
      </c>
      <c r="EF17" s="915">
        <f t="shared" si="123"/>
        <v>0</v>
      </c>
      <c r="EG17" s="915">
        <f t="shared" si="124"/>
        <v>0</v>
      </c>
      <c r="EH17" s="915">
        <f t="shared" si="125"/>
        <v>0</v>
      </c>
      <c r="EI17" s="915">
        <f t="shared" si="126"/>
        <v>0</v>
      </c>
      <c r="EJ17" s="915">
        <f t="shared" si="127"/>
        <v>0</v>
      </c>
      <c r="EK17" s="915">
        <f t="shared" si="128"/>
        <v>0</v>
      </c>
      <c r="EL17" s="915">
        <f t="shared" si="129"/>
        <v>0</v>
      </c>
      <c r="EM17" s="915">
        <f t="shared" si="130"/>
        <v>0</v>
      </c>
      <c r="EN17" s="915">
        <f t="shared" si="131"/>
        <v>0</v>
      </c>
      <c r="EO17" s="915">
        <f t="shared" si="132"/>
        <v>0</v>
      </c>
      <c r="EP17" s="915">
        <f t="shared" si="133"/>
        <v>0</v>
      </c>
      <c r="EQ17" s="915">
        <f t="shared" si="134"/>
        <v>0</v>
      </c>
      <c r="ER17" s="915">
        <f t="shared" si="135"/>
        <v>0</v>
      </c>
      <c r="ES17" s="915">
        <f t="shared" si="136"/>
        <v>0</v>
      </c>
      <c r="ET17" s="915">
        <f t="shared" si="137"/>
        <v>0</v>
      </c>
      <c r="EU17" s="915">
        <f t="shared" si="138"/>
        <v>0</v>
      </c>
      <c r="EV17" s="915">
        <f t="shared" si="139"/>
        <v>0</v>
      </c>
      <c r="EW17" s="915">
        <f t="shared" si="140"/>
        <v>0</v>
      </c>
      <c r="EX17" s="915">
        <f t="shared" si="141"/>
        <v>0</v>
      </c>
      <c r="EY17" s="915">
        <f t="shared" si="142"/>
        <v>0</v>
      </c>
      <c r="EZ17" s="915">
        <f t="shared" si="143"/>
        <v>0</v>
      </c>
      <c r="FA17" s="915">
        <f t="shared" si="144"/>
        <v>0</v>
      </c>
      <c r="FB17" s="915">
        <f t="shared" si="145"/>
        <v>0</v>
      </c>
      <c r="FC17" s="915">
        <f t="shared" si="146"/>
        <v>0</v>
      </c>
      <c r="FD17" s="915">
        <f t="shared" si="147"/>
        <v>0</v>
      </c>
      <c r="FE17" s="915">
        <f t="shared" si="148"/>
        <v>0</v>
      </c>
      <c r="FF17" s="915">
        <f t="shared" si="149"/>
        <v>0</v>
      </c>
      <c r="FG17" s="915">
        <f t="shared" si="150"/>
        <v>0</v>
      </c>
      <c r="FH17" s="915">
        <f t="shared" si="151"/>
        <v>0</v>
      </c>
      <c r="FI17" s="915">
        <f t="shared" si="152"/>
        <v>0</v>
      </c>
      <c r="FJ17" s="915">
        <f t="shared" si="153"/>
        <v>0</v>
      </c>
      <c r="FK17" s="915">
        <f t="shared" si="154"/>
        <v>0</v>
      </c>
      <c r="FL17" s="915">
        <f t="shared" si="155"/>
        <v>0</v>
      </c>
      <c r="FM17" s="915">
        <f t="shared" si="156"/>
        <v>0</v>
      </c>
      <c r="FN17" s="915">
        <f t="shared" si="157"/>
        <v>0</v>
      </c>
      <c r="FO17" s="915">
        <f t="shared" si="158"/>
        <v>0</v>
      </c>
      <c r="FP17" s="915">
        <f t="shared" si="159"/>
        <v>0</v>
      </c>
      <c r="FQ17" s="915">
        <f t="shared" si="160"/>
        <v>0</v>
      </c>
      <c r="FR17" s="915">
        <f t="shared" si="161"/>
        <v>0</v>
      </c>
      <c r="FS17" s="915">
        <f t="shared" si="162"/>
        <v>0</v>
      </c>
      <c r="FT17" s="915">
        <f t="shared" si="163"/>
        <v>0</v>
      </c>
      <c r="FU17" s="915">
        <f t="shared" si="164"/>
        <v>0</v>
      </c>
      <c r="FV17" s="915">
        <f t="shared" si="165"/>
        <v>0</v>
      </c>
      <c r="FW17" s="915">
        <f t="shared" si="166"/>
        <v>0</v>
      </c>
      <c r="FX17" s="915">
        <f t="shared" si="167"/>
        <v>0</v>
      </c>
      <c r="FY17" s="915">
        <f t="shared" si="168"/>
        <v>0</v>
      </c>
      <c r="FZ17" s="915">
        <f t="shared" si="169"/>
        <v>0</v>
      </c>
    </row>
    <row r="18" spans="1:182" ht="14.1" customHeight="1" x14ac:dyDescent="0.2">
      <c r="A18" s="496">
        <v>11</v>
      </c>
      <c r="B18" s="1419"/>
      <c r="C18" s="1433"/>
      <c r="D18" s="264">
        <v>2</v>
      </c>
      <c r="E18" s="264" t="s">
        <v>35</v>
      </c>
      <c r="F18" s="270" t="s">
        <v>2544</v>
      </c>
      <c r="G18" s="270" t="s">
        <v>2542</v>
      </c>
      <c r="H18" s="272">
        <v>7</v>
      </c>
      <c r="I18" s="268">
        <f t="shared" si="11"/>
        <v>0.42</v>
      </c>
      <c r="J18" s="269">
        <f t="shared" si="12"/>
        <v>7.42</v>
      </c>
      <c r="K18" s="225"/>
      <c r="N18" s="942">
        <f>AG6</f>
        <v>7.42</v>
      </c>
      <c r="O18" s="879" t="str">
        <f>"General Construction for " &amp; TabName2</f>
        <v>General Construction for Phase 2</v>
      </c>
      <c r="P18" s="949" t="s">
        <v>250</v>
      </c>
      <c r="R18" s="879">
        <f>INDEX(ValidateTable,11)</f>
        <v>11</v>
      </c>
      <c r="W18" s="915">
        <f t="shared" si="8"/>
        <v>0</v>
      </c>
      <c r="X18" s="915">
        <f t="shared" si="9"/>
        <v>0</v>
      </c>
      <c r="Y18" s="915">
        <f t="shared" si="10"/>
        <v>0</v>
      </c>
      <c r="Z18" s="915">
        <f t="shared" si="13"/>
        <v>0</v>
      </c>
      <c r="AA18" s="915">
        <f t="shared" si="14"/>
        <v>0</v>
      </c>
      <c r="AB18" s="915">
        <f t="shared" si="15"/>
        <v>0</v>
      </c>
      <c r="AC18" s="915">
        <f t="shared" si="16"/>
        <v>0</v>
      </c>
      <c r="AD18" s="915">
        <f t="shared" si="17"/>
        <v>0</v>
      </c>
      <c r="AE18" s="915">
        <f t="shared" si="18"/>
        <v>0</v>
      </c>
      <c r="AF18" s="915">
        <f t="shared" si="19"/>
        <v>0</v>
      </c>
      <c r="AG18" s="915">
        <f t="shared" si="20"/>
        <v>7.42</v>
      </c>
      <c r="AH18" s="915">
        <f t="shared" si="21"/>
        <v>0</v>
      </c>
      <c r="AI18" s="915">
        <f t="shared" si="22"/>
        <v>0</v>
      </c>
      <c r="AJ18" s="915">
        <f t="shared" si="23"/>
        <v>0</v>
      </c>
      <c r="AK18" s="915">
        <f t="shared" si="24"/>
        <v>0</v>
      </c>
      <c r="AL18" s="915">
        <f t="shared" si="25"/>
        <v>0</v>
      </c>
      <c r="AM18" s="915">
        <f t="shared" si="26"/>
        <v>0</v>
      </c>
      <c r="AN18" s="915">
        <f t="shared" si="27"/>
        <v>0</v>
      </c>
      <c r="AO18" s="915">
        <f t="shared" si="28"/>
        <v>0</v>
      </c>
      <c r="AP18" s="915">
        <f t="shared" si="29"/>
        <v>0</v>
      </c>
      <c r="AQ18" s="915">
        <f t="shared" si="30"/>
        <v>0</v>
      </c>
      <c r="AR18" s="915">
        <f t="shared" si="31"/>
        <v>0</v>
      </c>
      <c r="AS18" s="915">
        <f t="shared" si="32"/>
        <v>0</v>
      </c>
      <c r="AT18" s="915">
        <f t="shared" si="33"/>
        <v>0</v>
      </c>
      <c r="AU18" s="915">
        <f t="shared" si="34"/>
        <v>0</v>
      </c>
      <c r="AV18" s="915">
        <f t="shared" si="35"/>
        <v>0</v>
      </c>
      <c r="AW18" s="915">
        <f t="shared" si="36"/>
        <v>0</v>
      </c>
      <c r="AX18" s="915">
        <f t="shared" si="37"/>
        <v>0</v>
      </c>
      <c r="AY18" s="915">
        <f t="shared" si="38"/>
        <v>0</v>
      </c>
      <c r="AZ18" s="915">
        <f t="shared" si="39"/>
        <v>0</v>
      </c>
      <c r="BA18" s="915">
        <f t="shared" si="40"/>
        <v>0</v>
      </c>
      <c r="BB18" s="915">
        <f t="shared" si="41"/>
        <v>0</v>
      </c>
      <c r="BC18" s="915">
        <f t="shared" si="42"/>
        <v>0</v>
      </c>
      <c r="BD18" s="915">
        <f t="shared" si="43"/>
        <v>0</v>
      </c>
      <c r="BE18" s="915">
        <f t="shared" si="44"/>
        <v>0</v>
      </c>
      <c r="BF18" s="915">
        <f t="shared" si="45"/>
        <v>0</v>
      </c>
      <c r="BG18" s="915">
        <f t="shared" si="46"/>
        <v>0</v>
      </c>
      <c r="BH18" s="915">
        <f t="shared" si="47"/>
        <v>0</v>
      </c>
      <c r="BI18" s="915">
        <f t="shared" si="48"/>
        <v>0</v>
      </c>
      <c r="BJ18" s="915">
        <f t="shared" si="49"/>
        <v>0</v>
      </c>
      <c r="BK18" s="915">
        <f t="shared" si="50"/>
        <v>0</v>
      </c>
      <c r="BL18" s="915">
        <f t="shared" si="51"/>
        <v>0</v>
      </c>
      <c r="BM18" s="915">
        <f t="shared" si="52"/>
        <v>0</v>
      </c>
      <c r="BN18" s="915">
        <f t="shared" si="53"/>
        <v>0</v>
      </c>
      <c r="BO18" s="915">
        <f t="shared" si="54"/>
        <v>0</v>
      </c>
      <c r="BP18" s="915">
        <f t="shared" si="55"/>
        <v>0</v>
      </c>
      <c r="BQ18" s="915">
        <f t="shared" si="56"/>
        <v>0</v>
      </c>
      <c r="BR18" s="915">
        <f t="shared" si="57"/>
        <v>0</v>
      </c>
      <c r="BS18" s="915">
        <f t="shared" si="58"/>
        <v>0</v>
      </c>
      <c r="BT18" s="915">
        <f t="shared" si="59"/>
        <v>0</v>
      </c>
      <c r="BU18" s="915">
        <f t="shared" si="60"/>
        <v>0</v>
      </c>
      <c r="BV18" s="915">
        <f t="shared" si="61"/>
        <v>0</v>
      </c>
      <c r="BW18" s="915">
        <f t="shared" si="62"/>
        <v>0</v>
      </c>
      <c r="BX18" s="915">
        <f t="shared" si="63"/>
        <v>0</v>
      </c>
      <c r="BY18" s="915">
        <f t="shared" si="64"/>
        <v>0</v>
      </c>
      <c r="BZ18" s="915">
        <f t="shared" si="65"/>
        <v>0</v>
      </c>
      <c r="CA18" s="915">
        <f t="shared" si="66"/>
        <v>0</v>
      </c>
      <c r="CB18" s="915">
        <f t="shared" si="67"/>
        <v>0</v>
      </c>
      <c r="CC18" s="915">
        <f t="shared" si="68"/>
        <v>0</v>
      </c>
      <c r="CD18" s="915">
        <f t="shared" si="69"/>
        <v>0</v>
      </c>
      <c r="CE18" s="915">
        <f t="shared" si="70"/>
        <v>0</v>
      </c>
      <c r="CF18" s="915">
        <f t="shared" si="71"/>
        <v>0</v>
      </c>
      <c r="CG18" s="915">
        <f t="shared" si="72"/>
        <v>0</v>
      </c>
      <c r="CH18" s="915">
        <f t="shared" si="73"/>
        <v>0</v>
      </c>
      <c r="CI18" s="915">
        <f t="shared" si="74"/>
        <v>0</v>
      </c>
      <c r="CJ18" s="915">
        <f t="shared" si="75"/>
        <v>0</v>
      </c>
      <c r="CK18" s="915">
        <f t="shared" si="76"/>
        <v>0</v>
      </c>
      <c r="CL18" s="915">
        <f t="shared" si="77"/>
        <v>0</v>
      </c>
      <c r="CM18" s="915">
        <f t="shared" si="78"/>
        <v>0</v>
      </c>
      <c r="CN18" s="915">
        <f t="shared" si="79"/>
        <v>0</v>
      </c>
      <c r="CO18" s="915">
        <f t="shared" si="80"/>
        <v>0</v>
      </c>
      <c r="CP18" s="915">
        <f t="shared" si="81"/>
        <v>0</v>
      </c>
      <c r="CQ18" s="915">
        <f t="shared" si="82"/>
        <v>0</v>
      </c>
      <c r="CR18" s="915">
        <f t="shared" si="83"/>
        <v>0</v>
      </c>
      <c r="CS18" s="915">
        <f t="shared" si="84"/>
        <v>0</v>
      </c>
      <c r="CT18" s="915">
        <f t="shared" si="85"/>
        <v>0</v>
      </c>
      <c r="CU18" s="915">
        <f t="shared" si="86"/>
        <v>0</v>
      </c>
      <c r="CV18" s="915">
        <f t="shared" si="87"/>
        <v>0</v>
      </c>
      <c r="CW18" s="915">
        <f t="shared" si="88"/>
        <v>0</v>
      </c>
      <c r="CX18" s="915">
        <f t="shared" si="89"/>
        <v>0</v>
      </c>
      <c r="CY18" s="915">
        <f t="shared" si="90"/>
        <v>0</v>
      </c>
      <c r="CZ18" s="915">
        <f t="shared" si="91"/>
        <v>0</v>
      </c>
      <c r="DA18" s="915">
        <f t="shared" si="92"/>
        <v>0</v>
      </c>
      <c r="DB18" s="915">
        <f t="shared" si="93"/>
        <v>0</v>
      </c>
      <c r="DC18" s="915">
        <f t="shared" si="94"/>
        <v>0</v>
      </c>
      <c r="DD18" s="915">
        <f t="shared" si="95"/>
        <v>0</v>
      </c>
      <c r="DE18" s="915">
        <f t="shared" si="96"/>
        <v>0</v>
      </c>
      <c r="DF18" s="915">
        <f t="shared" si="97"/>
        <v>0</v>
      </c>
      <c r="DG18" s="915">
        <f t="shared" si="98"/>
        <v>0</v>
      </c>
      <c r="DH18" s="915">
        <f t="shared" si="99"/>
        <v>0</v>
      </c>
      <c r="DI18" s="915">
        <f t="shared" si="100"/>
        <v>0</v>
      </c>
      <c r="DJ18" s="915">
        <f t="shared" si="101"/>
        <v>0</v>
      </c>
      <c r="DK18" s="915">
        <f t="shared" si="102"/>
        <v>0</v>
      </c>
      <c r="DL18" s="915">
        <f t="shared" si="103"/>
        <v>0</v>
      </c>
      <c r="DM18" s="915">
        <f t="shared" si="104"/>
        <v>0</v>
      </c>
      <c r="DN18" s="915">
        <f t="shared" si="105"/>
        <v>0</v>
      </c>
      <c r="DO18" s="915">
        <f t="shared" si="106"/>
        <v>0</v>
      </c>
      <c r="DP18" s="915">
        <f t="shared" si="107"/>
        <v>0</v>
      </c>
      <c r="DQ18" s="915">
        <f t="shared" si="108"/>
        <v>0</v>
      </c>
      <c r="DR18" s="915">
        <f t="shared" si="109"/>
        <v>0</v>
      </c>
      <c r="DS18" s="915">
        <f t="shared" si="110"/>
        <v>0</v>
      </c>
      <c r="DT18" s="915">
        <f t="shared" si="111"/>
        <v>0</v>
      </c>
      <c r="DU18" s="915">
        <f t="shared" si="112"/>
        <v>0</v>
      </c>
      <c r="DV18" s="915">
        <f t="shared" si="113"/>
        <v>0</v>
      </c>
      <c r="DW18" s="915">
        <f t="shared" si="114"/>
        <v>0</v>
      </c>
      <c r="DX18" s="915">
        <f t="shared" si="115"/>
        <v>0</v>
      </c>
      <c r="DY18" s="915">
        <f t="shared" si="116"/>
        <v>0</v>
      </c>
      <c r="DZ18" s="915">
        <f t="shared" si="117"/>
        <v>0</v>
      </c>
      <c r="EA18" s="915">
        <f t="shared" si="118"/>
        <v>0</v>
      </c>
      <c r="EB18" s="915">
        <f t="shared" si="119"/>
        <v>0</v>
      </c>
      <c r="EC18" s="915">
        <f t="shared" si="120"/>
        <v>0</v>
      </c>
      <c r="ED18" s="915">
        <f t="shared" si="121"/>
        <v>0</v>
      </c>
      <c r="EE18" s="915">
        <f t="shared" si="122"/>
        <v>0</v>
      </c>
      <c r="EF18" s="915">
        <f t="shared" si="123"/>
        <v>0</v>
      </c>
      <c r="EG18" s="915">
        <f t="shared" si="124"/>
        <v>0</v>
      </c>
      <c r="EH18" s="915">
        <f t="shared" si="125"/>
        <v>0</v>
      </c>
      <c r="EI18" s="915">
        <f t="shared" si="126"/>
        <v>0</v>
      </c>
      <c r="EJ18" s="915">
        <f t="shared" si="127"/>
        <v>0</v>
      </c>
      <c r="EK18" s="915">
        <f t="shared" si="128"/>
        <v>0</v>
      </c>
      <c r="EL18" s="915">
        <f t="shared" si="129"/>
        <v>0</v>
      </c>
      <c r="EM18" s="915">
        <f t="shared" si="130"/>
        <v>0</v>
      </c>
      <c r="EN18" s="915">
        <f t="shared" si="131"/>
        <v>0</v>
      </c>
      <c r="EO18" s="915">
        <f t="shared" si="132"/>
        <v>0</v>
      </c>
      <c r="EP18" s="915">
        <f t="shared" si="133"/>
        <v>0</v>
      </c>
      <c r="EQ18" s="915">
        <f t="shared" si="134"/>
        <v>0</v>
      </c>
      <c r="ER18" s="915">
        <f t="shared" si="135"/>
        <v>0</v>
      </c>
      <c r="ES18" s="915">
        <f t="shared" si="136"/>
        <v>0</v>
      </c>
      <c r="ET18" s="915">
        <f t="shared" si="137"/>
        <v>0</v>
      </c>
      <c r="EU18" s="915">
        <f t="shared" si="138"/>
        <v>0</v>
      </c>
      <c r="EV18" s="915">
        <f t="shared" si="139"/>
        <v>0</v>
      </c>
      <c r="EW18" s="915">
        <f t="shared" si="140"/>
        <v>0</v>
      </c>
      <c r="EX18" s="915">
        <f t="shared" si="141"/>
        <v>0</v>
      </c>
      <c r="EY18" s="915">
        <f t="shared" si="142"/>
        <v>0</v>
      </c>
      <c r="EZ18" s="915">
        <f t="shared" si="143"/>
        <v>0</v>
      </c>
      <c r="FA18" s="915">
        <f t="shared" si="144"/>
        <v>0</v>
      </c>
      <c r="FB18" s="915">
        <f t="shared" si="145"/>
        <v>0</v>
      </c>
      <c r="FC18" s="915">
        <f t="shared" si="146"/>
        <v>0</v>
      </c>
      <c r="FD18" s="915">
        <f t="shared" si="147"/>
        <v>0</v>
      </c>
      <c r="FE18" s="915">
        <f t="shared" si="148"/>
        <v>0</v>
      </c>
      <c r="FF18" s="915">
        <f t="shared" si="149"/>
        <v>0</v>
      </c>
      <c r="FG18" s="915">
        <f t="shared" si="150"/>
        <v>0</v>
      </c>
      <c r="FH18" s="915">
        <f t="shared" si="151"/>
        <v>0</v>
      </c>
      <c r="FI18" s="915">
        <f t="shared" si="152"/>
        <v>0</v>
      </c>
      <c r="FJ18" s="915">
        <f t="shared" si="153"/>
        <v>0</v>
      </c>
      <c r="FK18" s="915">
        <f t="shared" si="154"/>
        <v>0</v>
      </c>
      <c r="FL18" s="915">
        <f t="shared" si="155"/>
        <v>0</v>
      </c>
      <c r="FM18" s="915">
        <f t="shared" si="156"/>
        <v>0</v>
      </c>
      <c r="FN18" s="915">
        <f t="shared" si="157"/>
        <v>0</v>
      </c>
      <c r="FO18" s="915">
        <f t="shared" si="158"/>
        <v>0</v>
      </c>
      <c r="FP18" s="915">
        <f t="shared" si="159"/>
        <v>0</v>
      </c>
      <c r="FQ18" s="915">
        <f t="shared" si="160"/>
        <v>0</v>
      </c>
      <c r="FR18" s="915">
        <f t="shared" si="161"/>
        <v>0</v>
      </c>
      <c r="FS18" s="915">
        <f t="shared" si="162"/>
        <v>0</v>
      </c>
      <c r="FT18" s="915">
        <f t="shared" si="163"/>
        <v>0</v>
      </c>
      <c r="FU18" s="915">
        <f t="shared" si="164"/>
        <v>0</v>
      </c>
      <c r="FV18" s="915">
        <f t="shared" si="165"/>
        <v>0</v>
      </c>
      <c r="FW18" s="915">
        <f t="shared" si="166"/>
        <v>0</v>
      </c>
      <c r="FX18" s="915">
        <f t="shared" si="167"/>
        <v>0</v>
      </c>
      <c r="FY18" s="915">
        <f t="shared" si="168"/>
        <v>0</v>
      </c>
      <c r="FZ18" s="915">
        <f t="shared" si="169"/>
        <v>0</v>
      </c>
    </row>
    <row r="19" spans="1:182" ht="14.1" customHeight="1" x14ac:dyDescent="0.2">
      <c r="A19" s="497">
        <v>12</v>
      </c>
      <c r="B19" s="1423"/>
      <c r="C19" s="1424"/>
      <c r="D19" s="138">
        <v>2</v>
      </c>
      <c r="E19" s="138" t="s">
        <v>52</v>
      </c>
      <c r="F19" s="139" t="s">
        <v>2544</v>
      </c>
      <c r="G19" s="139" t="s">
        <v>2542</v>
      </c>
      <c r="H19" s="100">
        <v>7</v>
      </c>
      <c r="I19" s="119">
        <f t="shared" si="11"/>
        <v>0.42</v>
      </c>
      <c r="J19" s="90">
        <f t="shared" si="12"/>
        <v>7.42</v>
      </c>
      <c r="K19" s="225"/>
      <c r="N19" s="942">
        <f>AH6</f>
        <v>7.42</v>
      </c>
      <c r="O19" s="915" t="str">
        <f>"Waste Haul for "&amp;TabName2</f>
        <v>Waste Haul for Phase 2</v>
      </c>
      <c r="P19" s="949" t="s">
        <v>285</v>
      </c>
      <c r="R19" s="879">
        <f>INDEX(ValidateTable,12)</f>
        <v>12</v>
      </c>
      <c r="W19" s="915">
        <f t="shared" si="8"/>
        <v>0</v>
      </c>
      <c r="X19" s="915">
        <f t="shared" si="9"/>
        <v>0</v>
      </c>
      <c r="Y19" s="915">
        <f t="shared" si="10"/>
        <v>0</v>
      </c>
      <c r="Z19" s="915">
        <f t="shared" si="13"/>
        <v>0</v>
      </c>
      <c r="AA19" s="915">
        <f t="shared" si="14"/>
        <v>0</v>
      </c>
      <c r="AB19" s="915">
        <f t="shared" si="15"/>
        <v>0</v>
      </c>
      <c r="AC19" s="915">
        <f t="shared" si="16"/>
        <v>0</v>
      </c>
      <c r="AD19" s="915">
        <f t="shared" si="17"/>
        <v>0</v>
      </c>
      <c r="AE19" s="915">
        <f t="shared" si="18"/>
        <v>0</v>
      </c>
      <c r="AF19" s="915">
        <f t="shared" si="19"/>
        <v>0</v>
      </c>
      <c r="AG19" s="915">
        <f t="shared" si="20"/>
        <v>0</v>
      </c>
      <c r="AH19" s="915">
        <f t="shared" si="21"/>
        <v>7.42</v>
      </c>
      <c r="AI19" s="915">
        <f t="shared" si="22"/>
        <v>0</v>
      </c>
      <c r="AJ19" s="915">
        <f t="shared" si="23"/>
        <v>0</v>
      </c>
      <c r="AK19" s="915">
        <f t="shared" si="24"/>
        <v>0</v>
      </c>
      <c r="AL19" s="915">
        <f t="shared" si="25"/>
        <v>0</v>
      </c>
      <c r="AM19" s="915">
        <f t="shared" si="26"/>
        <v>0</v>
      </c>
      <c r="AN19" s="915">
        <f t="shared" si="27"/>
        <v>0</v>
      </c>
      <c r="AO19" s="915">
        <f t="shared" si="28"/>
        <v>0</v>
      </c>
      <c r="AP19" s="915">
        <f t="shared" si="29"/>
        <v>0</v>
      </c>
      <c r="AQ19" s="915">
        <f t="shared" si="30"/>
        <v>0</v>
      </c>
      <c r="AR19" s="915">
        <f t="shared" si="31"/>
        <v>0</v>
      </c>
      <c r="AS19" s="915">
        <f t="shared" si="32"/>
        <v>0</v>
      </c>
      <c r="AT19" s="915">
        <f t="shared" si="33"/>
        <v>0</v>
      </c>
      <c r="AU19" s="915">
        <f t="shared" si="34"/>
        <v>0</v>
      </c>
      <c r="AV19" s="915">
        <f t="shared" si="35"/>
        <v>0</v>
      </c>
      <c r="AW19" s="915">
        <f t="shared" si="36"/>
        <v>0</v>
      </c>
      <c r="AX19" s="915">
        <f t="shared" si="37"/>
        <v>0</v>
      </c>
      <c r="AY19" s="915">
        <f t="shared" si="38"/>
        <v>0</v>
      </c>
      <c r="AZ19" s="915">
        <f t="shared" si="39"/>
        <v>0</v>
      </c>
      <c r="BA19" s="915">
        <f t="shared" si="40"/>
        <v>0</v>
      </c>
      <c r="BB19" s="915">
        <f t="shared" si="41"/>
        <v>0</v>
      </c>
      <c r="BC19" s="915">
        <f t="shared" si="42"/>
        <v>0</v>
      </c>
      <c r="BD19" s="915">
        <f t="shared" si="43"/>
        <v>0</v>
      </c>
      <c r="BE19" s="915">
        <f t="shared" si="44"/>
        <v>0</v>
      </c>
      <c r="BF19" s="915">
        <f t="shared" si="45"/>
        <v>0</v>
      </c>
      <c r="BG19" s="915">
        <f t="shared" si="46"/>
        <v>0</v>
      </c>
      <c r="BH19" s="915">
        <f t="shared" si="47"/>
        <v>0</v>
      </c>
      <c r="BI19" s="915">
        <f t="shared" si="48"/>
        <v>0</v>
      </c>
      <c r="BJ19" s="915">
        <f t="shared" si="49"/>
        <v>0</v>
      </c>
      <c r="BK19" s="915">
        <f t="shared" si="50"/>
        <v>0</v>
      </c>
      <c r="BL19" s="915">
        <f t="shared" si="51"/>
        <v>0</v>
      </c>
      <c r="BM19" s="915">
        <f t="shared" si="52"/>
        <v>0</v>
      </c>
      <c r="BN19" s="915">
        <f t="shared" si="53"/>
        <v>0</v>
      </c>
      <c r="BO19" s="915">
        <f t="shared" si="54"/>
        <v>0</v>
      </c>
      <c r="BP19" s="915">
        <f t="shared" si="55"/>
        <v>0</v>
      </c>
      <c r="BQ19" s="915">
        <f t="shared" si="56"/>
        <v>0</v>
      </c>
      <c r="BR19" s="915">
        <f t="shared" si="57"/>
        <v>0</v>
      </c>
      <c r="BS19" s="915">
        <f t="shared" si="58"/>
        <v>0</v>
      </c>
      <c r="BT19" s="915">
        <f t="shared" si="59"/>
        <v>0</v>
      </c>
      <c r="BU19" s="915">
        <f t="shared" si="60"/>
        <v>0</v>
      </c>
      <c r="BV19" s="915">
        <f t="shared" si="61"/>
        <v>0</v>
      </c>
      <c r="BW19" s="915">
        <f t="shared" si="62"/>
        <v>0</v>
      </c>
      <c r="BX19" s="915">
        <f t="shared" si="63"/>
        <v>0</v>
      </c>
      <c r="BY19" s="915">
        <f t="shared" si="64"/>
        <v>0</v>
      </c>
      <c r="BZ19" s="915">
        <f t="shared" si="65"/>
        <v>0</v>
      </c>
      <c r="CA19" s="915">
        <f t="shared" si="66"/>
        <v>0</v>
      </c>
      <c r="CB19" s="915">
        <f t="shared" si="67"/>
        <v>0</v>
      </c>
      <c r="CC19" s="915">
        <f t="shared" si="68"/>
        <v>0</v>
      </c>
      <c r="CD19" s="915">
        <f t="shared" si="69"/>
        <v>0</v>
      </c>
      <c r="CE19" s="915">
        <f t="shared" si="70"/>
        <v>0</v>
      </c>
      <c r="CF19" s="915">
        <f t="shared" si="71"/>
        <v>0</v>
      </c>
      <c r="CG19" s="915">
        <f t="shared" si="72"/>
        <v>0</v>
      </c>
      <c r="CH19" s="915">
        <f t="shared" si="73"/>
        <v>0</v>
      </c>
      <c r="CI19" s="915">
        <f t="shared" si="74"/>
        <v>0</v>
      </c>
      <c r="CJ19" s="915">
        <f t="shared" si="75"/>
        <v>0</v>
      </c>
      <c r="CK19" s="915">
        <f t="shared" si="76"/>
        <v>0</v>
      </c>
      <c r="CL19" s="915">
        <f t="shared" si="77"/>
        <v>0</v>
      </c>
      <c r="CM19" s="915">
        <f t="shared" si="78"/>
        <v>0</v>
      </c>
      <c r="CN19" s="915">
        <f t="shared" si="79"/>
        <v>0</v>
      </c>
      <c r="CO19" s="915">
        <f t="shared" si="80"/>
        <v>0</v>
      </c>
      <c r="CP19" s="915">
        <f t="shared" si="81"/>
        <v>0</v>
      </c>
      <c r="CQ19" s="915">
        <f t="shared" si="82"/>
        <v>0</v>
      </c>
      <c r="CR19" s="915">
        <f t="shared" si="83"/>
        <v>0</v>
      </c>
      <c r="CS19" s="915">
        <f t="shared" si="84"/>
        <v>0</v>
      </c>
      <c r="CT19" s="915">
        <f t="shared" si="85"/>
        <v>0</v>
      </c>
      <c r="CU19" s="915">
        <f t="shared" si="86"/>
        <v>0</v>
      </c>
      <c r="CV19" s="915">
        <f t="shared" si="87"/>
        <v>0</v>
      </c>
      <c r="CW19" s="915">
        <f t="shared" si="88"/>
        <v>0</v>
      </c>
      <c r="CX19" s="915">
        <f t="shared" si="89"/>
        <v>0</v>
      </c>
      <c r="CY19" s="915">
        <f t="shared" si="90"/>
        <v>0</v>
      </c>
      <c r="CZ19" s="915">
        <f t="shared" si="91"/>
        <v>0</v>
      </c>
      <c r="DA19" s="915">
        <f t="shared" si="92"/>
        <v>0</v>
      </c>
      <c r="DB19" s="915">
        <f t="shared" si="93"/>
        <v>0</v>
      </c>
      <c r="DC19" s="915">
        <f t="shared" si="94"/>
        <v>0</v>
      </c>
      <c r="DD19" s="915">
        <f t="shared" si="95"/>
        <v>0</v>
      </c>
      <c r="DE19" s="915">
        <f t="shared" si="96"/>
        <v>0</v>
      </c>
      <c r="DF19" s="915">
        <f t="shared" si="97"/>
        <v>0</v>
      </c>
      <c r="DG19" s="915">
        <f t="shared" si="98"/>
        <v>0</v>
      </c>
      <c r="DH19" s="915">
        <f t="shared" si="99"/>
        <v>0</v>
      </c>
      <c r="DI19" s="915">
        <f t="shared" si="100"/>
        <v>0</v>
      </c>
      <c r="DJ19" s="915">
        <f t="shared" si="101"/>
        <v>0</v>
      </c>
      <c r="DK19" s="915">
        <f t="shared" si="102"/>
        <v>0</v>
      </c>
      <c r="DL19" s="915">
        <f t="shared" si="103"/>
        <v>0</v>
      </c>
      <c r="DM19" s="915">
        <f t="shared" si="104"/>
        <v>0</v>
      </c>
      <c r="DN19" s="915">
        <f t="shared" si="105"/>
        <v>0</v>
      </c>
      <c r="DO19" s="915">
        <f t="shared" si="106"/>
        <v>0</v>
      </c>
      <c r="DP19" s="915">
        <f t="shared" si="107"/>
        <v>0</v>
      </c>
      <c r="DQ19" s="915">
        <f t="shared" si="108"/>
        <v>0</v>
      </c>
      <c r="DR19" s="915">
        <f t="shared" si="109"/>
        <v>0</v>
      </c>
      <c r="DS19" s="915">
        <f t="shared" si="110"/>
        <v>0</v>
      </c>
      <c r="DT19" s="915">
        <f t="shared" si="111"/>
        <v>0</v>
      </c>
      <c r="DU19" s="915">
        <f t="shared" si="112"/>
        <v>0</v>
      </c>
      <c r="DV19" s="915">
        <f t="shared" si="113"/>
        <v>0</v>
      </c>
      <c r="DW19" s="915">
        <f t="shared" si="114"/>
        <v>0</v>
      </c>
      <c r="DX19" s="915">
        <f t="shared" si="115"/>
        <v>0</v>
      </c>
      <c r="DY19" s="915">
        <f t="shared" si="116"/>
        <v>0</v>
      </c>
      <c r="DZ19" s="915">
        <f t="shared" si="117"/>
        <v>0</v>
      </c>
      <c r="EA19" s="915">
        <f t="shared" si="118"/>
        <v>0</v>
      </c>
      <c r="EB19" s="915">
        <f t="shared" si="119"/>
        <v>0</v>
      </c>
      <c r="EC19" s="915">
        <f t="shared" si="120"/>
        <v>0</v>
      </c>
      <c r="ED19" s="915">
        <f t="shared" si="121"/>
        <v>0</v>
      </c>
      <c r="EE19" s="915">
        <f t="shared" si="122"/>
        <v>0</v>
      </c>
      <c r="EF19" s="915">
        <f t="shared" si="123"/>
        <v>0</v>
      </c>
      <c r="EG19" s="915">
        <f t="shared" si="124"/>
        <v>0</v>
      </c>
      <c r="EH19" s="915">
        <f t="shared" si="125"/>
        <v>0</v>
      </c>
      <c r="EI19" s="915">
        <f t="shared" si="126"/>
        <v>0</v>
      </c>
      <c r="EJ19" s="915">
        <f t="shared" si="127"/>
        <v>0</v>
      </c>
      <c r="EK19" s="915">
        <f t="shared" si="128"/>
        <v>0</v>
      </c>
      <c r="EL19" s="915">
        <f t="shared" si="129"/>
        <v>0</v>
      </c>
      <c r="EM19" s="915">
        <f t="shared" si="130"/>
        <v>0</v>
      </c>
      <c r="EN19" s="915">
        <f t="shared" si="131"/>
        <v>0</v>
      </c>
      <c r="EO19" s="915">
        <f t="shared" si="132"/>
        <v>0</v>
      </c>
      <c r="EP19" s="915">
        <f t="shared" si="133"/>
        <v>0</v>
      </c>
      <c r="EQ19" s="915">
        <f t="shared" si="134"/>
        <v>0</v>
      </c>
      <c r="ER19" s="915">
        <f t="shared" si="135"/>
        <v>0</v>
      </c>
      <c r="ES19" s="915">
        <f t="shared" si="136"/>
        <v>0</v>
      </c>
      <c r="ET19" s="915">
        <f t="shared" si="137"/>
        <v>0</v>
      </c>
      <c r="EU19" s="915">
        <f t="shared" si="138"/>
        <v>0</v>
      </c>
      <c r="EV19" s="915">
        <f t="shared" si="139"/>
        <v>0</v>
      </c>
      <c r="EW19" s="915">
        <f t="shared" si="140"/>
        <v>0</v>
      </c>
      <c r="EX19" s="915">
        <f t="shared" si="141"/>
        <v>0</v>
      </c>
      <c r="EY19" s="915">
        <f t="shared" si="142"/>
        <v>0</v>
      </c>
      <c r="EZ19" s="915">
        <f t="shared" si="143"/>
        <v>0</v>
      </c>
      <c r="FA19" s="915">
        <f t="shared" si="144"/>
        <v>0</v>
      </c>
      <c r="FB19" s="915">
        <f t="shared" si="145"/>
        <v>0</v>
      </c>
      <c r="FC19" s="915">
        <f t="shared" si="146"/>
        <v>0</v>
      </c>
      <c r="FD19" s="915">
        <f t="shared" si="147"/>
        <v>0</v>
      </c>
      <c r="FE19" s="915">
        <f t="shared" si="148"/>
        <v>0</v>
      </c>
      <c r="FF19" s="915">
        <f t="shared" si="149"/>
        <v>0</v>
      </c>
      <c r="FG19" s="915">
        <f t="shared" si="150"/>
        <v>0</v>
      </c>
      <c r="FH19" s="915">
        <f t="shared" si="151"/>
        <v>0</v>
      </c>
      <c r="FI19" s="915">
        <f t="shared" si="152"/>
        <v>0</v>
      </c>
      <c r="FJ19" s="915">
        <f t="shared" si="153"/>
        <v>0</v>
      </c>
      <c r="FK19" s="915">
        <f t="shared" si="154"/>
        <v>0</v>
      </c>
      <c r="FL19" s="915">
        <f t="shared" si="155"/>
        <v>0</v>
      </c>
      <c r="FM19" s="915">
        <f t="shared" si="156"/>
        <v>0</v>
      </c>
      <c r="FN19" s="915">
        <f t="shared" si="157"/>
        <v>0</v>
      </c>
      <c r="FO19" s="915">
        <f t="shared" si="158"/>
        <v>0</v>
      </c>
      <c r="FP19" s="915">
        <f t="shared" si="159"/>
        <v>0</v>
      </c>
      <c r="FQ19" s="915">
        <f t="shared" si="160"/>
        <v>0</v>
      </c>
      <c r="FR19" s="915">
        <f t="shared" si="161"/>
        <v>0</v>
      </c>
      <c r="FS19" s="915">
        <f t="shared" si="162"/>
        <v>0</v>
      </c>
      <c r="FT19" s="915">
        <f t="shared" si="163"/>
        <v>0</v>
      </c>
      <c r="FU19" s="915">
        <f t="shared" si="164"/>
        <v>0</v>
      </c>
      <c r="FV19" s="915">
        <f t="shared" si="165"/>
        <v>0</v>
      </c>
      <c r="FW19" s="915">
        <f t="shared" si="166"/>
        <v>0</v>
      </c>
      <c r="FX19" s="915">
        <f t="shared" si="167"/>
        <v>0</v>
      </c>
      <c r="FY19" s="915">
        <f t="shared" si="168"/>
        <v>0</v>
      </c>
      <c r="FZ19" s="915">
        <f t="shared" si="169"/>
        <v>0</v>
      </c>
    </row>
    <row r="20" spans="1:182" ht="14.1" customHeight="1" x14ac:dyDescent="0.2">
      <c r="A20" s="496">
        <v>13</v>
      </c>
      <c r="B20" s="1419"/>
      <c r="C20" s="1433"/>
      <c r="D20" s="264">
        <v>2</v>
      </c>
      <c r="E20" s="264" t="s">
        <v>30</v>
      </c>
      <c r="F20" s="270" t="s">
        <v>2544</v>
      </c>
      <c r="G20" s="270" t="s">
        <v>2542</v>
      </c>
      <c r="H20" s="272">
        <v>7</v>
      </c>
      <c r="I20" s="268">
        <f>IF(ISTEXT(K20),0,StateTaxSub*G20*H20)</f>
        <v>0.42</v>
      </c>
      <c r="J20" s="269">
        <f>(G20*H20)+I20</f>
        <v>7.42</v>
      </c>
      <c r="K20" s="225"/>
      <c r="N20" s="942">
        <f>AI6</f>
        <v>7.42</v>
      </c>
      <c r="O20" s="879" t="str">
        <f>"Surveying/Inspection for " &amp; TabName2</f>
        <v>Surveying/Inspection for Phase 2</v>
      </c>
      <c r="P20" s="950" t="s">
        <v>251</v>
      </c>
      <c r="R20" s="879">
        <f>INDEX(ValidateTable,13)</f>
        <v>13</v>
      </c>
      <c r="W20" s="915">
        <f t="shared" si="8"/>
        <v>0</v>
      </c>
      <c r="X20" s="915">
        <f t="shared" si="9"/>
        <v>0</v>
      </c>
      <c r="Y20" s="915">
        <f t="shared" si="10"/>
        <v>0</v>
      </c>
      <c r="Z20" s="915">
        <f t="shared" si="13"/>
        <v>0</v>
      </c>
      <c r="AA20" s="915">
        <f t="shared" si="14"/>
        <v>0</v>
      </c>
      <c r="AB20" s="915">
        <f t="shared" si="15"/>
        <v>0</v>
      </c>
      <c r="AC20" s="915">
        <f t="shared" si="16"/>
        <v>0</v>
      </c>
      <c r="AD20" s="915">
        <f t="shared" si="17"/>
        <v>0</v>
      </c>
      <c r="AE20" s="915">
        <f t="shared" si="18"/>
        <v>0</v>
      </c>
      <c r="AF20" s="915">
        <f t="shared" si="19"/>
        <v>0</v>
      </c>
      <c r="AG20" s="915">
        <f t="shared" si="20"/>
        <v>0</v>
      </c>
      <c r="AH20" s="915">
        <f t="shared" si="21"/>
        <v>0</v>
      </c>
      <c r="AI20" s="915">
        <f t="shared" si="22"/>
        <v>7.42</v>
      </c>
      <c r="AJ20" s="915">
        <f t="shared" si="23"/>
        <v>0</v>
      </c>
      <c r="AK20" s="915">
        <f t="shared" si="24"/>
        <v>0</v>
      </c>
      <c r="AL20" s="915">
        <f t="shared" si="25"/>
        <v>0</v>
      </c>
      <c r="AM20" s="915">
        <f t="shared" si="26"/>
        <v>0</v>
      </c>
      <c r="AN20" s="915">
        <f t="shared" si="27"/>
        <v>0</v>
      </c>
      <c r="AO20" s="915">
        <f t="shared" si="28"/>
        <v>0</v>
      </c>
      <c r="AP20" s="915">
        <f t="shared" si="29"/>
        <v>0</v>
      </c>
      <c r="AQ20" s="915">
        <f t="shared" si="30"/>
        <v>0</v>
      </c>
      <c r="AR20" s="915">
        <f t="shared" si="31"/>
        <v>0</v>
      </c>
      <c r="AS20" s="915">
        <f t="shared" si="32"/>
        <v>0</v>
      </c>
      <c r="AT20" s="915">
        <f t="shared" si="33"/>
        <v>0</v>
      </c>
      <c r="AU20" s="915">
        <f t="shared" si="34"/>
        <v>0</v>
      </c>
      <c r="AV20" s="915">
        <f t="shared" si="35"/>
        <v>0</v>
      </c>
      <c r="AW20" s="915">
        <f t="shared" si="36"/>
        <v>0</v>
      </c>
      <c r="AX20" s="915">
        <f t="shared" si="37"/>
        <v>0</v>
      </c>
      <c r="AY20" s="915">
        <f t="shared" si="38"/>
        <v>0</v>
      </c>
      <c r="AZ20" s="915">
        <f t="shared" si="39"/>
        <v>0</v>
      </c>
      <c r="BA20" s="915">
        <f t="shared" si="40"/>
        <v>0</v>
      </c>
      <c r="BB20" s="915">
        <f t="shared" si="41"/>
        <v>0</v>
      </c>
      <c r="BC20" s="915">
        <f t="shared" si="42"/>
        <v>0</v>
      </c>
      <c r="BD20" s="915">
        <f t="shared" si="43"/>
        <v>0</v>
      </c>
      <c r="BE20" s="915">
        <f t="shared" si="44"/>
        <v>0</v>
      </c>
      <c r="BF20" s="915">
        <f t="shared" si="45"/>
        <v>0</v>
      </c>
      <c r="BG20" s="915">
        <f t="shared" si="46"/>
        <v>0</v>
      </c>
      <c r="BH20" s="915">
        <f t="shared" si="47"/>
        <v>0</v>
      </c>
      <c r="BI20" s="915">
        <f t="shared" si="48"/>
        <v>0</v>
      </c>
      <c r="BJ20" s="915">
        <f t="shared" si="49"/>
        <v>0</v>
      </c>
      <c r="BK20" s="915">
        <f t="shared" si="50"/>
        <v>0</v>
      </c>
      <c r="BL20" s="915">
        <f t="shared" si="51"/>
        <v>0</v>
      </c>
      <c r="BM20" s="915">
        <f t="shared" si="52"/>
        <v>0</v>
      </c>
      <c r="BN20" s="915">
        <f t="shared" si="53"/>
        <v>0</v>
      </c>
      <c r="BO20" s="915">
        <f t="shared" si="54"/>
        <v>0</v>
      </c>
      <c r="BP20" s="915">
        <f t="shared" si="55"/>
        <v>0</v>
      </c>
      <c r="BQ20" s="915">
        <f t="shared" si="56"/>
        <v>0</v>
      </c>
      <c r="BR20" s="915">
        <f t="shared" si="57"/>
        <v>0</v>
      </c>
      <c r="BS20" s="915">
        <f t="shared" si="58"/>
        <v>0</v>
      </c>
      <c r="BT20" s="915">
        <f t="shared" si="59"/>
        <v>0</v>
      </c>
      <c r="BU20" s="915">
        <f t="shared" si="60"/>
        <v>0</v>
      </c>
      <c r="BV20" s="915">
        <f t="shared" si="61"/>
        <v>0</v>
      </c>
      <c r="BW20" s="915">
        <f t="shared" si="62"/>
        <v>0</v>
      </c>
      <c r="BX20" s="915">
        <f t="shared" si="63"/>
        <v>0</v>
      </c>
      <c r="BY20" s="915">
        <f t="shared" si="64"/>
        <v>0</v>
      </c>
      <c r="BZ20" s="915">
        <f t="shared" si="65"/>
        <v>0</v>
      </c>
      <c r="CA20" s="915">
        <f t="shared" si="66"/>
        <v>0</v>
      </c>
      <c r="CB20" s="915">
        <f t="shared" si="67"/>
        <v>0</v>
      </c>
      <c r="CC20" s="915">
        <f t="shared" si="68"/>
        <v>0</v>
      </c>
      <c r="CD20" s="915">
        <f t="shared" si="69"/>
        <v>0</v>
      </c>
      <c r="CE20" s="915">
        <f t="shared" si="70"/>
        <v>0</v>
      </c>
      <c r="CF20" s="915">
        <f t="shared" si="71"/>
        <v>0</v>
      </c>
      <c r="CG20" s="915">
        <f t="shared" si="72"/>
        <v>0</v>
      </c>
      <c r="CH20" s="915">
        <f t="shared" si="73"/>
        <v>0</v>
      </c>
      <c r="CI20" s="915">
        <f t="shared" si="74"/>
        <v>0</v>
      </c>
      <c r="CJ20" s="915">
        <f t="shared" si="75"/>
        <v>0</v>
      </c>
      <c r="CK20" s="915">
        <f t="shared" si="76"/>
        <v>0</v>
      </c>
      <c r="CL20" s="915">
        <f t="shared" si="77"/>
        <v>0</v>
      </c>
      <c r="CM20" s="915">
        <f t="shared" si="78"/>
        <v>0</v>
      </c>
      <c r="CN20" s="915">
        <f t="shared" si="79"/>
        <v>0</v>
      </c>
      <c r="CO20" s="915">
        <f t="shared" si="80"/>
        <v>0</v>
      </c>
      <c r="CP20" s="915">
        <f t="shared" si="81"/>
        <v>0</v>
      </c>
      <c r="CQ20" s="915">
        <f t="shared" si="82"/>
        <v>0</v>
      </c>
      <c r="CR20" s="915">
        <f t="shared" si="83"/>
        <v>0</v>
      </c>
      <c r="CS20" s="915">
        <f t="shared" si="84"/>
        <v>0</v>
      </c>
      <c r="CT20" s="915">
        <f t="shared" si="85"/>
        <v>0</v>
      </c>
      <c r="CU20" s="915">
        <f t="shared" si="86"/>
        <v>0</v>
      </c>
      <c r="CV20" s="915">
        <f t="shared" si="87"/>
        <v>0</v>
      </c>
      <c r="CW20" s="915">
        <f t="shared" si="88"/>
        <v>0</v>
      </c>
      <c r="CX20" s="915">
        <f t="shared" si="89"/>
        <v>0</v>
      </c>
      <c r="CY20" s="915">
        <f t="shared" si="90"/>
        <v>0</v>
      </c>
      <c r="CZ20" s="915">
        <f t="shared" si="91"/>
        <v>0</v>
      </c>
      <c r="DA20" s="915">
        <f t="shared" si="92"/>
        <v>0</v>
      </c>
      <c r="DB20" s="915">
        <f t="shared" si="93"/>
        <v>0</v>
      </c>
      <c r="DC20" s="915">
        <f t="shared" si="94"/>
        <v>0</v>
      </c>
      <c r="DD20" s="915">
        <f t="shared" si="95"/>
        <v>0</v>
      </c>
      <c r="DE20" s="915">
        <f t="shared" si="96"/>
        <v>0</v>
      </c>
      <c r="DF20" s="915">
        <f t="shared" si="97"/>
        <v>0</v>
      </c>
      <c r="DG20" s="915">
        <f t="shared" si="98"/>
        <v>0</v>
      </c>
      <c r="DH20" s="915">
        <f t="shared" si="99"/>
        <v>0</v>
      </c>
      <c r="DI20" s="915">
        <f t="shared" si="100"/>
        <v>0</v>
      </c>
      <c r="DJ20" s="915">
        <f t="shared" si="101"/>
        <v>0</v>
      </c>
      <c r="DK20" s="915">
        <f t="shared" si="102"/>
        <v>0</v>
      </c>
      <c r="DL20" s="915">
        <f t="shared" si="103"/>
        <v>0</v>
      </c>
      <c r="DM20" s="915">
        <f t="shared" si="104"/>
        <v>0</v>
      </c>
      <c r="DN20" s="915">
        <f t="shared" si="105"/>
        <v>0</v>
      </c>
      <c r="DO20" s="915">
        <f t="shared" si="106"/>
        <v>0</v>
      </c>
      <c r="DP20" s="915">
        <f t="shared" si="107"/>
        <v>0</v>
      </c>
      <c r="DQ20" s="915">
        <f t="shared" si="108"/>
        <v>0</v>
      </c>
      <c r="DR20" s="915">
        <f t="shared" si="109"/>
        <v>0</v>
      </c>
      <c r="DS20" s="915">
        <f t="shared" si="110"/>
        <v>0</v>
      </c>
      <c r="DT20" s="915">
        <f t="shared" si="111"/>
        <v>0</v>
      </c>
      <c r="DU20" s="915">
        <f t="shared" si="112"/>
        <v>0</v>
      </c>
      <c r="DV20" s="915">
        <f t="shared" si="113"/>
        <v>0</v>
      </c>
      <c r="DW20" s="915">
        <f t="shared" si="114"/>
        <v>0</v>
      </c>
      <c r="DX20" s="915">
        <f t="shared" si="115"/>
        <v>0</v>
      </c>
      <c r="DY20" s="915">
        <f t="shared" si="116"/>
        <v>0</v>
      </c>
      <c r="DZ20" s="915">
        <f t="shared" si="117"/>
        <v>0</v>
      </c>
      <c r="EA20" s="915">
        <f t="shared" si="118"/>
        <v>0</v>
      </c>
      <c r="EB20" s="915">
        <f t="shared" si="119"/>
        <v>0</v>
      </c>
      <c r="EC20" s="915">
        <f t="shared" si="120"/>
        <v>0</v>
      </c>
      <c r="ED20" s="915">
        <f t="shared" si="121"/>
        <v>0</v>
      </c>
      <c r="EE20" s="915">
        <f t="shared" si="122"/>
        <v>0</v>
      </c>
      <c r="EF20" s="915">
        <f t="shared" si="123"/>
        <v>0</v>
      </c>
      <c r="EG20" s="915">
        <f t="shared" si="124"/>
        <v>0</v>
      </c>
      <c r="EH20" s="915">
        <f t="shared" si="125"/>
        <v>0</v>
      </c>
      <c r="EI20" s="915">
        <f t="shared" si="126"/>
        <v>0</v>
      </c>
      <c r="EJ20" s="915">
        <f t="shared" si="127"/>
        <v>0</v>
      </c>
      <c r="EK20" s="915">
        <f t="shared" si="128"/>
        <v>0</v>
      </c>
      <c r="EL20" s="915">
        <f t="shared" si="129"/>
        <v>0</v>
      </c>
      <c r="EM20" s="915">
        <f t="shared" si="130"/>
        <v>0</v>
      </c>
      <c r="EN20" s="915">
        <f t="shared" si="131"/>
        <v>0</v>
      </c>
      <c r="EO20" s="915">
        <f t="shared" si="132"/>
        <v>0</v>
      </c>
      <c r="EP20" s="915">
        <f t="shared" si="133"/>
        <v>0</v>
      </c>
      <c r="EQ20" s="915">
        <f t="shared" si="134"/>
        <v>0</v>
      </c>
      <c r="ER20" s="915">
        <f t="shared" si="135"/>
        <v>0</v>
      </c>
      <c r="ES20" s="915">
        <f t="shared" si="136"/>
        <v>0</v>
      </c>
      <c r="ET20" s="915">
        <f t="shared" si="137"/>
        <v>0</v>
      </c>
      <c r="EU20" s="915">
        <f t="shared" si="138"/>
        <v>0</v>
      </c>
      <c r="EV20" s="915">
        <f t="shared" si="139"/>
        <v>0</v>
      </c>
      <c r="EW20" s="915">
        <f t="shared" si="140"/>
        <v>0</v>
      </c>
      <c r="EX20" s="915">
        <f t="shared" si="141"/>
        <v>0</v>
      </c>
      <c r="EY20" s="915">
        <f t="shared" si="142"/>
        <v>0</v>
      </c>
      <c r="EZ20" s="915">
        <f t="shared" si="143"/>
        <v>0</v>
      </c>
      <c r="FA20" s="915">
        <f t="shared" si="144"/>
        <v>0</v>
      </c>
      <c r="FB20" s="915">
        <f t="shared" si="145"/>
        <v>0</v>
      </c>
      <c r="FC20" s="915">
        <f t="shared" si="146"/>
        <v>0</v>
      </c>
      <c r="FD20" s="915">
        <f t="shared" si="147"/>
        <v>0</v>
      </c>
      <c r="FE20" s="915">
        <f t="shared" si="148"/>
        <v>0</v>
      </c>
      <c r="FF20" s="915">
        <f t="shared" si="149"/>
        <v>0</v>
      </c>
      <c r="FG20" s="915">
        <f t="shared" si="150"/>
        <v>0</v>
      </c>
      <c r="FH20" s="915">
        <f t="shared" si="151"/>
        <v>0</v>
      </c>
      <c r="FI20" s="915">
        <f t="shared" si="152"/>
        <v>0</v>
      </c>
      <c r="FJ20" s="915">
        <f t="shared" si="153"/>
        <v>0</v>
      </c>
      <c r="FK20" s="915">
        <f t="shared" si="154"/>
        <v>0</v>
      </c>
      <c r="FL20" s="915">
        <f t="shared" si="155"/>
        <v>0</v>
      </c>
      <c r="FM20" s="915">
        <f t="shared" si="156"/>
        <v>0</v>
      </c>
      <c r="FN20" s="915">
        <f t="shared" si="157"/>
        <v>0</v>
      </c>
      <c r="FO20" s="915">
        <f t="shared" si="158"/>
        <v>0</v>
      </c>
      <c r="FP20" s="915">
        <f t="shared" si="159"/>
        <v>0</v>
      </c>
      <c r="FQ20" s="915">
        <f t="shared" si="160"/>
        <v>0</v>
      </c>
      <c r="FR20" s="915">
        <f t="shared" si="161"/>
        <v>0</v>
      </c>
      <c r="FS20" s="915">
        <f t="shared" si="162"/>
        <v>0</v>
      </c>
      <c r="FT20" s="915">
        <f t="shared" si="163"/>
        <v>0</v>
      </c>
      <c r="FU20" s="915">
        <f t="shared" si="164"/>
        <v>0</v>
      </c>
      <c r="FV20" s="915">
        <f t="shared" si="165"/>
        <v>0</v>
      </c>
      <c r="FW20" s="915">
        <f t="shared" si="166"/>
        <v>0</v>
      </c>
      <c r="FX20" s="915">
        <f t="shared" si="167"/>
        <v>0</v>
      </c>
      <c r="FY20" s="915">
        <f t="shared" si="168"/>
        <v>0</v>
      </c>
      <c r="FZ20" s="915">
        <f t="shared" si="169"/>
        <v>0</v>
      </c>
    </row>
    <row r="21" spans="1:182" ht="14.1" customHeight="1" x14ac:dyDescent="0.2">
      <c r="A21" s="497">
        <v>14</v>
      </c>
      <c r="B21" s="1423"/>
      <c r="C21" s="1424"/>
      <c r="D21" s="138">
        <v>2</v>
      </c>
      <c r="E21" s="138" t="s">
        <v>170</v>
      </c>
      <c r="F21" s="139" t="s">
        <v>2544</v>
      </c>
      <c r="G21" s="139" t="s">
        <v>2542</v>
      </c>
      <c r="H21" s="100">
        <v>7</v>
      </c>
      <c r="I21" s="119">
        <f>IF(ISTEXT(K21),0,StateTaxSub*G21*H21)</f>
        <v>0.42</v>
      </c>
      <c r="J21" s="90">
        <f>(G21*H21)+I21</f>
        <v>7.42</v>
      </c>
      <c r="K21" s="225"/>
      <c r="N21" s="942">
        <f>AJ6</f>
        <v>7.42</v>
      </c>
      <c r="O21" s="879" t="str">
        <f>"Other subcontractor for " &amp; TabName2</f>
        <v>Other subcontractor for Phase 2</v>
      </c>
      <c r="P21" s="949" t="s">
        <v>252</v>
      </c>
      <c r="R21" s="879">
        <f>INDEX(ValidateTable,14)</f>
        <v>14</v>
      </c>
      <c r="W21" s="915">
        <f t="shared" si="8"/>
        <v>0</v>
      </c>
      <c r="X21" s="915">
        <f t="shared" si="9"/>
        <v>0</v>
      </c>
      <c r="Y21" s="915">
        <f t="shared" si="10"/>
        <v>0</v>
      </c>
      <c r="Z21" s="915">
        <f t="shared" si="13"/>
        <v>0</v>
      </c>
      <c r="AA21" s="915">
        <f t="shared" si="14"/>
        <v>0</v>
      </c>
      <c r="AB21" s="915">
        <f t="shared" si="15"/>
        <v>0</v>
      </c>
      <c r="AC21" s="915">
        <f t="shared" si="16"/>
        <v>0</v>
      </c>
      <c r="AD21" s="915">
        <f t="shared" si="17"/>
        <v>0</v>
      </c>
      <c r="AE21" s="915">
        <f t="shared" si="18"/>
        <v>0</v>
      </c>
      <c r="AF21" s="915">
        <f t="shared" si="19"/>
        <v>0</v>
      </c>
      <c r="AG21" s="915">
        <f t="shared" si="20"/>
        <v>0</v>
      </c>
      <c r="AH21" s="915">
        <f t="shared" si="21"/>
        <v>0</v>
      </c>
      <c r="AI21" s="915">
        <f t="shared" si="22"/>
        <v>0</v>
      </c>
      <c r="AJ21" s="915">
        <f t="shared" si="23"/>
        <v>7.42</v>
      </c>
      <c r="AK21" s="915">
        <f t="shared" si="24"/>
        <v>0</v>
      </c>
      <c r="AL21" s="915">
        <f t="shared" si="25"/>
        <v>0</v>
      </c>
      <c r="AM21" s="915">
        <f t="shared" si="26"/>
        <v>0</v>
      </c>
      <c r="AN21" s="915">
        <f t="shared" si="27"/>
        <v>0</v>
      </c>
      <c r="AO21" s="915">
        <f t="shared" si="28"/>
        <v>0</v>
      </c>
      <c r="AP21" s="915">
        <f t="shared" si="29"/>
        <v>0</v>
      </c>
      <c r="AQ21" s="915">
        <f t="shared" si="30"/>
        <v>0</v>
      </c>
      <c r="AR21" s="915">
        <f t="shared" si="31"/>
        <v>0</v>
      </c>
      <c r="AS21" s="915">
        <f t="shared" si="32"/>
        <v>0</v>
      </c>
      <c r="AT21" s="915">
        <f t="shared" si="33"/>
        <v>0</v>
      </c>
      <c r="AU21" s="915">
        <f t="shared" si="34"/>
        <v>0</v>
      </c>
      <c r="AV21" s="915">
        <f t="shared" si="35"/>
        <v>0</v>
      </c>
      <c r="AW21" s="915">
        <f t="shared" si="36"/>
        <v>0</v>
      </c>
      <c r="AX21" s="915">
        <f t="shared" si="37"/>
        <v>0</v>
      </c>
      <c r="AY21" s="915">
        <f t="shared" si="38"/>
        <v>0</v>
      </c>
      <c r="AZ21" s="915">
        <f t="shared" si="39"/>
        <v>0</v>
      </c>
      <c r="BA21" s="915">
        <f t="shared" si="40"/>
        <v>0</v>
      </c>
      <c r="BB21" s="915">
        <f t="shared" si="41"/>
        <v>0</v>
      </c>
      <c r="BC21" s="915">
        <f t="shared" si="42"/>
        <v>0</v>
      </c>
      <c r="BD21" s="915">
        <f t="shared" si="43"/>
        <v>0</v>
      </c>
      <c r="BE21" s="915">
        <f t="shared" si="44"/>
        <v>0</v>
      </c>
      <c r="BF21" s="915">
        <f t="shared" si="45"/>
        <v>0</v>
      </c>
      <c r="BG21" s="915">
        <f t="shared" si="46"/>
        <v>0</v>
      </c>
      <c r="BH21" s="915">
        <f t="shared" si="47"/>
        <v>0</v>
      </c>
      <c r="BI21" s="915">
        <f t="shared" si="48"/>
        <v>0</v>
      </c>
      <c r="BJ21" s="915">
        <f t="shared" si="49"/>
        <v>0</v>
      </c>
      <c r="BK21" s="915">
        <f t="shared" si="50"/>
        <v>0</v>
      </c>
      <c r="BL21" s="915">
        <f t="shared" si="51"/>
        <v>0</v>
      </c>
      <c r="BM21" s="915">
        <f t="shared" si="52"/>
        <v>0</v>
      </c>
      <c r="BN21" s="915">
        <f t="shared" si="53"/>
        <v>0</v>
      </c>
      <c r="BO21" s="915">
        <f t="shared" si="54"/>
        <v>0</v>
      </c>
      <c r="BP21" s="915">
        <f t="shared" si="55"/>
        <v>0</v>
      </c>
      <c r="BQ21" s="915">
        <f t="shared" si="56"/>
        <v>0</v>
      </c>
      <c r="BR21" s="915">
        <f t="shared" si="57"/>
        <v>0</v>
      </c>
      <c r="BS21" s="915">
        <f t="shared" si="58"/>
        <v>0</v>
      </c>
      <c r="BT21" s="915">
        <f t="shared" si="59"/>
        <v>0</v>
      </c>
      <c r="BU21" s="915">
        <f t="shared" si="60"/>
        <v>0</v>
      </c>
      <c r="BV21" s="915">
        <f t="shared" si="61"/>
        <v>0</v>
      </c>
      <c r="BW21" s="915">
        <f t="shared" si="62"/>
        <v>0</v>
      </c>
      <c r="BX21" s="915">
        <f t="shared" si="63"/>
        <v>0</v>
      </c>
      <c r="BY21" s="915">
        <f t="shared" si="64"/>
        <v>0</v>
      </c>
      <c r="BZ21" s="915">
        <f t="shared" si="65"/>
        <v>0</v>
      </c>
      <c r="CA21" s="915">
        <f t="shared" si="66"/>
        <v>0</v>
      </c>
      <c r="CB21" s="915">
        <f t="shared" si="67"/>
        <v>0</v>
      </c>
      <c r="CC21" s="915">
        <f t="shared" si="68"/>
        <v>0</v>
      </c>
      <c r="CD21" s="915">
        <f t="shared" si="69"/>
        <v>0</v>
      </c>
      <c r="CE21" s="915">
        <f t="shared" si="70"/>
        <v>0</v>
      </c>
      <c r="CF21" s="915">
        <f t="shared" si="71"/>
        <v>0</v>
      </c>
      <c r="CG21" s="915">
        <f t="shared" si="72"/>
        <v>0</v>
      </c>
      <c r="CH21" s="915">
        <f t="shared" si="73"/>
        <v>0</v>
      </c>
      <c r="CI21" s="915">
        <f t="shared" si="74"/>
        <v>0</v>
      </c>
      <c r="CJ21" s="915">
        <f t="shared" si="75"/>
        <v>0</v>
      </c>
      <c r="CK21" s="915">
        <f t="shared" si="76"/>
        <v>0</v>
      </c>
      <c r="CL21" s="915">
        <f t="shared" si="77"/>
        <v>0</v>
      </c>
      <c r="CM21" s="915">
        <f t="shared" si="78"/>
        <v>0</v>
      </c>
      <c r="CN21" s="915">
        <f t="shared" si="79"/>
        <v>0</v>
      </c>
      <c r="CO21" s="915">
        <f t="shared" si="80"/>
        <v>0</v>
      </c>
      <c r="CP21" s="915">
        <f t="shared" si="81"/>
        <v>0</v>
      </c>
      <c r="CQ21" s="915">
        <f t="shared" si="82"/>
        <v>0</v>
      </c>
      <c r="CR21" s="915">
        <f t="shared" si="83"/>
        <v>0</v>
      </c>
      <c r="CS21" s="915">
        <f t="shared" si="84"/>
        <v>0</v>
      </c>
      <c r="CT21" s="915">
        <f t="shared" si="85"/>
        <v>0</v>
      </c>
      <c r="CU21" s="915">
        <f t="shared" si="86"/>
        <v>0</v>
      </c>
      <c r="CV21" s="915">
        <f t="shared" si="87"/>
        <v>0</v>
      </c>
      <c r="CW21" s="915">
        <f t="shared" si="88"/>
        <v>0</v>
      </c>
      <c r="CX21" s="915">
        <f t="shared" si="89"/>
        <v>0</v>
      </c>
      <c r="CY21" s="915">
        <f t="shared" si="90"/>
        <v>0</v>
      </c>
      <c r="CZ21" s="915">
        <f t="shared" si="91"/>
        <v>0</v>
      </c>
      <c r="DA21" s="915">
        <f t="shared" si="92"/>
        <v>0</v>
      </c>
      <c r="DB21" s="915">
        <f t="shared" si="93"/>
        <v>0</v>
      </c>
      <c r="DC21" s="915">
        <f t="shared" si="94"/>
        <v>0</v>
      </c>
      <c r="DD21" s="915">
        <f t="shared" si="95"/>
        <v>0</v>
      </c>
      <c r="DE21" s="915">
        <f t="shared" si="96"/>
        <v>0</v>
      </c>
      <c r="DF21" s="915">
        <f t="shared" si="97"/>
        <v>0</v>
      </c>
      <c r="DG21" s="915">
        <f t="shared" si="98"/>
        <v>0</v>
      </c>
      <c r="DH21" s="915">
        <f t="shared" si="99"/>
        <v>0</v>
      </c>
      <c r="DI21" s="915">
        <f t="shared" si="100"/>
        <v>0</v>
      </c>
      <c r="DJ21" s="915">
        <f t="shared" si="101"/>
        <v>0</v>
      </c>
      <c r="DK21" s="915">
        <f t="shared" si="102"/>
        <v>0</v>
      </c>
      <c r="DL21" s="915">
        <f t="shared" si="103"/>
        <v>0</v>
      </c>
      <c r="DM21" s="915">
        <f t="shared" si="104"/>
        <v>0</v>
      </c>
      <c r="DN21" s="915">
        <f t="shared" si="105"/>
        <v>0</v>
      </c>
      <c r="DO21" s="915">
        <f t="shared" si="106"/>
        <v>0</v>
      </c>
      <c r="DP21" s="915">
        <f t="shared" si="107"/>
        <v>0</v>
      </c>
      <c r="DQ21" s="915">
        <f t="shared" si="108"/>
        <v>0</v>
      </c>
      <c r="DR21" s="915">
        <f t="shared" si="109"/>
        <v>0</v>
      </c>
      <c r="DS21" s="915">
        <f t="shared" si="110"/>
        <v>0</v>
      </c>
      <c r="DT21" s="915">
        <f t="shared" si="111"/>
        <v>0</v>
      </c>
      <c r="DU21" s="915">
        <f t="shared" si="112"/>
        <v>0</v>
      </c>
      <c r="DV21" s="915">
        <f t="shared" si="113"/>
        <v>0</v>
      </c>
      <c r="DW21" s="915">
        <f t="shared" si="114"/>
        <v>0</v>
      </c>
      <c r="DX21" s="915">
        <f t="shared" si="115"/>
        <v>0</v>
      </c>
      <c r="DY21" s="915">
        <f t="shared" si="116"/>
        <v>0</v>
      </c>
      <c r="DZ21" s="915">
        <f t="shared" si="117"/>
        <v>0</v>
      </c>
      <c r="EA21" s="915">
        <f t="shared" si="118"/>
        <v>0</v>
      </c>
      <c r="EB21" s="915">
        <f t="shared" si="119"/>
        <v>0</v>
      </c>
      <c r="EC21" s="915">
        <f t="shared" si="120"/>
        <v>0</v>
      </c>
      <c r="ED21" s="915">
        <f t="shared" si="121"/>
        <v>0</v>
      </c>
      <c r="EE21" s="915">
        <f t="shared" si="122"/>
        <v>0</v>
      </c>
      <c r="EF21" s="915">
        <f t="shared" si="123"/>
        <v>0</v>
      </c>
      <c r="EG21" s="915">
        <f t="shared" si="124"/>
        <v>0</v>
      </c>
      <c r="EH21" s="915">
        <f t="shared" si="125"/>
        <v>0</v>
      </c>
      <c r="EI21" s="915">
        <f t="shared" si="126"/>
        <v>0</v>
      </c>
      <c r="EJ21" s="915">
        <f t="shared" si="127"/>
        <v>0</v>
      </c>
      <c r="EK21" s="915">
        <f t="shared" si="128"/>
        <v>0</v>
      </c>
      <c r="EL21" s="915">
        <f t="shared" si="129"/>
        <v>0</v>
      </c>
      <c r="EM21" s="915">
        <f t="shared" si="130"/>
        <v>0</v>
      </c>
      <c r="EN21" s="915">
        <f t="shared" si="131"/>
        <v>0</v>
      </c>
      <c r="EO21" s="915">
        <f t="shared" si="132"/>
        <v>0</v>
      </c>
      <c r="EP21" s="915">
        <f t="shared" si="133"/>
        <v>0</v>
      </c>
      <c r="EQ21" s="915">
        <f t="shared" si="134"/>
        <v>0</v>
      </c>
      <c r="ER21" s="915">
        <f t="shared" si="135"/>
        <v>0</v>
      </c>
      <c r="ES21" s="915">
        <f t="shared" si="136"/>
        <v>0</v>
      </c>
      <c r="ET21" s="915">
        <f t="shared" si="137"/>
        <v>0</v>
      </c>
      <c r="EU21" s="915">
        <f t="shared" si="138"/>
        <v>0</v>
      </c>
      <c r="EV21" s="915">
        <f t="shared" si="139"/>
        <v>0</v>
      </c>
      <c r="EW21" s="915">
        <f t="shared" si="140"/>
        <v>0</v>
      </c>
      <c r="EX21" s="915">
        <f t="shared" si="141"/>
        <v>0</v>
      </c>
      <c r="EY21" s="915">
        <f t="shared" si="142"/>
        <v>0</v>
      </c>
      <c r="EZ21" s="915">
        <f t="shared" si="143"/>
        <v>0</v>
      </c>
      <c r="FA21" s="915">
        <f t="shared" si="144"/>
        <v>0</v>
      </c>
      <c r="FB21" s="915">
        <f t="shared" si="145"/>
        <v>0</v>
      </c>
      <c r="FC21" s="915">
        <f t="shared" si="146"/>
        <v>0</v>
      </c>
      <c r="FD21" s="915">
        <f t="shared" si="147"/>
        <v>0</v>
      </c>
      <c r="FE21" s="915">
        <f t="shared" si="148"/>
        <v>0</v>
      </c>
      <c r="FF21" s="915">
        <f t="shared" si="149"/>
        <v>0</v>
      </c>
      <c r="FG21" s="915">
        <f t="shared" si="150"/>
        <v>0</v>
      </c>
      <c r="FH21" s="915">
        <f t="shared" si="151"/>
        <v>0</v>
      </c>
      <c r="FI21" s="915">
        <f t="shared" si="152"/>
        <v>0</v>
      </c>
      <c r="FJ21" s="915">
        <f t="shared" si="153"/>
        <v>0</v>
      </c>
      <c r="FK21" s="915">
        <f t="shared" si="154"/>
        <v>0</v>
      </c>
      <c r="FL21" s="915">
        <f t="shared" si="155"/>
        <v>0</v>
      </c>
      <c r="FM21" s="915">
        <f t="shared" si="156"/>
        <v>0</v>
      </c>
      <c r="FN21" s="915">
        <f t="shared" si="157"/>
        <v>0</v>
      </c>
      <c r="FO21" s="915">
        <f t="shared" si="158"/>
        <v>0</v>
      </c>
      <c r="FP21" s="915">
        <f t="shared" si="159"/>
        <v>0</v>
      </c>
      <c r="FQ21" s="915">
        <f t="shared" si="160"/>
        <v>0</v>
      </c>
      <c r="FR21" s="915">
        <f t="shared" si="161"/>
        <v>0</v>
      </c>
      <c r="FS21" s="915">
        <f t="shared" si="162"/>
        <v>0</v>
      </c>
      <c r="FT21" s="915">
        <f t="shared" si="163"/>
        <v>0</v>
      </c>
      <c r="FU21" s="915">
        <f t="shared" si="164"/>
        <v>0</v>
      </c>
      <c r="FV21" s="915">
        <f t="shared" si="165"/>
        <v>0</v>
      </c>
      <c r="FW21" s="915">
        <f t="shared" si="166"/>
        <v>0</v>
      </c>
      <c r="FX21" s="915">
        <f t="shared" si="167"/>
        <v>0</v>
      </c>
      <c r="FY21" s="915">
        <f t="shared" si="168"/>
        <v>0</v>
      </c>
      <c r="FZ21" s="915">
        <f t="shared" si="169"/>
        <v>0</v>
      </c>
    </row>
    <row r="22" spans="1:182" ht="14.1" customHeight="1" x14ac:dyDescent="0.2">
      <c r="A22" s="496">
        <v>15</v>
      </c>
      <c r="B22" s="1419"/>
      <c r="C22" s="1420"/>
      <c r="D22" s="264">
        <v>2</v>
      </c>
      <c r="E22" s="264" t="s">
        <v>48</v>
      </c>
      <c r="F22" s="270" t="s">
        <v>2544</v>
      </c>
      <c r="G22" s="270" t="s">
        <v>2542</v>
      </c>
      <c r="H22" s="272">
        <v>7</v>
      </c>
      <c r="I22" s="268">
        <f t="shared" si="11"/>
        <v>0.42</v>
      </c>
      <c r="J22" s="269">
        <f t="shared" si="12"/>
        <v>7.42</v>
      </c>
      <c r="K22" s="225"/>
      <c r="N22" s="942">
        <f>AK6</f>
        <v>7.42</v>
      </c>
      <c r="O22" s="915" t="str">
        <f>"Miscellaneous for "&amp;TabName2</f>
        <v>Miscellaneous for Phase 2</v>
      </c>
      <c r="P22" s="949" t="s">
        <v>253</v>
      </c>
      <c r="R22" s="879">
        <f>INDEX(ValidateTable,15)</f>
        <v>15</v>
      </c>
      <c r="W22" s="915">
        <f t="shared" si="8"/>
        <v>0</v>
      </c>
      <c r="X22" s="915">
        <f t="shared" si="9"/>
        <v>0</v>
      </c>
      <c r="Y22" s="915">
        <f t="shared" si="10"/>
        <v>0</v>
      </c>
      <c r="Z22" s="915">
        <f t="shared" si="13"/>
        <v>0</v>
      </c>
      <c r="AA22" s="915">
        <f t="shared" si="14"/>
        <v>0</v>
      </c>
      <c r="AB22" s="915">
        <f t="shared" si="15"/>
        <v>0</v>
      </c>
      <c r="AC22" s="915">
        <f t="shared" si="16"/>
        <v>0</v>
      </c>
      <c r="AD22" s="915">
        <f t="shared" si="17"/>
        <v>0</v>
      </c>
      <c r="AE22" s="915">
        <f t="shared" si="18"/>
        <v>0</v>
      </c>
      <c r="AF22" s="915">
        <f t="shared" si="19"/>
        <v>0</v>
      </c>
      <c r="AG22" s="915">
        <f t="shared" si="20"/>
        <v>0</v>
      </c>
      <c r="AH22" s="915">
        <f t="shared" si="21"/>
        <v>0</v>
      </c>
      <c r="AI22" s="915">
        <f t="shared" si="22"/>
        <v>0</v>
      </c>
      <c r="AJ22" s="915">
        <f t="shared" si="23"/>
        <v>0</v>
      </c>
      <c r="AK22" s="915">
        <f t="shared" si="24"/>
        <v>7.42</v>
      </c>
      <c r="AL22" s="915">
        <f t="shared" si="25"/>
        <v>0</v>
      </c>
      <c r="AM22" s="915">
        <f t="shared" si="26"/>
        <v>0</v>
      </c>
      <c r="AN22" s="915">
        <f t="shared" si="27"/>
        <v>0</v>
      </c>
      <c r="AO22" s="915">
        <f t="shared" si="28"/>
        <v>0</v>
      </c>
      <c r="AP22" s="915">
        <f t="shared" si="29"/>
        <v>0</v>
      </c>
      <c r="AQ22" s="915">
        <f t="shared" si="30"/>
        <v>0</v>
      </c>
      <c r="AR22" s="915">
        <f t="shared" si="31"/>
        <v>0</v>
      </c>
      <c r="AS22" s="915">
        <f t="shared" si="32"/>
        <v>0</v>
      </c>
      <c r="AT22" s="915">
        <f t="shared" si="33"/>
        <v>0</v>
      </c>
      <c r="AU22" s="915">
        <f t="shared" si="34"/>
        <v>0</v>
      </c>
      <c r="AV22" s="915">
        <f t="shared" si="35"/>
        <v>0</v>
      </c>
      <c r="AW22" s="915">
        <f t="shared" si="36"/>
        <v>0</v>
      </c>
      <c r="AX22" s="915">
        <f t="shared" si="37"/>
        <v>0</v>
      </c>
      <c r="AY22" s="915">
        <f t="shared" si="38"/>
        <v>0</v>
      </c>
      <c r="AZ22" s="915">
        <f t="shared" si="39"/>
        <v>0</v>
      </c>
      <c r="BA22" s="915">
        <f t="shared" si="40"/>
        <v>0</v>
      </c>
      <c r="BB22" s="915">
        <f t="shared" si="41"/>
        <v>0</v>
      </c>
      <c r="BC22" s="915">
        <f t="shared" si="42"/>
        <v>0</v>
      </c>
      <c r="BD22" s="915">
        <f t="shared" si="43"/>
        <v>0</v>
      </c>
      <c r="BE22" s="915">
        <f t="shared" si="44"/>
        <v>0</v>
      </c>
      <c r="BF22" s="915">
        <f t="shared" si="45"/>
        <v>0</v>
      </c>
      <c r="BG22" s="915">
        <f t="shared" si="46"/>
        <v>0</v>
      </c>
      <c r="BH22" s="915">
        <f t="shared" si="47"/>
        <v>0</v>
      </c>
      <c r="BI22" s="915">
        <f t="shared" si="48"/>
        <v>0</v>
      </c>
      <c r="BJ22" s="915">
        <f t="shared" si="49"/>
        <v>0</v>
      </c>
      <c r="BK22" s="915">
        <f t="shared" si="50"/>
        <v>0</v>
      </c>
      <c r="BL22" s="915">
        <f t="shared" si="51"/>
        <v>0</v>
      </c>
      <c r="BM22" s="915">
        <f t="shared" si="52"/>
        <v>0</v>
      </c>
      <c r="BN22" s="915">
        <f t="shared" si="53"/>
        <v>0</v>
      </c>
      <c r="BO22" s="915">
        <f t="shared" si="54"/>
        <v>0</v>
      </c>
      <c r="BP22" s="915">
        <f t="shared" si="55"/>
        <v>0</v>
      </c>
      <c r="BQ22" s="915">
        <f t="shared" si="56"/>
        <v>0</v>
      </c>
      <c r="BR22" s="915">
        <f t="shared" si="57"/>
        <v>0</v>
      </c>
      <c r="BS22" s="915">
        <f t="shared" si="58"/>
        <v>0</v>
      </c>
      <c r="BT22" s="915">
        <f t="shared" si="59"/>
        <v>0</v>
      </c>
      <c r="BU22" s="915">
        <f t="shared" si="60"/>
        <v>0</v>
      </c>
      <c r="BV22" s="915">
        <f t="shared" si="61"/>
        <v>0</v>
      </c>
      <c r="BW22" s="915">
        <f t="shared" si="62"/>
        <v>0</v>
      </c>
      <c r="BX22" s="915">
        <f t="shared" si="63"/>
        <v>0</v>
      </c>
      <c r="BY22" s="915">
        <f t="shared" si="64"/>
        <v>0</v>
      </c>
      <c r="BZ22" s="915">
        <f t="shared" si="65"/>
        <v>0</v>
      </c>
      <c r="CA22" s="915">
        <f t="shared" si="66"/>
        <v>0</v>
      </c>
      <c r="CB22" s="915">
        <f t="shared" si="67"/>
        <v>0</v>
      </c>
      <c r="CC22" s="915">
        <f t="shared" si="68"/>
        <v>0</v>
      </c>
      <c r="CD22" s="915">
        <f t="shared" si="69"/>
        <v>0</v>
      </c>
      <c r="CE22" s="915">
        <f t="shared" si="70"/>
        <v>0</v>
      </c>
      <c r="CF22" s="915">
        <f t="shared" si="71"/>
        <v>0</v>
      </c>
      <c r="CG22" s="915">
        <f t="shared" si="72"/>
        <v>0</v>
      </c>
      <c r="CH22" s="915">
        <f t="shared" si="73"/>
        <v>0</v>
      </c>
      <c r="CI22" s="915">
        <f t="shared" si="74"/>
        <v>0</v>
      </c>
      <c r="CJ22" s="915">
        <f t="shared" si="75"/>
        <v>0</v>
      </c>
      <c r="CK22" s="915">
        <f t="shared" si="76"/>
        <v>0</v>
      </c>
      <c r="CL22" s="915">
        <f t="shared" si="77"/>
        <v>0</v>
      </c>
      <c r="CM22" s="915">
        <f t="shared" si="78"/>
        <v>0</v>
      </c>
      <c r="CN22" s="915">
        <f t="shared" si="79"/>
        <v>0</v>
      </c>
      <c r="CO22" s="915">
        <f t="shared" si="80"/>
        <v>0</v>
      </c>
      <c r="CP22" s="915">
        <f t="shared" si="81"/>
        <v>0</v>
      </c>
      <c r="CQ22" s="915">
        <f t="shared" si="82"/>
        <v>0</v>
      </c>
      <c r="CR22" s="915">
        <f t="shared" si="83"/>
        <v>0</v>
      </c>
      <c r="CS22" s="915">
        <f t="shared" si="84"/>
        <v>0</v>
      </c>
      <c r="CT22" s="915">
        <f t="shared" si="85"/>
        <v>0</v>
      </c>
      <c r="CU22" s="915">
        <f t="shared" si="86"/>
        <v>0</v>
      </c>
      <c r="CV22" s="915">
        <f t="shared" si="87"/>
        <v>0</v>
      </c>
      <c r="CW22" s="915">
        <f t="shared" si="88"/>
        <v>0</v>
      </c>
      <c r="CX22" s="915">
        <f t="shared" si="89"/>
        <v>0</v>
      </c>
      <c r="CY22" s="915">
        <f t="shared" si="90"/>
        <v>0</v>
      </c>
      <c r="CZ22" s="915">
        <f t="shared" si="91"/>
        <v>0</v>
      </c>
      <c r="DA22" s="915">
        <f t="shared" si="92"/>
        <v>0</v>
      </c>
      <c r="DB22" s="915">
        <f t="shared" si="93"/>
        <v>0</v>
      </c>
      <c r="DC22" s="915">
        <f t="shared" si="94"/>
        <v>0</v>
      </c>
      <c r="DD22" s="915">
        <f t="shared" si="95"/>
        <v>0</v>
      </c>
      <c r="DE22" s="915">
        <f t="shared" si="96"/>
        <v>0</v>
      </c>
      <c r="DF22" s="915">
        <f t="shared" si="97"/>
        <v>0</v>
      </c>
      <c r="DG22" s="915">
        <f t="shared" si="98"/>
        <v>0</v>
      </c>
      <c r="DH22" s="915">
        <f t="shared" si="99"/>
        <v>0</v>
      </c>
      <c r="DI22" s="915">
        <f t="shared" si="100"/>
        <v>0</v>
      </c>
      <c r="DJ22" s="915">
        <f t="shared" si="101"/>
        <v>0</v>
      </c>
      <c r="DK22" s="915">
        <f t="shared" si="102"/>
        <v>0</v>
      </c>
      <c r="DL22" s="915">
        <f t="shared" si="103"/>
        <v>0</v>
      </c>
      <c r="DM22" s="915">
        <f t="shared" si="104"/>
        <v>0</v>
      </c>
      <c r="DN22" s="915">
        <f t="shared" si="105"/>
        <v>0</v>
      </c>
      <c r="DO22" s="915">
        <f t="shared" si="106"/>
        <v>0</v>
      </c>
      <c r="DP22" s="915">
        <f t="shared" si="107"/>
        <v>0</v>
      </c>
      <c r="DQ22" s="915">
        <f t="shared" si="108"/>
        <v>0</v>
      </c>
      <c r="DR22" s="915">
        <f t="shared" si="109"/>
        <v>0</v>
      </c>
      <c r="DS22" s="915">
        <f t="shared" si="110"/>
        <v>0</v>
      </c>
      <c r="DT22" s="915">
        <f t="shared" si="111"/>
        <v>0</v>
      </c>
      <c r="DU22" s="915">
        <f t="shared" si="112"/>
        <v>0</v>
      </c>
      <c r="DV22" s="915">
        <f t="shared" si="113"/>
        <v>0</v>
      </c>
      <c r="DW22" s="915">
        <f t="shared" si="114"/>
        <v>0</v>
      </c>
      <c r="DX22" s="915">
        <f t="shared" si="115"/>
        <v>0</v>
      </c>
      <c r="DY22" s="915">
        <f t="shared" si="116"/>
        <v>0</v>
      </c>
      <c r="DZ22" s="915">
        <f t="shared" si="117"/>
        <v>0</v>
      </c>
      <c r="EA22" s="915">
        <f t="shared" si="118"/>
        <v>0</v>
      </c>
      <c r="EB22" s="915">
        <f t="shared" si="119"/>
        <v>0</v>
      </c>
      <c r="EC22" s="915">
        <f t="shared" si="120"/>
        <v>0</v>
      </c>
      <c r="ED22" s="915">
        <f t="shared" si="121"/>
        <v>0</v>
      </c>
      <c r="EE22" s="915">
        <f t="shared" si="122"/>
        <v>0</v>
      </c>
      <c r="EF22" s="915">
        <f t="shared" si="123"/>
        <v>0</v>
      </c>
      <c r="EG22" s="915">
        <f t="shared" si="124"/>
        <v>0</v>
      </c>
      <c r="EH22" s="915">
        <f t="shared" si="125"/>
        <v>0</v>
      </c>
      <c r="EI22" s="915">
        <f t="shared" si="126"/>
        <v>0</v>
      </c>
      <c r="EJ22" s="915">
        <f t="shared" si="127"/>
        <v>0</v>
      </c>
      <c r="EK22" s="915">
        <f t="shared" si="128"/>
        <v>0</v>
      </c>
      <c r="EL22" s="915">
        <f t="shared" si="129"/>
        <v>0</v>
      </c>
      <c r="EM22" s="915">
        <f t="shared" si="130"/>
        <v>0</v>
      </c>
      <c r="EN22" s="915">
        <f t="shared" si="131"/>
        <v>0</v>
      </c>
      <c r="EO22" s="915">
        <f t="shared" si="132"/>
        <v>0</v>
      </c>
      <c r="EP22" s="915">
        <f t="shared" si="133"/>
        <v>0</v>
      </c>
      <c r="EQ22" s="915">
        <f t="shared" si="134"/>
        <v>0</v>
      </c>
      <c r="ER22" s="915">
        <f t="shared" si="135"/>
        <v>0</v>
      </c>
      <c r="ES22" s="915">
        <f t="shared" si="136"/>
        <v>0</v>
      </c>
      <c r="ET22" s="915">
        <f t="shared" si="137"/>
        <v>0</v>
      </c>
      <c r="EU22" s="915">
        <f t="shared" si="138"/>
        <v>0</v>
      </c>
      <c r="EV22" s="915">
        <f t="shared" si="139"/>
        <v>0</v>
      </c>
      <c r="EW22" s="915">
        <f t="shared" si="140"/>
        <v>0</v>
      </c>
      <c r="EX22" s="915">
        <f t="shared" si="141"/>
        <v>0</v>
      </c>
      <c r="EY22" s="915">
        <f t="shared" si="142"/>
        <v>0</v>
      </c>
      <c r="EZ22" s="915">
        <f t="shared" si="143"/>
        <v>0</v>
      </c>
      <c r="FA22" s="915">
        <f t="shared" si="144"/>
        <v>0</v>
      </c>
      <c r="FB22" s="915">
        <f t="shared" si="145"/>
        <v>0</v>
      </c>
      <c r="FC22" s="915">
        <f t="shared" si="146"/>
        <v>0</v>
      </c>
      <c r="FD22" s="915">
        <f t="shared" si="147"/>
        <v>0</v>
      </c>
      <c r="FE22" s="915">
        <f t="shared" si="148"/>
        <v>0</v>
      </c>
      <c r="FF22" s="915">
        <f t="shared" si="149"/>
        <v>0</v>
      </c>
      <c r="FG22" s="915">
        <f t="shared" si="150"/>
        <v>0</v>
      </c>
      <c r="FH22" s="915">
        <f t="shared" si="151"/>
        <v>0</v>
      </c>
      <c r="FI22" s="915">
        <f t="shared" si="152"/>
        <v>0</v>
      </c>
      <c r="FJ22" s="915">
        <f t="shared" si="153"/>
        <v>0</v>
      </c>
      <c r="FK22" s="915">
        <f t="shared" si="154"/>
        <v>0</v>
      </c>
      <c r="FL22" s="915">
        <f t="shared" si="155"/>
        <v>0</v>
      </c>
      <c r="FM22" s="915">
        <f t="shared" si="156"/>
        <v>0</v>
      </c>
      <c r="FN22" s="915">
        <f t="shared" si="157"/>
        <v>0</v>
      </c>
      <c r="FO22" s="915">
        <f t="shared" si="158"/>
        <v>0</v>
      </c>
      <c r="FP22" s="915">
        <f t="shared" si="159"/>
        <v>0</v>
      </c>
      <c r="FQ22" s="915">
        <f t="shared" si="160"/>
        <v>0</v>
      </c>
      <c r="FR22" s="915">
        <f t="shared" si="161"/>
        <v>0</v>
      </c>
      <c r="FS22" s="915">
        <f t="shared" si="162"/>
        <v>0</v>
      </c>
      <c r="FT22" s="915">
        <f t="shared" si="163"/>
        <v>0</v>
      </c>
      <c r="FU22" s="915">
        <f t="shared" si="164"/>
        <v>0</v>
      </c>
      <c r="FV22" s="915">
        <f t="shared" si="165"/>
        <v>0</v>
      </c>
      <c r="FW22" s="915">
        <f t="shared" si="166"/>
        <v>0</v>
      </c>
      <c r="FX22" s="915">
        <f t="shared" si="167"/>
        <v>0</v>
      </c>
      <c r="FY22" s="915">
        <f t="shared" si="168"/>
        <v>0</v>
      </c>
      <c r="FZ22" s="915">
        <f t="shared" si="169"/>
        <v>0</v>
      </c>
    </row>
    <row r="23" spans="1:182" ht="14.1" customHeight="1" x14ac:dyDescent="0.2">
      <c r="A23" s="497">
        <v>16</v>
      </c>
      <c r="B23" s="1453"/>
      <c r="C23" s="1454"/>
      <c r="D23" s="1020">
        <v>2</v>
      </c>
      <c r="E23" s="1020" t="s">
        <v>27</v>
      </c>
      <c r="F23" s="1024" t="s">
        <v>2544</v>
      </c>
      <c r="G23" s="139" t="s">
        <v>2542</v>
      </c>
      <c r="H23" s="100">
        <v>7</v>
      </c>
      <c r="I23" s="119">
        <f t="shared" si="11"/>
        <v>0.42</v>
      </c>
      <c r="J23" s="90">
        <f t="shared" si="12"/>
        <v>7.42</v>
      </c>
      <c r="K23" s="225"/>
      <c r="N23" s="942">
        <f>AL6</f>
        <v>7.42</v>
      </c>
      <c r="O23" s="879" t="str">
        <f>"Contractor Labor for " &amp; TabName2</f>
        <v>Contractor Labor for Phase 2</v>
      </c>
      <c r="P23" s="950" t="s">
        <v>254</v>
      </c>
      <c r="R23" s="879">
        <f>INDEX(ValidateTable,16)</f>
        <v>16</v>
      </c>
      <c r="W23" s="915">
        <f t="shared" si="8"/>
        <v>0</v>
      </c>
      <c r="X23" s="915">
        <f t="shared" si="9"/>
        <v>0</v>
      </c>
      <c r="Y23" s="915">
        <f t="shared" si="10"/>
        <v>0</v>
      </c>
      <c r="Z23" s="915">
        <f t="shared" si="13"/>
        <v>0</v>
      </c>
      <c r="AA23" s="915">
        <f t="shared" si="14"/>
        <v>0</v>
      </c>
      <c r="AB23" s="915">
        <f t="shared" si="15"/>
        <v>0</v>
      </c>
      <c r="AC23" s="915">
        <f t="shared" si="16"/>
        <v>0</v>
      </c>
      <c r="AD23" s="915">
        <f t="shared" si="17"/>
        <v>0</v>
      </c>
      <c r="AE23" s="915">
        <f t="shared" si="18"/>
        <v>0</v>
      </c>
      <c r="AF23" s="915">
        <f t="shared" si="19"/>
        <v>0</v>
      </c>
      <c r="AG23" s="915">
        <f t="shared" si="20"/>
        <v>0</v>
      </c>
      <c r="AH23" s="915">
        <f t="shared" si="21"/>
        <v>0</v>
      </c>
      <c r="AI23" s="915">
        <f t="shared" si="22"/>
        <v>0</v>
      </c>
      <c r="AJ23" s="915">
        <f t="shared" si="23"/>
        <v>0</v>
      </c>
      <c r="AK23" s="915">
        <f t="shared" si="24"/>
        <v>0</v>
      </c>
      <c r="AL23" s="915">
        <f t="shared" si="25"/>
        <v>7.42</v>
      </c>
      <c r="AM23" s="915">
        <f t="shared" si="26"/>
        <v>0</v>
      </c>
      <c r="AN23" s="915">
        <f t="shared" si="27"/>
        <v>0</v>
      </c>
      <c r="AO23" s="915">
        <f t="shared" si="28"/>
        <v>0</v>
      </c>
      <c r="AP23" s="915">
        <f t="shared" si="29"/>
        <v>0</v>
      </c>
      <c r="AQ23" s="915">
        <f t="shared" si="30"/>
        <v>0</v>
      </c>
      <c r="AR23" s="915">
        <f t="shared" si="31"/>
        <v>0</v>
      </c>
      <c r="AS23" s="915">
        <f t="shared" si="32"/>
        <v>0</v>
      </c>
      <c r="AT23" s="915">
        <f t="shared" si="33"/>
        <v>0</v>
      </c>
      <c r="AU23" s="915">
        <f t="shared" si="34"/>
        <v>0</v>
      </c>
      <c r="AV23" s="915">
        <f t="shared" si="35"/>
        <v>0</v>
      </c>
      <c r="AW23" s="915">
        <f t="shared" si="36"/>
        <v>0</v>
      </c>
      <c r="AX23" s="915">
        <f t="shared" si="37"/>
        <v>0</v>
      </c>
      <c r="AY23" s="915">
        <f t="shared" si="38"/>
        <v>0</v>
      </c>
      <c r="AZ23" s="915">
        <f t="shared" si="39"/>
        <v>0</v>
      </c>
      <c r="BA23" s="915">
        <f t="shared" si="40"/>
        <v>0</v>
      </c>
      <c r="BB23" s="915">
        <f t="shared" si="41"/>
        <v>0</v>
      </c>
      <c r="BC23" s="915">
        <f t="shared" si="42"/>
        <v>0</v>
      </c>
      <c r="BD23" s="915">
        <f t="shared" si="43"/>
        <v>0</v>
      </c>
      <c r="BE23" s="915">
        <f t="shared" si="44"/>
        <v>0</v>
      </c>
      <c r="BF23" s="915">
        <f t="shared" si="45"/>
        <v>0</v>
      </c>
      <c r="BG23" s="915">
        <f t="shared" si="46"/>
        <v>0</v>
      </c>
      <c r="BH23" s="915">
        <f t="shared" si="47"/>
        <v>0</v>
      </c>
      <c r="BI23" s="915">
        <f t="shared" si="48"/>
        <v>0</v>
      </c>
      <c r="BJ23" s="915">
        <f t="shared" si="49"/>
        <v>0</v>
      </c>
      <c r="BK23" s="915">
        <f t="shared" si="50"/>
        <v>0</v>
      </c>
      <c r="BL23" s="915">
        <f t="shared" si="51"/>
        <v>0</v>
      </c>
      <c r="BM23" s="915">
        <f t="shared" si="52"/>
        <v>0</v>
      </c>
      <c r="BN23" s="915">
        <f t="shared" si="53"/>
        <v>0</v>
      </c>
      <c r="BO23" s="915">
        <f t="shared" si="54"/>
        <v>0</v>
      </c>
      <c r="BP23" s="915">
        <f t="shared" si="55"/>
        <v>0</v>
      </c>
      <c r="BQ23" s="915">
        <f t="shared" si="56"/>
        <v>0</v>
      </c>
      <c r="BR23" s="915">
        <f t="shared" si="57"/>
        <v>0</v>
      </c>
      <c r="BS23" s="915">
        <f t="shared" si="58"/>
        <v>0</v>
      </c>
      <c r="BT23" s="915">
        <f t="shared" si="59"/>
        <v>0</v>
      </c>
      <c r="BU23" s="915">
        <f t="shared" si="60"/>
        <v>0</v>
      </c>
      <c r="BV23" s="915">
        <f t="shared" si="61"/>
        <v>0</v>
      </c>
      <c r="BW23" s="915">
        <f t="shared" si="62"/>
        <v>0</v>
      </c>
      <c r="BX23" s="915">
        <f t="shared" si="63"/>
        <v>0</v>
      </c>
      <c r="BY23" s="915">
        <f t="shared" si="64"/>
        <v>0</v>
      </c>
      <c r="BZ23" s="915">
        <f t="shared" si="65"/>
        <v>0</v>
      </c>
      <c r="CA23" s="915">
        <f t="shared" si="66"/>
        <v>0</v>
      </c>
      <c r="CB23" s="915">
        <f t="shared" si="67"/>
        <v>0</v>
      </c>
      <c r="CC23" s="915">
        <f t="shared" si="68"/>
        <v>0</v>
      </c>
      <c r="CD23" s="915">
        <f t="shared" si="69"/>
        <v>0</v>
      </c>
      <c r="CE23" s="915">
        <f t="shared" si="70"/>
        <v>0</v>
      </c>
      <c r="CF23" s="915">
        <f t="shared" si="71"/>
        <v>0</v>
      </c>
      <c r="CG23" s="915">
        <f t="shared" si="72"/>
        <v>0</v>
      </c>
      <c r="CH23" s="915">
        <f t="shared" si="73"/>
        <v>0</v>
      </c>
      <c r="CI23" s="915">
        <f t="shared" si="74"/>
        <v>0</v>
      </c>
      <c r="CJ23" s="915">
        <f t="shared" si="75"/>
        <v>0</v>
      </c>
      <c r="CK23" s="915">
        <f t="shared" si="76"/>
        <v>0</v>
      </c>
      <c r="CL23" s="915">
        <f t="shared" si="77"/>
        <v>0</v>
      </c>
      <c r="CM23" s="915">
        <f t="shared" si="78"/>
        <v>0</v>
      </c>
      <c r="CN23" s="915">
        <f t="shared" si="79"/>
        <v>0</v>
      </c>
      <c r="CO23" s="915">
        <f t="shared" si="80"/>
        <v>0</v>
      </c>
      <c r="CP23" s="915">
        <f t="shared" si="81"/>
        <v>0</v>
      </c>
      <c r="CQ23" s="915">
        <f t="shared" si="82"/>
        <v>0</v>
      </c>
      <c r="CR23" s="915">
        <f t="shared" si="83"/>
        <v>0</v>
      </c>
      <c r="CS23" s="915">
        <f t="shared" si="84"/>
        <v>0</v>
      </c>
      <c r="CT23" s="915">
        <f t="shared" si="85"/>
        <v>0</v>
      </c>
      <c r="CU23" s="915">
        <f t="shared" si="86"/>
        <v>0</v>
      </c>
      <c r="CV23" s="915">
        <f t="shared" si="87"/>
        <v>0</v>
      </c>
      <c r="CW23" s="915">
        <f t="shared" si="88"/>
        <v>0</v>
      </c>
      <c r="CX23" s="915">
        <f t="shared" si="89"/>
        <v>0</v>
      </c>
      <c r="CY23" s="915">
        <f t="shared" si="90"/>
        <v>0</v>
      </c>
      <c r="CZ23" s="915">
        <f t="shared" si="91"/>
        <v>0</v>
      </c>
      <c r="DA23" s="915">
        <f t="shared" si="92"/>
        <v>0</v>
      </c>
      <c r="DB23" s="915">
        <f t="shared" si="93"/>
        <v>0</v>
      </c>
      <c r="DC23" s="915">
        <f t="shared" si="94"/>
        <v>0</v>
      </c>
      <c r="DD23" s="915">
        <f t="shared" si="95"/>
        <v>0</v>
      </c>
      <c r="DE23" s="915">
        <f t="shared" si="96"/>
        <v>0</v>
      </c>
      <c r="DF23" s="915">
        <f t="shared" si="97"/>
        <v>0</v>
      </c>
      <c r="DG23" s="915">
        <f t="shared" si="98"/>
        <v>0</v>
      </c>
      <c r="DH23" s="915">
        <f t="shared" si="99"/>
        <v>0</v>
      </c>
      <c r="DI23" s="915">
        <f t="shared" si="100"/>
        <v>0</v>
      </c>
      <c r="DJ23" s="915">
        <f t="shared" si="101"/>
        <v>0</v>
      </c>
      <c r="DK23" s="915">
        <f t="shared" si="102"/>
        <v>0</v>
      </c>
      <c r="DL23" s="915">
        <f t="shared" si="103"/>
        <v>0</v>
      </c>
      <c r="DM23" s="915">
        <f t="shared" si="104"/>
        <v>0</v>
      </c>
      <c r="DN23" s="915">
        <f t="shared" si="105"/>
        <v>0</v>
      </c>
      <c r="DO23" s="915">
        <f t="shared" si="106"/>
        <v>0</v>
      </c>
      <c r="DP23" s="915">
        <f t="shared" si="107"/>
        <v>0</v>
      </c>
      <c r="DQ23" s="915">
        <f t="shared" si="108"/>
        <v>0</v>
      </c>
      <c r="DR23" s="915">
        <f t="shared" si="109"/>
        <v>0</v>
      </c>
      <c r="DS23" s="915">
        <f t="shared" si="110"/>
        <v>0</v>
      </c>
      <c r="DT23" s="915">
        <f t="shared" si="111"/>
        <v>0</v>
      </c>
      <c r="DU23" s="915">
        <f t="shared" si="112"/>
        <v>0</v>
      </c>
      <c r="DV23" s="915">
        <f t="shared" si="113"/>
        <v>0</v>
      </c>
      <c r="DW23" s="915">
        <f t="shared" si="114"/>
        <v>0</v>
      </c>
      <c r="DX23" s="915">
        <f t="shared" si="115"/>
        <v>0</v>
      </c>
      <c r="DY23" s="915">
        <f t="shared" si="116"/>
        <v>0</v>
      </c>
      <c r="DZ23" s="915">
        <f t="shared" si="117"/>
        <v>0</v>
      </c>
      <c r="EA23" s="915">
        <f t="shared" si="118"/>
        <v>0</v>
      </c>
      <c r="EB23" s="915">
        <f t="shared" si="119"/>
        <v>0</v>
      </c>
      <c r="EC23" s="915">
        <f t="shared" si="120"/>
        <v>0</v>
      </c>
      <c r="ED23" s="915">
        <f t="shared" si="121"/>
        <v>0</v>
      </c>
      <c r="EE23" s="915">
        <f t="shared" si="122"/>
        <v>0</v>
      </c>
      <c r="EF23" s="915">
        <f t="shared" si="123"/>
        <v>0</v>
      </c>
      <c r="EG23" s="915">
        <f t="shared" si="124"/>
        <v>0</v>
      </c>
      <c r="EH23" s="915">
        <f t="shared" si="125"/>
        <v>0</v>
      </c>
      <c r="EI23" s="915">
        <f t="shared" si="126"/>
        <v>0</v>
      </c>
      <c r="EJ23" s="915">
        <f t="shared" si="127"/>
        <v>0</v>
      </c>
      <c r="EK23" s="915">
        <f t="shared" si="128"/>
        <v>0</v>
      </c>
      <c r="EL23" s="915">
        <f t="shared" si="129"/>
        <v>0</v>
      </c>
      <c r="EM23" s="915">
        <f t="shared" si="130"/>
        <v>0</v>
      </c>
      <c r="EN23" s="915">
        <f t="shared" si="131"/>
        <v>0</v>
      </c>
      <c r="EO23" s="915">
        <f t="shared" si="132"/>
        <v>0</v>
      </c>
      <c r="EP23" s="915">
        <f t="shared" si="133"/>
        <v>0</v>
      </c>
      <c r="EQ23" s="915">
        <f t="shared" si="134"/>
        <v>0</v>
      </c>
      <c r="ER23" s="915">
        <f t="shared" si="135"/>
        <v>0</v>
      </c>
      <c r="ES23" s="915">
        <f t="shared" si="136"/>
        <v>0</v>
      </c>
      <c r="ET23" s="915">
        <f t="shared" si="137"/>
        <v>0</v>
      </c>
      <c r="EU23" s="915">
        <f t="shared" si="138"/>
        <v>0</v>
      </c>
      <c r="EV23" s="915">
        <f t="shared" si="139"/>
        <v>0</v>
      </c>
      <c r="EW23" s="915">
        <f t="shared" si="140"/>
        <v>0</v>
      </c>
      <c r="EX23" s="915">
        <f t="shared" si="141"/>
        <v>0</v>
      </c>
      <c r="EY23" s="915">
        <f t="shared" si="142"/>
        <v>0</v>
      </c>
      <c r="EZ23" s="915">
        <f t="shared" si="143"/>
        <v>0</v>
      </c>
      <c r="FA23" s="915">
        <f t="shared" si="144"/>
        <v>0</v>
      </c>
      <c r="FB23" s="915">
        <f t="shared" si="145"/>
        <v>0</v>
      </c>
      <c r="FC23" s="915">
        <f t="shared" si="146"/>
        <v>0</v>
      </c>
      <c r="FD23" s="915">
        <f t="shared" si="147"/>
        <v>0</v>
      </c>
      <c r="FE23" s="915">
        <f t="shared" si="148"/>
        <v>0</v>
      </c>
      <c r="FF23" s="915">
        <f t="shared" si="149"/>
        <v>0</v>
      </c>
      <c r="FG23" s="915">
        <f t="shared" si="150"/>
        <v>0</v>
      </c>
      <c r="FH23" s="915">
        <f t="shared" si="151"/>
        <v>0</v>
      </c>
      <c r="FI23" s="915">
        <f t="shared" si="152"/>
        <v>0</v>
      </c>
      <c r="FJ23" s="915">
        <f t="shared" si="153"/>
        <v>0</v>
      </c>
      <c r="FK23" s="915">
        <f t="shared" si="154"/>
        <v>0</v>
      </c>
      <c r="FL23" s="915">
        <f t="shared" si="155"/>
        <v>0</v>
      </c>
      <c r="FM23" s="915">
        <f t="shared" si="156"/>
        <v>0</v>
      </c>
      <c r="FN23" s="915">
        <f t="shared" si="157"/>
        <v>0</v>
      </c>
      <c r="FO23" s="915">
        <f t="shared" si="158"/>
        <v>0</v>
      </c>
      <c r="FP23" s="915">
        <f t="shared" si="159"/>
        <v>0</v>
      </c>
      <c r="FQ23" s="915">
        <f t="shared" si="160"/>
        <v>0</v>
      </c>
      <c r="FR23" s="915">
        <f t="shared" si="161"/>
        <v>0</v>
      </c>
      <c r="FS23" s="915">
        <f t="shared" si="162"/>
        <v>0</v>
      </c>
      <c r="FT23" s="915">
        <f t="shared" si="163"/>
        <v>0</v>
      </c>
      <c r="FU23" s="915">
        <f t="shared" si="164"/>
        <v>0</v>
      </c>
      <c r="FV23" s="915">
        <f t="shared" si="165"/>
        <v>0</v>
      </c>
      <c r="FW23" s="915">
        <f t="shared" si="166"/>
        <v>0</v>
      </c>
      <c r="FX23" s="915">
        <f t="shared" si="167"/>
        <v>0</v>
      </c>
      <c r="FY23" s="915">
        <f t="shared" si="168"/>
        <v>0</v>
      </c>
      <c r="FZ23" s="915">
        <f t="shared" si="169"/>
        <v>0</v>
      </c>
    </row>
    <row r="24" spans="1:182" ht="14.1" customHeight="1" x14ac:dyDescent="0.2">
      <c r="A24" s="496">
        <v>17</v>
      </c>
      <c r="B24" s="1419"/>
      <c r="C24" s="1420"/>
      <c r="D24" s="264">
        <v>3</v>
      </c>
      <c r="E24" s="264" t="s">
        <v>193</v>
      </c>
      <c r="F24" s="270" t="s">
        <v>2544</v>
      </c>
      <c r="G24" s="270" t="s">
        <v>2542</v>
      </c>
      <c r="H24" s="272">
        <v>7</v>
      </c>
      <c r="I24" s="268">
        <f t="shared" si="11"/>
        <v>0.42</v>
      </c>
      <c r="J24" s="269">
        <f t="shared" si="12"/>
        <v>7.42</v>
      </c>
      <c r="K24" s="225"/>
      <c r="N24" s="942">
        <f>AM6</f>
        <v>7.42</v>
      </c>
      <c r="O24" s="915" t="str">
        <f>"Boring/Monitoring Wells for "&amp;TabName3</f>
        <v>Boring/Monitoring Wells for Phase 3</v>
      </c>
      <c r="P24" s="949" t="s">
        <v>262</v>
      </c>
      <c r="R24" s="879">
        <f>INDEX(ValidateTable,17)</f>
        <v>17</v>
      </c>
      <c r="W24" s="915">
        <f t="shared" si="8"/>
        <v>0</v>
      </c>
      <c r="X24" s="915">
        <f t="shared" si="9"/>
        <v>0</v>
      </c>
      <c r="Y24" s="915">
        <f t="shared" si="10"/>
        <v>0</v>
      </c>
      <c r="Z24" s="915">
        <f t="shared" si="13"/>
        <v>0</v>
      </c>
      <c r="AA24" s="915">
        <f t="shared" si="14"/>
        <v>0</v>
      </c>
      <c r="AB24" s="915">
        <f t="shared" si="15"/>
        <v>0</v>
      </c>
      <c r="AC24" s="915">
        <f t="shared" si="16"/>
        <v>0</v>
      </c>
      <c r="AD24" s="915">
        <f t="shared" si="17"/>
        <v>0</v>
      </c>
      <c r="AE24" s="915">
        <f t="shared" si="18"/>
        <v>0</v>
      </c>
      <c r="AF24" s="915">
        <f t="shared" si="19"/>
        <v>0</v>
      </c>
      <c r="AG24" s="915">
        <f t="shared" si="20"/>
        <v>0</v>
      </c>
      <c r="AH24" s="915">
        <f t="shared" si="21"/>
        <v>0</v>
      </c>
      <c r="AI24" s="915">
        <f t="shared" si="22"/>
        <v>0</v>
      </c>
      <c r="AJ24" s="915">
        <f t="shared" si="23"/>
        <v>0</v>
      </c>
      <c r="AK24" s="915">
        <f t="shared" si="24"/>
        <v>0</v>
      </c>
      <c r="AL24" s="915">
        <f t="shared" si="25"/>
        <v>0</v>
      </c>
      <c r="AM24" s="915">
        <f t="shared" si="26"/>
        <v>7.42</v>
      </c>
      <c r="AN24" s="915">
        <f t="shared" si="27"/>
        <v>0</v>
      </c>
      <c r="AO24" s="915">
        <f t="shared" si="28"/>
        <v>0</v>
      </c>
      <c r="AP24" s="915">
        <f t="shared" si="29"/>
        <v>0</v>
      </c>
      <c r="AQ24" s="915">
        <f t="shared" si="30"/>
        <v>0</v>
      </c>
      <c r="AR24" s="915">
        <f t="shared" si="31"/>
        <v>0</v>
      </c>
      <c r="AS24" s="915">
        <f t="shared" si="32"/>
        <v>0</v>
      </c>
      <c r="AT24" s="915">
        <f t="shared" si="33"/>
        <v>0</v>
      </c>
      <c r="AU24" s="915">
        <f t="shared" si="34"/>
        <v>0</v>
      </c>
      <c r="AV24" s="915">
        <f t="shared" si="35"/>
        <v>0</v>
      </c>
      <c r="AW24" s="915">
        <f t="shared" si="36"/>
        <v>0</v>
      </c>
      <c r="AX24" s="915">
        <f t="shared" si="37"/>
        <v>0</v>
      </c>
      <c r="AY24" s="915">
        <f t="shared" si="38"/>
        <v>0</v>
      </c>
      <c r="AZ24" s="915">
        <f t="shared" si="39"/>
        <v>0</v>
      </c>
      <c r="BA24" s="915">
        <f t="shared" si="40"/>
        <v>0</v>
      </c>
      <c r="BB24" s="915">
        <f t="shared" si="41"/>
        <v>0</v>
      </c>
      <c r="BC24" s="915">
        <f t="shared" si="42"/>
        <v>0</v>
      </c>
      <c r="BD24" s="915">
        <f t="shared" si="43"/>
        <v>0</v>
      </c>
      <c r="BE24" s="915">
        <f t="shared" si="44"/>
        <v>0</v>
      </c>
      <c r="BF24" s="915">
        <f t="shared" si="45"/>
        <v>0</v>
      </c>
      <c r="BG24" s="915">
        <f t="shared" si="46"/>
        <v>0</v>
      </c>
      <c r="BH24" s="915">
        <f t="shared" si="47"/>
        <v>0</v>
      </c>
      <c r="BI24" s="915">
        <f t="shared" si="48"/>
        <v>0</v>
      </c>
      <c r="BJ24" s="915">
        <f t="shared" si="49"/>
        <v>0</v>
      </c>
      <c r="BK24" s="915">
        <f t="shared" si="50"/>
        <v>0</v>
      </c>
      <c r="BL24" s="915">
        <f t="shared" si="51"/>
        <v>0</v>
      </c>
      <c r="BM24" s="915">
        <f t="shared" si="52"/>
        <v>0</v>
      </c>
      <c r="BN24" s="915">
        <f t="shared" si="53"/>
        <v>0</v>
      </c>
      <c r="BO24" s="915">
        <f t="shared" si="54"/>
        <v>0</v>
      </c>
      <c r="BP24" s="915">
        <f t="shared" si="55"/>
        <v>0</v>
      </c>
      <c r="BQ24" s="915">
        <f t="shared" si="56"/>
        <v>0</v>
      </c>
      <c r="BR24" s="915">
        <f t="shared" si="57"/>
        <v>0</v>
      </c>
      <c r="BS24" s="915">
        <f t="shared" si="58"/>
        <v>0</v>
      </c>
      <c r="BT24" s="915">
        <f t="shared" si="59"/>
        <v>0</v>
      </c>
      <c r="BU24" s="915">
        <f t="shared" si="60"/>
        <v>0</v>
      </c>
      <c r="BV24" s="915">
        <f t="shared" si="61"/>
        <v>0</v>
      </c>
      <c r="BW24" s="915">
        <f t="shared" si="62"/>
        <v>0</v>
      </c>
      <c r="BX24" s="915">
        <f t="shared" si="63"/>
        <v>0</v>
      </c>
      <c r="BY24" s="915">
        <f t="shared" si="64"/>
        <v>0</v>
      </c>
      <c r="BZ24" s="915">
        <f t="shared" si="65"/>
        <v>0</v>
      </c>
      <c r="CA24" s="915">
        <f t="shared" si="66"/>
        <v>0</v>
      </c>
      <c r="CB24" s="915">
        <f t="shared" si="67"/>
        <v>0</v>
      </c>
      <c r="CC24" s="915">
        <f t="shared" si="68"/>
        <v>0</v>
      </c>
      <c r="CD24" s="915">
        <f t="shared" si="69"/>
        <v>0</v>
      </c>
      <c r="CE24" s="915">
        <f t="shared" si="70"/>
        <v>0</v>
      </c>
      <c r="CF24" s="915">
        <f t="shared" si="71"/>
        <v>0</v>
      </c>
      <c r="CG24" s="915">
        <f t="shared" si="72"/>
        <v>0</v>
      </c>
      <c r="CH24" s="915">
        <f t="shared" si="73"/>
        <v>0</v>
      </c>
      <c r="CI24" s="915">
        <f t="shared" si="74"/>
        <v>0</v>
      </c>
      <c r="CJ24" s="915">
        <f t="shared" si="75"/>
        <v>0</v>
      </c>
      <c r="CK24" s="915">
        <f t="shared" si="76"/>
        <v>0</v>
      </c>
      <c r="CL24" s="915">
        <f t="shared" si="77"/>
        <v>0</v>
      </c>
      <c r="CM24" s="915">
        <f t="shared" si="78"/>
        <v>0</v>
      </c>
      <c r="CN24" s="915">
        <f t="shared" si="79"/>
        <v>0</v>
      </c>
      <c r="CO24" s="915">
        <f t="shared" si="80"/>
        <v>0</v>
      </c>
      <c r="CP24" s="915">
        <f t="shared" si="81"/>
        <v>0</v>
      </c>
      <c r="CQ24" s="915">
        <f t="shared" si="82"/>
        <v>0</v>
      </c>
      <c r="CR24" s="915">
        <f t="shared" si="83"/>
        <v>0</v>
      </c>
      <c r="CS24" s="915">
        <f t="shared" si="84"/>
        <v>0</v>
      </c>
      <c r="CT24" s="915">
        <f t="shared" si="85"/>
        <v>0</v>
      </c>
      <c r="CU24" s="915">
        <f t="shared" si="86"/>
        <v>0</v>
      </c>
      <c r="CV24" s="915">
        <f t="shared" si="87"/>
        <v>0</v>
      </c>
      <c r="CW24" s="915">
        <f t="shared" si="88"/>
        <v>0</v>
      </c>
      <c r="CX24" s="915">
        <f t="shared" si="89"/>
        <v>0</v>
      </c>
      <c r="CY24" s="915">
        <f t="shared" si="90"/>
        <v>0</v>
      </c>
      <c r="CZ24" s="915">
        <f t="shared" si="91"/>
        <v>0</v>
      </c>
      <c r="DA24" s="915">
        <f t="shared" si="92"/>
        <v>0</v>
      </c>
      <c r="DB24" s="915">
        <f t="shared" si="93"/>
        <v>0</v>
      </c>
      <c r="DC24" s="915">
        <f t="shared" si="94"/>
        <v>0</v>
      </c>
      <c r="DD24" s="915">
        <f t="shared" si="95"/>
        <v>0</v>
      </c>
      <c r="DE24" s="915">
        <f t="shared" si="96"/>
        <v>0</v>
      </c>
      <c r="DF24" s="915">
        <f t="shared" si="97"/>
        <v>0</v>
      </c>
      <c r="DG24" s="915">
        <f t="shared" si="98"/>
        <v>0</v>
      </c>
      <c r="DH24" s="915">
        <f t="shared" si="99"/>
        <v>0</v>
      </c>
      <c r="DI24" s="915">
        <f t="shared" si="100"/>
        <v>0</v>
      </c>
      <c r="DJ24" s="915">
        <f t="shared" si="101"/>
        <v>0</v>
      </c>
      <c r="DK24" s="915">
        <f t="shared" si="102"/>
        <v>0</v>
      </c>
      <c r="DL24" s="915">
        <f t="shared" si="103"/>
        <v>0</v>
      </c>
      <c r="DM24" s="915">
        <f t="shared" si="104"/>
        <v>0</v>
      </c>
      <c r="DN24" s="915">
        <f t="shared" si="105"/>
        <v>0</v>
      </c>
      <c r="DO24" s="915">
        <f t="shared" si="106"/>
        <v>0</v>
      </c>
      <c r="DP24" s="915">
        <f t="shared" si="107"/>
        <v>0</v>
      </c>
      <c r="DQ24" s="915">
        <f t="shared" si="108"/>
        <v>0</v>
      </c>
      <c r="DR24" s="915">
        <f t="shared" si="109"/>
        <v>0</v>
      </c>
      <c r="DS24" s="915">
        <f t="shared" si="110"/>
        <v>0</v>
      </c>
      <c r="DT24" s="915">
        <f t="shared" si="111"/>
        <v>0</v>
      </c>
      <c r="DU24" s="915">
        <f t="shared" si="112"/>
        <v>0</v>
      </c>
      <c r="DV24" s="915">
        <f t="shared" si="113"/>
        <v>0</v>
      </c>
      <c r="DW24" s="915">
        <f t="shared" si="114"/>
        <v>0</v>
      </c>
      <c r="DX24" s="915">
        <f t="shared" si="115"/>
        <v>0</v>
      </c>
      <c r="DY24" s="915">
        <f t="shared" si="116"/>
        <v>0</v>
      </c>
      <c r="DZ24" s="915">
        <f t="shared" si="117"/>
        <v>0</v>
      </c>
      <c r="EA24" s="915">
        <f t="shared" si="118"/>
        <v>0</v>
      </c>
      <c r="EB24" s="915">
        <f t="shared" si="119"/>
        <v>0</v>
      </c>
      <c r="EC24" s="915">
        <f t="shared" si="120"/>
        <v>0</v>
      </c>
      <c r="ED24" s="915">
        <f t="shared" si="121"/>
        <v>0</v>
      </c>
      <c r="EE24" s="915">
        <f t="shared" si="122"/>
        <v>0</v>
      </c>
      <c r="EF24" s="915">
        <f t="shared" si="123"/>
        <v>0</v>
      </c>
      <c r="EG24" s="915">
        <f t="shared" si="124"/>
        <v>0</v>
      </c>
      <c r="EH24" s="915">
        <f t="shared" si="125"/>
        <v>0</v>
      </c>
      <c r="EI24" s="915">
        <f t="shared" si="126"/>
        <v>0</v>
      </c>
      <c r="EJ24" s="915">
        <f t="shared" si="127"/>
        <v>0</v>
      </c>
      <c r="EK24" s="915">
        <f t="shared" si="128"/>
        <v>0</v>
      </c>
      <c r="EL24" s="915">
        <f t="shared" si="129"/>
        <v>0</v>
      </c>
      <c r="EM24" s="915">
        <f t="shared" si="130"/>
        <v>0</v>
      </c>
      <c r="EN24" s="915">
        <f t="shared" si="131"/>
        <v>0</v>
      </c>
      <c r="EO24" s="915">
        <f t="shared" si="132"/>
        <v>0</v>
      </c>
      <c r="EP24" s="915">
        <f t="shared" si="133"/>
        <v>0</v>
      </c>
      <c r="EQ24" s="915">
        <f t="shared" si="134"/>
        <v>0</v>
      </c>
      <c r="ER24" s="915">
        <f t="shared" si="135"/>
        <v>0</v>
      </c>
      <c r="ES24" s="915">
        <f t="shared" si="136"/>
        <v>0</v>
      </c>
      <c r="ET24" s="915">
        <f t="shared" si="137"/>
        <v>0</v>
      </c>
      <c r="EU24" s="915">
        <f t="shared" si="138"/>
        <v>0</v>
      </c>
      <c r="EV24" s="915">
        <f t="shared" si="139"/>
        <v>0</v>
      </c>
      <c r="EW24" s="915">
        <f t="shared" si="140"/>
        <v>0</v>
      </c>
      <c r="EX24" s="915">
        <f t="shared" si="141"/>
        <v>0</v>
      </c>
      <c r="EY24" s="915">
        <f t="shared" si="142"/>
        <v>0</v>
      </c>
      <c r="EZ24" s="915">
        <f t="shared" si="143"/>
        <v>0</v>
      </c>
      <c r="FA24" s="915">
        <f t="shared" si="144"/>
        <v>0</v>
      </c>
      <c r="FB24" s="915">
        <f t="shared" si="145"/>
        <v>0</v>
      </c>
      <c r="FC24" s="915">
        <f t="shared" si="146"/>
        <v>0</v>
      </c>
      <c r="FD24" s="915">
        <f t="shared" si="147"/>
        <v>0</v>
      </c>
      <c r="FE24" s="915">
        <f t="shared" si="148"/>
        <v>0</v>
      </c>
      <c r="FF24" s="915">
        <f t="shared" si="149"/>
        <v>0</v>
      </c>
      <c r="FG24" s="915">
        <f t="shared" si="150"/>
        <v>0</v>
      </c>
      <c r="FH24" s="915">
        <f t="shared" si="151"/>
        <v>0</v>
      </c>
      <c r="FI24" s="915">
        <f t="shared" si="152"/>
        <v>0</v>
      </c>
      <c r="FJ24" s="915">
        <f t="shared" si="153"/>
        <v>0</v>
      </c>
      <c r="FK24" s="915">
        <f t="shared" si="154"/>
        <v>0</v>
      </c>
      <c r="FL24" s="915">
        <f t="shared" si="155"/>
        <v>0</v>
      </c>
      <c r="FM24" s="915">
        <f t="shared" si="156"/>
        <v>0</v>
      </c>
      <c r="FN24" s="915">
        <f t="shared" si="157"/>
        <v>0</v>
      </c>
      <c r="FO24" s="915">
        <f t="shared" si="158"/>
        <v>0</v>
      </c>
      <c r="FP24" s="915">
        <f t="shared" si="159"/>
        <v>0</v>
      </c>
      <c r="FQ24" s="915">
        <f t="shared" si="160"/>
        <v>0</v>
      </c>
      <c r="FR24" s="915">
        <f t="shared" si="161"/>
        <v>0</v>
      </c>
      <c r="FS24" s="915">
        <f t="shared" si="162"/>
        <v>0</v>
      </c>
      <c r="FT24" s="915">
        <f t="shared" si="163"/>
        <v>0</v>
      </c>
      <c r="FU24" s="915">
        <f t="shared" si="164"/>
        <v>0</v>
      </c>
      <c r="FV24" s="915">
        <f t="shared" si="165"/>
        <v>0</v>
      </c>
      <c r="FW24" s="915">
        <f t="shared" si="166"/>
        <v>0</v>
      </c>
      <c r="FX24" s="915">
        <f t="shared" si="167"/>
        <v>0</v>
      </c>
      <c r="FY24" s="915">
        <f t="shared" si="168"/>
        <v>0</v>
      </c>
      <c r="FZ24" s="915">
        <f t="shared" si="169"/>
        <v>0</v>
      </c>
    </row>
    <row r="25" spans="1:182" ht="14.1" customHeight="1" x14ac:dyDescent="0.2">
      <c r="A25" s="497">
        <v>18</v>
      </c>
      <c r="B25" s="1423"/>
      <c r="C25" s="1431"/>
      <c r="D25" s="138">
        <v>3</v>
      </c>
      <c r="E25" s="1020" t="s">
        <v>26</v>
      </c>
      <c r="F25" s="139" t="s">
        <v>2544</v>
      </c>
      <c r="G25" s="139" t="s">
        <v>2542</v>
      </c>
      <c r="H25" s="100">
        <v>7</v>
      </c>
      <c r="I25" s="119">
        <f t="shared" si="11"/>
        <v>0.42</v>
      </c>
      <c r="J25" s="90">
        <f t="shared" si="12"/>
        <v>7.42</v>
      </c>
      <c r="K25" s="225"/>
      <c r="N25" s="942">
        <f>AN6</f>
        <v>7.42</v>
      </c>
      <c r="O25" s="879" t="str">
        <f>"Remediation for " &amp; TabName3</f>
        <v>Remediation for Phase 3</v>
      </c>
      <c r="P25" s="950" t="s">
        <v>256</v>
      </c>
      <c r="R25" s="879">
        <f>INDEX(ValidateTable,18)</f>
        <v>18</v>
      </c>
      <c r="W25" s="915">
        <f t="shared" si="8"/>
        <v>0</v>
      </c>
      <c r="X25" s="915">
        <f t="shared" si="9"/>
        <v>0</v>
      </c>
      <c r="Y25" s="915">
        <f t="shared" si="10"/>
        <v>0</v>
      </c>
      <c r="Z25" s="915">
        <f t="shared" si="13"/>
        <v>0</v>
      </c>
      <c r="AA25" s="915">
        <f t="shared" si="14"/>
        <v>0</v>
      </c>
      <c r="AB25" s="915">
        <f t="shared" si="15"/>
        <v>0</v>
      </c>
      <c r="AC25" s="915">
        <f t="shared" si="16"/>
        <v>0</v>
      </c>
      <c r="AD25" s="915">
        <f t="shared" si="17"/>
        <v>0</v>
      </c>
      <c r="AE25" s="915">
        <f t="shared" si="18"/>
        <v>0</v>
      </c>
      <c r="AF25" s="915">
        <f t="shared" si="19"/>
        <v>0</v>
      </c>
      <c r="AG25" s="915">
        <f t="shared" si="20"/>
        <v>0</v>
      </c>
      <c r="AH25" s="915">
        <f t="shared" si="21"/>
        <v>0</v>
      </c>
      <c r="AI25" s="915">
        <f t="shared" si="22"/>
        <v>0</v>
      </c>
      <c r="AJ25" s="915">
        <f t="shared" si="23"/>
        <v>0</v>
      </c>
      <c r="AK25" s="915">
        <f t="shared" si="24"/>
        <v>0</v>
      </c>
      <c r="AL25" s="915">
        <f t="shared" si="25"/>
        <v>0</v>
      </c>
      <c r="AM25" s="915">
        <f t="shared" si="26"/>
        <v>0</v>
      </c>
      <c r="AN25" s="915">
        <f t="shared" si="27"/>
        <v>7.42</v>
      </c>
      <c r="AO25" s="915">
        <f t="shared" si="28"/>
        <v>0</v>
      </c>
      <c r="AP25" s="915">
        <f t="shared" si="29"/>
        <v>0</v>
      </c>
      <c r="AQ25" s="915">
        <f t="shared" si="30"/>
        <v>0</v>
      </c>
      <c r="AR25" s="915">
        <f t="shared" si="31"/>
        <v>0</v>
      </c>
      <c r="AS25" s="915">
        <f t="shared" si="32"/>
        <v>0</v>
      </c>
      <c r="AT25" s="915">
        <f t="shared" si="33"/>
        <v>0</v>
      </c>
      <c r="AU25" s="915">
        <f t="shared" si="34"/>
        <v>0</v>
      </c>
      <c r="AV25" s="915">
        <f t="shared" si="35"/>
        <v>0</v>
      </c>
      <c r="AW25" s="915">
        <f t="shared" si="36"/>
        <v>0</v>
      </c>
      <c r="AX25" s="915">
        <f t="shared" si="37"/>
        <v>0</v>
      </c>
      <c r="AY25" s="915">
        <f t="shared" si="38"/>
        <v>0</v>
      </c>
      <c r="AZ25" s="915">
        <f t="shared" si="39"/>
        <v>0</v>
      </c>
      <c r="BA25" s="915">
        <f t="shared" si="40"/>
        <v>0</v>
      </c>
      <c r="BB25" s="915">
        <f t="shared" si="41"/>
        <v>0</v>
      </c>
      <c r="BC25" s="915">
        <f t="shared" si="42"/>
        <v>0</v>
      </c>
      <c r="BD25" s="915">
        <f t="shared" si="43"/>
        <v>0</v>
      </c>
      <c r="BE25" s="915">
        <f t="shared" si="44"/>
        <v>0</v>
      </c>
      <c r="BF25" s="915">
        <f t="shared" si="45"/>
        <v>0</v>
      </c>
      <c r="BG25" s="915">
        <f t="shared" si="46"/>
        <v>0</v>
      </c>
      <c r="BH25" s="915">
        <f t="shared" si="47"/>
        <v>0</v>
      </c>
      <c r="BI25" s="915">
        <f t="shared" si="48"/>
        <v>0</v>
      </c>
      <c r="BJ25" s="915">
        <f t="shared" si="49"/>
        <v>0</v>
      </c>
      <c r="BK25" s="915">
        <f t="shared" si="50"/>
        <v>0</v>
      </c>
      <c r="BL25" s="915">
        <f t="shared" si="51"/>
        <v>0</v>
      </c>
      <c r="BM25" s="915">
        <f t="shared" si="52"/>
        <v>0</v>
      </c>
      <c r="BN25" s="915">
        <f t="shared" si="53"/>
        <v>0</v>
      </c>
      <c r="BO25" s="915">
        <f t="shared" si="54"/>
        <v>0</v>
      </c>
      <c r="BP25" s="915">
        <f t="shared" si="55"/>
        <v>0</v>
      </c>
      <c r="BQ25" s="915">
        <f t="shared" si="56"/>
        <v>0</v>
      </c>
      <c r="BR25" s="915">
        <f t="shared" si="57"/>
        <v>0</v>
      </c>
      <c r="BS25" s="915">
        <f t="shared" si="58"/>
        <v>0</v>
      </c>
      <c r="BT25" s="915">
        <f t="shared" si="59"/>
        <v>0</v>
      </c>
      <c r="BU25" s="915">
        <f t="shared" si="60"/>
        <v>0</v>
      </c>
      <c r="BV25" s="915">
        <f t="shared" si="61"/>
        <v>0</v>
      </c>
      <c r="BW25" s="915">
        <f t="shared" si="62"/>
        <v>0</v>
      </c>
      <c r="BX25" s="915">
        <f t="shared" si="63"/>
        <v>0</v>
      </c>
      <c r="BY25" s="915">
        <f t="shared" si="64"/>
        <v>0</v>
      </c>
      <c r="BZ25" s="915">
        <f t="shared" si="65"/>
        <v>0</v>
      </c>
      <c r="CA25" s="915">
        <f t="shared" si="66"/>
        <v>0</v>
      </c>
      <c r="CB25" s="915">
        <f t="shared" si="67"/>
        <v>0</v>
      </c>
      <c r="CC25" s="915">
        <f t="shared" si="68"/>
        <v>0</v>
      </c>
      <c r="CD25" s="915">
        <f t="shared" si="69"/>
        <v>0</v>
      </c>
      <c r="CE25" s="915">
        <f t="shared" si="70"/>
        <v>0</v>
      </c>
      <c r="CF25" s="915">
        <f t="shared" si="71"/>
        <v>0</v>
      </c>
      <c r="CG25" s="915">
        <f t="shared" si="72"/>
        <v>0</v>
      </c>
      <c r="CH25" s="915">
        <f t="shared" si="73"/>
        <v>0</v>
      </c>
      <c r="CI25" s="915">
        <f t="shared" si="74"/>
        <v>0</v>
      </c>
      <c r="CJ25" s="915">
        <f t="shared" si="75"/>
        <v>0</v>
      </c>
      <c r="CK25" s="915">
        <f t="shared" si="76"/>
        <v>0</v>
      </c>
      <c r="CL25" s="915">
        <f t="shared" si="77"/>
        <v>0</v>
      </c>
      <c r="CM25" s="915">
        <f t="shared" si="78"/>
        <v>0</v>
      </c>
      <c r="CN25" s="915">
        <f t="shared" si="79"/>
        <v>0</v>
      </c>
      <c r="CO25" s="915">
        <f t="shared" si="80"/>
        <v>0</v>
      </c>
      <c r="CP25" s="915">
        <f t="shared" si="81"/>
        <v>0</v>
      </c>
      <c r="CQ25" s="915">
        <f t="shared" si="82"/>
        <v>0</v>
      </c>
      <c r="CR25" s="915">
        <f t="shared" si="83"/>
        <v>0</v>
      </c>
      <c r="CS25" s="915">
        <f t="shared" si="84"/>
        <v>0</v>
      </c>
      <c r="CT25" s="915">
        <f t="shared" si="85"/>
        <v>0</v>
      </c>
      <c r="CU25" s="915">
        <f t="shared" si="86"/>
        <v>0</v>
      </c>
      <c r="CV25" s="915">
        <f t="shared" si="87"/>
        <v>0</v>
      </c>
      <c r="CW25" s="915">
        <f t="shared" si="88"/>
        <v>0</v>
      </c>
      <c r="CX25" s="915">
        <f t="shared" si="89"/>
        <v>0</v>
      </c>
      <c r="CY25" s="915">
        <f t="shared" si="90"/>
        <v>0</v>
      </c>
      <c r="CZ25" s="915">
        <f t="shared" si="91"/>
        <v>0</v>
      </c>
      <c r="DA25" s="915">
        <f t="shared" si="92"/>
        <v>0</v>
      </c>
      <c r="DB25" s="915">
        <f t="shared" si="93"/>
        <v>0</v>
      </c>
      <c r="DC25" s="915">
        <f t="shared" si="94"/>
        <v>0</v>
      </c>
      <c r="DD25" s="915">
        <f t="shared" si="95"/>
        <v>0</v>
      </c>
      <c r="DE25" s="915">
        <f t="shared" si="96"/>
        <v>0</v>
      </c>
      <c r="DF25" s="915">
        <f t="shared" si="97"/>
        <v>0</v>
      </c>
      <c r="DG25" s="915">
        <f t="shared" si="98"/>
        <v>0</v>
      </c>
      <c r="DH25" s="915">
        <f t="shared" si="99"/>
        <v>0</v>
      </c>
      <c r="DI25" s="915">
        <f t="shared" si="100"/>
        <v>0</v>
      </c>
      <c r="DJ25" s="915">
        <f t="shared" si="101"/>
        <v>0</v>
      </c>
      <c r="DK25" s="915">
        <f t="shared" si="102"/>
        <v>0</v>
      </c>
      <c r="DL25" s="915">
        <f t="shared" si="103"/>
        <v>0</v>
      </c>
      <c r="DM25" s="915">
        <f t="shared" si="104"/>
        <v>0</v>
      </c>
      <c r="DN25" s="915">
        <f t="shared" si="105"/>
        <v>0</v>
      </c>
      <c r="DO25" s="915">
        <f t="shared" si="106"/>
        <v>0</v>
      </c>
      <c r="DP25" s="915">
        <f t="shared" si="107"/>
        <v>0</v>
      </c>
      <c r="DQ25" s="915">
        <f t="shared" si="108"/>
        <v>0</v>
      </c>
      <c r="DR25" s="915">
        <f t="shared" si="109"/>
        <v>0</v>
      </c>
      <c r="DS25" s="915">
        <f t="shared" si="110"/>
        <v>0</v>
      </c>
      <c r="DT25" s="915">
        <f t="shared" si="111"/>
        <v>0</v>
      </c>
      <c r="DU25" s="915">
        <f t="shared" si="112"/>
        <v>0</v>
      </c>
      <c r="DV25" s="915">
        <f t="shared" si="113"/>
        <v>0</v>
      </c>
      <c r="DW25" s="915">
        <f t="shared" si="114"/>
        <v>0</v>
      </c>
      <c r="DX25" s="915">
        <f t="shared" si="115"/>
        <v>0</v>
      </c>
      <c r="DY25" s="915">
        <f t="shared" si="116"/>
        <v>0</v>
      </c>
      <c r="DZ25" s="915">
        <f t="shared" si="117"/>
        <v>0</v>
      </c>
      <c r="EA25" s="915">
        <f t="shared" si="118"/>
        <v>0</v>
      </c>
      <c r="EB25" s="915">
        <f t="shared" si="119"/>
        <v>0</v>
      </c>
      <c r="EC25" s="915">
        <f t="shared" si="120"/>
        <v>0</v>
      </c>
      <c r="ED25" s="915">
        <f t="shared" si="121"/>
        <v>0</v>
      </c>
      <c r="EE25" s="915">
        <f t="shared" si="122"/>
        <v>0</v>
      </c>
      <c r="EF25" s="915">
        <f t="shared" si="123"/>
        <v>0</v>
      </c>
      <c r="EG25" s="915">
        <f t="shared" si="124"/>
        <v>0</v>
      </c>
      <c r="EH25" s="915">
        <f t="shared" si="125"/>
        <v>0</v>
      </c>
      <c r="EI25" s="915">
        <f t="shared" si="126"/>
        <v>0</v>
      </c>
      <c r="EJ25" s="915">
        <f t="shared" si="127"/>
        <v>0</v>
      </c>
      <c r="EK25" s="915">
        <f t="shared" si="128"/>
        <v>0</v>
      </c>
      <c r="EL25" s="915">
        <f t="shared" si="129"/>
        <v>0</v>
      </c>
      <c r="EM25" s="915">
        <f t="shared" si="130"/>
        <v>0</v>
      </c>
      <c r="EN25" s="915">
        <f t="shared" si="131"/>
        <v>0</v>
      </c>
      <c r="EO25" s="915">
        <f t="shared" si="132"/>
        <v>0</v>
      </c>
      <c r="EP25" s="915">
        <f t="shared" si="133"/>
        <v>0</v>
      </c>
      <c r="EQ25" s="915">
        <f t="shared" si="134"/>
        <v>0</v>
      </c>
      <c r="ER25" s="915">
        <f t="shared" si="135"/>
        <v>0</v>
      </c>
      <c r="ES25" s="915">
        <f t="shared" si="136"/>
        <v>0</v>
      </c>
      <c r="ET25" s="915">
        <f t="shared" si="137"/>
        <v>0</v>
      </c>
      <c r="EU25" s="915">
        <f t="shared" si="138"/>
        <v>0</v>
      </c>
      <c r="EV25" s="915">
        <f t="shared" si="139"/>
        <v>0</v>
      </c>
      <c r="EW25" s="915">
        <f t="shared" si="140"/>
        <v>0</v>
      </c>
      <c r="EX25" s="915">
        <f t="shared" si="141"/>
        <v>0</v>
      </c>
      <c r="EY25" s="915">
        <f t="shared" si="142"/>
        <v>0</v>
      </c>
      <c r="EZ25" s="915">
        <f t="shared" si="143"/>
        <v>0</v>
      </c>
      <c r="FA25" s="915">
        <f t="shared" si="144"/>
        <v>0</v>
      </c>
      <c r="FB25" s="915">
        <f t="shared" si="145"/>
        <v>0</v>
      </c>
      <c r="FC25" s="915">
        <f t="shared" si="146"/>
        <v>0</v>
      </c>
      <c r="FD25" s="915">
        <f t="shared" si="147"/>
        <v>0</v>
      </c>
      <c r="FE25" s="915">
        <f t="shared" si="148"/>
        <v>0</v>
      </c>
      <c r="FF25" s="915">
        <f t="shared" si="149"/>
        <v>0</v>
      </c>
      <c r="FG25" s="915">
        <f t="shared" si="150"/>
        <v>0</v>
      </c>
      <c r="FH25" s="915">
        <f t="shared" si="151"/>
        <v>0</v>
      </c>
      <c r="FI25" s="915">
        <f t="shared" si="152"/>
        <v>0</v>
      </c>
      <c r="FJ25" s="915">
        <f t="shared" si="153"/>
        <v>0</v>
      </c>
      <c r="FK25" s="915">
        <f t="shared" si="154"/>
        <v>0</v>
      </c>
      <c r="FL25" s="915">
        <f t="shared" si="155"/>
        <v>0</v>
      </c>
      <c r="FM25" s="915">
        <f t="shared" si="156"/>
        <v>0</v>
      </c>
      <c r="FN25" s="915">
        <f t="shared" si="157"/>
        <v>0</v>
      </c>
      <c r="FO25" s="915">
        <f t="shared" si="158"/>
        <v>0</v>
      </c>
      <c r="FP25" s="915">
        <f t="shared" si="159"/>
        <v>0</v>
      </c>
      <c r="FQ25" s="915">
        <f t="shared" si="160"/>
        <v>0</v>
      </c>
      <c r="FR25" s="915">
        <f t="shared" si="161"/>
        <v>0</v>
      </c>
      <c r="FS25" s="915">
        <f t="shared" si="162"/>
        <v>0</v>
      </c>
      <c r="FT25" s="915">
        <f t="shared" si="163"/>
        <v>0</v>
      </c>
      <c r="FU25" s="915">
        <f t="shared" si="164"/>
        <v>0</v>
      </c>
      <c r="FV25" s="915">
        <f t="shared" si="165"/>
        <v>0</v>
      </c>
      <c r="FW25" s="915">
        <f t="shared" si="166"/>
        <v>0</v>
      </c>
      <c r="FX25" s="915">
        <f t="shared" si="167"/>
        <v>0</v>
      </c>
      <c r="FY25" s="915">
        <f t="shared" si="168"/>
        <v>0</v>
      </c>
      <c r="FZ25" s="915">
        <f t="shared" si="169"/>
        <v>0</v>
      </c>
    </row>
    <row r="26" spans="1:182" ht="14.1" customHeight="1" x14ac:dyDescent="0.2">
      <c r="A26" s="496">
        <v>19</v>
      </c>
      <c r="B26" s="1419"/>
      <c r="C26" s="1420"/>
      <c r="D26" s="264">
        <v>3</v>
      </c>
      <c r="E26" s="264" t="s">
        <v>35</v>
      </c>
      <c r="F26" s="270" t="s">
        <v>2544</v>
      </c>
      <c r="G26" s="270" t="s">
        <v>2542</v>
      </c>
      <c r="H26" s="272">
        <v>7</v>
      </c>
      <c r="I26" s="268">
        <f t="shared" si="11"/>
        <v>0.42</v>
      </c>
      <c r="J26" s="269">
        <f t="shared" si="12"/>
        <v>7.42</v>
      </c>
      <c r="K26" s="225"/>
      <c r="N26" s="942">
        <f>AO6</f>
        <v>7.42</v>
      </c>
      <c r="O26" s="879" t="str">
        <f>"General Construction for " &amp; TabName3</f>
        <v>General Construction for Phase 3</v>
      </c>
      <c r="P26" s="949" t="s">
        <v>257</v>
      </c>
      <c r="R26" s="879">
        <f>INDEX(ValidateTable,19)</f>
        <v>19</v>
      </c>
      <c r="W26" s="915">
        <f t="shared" si="8"/>
        <v>0</v>
      </c>
      <c r="X26" s="915">
        <f t="shared" si="9"/>
        <v>0</v>
      </c>
      <c r="Y26" s="915">
        <f t="shared" si="10"/>
        <v>0</v>
      </c>
      <c r="Z26" s="915">
        <f t="shared" si="13"/>
        <v>0</v>
      </c>
      <c r="AA26" s="915">
        <f t="shared" si="14"/>
        <v>0</v>
      </c>
      <c r="AB26" s="915">
        <f t="shared" si="15"/>
        <v>0</v>
      </c>
      <c r="AC26" s="915">
        <f t="shared" si="16"/>
        <v>0</v>
      </c>
      <c r="AD26" s="915">
        <f t="shared" si="17"/>
        <v>0</v>
      </c>
      <c r="AE26" s="915">
        <f t="shared" si="18"/>
        <v>0</v>
      </c>
      <c r="AF26" s="915">
        <f t="shared" si="19"/>
        <v>0</v>
      </c>
      <c r="AG26" s="915">
        <f t="shared" si="20"/>
        <v>0</v>
      </c>
      <c r="AH26" s="915">
        <f t="shared" si="21"/>
        <v>0</v>
      </c>
      <c r="AI26" s="915">
        <f t="shared" si="22"/>
        <v>0</v>
      </c>
      <c r="AJ26" s="915">
        <f t="shared" si="23"/>
        <v>0</v>
      </c>
      <c r="AK26" s="915">
        <f t="shared" si="24"/>
        <v>0</v>
      </c>
      <c r="AL26" s="915">
        <f t="shared" si="25"/>
        <v>0</v>
      </c>
      <c r="AM26" s="915">
        <f t="shared" si="26"/>
        <v>0</v>
      </c>
      <c r="AN26" s="915">
        <f t="shared" si="27"/>
        <v>0</v>
      </c>
      <c r="AO26" s="915">
        <f t="shared" si="28"/>
        <v>7.42</v>
      </c>
      <c r="AP26" s="915">
        <f t="shared" si="29"/>
        <v>0</v>
      </c>
      <c r="AQ26" s="915">
        <f t="shared" si="30"/>
        <v>0</v>
      </c>
      <c r="AR26" s="915">
        <f t="shared" si="31"/>
        <v>0</v>
      </c>
      <c r="AS26" s="915">
        <f t="shared" si="32"/>
        <v>0</v>
      </c>
      <c r="AT26" s="915">
        <f t="shared" si="33"/>
        <v>0</v>
      </c>
      <c r="AU26" s="915">
        <f t="shared" si="34"/>
        <v>0</v>
      </c>
      <c r="AV26" s="915">
        <f t="shared" si="35"/>
        <v>0</v>
      </c>
      <c r="AW26" s="915">
        <f t="shared" si="36"/>
        <v>0</v>
      </c>
      <c r="AX26" s="915">
        <f t="shared" si="37"/>
        <v>0</v>
      </c>
      <c r="AY26" s="915">
        <f t="shared" si="38"/>
        <v>0</v>
      </c>
      <c r="AZ26" s="915">
        <f t="shared" si="39"/>
        <v>0</v>
      </c>
      <c r="BA26" s="915">
        <f t="shared" si="40"/>
        <v>0</v>
      </c>
      <c r="BB26" s="915">
        <f t="shared" si="41"/>
        <v>0</v>
      </c>
      <c r="BC26" s="915">
        <f t="shared" si="42"/>
        <v>0</v>
      </c>
      <c r="BD26" s="915">
        <f t="shared" si="43"/>
        <v>0</v>
      </c>
      <c r="BE26" s="915">
        <f t="shared" si="44"/>
        <v>0</v>
      </c>
      <c r="BF26" s="915">
        <f t="shared" si="45"/>
        <v>0</v>
      </c>
      <c r="BG26" s="915">
        <f t="shared" si="46"/>
        <v>0</v>
      </c>
      <c r="BH26" s="915">
        <f t="shared" si="47"/>
        <v>0</v>
      </c>
      <c r="BI26" s="915">
        <f t="shared" si="48"/>
        <v>0</v>
      </c>
      <c r="BJ26" s="915">
        <f t="shared" si="49"/>
        <v>0</v>
      </c>
      <c r="BK26" s="915">
        <f t="shared" si="50"/>
        <v>0</v>
      </c>
      <c r="BL26" s="915">
        <f t="shared" si="51"/>
        <v>0</v>
      </c>
      <c r="BM26" s="915">
        <f t="shared" si="52"/>
        <v>0</v>
      </c>
      <c r="BN26" s="915">
        <f t="shared" si="53"/>
        <v>0</v>
      </c>
      <c r="BO26" s="915">
        <f t="shared" si="54"/>
        <v>0</v>
      </c>
      <c r="BP26" s="915">
        <f t="shared" si="55"/>
        <v>0</v>
      </c>
      <c r="BQ26" s="915">
        <f t="shared" si="56"/>
        <v>0</v>
      </c>
      <c r="BR26" s="915">
        <f t="shared" si="57"/>
        <v>0</v>
      </c>
      <c r="BS26" s="915">
        <f t="shared" si="58"/>
        <v>0</v>
      </c>
      <c r="BT26" s="915">
        <f t="shared" si="59"/>
        <v>0</v>
      </c>
      <c r="BU26" s="915">
        <f t="shared" si="60"/>
        <v>0</v>
      </c>
      <c r="BV26" s="915">
        <f t="shared" si="61"/>
        <v>0</v>
      </c>
      <c r="BW26" s="915">
        <f t="shared" si="62"/>
        <v>0</v>
      </c>
      <c r="BX26" s="915">
        <f t="shared" si="63"/>
        <v>0</v>
      </c>
      <c r="BY26" s="915">
        <f t="shared" si="64"/>
        <v>0</v>
      </c>
      <c r="BZ26" s="915">
        <f t="shared" si="65"/>
        <v>0</v>
      </c>
      <c r="CA26" s="915">
        <f t="shared" si="66"/>
        <v>0</v>
      </c>
      <c r="CB26" s="915">
        <f t="shared" si="67"/>
        <v>0</v>
      </c>
      <c r="CC26" s="915">
        <f t="shared" si="68"/>
        <v>0</v>
      </c>
      <c r="CD26" s="915">
        <f t="shared" si="69"/>
        <v>0</v>
      </c>
      <c r="CE26" s="915">
        <f t="shared" si="70"/>
        <v>0</v>
      </c>
      <c r="CF26" s="915">
        <f t="shared" si="71"/>
        <v>0</v>
      </c>
      <c r="CG26" s="915">
        <f t="shared" si="72"/>
        <v>0</v>
      </c>
      <c r="CH26" s="915">
        <f t="shared" si="73"/>
        <v>0</v>
      </c>
      <c r="CI26" s="915">
        <f t="shared" si="74"/>
        <v>0</v>
      </c>
      <c r="CJ26" s="915">
        <f t="shared" si="75"/>
        <v>0</v>
      </c>
      <c r="CK26" s="915">
        <f t="shared" si="76"/>
        <v>0</v>
      </c>
      <c r="CL26" s="915">
        <f t="shared" si="77"/>
        <v>0</v>
      </c>
      <c r="CM26" s="915">
        <f t="shared" si="78"/>
        <v>0</v>
      </c>
      <c r="CN26" s="915">
        <f t="shared" si="79"/>
        <v>0</v>
      </c>
      <c r="CO26" s="915">
        <f t="shared" si="80"/>
        <v>0</v>
      </c>
      <c r="CP26" s="915">
        <f t="shared" si="81"/>
        <v>0</v>
      </c>
      <c r="CQ26" s="915">
        <f t="shared" si="82"/>
        <v>0</v>
      </c>
      <c r="CR26" s="915">
        <f t="shared" si="83"/>
        <v>0</v>
      </c>
      <c r="CS26" s="915">
        <f t="shared" si="84"/>
        <v>0</v>
      </c>
      <c r="CT26" s="915">
        <f t="shared" si="85"/>
        <v>0</v>
      </c>
      <c r="CU26" s="915">
        <f t="shared" si="86"/>
        <v>0</v>
      </c>
      <c r="CV26" s="915">
        <f t="shared" si="87"/>
        <v>0</v>
      </c>
      <c r="CW26" s="915">
        <f t="shared" si="88"/>
        <v>0</v>
      </c>
      <c r="CX26" s="915">
        <f t="shared" si="89"/>
        <v>0</v>
      </c>
      <c r="CY26" s="915">
        <f t="shared" si="90"/>
        <v>0</v>
      </c>
      <c r="CZ26" s="915">
        <f t="shared" si="91"/>
        <v>0</v>
      </c>
      <c r="DA26" s="915">
        <f t="shared" si="92"/>
        <v>0</v>
      </c>
      <c r="DB26" s="915">
        <f t="shared" si="93"/>
        <v>0</v>
      </c>
      <c r="DC26" s="915">
        <f t="shared" si="94"/>
        <v>0</v>
      </c>
      <c r="DD26" s="915">
        <f t="shared" si="95"/>
        <v>0</v>
      </c>
      <c r="DE26" s="915">
        <f t="shared" si="96"/>
        <v>0</v>
      </c>
      <c r="DF26" s="915">
        <f t="shared" si="97"/>
        <v>0</v>
      </c>
      <c r="DG26" s="915">
        <f t="shared" si="98"/>
        <v>0</v>
      </c>
      <c r="DH26" s="915">
        <f t="shared" si="99"/>
        <v>0</v>
      </c>
      <c r="DI26" s="915">
        <f t="shared" si="100"/>
        <v>0</v>
      </c>
      <c r="DJ26" s="915">
        <f t="shared" si="101"/>
        <v>0</v>
      </c>
      <c r="DK26" s="915">
        <f t="shared" si="102"/>
        <v>0</v>
      </c>
      <c r="DL26" s="915">
        <f t="shared" si="103"/>
        <v>0</v>
      </c>
      <c r="DM26" s="915">
        <f t="shared" si="104"/>
        <v>0</v>
      </c>
      <c r="DN26" s="915">
        <f t="shared" si="105"/>
        <v>0</v>
      </c>
      <c r="DO26" s="915">
        <f t="shared" si="106"/>
        <v>0</v>
      </c>
      <c r="DP26" s="915">
        <f t="shared" si="107"/>
        <v>0</v>
      </c>
      <c r="DQ26" s="915">
        <f t="shared" si="108"/>
        <v>0</v>
      </c>
      <c r="DR26" s="915">
        <f t="shared" si="109"/>
        <v>0</v>
      </c>
      <c r="DS26" s="915">
        <f t="shared" si="110"/>
        <v>0</v>
      </c>
      <c r="DT26" s="915">
        <f t="shared" si="111"/>
        <v>0</v>
      </c>
      <c r="DU26" s="915">
        <f t="shared" si="112"/>
        <v>0</v>
      </c>
      <c r="DV26" s="915">
        <f t="shared" si="113"/>
        <v>0</v>
      </c>
      <c r="DW26" s="915">
        <f t="shared" si="114"/>
        <v>0</v>
      </c>
      <c r="DX26" s="915">
        <f t="shared" si="115"/>
        <v>0</v>
      </c>
      <c r="DY26" s="915">
        <f t="shared" si="116"/>
        <v>0</v>
      </c>
      <c r="DZ26" s="915">
        <f t="shared" si="117"/>
        <v>0</v>
      </c>
      <c r="EA26" s="915">
        <f t="shared" si="118"/>
        <v>0</v>
      </c>
      <c r="EB26" s="915">
        <f t="shared" si="119"/>
        <v>0</v>
      </c>
      <c r="EC26" s="915">
        <f t="shared" si="120"/>
        <v>0</v>
      </c>
      <c r="ED26" s="915">
        <f t="shared" si="121"/>
        <v>0</v>
      </c>
      <c r="EE26" s="915">
        <f t="shared" si="122"/>
        <v>0</v>
      </c>
      <c r="EF26" s="915">
        <f t="shared" si="123"/>
        <v>0</v>
      </c>
      <c r="EG26" s="915">
        <f t="shared" si="124"/>
        <v>0</v>
      </c>
      <c r="EH26" s="915">
        <f t="shared" si="125"/>
        <v>0</v>
      </c>
      <c r="EI26" s="915">
        <f t="shared" si="126"/>
        <v>0</v>
      </c>
      <c r="EJ26" s="915">
        <f t="shared" si="127"/>
        <v>0</v>
      </c>
      <c r="EK26" s="915">
        <f t="shared" si="128"/>
        <v>0</v>
      </c>
      <c r="EL26" s="915">
        <f t="shared" si="129"/>
        <v>0</v>
      </c>
      <c r="EM26" s="915">
        <f t="shared" si="130"/>
        <v>0</v>
      </c>
      <c r="EN26" s="915">
        <f t="shared" si="131"/>
        <v>0</v>
      </c>
      <c r="EO26" s="915">
        <f t="shared" si="132"/>
        <v>0</v>
      </c>
      <c r="EP26" s="915">
        <f t="shared" si="133"/>
        <v>0</v>
      </c>
      <c r="EQ26" s="915">
        <f t="shared" si="134"/>
        <v>0</v>
      </c>
      <c r="ER26" s="915">
        <f t="shared" si="135"/>
        <v>0</v>
      </c>
      <c r="ES26" s="915">
        <f t="shared" si="136"/>
        <v>0</v>
      </c>
      <c r="ET26" s="915">
        <f t="shared" si="137"/>
        <v>0</v>
      </c>
      <c r="EU26" s="915">
        <f t="shared" si="138"/>
        <v>0</v>
      </c>
      <c r="EV26" s="915">
        <f t="shared" si="139"/>
        <v>0</v>
      </c>
      <c r="EW26" s="915">
        <f t="shared" si="140"/>
        <v>0</v>
      </c>
      <c r="EX26" s="915">
        <f t="shared" si="141"/>
        <v>0</v>
      </c>
      <c r="EY26" s="915">
        <f t="shared" si="142"/>
        <v>0</v>
      </c>
      <c r="EZ26" s="915">
        <f t="shared" si="143"/>
        <v>0</v>
      </c>
      <c r="FA26" s="915">
        <f t="shared" si="144"/>
        <v>0</v>
      </c>
      <c r="FB26" s="915">
        <f t="shared" si="145"/>
        <v>0</v>
      </c>
      <c r="FC26" s="915">
        <f t="shared" si="146"/>
        <v>0</v>
      </c>
      <c r="FD26" s="915">
        <f t="shared" si="147"/>
        <v>0</v>
      </c>
      <c r="FE26" s="915">
        <f t="shared" si="148"/>
        <v>0</v>
      </c>
      <c r="FF26" s="915">
        <f t="shared" si="149"/>
        <v>0</v>
      </c>
      <c r="FG26" s="915">
        <f t="shared" si="150"/>
        <v>0</v>
      </c>
      <c r="FH26" s="915">
        <f t="shared" si="151"/>
        <v>0</v>
      </c>
      <c r="FI26" s="915">
        <f t="shared" si="152"/>
        <v>0</v>
      </c>
      <c r="FJ26" s="915">
        <f t="shared" si="153"/>
        <v>0</v>
      </c>
      <c r="FK26" s="915">
        <f t="shared" si="154"/>
        <v>0</v>
      </c>
      <c r="FL26" s="915">
        <f t="shared" si="155"/>
        <v>0</v>
      </c>
      <c r="FM26" s="915">
        <f t="shared" si="156"/>
        <v>0</v>
      </c>
      <c r="FN26" s="915">
        <f t="shared" si="157"/>
        <v>0</v>
      </c>
      <c r="FO26" s="915">
        <f t="shared" si="158"/>
        <v>0</v>
      </c>
      <c r="FP26" s="915">
        <f t="shared" si="159"/>
        <v>0</v>
      </c>
      <c r="FQ26" s="915">
        <f t="shared" si="160"/>
        <v>0</v>
      </c>
      <c r="FR26" s="915">
        <f t="shared" si="161"/>
        <v>0</v>
      </c>
      <c r="FS26" s="915">
        <f t="shared" si="162"/>
        <v>0</v>
      </c>
      <c r="FT26" s="915">
        <f t="shared" si="163"/>
        <v>0</v>
      </c>
      <c r="FU26" s="915">
        <f t="shared" si="164"/>
        <v>0</v>
      </c>
      <c r="FV26" s="915">
        <f t="shared" si="165"/>
        <v>0</v>
      </c>
      <c r="FW26" s="915">
        <f t="shared" si="166"/>
        <v>0</v>
      </c>
      <c r="FX26" s="915">
        <f t="shared" si="167"/>
        <v>0</v>
      </c>
      <c r="FY26" s="915">
        <f t="shared" si="168"/>
        <v>0</v>
      </c>
      <c r="FZ26" s="915">
        <f t="shared" si="169"/>
        <v>0</v>
      </c>
    </row>
    <row r="27" spans="1:182" ht="14.1" customHeight="1" x14ac:dyDescent="0.2">
      <c r="A27" s="497">
        <v>20</v>
      </c>
      <c r="B27" s="1423"/>
      <c r="C27" s="1431"/>
      <c r="D27" s="138">
        <v>3</v>
      </c>
      <c r="E27" s="138" t="s">
        <v>52</v>
      </c>
      <c r="F27" s="139" t="s">
        <v>2544</v>
      </c>
      <c r="G27" s="139" t="s">
        <v>2542</v>
      </c>
      <c r="H27" s="100">
        <v>7</v>
      </c>
      <c r="I27" s="119">
        <f t="shared" si="11"/>
        <v>0.42</v>
      </c>
      <c r="J27" s="90">
        <f t="shared" si="12"/>
        <v>7.42</v>
      </c>
      <c r="K27" s="225"/>
      <c r="N27" s="942">
        <f>AP6</f>
        <v>7.42</v>
      </c>
      <c r="O27" s="915" t="str">
        <f>"Waste Haul for "&amp;TabName3</f>
        <v>Waste Haul for Phase 3</v>
      </c>
      <c r="P27" s="949" t="s">
        <v>286</v>
      </c>
      <c r="R27" s="879">
        <f>INDEX(ValidateTable,20)</f>
        <v>20</v>
      </c>
      <c r="W27" s="915">
        <f t="shared" si="8"/>
        <v>0</v>
      </c>
      <c r="X27" s="915">
        <f t="shared" si="9"/>
        <v>0</v>
      </c>
      <c r="Y27" s="915">
        <f t="shared" si="10"/>
        <v>0</v>
      </c>
      <c r="Z27" s="915">
        <f t="shared" si="13"/>
        <v>0</v>
      </c>
      <c r="AA27" s="915">
        <f t="shared" si="14"/>
        <v>0</v>
      </c>
      <c r="AB27" s="915">
        <f t="shared" si="15"/>
        <v>0</v>
      </c>
      <c r="AC27" s="915">
        <f t="shared" si="16"/>
        <v>0</v>
      </c>
      <c r="AD27" s="915">
        <f t="shared" si="17"/>
        <v>0</v>
      </c>
      <c r="AE27" s="915">
        <f t="shared" si="18"/>
        <v>0</v>
      </c>
      <c r="AF27" s="915">
        <f t="shared" si="19"/>
        <v>0</v>
      </c>
      <c r="AG27" s="915">
        <f t="shared" si="20"/>
        <v>0</v>
      </c>
      <c r="AH27" s="915">
        <f t="shared" si="21"/>
        <v>0</v>
      </c>
      <c r="AI27" s="915">
        <f t="shared" si="22"/>
        <v>0</v>
      </c>
      <c r="AJ27" s="915">
        <f t="shared" si="23"/>
        <v>0</v>
      </c>
      <c r="AK27" s="915">
        <f t="shared" si="24"/>
        <v>0</v>
      </c>
      <c r="AL27" s="915">
        <f t="shared" si="25"/>
        <v>0</v>
      </c>
      <c r="AM27" s="915">
        <f t="shared" si="26"/>
        <v>0</v>
      </c>
      <c r="AN27" s="915">
        <f t="shared" si="27"/>
        <v>0</v>
      </c>
      <c r="AO27" s="915">
        <f t="shared" si="28"/>
        <v>0</v>
      </c>
      <c r="AP27" s="915">
        <f t="shared" si="29"/>
        <v>7.42</v>
      </c>
      <c r="AQ27" s="915">
        <f t="shared" si="30"/>
        <v>0</v>
      </c>
      <c r="AR27" s="915">
        <f t="shared" si="31"/>
        <v>0</v>
      </c>
      <c r="AS27" s="915">
        <f t="shared" si="32"/>
        <v>0</v>
      </c>
      <c r="AT27" s="915">
        <f t="shared" si="33"/>
        <v>0</v>
      </c>
      <c r="AU27" s="915">
        <f t="shared" si="34"/>
        <v>0</v>
      </c>
      <c r="AV27" s="915">
        <f t="shared" si="35"/>
        <v>0</v>
      </c>
      <c r="AW27" s="915">
        <f t="shared" si="36"/>
        <v>0</v>
      </c>
      <c r="AX27" s="915">
        <f t="shared" si="37"/>
        <v>0</v>
      </c>
      <c r="AY27" s="915">
        <f t="shared" si="38"/>
        <v>0</v>
      </c>
      <c r="AZ27" s="915">
        <f t="shared" si="39"/>
        <v>0</v>
      </c>
      <c r="BA27" s="915">
        <f t="shared" si="40"/>
        <v>0</v>
      </c>
      <c r="BB27" s="915">
        <f t="shared" si="41"/>
        <v>0</v>
      </c>
      <c r="BC27" s="915">
        <f t="shared" si="42"/>
        <v>0</v>
      </c>
      <c r="BD27" s="915">
        <f t="shared" si="43"/>
        <v>0</v>
      </c>
      <c r="BE27" s="915">
        <f t="shared" si="44"/>
        <v>0</v>
      </c>
      <c r="BF27" s="915">
        <f t="shared" si="45"/>
        <v>0</v>
      </c>
      <c r="BG27" s="915">
        <f t="shared" si="46"/>
        <v>0</v>
      </c>
      <c r="BH27" s="915">
        <f t="shared" si="47"/>
        <v>0</v>
      </c>
      <c r="BI27" s="915">
        <f t="shared" si="48"/>
        <v>0</v>
      </c>
      <c r="BJ27" s="915">
        <f t="shared" si="49"/>
        <v>0</v>
      </c>
      <c r="BK27" s="915">
        <f t="shared" si="50"/>
        <v>0</v>
      </c>
      <c r="BL27" s="915">
        <f t="shared" si="51"/>
        <v>0</v>
      </c>
      <c r="BM27" s="915">
        <f t="shared" si="52"/>
        <v>0</v>
      </c>
      <c r="BN27" s="915">
        <f t="shared" si="53"/>
        <v>0</v>
      </c>
      <c r="BO27" s="915">
        <f t="shared" si="54"/>
        <v>0</v>
      </c>
      <c r="BP27" s="915">
        <f t="shared" si="55"/>
        <v>0</v>
      </c>
      <c r="BQ27" s="915">
        <f t="shared" si="56"/>
        <v>0</v>
      </c>
      <c r="BR27" s="915">
        <f t="shared" si="57"/>
        <v>0</v>
      </c>
      <c r="BS27" s="915">
        <f t="shared" si="58"/>
        <v>0</v>
      </c>
      <c r="BT27" s="915">
        <f t="shared" si="59"/>
        <v>0</v>
      </c>
      <c r="BU27" s="915">
        <f t="shared" si="60"/>
        <v>0</v>
      </c>
      <c r="BV27" s="915">
        <f t="shared" si="61"/>
        <v>0</v>
      </c>
      <c r="BW27" s="915">
        <f t="shared" si="62"/>
        <v>0</v>
      </c>
      <c r="BX27" s="915">
        <f t="shared" si="63"/>
        <v>0</v>
      </c>
      <c r="BY27" s="915">
        <f t="shared" si="64"/>
        <v>0</v>
      </c>
      <c r="BZ27" s="915">
        <f t="shared" si="65"/>
        <v>0</v>
      </c>
      <c r="CA27" s="915">
        <f t="shared" si="66"/>
        <v>0</v>
      </c>
      <c r="CB27" s="915">
        <f t="shared" si="67"/>
        <v>0</v>
      </c>
      <c r="CC27" s="915">
        <f t="shared" si="68"/>
        <v>0</v>
      </c>
      <c r="CD27" s="915">
        <f t="shared" si="69"/>
        <v>0</v>
      </c>
      <c r="CE27" s="915">
        <f t="shared" si="70"/>
        <v>0</v>
      </c>
      <c r="CF27" s="915">
        <f t="shared" si="71"/>
        <v>0</v>
      </c>
      <c r="CG27" s="915">
        <f t="shared" si="72"/>
        <v>0</v>
      </c>
      <c r="CH27" s="915">
        <f t="shared" si="73"/>
        <v>0</v>
      </c>
      <c r="CI27" s="915">
        <f t="shared" si="74"/>
        <v>0</v>
      </c>
      <c r="CJ27" s="915">
        <f t="shared" si="75"/>
        <v>0</v>
      </c>
      <c r="CK27" s="915">
        <f t="shared" si="76"/>
        <v>0</v>
      </c>
      <c r="CL27" s="915">
        <f t="shared" si="77"/>
        <v>0</v>
      </c>
      <c r="CM27" s="915">
        <f t="shared" si="78"/>
        <v>0</v>
      </c>
      <c r="CN27" s="915">
        <f t="shared" si="79"/>
        <v>0</v>
      </c>
      <c r="CO27" s="915">
        <f t="shared" si="80"/>
        <v>0</v>
      </c>
      <c r="CP27" s="915">
        <f t="shared" si="81"/>
        <v>0</v>
      </c>
      <c r="CQ27" s="915">
        <f t="shared" si="82"/>
        <v>0</v>
      </c>
      <c r="CR27" s="915">
        <f t="shared" si="83"/>
        <v>0</v>
      </c>
      <c r="CS27" s="915">
        <f t="shared" si="84"/>
        <v>0</v>
      </c>
      <c r="CT27" s="915">
        <f t="shared" si="85"/>
        <v>0</v>
      </c>
      <c r="CU27" s="915">
        <f t="shared" si="86"/>
        <v>0</v>
      </c>
      <c r="CV27" s="915">
        <f t="shared" si="87"/>
        <v>0</v>
      </c>
      <c r="CW27" s="915">
        <f t="shared" si="88"/>
        <v>0</v>
      </c>
      <c r="CX27" s="915">
        <f t="shared" si="89"/>
        <v>0</v>
      </c>
      <c r="CY27" s="915">
        <f t="shared" si="90"/>
        <v>0</v>
      </c>
      <c r="CZ27" s="915">
        <f t="shared" si="91"/>
        <v>0</v>
      </c>
      <c r="DA27" s="915">
        <f t="shared" si="92"/>
        <v>0</v>
      </c>
      <c r="DB27" s="915">
        <f t="shared" si="93"/>
        <v>0</v>
      </c>
      <c r="DC27" s="915">
        <f t="shared" si="94"/>
        <v>0</v>
      </c>
      <c r="DD27" s="915">
        <f t="shared" si="95"/>
        <v>0</v>
      </c>
      <c r="DE27" s="915">
        <f t="shared" si="96"/>
        <v>0</v>
      </c>
      <c r="DF27" s="915">
        <f t="shared" si="97"/>
        <v>0</v>
      </c>
      <c r="DG27" s="915">
        <f t="shared" si="98"/>
        <v>0</v>
      </c>
      <c r="DH27" s="915">
        <f t="shared" si="99"/>
        <v>0</v>
      </c>
      <c r="DI27" s="915">
        <f t="shared" si="100"/>
        <v>0</v>
      </c>
      <c r="DJ27" s="915">
        <f t="shared" si="101"/>
        <v>0</v>
      </c>
      <c r="DK27" s="915">
        <f t="shared" si="102"/>
        <v>0</v>
      </c>
      <c r="DL27" s="915">
        <f t="shared" si="103"/>
        <v>0</v>
      </c>
      <c r="DM27" s="915">
        <f t="shared" si="104"/>
        <v>0</v>
      </c>
      <c r="DN27" s="915">
        <f t="shared" si="105"/>
        <v>0</v>
      </c>
      <c r="DO27" s="915">
        <f t="shared" si="106"/>
        <v>0</v>
      </c>
      <c r="DP27" s="915">
        <f t="shared" si="107"/>
        <v>0</v>
      </c>
      <c r="DQ27" s="915">
        <f t="shared" si="108"/>
        <v>0</v>
      </c>
      <c r="DR27" s="915">
        <f t="shared" si="109"/>
        <v>0</v>
      </c>
      <c r="DS27" s="915">
        <f t="shared" si="110"/>
        <v>0</v>
      </c>
      <c r="DT27" s="915">
        <f t="shared" si="111"/>
        <v>0</v>
      </c>
      <c r="DU27" s="915">
        <f t="shared" si="112"/>
        <v>0</v>
      </c>
      <c r="DV27" s="915">
        <f t="shared" si="113"/>
        <v>0</v>
      </c>
      <c r="DW27" s="915">
        <f t="shared" si="114"/>
        <v>0</v>
      </c>
      <c r="DX27" s="915">
        <f t="shared" si="115"/>
        <v>0</v>
      </c>
      <c r="DY27" s="915">
        <f t="shared" si="116"/>
        <v>0</v>
      </c>
      <c r="DZ27" s="915">
        <f t="shared" si="117"/>
        <v>0</v>
      </c>
      <c r="EA27" s="915">
        <f t="shared" si="118"/>
        <v>0</v>
      </c>
      <c r="EB27" s="915">
        <f t="shared" si="119"/>
        <v>0</v>
      </c>
      <c r="EC27" s="915">
        <f t="shared" si="120"/>
        <v>0</v>
      </c>
      <c r="ED27" s="915">
        <f t="shared" si="121"/>
        <v>0</v>
      </c>
      <c r="EE27" s="915">
        <f t="shared" si="122"/>
        <v>0</v>
      </c>
      <c r="EF27" s="915">
        <f t="shared" si="123"/>
        <v>0</v>
      </c>
      <c r="EG27" s="915">
        <f t="shared" si="124"/>
        <v>0</v>
      </c>
      <c r="EH27" s="915">
        <f t="shared" si="125"/>
        <v>0</v>
      </c>
      <c r="EI27" s="915">
        <f t="shared" si="126"/>
        <v>0</v>
      </c>
      <c r="EJ27" s="915">
        <f t="shared" si="127"/>
        <v>0</v>
      </c>
      <c r="EK27" s="915">
        <f t="shared" si="128"/>
        <v>0</v>
      </c>
      <c r="EL27" s="915">
        <f t="shared" si="129"/>
        <v>0</v>
      </c>
      <c r="EM27" s="915">
        <f t="shared" si="130"/>
        <v>0</v>
      </c>
      <c r="EN27" s="915">
        <f t="shared" si="131"/>
        <v>0</v>
      </c>
      <c r="EO27" s="915">
        <f t="shared" si="132"/>
        <v>0</v>
      </c>
      <c r="EP27" s="915">
        <f t="shared" si="133"/>
        <v>0</v>
      </c>
      <c r="EQ27" s="915">
        <f t="shared" si="134"/>
        <v>0</v>
      </c>
      <c r="ER27" s="915">
        <f t="shared" si="135"/>
        <v>0</v>
      </c>
      <c r="ES27" s="915">
        <f t="shared" si="136"/>
        <v>0</v>
      </c>
      <c r="ET27" s="915">
        <f t="shared" si="137"/>
        <v>0</v>
      </c>
      <c r="EU27" s="915">
        <f t="shared" si="138"/>
        <v>0</v>
      </c>
      <c r="EV27" s="915">
        <f t="shared" si="139"/>
        <v>0</v>
      </c>
      <c r="EW27" s="915">
        <f t="shared" si="140"/>
        <v>0</v>
      </c>
      <c r="EX27" s="915">
        <f t="shared" si="141"/>
        <v>0</v>
      </c>
      <c r="EY27" s="915">
        <f t="shared" si="142"/>
        <v>0</v>
      </c>
      <c r="EZ27" s="915">
        <f t="shared" si="143"/>
        <v>0</v>
      </c>
      <c r="FA27" s="915">
        <f t="shared" si="144"/>
        <v>0</v>
      </c>
      <c r="FB27" s="915">
        <f t="shared" si="145"/>
        <v>0</v>
      </c>
      <c r="FC27" s="915">
        <f t="shared" si="146"/>
        <v>0</v>
      </c>
      <c r="FD27" s="915">
        <f t="shared" si="147"/>
        <v>0</v>
      </c>
      <c r="FE27" s="915">
        <f t="shared" si="148"/>
        <v>0</v>
      </c>
      <c r="FF27" s="915">
        <f t="shared" si="149"/>
        <v>0</v>
      </c>
      <c r="FG27" s="915">
        <f t="shared" si="150"/>
        <v>0</v>
      </c>
      <c r="FH27" s="915">
        <f t="shared" si="151"/>
        <v>0</v>
      </c>
      <c r="FI27" s="915">
        <f t="shared" si="152"/>
        <v>0</v>
      </c>
      <c r="FJ27" s="915">
        <f t="shared" si="153"/>
        <v>0</v>
      </c>
      <c r="FK27" s="915">
        <f t="shared" si="154"/>
        <v>0</v>
      </c>
      <c r="FL27" s="915">
        <f t="shared" si="155"/>
        <v>0</v>
      </c>
      <c r="FM27" s="915">
        <f t="shared" si="156"/>
        <v>0</v>
      </c>
      <c r="FN27" s="915">
        <f t="shared" si="157"/>
        <v>0</v>
      </c>
      <c r="FO27" s="915">
        <f t="shared" si="158"/>
        <v>0</v>
      </c>
      <c r="FP27" s="915">
        <f t="shared" si="159"/>
        <v>0</v>
      </c>
      <c r="FQ27" s="915">
        <f t="shared" si="160"/>
        <v>0</v>
      </c>
      <c r="FR27" s="915">
        <f t="shared" si="161"/>
        <v>0</v>
      </c>
      <c r="FS27" s="915">
        <f t="shared" si="162"/>
        <v>0</v>
      </c>
      <c r="FT27" s="915">
        <f t="shared" si="163"/>
        <v>0</v>
      </c>
      <c r="FU27" s="915">
        <f t="shared" si="164"/>
        <v>0</v>
      </c>
      <c r="FV27" s="915">
        <f t="shared" si="165"/>
        <v>0</v>
      </c>
      <c r="FW27" s="915">
        <f t="shared" si="166"/>
        <v>0</v>
      </c>
      <c r="FX27" s="915">
        <f t="shared" si="167"/>
        <v>0</v>
      </c>
      <c r="FY27" s="915">
        <f t="shared" si="168"/>
        <v>0</v>
      </c>
      <c r="FZ27" s="915">
        <f t="shared" si="169"/>
        <v>0</v>
      </c>
    </row>
    <row r="28" spans="1:182" ht="14.1" customHeight="1" x14ac:dyDescent="0.2">
      <c r="A28" s="496">
        <v>21</v>
      </c>
      <c r="B28" s="1419"/>
      <c r="C28" s="1420"/>
      <c r="D28" s="264">
        <v>3</v>
      </c>
      <c r="E28" s="264" t="s">
        <v>30</v>
      </c>
      <c r="F28" s="270" t="s">
        <v>2544</v>
      </c>
      <c r="G28" s="270" t="s">
        <v>2542</v>
      </c>
      <c r="H28" s="272">
        <v>7</v>
      </c>
      <c r="I28" s="268">
        <f t="shared" si="11"/>
        <v>0.42</v>
      </c>
      <c r="J28" s="269">
        <f t="shared" si="12"/>
        <v>7.42</v>
      </c>
      <c r="K28" s="225"/>
      <c r="N28" s="942">
        <f>AQ6</f>
        <v>7.42</v>
      </c>
      <c r="O28" s="879" t="str">
        <f>"Surveying/Inspection for " &amp; TabName3</f>
        <v>Surveying/Inspection for Phase 3</v>
      </c>
      <c r="P28" s="950" t="s">
        <v>258</v>
      </c>
      <c r="W28" s="915">
        <f t="shared" si="8"/>
        <v>0</v>
      </c>
      <c r="X28" s="915">
        <f t="shared" si="9"/>
        <v>0</v>
      </c>
      <c r="Y28" s="915">
        <f t="shared" si="10"/>
        <v>0</v>
      </c>
      <c r="Z28" s="915">
        <f t="shared" si="13"/>
        <v>0</v>
      </c>
      <c r="AA28" s="915">
        <f t="shared" si="14"/>
        <v>0</v>
      </c>
      <c r="AB28" s="915">
        <f t="shared" si="15"/>
        <v>0</v>
      </c>
      <c r="AC28" s="915">
        <f t="shared" si="16"/>
        <v>0</v>
      </c>
      <c r="AD28" s="915">
        <f t="shared" si="17"/>
        <v>0</v>
      </c>
      <c r="AE28" s="915">
        <f t="shared" si="18"/>
        <v>0</v>
      </c>
      <c r="AF28" s="915">
        <f t="shared" si="19"/>
        <v>0</v>
      </c>
      <c r="AG28" s="915">
        <f t="shared" si="20"/>
        <v>0</v>
      </c>
      <c r="AH28" s="915">
        <f t="shared" si="21"/>
        <v>0</v>
      </c>
      <c r="AI28" s="915">
        <f t="shared" si="22"/>
        <v>0</v>
      </c>
      <c r="AJ28" s="915">
        <f t="shared" si="23"/>
        <v>0</v>
      </c>
      <c r="AK28" s="915">
        <f t="shared" si="24"/>
        <v>0</v>
      </c>
      <c r="AL28" s="915">
        <f t="shared" si="25"/>
        <v>0</v>
      </c>
      <c r="AM28" s="915">
        <f t="shared" si="26"/>
        <v>0</v>
      </c>
      <c r="AN28" s="915">
        <f t="shared" si="27"/>
        <v>0</v>
      </c>
      <c r="AO28" s="915">
        <f t="shared" si="28"/>
        <v>0</v>
      </c>
      <c r="AP28" s="915">
        <f t="shared" si="29"/>
        <v>0</v>
      </c>
      <c r="AQ28" s="915">
        <f t="shared" si="30"/>
        <v>7.42</v>
      </c>
      <c r="AR28" s="915">
        <f t="shared" si="31"/>
        <v>0</v>
      </c>
      <c r="AS28" s="915">
        <f t="shared" si="32"/>
        <v>0</v>
      </c>
      <c r="AT28" s="915">
        <f t="shared" si="33"/>
        <v>0</v>
      </c>
      <c r="AU28" s="915">
        <f t="shared" si="34"/>
        <v>0</v>
      </c>
      <c r="AV28" s="915">
        <f t="shared" si="35"/>
        <v>0</v>
      </c>
      <c r="AW28" s="915">
        <f t="shared" si="36"/>
        <v>0</v>
      </c>
      <c r="AX28" s="915">
        <f t="shared" si="37"/>
        <v>0</v>
      </c>
      <c r="AY28" s="915">
        <f t="shared" si="38"/>
        <v>0</v>
      </c>
      <c r="AZ28" s="915">
        <f t="shared" si="39"/>
        <v>0</v>
      </c>
      <c r="BA28" s="915">
        <f t="shared" si="40"/>
        <v>0</v>
      </c>
      <c r="BB28" s="915">
        <f t="shared" si="41"/>
        <v>0</v>
      </c>
      <c r="BC28" s="915">
        <f t="shared" si="42"/>
        <v>0</v>
      </c>
      <c r="BD28" s="915">
        <f t="shared" si="43"/>
        <v>0</v>
      </c>
      <c r="BE28" s="915">
        <f t="shared" si="44"/>
        <v>0</v>
      </c>
      <c r="BF28" s="915">
        <f t="shared" si="45"/>
        <v>0</v>
      </c>
      <c r="BG28" s="915">
        <f t="shared" si="46"/>
        <v>0</v>
      </c>
      <c r="BH28" s="915">
        <f t="shared" si="47"/>
        <v>0</v>
      </c>
      <c r="BI28" s="915">
        <f t="shared" si="48"/>
        <v>0</v>
      </c>
      <c r="BJ28" s="915">
        <f t="shared" si="49"/>
        <v>0</v>
      </c>
      <c r="BK28" s="915">
        <f t="shared" si="50"/>
        <v>0</v>
      </c>
      <c r="BL28" s="915">
        <f t="shared" si="51"/>
        <v>0</v>
      </c>
      <c r="BM28" s="915">
        <f t="shared" si="52"/>
        <v>0</v>
      </c>
      <c r="BN28" s="915">
        <f t="shared" si="53"/>
        <v>0</v>
      </c>
      <c r="BO28" s="915">
        <f t="shared" si="54"/>
        <v>0</v>
      </c>
      <c r="BP28" s="915">
        <f t="shared" si="55"/>
        <v>0</v>
      </c>
      <c r="BQ28" s="915">
        <f t="shared" si="56"/>
        <v>0</v>
      </c>
      <c r="BR28" s="915">
        <f t="shared" si="57"/>
        <v>0</v>
      </c>
      <c r="BS28" s="915">
        <f t="shared" si="58"/>
        <v>0</v>
      </c>
      <c r="BT28" s="915">
        <f t="shared" si="59"/>
        <v>0</v>
      </c>
      <c r="BU28" s="915">
        <f t="shared" si="60"/>
        <v>0</v>
      </c>
      <c r="BV28" s="915">
        <f t="shared" si="61"/>
        <v>0</v>
      </c>
      <c r="BW28" s="915">
        <f t="shared" si="62"/>
        <v>0</v>
      </c>
      <c r="BX28" s="915">
        <f t="shared" si="63"/>
        <v>0</v>
      </c>
      <c r="BY28" s="915">
        <f t="shared" si="64"/>
        <v>0</v>
      </c>
      <c r="BZ28" s="915">
        <f t="shared" si="65"/>
        <v>0</v>
      </c>
      <c r="CA28" s="915">
        <f t="shared" si="66"/>
        <v>0</v>
      </c>
      <c r="CB28" s="915">
        <f t="shared" si="67"/>
        <v>0</v>
      </c>
      <c r="CC28" s="915">
        <f t="shared" si="68"/>
        <v>0</v>
      </c>
      <c r="CD28" s="915">
        <f t="shared" si="69"/>
        <v>0</v>
      </c>
      <c r="CE28" s="915">
        <f t="shared" si="70"/>
        <v>0</v>
      </c>
      <c r="CF28" s="915">
        <f t="shared" si="71"/>
        <v>0</v>
      </c>
      <c r="CG28" s="915">
        <f t="shared" si="72"/>
        <v>0</v>
      </c>
      <c r="CH28" s="915">
        <f t="shared" si="73"/>
        <v>0</v>
      </c>
      <c r="CI28" s="915">
        <f t="shared" si="74"/>
        <v>0</v>
      </c>
      <c r="CJ28" s="915">
        <f t="shared" si="75"/>
        <v>0</v>
      </c>
      <c r="CK28" s="915">
        <f t="shared" si="76"/>
        <v>0</v>
      </c>
      <c r="CL28" s="915">
        <f t="shared" si="77"/>
        <v>0</v>
      </c>
      <c r="CM28" s="915">
        <f t="shared" si="78"/>
        <v>0</v>
      </c>
      <c r="CN28" s="915">
        <f t="shared" si="79"/>
        <v>0</v>
      </c>
      <c r="CO28" s="915">
        <f t="shared" si="80"/>
        <v>0</v>
      </c>
      <c r="CP28" s="915">
        <f t="shared" si="81"/>
        <v>0</v>
      </c>
      <c r="CQ28" s="915">
        <f t="shared" si="82"/>
        <v>0</v>
      </c>
      <c r="CR28" s="915">
        <f t="shared" si="83"/>
        <v>0</v>
      </c>
      <c r="CS28" s="915">
        <f t="shared" si="84"/>
        <v>0</v>
      </c>
      <c r="CT28" s="915">
        <f t="shared" si="85"/>
        <v>0</v>
      </c>
      <c r="CU28" s="915">
        <f t="shared" si="86"/>
        <v>0</v>
      </c>
      <c r="CV28" s="915">
        <f t="shared" si="87"/>
        <v>0</v>
      </c>
      <c r="CW28" s="915">
        <f t="shared" si="88"/>
        <v>0</v>
      </c>
      <c r="CX28" s="915">
        <f t="shared" si="89"/>
        <v>0</v>
      </c>
      <c r="CY28" s="915">
        <f t="shared" si="90"/>
        <v>0</v>
      </c>
      <c r="CZ28" s="915">
        <f t="shared" si="91"/>
        <v>0</v>
      </c>
      <c r="DA28" s="915">
        <f t="shared" si="92"/>
        <v>0</v>
      </c>
      <c r="DB28" s="915">
        <f t="shared" si="93"/>
        <v>0</v>
      </c>
      <c r="DC28" s="915">
        <f t="shared" si="94"/>
        <v>0</v>
      </c>
      <c r="DD28" s="915">
        <f t="shared" si="95"/>
        <v>0</v>
      </c>
      <c r="DE28" s="915">
        <f t="shared" si="96"/>
        <v>0</v>
      </c>
      <c r="DF28" s="915">
        <f t="shared" si="97"/>
        <v>0</v>
      </c>
      <c r="DG28" s="915">
        <f t="shared" si="98"/>
        <v>0</v>
      </c>
      <c r="DH28" s="915">
        <f t="shared" si="99"/>
        <v>0</v>
      </c>
      <c r="DI28" s="915">
        <f t="shared" si="100"/>
        <v>0</v>
      </c>
      <c r="DJ28" s="915">
        <f t="shared" si="101"/>
        <v>0</v>
      </c>
      <c r="DK28" s="915">
        <f t="shared" si="102"/>
        <v>0</v>
      </c>
      <c r="DL28" s="915">
        <f t="shared" si="103"/>
        <v>0</v>
      </c>
      <c r="DM28" s="915">
        <f t="shared" si="104"/>
        <v>0</v>
      </c>
      <c r="DN28" s="915">
        <f t="shared" si="105"/>
        <v>0</v>
      </c>
      <c r="DO28" s="915">
        <f t="shared" si="106"/>
        <v>0</v>
      </c>
      <c r="DP28" s="915">
        <f t="shared" si="107"/>
        <v>0</v>
      </c>
      <c r="DQ28" s="915">
        <f t="shared" si="108"/>
        <v>0</v>
      </c>
      <c r="DR28" s="915">
        <f t="shared" si="109"/>
        <v>0</v>
      </c>
      <c r="DS28" s="915">
        <f t="shared" si="110"/>
        <v>0</v>
      </c>
      <c r="DT28" s="915">
        <f t="shared" si="111"/>
        <v>0</v>
      </c>
      <c r="DU28" s="915">
        <f t="shared" si="112"/>
        <v>0</v>
      </c>
      <c r="DV28" s="915">
        <f t="shared" si="113"/>
        <v>0</v>
      </c>
      <c r="DW28" s="915">
        <f t="shared" si="114"/>
        <v>0</v>
      </c>
      <c r="DX28" s="915">
        <f t="shared" si="115"/>
        <v>0</v>
      </c>
      <c r="DY28" s="915">
        <f t="shared" si="116"/>
        <v>0</v>
      </c>
      <c r="DZ28" s="915">
        <f t="shared" si="117"/>
        <v>0</v>
      </c>
      <c r="EA28" s="915">
        <f t="shared" si="118"/>
        <v>0</v>
      </c>
      <c r="EB28" s="915">
        <f t="shared" si="119"/>
        <v>0</v>
      </c>
      <c r="EC28" s="915">
        <f t="shared" si="120"/>
        <v>0</v>
      </c>
      <c r="ED28" s="915">
        <f t="shared" si="121"/>
        <v>0</v>
      </c>
      <c r="EE28" s="915">
        <f t="shared" si="122"/>
        <v>0</v>
      </c>
      <c r="EF28" s="915">
        <f t="shared" si="123"/>
        <v>0</v>
      </c>
      <c r="EG28" s="915">
        <f t="shared" si="124"/>
        <v>0</v>
      </c>
      <c r="EH28" s="915">
        <f t="shared" si="125"/>
        <v>0</v>
      </c>
      <c r="EI28" s="915">
        <f t="shared" si="126"/>
        <v>0</v>
      </c>
      <c r="EJ28" s="915">
        <f t="shared" si="127"/>
        <v>0</v>
      </c>
      <c r="EK28" s="915">
        <f t="shared" si="128"/>
        <v>0</v>
      </c>
      <c r="EL28" s="915">
        <f t="shared" si="129"/>
        <v>0</v>
      </c>
      <c r="EM28" s="915">
        <f t="shared" si="130"/>
        <v>0</v>
      </c>
      <c r="EN28" s="915">
        <f t="shared" si="131"/>
        <v>0</v>
      </c>
      <c r="EO28" s="915">
        <f t="shared" si="132"/>
        <v>0</v>
      </c>
      <c r="EP28" s="915">
        <f t="shared" si="133"/>
        <v>0</v>
      </c>
      <c r="EQ28" s="915">
        <f t="shared" si="134"/>
        <v>0</v>
      </c>
      <c r="ER28" s="915">
        <f t="shared" si="135"/>
        <v>0</v>
      </c>
      <c r="ES28" s="915">
        <f t="shared" si="136"/>
        <v>0</v>
      </c>
      <c r="ET28" s="915">
        <f t="shared" si="137"/>
        <v>0</v>
      </c>
      <c r="EU28" s="915">
        <f t="shared" si="138"/>
        <v>0</v>
      </c>
      <c r="EV28" s="915">
        <f t="shared" si="139"/>
        <v>0</v>
      </c>
      <c r="EW28" s="915">
        <f t="shared" si="140"/>
        <v>0</v>
      </c>
      <c r="EX28" s="915">
        <f t="shared" si="141"/>
        <v>0</v>
      </c>
      <c r="EY28" s="915">
        <f t="shared" si="142"/>
        <v>0</v>
      </c>
      <c r="EZ28" s="915">
        <f t="shared" si="143"/>
        <v>0</v>
      </c>
      <c r="FA28" s="915">
        <f t="shared" si="144"/>
        <v>0</v>
      </c>
      <c r="FB28" s="915">
        <f t="shared" si="145"/>
        <v>0</v>
      </c>
      <c r="FC28" s="915">
        <f t="shared" si="146"/>
        <v>0</v>
      </c>
      <c r="FD28" s="915">
        <f t="shared" si="147"/>
        <v>0</v>
      </c>
      <c r="FE28" s="915">
        <f t="shared" si="148"/>
        <v>0</v>
      </c>
      <c r="FF28" s="915">
        <f t="shared" si="149"/>
        <v>0</v>
      </c>
      <c r="FG28" s="915">
        <f t="shared" si="150"/>
        <v>0</v>
      </c>
      <c r="FH28" s="915">
        <f t="shared" si="151"/>
        <v>0</v>
      </c>
      <c r="FI28" s="915">
        <f t="shared" si="152"/>
        <v>0</v>
      </c>
      <c r="FJ28" s="915">
        <f t="shared" si="153"/>
        <v>0</v>
      </c>
      <c r="FK28" s="915">
        <f t="shared" si="154"/>
        <v>0</v>
      </c>
      <c r="FL28" s="915">
        <f t="shared" si="155"/>
        <v>0</v>
      </c>
      <c r="FM28" s="915">
        <f t="shared" si="156"/>
        <v>0</v>
      </c>
      <c r="FN28" s="915">
        <f t="shared" si="157"/>
        <v>0</v>
      </c>
      <c r="FO28" s="915">
        <f t="shared" si="158"/>
        <v>0</v>
      </c>
      <c r="FP28" s="915">
        <f t="shared" si="159"/>
        <v>0</v>
      </c>
      <c r="FQ28" s="915">
        <f t="shared" si="160"/>
        <v>0</v>
      </c>
      <c r="FR28" s="915">
        <f t="shared" si="161"/>
        <v>0</v>
      </c>
      <c r="FS28" s="915">
        <f t="shared" si="162"/>
        <v>0</v>
      </c>
      <c r="FT28" s="915">
        <f t="shared" si="163"/>
        <v>0</v>
      </c>
      <c r="FU28" s="915">
        <f t="shared" si="164"/>
        <v>0</v>
      </c>
      <c r="FV28" s="915">
        <f t="shared" si="165"/>
        <v>0</v>
      </c>
      <c r="FW28" s="915">
        <f t="shared" si="166"/>
        <v>0</v>
      </c>
      <c r="FX28" s="915">
        <f t="shared" si="167"/>
        <v>0</v>
      </c>
      <c r="FY28" s="915">
        <f t="shared" si="168"/>
        <v>0</v>
      </c>
      <c r="FZ28" s="915">
        <f t="shared" si="169"/>
        <v>0</v>
      </c>
    </row>
    <row r="29" spans="1:182" ht="14.1" customHeight="1" x14ac:dyDescent="0.2">
      <c r="A29" s="497">
        <v>22</v>
      </c>
      <c r="B29" s="1423"/>
      <c r="C29" s="1431"/>
      <c r="D29" s="138">
        <v>3</v>
      </c>
      <c r="E29" s="138" t="s">
        <v>170</v>
      </c>
      <c r="F29" s="139" t="s">
        <v>2544</v>
      </c>
      <c r="G29" s="139" t="s">
        <v>2542</v>
      </c>
      <c r="H29" s="100">
        <v>7</v>
      </c>
      <c r="I29" s="119">
        <f t="shared" si="11"/>
        <v>0.42</v>
      </c>
      <c r="J29" s="90">
        <f t="shared" si="12"/>
        <v>7.42</v>
      </c>
      <c r="K29" s="225"/>
      <c r="N29" s="942">
        <f>AR6</f>
        <v>7.42</v>
      </c>
      <c r="O29" s="879" t="str">
        <f>"Other subcontractor for " &amp; TabName3</f>
        <v>Other subcontractor for Phase 3</v>
      </c>
      <c r="P29" s="949" t="s">
        <v>259</v>
      </c>
      <c r="W29" s="915">
        <f t="shared" si="8"/>
        <v>0</v>
      </c>
      <c r="X29" s="915">
        <f t="shared" si="9"/>
        <v>0</v>
      </c>
      <c r="Y29" s="915">
        <f t="shared" si="10"/>
        <v>0</v>
      </c>
      <c r="Z29" s="915">
        <f t="shared" si="13"/>
        <v>0</v>
      </c>
      <c r="AA29" s="915">
        <f t="shared" si="14"/>
        <v>0</v>
      </c>
      <c r="AB29" s="915">
        <f t="shared" si="15"/>
        <v>0</v>
      </c>
      <c r="AC29" s="915">
        <f t="shared" si="16"/>
        <v>0</v>
      </c>
      <c r="AD29" s="915">
        <f t="shared" si="17"/>
        <v>0</v>
      </c>
      <c r="AE29" s="915">
        <f t="shared" si="18"/>
        <v>0</v>
      </c>
      <c r="AF29" s="915">
        <f t="shared" si="19"/>
        <v>0</v>
      </c>
      <c r="AG29" s="915">
        <f t="shared" si="20"/>
        <v>0</v>
      </c>
      <c r="AH29" s="915">
        <f t="shared" si="21"/>
        <v>0</v>
      </c>
      <c r="AI29" s="915">
        <f t="shared" si="22"/>
        <v>0</v>
      </c>
      <c r="AJ29" s="915">
        <f t="shared" si="23"/>
        <v>0</v>
      </c>
      <c r="AK29" s="915">
        <f t="shared" si="24"/>
        <v>0</v>
      </c>
      <c r="AL29" s="915">
        <f t="shared" si="25"/>
        <v>0</v>
      </c>
      <c r="AM29" s="915">
        <f t="shared" si="26"/>
        <v>0</v>
      </c>
      <c r="AN29" s="915">
        <f t="shared" si="27"/>
        <v>0</v>
      </c>
      <c r="AO29" s="915">
        <f t="shared" si="28"/>
        <v>0</v>
      </c>
      <c r="AP29" s="915">
        <f t="shared" si="29"/>
        <v>0</v>
      </c>
      <c r="AQ29" s="915">
        <f t="shared" si="30"/>
        <v>0</v>
      </c>
      <c r="AR29" s="915">
        <f t="shared" si="31"/>
        <v>7.42</v>
      </c>
      <c r="AS29" s="915">
        <f t="shared" si="32"/>
        <v>0</v>
      </c>
      <c r="AT29" s="915">
        <f t="shared" si="33"/>
        <v>0</v>
      </c>
      <c r="AU29" s="915">
        <f t="shared" si="34"/>
        <v>0</v>
      </c>
      <c r="AV29" s="915">
        <f t="shared" si="35"/>
        <v>0</v>
      </c>
      <c r="AW29" s="915">
        <f t="shared" si="36"/>
        <v>0</v>
      </c>
      <c r="AX29" s="915">
        <f t="shared" si="37"/>
        <v>0</v>
      </c>
      <c r="AY29" s="915">
        <f t="shared" si="38"/>
        <v>0</v>
      </c>
      <c r="AZ29" s="915">
        <f t="shared" si="39"/>
        <v>0</v>
      </c>
      <c r="BA29" s="915">
        <f t="shared" si="40"/>
        <v>0</v>
      </c>
      <c r="BB29" s="915">
        <f t="shared" si="41"/>
        <v>0</v>
      </c>
      <c r="BC29" s="915">
        <f t="shared" si="42"/>
        <v>0</v>
      </c>
      <c r="BD29" s="915">
        <f t="shared" si="43"/>
        <v>0</v>
      </c>
      <c r="BE29" s="915">
        <f t="shared" si="44"/>
        <v>0</v>
      </c>
      <c r="BF29" s="915">
        <f t="shared" si="45"/>
        <v>0</v>
      </c>
      <c r="BG29" s="915">
        <f t="shared" si="46"/>
        <v>0</v>
      </c>
      <c r="BH29" s="915">
        <f t="shared" si="47"/>
        <v>0</v>
      </c>
      <c r="BI29" s="915">
        <f t="shared" si="48"/>
        <v>0</v>
      </c>
      <c r="BJ29" s="915">
        <f t="shared" si="49"/>
        <v>0</v>
      </c>
      <c r="BK29" s="915">
        <f t="shared" si="50"/>
        <v>0</v>
      </c>
      <c r="BL29" s="915">
        <f t="shared" si="51"/>
        <v>0</v>
      </c>
      <c r="BM29" s="915">
        <f t="shared" si="52"/>
        <v>0</v>
      </c>
      <c r="BN29" s="915">
        <f t="shared" si="53"/>
        <v>0</v>
      </c>
      <c r="BO29" s="915">
        <f t="shared" si="54"/>
        <v>0</v>
      </c>
      <c r="BP29" s="915">
        <f t="shared" si="55"/>
        <v>0</v>
      </c>
      <c r="BQ29" s="915">
        <f t="shared" si="56"/>
        <v>0</v>
      </c>
      <c r="BR29" s="915">
        <f t="shared" si="57"/>
        <v>0</v>
      </c>
      <c r="BS29" s="915">
        <f t="shared" si="58"/>
        <v>0</v>
      </c>
      <c r="BT29" s="915">
        <f t="shared" si="59"/>
        <v>0</v>
      </c>
      <c r="BU29" s="915">
        <f t="shared" si="60"/>
        <v>0</v>
      </c>
      <c r="BV29" s="915">
        <f t="shared" si="61"/>
        <v>0</v>
      </c>
      <c r="BW29" s="915">
        <f t="shared" si="62"/>
        <v>0</v>
      </c>
      <c r="BX29" s="915">
        <f t="shared" si="63"/>
        <v>0</v>
      </c>
      <c r="BY29" s="915">
        <f t="shared" si="64"/>
        <v>0</v>
      </c>
      <c r="BZ29" s="915">
        <f t="shared" si="65"/>
        <v>0</v>
      </c>
      <c r="CA29" s="915">
        <f t="shared" si="66"/>
        <v>0</v>
      </c>
      <c r="CB29" s="915">
        <f t="shared" si="67"/>
        <v>0</v>
      </c>
      <c r="CC29" s="915">
        <f t="shared" si="68"/>
        <v>0</v>
      </c>
      <c r="CD29" s="915">
        <f t="shared" si="69"/>
        <v>0</v>
      </c>
      <c r="CE29" s="915">
        <f t="shared" si="70"/>
        <v>0</v>
      </c>
      <c r="CF29" s="915">
        <f t="shared" si="71"/>
        <v>0</v>
      </c>
      <c r="CG29" s="915">
        <f t="shared" si="72"/>
        <v>0</v>
      </c>
      <c r="CH29" s="915">
        <f t="shared" si="73"/>
        <v>0</v>
      </c>
      <c r="CI29" s="915">
        <f t="shared" si="74"/>
        <v>0</v>
      </c>
      <c r="CJ29" s="915">
        <f t="shared" si="75"/>
        <v>0</v>
      </c>
      <c r="CK29" s="915">
        <f t="shared" si="76"/>
        <v>0</v>
      </c>
      <c r="CL29" s="915">
        <f t="shared" si="77"/>
        <v>0</v>
      </c>
      <c r="CM29" s="915">
        <f t="shared" si="78"/>
        <v>0</v>
      </c>
      <c r="CN29" s="915">
        <f t="shared" si="79"/>
        <v>0</v>
      </c>
      <c r="CO29" s="915">
        <f t="shared" si="80"/>
        <v>0</v>
      </c>
      <c r="CP29" s="915">
        <f t="shared" si="81"/>
        <v>0</v>
      </c>
      <c r="CQ29" s="915">
        <f t="shared" si="82"/>
        <v>0</v>
      </c>
      <c r="CR29" s="915">
        <f t="shared" si="83"/>
        <v>0</v>
      </c>
      <c r="CS29" s="915">
        <f t="shared" si="84"/>
        <v>0</v>
      </c>
      <c r="CT29" s="915">
        <f t="shared" si="85"/>
        <v>0</v>
      </c>
      <c r="CU29" s="915">
        <f t="shared" si="86"/>
        <v>0</v>
      </c>
      <c r="CV29" s="915">
        <f t="shared" si="87"/>
        <v>0</v>
      </c>
      <c r="CW29" s="915">
        <f t="shared" si="88"/>
        <v>0</v>
      </c>
      <c r="CX29" s="915">
        <f t="shared" si="89"/>
        <v>0</v>
      </c>
      <c r="CY29" s="915">
        <f t="shared" si="90"/>
        <v>0</v>
      </c>
      <c r="CZ29" s="915">
        <f t="shared" si="91"/>
        <v>0</v>
      </c>
      <c r="DA29" s="915">
        <f t="shared" si="92"/>
        <v>0</v>
      </c>
      <c r="DB29" s="915">
        <f t="shared" si="93"/>
        <v>0</v>
      </c>
      <c r="DC29" s="915">
        <f t="shared" si="94"/>
        <v>0</v>
      </c>
      <c r="DD29" s="915">
        <f t="shared" si="95"/>
        <v>0</v>
      </c>
      <c r="DE29" s="915">
        <f t="shared" si="96"/>
        <v>0</v>
      </c>
      <c r="DF29" s="915">
        <f t="shared" si="97"/>
        <v>0</v>
      </c>
      <c r="DG29" s="915">
        <f t="shared" si="98"/>
        <v>0</v>
      </c>
      <c r="DH29" s="915">
        <f t="shared" si="99"/>
        <v>0</v>
      </c>
      <c r="DI29" s="915">
        <f t="shared" si="100"/>
        <v>0</v>
      </c>
      <c r="DJ29" s="915">
        <f t="shared" si="101"/>
        <v>0</v>
      </c>
      <c r="DK29" s="915">
        <f t="shared" si="102"/>
        <v>0</v>
      </c>
      <c r="DL29" s="915">
        <f t="shared" si="103"/>
        <v>0</v>
      </c>
      <c r="DM29" s="915">
        <f t="shared" si="104"/>
        <v>0</v>
      </c>
      <c r="DN29" s="915">
        <f t="shared" si="105"/>
        <v>0</v>
      </c>
      <c r="DO29" s="915">
        <f t="shared" si="106"/>
        <v>0</v>
      </c>
      <c r="DP29" s="915">
        <f t="shared" si="107"/>
        <v>0</v>
      </c>
      <c r="DQ29" s="915">
        <f t="shared" si="108"/>
        <v>0</v>
      </c>
      <c r="DR29" s="915">
        <f t="shared" si="109"/>
        <v>0</v>
      </c>
      <c r="DS29" s="915">
        <f t="shared" si="110"/>
        <v>0</v>
      </c>
      <c r="DT29" s="915">
        <f t="shared" si="111"/>
        <v>0</v>
      </c>
      <c r="DU29" s="915">
        <f t="shared" si="112"/>
        <v>0</v>
      </c>
      <c r="DV29" s="915">
        <f t="shared" si="113"/>
        <v>0</v>
      </c>
      <c r="DW29" s="915">
        <f t="shared" si="114"/>
        <v>0</v>
      </c>
      <c r="DX29" s="915">
        <f t="shared" si="115"/>
        <v>0</v>
      </c>
      <c r="DY29" s="915">
        <f t="shared" si="116"/>
        <v>0</v>
      </c>
      <c r="DZ29" s="915">
        <f t="shared" si="117"/>
        <v>0</v>
      </c>
      <c r="EA29" s="915">
        <f t="shared" si="118"/>
        <v>0</v>
      </c>
      <c r="EB29" s="915">
        <f t="shared" si="119"/>
        <v>0</v>
      </c>
      <c r="EC29" s="915">
        <f t="shared" si="120"/>
        <v>0</v>
      </c>
      <c r="ED29" s="915">
        <f t="shared" si="121"/>
        <v>0</v>
      </c>
      <c r="EE29" s="915">
        <f t="shared" si="122"/>
        <v>0</v>
      </c>
      <c r="EF29" s="915">
        <f t="shared" si="123"/>
        <v>0</v>
      </c>
      <c r="EG29" s="915">
        <f t="shared" si="124"/>
        <v>0</v>
      </c>
      <c r="EH29" s="915">
        <f t="shared" si="125"/>
        <v>0</v>
      </c>
      <c r="EI29" s="915">
        <f t="shared" si="126"/>
        <v>0</v>
      </c>
      <c r="EJ29" s="915">
        <f t="shared" si="127"/>
        <v>0</v>
      </c>
      <c r="EK29" s="915">
        <f t="shared" si="128"/>
        <v>0</v>
      </c>
      <c r="EL29" s="915">
        <f t="shared" si="129"/>
        <v>0</v>
      </c>
      <c r="EM29" s="915">
        <f t="shared" si="130"/>
        <v>0</v>
      </c>
      <c r="EN29" s="915">
        <f t="shared" si="131"/>
        <v>0</v>
      </c>
      <c r="EO29" s="915">
        <f t="shared" si="132"/>
        <v>0</v>
      </c>
      <c r="EP29" s="915">
        <f t="shared" si="133"/>
        <v>0</v>
      </c>
      <c r="EQ29" s="915">
        <f t="shared" si="134"/>
        <v>0</v>
      </c>
      <c r="ER29" s="915">
        <f t="shared" si="135"/>
        <v>0</v>
      </c>
      <c r="ES29" s="915">
        <f t="shared" si="136"/>
        <v>0</v>
      </c>
      <c r="ET29" s="915">
        <f t="shared" si="137"/>
        <v>0</v>
      </c>
      <c r="EU29" s="915">
        <f t="shared" si="138"/>
        <v>0</v>
      </c>
      <c r="EV29" s="915">
        <f t="shared" si="139"/>
        <v>0</v>
      </c>
      <c r="EW29" s="915">
        <f t="shared" si="140"/>
        <v>0</v>
      </c>
      <c r="EX29" s="915">
        <f t="shared" si="141"/>
        <v>0</v>
      </c>
      <c r="EY29" s="915">
        <f t="shared" si="142"/>
        <v>0</v>
      </c>
      <c r="EZ29" s="915">
        <f t="shared" si="143"/>
        <v>0</v>
      </c>
      <c r="FA29" s="915">
        <f t="shared" si="144"/>
        <v>0</v>
      </c>
      <c r="FB29" s="915">
        <f t="shared" si="145"/>
        <v>0</v>
      </c>
      <c r="FC29" s="915">
        <f t="shared" si="146"/>
        <v>0</v>
      </c>
      <c r="FD29" s="915">
        <f t="shared" si="147"/>
        <v>0</v>
      </c>
      <c r="FE29" s="915">
        <f t="shared" si="148"/>
        <v>0</v>
      </c>
      <c r="FF29" s="915">
        <f t="shared" si="149"/>
        <v>0</v>
      </c>
      <c r="FG29" s="915">
        <f t="shared" si="150"/>
        <v>0</v>
      </c>
      <c r="FH29" s="915">
        <f t="shared" si="151"/>
        <v>0</v>
      </c>
      <c r="FI29" s="915">
        <f t="shared" si="152"/>
        <v>0</v>
      </c>
      <c r="FJ29" s="915">
        <f t="shared" si="153"/>
        <v>0</v>
      </c>
      <c r="FK29" s="915">
        <f t="shared" si="154"/>
        <v>0</v>
      </c>
      <c r="FL29" s="915">
        <f t="shared" si="155"/>
        <v>0</v>
      </c>
      <c r="FM29" s="915">
        <f t="shared" si="156"/>
        <v>0</v>
      </c>
      <c r="FN29" s="915">
        <f t="shared" si="157"/>
        <v>0</v>
      </c>
      <c r="FO29" s="915">
        <f t="shared" si="158"/>
        <v>0</v>
      </c>
      <c r="FP29" s="915">
        <f t="shared" si="159"/>
        <v>0</v>
      </c>
      <c r="FQ29" s="915">
        <f t="shared" si="160"/>
        <v>0</v>
      </c>
      <c r="FR29" s="915">
        <f t="shared" si="161"/>
        <v>0</v>
      </c>
      <c r="FS29" s="915">
        <f t="shared" si="162"/>
        <v>0</v>
      </c>
      <c r="FT29" s="915">
        <f t="shared" si="163"/>
        <v>0</v>
      </c>
      <c r="FU29" s="915">
        <f t="shared" si="164"/>
        <v>0</v>
      </c>
      <c r="FV29" s="915">
        <f t="shared" si="165"/>
        <v>0</v>
      </c>
      <c r="FW29" s="915">
        <f t="shared" si="166"/>
        <v>0</v>
      </c>
      <c r="FX29" s="915">
        <f t="shared" si="167"/>
        <v>0</v>
      </c>
      <c r="FY29" s="915">
        <f t="shared" si="168"/>
        <v>0</v>
      </c>
      <c r="FZ29" s="915">
        <f t="shared" si="169"/>
        <v>0</v>
      </c>
    </row>
    <row r="30" spans="1:182" ht="14.1" customHeight="1" x14ac:dyDescent="0.2">
      <c r="A30" s="496">
        <v>23</v>
      </c>
      <c r="B30" s="1419"/>
      <c r="C30" s="1420"/>
      <c r="D30" s="264">
        <v>3</v>
      </c>
      <c r="E30" s="264" t="s">
        <v>48</v>
      </c>
      <c r="F30" s="270" t="s">
        <v>2544</v>
      </c>
      <c r="G30" s="270" t="s">
        <v>2542</v>
      </c>
      <c r="H30" s="272">
        <v>7</v>
      </c>
      <c r="I30" s="268">
        <f t="shared" si="11"/>
        <v>0.42</v>
      </c>
      <c r="J30" s="269">
        <f t="shared" si="12"/>
        <v>7.42</v>
      </c>
      <c r="K30" s="225"/>
      <c r="N30" s="942">
        <f>AS6</f>
        <v>7.42</v>
      </c>
      <c r="O30" s="915" t="str">
        <f>"Miscellaneous for "&amp;TabName3</f>
        <v>Miscellaneous for Phase 3</v>
      </c>
      <c r="P30" s="949" t="s">
        <v>260</v>
      </c>
      <c r="W30" s="915">
        <f t="shared" si="8"/>
        <v>0</v>
      </c>
      <c r="X30" s="915">
        <f t="shared" si="9"/>
        <v>0</v>
      </c>
      <c r="Y30" s="915">
        <f t="shared" si="10"/>
        <v>0</v>
      </c>
      <c r="Z30" s="915">
        <f t="shared" si="13"/>
        <v>0</v>
      </c>
      <c r="AA30" s="915">
        <f t="shared" si="14"/>
        <v>0</v>
      </c>
      <c r="AB30" s="915">
        <f t="shared" si="15"/>
        <v>0</v>
      </c>
      <c r="AC30" s="915">
        <f t="shared" si="16"/>
        <v>0</v>
      </c>
      <c r="AD30" s="915">
        <f t="shared" si="17"/>
        <v>0</v>
      </c>
      <c r="AE30" s="915">
        <f t="shared" si="18"/>
        <v>0</v>
      </c>
      <c r="AF30" s="915">
        <f t="shared" si="19"/>
        <v>0</v>
      </c>
      <c r="AG30" s="915">
        <f t="shared" si="20"/>
        <v>0</v>
      </c>
      <c r="AH30" s="915">
        <f t="shared" si="21"/>
        <v>0</v>
      </c>
      <c r="AI30" s="915">
        <f t="shared" si="22"/>
        <v>0</v>
      </c>
      <c r="AJ30" s="915">
        <f t="shared" si="23"/>
        <v>0</v>
      </c>
      <c r="AK30" s="915">
        <f t="shared" si="24"/>
        <v>0</v>
      </c>
      <c r="AL30" s="915">
        <f t="shared" si="25"/>
        <v>0</v>
      </c>
      <c r="AM30" s="915">
        <f t="shared" si="26"/>
        <v>0</v>
      </c>
      <c r="AN30" s="915">
        <f t="shared" si="27"/>
        <v>0</v>
      </c>
      <c r="AO30" s="915">
        <f t="shared" si="28"/>
        <v>0</v>
      </c>
      <c r="AP30" s="915">
        <f t="shared" si="29"/>
        <v>0</v>
      </c>
      <c r="AQ30" s="915">
        <f t="shared" si="30"/>
        <v>0</v>
      </c>
      <c r="AR30" s="915">
        <f t="shared" si="31"/>
        <v>0</v>
      </c>
      <c r="AS30" s="915">
        <f t="shared" si="32"/>
        <v>7.42</v>
      </c>
      <c r="AT30" s="915">
        <f t="shared" si="33"/>
        <v>0</v>
      </c>
      <c r="AU30" s="915">
        <f t="shared" si="34"/>
        <v>0</v>
      </c>
      <c r="AV30" s="915">
        <f t="shared" si="35"/>
        <v>0</v>
      </c>
      <c r="AW30" s="915">
        <f t="shared" si="36"/>
        <v>0</v>
      </c>
      <c r="AX30" s="915">
        <f t="shared" si="37"/>
        <v>0</v>
      </c>
      <c r="AY30" s="915">
        <f t="shared" si="38"/>
        <v>0</v>
      </c>
      <c r="AZ30" s="915">
        <f t="shared" si="39"/>
        <v>0</v>
      </c>
      <c r="BA30" s="915">
        <f t="shared" si="40"/>
        <v>0</v>
      </c>
      <c r="BB30" s="915">
        <f t="shared" si="41"/>
        <v>0</v>
      </c>
      <c r="BC30" s="915">
        <f t="shared" si="42"/>
        <v>0</v>
      </c>
      <c r="BD30" s="915">
        <f t="shared" si="43"/>
        <v>0</v>
      </c>
      <c r="BE30" s="915">
        <f t="shared" si="44"/>
        <v>0</v>
      </c>
      <c r="BF30" s="915">
        <f t="shared" si="45"/>
        <v>0</v>
      </c>
      <c r="BG30" s="915">
        <f t="shared" si="46"/>
        <v>0</v>
      </c>
      <c r="BH30" s="915">
        <f t="shared" si="47"/>
        <v>0</v>
      </c>
      <c r="BI30" s="915">
        <f t="shared" si="48"/>
        <v>0</v>
      </c>
      <c r="BJ30" s="915">
        <f t="shared" si="49"/>
        <v>0</v>
      </c>
      <c r="BK30" s="915">
        <f t="shared" si="50"/>
        <v>0</v>
      </c>
      <c r="BL30" s="915">
        <f t="shared" si="51"/>
        <v>0</v>
      </c>
      <c r="BM30" s="915">
        <f t="shared" si="52"/>
        <v>0</v>
      </c>
      <c r="BN30" s="915">
        <f t="shared" si="53"/>
        <v>0</v>
      </c>
      <c r="BO30" s="915">
        <f t="shared" si="54"/>
        <v>0</v>
      </c>
      <c r="BP30" s="915">
        <f t="shared" si="55"/>
        <v>0</v>
      </c>
      <c r="BQ30" s="915">
        <f t="shared" si="56"/>
        <v>0</v>
      </c>
      <c r="BR30" s="915">
        <f t="shared" si="57"/>
        <v>0</v>
      </c>
      <c r="BS30" s="915">
        <f t="shared" si="58"/>
        <v>0</v>
      </c>
      <c r="BT30" s="915">
        <f t="shared" si="59"/>
        <v>0</v>
      </c>
      <c r="BU30" s="915">
        <f t="shared" si="60"/>
        <v>0</v>
      </c>
      <c r="BV30" s="915">
        <f t="shared" si="61"/>
        <v>0</v>
      </c>
      <c r="BW30" s="915">
        <f t="shared" si="62"/>
        <v>0</v>
      </c>
      <c r="BX30" s="915">
        <f t="shared" si="63"/>
        <v>0</v>
      </c>
      <c r="BY30" s="915">
        <f t="shared" si="64"/>
        <v>0</v>
      </c>
      <c r="BZ30" s="915">
        <f t="shared" si="65"/>
        <v>0</v>
      </c>
      <c r="CA30" s="915">
        <f t="shared" si="66"/>
        <v>0</v>
      </c>
      <c r="CB30" s="915">
        <f t="shared" si="67"/>
        <v>0</v>
      </c>
      <c r="CC30" s="915">
        <f t="shared" si="68"/>
        <v>0</v>
      </c>
      <c r="CD30" s="915">
        <f t="shared" si="69"/>
        <v>0</v>
      </c>
      <c r="CE30" s="915">
        <f t="shared" si="70"/>
        <v>0</v>
      </c>
      <c r="CF30" s="915">
        <f t="shared" si="71"/>
        <v>0</v>
      </c>
      <c r="CG30" s="915">
        <f t="shared" si="72"/>
        <v>0</v>
      </c>
      <c r="CH30" s="915">
        <f t="shared" si="73"/>
        <v>0</v>
      </c>
      <c r="CI30" s="915">
        <f t="shared" si="74"/>
        <v>0</v>
      </c>
      <c r="CJ30" s="915">
        <f t="shared" si="75"/>
        <v>0</v>
      </c>
      <c r="CK30" s="915">
        <f t="shared" si="76"/>
        <v>0</v>
      </c>
      <c r="CL30" s="915">
        <f t="shared" si="77"/>
        <v>0</v>
      </c>
      <c r="CM30" s="915">
        <f t="shared" si="78"/>
        <v>0</v>
      </c>
      <c r="CN30" s="915">
        <f t="shared" si="79"/>
        <v>0</v>
      </c>
      <c r="CO30" s="915">
        <f t="shared" si="80"/>
        <v>0</v>
      </c>
      <c r="CP30" s="915">
        <f t="shared" si="81"/>
        <v>0</v>
      </c>
      <c r="CQ30" s="915">
        <f t="shared" si="82"/>
        <v>0</v>
      </c>
      <c r="CR30" s="915">
        <f t="shared" si="83"/>
        <v>0</v>
      </c>
      <c r="CS30" s="915">
        <f t="shared" si="84"/>
        <v>0</v>
      </c>
      <c r="CT30" s="915">
        <f t="shared" si="85"/>
        <v>0</v>
      </c>
      <c r="CU30" s="915">
        <f t="shared" si="86"/>
        <v>0</v>
      </c>
      <c r="CV30" s="915">
        <f t="shared" si="87"/>
        <v>0</v>
      </c>
      <c r="CW30" s="915">
        <f t="shared" si="88"/>
        <v>0</v>
      </c>
      <c r="CX30" s="915">
        <f t="shared" si="89"/>
        <v>0</v>
      </c>
      <c r="CY30" s="915">
        <f t="shared" si="90"/>
        <v>0</v>
      </c>
      <c r="CZ30" s="915">
        <f t="shared" si="91"/>
        <v>0</v>
      </c>
      <c r="DA30" s="915">
        <f t="shared" si="92"/>
        <v>0</v>
      </c>
      <c r="DB30" s="915">
        <f t="shared" si="93"/>
        <v>0</v>
      </c>
      <c r="DC30" s="915">
        <f t="shared" si="94"/>
        <v>0</v>
      </c>
      <c r="DD30" s="915">
        <f t="shared" si="95"/>
        <v>0</v>
      </c>
      <c r="DE30" s="915">
        <f t="shared" si="96"/>
        <v>0</v>
      </c>
      <c r="DF30" s="915">
        <f t="shared" si="97"/>
        <v>0</v>
      </c>
      <c r="DG30" s="915">
        <f t="shared" si="98"/>
        <v>0</v>
      </c>
      <c r="DH30" s="915">
        <f t="shared" si="99"/>
        <v>0</v>
      </c>
      <c r="DI30" s="915">
        <f t="shared" si="100"/>
        <v>0</v>
      </c>
      <c r="DJ30" s="915">
        <f t="shared" si="101"/>
        <v>0</v>
      </c>
      <c r="DK30" s="915">
        <f t="shared" si="102"/>
        <v>0</v>
      </c>
      <c r="DL30" s="915">
        <f t="shared" si="103"/>
        <v>0</v>
      </c>
      <c r="DM30" s="915">
        <f t="shared" si="104"/>
        <v>0</v>
      </c>
      <c r="DN30" s="915">
        <f t="shared" si="105"/>
        <v>0</v>
      </c>
      <c r="DO30" s="915">
        <f t="shared" si="106"/>
        <v>0</v>
      </c>
      <c r="DP30" s="915">
        <f t="shared" si="107"/>
        <v>0</v>
      </c>
      <c r="DQ30" s="915">
        <f t="shared" si="108"/>
        <v>0</v>
      </c>
      <c r="DR30" s="915">
        <f t="shared" si="109"/>
        <v>0</v>
      </c>
      <c r="DS30" s="915">
        <f t="shared" si="110"/>
        <v>0</v>
      </c>
      <c r="DT30" s="915">
        <f t="shared" si="111"/>
        <v>0</v>
      </c>
      <c r="DU30" s="915">
        <f t="shared" si="112"/>
        <v>0</v>
      </c>
      <c r="DV30" s="915">
        <f t="shared" si="113"/>
        <v>0</v>
      </c>
      <c r="DW30" s="915">
        <f t="shared" si="114"/>
        <v>0</v>
      </c>
      <c r="DX30" s="915">
        <f t="shared" si="115"/>
        <v>0</v>
      </c>
      <c r="DY30" s="915">
        <f t="shared" si="116"/>
        <v>0</v>
      </c>
      <c r="DZ30" s="915">
        <f t="shared" si="117"/>
        <v>0</v>
      </c>
      <c r="EA30" s="915">
        <f t="shared" si="118"/>
        <v>0</v>
      </c>
      <c r="EB30" s="915">
        <f t="shared" si="119"/>
        <v>0</v>
      </c>
      <c r="EC30" s="915">
        <f t="shared" si="120"/>
        <v>0</v>
      </c>
      <c r="ED30" s="915">
        <f t="shared" si="121"/>
        <v>0</v>
      </c>
      <c r="EE30" s="915">
        <f t="shared" si="122"/>
        <v>0</v>
      </c>
      <c r="EF30" s="915">
        <f t="shared" si="123"/>
        <v>0</v>
      </c>
      <c r="EG30" s="915">
        <f t="shared" si="124"/>
        <v>0</v>
      </c>
      <c r="EH30" s="915">
        <f t="shared" si="125"/>
        <v>0</v>
      </c>
      <c r="EI30" s="915">
        <f t="shared" si="126"/>
        <v>0</v>
      </c>
      <c r="EJ30" s="915">
        <f t="shared" si="127"/>
        <v>0</v>
      </c>
      <c r="EK30" s="915">
        <f t="shared" si="128"/>
        <v>0</v>
      </c>
      <c r="EL30" s="915">
        <f t="shared" si="129"/>
        <v>0</v>
      </c>
      <c r="EM30" s="915">
        <f t="shared" si="130"/>
        <v>0</v>
      </c>
      <c r="EN30" s="915">
        <f t="shared" si="131"/>
        <v>0</v>
      </c>
      <c r="EO30" s="915">
        <f t="shared" si="132"/>
        <v>0</v>
      </c>
      <c r="EP30" s="915">
        <f t="shared" si="133"/>
        <v>0</v>
      </c>
      <c r="EQ30" s="915">
        <f t="shared" si="134"/>
        <v>0</v>
      </c>
      <c r="ER30" s="915">
        <f t="shared" si="135"/>
        <v>0</v>
      </c>
      <c r="ES30" s="915">
        <f t="shared" si="136"/>
        <v>0</v>
      </c>
      <c r="ET30" s="915">
        <f t="shared" si="137"/>
        <v>0</v>
      </c>
      <c r="EU30" s="915">
        <f t="shared" si="138"/>
        <v>0</v>
      </c>
      <c r="EV30" s="915">
        <f t="shared" si="139"/>
        <v>0</v>
      </c>
      <c r="EW30" s="915">
        <f t="shared" si="140"/>
        <v>0</v>
      </c>
      <c r="EX30" s="915">
        <f t="shared" si="141"/>
        <v>0</v>
      </c>
      <c r="EY30" s="915">
        <f t="shared" si="142"/>
        <v>0</v>
      </c>
      <c r="EZ30" s="915">
        <f t="shared" si="143"/>
        <v>0</v>
      </c>
      <c r="FA30" s="915">
        <f t="shared" si="144"/>
        <v>0</v>
      </c>
      <c r="FB30" s="915">
        <f t="shared" si="145"/>
        <v>0</v>
      </c>
      <c r="FC30" s="915">
        <f t="shared" si="146"/>
        <v>0</v>
      </c>
      <c r="FD30" s="915">
        <f t="shared" si="147"/>
        <v>0</v>
      </c>
      <c r="FE30" s="915">
        <f t="shared" si="148"/>
        <v>0</v>
      </c>
      <c r="FF30" s="915">
        <f t="shared" si="149"/>
        <v>0</v>
      </c>
      <c r="FG30" s="915">
        <f t="shared" si="150"/>
        <v>0</v>
      </c>
      <c r="FH30" s="915">
        <f t="shared" si="151"/>
        <v>0</v>
      </c>
      <c r="FI30" s="915">
        <f t="shared" si="152"/>
        <v>0</v>
      </c>
      <c r="FJ30" s="915">
        <f t="shared" si="153"/>
        <v>0</v>
      </c>
      <c r="FK30" s="915">
        <f t="shared" si="154"/>
        <v>0</v>
      </c>
      <c r="FL30" s="915">
        <f t="shared" si="155"/>
        <v>0</v>
      </c>
      <c r="FM30" s="915">
        <f t="shared" si="156"/>
        <v>0</v>
      </c>
      <c r="FN30" s="915">
        <f t="shared" si="157"/>
        <v>0</v>
      </c>
      <c r="FO30" s="915">
        <f t="shared" si="158"/>
        <v>0</v>
      </c>
      <c r="FP30" s="915">
        <f t="shared" si="159"/>
        <v>0</v>
      </c>
      <c r="FQ30" s="915">
        <f t="shared" si="160"/>
        <v>0</v>
      </c>
      <c r="FR30" s="915">
        <f t="shared" si="161"/>
        <v>0</v>
      </c>
      <c r="FS30" s="915">
        <f t="shared" si="162"/>
        <v>0</v>
      </c>
      <c r="FT30" s="915">
        <f t="shared" si="163"/>
        <v>0</v>
      </c>
      <c r="FU30" s="915">
        <f t="shared" si="164"/>
        <v>0</v>
      </c>
      <c r="FV30" s="915">
        <f t="shared" si="165"/>
        <v>0</v>
      </c>
      <c r="FW30" s="915">
        <f t="shared" si="166"/>
        <v>0</v>
      </c>
      <c r="FX30" s="915">
        <f t="shared" si="167"/>
        <v>0</v>
      </c>
      <c r="FY30" s="915">
        <f t="shared" si="168"/>
        <v>0</v>
      </c>
      <c r="FZ30" s="915">
        <f t="shared" si="169"/>
        <v>0</v>
      </c>
    </row>
    <row r="31" spans="1:182" ht="14.1" customHeight="1" x14ac:dyDescent="0.2">
      <c r="A31" s="497">
        <v>24</v>
      </c>
      <c r="B31" s="1423"/>
      <c r="C31" s="1431"/>
      <c r="D31" s="138">
        <v>3</v>
      </c>
      <c r="E31" s="138" t="s">
        <v>27</v>
      </c>
      <c r="F31" s="139" t="s">
        <v>2544</v>
      </c>
      <c r="G31" s="139" t="s">
        <v>2542</v>
      </c>
      <c r="H31" s="100">
        <v>7</v>
      </c>
      <c r="I31" s="119">
        <f t="shared" si="11"/>
        <v>0.42</v>
      </c>
      <c r="J31" s="90">
        <f t="shared" si="12"/>
        <v>7.42</v>
      </c>
      <c r="K31" s="225"/>
      <c r="N31" s="942">
        <f>AT6</f>
        <v>7.42</v>
      </c>
      <c r="O31" s="879" t="str">
        <f>"Contractor Labor for " &amp; TabName3</f>
        <v>Contractor Labor for Phase 3</v>
      </c>
      <c r="P31" s="950" t="s">
        <v>261</v>
      </c>
      <c r="W31" s="915">
        <f t="shared" si="8"/>
        <v>0</v>
      </c>
      <c r="X31" s="915">
        <f t="shared" si="9"/>
        <v>0</v>
      </c>
      <c r="Y31" s="915">
        <f t="shared" si="10"/>
        <v>0</v>
      </c>
      <c r="Z31" s="915">
        <f t="shared" si="13"/>
        <v>0</v>
      </c>
      <c r="AA31" s="915">
        <f t="shared" si="14"/>
        <v>0</v>
      </c>
      <c r="AB31" s="915">
        <f t="shared" si="15"/>
        <v>0</v>
      </c>
      <c r="AC31" s="915">
        <f t="shared" si="16"/>
        <v>0</v>
      </c>
      <c r="AD31" s="915">
        <f t="shared" si="17"/>
        <v>0</v>
      </c>
      <c r="AE31" s="915">
        <f t="shared" si="18"/>
        <v>0</v>
      </c>
      <c r="AF31" s="915">
        <f t="shared" si="19"/>
        <v>0</v>
      </c>
      <c r="AG31" s="915">
        <f t="shared" si="20"/>
        <v>0</v>
      </c>
      <c r="AH31" s="915">
        <f t="shared" si="21"/>
        <v>0</v>
      </c>
      <c r="AI31" s="915">
        <f t="shared" si="22"/>
        <v>0</v>
      </c>
      <c r="AJ31" s="915">
        <f t="shared" si="23"/>
        <v>0</v>
      </c>
      <c r="AK31" s="915">
        <f t="shared" si="24"/>
        <v>0</v>
      </c>
      <c r="AL31" s="915">
        <f t="shared" si="25"/>
        <v>0</v>
      </c>
      <c r="AM31" s="915">
        <f t="shared" si="26"/>
        <v>0</v>
      </c>
      <c r="AN31" s="915">
        <f t="shared" si="27"/>
        <v>0</v>
      </c>
      <c r="AO31" s="915">
        <f t="shared" si="28"/>
        <v>0</v>
      </c>
      <c r="AP31" s="915">
        <f t="shared" si="29"/>
        <v>0</v>
      </c>
      <c r="AQ31" s="915">
        <f t="shared" si="30"/>
        <v>0</v>
      </c>
      <c r="AR31" s="915">
        <f t="shared" si="31"/>
        <v>0</v>
      </c>
      <c r="AS31" s="915">
        <f t="shared" si="32"/>
        <v>0</v>
      </c>
      <c r="AT31" s="915">
        <f t="shared" si="33"/>
        <v>7.42</v>
      </c>
      <c r="AU31" s="915">
        <f t="shared" si="34"/>
        <v>0</v>
      </c>
      <c r="AV31" s="915">
        <f t="shared" si="35"/>
        <v>0</v>
      </c>
      <c r="AW31" s="915">
        <f t="shared" si="36"/>
        <v>0</v>
      </c>
      <c r="AX31" s="915">
        <f t="shared" si="37"/>
        <v>0</v>
      </c>
      <c r="AY31" s="915">
        <f t="shared" si="38"/>
        <v>0</v>
      </c>
      <c r="AZ31" s="915">
        <f t="shared" si="39"/>
        <v>0</v>
      </c>
      <c r="BA31" s="915">
        <f t="shared" si="40"/>
        <v>0</v>
      </c>
      <c r="BB31" s="915">
        <f t="shared" si="41"/>
        <v>0</v>
      </c>
      <c r="BC31" s="915">
        <f t="shared" si="42"/>
        <v>0</v>
      </c>
      <c r="BD31" s="915">
        <f t="shared" si="43"/>
        <v>0</v>
      </c>
      <c r="BE31" s="915">
        <f t="shared" si="44"/>
        <v>0</v>
      </c>
      <c r="BF31" s="915">
        <f t="shared" si="45"/>
        <v>0</v>
      </c>
      <c r="BG31" s="915">
        <f t="shared" si="46"/>
        <v>0</v>
      </c>
      <c r="BH31" s="915">
        <f t="shared" si="47"/>
        <v>0</v>
      </c>
      <c r="BI31" s="915">
        <f t="shared" si="48"/>
        <v>0</v>
      </c>
      <c r="BJ31" s="915">
        <f t="shared" si="49"/>
        <v>0</v>
      </c>
      <c r="BK31" s="915">
        <f t="shared" si="50"/>
        <v>0</v>
      </c>
      <c r="BL31" s="915">
        <f t="shared" si="51"/>
        <v>0</v>
      </c>
      <c r="BM31" s="915">
        <f t="shared" si="52"/>
        <v>0</v>
      </c>
      <c r="BN31" s="915">
        <f t="shared" si="53"/>
        <v>0</v>
      </c>
      <c r="BO31" s="915">
        <f t="shared" si="54"/>
        <v>0</v>
      </c>
      <c r="BP31" s="915">
        <f t="shared" si="55"/>
        <v>0</v>
      </c>
      <c r="BQ31" s="915">
        <f t="shared" si="56"/>
        <v>0</v>
      </c>
      <c r="BR31" s="915">
        <f t="shared" si="57"/>
        <v>0</v>
      </c>
      <c r="BS31" s="915">
        <f t="shared" si="58"/>
        <v>0</v>
      </c>
      <c r="BT31" s="915">
        <f t="shared" si="59"/>
        <v>0</v>
      </c>
      <c r="BU31" s="915">
        <f t="shared" si="60"/>
        <v>0</v>
      </c>
      <c r="BV31" s="915">
        <f t="shared" si="61"/>
        <v>0</v>
      </c>
      <c r="BW31" s="915">
        <f t="shared" si="62"/>
        <v>0</v>
      </c>
      <c r="BX31" s="915">
        <f t="shared" si="63"/>
        <v>0</v>
      </c>
      <c r="BY31" s="915">
        <f t="shared" si="64"/>
        <v>0</v>
      </c>
      <c r="BZ31" s="915">
        <f t="shared" si="65"/>
        <v>0</v>
      </c>
      <c r="CA31" s="915">
        <f t="shared" si="66"/>
        <v>0</v>
      </c>
      <c r="CB31" s="915">
        <f t="shared" si="67"/>
        <v>0</v>
      </c>
      <c r="CC31" s="915">
        <f t="shared" si="68"/>
        <v>0</v>
      </c>
      <c r="CD31" s="915">
        <f t="shared" si="69"/>
        <v>0</v>
      </c>
      <c r="CE31" s="915">
        <f t="shared" si="70"/>
        <v>0</v>
      </c>
      <c r="CF31" s="915">
        <f t="shared" si="71"/>
        <v>0</v>
      </c>
      <c r="CG31" s="915">
        <f t="shared" si="72"/>
        <v>0</v>
      </c>
      <c r="CH31" s="915">
        <f t="shared" si="73"/>
        <v>0</v>
      </c>
      <c r="CI31" s="915">
        <f t="shared" si="74"/>
        <v>0</v>
      </c>
      <c r="CJ31" s="915">
        <f t="shared" si="75"/>
        <v>0</v>
      </c>
      <c r="CK31" s="915">
        <f t="shared" si="76"/>
        <v>0</v>
      </c>
      <c r="CL31" s="915">
        <f t="shared" si="77"/>
        <v>0</v>
      </c>
      <c r="CM31" s="915">
        <f t="shared" si="78"/>
        <v>0</v>
      </c>
      <c r="CN31" s="915">
        <f t="shared" si="79"/>
        <v>0</v>
      </c>
      <c r="CO31" s="915">
        <f t="shared" si="80"/>
        <v>0</v>
      </c>
      <c r="CP31" s="915">
        <f t="shared" si="81"/>
        <v>0</v>
      </c>
      <c r="CQ31" s="915">
        <f t="shared" si="82"/>
        <v>0</v>
      </c>
      <c r="CR31" s="915">
        <f t="shared" si="83"/>
        <v>0</v>
      </c>
      <c r="CS31" s="915">
        <f t="shared" si="84"/>
        <v>0</v>
      </c>
      <c r="CT31" s="915">
        <f t="shared" si="85"/>
        <v>0</v>
      </c>
      <c r="CU31" s="915">
        <f t="shared" si="86"/>
        <v>0</v>
      </c>
      <c r="CV31" s="915">
        <f t="shared" si="87"/>
        <v>0</v>
      </c>
      <c r="CW31" s="915">
        <f t="shared" si="88"/>
        <v>0</v>
      </c>
      <c r="CX31" s="915">
        <f t="shared" si="89"/>
        <v>0</v>
      </c>
      <c r="CY31" s="915">
        <f t="shared" si="90"/>
        <v>0</v>
      </c>
      <c r="CZ31" s="915">
        <f t="shared" si="91"/>
        <v>0</v>
      </c>
      <c r="DA31" s="915">
        <f t="shared" si="92"/>
        <v>0</v>
      </c>
      <c r="DB31" s="915">
        <f t="shared" si="93"/>
        <v>0</v>
      </c>
      <c r="DC31" s="915">
        <f t="shared" si="94"/>
        <v>0</v>
      </c>
      <c r="DD31" s="915">
        <f t="shared" si="95"/>
        <v>0</v>
      </c>
      <c r="DE31" s="915">
        <f t="shared" si="96"/>
        <v>0</v>
      </c>
      <c r="DF31" s="915">
        <f t="shared" si="97"/>
        <v>0</v>
      </c>
      <c r="DG31" s="915">
        <f t="shared" si="98"/>
        <v>0</v>
      </c>
      <c r="DH31" s="915">
        <f t="shared" si="99"/>
        <v>0</v>
      </c>
      <c r="DI31" s="915">
        <f t="shared" si="100"/>
        <v>0</v>
      </c>
      <c r="DJ31" s="915">
        <f t="shared" si="101"/>
        <v>0</v>
      </c>
      <c r="DK31" s="915">
        <f t="shared" si="102"/>
        <v>0</v>
      </c>
      <c r="DL31" s="915">
        <f t="shared" si="103"/>
        <v>0</v>
      </c>
      <c r="DM31" s="915">
        <f t="shared" si="104"/>
        <v>0</v>
      </c>
      <c r="DN31" s="915">
        <f t="shared" si="105"/>
        <v>0</v>
      </c>
      <c r="DO31" s="915">
        <f t="shared" si="106"/>
        <v>0</v>
      </c>
      <c r="DP31" s="915">
        <f t="shared" si="107"/>
        <v>0</v>
      </c>
      <c r="DQ31" s="915">
        <f t="shared" si="108"/>
        <v>0</v>
      </c>
      <c r="DR31" s="915">
        <f t="shared" si="109"/>
        <v>0</v>
      </c>
      <c r="DS31" s="915">
        <f t="shared" si="110"/>
        <v>0</v>
      </c>
      <c r="DT31" s="915">
        <f t="shared" si="111"/>
        <v>0</v>
      </c>
      <c r="DU31" s="915">
        <f t="shared" si="112"/>
        <v>0</v>
      </c>
      <c r="DV31" s="915">
        <f t="shared" si="113"/>
        <v>0</v>
      </c>
      <c r="DW31" s="915">
        <f t="shared" si="114"/>
        <v>0</v>
      </c>
      <c r="DX31" s="915">
        <f t="shared" si="115"/>
        <v>0</v>
      </c>
      <c r="DY31" s="915">
        <f t="shared" si="116"/>
        <v>0</v>
      </c>
      <c r="DZ31" s="915">
        <f t="shared" si="117"/>
        <v>0</v>
      </c>
      <c r="EA31" s="915">
        <f t="shared" si="118"/>
        <v>0</v>
      </c>
      <c r="EB31" s="915">
        <f t="shared" si="119"/>
        <v>0</v>
      </c>
      <c r="EC31" s="915">
        <f t="shared" si="120"/>
        <v>0</v>
      </c>
      <c r="ED31" s="915">
        <f t="shared" si="121"/>
        <v>0</v>
      </c>
      <c r="EE31" s="915">
        <f t="shared" si="122"/>
        <v>0</v>
      </c>
      <c r="EF31" s="915">
        <f t="shared" si="123"/>
        <v>0</v>
      </c>
      <c r="EG31" s="915">
        <f t="shared" si="124"/>
        <v>0</v>
      </c>
      <c r="EH31" s="915">
        <f t="shared" si="125"/>
        <v>0</v>
      </c>
      <c r="EI31" s="915">
        <f t="shared" si="126"/>
        <v>0</v>
      </c>
      <c r="EJ31" s="915">
        <f t="shared" si="127"/>
        <v>0</v>
      </c>
      <c r="EK31" s="915">
        <f t="shared" si="128"/>
        <v>0</v>
      </c>
      <c r="EL31" s="915">
        <f t="shared" si="129"/>
        <v>0</v>
      </c>
      <c r="EM31" s="915">
        <f t="shared" si="130"/>
        <v>0</v>
      </c>
      <c r="EN31" s="915">
        <f t="shared" si="131"/>
        <v>0</v>
      </c>
      <c r="EO31" s="915">
        <f t="shared" si="132"/>
        <v>0</v>
      </c>
      <c r="EP31" s="915">
        <f t="shared" si="133"/>
        <v>0</v>
      </c>
      <c r="EQ31" s="915">
        <f t="shared" si="134"/>
        <v>0</v>
      </c>
      <c r="ER31" s="915">
        <f t="shared" si="135"/>
        <v>0</v>
      </c>
      <c r="ES31" s="915">
        <f t="shared" si="136"/>
        <v>0</v>
      </c>
      <c r="ET31" s="915">
        <f t="shared" si="137"/>
        <v>0</v>
      </c>
      <c r="EU31" s="915">
        <f t="shared" si="138"/>
        <v>0</v>
      </c>
      <c r="EV31" s="915">
        <f t="shared" si="139"/>
        <v>0</v>
      </c>
      <c r="EW31" s="915">
        <f t="shared" si="140"/>
        <v>0</v>
      </c>
      <c r="EX31" s="915">
        <f t="shared" si="141"/>
        <v>0</v>
      </c>
      <c r="EY31" s="915">
        <f t="shared" si="142"/>
        <v>0</v>
      </c>
      <c r="EZ31" s="915">
        <f t="shared" si="143"/>
        <v>0</v>
      </c>
      <c r="FA31" s="915">
        <f t="shared" si="144"/>
        <v>0</v>
      </c>
      <c r="FB31" s="915">
        <f t="shared" si="145"/>
        <v>0</v>
      </c>
      <c r="FC31" s="915">
        <f t="shared" si="146"/>
        <v>0</v>
      </c>
      <c r="FD31" s="915">
        <f t="shared" si="147"/>
        <v>0</v>
      </c>
      <c r="FE31" s="915">
        <f t="shared" si="148"/>
        <v>0</v>
      </c>
      <c r="FF31" s="915">
        <f t="shared" si="149"/>
        <v>0</v>
      </c>
      <c r="FG31" s="915">
        <f t="shared" si="150"/>
        <v>0</v>
      </c>
      <c r="FH31" s="915">
        <f t="shared" si="151"/>
        <v>0</v>
      </c>
      <c r="FI31" s="915">
        <f t="shared" si="152"/>
        <v>0</v>
      </c>
      <c r="FJ31" s="915">
        <f t="shared" si="153"/>
        <v>0</v>
      </c>
      <c r="FK31" s="915">
        <f t="shared" si="154"/>
        <v>0</v>
      </c>
      <c r="FL31" s="915">
        <f t="shared" si="155"/>
        <v>0</v>
      </c>
      <c r="FM31" s="915">
        <f t="shared" si="156"/>
        <v>0</v>
      </c>
      <c r="FN31" s="915">
        <f t="shared" si="157"/>
        <v>0</v>
      </c>
      <c r="FO31" s="915">
        <f t="shared" si="158"/>
        <v>0</v>
      </c>
      <c r="FP31" s="915">
        <f t="shared" si="159"/>
        <v>0</v>
      </c>
      <c r="FQ31" s="915">
        <f t="shared" si="160"/>
        <v>0</v>
      </c>
      <c r="FR31" s="915">
        <f t="shared" si="161"/>
        <v>0</v>
      </c>
      <c r="FS31" s="915">
        <f t="shared" si="162"/>
        <v>0</v>
      </c>
      <c r="FT31" s="915">
        <f t="shared" si="163"/>
        <v>0</v>
      </c>
      <c r="FU31" s="915">
        <f t="shared" si="164"/>
        <v>0</v>
      </c>
      <c r="FV31" s="915">
        <f t="shared" si="165"/>
        <v>0</v>
      </c>
      <c r="FW31" s="915">
        <f t="shared" si="166"/>
        <v>0</v>
      </c>
      <c r="FX31" s="915">
        <f t="shared" si="167"/>
        <v>0</v>
      </c>
      <c r="FY31" s="915">
        <f t="shared" si="168"/>
        <v>0</v>
      </c>
      <c r="FZ31" s="915">
        <f t="shared" si="169"/>
        <v>0</v>
      </c>
    </row>
    <row r="32" spans="1:182" ht="14.1" customHeight="1" x14ac:dyDescent="0.2">
      <c r="A32" s="496">
        <v>25</v>
      </c>
      <c r="B32" s="1419"/>
      <c r="C32" s="1420"/>
      <c r="D32" s="264">
        <v>4</v>
      </c>
      <c r="E32" s="264" t="s">
        <v>193</v>
      </c>
      <c r="F32" s="270" t="s">
        <v>2544</v>
      </c>
      <c r="G32" s="270" t="s">
        <v>2542</v>
      </c>
      <c r="H32" s="272">
        <v>7</v>
      </c>
      <c r="I32" s="268">
        <f t="shared" si="11"/>
        <v>0.42</v>
      </c>
      <c r="J32" s="269">
        <f t="shared" si="12"/>
        <v>7.42</v>
      </c>
      <c r="K32" s="225"/>
      <c r="N32" s="942">
        <f>AU6</f>
        <v>7.42</v>
      </c>
      <c r="O32" s="915" t="str">
        <f>"Boring/Monitoring Wells for "&amp;TabName4</f>
        <v>Boring/Monitoring Wells for Phase 4</v>
      </c>
      <c r="P32" s="949" t="s">
        <v>268</v>
      </c>
      <c r="W32" s="915">
        <f t="shared" si="8"/>
        <v>0</v>
      </c>
      <c r="X32" s="915">
        <f t="shared" si="9"/>
        <v>0</v>
      </c>
      <c r="Y32" s="915">
        <f t="shared" si="10"/>
        <v>0</v>
      </c>
      <c r="Z32" s="915">
        <f t="shared" si="13"/>
        <v>0</v>
      </c>
      <c r="AA32" s="915">
        <f t="shared" si="14"/>
        <v>0</v>
      </c>
      <c r="AB32" s="915">
        <f t="shared" si="15"/>
        <v>0</v>
      </c>
      <c r="AC32" s="915">
        <f t="shared" si="16"/>
        <v>0</v>
      </c>
      <c r="AD32" s="915">
        <f t="shared" si="17"/>
        <v>0</v>
      </c>
      <c r="AE32" s="915">
        <f t="shared" si="18"/>
        <v>0</v>
      </c>
      <c r="AF32" s="915">
        <f t="shared" si="19"/>
        <v>0</v>
      </c>
      <c r="AG32" s="915">
        <f t="shared" si="20"/>
        <v>0</v>
      </c>
      <c r="AH32" s="915">
        <f t="shared" si="21"/>
        <v>0</v>
      </c>
      <c r="AI32" s="915">
        <f t="shared" si="22"/>
        <v>0</v>
      </c>
      <c r="AJ32" s="915">
        <f t="shared" si="23"/>
        <v>0</v>
      </c>
      <c r="AK32" s="915">
        <f t="shared" si="24"/>
        <v>0</v>
      </c>
      <c r="AL32" s="915">
        <f t="shared" si="25"/>
        <v>0</v>
      </c>
      <c r="AM32" s="915">
        <f t="shared" si="26"/>
        <v>0</v>
      </c>
      <c r="AN32" s="915">
        <f t="shared" si="27"/>
        <v>0</v>
      </c>
      <c r="AO32" s="915">
        <f t="shared" si="28"/>
        <v>0</v>
      </c>
      <c r="AP32" s="915">
        <f t="shared" si="29"/>
        <v>0</v>
      </c>
      <c r="AQ32" s="915">
        <f t="shared" si="30"/>
        <v>0</v>
      </c>
      <c r="AR32" s="915">
        <f t="shared" si="31"/>
        <v>0</v>
      </c>
      <c r="AS32" s="915">
        <f t="shared" si="32"/>
        <v>0</v>
      </c>
      <c r="AT32" s="915">
        <f t="shared" si="33"/>
        <v>0</v>
      </c>
      <c r="AU32" s="915">
        <f t="shared" si="34"/>
        <v>7.42</v>
      </c>
      <c r="AV32" s="915">
        <f t="shared" si="35"/>
        <v>0</v>
      </c>
      <c r="AW32" s="915">
        <f t="shared" si="36"/>
        <v>0</v>
      </c>
      <c r="AX32" s="915">
        <f t="shared" si="37"/>
        <v>0</v>
      </c>
      <c r="AY32" s="915">
        <f t="shared" si="38"/>
        <v>0</v>
      </c>
      <c r="AZ32" s="915">
        <f t="shared" si="39"/>
        <v>0</v>
      </c>
      <c r="BA32" s="915">
        <f t="shared" si="40"/>
        <v>0</v>
      </c>
      <c r="BB32" s="915">
        <f t="shared" si="41"/>
        <v>0</v>
      </c>
      <c r="BC32" s="915">
        <f t="shared" si="42"/>
        <v>0</v>
      </c>
      <c r="BD32" s="915">
        <f t="shared" si="43"/>
        <v>0</v>
      </c>
      <c r="BE32" s="915">
        <f t="shared" si="44"/>
        <v>0</v>
      </c>
      <c r="BF32" s="915">
        <f t="shared" si="45"/>
        <v>0</v>
      </c>
      <c r="BG32" s="915">
        <f t="shared" si="46"/>
        <v>0</v>
      </c>
      <c r="BH32" s="915">
        <f t="shared" si="47"/>
        <v>0</v>
      </c>
      <c r="BI32" s="915">
        <f t="shared" si="48"/>
        <v>0</v>
      </c>
      <c r="BJ32" s="915">
        <f t="shared" si="49"/>
        <v>0</v>
      </c>
      <c r="BK32" s="915">
        <f t="shared" si="50"/>
        <v>0</v>
      </c>
      <c r="BL32" s="915">
        <f t="shared" si="51"/>
        <v>0</v>
      </c>
      <c r="BM32" s="915">
        <f t="shared" si="52"/>
        <v>0</v>
      </c>
      <c r="BN32" s="915">
        <f t="shared" si="53"/>
        <v>0</v>
      </c>
      <c r="BO32" s="915">
        <f t="shared" si="54"/>
        <v>0</v>
      </c>
      <c r="BP32" s="915">
        <f t="shared" si="55"/>
        <v>0</v>
      </c>
      <c r="BQ32" s="915">
        <f t="shared" si="56"/>
        <v>0</v>
      </c>
      <c r="BR32" s="915">
        <f t="shared" si="57"/>
        <v>0</v>
      </c>
      <c r="BS32" s="915">
        <f t="shared" si="58"/>
        <v>0</v>
      </c>
      <c r="BT32" s="915">
        <f t="shared" si="59"/>
        <v>0</v>
      </c>
      <c r="BU32" s="915">
        <f t="shared" si="60"/>
        <v>0</v>
      </c>
      <c r="BV32" s="915">
        <f t="shared" si="61"/>
        <v>0</v>
      </c>
      <c r="BW32" s="915">
        <f t="shared" si="62"/>
        <v>0</v>
      </c>
      <c r="BX32" s="915">
        <f t="shared" si="63"/>
        <v>0</v>
      </c>
      <c r="BY32" s="915">
        <f t="shared" si="64"/>
        <v>0</v>
      </c>
      <c r="BZ32" s="915">
        <f t="shared" si="65"/>
        <v>0</v>
      </c>
      <c r="CA32" s="915">
        <f t="shared" si="66"/>
        <v>0</v>
      </c>
      <c r="CB32" s="915">
        <f t="shared" si="67"/>
        <v>0</v>
      </c>
      <c r="CC32" s="915">
        <f t="shared" si="68"/>
        <v>0</v>
      </c>
      <c r="CD32" s="915">
        <f t="shared" si="69"/>
        <v>0</v>
      </c>
      <c r="CE32" s="915">
        <f t="shared" si="70"/>
        <v>0</v>
      </c>
      <c r="CF32" s="915">
        <f t="shared" si="71"/>
        <v>0</v>
      </c>
      <c r="CG32" s="915">
        <f t="shared" si="72"/>
        <v>0</v>
      </c>
      <c r="CH32" s="915">
        <f t="shared" si="73"/>
        <v>0</v>
      </c>
      <c r="CI32" s="915">
        <f t="shared" si="74"/>
        <v>0</v>
      </c>
      <c r="CJ32" s="915">
        <f t="shared" si="75"/>
        <v>0</v>
      </c>
      <c r="CK32" s="915">
        <f t="shared" si="76"/>
        <v>0</v>
      </c>
      <c r="CL32" s="915">
        <f t="shared" si="77"/>
        <v>0</v>
      </c>
      <c r="CM32" s="915">
        <f t="shared" si="78"/>
        <v>0</v>
      </c>
      <c r="CN32" s="915">
        <f t="shared" si="79"/>
        <v>0</v>
      </c>
      <c r="CO32" s="915">
        <f t="shared" si="80"/>
        <v>0</v>
      </c>
      <c r="CP32" s="915">
        <f t="shared" si="81"/>
        <v>0</v>
      </c>
      <c r="CQ32" s="915">
        <f t="shared" si="82"/>
        <v>0</v>
      </c>
      <c r="CR32" s="915">
        <f t="shared" si="83"/>
        <v>0</v>
      </c>
      <c r="CS32" s="915">
        <f t="shared" si="84"/>
        <v>0</v>
      </c>
      <c r="CT32" s="915">
        <f t="shared" si="85"/>
        <v>0</v>
      </c>
      <c r="CU32" s="915">
        <f t="shared" si="86"/>
        <v>0</v>
      </c>
      <c r="CV32" s="915">
        <f t="shared" si="87"/>
        <v>0</v>
      </c>
      <c r="CW32" s="915">
        <f t="shared" si="88"/>
        <v>0</v>
      </c>
      <c r="CX32" s="915">
        <f t="shared" si="89"/>
        <v>0</v>
      </c>
      <c r="CY32" s="915">
        <f t="shared" si="90"/>
        <v>0</v>
      </c>
      <c r="CZ32" s="915">
        <f t="shared" si="91"/>
        <v>0</v>
      </c>
      <c r="DA32" s="915">
        <f t="shared" si="92"/>
        <v>0</v>
      </c>
      <c r="DB32" s="915">
        <f t="shared" si="93"/>
        <v>0</v>
      </c>
      <c r="DC32" s="915">
        <f t="shared" si="94"/>
        <v>0</v>
      </c>
      <c r="DD32" s="915">
        <f t="shared" si="95"/>
        <v>0</v>
      </c>
      <c r="DE32" s="915">
        <f t="shared" si="96"/>
        <v>0</v>
      </c>
      <c r="DF32" s="915">
        <f t="shared" si="97"/>
        <v>0</v>
      </c>
      <c r="DG32" s="915">
        <f t="shared" si="98"/>
        <v>0</v>
      </c>
      <c r="DH32" s="915">
        <f t="shared" si="99"/>
        <v>0</v>
      </c>
      <c r="DI32" s="915">
        <f t="shared" si="100"/>
        <v>0</v>
      </c>
      <c r="DJ32" s="915">
        <f t="shared" si="101"/>
        <v>0</v>
      </c>
      <c r="DK32" s="915">
        <f t="shared" si="102"/>
        <v>0</v>
      </c>
      <c r="DL32" s="915">
        <f t="shared" si="103"/>
        <v>0</v>
      </c>
      <c r="DM32" s="915">
        <f t="shared" si="104"/>
        <v>0</v>
      </c>
      <c r="DN32" s="915">
        <f t="shared" si="105"/>
        <v>0</v>
      </c>
      <c r="DO32" s="915">
        <f t="shared" si="106"/>
        <v>0</v>
      </c>
      <c r="DP32" s="915">
        <f t="shared" si="107"/>
        <v>0</v>
      </c>
      <c r="DQ32" s="915">
        <f t="shared" si="108"/>
        <v>0</v>
      </c>
      <c r="DR32" s="915">
        <f t="shared" si="109"/>
        <v>0</v>
      </c>
      <c r="DS32" s="915">
        <f t="shared" si="110"/>
        <v>0</v>
      </c>
      <c r="DT32" s="915">
        <f t="shared" si="111"/>
        <v>0</v>
      </c>
      <c r="DU32" s="915">
        <f t="shared" si="112"/>
        <v>0</v>
      </c>
      <c r="DV32" s="915">
        <f t="shared" si="113"/>
        <v>0</v>
      </c>
      <c r="DW32" s="915">
        <f t="shared" si="114"/>
        <v>0</v>
      </c>
      <c r="DX32" s="915">
        <f t="shared" si="115"/>
        <v>0</v>
      </c>
      <c r="DY32" s="915">
        <f t="shared" si="116"/>
        <v>0</v>
      </c>
      <c r="DZ32" s="915">
        <f t="shared" si="117"/>
        <v>0</v>
      </c>
      <c r="EA32" s="915">
        <f t="shared" si="118"/>
        <v>0</v>
      </c>
      <c r="EB32" s="915">
        <f t="shared" si="119"/>
        <v>0</v>
      </c>
      <c r="EC32" s="915">
        <f t="shared" si="120"/>
        <v>0</v>
      </c>
      <c r="ED32" s="915">
        <f t="shared" si="121"/>
        <v>0</v>
      </c>
      <c r="EE32" s="915">
        <f t="shared" si="122"/>
        <v>0</v>
      </c>
      <c r="EF32" s="915">
        <f t="shared" si="123"/>
        <v>0</v>
      </c>
      <c r="EG32" s="915">
        <f t="shared" si="124"/>
        <v>0</v>
      </c>
      <c r="EH32" s="915">
        <f t="shared" si="125"/>
        <v>0</v>
      </c>
      <c r="EI32" s="915">
        <f t="shared" si="126"/>
        <v>0</v>
      </c>
      <c r="EJ32" s="915">
        <f t="shared" si="127"/>
        <v>0</v>
      </c>
      <c r="EK32" s="915">
        <f t="shared" si="128"/>
        <v>0</v>
      </c>
      <c r="EL32" s="915">
        <f t="shared" si="129"/>
        <v>0</v>
      </c>
      <c r="EM32" s="915">
        <f t="shared" si="130"/>
        <v>0</v>
      </c>
      <c r="EN32" s="915">
        <f t="shared" si="131"/>
        <v>0</v>
      </c>
      <c r="EO32" s="915">
        <f t="shared" si="132"/>
        <v>0</v>
      </c>
      <c r="EP32" s="915">
        <f t="shared" si="133"/>
        <v>0</v>
      </c>
      <c r="EQ32" s="915">
        <f t="shared" si="134"/>
        <v>0</v>
      </c>
      <c r="ER32" s="915">
        <f t="shared" si="135"/>
        <v>0</v>
      </c>
      <c r="ES32" s="915">
        <f t="shared" si="136"/>
        <v>0</v>
      </c>
      <c r="ET32" s="915">
        <f t="shared" si="137"/>
        <v>0</v>
      </c>
      <c r="EU32" s="915">
        <f t="shared" si="138"/>
        <v>0</v>
      </c>
      <c r="EV32" s="915">
        <f t="shared" si="139"/>
        <v>0</v>
      </c>
      <c r="EW32" s="915">
        <f t="shared" si="140"/>
        <v>0</v>
      </c>
      <c r="EX32" s="915">
        <f t="shared" si="141"/>
        <v>0</v>
      </c>
      <c r="EY32" s="915">
        <f t="shared" si="142"/>
        <v>0</v>
      </c>
      <c r="EZ32" s="915">
        <f t="shared" si="143"/>
        <v>0</v>
      </c>
      <c r="FA32" s="915">
        <f t="shared" si="144"/>
        <v>0</v>
      </c>
      <c r="FB32" s="915">
        <f t="shared" si="145"/>
        <v>0</v>
      </c>
      <c r="FC32" s="915">
        <f t="shared" si="146"/>
        <v>0</v>
      </c>
      <c r="FD32" s="915">
        <f t="shared" si="147"/>
        <v>0</v>
      </c>
      <c r="FE32" s="915">
        <f t="shared" si="148"/>
        <v>0</v>
      </c>
      <c r="FF32" s="915">
        <f t="shared" si="149"/>
        <v>0</v>
      </c>
      <c r="FG32" s="915">
        <f t="shared" si="150"/>
        <v>0</v>
      </c>
      <c r="FH32" s="915">
        <f t="shared" si="151"/>
        <v>0</v>
      </c>
      <c r="FI32" s="915">
        <f t="shared" si="152"/>
        <v>0</v>
      </c>
      <c r="FJ32" s="915">
        <f t="shared" si="153"/>
        <v>0</v>
      </c>
      <c r="FK32" s="915">
        <f t="shared" si="154"/>
        <v>0</v>
      </c>
      <c r="FL32" s="915">
        <f t="shared" si="155"/>
        <v>0</v>
      </c>
      <c r="FM32" s="915">
        <f t="shared" si="156"/>
        <v>0</v>
      </c>
      <c r="FN32" s="915">
        <f t="shared" si="157"/>
        <v>0</v>
      </c>
      <c r="FO32" s="915">
        <f t="shared" si="158"/>
        <v>0</v>
      </c>
      <c r="FP32" s="915">
        <f t="shared" si="159"/>
        <v>0</v>
      </c>
      <c r="FQ32" s="915">
        <f t="shared" si="160"/>
        <v>0</v>
      </c>
      <c r="FR32" s="915">
        <f t="shared" si="161"/>
        <v>0</v>
      </c>
      <c r="FS32" s="915">
        <f t="shared" si="162"/>
        <v>0</v>
      </c>
      <c r="FT32" s="915">
        <f t="shared" si="163"/>
        <v>0</v>
      </c>
      <c r="FU32" s="915">
        <f t="shared" si="164"/>
        <v>0</v>
      </c>
      <c r="FV32" s="915">
        <f t="shared" si="165"/>
        <v>0</v>
      </c>
      <c r="FW32" s="915">
        <f t="shared" si="166"/>
        <v>0</v>
      </c>
      <c r="FX32" s="915">
        <f t="shared" si="167"/>
        <v>0</v>
      </c>
      <c r="FY32" s="915">
        <f t="shared" si="168"/>
        <v>0</v>
      </c>
      <c r="FZ32" s="915">
        <f t="shared" si="169"/>
        <v>0</v>
      </c>
    </row>
    <row r="33" spans="1:182" ht="14.1" customHeight="1" x14ac:dyDescent="0.2">
      <c r="A33" s="497">
        <v>26</v>
      </c>
      <c r="B33" s="1423"/>
      <c r="C33" s="1431"/>
      <c r="D33" s="138">
        <v>4</v>
      </c>
      <c r="E33" s="138" t="s">
        <v>26</v>
      </c>
      <c r="F33" s="139" t="s">
        <v>2544</v>
      </c>
      <c r="G33" s="139" t="s">
        <v>2542</v>
      </c>
      <c r="H33" s="100">
        <v>7</v>
      </c>
      <c r="I33" s="119">
        <f t="shared" si="11"/>
        <v>0.42</v>
      </c>
      <c r="J33" s="90">
        <f t="shared" si="12"/>
        <v>7.42</v>
      </c>
      <c r="K33" s="225"/>
      <c r="N33" s="942">
        <f>AV6</f>
        <v>7.42</v>
      </c>
      <c r="O33" s="879" t="str">
        <f>"Remediation for " &amp; TabName4</f>
        <v>Remediation for Phase 4</v>
      </c>
      <c r="P33" s="950" t="s">
        <v>269</v>
      </c>
      <c r="W33" s="915">
        <f t="shared" si="8"/>
        <v>0</v>
      </c>
      <c r="X33" s="915">
        <f t="shared" si="9"/>
        <v>0</v>
      </c>
      <c r="Y33" s="915">
        <f t="shared" si="10"/>
        <v>0</v>
      </c>
      <c r="Z33" s="915">
        <f t="shared" si="13"/>
        <v>0</v>
      </c>
      <c r="AA33" s="915">
        <f t="shared" si="14"/>
        <v>0</v>
      </c>
      <c r="AB33" s="915">
        <f t="shared" si="15"/>
        <v>0</v>
      </c>
      <c r="AC33" s="915">
        <f t="shared" si="16"/>
        <v>0</v>
      </c>
      <c r="AD33" s="915">
        <f t="shared" si="17"/>
        <v>0</v>
      </c>
      <c r="AE33" s="915">
        <f t="shared" si="18"/>
        <v>0</v>
      </c>
      <c r="AF33" s="915">
        <f t="shared" si="19"/>
        <v>0</v>
      </c>
      <c r="AG33" s="915">
        <f t="shared" si="20"/>
        <v>0</v>
      </c>
      <c r="AH33" s="915">
        <f t="shared" si="21"/>
        <v>0</v>
      </c>
      <c r="AI33" s="915">
        <f t="shared" si="22"/>
        <v>0</v>
      </c>
      <c r="AJ33" s="915">
        <f t="shared" si="23"/>
        <v>0</v>
      </c>
      <c r="AK33" s="915">
        <f t="shared" si="24"/>
        <v>0</v>
      </c>
      <c r="AL33" s="915">
        <f t="shared" si="25"/>
        <v>0</v>
      </c>
      <c r="AM33" s="915">
        <f t="shared" si="26"/>
        <v>0</v>
      </c>
      <c r="AN33" s="915">
        <f t="shared" si="27"/>
        <v>0</v>
      </c>
      <c r="AO33" s="915">
        <f t="shared" si="28"/>
        <v>0</v>
      </c>
      <c r="AP33" s="915">
        <f t="shared" si="29"/>
        <v>0</v>
      </c>
      <c r="AQ33" s="915">
        <f t="shared" si="30"/>
        <v>0</v>
      </c>
      <c r="AR33" s="915">
        <f t="shared" si="31"/>
        <v>0</v>
      </c>
      <c r="AS33" s="915">
        <f t="shared" si="32"/>
        <v>0</v>
      </c>
      <c r="AT33" s="915">
        <f t="shared" si="33"/>
        <v>0</v>
      </c>
      <c r="AU33" s="915">
        <f t="shared" si="34"/>
        <v>0</v>
      </c>
      <c r="AV33" s="915">
        <f t="shared" si="35"/>
        <v>7.42</v>
      </c>
      <c r="AW33" s="915">
        <f t="shared" si="36"/>
        <v>0</v>
      </c>
      <c r="AX33" s="915">
        <f t="shared" si="37"/>
        <v>0</v>
      </c>
      <c r="AY33" s="915">
        <f t="shared" si="38"/>
        <v>0</v>
      </c>
      <c r="AZ33" s="915">
        <f t="shared" si="39"/>
        <v>0</v>
      </c>
      <c r="BA33" s="915">
        <f t="shared" si="40"/>
        <v>0</v>
      </c>
      <c r="BB33" s="915">
        <f t="shared" si="41"/>
        <v>0</v>
      </c>
      <c r="BC33" s="915">
        <f t="shared" si="42"/>
        <v>0</v>
      </c>
      <c r="BD33" s="915">
        <f t="shared" si="43"/>
        <v>0</v>
      </c>
      <c r="BE33" s="915">
        <f t="shared" si="44"/>
        <v>0</v>
      </c>
      <c r="BF33" s="915">
        <f t="shared" si="45"/>
        <v>0</v>
      </c>
      <c r="BG33" s="915">
        <f t="shared" si="46"/>
        <v>0</v>
      </c>
      <c r="BH33" s="915">
        <f t="shared" si="47"/>
        <v>0</v>
      </c>
      <c r="BI33" s="915">
        <f t="shared" si="48"/>
        <v>0</v>
      </c>
      <c r="BJ33" s="915">
        <f t="shared" si="49"/>
        <v>0</v>
      </c>
      <c r="BK33" s="915">
        <f t="shared" si="50"/>
        <v>0</v>
      </c>
      <c r="BL33" s="915">
        <f t="shared" si="51"/>
        <v>0</v>
      </c>
      <c r="BM33" s="915">
        <f t="shared" si="52"/>
        <v>0</v>
      </c>
      <c r="BN33" s="915">
        <f t="shared" si="53"/>
        <v>0</v>
      </c>
      <c r="BO33" s="915">
        <f t="shared" si="54"/>
        <v>0</v>
      </c>
      <c r="BP33" s="915">
        <f t="shared" si="55"/>
        <v>0</v>
      </c>
      <c r="BQ33" s="915">
        <f t="shared" si="56"/>
        <v>0</v>
      </c>
      <c r="BR33" s="915">
        <f t="shared" si="57"/>
        <v>0</v>
      </c>
      <c r="BS33" s="915">
        <f t="shared" si="58"/>
        <v>0</v>
      </c>
      <c r="BT33" s="915">
        <f t="shared" si="59"/>
        <v>0</v>
      </c>
      <c r="BU33" s="915">
        <f t="shared" si="60"/>
        <v>0</v>
      </c>
      <c r="BV33" s="915">
        <f t="shared" si="61"/>
        <v>0</v>
      </c>
      <c r="BW33" s="915">
        <f t="shared" si="62"/>
        <v>0</v>
      </c>
      <c r="BX33" s="915">
        <f t="shared" si="63"/>
        <v>0</v>
      </c>
      <c r="BY33" s="915">
        <f t="shared" si="64"/>
        <v>0</v>
      </c>
      <c r="BZ33" s="915">
        <f t="shared" si="65"/>
        <v>0</v>
      </c>
      <c r="CA33" s="915">
        <f t="shared" si="66"/>
        <v>0</v>
      </c>
      <c r="CB33" s="915">
        <f t="shared" si="67"/>
        <v>0</v>
      </c>
      <c r="CC33" s="915">
        <f t="shared" si="68"/>
        <v>0</v>
      </c>
      <c r="CD33" s="915">
        <f t="shared" si="69"/>
        <v>0</v>
      </c>
      <c r="CE33" s="915">
        <f t="shared" si="70"/>
        <v>0</v>
      </c>
      <c r="CF33" s="915">
        <f t="shared" si="71"/>
        <v>0</v>
      </c>
      <c r="CG33" s="915">
        <f t="shared" si="72"/>
        <v>0</v>
      </c>
      <c r="CH33" s="915">
        <f t="shared" si="73"/>
        <v>0</v>
      </c>
      <c r="CI33" s="915">
        <f t="shared" si="74"/>
        <v>0</v>
      </c>
      <c r="CJ33" s="915">
        <f t="shared" si="75"/>
        <v>0</v>
      </c>
      <c r="CK33" s="915">
        <f t="shared" si="76"/>
        <v>0</v>
      </c>
      <c r="CL33" s="915">
        <f t="shared" si="77"/>
        <v>0</v>
      </c>
      <c r="CM33" s="915">
        <f t="shared" si="78"/>
        <v>0</v>
      </c>
      <c r="CN33" s="915">
        <f t="shared" si="79"/>
        <v>0</v>
      </c>
      <c r="CO33" s="915">
        <f t="shared" si="80"/>
        <v>0</v>
      </c>
      <c r="CP33" s="915">
        <f t="shared" si="81"/>
        <v>0</v>
      </c>
      <c r="CQ33" s="915">
        <f t="shared" si="82"/>
        <v>0</v>
      </c>
      <c r="CR33" s="915">
        <f t="shared" si="83"/>
        <v>0</v>
      </c>
      <c r="CS33" s="915">
        <f t="shared" si="84"/>
        <v>0</v>
      </c>
      <c r="CT33" s="915">
        <f t="shared" si="85"/>
        <v>0</v>
      </c>
      <c r="CU33" s="915">
        <f t="shared" si="86"/>
        <v>0</v>
      </c>
      <c r="CV33" s="915">
        <f t="shared" si="87"/>
        <v>0</v>
      </c>
      <c r="CW33" s="915">
        <f t="shared" si="88"/>
        <v>0</v>
      </c>
      <c r="CX33" s="915">
        <f t="shared" si="89"/>
        <v>0</v>
      </c>
      <c r="CY33" s="915">
        <f t="shared" si="90"/>
        <v>0</v>
      </c>
      <c r="CZ33" s="915">
        <f t="shared" si="91"/>
        <v>0</v>
      </c>
      <c r="DA33" s="915">
        <f t="shared" si="92"/>
        <v>0</v>
      </c>
      <c r="DB33" s="915">
        <f t="shared" si="93"/>
        <v>0</v>
      </c>
      <c r="DC33" s="915">
        <f t="shared" si="94"/>
        <v>0</v>
      </c>
      <c r="DD33" s="915">
        <f t="shared" si="95"/>
        <v>0</v>
      </c>
      <c r="DE33" s="915">
        <f t="shared" si="96"/>
        <v>0</v>
      </c>
      <c r="DF33" s="915">
        <f t="shared" si="97"/>
        <v>0</v>
      </c>
      <c r="DG33" s="915">
        <f t="shared" si="98"/>
        <v>0</v>
      </c>
      <c r="DH33" s="915">
        <f t="shared" si="99"/>
        <v>0</v>
      </c>
      <c r="DI33" s="915">
        <f t="shared" si="100"/>
        <v>0</v>
      </c>
      <c r="DJ33" s="915">
        <f t="shared" si="101"/>
        <v>0</v>
      </c>
      <c r="DK33" s="915">
        <f t="shared" si="102"/>
        <v>0</v>
      </c>
      <c r="DL33" s="915">
        <f t="shared" si="103"/>
        <v>0</v>
      </c>
      <c r="DM33" s="915">
        <f t="shared" si="104"/>
        <v>0</v>
      </c>
      <c r="DN33" s="915">
        <f t="shared" si="105"/>
        <v>0</v>
      </c>
      <c r="DO33" s="915">
        <f t="shared" si="106"/>
        <v>0</v>
      </c>
      <c r="DP33" s="915">
        <f t="shared" si="107"/>
        <v>0</v>
      </c>
      <c r="DQ33" s="915">
        <f t="shared" si="108"/>
        <v>0</v>
      </c>
      <c r="DR33" s="915">
        <f t="shared" si="109"/>
        <v>0</v>
      </c>
      <c r="DS33" s="915">
        <f t="shared" si="110"/>
        <v>0</v>
      </c>
      <c r="DT33" s="915">
        <f t="shared" si="111"/>
        <v>0</v>
      </c>
      <c r="DU33" s="915">
        <f t="shared" si="112"/>
        <v>0</v>
      </c>
      <c r="DV33" s="915">
        <f t="shared" si="113"/>
        <v>0</v>
      </c>
      <c r="DW33" s="915">
        <f t="shared" si="114"/>
        <v>0</v>
      </c>
      <c r="DX33" s="915">
        <f t="shared" si="115"/>
        <v>0</v>
      </c>
      <c r="DY33" s="915">
        <f t="shared" si="116"/>
        <v>0</v>
      </c>
      <c r="DZ33" s="915">
        <f t="shared" si="117"/>
        <v>0</v>
      </c>
      <c r="EA33" s="915">
        <f t="shared" si="118"/>
        <v>0</v>
      </c>
      <c r="EB33" s="915">
        <f t="shared" si="119"/>
        <v>0</v>
      </c>
      <c r="EC33" s="915">
        <f t="shared" si="120"/>
        <v>0</v>
      </c>
      <c r="ED33" s="915">
        <f t="shared" si="121"/>
        <v>0</v>
      </c>
      <c r="EE33" s="915">
        <f t="shared" si="122"/>
        <v>0</v>
      </c>
      <c r="EF33" s="915">
        <f t="shared" si="123"/>
        <v>0</v>
      </c>
      <c r="EG33" s="915">
        <f t="shared" si="124"/>
        <v>0</v>
      </c>
      <c r="EH33" s="915">
        <f t="shared" si="125"/>
        <v>0</v>
      </c>
      <c r="EI33" s="915">
        <f t="shared" si="126"/>
        <v>0</v>
      </c>
      <c r="EJ33" s="915">
        <f t="shared" si="127"/>
        <v>0</v>
      </c>
      <c r="EK33" s="915">
        <f t="shared" si="128"/>
        <v>0</v>
      </c>
      <c r="EL33" s="915">
        <f t="shared" si="129"/>
        <v>0</v>
      </c>
      <c r="EM33" s="915">
        <f t="shared" si="130"/>
        <v>0</v>
      </c>
      <c r="EN33" s="915">
        <f t="shared" si="131"/>
        <v>0</v>
      </c>
      <c r="EO33" s="915">
        <f t="shared" si="132"/>
        <v>0</v>
      </c>
      <c r="EP33" s="915">
        <f t="shared" si="133"/>
        <v>0</v>
      </c>
      <c r="EQ33" s="915">
        <f t="shared" si="134"/>
        <v>0</v>
      </c>
      <c r="ER33" s="915">
        <f t="shared" si="135"/>
        <v>0</v>
      </c>
      <c r="ES33" s="915">
        <f t="shared" si="136"/>
        <v>0</v>
      </c>
      <c r="ET33" s="915">
        <f t="shared" si="137"/>
        <v>0</v>
      </c>
      <c r="EU33" s="915">
        <f t="shared" si="138"/>
        <v>0</v>
      </c>
      <c r="EV33" s="915">
        <f t="shared" si="139"/>
        <v>0</v>
      </c>
      <c r="EW33" s="915">
        <f t="shared" si="140"/>
        <v>0</v>
      </c>
      <c r="EX33" s="915">
        <f t="shared" si="141"/>
        <v>0</v>
      </c>
      <c r="EY33" s="915">
        <f t="shared" si="142"/>
        <v>0</v>
      </c>
      <c r="EZ33" s="915">
        <f t="shared" si="143"/>
        <v>0</v>
      </c>
      <c r="FA33" s="915">
        <f t="shared" si="144"/>
        <v>0</v>
      </c>
      <c r="FB33" s="915">
        <f t="shared" si="145"/>
        <v>0</v>
      </c>
      <c r="FC33" s="915">
        <f t="shared" si="146"/>
        <v>0</v>
      </c>
      <c r="FD33" s="915">
        <f t="shared" si="147"/>
        <v>0</v>
      </c>
      <c r="FE33" s="915">
        <f t="shared" si="148"/>
        <v>0</v>
      </c>
      <c r="FF33" s="915">
        <f t="shared" si="149"/>
        <v>0</v>
      </c>
      <c r="FG33" s="915">
        <f t="shared" si="150"/>
        <v>0</v>
      </c>
      <c r="FH33" s="915">
        <f t="shared" si="151"/>
        <v>0</v>
      </c>
      <c r="FI33" s="915">
        <f t="shared" si="152"/>
        <v>0</v>
      </c>
      <c r="FJ33" s="915">
        <f t="shared" si="153"/>
        <v>0</v>
      </c>
      <c r="FK33" s="915">
        <f t="shared" si="154"/>
        <v>0</v>
      </c>
      <c r="FL33" s="915">
        <f t="shared" si="155"/>
        <v>0</v>
      </c>
      <c r="FM33" s="915">
        <f t="shared" si="156"/>
        <v>0</v>
      </c>
      <c r="FN33" s="915">
        <f t="shared" si="157"/>
        <v>0</v>
      </c>
      <c r="FO33" s="915">
        <f t="shared" si="158"/>
        <v>0</v>
      </c>
      <c r="FP33" s="915">
        <f t="shared" si="159"/>
        <v>0</v>
      </c>
      <c r="FQ33" s="915">
        <f t="shared" si="160"/>
        <v>0</v>
      </c>
      <c r="FR33" s="915">
        <f t="shared" si="161"/>
        <v>0</v>
      </c>
      <c r="FS33" s="915">
        <f t="shared" si="162"/>
        <v>0</v>
      </c>
      <c r="FT33" s="915">
        <f t="shared" si="163"/>
        <v>0</v>
      </c>
      <c r="FU33" s="915">
        <f t="shared" si="164"/>
        <v>0</v>
      </c>
      <c r="FV33" s="915">
        <f t="shared" si="165"/>
        <v>0</v>
      </c>
      <c r="FW33" s="915">
        <f t="shared" si="166"/>
        <v>0</v>
      </c>
      <c r="FX33" s="915">
        <f t="shared" si="167"/>
        <v>0</v>
      </c>
      <c r="FY33" s="915">
        <f t="shared" si="168"/>
        <v>0</v>
      </c>
      <c r="FZ33" s="915">
        <f t="shared" si="169"/>
        <v>0</v>
      </c>
    </row>
    <row r="34" spans="1:182" ht="14.1" customHeight="1" x14ac:dyDescent="0.2">
      <c r="A34" s="496">
        <v>27</v>
      </c>
      <c r="B34" s="1419"/>
      <c r="C34" s="1420"/>
      <c r="D34" s="264">
        <v>4</v>
      </c>
      <c r="E34" s="264" t="s">
        <v>35</v>
      </c>
      <c r="F34" s="270" t="s">
        <v>2544</v>
      </c>
      <c r="G34" s="270" t="s">
        <v>2542</v>
      </c>
      <c r="H34" s="272">
        <v>7</v>
      </c>
      <c r="I34" s="268">
        <f t="shared" si="11"/>
        <v>0.42</v>
      </c>
      <c r="J34" s="269">
        <f t="shared" si="12"/>
        <v>7.42</v>
      </c>
      <c r="K34" s="225"/>
      <c r="N34" s="942">
        <f>AW6</f>
        <v>7.42</v>
      </c>
      <c r="O34" s="879" t="str">
        <f>"General Construction for " &amp; TabName4</f>
        <v>General Construction for Phase 4</v>
      </c>
      <c r="P34" s="949" t="s">
        <v>263</v>
      </c>
      <c r="W34" s="915">
        <f t="shared" si="8"/>
        <v>0</v>
      </c>
      <c r="X34" s="915">
        <f t="shared" si="9"/>
        <v>0</v>
      </c>
      <c r="Y34" s="915">
        <f t="shared" si="10"/>
        <v>0</v>
      </c>
      <c r="Z34" s="915">
        <f t="shared" si="13"/>
        <v>0</v>
      </c>
      <c r="AA34" s="915">
        <f t="shared" si="14"/>
        <v>0</v>
      </c>
      <c r="AB34" s="915">
        <f t="shared" si="15"/>
        <v>0</v>
      </c>
      <c r="AC34" s="915">
        <f t="shared" si="16"/>
        <v>0</v>
      </c>
      <c r="AD34" s="915">
        <f t="shared" si="17"/>
        <v>0</v>
      </c>
      <c r="AE34" s="915">
        <f t="shared" si="18"/>
        <v>0</v>
      </c>
      <c r="AF34" s="915">
        <f t="shared" si="19"/>
        <v>0</v>
      </c>
      <c r="AG34" s="915">
        <f t="shared" si="20"/>
        <v>0</v>
      </c>
      <c r="AH34" s="915">
        <f t="shared" si="21"/>
        <v>0</v>
      </c>
      <c r="AI34" s="915">
        <f t="shared" si="22"/>
        <v>0</v>
      </c>
      <c r="AJ34" s="915">
        <f t="shared" si="23"/>
        <v>0</v>
      </c>
      <c r="AK34" s="915">
        <f t="shared" si="24"/>
        <v>0</v>
      </c>
      <c r="AL34" s="915">
        <f t="shared" si="25"/>
        <v>0</v>
      </c>
      <c r="AM34" s="915">
        <f t="shared" si="26"/>
        <v>0</v>
      </c>
      <c r="AN34" s="915">
        <f t="shared" si="27"/>
        <v>0</v>
      </c>
      <c r="AO34" s="915">
        <f t="shared" si="28"/>
        <v>0</v>
      </c>
      <c r="AP34" s="915">
        <f t="shared" si="29"/>
        <v>0</v>
      </c>
      <c r="AQ34" s="915">
        <f t="shared" si="30"/>
        <v>0</v>
      </c>
      <c r="AR34" s="915">
        <f t="shared" si="31"/>
        <v>0</v>
      </c>
      <c r="AS34" s="915">
        <f t="shared" si="32"/>
        <v>0</v>
      </c>
      <c r="AT34" s="915">
        <f t="shared" si="33"/>
        <v>0</v>
      </c>
      <c r="AU34" s="915">
        <f t="shared" si="34"/>
        <v>0</v>
      </c>
      <c r="AV34" s="915">
        <f t="shared" si="35"/>
        <v>0</v>
      </c>
      <c r="AW34" s="915">
        <f t="shared" si="36"/>
        <v>7.42</v>
      </c>
      <c r="AX34" s="915">
        <f t="shared" si="37"/>
        <v>0</v>
      </c>
      <c r="AY34" s="915">
        <f t="shared" si="38"/>
        <v>0</v>
      </c>
      <c r="AZ34" s="915">
        <f t="shared" si="39"/>
        <v>0</v>
      </c>
      <c r="BA34" s="915">
        <f t="shared" si="40"/>
        <v>0</v>
      </c>
      <c r="BB34" s="915">
        <f t="shared" si="41"/>
        <v>0</v>
      </c>
      <c r="BC34" s="915">
        <f t="shared" si="42"/>
        <v>0</v>
      </c>
      <c r="BD34" s="915">
        <f t="shared" si="43"/>
        <v>0</v>
      </c>
      <c r="BE34" s="915">
        <f t="shared" si="44"/>
        <v>0</v>
      </c>
      <c r="BF34" s="915">
        <f t="shared" si="45"/>
        <v>0</v>
      </c>
      <c r="BG34" s="915">
        <f t="shared" si="46"/>
        <v>0</v>
      </c>
      <c r="BH34" s="915">
        <f t="shared" si="47"/>
        <v>0</v>
      </c>
      <c r="BI34" s="915">
        <f t="shared" si="48"/>
        <v>0</v>
      </c>
      <c r="BJ34" s="915">
        <f t="shared" si="49"/>
        <v>0</v>
      </c>
      <c r="BK34" s="915">
        <f t="shared" si="50"/>
        <v>0</v>
      </c>
      <c r="BL34" s="915">
        <f t="shared" si="51"/>
        <v>0</v>
      </c>
      <c r="BM34" s="915">
        <f t="shared" si="52"/>
        <v>0</v>
      </c>
      <c r="BN34" s="915">
        <f t="shared" si="53"/>
        <v>0</v>
      </c>
      <c r="BO34" s="915">
        <f t="shared" si="54"/>
        <v>0</v>
      </c>
      <c r="BP34" s="915">
        <f t="shared" si="55"/>
        <v>0</v>
      </c>
      <c r="BQ34" s="915">
        <f t="shared" si="56"/>
        <v>0</v>
      </c>
      <c r="BR34" s="915">
        <f t="shared" si="57"/>
        <v>0</v>
      </c>
      <c r="BS34" s="915">
        <f t="shared" si="58"/>
        <v>0</v>
      </c>
      <c r="BT34" s="915">
        <f t="shared" si="59"/>
        <v>0</v>
      </c>
      <c r="BU34" s="915">
        <f t="shared" si="60"/>
        <v>0</v>
      </c>
      <c r="BV34" s="915">
        <f t="shared" si="61"/>
        <v>0</v>
      </c>
      <c r="BW34" s="915">
        <f t="shared" si="62"/>
        <v>0</v>
      </c>
      <c r="BX34" s="915">
        <f t="shared" si="63"/>
        <v>0</v>
      </c>
      <c r="BY34" s="915">
        <f t="shared" si="64"/>
        <v>0</v>
      </c>
      <c r="BZ34" s="915">
        <f t="shared" si="65"/>
        <v>0</v>
      </c>
      <c r="CA34" s="915">
        <f t="shared" si="66"/>
        <v>0</v>
      </c>
      <c r="CB34" s="915">
        <f t="shared" si="67"/>
        <v>0</v>
      </c>
      <c r="CC34" s="915">
        <f t="shared" si="68"/>
        <v>0</v>
      </c>
      <c r="CD34" s="915">
        <f t="shared" si="69"/>
        <v>0</v>
      </c>
      <c r="CE34" s="915">
        <f t="shared" si="70"/>
        <v>0</v>
      </c>
      <c r="CF34" s="915">
        <f t="shared" si="71"/>
        <v>0</v>
      </c>
      <c r="CG34" s="915">
        <f t="shared" si="72"/>
        <v>0</v>
      </c>
      <c r="CH34" s="915">
        <f t="shared" si="73"/>
        <v>0</v>
      </c>
      <c r="CI34" s="915">
        <f t="shared" si="74"/>
        <v>0</v>
      </c>
      <c r="CJ34" s="915">
        <f t="shared" si="75"/>
        <v>0</v>
      </c>
      <c r="CK34" s="915">
        <f t="shared" si="76"/>
        <v>0</v>
      </c>
      <c r="CL34" s="915">
        <f t="shared" si="77"/>
        <v>0</v>
      </c>
      <c r="CM34" s="915">
        <f t="shared" si="78"/>
        <v>0</v>
      </c>
      <c r="CN34" s="915">
        <f t="shared" si="79"/>
        <v>0</v>
      </c>
      <c r="CO34" s="915">
        <f t="shared" si="80"/>
        <v>0</v>
      </c>
      <c r="CP34" s="915">
        <f t="shared" si="81"/>
        <v>0</v>
      </c>
      <c r="CQ34" s="915">
        <f t="shared" si="82"/>
        <v>0</v>
      </c>
      <c r="CR34" s="915">
        <f t="shared" si="83"/>
        <v>0</v>
      </c>
      <c r="CS34" s="915">
        <f t="shared" si="84"/>
        <v>0</v>
      </c>
      <c r="CT34" s="915">
        <f t="shared" si="85"/>
        <v>0</v>
      </c>
      <c r="CU34" s="915">
        <f t="shared" si="86"/>
        <v>0</v>
      </c>
      <c r="CV34" s="915">
        <f t="shared" si="87"/>
        <v>0</v>
      </c>
      <c r="CW34" s="915">
        <f t="shared" si="88"/>
        <v>0</v>
      </c>
      <c r="CX34" s="915">
        <f t="shared" si="89"/>
        <v>0</v>
      </c>
      <c r="CY34" s="915">
        <f t="shared" si="90"/>
        <v>0</v>
      </c>
      <c r="CZ34" s="915">
        <f t="shared" si="91"/>
        <v>0</v>
      </c>
      <c r="DA34" s="915">
        <f t="shared" si="92"/>
        <v>0</v>
      </c>
      <c r="DB34" s="915">
        <f t="shared" si="93"/>
        <v>0</v>
      </c>
      <c r="DC34" s="915">
        <f t="shared" si="94"/>
        <v>0</v>
      </c>
      <c r="DD34" s="915">
        <f t="shared" si="95"/>
        <v>0</v>
      </c>
      <c r="DE34" s="915">
        <f t="shared" si="96"/>
        <v>0</v>
      </c>
      <c r="DF34" s="915">
        <f t="shared" si="97"/>
        <v>0</v>
      </c>
      <c r="DG34" s="915">
        <f t="shared" si="98"/>
        <v>0</v>
      </c>
      <c r="DH34" s="915">
        <f t="shared" si="99"/>
        <v>0</v>
      </c>
      <c r="DI34" s="915">
        <f t="shared" si="100"/>
        <v>0</v>
      </c>
      <c r="DJ34" s="915">
        <f t="shared" si="101"/>
        <v>0</v>
      </c>
      <c r="DK34" s="915">
        <f t="shared" si="102"/>
        <v>0</v>
      </c>
      <c r="DL34" s="915">
        <f t="shared" si="103"/>
        <v>0</v>
      </c>
      <c r="DM34" s="915">
        <f t="shared" si="104"/>
        <v>0</v>
      </c>
      <c r="DN34" s="915">
        <f t="shared" si="105"/>
        <v>0</v>
      </c>
      <c r="DO34" s="915">
        <f t="shared" si="106"/>
        <v>0</v>
      </c>
      <c r="DP34" s="915">
        <f t="shared" si="107"/>
        <v>0</v>
      </c>
      <c r="DQ34" s="915">
        <f t="shared" si="108"/>
        <v>0</v>
      </c>
      <c r="DR34" s="915">
        <f t="shared" si="109"/>
        <v>0</v>
      </c>
      <c r="DS34" s="915">
        <f t="shared" si="110"/>
        <v>0</v>
      </c>
      <c r="DT34" s="915">
        <f t="shared" si="111"/>
        <v>0</v>
      </c>
      <c r="DU34" s="915">
        <f t="shared" si="112"/>
        <v>0</v>
      </c>
      <c r="DV34" s="915">
        <f t="shared" si="113"/>
        <v>0</v>
      </c>
      <c r="DW34" s="915">
        <f t="shared" si="114"/>
        <v>0</v>
      </c>
      <c r="DX34" s="915">
        <f t="shared" si="115"/>
        <v>0</v>
      </c>
      <c r="DY34" s="915">
        <f t="shared" si="116"/>
        <v>0</v>
      </c>
      <c r="DZ34" s="915">
        <f t="shared" si="117"/>
        <v>0</v>
      </c>
      <c r="EA34" s="915">
        <f t="shared" si="118"/>
        <v>0</v>
      </c>
      <c r="EB34" s="915">
        <f t="shared" si="119"/>
        <v>0</v>
      </c>
      <c r="EC34" s="915">
        <f t="shared" si="120"/>
        <v>0</v>
      </c>
      <c r="ED34" s="915">
        <f t="shared" si="121"/>
        <v>0</v>
      </c>
      <c r="EE34" s="915">
        <f t="shared" si="122"/>
        <v>0</v>
      </c>
      <c r="EF34" s="915">
        <f t="shared" si="123"/>
        <v>0</v>
      </c>
      <c r="EG34" s="915">
        <f t="shared" si="124"/>
        <v>0</v>
      </c>
      <c r="EH34" s="915">
        <f t="shared" si="125"/>
        <v>0</v>
      </c>
      <c r="EI34" s="915">
        <f t="shared" si="126"/>
        <v>0</v>
      </c>
      <c r="EJ34" s="915">
        <f t="shared" si="127"/>
        <v>0</v>
      </c>
      <c r="EK34" s="915">
        <f t="shared" si="128"/>
        <v>0</v>
      </c>
      <c r="EL34" s="915">
        <f t="shared" si="129"/>
        <v>0</v>
      </c>
      <c r="EM34" s="915">
        <f t="shared" si="130"/>
        <v>0</v>
      </c>
      <c r="EN34" s="915">
        <f t="shared" si="131"/>
        <v>0</v>
      </c>
      <c r="EO34" s="915">
        <f t="shared" si="132"/>
        <v>0</v>
      </c>
      <c r="EP34" s="915">
        <f t="shared" si="133"/>
        <v>0</v>
      </c>
      <c r="EQ34" s="915">
        <f t="shared" si="134"/>
        <v>0</v>
      </c>
      <c r="ER34" s="915">
        <f t="shared" si="135"/>
        <v>0</v>
      </c>
      <c r="ES34" s="915">
        <f t="shared" si="136"/>
        <v>0</v>
      </c>
      <c r="ET34" s="915">
        <f t="shared" si="137"/>
        <v>0</v>
      </c>
      <c r="EU34" s="915">
        <f t="shared" si="138"/>
        <v>0</v>
      </c>
      <c r="EV34" s="915">
        <f t="shared" si="139"/>
        <v>0</v>
      </c>
      <c r="EW34" s="915">
        <f t="shared" si="140"/>
        <v>0</v>
      </c>
      <c r="EX34" s="915">
        <f t="shared" si="141"/>
        <v>0</v>
      </c>
      <c r="EY34" s="915">
        <f t="shared" si="142"/>
        <v>0</v>
      </c>
      <c r="EZ34" s="915">
        <f t="shared" si="143"/>
        <v>0</v>
      </c>
      <c r="FA34" s="915">
        <f t="shared" si="144"/>
        <v>0</v>
      </c>
      <c r="FB34" s="915">
        <f t="shared" si="145"/>
        <v>0</v>
      </c>
      <c r="FC34" s="915">
        <f t="shared" si="146"/>
        <v>0</v>
      </c>
      <c r="FD34" s="915">
        <f t="shared" si="147"/>
        <v>0</v>
      </c>
      <c r="FE34" s="915">
        <f t="shared" si="148"/>
        <v>0</v>
      </c>
      <c r="FF34" s="915">
        <f t="shared" si="149"/>
        <v>0</v>
      </c>
      <c r="FG34" s="915">
        <f t="shared" si="150"/>
        <v>0</v>
      </c>
      <c r="FH34" s="915">
        <f t="shared" si="151"/>
        <v>0</v>
      </c>
      <c r="FI34" s="915">
        <f t="shared" si="152"/>
        <v>0</v>
      </c>
      <c r="FJ34" s="915">
        <f t="shared" si="153"/>
        <v>0</v>
      </c>
      <c r="FK34" s="915">
        <f t="shared" si="154"/>
        <v>0</v>
      </c>
      <c r="FL34" s="915">
        <f t="shared" si="155"/>
        <v>0</v>
      </c>
      <c r="FM34" s="915">
        <f t="shared" si="156"/>
        <v>0</v>
      </c>
      <c r="FN34" s="915">
        <f t="shared" si="157"/>
        <v>0</v>
      </c>
      <c r="FO34" s="915">
        <f t="shared" si="158"/>
        <v>0</v>
      </c>
      <c r="FP34" s="915">
        <f t="shared" si="159"/>
        <v>0</v>
      </c>
      <c r="FQ34" s="915">
        <f t="shared" si="160"/>
        <v>0</v>
      </c>
      <c r="FR34" s="915">
        <f t="shared" si="161"/>
        <v>0</v>
      </c>
      <c r="FS34" s="915">
        <f t="shared" si="162"/>
        <v>0</v>
      </c>
      <c r="FT34" s="915">
        <f t="shared" si="163"/>
        <v>0</v>
      </c>
      <c r="FU34" s="915">
        <f t="shared" si="164"/>
        <v>0</v>
      </c>
      <c r="FV34" s="915">
        <f t="shared" si="165"/>
        <v>0</v>
      </c>
      <c r="FW34" s="915">
        <f t="shared" si="166"/>
        <v>0</v>
      </c>
      <c r="FX34" s="915">
        <f t="shared" si="167"/>
        <v>0</v>
      </c>
      <c r="FY34" s="915">
        <f t="shared" si="168"/>
        <v>0</v>
      </c>
      <c r="FZ34" s="915">
        <f t="shared" si="169"/>
        <v>0</v>
      </c>
    </row>
    <row r="35" spans="1:182" ht="14.1" customHeight="1" x14ac:dyDescent="0.2">
      <c r="A35" s="497">
        <v>28</v>
      </c>
      <c r="B35" s="1423"/>
      <c r="C35" s="1431"/>
      <c r="D35" s="138">
        <v>4</v>
      </c>
      <c r="E35" s="138" t="s">
        <v>52</v>
      </c>
      <c r="F35" s="139" t="s">
        <v>2544</v>
      </c>
      <c r="G35" s="139" t="s">
        <v>2542</v>
      </c>
      <c r="H35" s="100">
        <v>7</v>
      </c>
      <c r="I35" s="119">
        <f t="shared" si="11"/>
        <v>0.42</v>
      </c>
      <c r="J35" s="90">
        <f t="shared" si="12"/>
        <v>7.42</v>
      </c>
      <c r="K35" s="225"/>
      <c r="N35" s="942">
        <f>AX6</f>
        <v>7.42</v>
      </c>
      <c r="O35" s="915" t="str">
        <f>"Waste Haul for "&amp;TabName4</f>
        <v>Waste Haul for Phase 4</v>
      </c>
      <c r="P35" s="949" t="s">
        <v>287</v>
      </c>
      <c r="W35" s="915">
        <f t="shared" si="8"/>
        <v>0</v>
      </c>
      <c r="X35" s="915">
        <f t="shared" si="9"/>
        <v>0</v>
      </c>
      <c r="Y35" s="915">
        <f t="shared" si="10"/>
        <v>0</v>
      </c>
      <c r="Z35" s="915">
        <f t="shared" si="13"/>
        <v>0</v>
      </c>
      <c r="AA35" s="915">
        <f t="shared" si="14"/>
        <v>0</v>
      </c>
      <c r="AB35" s="915">
        <f t="shared" si="15"/>
        <v>0</v>
      </c>
      <c r="AC35" s="915">
        <f t="shared" si="16"/>
        <v>0</v>
      </c>
      <c r="AD35" s="915">
        <f t="shared" si="17"/>
        <v>0</v>
      </c>
      <c r="AE35" s="915">
        <f t="shared" si="18"/>
        <v>0</v>
      </c>
      <c r="AF35" s="915">
        <f t="shared" si="19"/>
        <v>0</v>
      </c>
      <c r="AG35" s="915">
        <f t="shared" si="20"/>
        <v>0</v>
      </c>
      <c r="AH35" s="915">
        <f t="shared" si="21"/>
        <v>0</v>
      </c>
      <c r="AI35" s="915">
        <f t="shared" si="22"/>
        <v>0</v>
      </c>
      <c r="AJ35" s="915">
        <f t="shared" si="23"/>
        <v>0</v>
      </c>
      <c r="AK35" s="915">
        <f t="shared" si="24"/>
        <v>0</v>
      </c>
      <c r="AL35" s="915">
        <f t="shared" si="25"/>
        <v>0</v>
      </c>
      <c r="AM35" s="915">
        <f t="shared" si="26"/>
        <v>0</v>
      </c>
      <c r="AN35" s="915">
        <f t="shared" si="27"/>
        <v>0</v>
      </c>
      <c r="AO35" s="915">
        <f t="shared" si="28"/>
        <v>0</v>
      </c>
      <c r="AP35" s="915">
        <f t="shared" si="29"/>
        <v>0</v>
      </c>
      <c r="AQ35" s="915">
        <f t="shared" si="30"/>
        <v>0</v>
      </c>
      <c r="AR35" s="915">
        <f t="shared" si="31"/>
        <v>0</v>
      </c>
      <c r="AS35" s="915">
        <f t="shared" si="32"/>
        <v>0</v>
      </c>
      <c r="AT35" s="915">
        <f t="shared" si="33"/>
        <v>0</v>
      </c>
      <c r="AU35" s="915">
        <f t="shared" si="34"/>
        <v>0</v>
      </c>
      <c r="AV35" s="915">
        <f t="shared" si="35"/>
        <v>0</v>
      </c>
      <c r="AW35" s="915">
        <f t="shared" si="36"/>
        <v>0</v>
      </c>
      <c r="AX35" s="915">
        <f t="shared" si="37"/>
        <v>7.42</v>
      </c>
      <c r="AY35" s="915">
        <f t="shared" si="38"/>
        <v>0</v>
      </c>
      <c r="AZ35" s="915">
        <f t="shared" si="39"/>
        <v>0</v>
      </c>
      <c r="BA35" s="915">
        <f t="shared" si="40"/>
        <v>0</v>
      </c>
      <c r="BB35" s="915">
        <f t="shared" si="41"/>
        <v>0</v>
      </c>
      <c r="BC35" s="915">
        <f t="shared" si="42"/>
        <v>0</v>
      </c>
      <c r="BD35" s="915">
        <f t="shared" si="43"/>
        <v>0</v>
      </c>
      <c r="BE35" s="915">
        <f t="shared" si="44"/>
        <v>0</v>
      </c>
      <c r="BF35" s="915">
        <f t="shared" si="45"/>
        <v>0</v>
      </c>
      <c r="BG35" s="915">
        <f t="shared" si="46"/>
        <v>0</v>
      </c>
      <c r="BH35" s="915">
        <f t="shared" si="47"/>
        <v>0</v>
      </c>
      <c r="BI35" s="915">
        <f t="shared" si="48"/>
        <v>0</v>
      </c>
      <c r="BJ35" s="915">
        <f t="shared" si="49"/>
        <v>0</v>
      </c>
      <c r="BK35" s="915">
        <f t="shared" si="50"/>
        <v>0</v>
      </c>
      <c r="BL35" s="915">
        <f t="shared" si="51"/>
        <v>0</v>
      </c>
      <c r="BM35" s="915">
        <f t="shared" si="52"/>
        <v>0</v>
      </c>
      <c r="BN35" s="915">
        <f t="shared" si="53"/>
        <v>0</v>
      </c>
      <c r="BO35" s="915">
        <f t="shared" si="54"/>
        <v>0</v>
      </c>
      <c r="BP35" s="915">
        <f t="shared" si="55"/>
        <v>0</v>
      </c>
      <c r="BQ35" s="915">
        <f t="shared" si="56"/>
        <v>0</v>
      </c>
      <c r="BR35" s="915">
        <f t="shared" si="57"/>
        <v>0</v>
      </c>
      <c r="BS35" s="915">
        <f t="shared" si="58"/>
        <v>0</v>
      </c>
      <c r="BT35" s="915">
        <f t="shared" si="59"/>
        <v>0</v>
      </c>
      <c r="BU35" s="915">
        <f t="shared" si="60"/>
        <v>0</v>
      </c>
      <c r="BV35" s="915">
        <f t="shared" si="61"/>
        <v>0</v>
      </c>
      <c r="BW35" s="915">
        <f t="shared" si="62"/>
        <v>0</v>
      </c>
      <c r="BX35" s="915">
        <f t="shared" si="63"/>
        <v>0</v>
      </c>
      <c r="BY35" s="915">
        <f t="shared" si="64"/>
        <v>0</v>
      </c>
      <c r="BZ35" s="915">
        <f t="shared" si="65"/>
        <v>0</v>
      </c>
      <c r="CA35" s="915">
        <f t="shared" si="66"/>
        <v>0</v>
      </c>
      <c r="CB35" s="915">
        <f t="shared" si="67"/>
        <v>0</v>
      </c>
      <c r="CC35" s="915">
        <f t="shared" si="68"/>
        <v>0</v>
      </c>
      <c r="CD35" s="915">
        <f t="shared" si="69"/>
        <v>0</v>
      </c>
      <c r="CE35" s="915">
        <f t="shared" si="70"/>
        <v>0</v>
      </c>
      <c r="CF35" s="915">
        <f t="shared" si="71"/>
        <v>0</v>
      </c>
      <c r="CG35" s="915">
        <f t="shared" si="72"/>
        <v>0</v>
      </c>
      <c r="CH35" s="915">
        <f t="shared" si="73"/>
        <v>0</v>
      </c>
      <c r="CI35" s="915">
        <f t="shared" si="74"/>
        <v>0</v>
      </c>
      <c r="CJ35" s="915">
        <f t="shared" si="75"/>
        <v>0</v>
      </c>
      <c r="CK35" s="915">
        <f t="shared" si="76"/>
        <v>0</v>
      </c>
      <c r="CL35" s="915">
        <f t="shared" si="77"/>
        <v>0</v>
      </c>
      <c r="CM35" s="915">
        <f t="shared" si="78"/>
        <v>0</v>
      </c>
      <c r="CN35" s="915">
        <f t="shared" si="79"/>
        <v>0</v>
      </c>
      <c r="CO35" s="915">
        <f t="shared" si="80"/>
        <v>0</v>
      </c>
      <c r="CP35" s="915">
        <f t="shared" si="81"/>
        <v>0</v>
      </c>
      <c r="CQ35" s="915">
        <f t="shared" si="82"/>
        <v>0</v>
      </c>
      <c r="CR35" s="915">
        <f t="shared" si="83"/>
        <v>0</v>
      </c>
      <c r="CS35" s="915">
        <f t="shared" si="84"/>
        <v>0</v>
      </c>
      <c r="CT35" s="915">
        <f t="shared" si="85"/>
        <v>0</v>
      </c>
      <c r="CU35" s="915">
        <f t="shared" si="86"/>
        <v>0</v>
      </c>
      <c r="CV35" s="915">
        <f t="shared" si="87"/>
        <v>0</v>
      </c>
      <c r="CW35" s="915">
        <f t="shared" si="88"/>
        <v>0</v>
      </c>
      <c r="CX35" s="915">
        <f t="shared" si="89"/>
        <v>0</v>
      </c>
      <c r="CY35" s="915">
        <f t="shared" si="90"/>
        <v>0</v>
      </c>
      <c r="CZ35" s="915">
        <f t="shared" si="91"/>
        <v>0</v>
      </c>
      <c r="DA35" s="915">
        <f t="shared" si="92"/>
        <v>0</v>
      </c>
      <c r="DB35" s="915">
        <f t="shared" si="93"/>
        <v>0</v>
      </c>
      <c r="DC35" s="915">
        <f t="shared" si="94"/>
        <v>0</v>
      </c>
      <c r="DD35" s="915">
        <f t="shared" si="95"/>
        <v>0</v>
      </c>
      <c r="DE35" s="915">
        <f t="shared" si="96"/>
        <v>0</v>
      </c>
      <c r="DF35" s="915">
        <f t="shared" si="97"/>
        <v>0</v>
      </c>
      <c r="DG35" s="915">
        <f t="shared" si="98"/>
        <v>0</v>
      </c>
      <c r="DH35" s="915">
        <f t="shared" si="99"/>
        <v>0</v>
      </c>
      <c r="DI35" s="915">
        <f t="shared" si="100"/>
        <v>0</v>
      </c>
      <c r="DJ35" s="915">
        <f t="shared" si="101"/>
        <v>0</v>
      </c>
      <c r="DK35" s="915">
        <f t="shared" si="102"/>
        <v>0</v>
      </c>
      <c r="DL35" s="915">
        <f t="shared" si="103"/>
        <v>0</v>
      </c>
      <c r="DM35" s="915">
        <f t="shared" si="104"/>
        <v>0</v>
      </c>
      <c r="DN35" s="915">
        <f t="shared" si="105"/>
        <v>0</v>
      </c>
      <c r="DO35" s="915">
        <f t="shared" si="106"/>
        <v>0</v>
      </c>
      <c r="DP35" s="915">
        <f t="shared" si="107"/>
        <v>0</v>
      </c>
      <c r="DQ35" s="915">
        <f t="shared" si="108"/>
        <v>0</v>
      </c>
      <c r="DR35" s="915">
        <f t="shared" si="109"/>
        <v>0</v>
      </c>
      <c r="DS35" s="915">
        <f t="shared" si="110"/>
        <v>0</v>
      </c>
      <c r="DT35" s="915">
        <f t="shared" si="111"/>
        <v>0</v>
      </c>
      <c r="DU35" s="915">
        <f t="shared" si="112"/>
        <v>0</v>
      </c>
      <c r="DV35" s="915">
        <f t="shared" si="113"/>
        <v>0</v>
      </c>
      <c r="DW35" s="915">
        <f t="shared" si="114"/>
        <v>0</v>
      </c>
      <c r="DX35" s="915">
        <f t="shared" si="115"/>
        <v>0</v>
      </c>
      <c r="DY35" s="915">
        <f t="shared" si="116"/>
        <v>0</v>
      </c>
      <c r="DZ35" s="915">
        <f t="shared" si="117"/>
        <v>0</v>
      </c>
      <c r="EA35" s="915">
        <f t="shared" si="118"/>
        <v>0</v>
      </c>
      <c r="EB35" s="915">
        <f t="shared" si="119"/>
        <v>0</v>
      </c>
      <c r="EC35" s="915">
        <f t="shared" si="120"/>
        <v>0</v>
      </c>
      <c r="ED35" s="915">
        <f t="shared" si="121"/>
        <v>0</v>
      </c>
      <c r="EE35" s="915">
        <f t="shared" si="122"/>
        <v>0</v>
      </c>
      <c r="EF35" s="915">
        <f t="shared" si="123"/>
        <v>0</v>
      </c>
      <c r="EG35" s="915">
        <f t="shared" si="124"/>
        <v>0</v>
      </c>
      <c r="EH35" s="915">
        <f t="shared" si="125"/>
        <v>0</v>
      </c>
      <c r="EI35" s="915">
        <f t="shared" si="126"/>
        <v>0</v>
      </c>
      <c r="EJ35" s="915">
        <f t="shared" si="127"/>
        <v>0</v>
      </c>
      <c r="EK35" s="915">
        <f t="shared" si="128"/>
        <v>0</v>
      </c>
      <c r="EL35" s="915">
        <f t="shared" si="129"/>
        <v>0</v>
      </c>
      <c r="EM35" s="915">
        <f t="shared" si="130"/>
        <v>0</v>
      </c>
      <c r="EN35" s="915">
        <f t="shared" si="131"/>
        <v>0</v>
      </c>
      <c r="EO35" s="915">
        <f t="shared" si="132"/>
        <v>0</v>
      </c>
      <c r="EP35" s="915">
        <f t="shared" si="133"/>
        <v>0</v>
      </c>
      <c r="EQ35" s="915">
        <f t="shared" si="134"/>
        <v>0</v>
      </c>
      <c r="ER35" s="915">
        <f t="shared" si="135"/>
        <v>0</v>
      </c>
      <c r="ES35" s="915">
        <f t="shared" si="136"/>
        <v>0</v>
      </c>
      <c r="ET35" s="915">
        <f t="shared" si="137"/>
        <v>0</v>
      </c>
      <c r="EU35" s="915">
        <f t="shared" si="138"/>
        <v>0</v>
      </c>
      <c r="EV35" s="915">
        <f t="shared" si="139"/>
        <v>0</v>
      </c>
      <c r="EW35" s="915">
        <f t="shared" si="140"/>
        <v>0</v>
      </c>
      <c r="EX35" s="915">
        <f t="shared" si="141"/>
        <v>0</v>
      </c>
      <c r="EY35" s="915">
        <f t="shared" si="142"/>
        <v>0</v>
      </c>
      <c r="EZ35" s="915">
        <f t="shared" si="143"/>
        <v>0</v>
      </c>
      <c r="FA35" s="915">
        <f t="shared" si="144"/>
        <v>0</v>
      </c>
      <c r="FB35" s="915">
        <f t="shared" si="145"/>
        <v>0</v>
      </c>
      <c r="FC35" s="915">
        <f t="shared" si="146"/>
        <v>0</v>
      </c>
      <c r="FD35" s="915">
        <f t="shared" si="147"/>
        <v>0</v>
      </c>
      <c r="FE35" s="915">
        <f t="shared" si="148"/>
        <v>0</v>
      </c>
      <c r="FF35" s="915">
        <f t="shared" si="149"/>
        <v>0</v>
      </c>
      <c r="FG35" s="915">
        <f t="shared" si="150"/>
        <v>0</v>
      </c>
      <c r="FH35" s="915">
        <f t="shared" si="151"/>
        <v>0</v>
      </c>
      <c r="FI35" s="915">
        <f t="shared" si="152"/>
        <v>0</v>
      </c>
      <c r="FJ35" s="915">
        <f t="shared" si="153"/>
        <v>0</v>
      </c>
      <c r="FK35" s="915">
        <f t="shared" si="154"/>
        <v>0</v>
      </c>
      <c r="FL35" s="915">
        <f t="shared" si="155"/>
        <v>0</v>
      </c>
      <c r="FM35" s="915">
        <f t="shared" si="156"/>
        <v>0</v>
      </c>
      <c r="FN35" s="915">
        <f t="shared" si="157"/>
        <v>0</v>
      </c>
      <c r="FO35" s="915">
        <f t="shared" si="158"/>
        <v>0</v>
      </c>
      <c r="FP35" s="915">
        <f t="shared" si="159"/>
        <v>0</v>
      </c>
      <c r="FQ35" s="915">
        <f t="shared" si="160"/>
        <v>0</v>
      </c>
      <c r="FR35" s="915">
        <f t="shared" si="161"/>
        <v>0</v>
      </c>
      <c r="FS35" s="915">
        <f t="shared" si="162"/>
        <v>0</v>
      </c>
      <c r="FT35" s="915">
        <f t="shared" si="163"/>
        <v>0</v>
      </c>
      <c r="FU35" s="915">
        <f t="shared" si="164"/>
        <v>0</v>
      </c>
      <c r="FV35" s="915">
        <f t="shared" si="165"/>
        <v>0</v>
      </c>
      <c r="FW35" s="915">
        <f t="shared" si="166"/>
        <v>0</v>
      </c>
      <c r="FX35" s="915">
        <f t="shared" si="167"/>
        <v>0</v>
      </c>
      <c r="FY35" s="915">
        <f t="shared" si="168"/>
        <v>0</v>
      </c>
      <c r="FZ35" s="915">
        <f t="shared" si="169"/>
        <v>0</v>
      </c>
    </row>
    <row r="36" spans="1:182" ht="14.1" customHeight="1" x14ac:dyDescent="0.2">
      <c r="A36" s="496">
        <v>29</v>
      </c>
      <c r="B36" s="1419"/>
      <c r="C36" s="1420"/>
      <c r="D36" s="264">
        <v>4</v>
      </c>
      <c r="E36" s="264" t="s">
        <v>30</v>
      </c>
      <c r="F36" s="270" t="s">
        <v>2544</v>
      </c>
      <c r="G36" s="270" t="s">
        <v>2542</v>
      </c>
      <c r="H36" s="272">
        <v>7</v>
      </c>
      <c r="I36" s="268">
        <f t="shared" si="11"/>
        <v>0.42</v>
      </c>
      <c r="J36" s="269">
        <f t="shared" si="12"/>
        <v>7.42</v>
      </c>
      <c r="K36" s="225"/>
      <c r="N36" s="942">
        <f>AY6</f>
        <v>7.42</v>
      </c>
      <c r="O36" s="879" t="str">
        <f>"Surveying/Inspection for " &amp; TabName4</f>
        <v>Surveying/Inspection for Phase 4</v>
      </c>
      <c r="P36" s="950" t="s">
        <v>264</v>
      </c>
      <c r="W36" s="915">
        <f t="shared" si="8"/>
        <v>0</v>
      </c>
      <c r="X36" s="915">
        <f t="shared" si="9"/>
        <v>0</v>
      </c>
      <c r="Y36" s="915">
        <f t="shared" si="10"/>
        <v>0</v>
      </c>
      <c r="Z36" s="915">
        <f t="shared" si="13"/>
        <v>0</v>
      </c>
      <c r="AA36" s="915">
        <f t="shared" si="14"/>
        <v>0</v>
      </c>
      <c r="AB36" s="915">
        <f t="shared" si="15"/>
        <v>0</v>
      </c>
      <c r="AC36" s="915">
        <f t="shared" si="16"/>
        <v>0</v>
      </c>
      <c r="AD36" s="915">
        <f t="shared" si="17"/>
        <v>0</v>
      </c>
      <c r="AE36" s="915">
        <f t="shared" si="18"/>
        <v>0</v>
      </c>
      <c r="AF36" s="915">
        <f t="shared" si="19"/>
        <v>0</v>
      </c>
      <c r="AG36" s="915">
        <f t="shared" si="20"/>
        <v>0</v>
      </c>
      <c r="AH36" s="915">
        <f t="shared" si="21"/>
        <v>0</v>
      </c>
      <c r="AI36" s="915">
        <f t="shared" si="22"/>
        <v>0</v>
      </c>
      <c r="AJ36" s="915">
        <f t="shared" si="23"/>
        <v>0</v>
      </c>
      <c r="AK36" s="915">
        <f t="shared" si="24"/>
        <v>0</v>
      </c>
      <c r="AL36" s="915">
        <f t="shared" si="25"/>
        <v>0</v>
      </c>
      <c r="AM36" s="915">
        <f t="shared" si="26"/>
        <v>0</v>
      </c>
      <c r="AN36" s="915">
        <f t="shared" si="27"/>
        <v>0</v>
      </c>
      <c r="AO36" s="915">
        <f t="shared" si="28"/>
        <v>0</v>
      </c>
      <c r="AP36" s="915">
        <f t="shared" si="29"/>
        <v>0</v>
      </c>
      <c r="AQ36" s="915">
        <f t="shared" si="30"/>
        <v>0</v>
      </c>
      <c r="AR36" s="915">
        <f t="shared" si="31"/>
        <v>0</v>
      </c>
      <c r="AS36" s="915">
        <f t="shared" si="32"/>
        <v>0</v>
      </c>
      <c r="AT36" s="915">
        <f t="shared" si="33"/>
        <v>0</v>
      </c>
      <c r="AU36" s="915">
        <f t="shared" si="34"/>
        <v>0</v>
      </c>
      <c r="AV36" s="915">
        <f t="shared" si="35"/>
        <v>0</v>
      </c>
      <c r="AW36" s="915">
        <f t="shared" si="36"/>
        <v>0</v>
      </c>
      <c r="AX36" s="915">
        <f t="shared" si="37"/>
        <v>0</v>
      </c>
      <c r="AY36" s="915">
        <f t="shared" si="38"/>
        <v>7.42</v>
      </c>
      <c r="AZ36" s="915">
        <f t="shared" si="39"/>
        <v>0</v>
      </c>
      <c r="BA36" s="915">
        <f t="shared" si="40"/>
        <v>0</v>
      </c>
      <c r="BB36" s="915">
        <f t="shared" si="41"/>
        <v>0</v>
      </c>
      <c r="BC36" s="915">
        <f t="shared" si="42"/>
        <v>0</v>
      </c>
      <c r="BD36" s="915">
        <f t="shared" si="43"/>
        <v>0</v>
      </c>
      <c r="BE36" s="915">
        <f t="shared" si="44"/>
        <v>0</v>
      </c>
      <c r="BF36" s="915">
        <f t="shared" si="45"/>
        <v>0</v>
      </c>
      <c r="BG36" s="915">
        <f t="shared" si="46"/>
        <v>0</v>
      </c>
      <c r="BH36" s="915">
        <f t="shared" si="47"/>
        <v>0</v>
      </c>
      <c r="BI36" s="915">
        <f t="shared" si="48"/>
        <v>0</v>
      </c>
      <c r="BJ36" s="915">
        <f t="shared" si="49"/>
        <v>0</v>
      </c>
      <c r="BK36" s="915">
        <f t="shared" si="50"/>
        <v>0</v>
      </c>
      <c r="BL36" s="915">
        <f t="shared" si="51"/>
        <v>0</v>
      </c>
      <c r="BM36" s="915">
        <f t="shared" si="52"/>
        <v>0</v>
      </c>
      <c r="BN36" s="915">
        <f t="shared" si="53"/>
        <v>0</v>
      </c>
      <c r="BO36" s="915">
        <f t="shared" si="54"/>
        <v>0</v>
      </c>
      <c r="BP36" s="915">
        <f t="shared" si="55"/>
        <v>0</v>
      </c>
      <c r="BQ36" s="915">
        <f t="shared" si="56"/>
        <v>0</v>
      </c>
      <c r="BR36" s="915">
        <f t="shared" si="57"/>
        <v>0</v>
      </c>
      <c r="BS36" s="915">
        <f t="shared" si="58"/>
        <v>0</v>
      </c>
      <c r="BT36" s="915">
        <f t="shared" si="59"/>
        <v>0</v>
      </c>
      <c r="BU36" s="915">
        <f t="shared" si="60"/>
        <v>0</v>
      </c>
      <c r="BV36" s="915">
        <f t="shared" si="61"/>
        <v>0</v>
      </c>
      <c r="BW36" s="915">
        <f t="shared" si="62"/>
        <v>0</v>
      </c>
      <c r="BX36" s="915">
        <f t="shared" si="63"/>
        <v>0</v>
      </c>
      <c r="BY36" s="915">
        <f t="shared" si="64"/>
        <v>0</v>
      </c>
      <c r="BZ36" s="915">
        <f t="shared" si="65"/>
        <v>0</v>
      </c>
      <c r="CA36" s="915">
        <f t="shared" si="66"/>
        <v>0</v>
      </c>
      <c r="CB36" s="915">
        <f t="shared" si="67"/>
        <v>0</v>
      </c>
      <c r="CC36" s="915">
        <f t="shared" si="68"/>
        <v>0</v>
      </c>
      <c r="CD36" s="915">
        <f t="shared" si="69"/>
        <v>0</v>
      </c>
      <c r="CE36" s="915">
        <f t="shared" si="70"/>
        <v>0</v>
      </c>
      <c r="CF36" s="915">
        <f t="shared" si="71"/>
        <v>0</v>
      </c>
      <c r="CG36" s="915">
        <f t="shared" si="72"/>
        <v>0</v>
      </c>
      <c r="CH36" s="915">
        <f t="shared" si="73"/>
        <v>0</v>
      </c>
      <c r="CI36" s="915">
        <f t="shared" si="74"/>
        <v>0</v>
      </c>
      <c r="CJ36" s="915">
        <f t="shared" si="75"/>
        <v>0</v>
      </c>
      <c r="CK36" s="915">
        <f t="shared" si="76"/>
        <v>0</v>
      </c>
      <c r="CL36" s="915">
        <f t="shared" si="77"/>
        <v>0</v>
      </c>
      <c r="CM36" s="915">
        <f t="shared" si="78"/>
        <v>0</v>
      </c>
      <c r="CN36" s="915">
        <f t="shared" si="79"/>
        <v>0</v>
      </c>
      <c r="CO36" s="915">
        <f t="shared" si="80"/>
        <v>0</v>
      </c>
      <c r="CP36" s="915">
        <f t="shared" si="81"/>
        <v>0</v>
      </c>
      <c r="CQ36" s="915">
        <f t="shared" si="82"/>
        <v>0</v>
      </c>
      <c r="CR36" s="915">
        <f t="shared" si="83"/>
        <v>0</v>
      </c>
      <c r="CS36" s="915">
        <f t="shared" si="84"/>
        <v>0</v>
      </c>
      <c r="CT36" s="915">
        <f t="shared" si="85"/>
        <v>0</v>
      </c>
      <c r="CU36" s="915">
        <f t="shared" si="86"/>
        <v>0</v>
      </c>
      <c r="CV36" s="915">
        <f t="shared" si="87"/>
        <v>0</v>
      </c>
      <c r="CW36" s="915">
        <f t="shared" si="88"/>
        <v>0</v>
      </c>
      <c r="CX36" s="915">
        <f t="shared" si="89"/>
        <v>0</v>
      </c>
      <c r="CY36" s="915">
        <f t="shared" si="90"/>
        <v>0</v>
      </c>
      <c r="CZ36" s="915">
        <f t="shared" si="91"/>
        <v>0</v>
      </c>
      <c r="DA36" s="915">
        <f t="shared" si="92"/>
        <v>0</v>
      </c>
      <c r="DB36" s="915">
        <f t="shared" si="93"/>
        <v>0</v>
      </c>
      <c r="DC36" s="915">
        <f t="shared" si="94"/>
        <v>0</v>
      </c>
      <c r="DD36" s="915">
        <f t="shared" si="95"/>
        <v>0</v>
      </c>
      <c r="DE36" s="915">
        <f t="shared" si="96"/>
        <v>0</v>
      </c>
      <c r="DF36" s="915">
        <f t="shared" si="97"/>
        <v>0</v>
      </c>
      <c r="DG36" s="915">
        <f t="shared" si="98"/>
        <v>0</v>
      </c>
      <c r="DH36" s="915">
        <f t="shared" si="99"/>
        <v>0</v>
      </c>
      <c r="DI36" s="915">
        <f t="shared" si="100"/>
        <v>0</v>
      </c>
      <c r="DJ36" s="915">
        <f t="shared" si="101"/>
        <v>0</v>
      </c>
      <c r="DK36" s="915">
        <f t="shared" si="102"/>
        <v>0</v>
      </c>
      <c r="DL36" s="915">
        <f t="shared" si="103"/>
        <v>0</v>
      </c>
      <c r="DM36" s="915">
        <f t="shared" si="104"/>
        <v>0</v>
      </c>
      <c r="DN36" s="915">
        <f t="shared" si="105"/>
        <v>0</v>
      </c>
      <c r="DO36" s="915">
        <f t="shared" si="106"/>
        <v>0</v>
      </c>
      <c r="DP36" s="915">
        <f t="shared" si="107"/>
        <v>0</v>
      </c>
      <c r="DQ36" s="915">
        <f t="shared" si="108"/>
        <v>0</v>
      </c>
      <c r="DR36" s="915">
        <f t="shared" si="109"/>
        <v>0</v>
      </c>
      <c r="DS36" s="915">
        <f t="shared" si="110"/>
        <v>0</v>
      </c>
      <c r="DT36" s="915">
        <f t="shared" si="111"/>
        <v>0</v>
      </c>
      <c r="DU36" s="915">
        <f t="shared" si="112"/>
        <v>0</v>
      </c>
      <c r="DV36" s="915">
        <f t="shared" si="113"/>
        <v>0</v>
      </c>
      <c r="DW36" s="915">
        <f t="shared" si="114"/>
        <v>0</v>
      </c>
      <c r="DX36" s="915">
        <f t="shared" si="115"/>
        <v>0</v>
      </c>
      <c r="DY36" s="915">
        <f t="shared" si="116"/>
        <v>0</v>
      </c>
      <c r="DZ36" s="915">
        <f t="shared" si="117"/>
        <v>0</v>
      </c>
      <c r="EA36" s="915">
        <f t="shared" si="118"/>
        <v>0</v>
      </c>
      <c r="EB36" s="915">
        <f t="shared" si="119"/>
        <v>0</v>
      </c>
      <c r="EC36" s="915">
        <f t="shared" si="120"/>
        <v>0</v>
      </c>
      <c r="ED36" s="915">
        <f t="shared" si="121"/>
        <v>0</v>
      </c>
      <c r="EE36" s="915">
        <f t="shared" si="122"/>
        <v>0</v>
      </c>
      <c r="EF36" s="915">
        <f t="shared" si="123"/>
        <v>0</v>
      </c>
      <c r="EG36" s="915">
        <f t="shared" si="124"/>
        <v>0</v>
      </c>
      <c r="EH36" s="915">
        <f t="shared" si="125"/>
        <v>0</v>
      </c>
      <c r="EI36" s="915">
        <f t="shared" si="126"/>
        <v>0</v>
      </c>
      <c r="EJ36" s="915">
        <f t="shared" si="127"/>
        <v>0</v>
      </c>
      <c r="EK36" s="915">
        <f t="shared" si="128"/>
        <v>0</v>
      </c>
      <c r="EL36" s="915">
        <f t="shared" si="129"/>
        <v>0</v>
      </c>
      <c r="EM36" s="915">
        <f t="shared" si="130"/>
        <v>0</v>
      </c>
      <c r="EN36" s="915">
        <f t="shared" si="131"/>
        <v>0</v>
      </c>
      <c r="EO36" s="915">
        <f t="shared" si="132"/>
        <v>0</v>
      </c>
      <c r="EP36" s="915">
        <f t="shared" si="133"/>
        <v>0</v>
      </c>
      <c r="EQ36" s="915">
        <f t="shared" si="134"/>
        <v>0</v>
      </c>
      <c r="ER36" s="915">
        <f t="shared" si="135"/>
        <v>0</v>
      </c>
      <c r="ES36" s="915">
        <f t="shared" si="136"/>
        <v>0</v>
      </c>
      <c r="ET36" s="915">
        <f t="shared" si="137"/>
        <v>0</v>
      </c>
      <c r="EU36" s="915">
        <f t="shared" si="138"/>
        <v>0</v>
      </c>
      <c r="EV36" s="915">
        <f t="shared" si="139"/>
        <v>0</v>
      </c>
      <c r="EW36" s="915">
        <f t="shared" si="140"/>
        <v>0</v>
      </c>
      <c r="EX36" s="915">
        <f t="shared" si="141"/>
        <v>0</v>
      </c>
      <c r="EY36" s="915">
        <f t="shared" si="142"/>
        <v>0</v>
      </c>
      <c r="EZ36" s="915">
        <f t="shared" si="143"/>
        <v>0</v>
      </c>
      <c r="FA36" s="915">
        <f t="shared" si="144"/>
        <v>0</v>
      </c>
      <c r="FB36" s="915">
        <f t="shared" si="145"/>
        <v>0</v>
      </c>
      <c r="FC36" s="915">
        <f t="shared" si="146"/>
        <v>0</v>
      </c>
      <c r="FD36" s="915">
        <f t="shared" si="147"/>
        <v>0</v>
      </c>
      <c r="FE36" s="915">
        <f t="shared" si="148"/>
        <v>0</v>
      </c>
      <c r="FF36" s="915">
        <f t="shared" si="149"/>
        <v>0</v>
      </c>
      <c r="FG36" s="915">
        <f t="shared" si="150"/>
        <v>0</v>
      </c>
      <c r="FH36" s="915">
        <f t="shared" si="151"/>
        <v>0</v>
      </c>
      <c r="FI36" s="915">
        <f t="shared" si="152"/>
        <v>0</v>
      </c>
      <c r="FJ36" s="915">
        <f t="shared" si="153"/>
        <v>0</v>
      </c>
      <c r="FK36" s="915">
        <f t="shared" si="154"/>
        <v>0</v>
      </c>
      <c r="FL36" s="915">
        <f t="shared" si="155"/>
        <v>0</v>
      </c>
      <c r="FM36" s="915">
        <f t="shared" si="156"/>
        <v>0</v>
      </c>
      <c r="FN36" s="915">
        <f t="shared" si="157"/>
        <v>0</v>
      </c>
      <c r="FO36" s="915">
        <f t="shared" si="158"/>
        <v>0</v>
      </c>
      <c r="FP36" s="915">
        <f t="shared" si="159"/>
        <v>0</v>
      </c>
      <c r="FQ36" s="915">
        <f t="shared" si="160"/>
        <v>0</v>
      </c>
      <c r="FR36" s="915">
        <f t="shared" si="161"/>
        <v>0</v>
      </c>
      <c r="FS36" s="915">
        <f t="shared" si="162"/>
        <v>0</v>
      </c>
      <c r="FT36" s="915">
        <f t="shared" si="163"/>
        <v>0</v>
      </c>
      <c r="FU36" s="915">
        <f t="shared" si="164"/>
        <v>0</v>
      </c>
      <c r="FV36" s="915">
        <f t="shared" si="165"/>
        <v>0</v>
      </c>
      <c r="FW36" s="915">
        <f t="shared" si="166"/>
        <v>0</v>
      </c>
      <c r="FX36" s="915">
        <f t="shared" si="167"/>
        <v>0</v>
      </c>
      <c r="FY36" s="915">
        <f t="shared" si="168"/>
        <v>0</v>
      </c>
      <c r="FZ36" s="915">
        <f t="shared" si="169"/>
        <v>0</v>
      </c>
    </row>
    <row r="37" spans="1:182" ht="14.1" customHeight="1" x14ac:dyDescent="0.2">
      <c r="A37" s="497">
        <v>30</v>
      </c>
      <c r="B37" s="1423"/>
      <c r="C37" s="1424"/>
      <c r="D37" s="138">
        <v>4</v>
      </c>
      <c r="E37" s="138" t="s">
        <v>170</v>
      </c>
      <c r="F37" s="139" t="s">
        <v>2544</v>
      </c>
      <c r="G37" s="139" t="s">
        <v>2542</v>
      </c>
      <c r="H37" s="100">
        <v>7</v>
      </c>
      <c r="I37" s="119">
        <f t="shared" si="11"/>
        <v>0.42</v>
      </c>
      <c r="J37" s="90">
        <f t="shared" si="12"/>
        <v>7.42</v>
      </c>
      <c r="K37" s="225"/>
      <c r="N37" s="942">
        <f>AZ6</f>
        <v>7.42</v>
      </c>
      <c r="O37" s="879" t="str">
        <f>"Other subcontractor for " &amp; TabName4</f>
        <v>Other subcontractor for Phase 4</v>
      </c>
      <c r="P37" s="949" t="s">
        <v>265</v>
      </c>
      <c r="W37" s="915">
        <f t="shared" si="8"/>
        <v>0</v>
      </c>
      <c r="X37" s="915">
        <f t="shared" si="9"/>
        <v>0</v>
      </c>
      <c r="Y37" s="915">
        <f t="shared" si="10"/>
        <v>0</v>
      </c>
      <c r="Z37" s="915">
        <f t="shared" si="13"/>
        <v>0</v>
      </c>
      <c r="AA37" s="915">
        <f t="shared" si="14"/>
        <v>0</v>
      </c>
      <c r="AB37" s="915">
        <f t="shared" si="15"/>
        <v>0</v>
      </c>
      <c r="AC37" s="915">
        <f t="shared" si="16"/>
        <v>0</v>
      </c>
      <c r="AD37" s="915">
        <f t="shared" si="17"/>
        <v>0</v>
      </c>
      <c r="AE37" s="915">
        <f t="shared" si="18"/>
        <v>0</v>
      </c>
      <c r="AF37" s="915">
        <f t="shared" si="19"/>
        <v>0</v>
      </c>
      <c r="AG37" s="915">
        <f t="shared" si="20"/>
        <v>0</v>
      </c>
      <c r="AH37" s="915">
        <f t="shared" si="21"/>
        <v>0</v>
      </c>
      <c r="AI37" s="915">
        <f t="shared" si="22"/>
        <v>0</v>
      </c>
      <c r="AJ37" s="915">
        <f t="shared" si="23"/>
        <v>0</v>
      </c>
      <c r="AK37" s="915">
        <f t="shared" si="24"/>
        <v>0</v>
      </c>
      <c r="AL37" s="915">
        <f t="shared" si="25"/>
        <v>0</v>
      </c>
      <c r="AM37" s="915">
        <f t="shared" si="26"/>
        <v>0</v>
      </c>
      <c r="AN37" s="915">
        <f t="shared" si="27"/>
        <v>0</v>
      </c>
      <c r="AO37" s="915">
        <f t="shared" si="28"/>
        <v>0</v>
      </c>
      <c r="AP37" s="915">
        <f t="shared" si="29"/>
        <v>0</v>
      </c>
      <c r="AQ37" s="915">
        <f t="shared" si="30"/>
        <v>0</v>
      </c>
      <c r="AR37" s="915">
        <f t="shared" si="31"/>
        <v>0</v>
      </c>
      <c r="AS37" s="915">
        <f t="shared" si="32"/>
        <v>0</v>
      </c>
      <c r="AT37" s="915">
        <f t="shared" si="33"/>
        <v>0</v>
      </c>
      <c r="AU37" s="915">
        <f t="shared" si="34"/>
        <v>0</v>
      </c>
      <c r="AV37" s="915">
        <f t="shared" si="35"/>
        <v>0</v>
      </c>
      <c r="AW37" s="915">
        <f t="shared" si="36"/>
        <v>0</v>
      </c>
      <c r="AX37" s="915">
        <f t="shared" si="37"/>
        <v>0</v>
      </c>
      <c r="AY37" s="915">
        <f t="shared" si="38"/>
        <v>0</v>
      </c>
      <c r="AZ37" s="915">
        <f t="shared" si="39"/>
        <v>7.42</v>
      </c>
      <c r="BA37" s="915">
        <f t="shared" si="40"/>
        <v>0</v>
      </c>
      <c r="BB37" s="915">
        <f t="shared" si="41"/>
        <v>0</v>
      </c>
      <c r="BC37" s="915">
        <f t="shared" si="42"/>
        <v>0</v>
      </c>
      <c r="BD37" s="915">
        <f t="shared" si="43"/>
        <v>0</v>
      </c>
      <c r="BE37" s="915">
        <f t="shared" si="44"/>
        <v>0</v>
      </c>
      <c r="BF37" s="915">
        <f t="shared" si="45"/>
        <v>0</v>
      </c>
      <c r="BG37" s="915">
        <f t="shared" si="46"/>
        <v>0</v>
      </c>
      <c r="BH37" s="915">
        <f t="shared" si="47"/>
        <v>0</v>
      </c>
      <c r="BI37" s="915">
        <f t="shared" si="48"/>
        <v>0</v>
      </c>
      <c r="BJ37" s="915">
        <f t="shared" si="49"/>
        <v>0</v>
      </c>
      <c r="BK37" s="915">
        <f t="shared" si="50"/>
        <v>0</v>
      </c>
      <c r="BL37" s="915">
        <f t="shared" si="51"/>
        <v>0</v>
      </c>
      <c r="BM37" s="915">
        <f t="shared" si="52"/>
        <v>0</v>
      </c>
      <c r="BN37" s="915">
        <f t="shared" si="53"/>
        <v>0</v>
      </c>
      <c r="BO37" s="915">
        <f t="shared" si="54"/>
        <v>0</v>
      </c>
      <c r="BP37" s="915">
        <f t="shared" si="55"/>
        <v>0</v>
      </c>
      <c r="BQ37" s="915">
        <f t="shared" si="56"/>
        <v>0</v>
      </c>
      <c r="BR37" s="915">
        <f t="shared" si="57"/>
        <v>0</v>
      </c>
      <c r="BS37" s="915">
        <f t="shared" si="58"/>
        <v>0</v>
      </c>
      <c r="BT37" s="915">
        <f t="shared" si="59"/>
        <v>0</v>
      </c>
      <c r="BU37" s="915">
        <f t="shared" si="60"/>
        <v>0</v>
      </c>
      <c r="BV37" s="915">
        <f t="shared" si="61"/>
        <v>0</v>
      </c>
      <c r="BW37" s="915">
        <f t="shared" si="62"/>
        <v>0</v>
      </c>
      <c r="BX37" s="915">
        <f t="shared" si="63"/>
        <v>0</v>
      </c>
      <c r="BY37" s="915">
        <f t="shared" si="64"/>
        <v>0</v>
      </c>
      <c r="BZ37" s="915">
        <f t="shared" si="65"/>
        <v>0</v>
      </c>
      <c r="CA37" s="915">
        <f t="shared" si="66"/>
        <v>0</v>
      </c>
      <c r="CB37" s="915">
        <f t="shared" si="67"/>
        <v>0</v>
      </c>
      <c r="CC37" s="915">
        <f t="shared" si="68"/>
        <v>0</v>
      </c>
      <c r="CD37" s="915">
        <f t="shared" si="69"/>
        <v>0</v>
      </c>
      <c r="CE37" s="915">
        <f t="shared" si="70"/>
        <v>0</v>
      </c>
      <c r="CF37" s="915">
        <f t="shared" si="71"/>
        <v>0</v>
      </c>
      <c r="CG37" s="915">
        <f t="shared" si="72"/>
        <v>0</v>
      </c>
      <c r="CH37" s="915">
        <f t="shared" si="73"/>
        <v>0</v>
      </c>
      <c r="CI37" s="915">
        <f t="shared" si="74"/>
        <v>0</v>
      </c>
      <c r="CJ37" s="915">
        <f t="shared" si="75"/>
        <v>0</v>
      </c>
      <c r="CK37" s="915">
        <f t="shared" si="76"/>
        <v>0</v>
      </c>
      <c r="CL37" s="915">
        <f t="shared" si="77"/>
        <v>0</v>
      </c>
      <c r="CM37" s="915">
        <f t="shared" si="78"/>
        <v>0</v>
      </c>
      <c r="CN37" s="915">
        <f t="shared" si="79"/>
        <v>0</v>
      </c>
      <c r="CO37" s="915">
        <f t="shared" si="80"/>
        <v>0</v>
      </c>
      <c r="CP37" s="915">
        <f t="shared" si="81"/>
        <v>0</v>
      </c>
      <c r="CQ37" s="915">
        <f t="shared" si="82"/>
        <v>0</v>
      </c>
      <c r="CR37" s="915">
        <f t="shared" si="83"/>
        <v>0</v>
      </c>
      <c r="CS37" s="915">
        <f t="shared" si="84"/>
        <v>0</v>
      </c>
      <c r="CT37" s="915">
        <f t="shared" si="85"/>
        <v>0</v>
      </c>
      <c r="CU37" s="915">
        <f t="shared" si="86"/>
        <v>0</v>
      </c>
      <c r="CV37" s="915">
        <f t="shared" si="87"/>
        <v>0</v>
      </c>
      <c r="CW37" s="915">
        <f t="shared" si="88"/>
        <v>0</v>
      </c>
      <c r="CX37" s="915">
        <f t="shared" si="89"/>
        <v>0</v>
      </c>
      <c r="CY37" s="915">
        <f t="shared" si="90"/>
        <v>0</v>
      </c>
      <c r="CZ37" s="915">
        <f t="shared" si="91"/>
        <v>0</v>
      </c>
      <c r="DA37" s="915">
        <f t="shared" si="92"/>
        <v>0</v>
      </c>
      <c r="DB37" s="915">
        <f t="shared" si="93"/>
        <v>0</v>
      </c>
      <c r="DC37" s="915">
        <f t="shared" si="94"/>
        <v>0</v>
      </c>
      <c r="DD37" s="915">
        <f t="shared" si="95"/>
        <v>0</v>
      </c>
      <c r="DE37" s="915">
        <f t="shared" si="96"/>
        <v>0</v>
      </c>
      <c r="DF37" s="915">
        <f t="shared" si="97"/>
        <v>0</v>
      </c>
      <c r="DG37" s="915">
        <f t="shared" si="98"/>
        <v>0</v>
      </c>
      <c r="DH37" s="915">
        <f t="shared" si="99"/>
        <v>0</v>
      </c>
      <c r="DI37" s="915">
        <f t="shared" si="100"/>
        <v>0</v>
      </c>
      <c r="DJ37" s="915">
        <f t="shared" si="101"/>
        <v>0</v>
      </c>
      <c r="DK37" s="915">
        <f t="shared" si="102"/>
        <v>0</v>
      </c>
      <c r="DL37" s="915">
        <f t="shared" si="103"/>
        <v>0</v>
      </c>
      <c r="DM37" s="915">
        <f t="shared" si="104"/>
        <v>0</v>
      </c>
      <c r="DN37" s="915">
        <f t="shared" si="105"/>
        <v>0</v>
      </c>
      <c r="DO37" s="915">
        <f t="shared" si="106"/>
        <v>0</v>
      </c>
      <c r="DP37" s="915">
        <f t="shared" si="107"/>
        <v>0</v>
      </c>
      <c r="DQ37" s="915">
        <f t="shared" si="108"/>
        <v>0</v>
      </c>
      <c r="DR37" s="915">
        <f t="shared" si="109"/>
        <v>0</v>
      </c>
      <c r="DS37" s="915">
        <f t="shared" si="110"/>
        <v>0</v>
      </c>
      <c r="DT37" s="915">
        <f t="shared" si="111"/>
        <v>0</v>
      </c>
      <c r="DU37" s="915">
        <f t="shared" si="112"/>
        <v>0</v>
      </c>
      <c r="DV37" s="915">
        <f t="shared" si="113"/>
        <v>0</v>
      </c>
      <c r="DW37" s="915">
        <f t="shared" si="114"/>
        <v>0</v>
      </c>
      <c r="DX37" s="915">
        <f t="shared" si="115"/>
        <v>0</v>
      </c>
      <c r="DY37" s="915">
        <f t="shared" si="116"/>
        <v>0</v>
      </c>
      <c r="DZ37" s="915">
        <f t="shared" si="117"/>
        <v>0</v>
      </c>
      <c r="EA37" s="915">
        <f t="shared" si="118"/>
        <v>0</v>
      </c>
      <c r="EB37" s="915">
        <f t="shared" si="119"/>
        <v>0</v>
      </c>
      <c r="EC37" s="915">
        <f t="shared" si="120"/>
        <v>0</v>
      </c>
      <c r="ED37" s="915">
        <f t="shared" si="121"/>
        <v>0</v>
      </c>
      <c r="EE37" s="915">
        <f t="shared" si="122"/>
        <v>0</v>
      </c>
      <c r="EF37" s="915">
        <f t="shared" si="123"/>
        <v>0</v>
      </c>
      <c r="EG37" s="915">
        <f t="shared" si="124"/>
        <v>0</v>
      </c>
      <c r="EH37" s="915">
        <f t="shared" si="125"/>
        <v>0</v>
      </c>
      <c r="EI37" s="915">
        <f t="shared" si="126"/>
        <v>0</v>
      </c>
      <c r="EJ37" s="915">
        <f t="shared" si="127"/>
        <v>0</v>
      </c>
      <c r="EK37" s="915">
        <f t="shared" si="128"/>
        <v>0</v>
      </c>
      <c r="EL37" s="915">
        <f t="shared" si="129"/>
        <v>0</v>
      </c>
      <c r="EM37" s="915">
        <f t="shared" si="130"/>
        <v>0</v>
      </c>
      <c r="EN37" s="915">
        <f t="shared" si="131"/>
        <v>0</v>
      </c>
      <c r="EO37" s="915">
        <f t="shared" si="132"/>
        <v>0</v>
      </c>
      <c r="EP37" s="915">
        <f t="shared" si="133"/>
        <v>0</v>
      </c>
      <c r="EQ37" s="915">
        <f t="shared" si="134"/>
        <v>0</v>
      </c>
      <c r="ER37" s="915">
        <f t="shared" si="135"/>
        <v>0</v>
      </c>
      <c r="ES37" s="915">
        <f t="shared" si="136"/>
        <v>0</v>
      </c>
      <c r="ET37" s="915">
        <f t="shared" si="137"/>
        <v>0</v>
      </c>
      <c r="EU37" s="915">
        <f t="shared" si="138"/>
        <v>0</v>
      </c>
      <c r="EV37" s="915">
        <f t="shared" si="139"/>
        <v>0</v>
      </c>
      <c r="EW37" s="915">
        <f t="shared" si="140"/>
        <v>0</v>
      </c>
      <c r="EX37" s="915">
        <f t="shared" si="141"/>
        <v>0</v>
      </c>
      <c r="EY37" s="915">
        <f t="shared" si="142"/>
        <v>0</v>
      </c>
      <c r="EZ37" s="915">
        <f t="shared" si="143"/>
        <v>0</v>
      </c>
      <c r="FA37" s="915">
        <f t="shared" si="144"/>
        <v>0</v>
      </c>
      <c r="FB37" s="915">
        <f t="shared" si="145"/>
        <v>0</v>
      </c>
      <c r="FC37" s="915">
        <f t="shared" si="146"/>
        <v>0</v>
      </c>
      <c r="FD37" s="915">
        <f t="shared" si="147"/>
        <v>0</v>
      </c>
      <c r="FE37" s="915">
        <f t="shared" si="148"/>
        <v>0</v>
      </c>
      <c r="FF37" s="915">
        <f t="shared" si="149"/>
        <v>0</v>
      </c>
      <c r="FG37" s="915">
        <f t="shared" si="150"/>
        <v>0</v>
      </c>
      <c r="FH37" s="915">
        <f t="shared" si="151"/>
        <v>0</v>
      </c>
      <c r="FI37" s="915">
        <f t="shared" si="152"/>
        <v>0</v>
      </c>
      <c r="FJ37" s="915">
        <f t="shared" si="153"/>
        <v>0</v>
      </c>
      <c r="FK37" s="915">
        <f t="shared" si="154"/>
        <v>0</v>
      </c>
      <c r="FL37" s="915">
        <f t="shared" si="155"/>
        <v>0</v>
      </c>
      <c r="FM37" s="915">
        <f t="shared" si="156"/>
        <v>0</v>
      </c>
      <c r="FN37" s="915">
        <f t="shared" si="157"/>
        <v>0</v>
      </c>
      <c r="FO37" s="915">
        <f t="shared" si="158"/>
        <v>0</v>
      </c>
      <c r="FP37" s="915">
        <f t="shared" si="159"/>
        <v>0</v>
      </c>
      <c r="FQ37" s="915">
        <f t="shared" si="160"/>
        <v>0</v>
      </c>
      <c r="FR37" s="915">
        <f t="shared" si="161"/>
        <v>0</v>
      </c>
      <c r="FS37" s="915">
        <f t="shared" si="162"/>
        <v>0</v>
      </c>
      <c r="FT37" s="915">
        <f t="shared" si="163"/>
        <v>0</v>
      </c>
      <c r="FU37" s="915">
        <f t="shared" si="164"/>
        <v>0</v>
      </c>
      <c r="FV37" s="915">
        <f t="shared" si="165"/>
        <v>0</v>
      </c>
      <c r="FW37" s="915">
        <f t="shared" si="166"/>
        <v>0</v>
      </c>
      <c r="FX37" s="915">
        <f t="shared" si="167"/>
        <v>0</v>
      </c>
      <c r="FY37" s="915">
        <f t="shared" si="168"/>
        <v>0</v>
      </c>
      <c r="FZ37" s="915">
        <f t="shared" si="169"/>
        <v>0</v>
      </c>
    </row>
    <row r="38" spans="1:182" ht="14.1" customHeight="1" x14ac:dyDescent="0.2">
      <c r="A38" s="496">
        <v>31</v>
      </c>
      <c r="B38" s="1419"/>
      <c r="C38" s="1433"/>
      <c r="D38" s="264">
        <v>4</v>
      </c>
      <c r="E38" s="264" t="s">
        <v>48</v>
      </c>
      <c r="F38" s="270" t="s">
        <v>2544</v>
      </c>
      <c r="G38" s="270" t="s">
        <v>2542</v>
      </c>
      <c r="H38" s="272">
        <v>7</v>
      </c>
      <c r="I38" s="268">
        <f t="shared" si="11"/>
        <v>0.42</v>
      </c>
      <c r="J38" s="269">
        <f t="shared" si="12"/>
        <v>7.42</v>
      </c>
      <c r="K38" s="225"/>
      <c r="N38" s="942">
        <f>BA6</f>
        <v>7.42</v>
      </c>
      <c r="O38" s="915" t="str">
        <f>"Miscellaneous for "&amp;TabName4</f>
        <v>Miscellaneous for Phase 4</v>
      </c>
      <c r="P38" s="949" t="s">
        <v>266</v>
      </c>
      <c r="W38" s="915">
        <f t="shared" si="8"/>
        <v>0</v>
      </c>
      <c r="X38" s="915">
        <f t="shared" si="9"/>
        <v>0</v>
      </c>
      <c r="Y38" s="915">
        <f t="shared" si="10"/>
        <v>0</v>
      </c>
      <c r="Z38" s="915">
        <f t="shared" si="13"/>
        <v>0</v>
      </c>
      <c r="AA38" s="915">
        <f t="shared" si="14"/>
        <v>0</v>
      </c>
      <c r="AB38" s="915">
        <f t="shared" si="15"/>
        <v>0</v>
      </c>
      <c r="AC38" s="915">
        <f t="shared" si="16"/>
        <v>0</v>
      </c>
      <c r="AD38" s="915">
        <f t="shared" si="17"/>
        <v>0</v>
      </c>
      <c r="AE38" s="915">
        <f t="shared" si="18"/>
        <v>0</v>
      </c>
      <c r="AF38" s="915">
        <f t="shared" si="19"/>
        <v>0</v>
      </c>
      <c r="AG38" s="915">
        <f t="shared" si="20"/>
        <v>0</v>
      </c>
      <c r="AH38" s="915">
        <f t="shared" si="21"/>
        <v>0</v>
      </c>
      <c r="AI38" s="915">
        <f t="shared" si="22"/>
        <v>0</v>
      </c>
      <c r="AJ38" s="915">
        <f t="shared" si="23"/>
        <v>0</v>
      </c>
      <c r="AK38" s="915">
        <f t="shared" si="24"/>
        <v>0</v>
      </c>
      <c r="AL38" s="915">
        <f t="shared" si="25"/>
        <v>0</v>
      </c>
      <c r="AM38" s="915">
        <f t="shared" si="26"/>
        <v>0</v>
      </c>
      <c r="AN38" s="915">
        <f t="shared" si="27"/>
        <v>0</v>
      </c>
      <c r="AO38" s="915">
        <f t="shared" si="28"/>
        <v>0</v>
      </c>
      <c r="AP38" s="915">
        <f t="shared" si="29"/>
        <v>0</v>
      </c>
      <c r="AQ38" s="915">
        <f t="shared" si="30"/>
        <v>0</v>
      </c>
      <c r="AR38" s="915">
        <f t="shared" si="31"/>
        <v>0</v>
      </c>
      <c r="AS38" s="915">
        <f t="shared" si="32"/>
        <v>0</v>
      </c>
      <c r="AT38" s="915">
        <f t="shared" si="33"/>
        <v>0</v>
      </c>
      <c r="AU38" s="915">
        <f t="shared" si="34"/>
        <v>0</v>
      </c>
      <c r="AV38" s="915">
        <f t="shared" si="35"/>
        <v>0</v>
      </c>
      <c r="AW38" s="915">
        <f t="shared" si="36"/>
        <v>0</v>
      </c>
      <c r="AX38" s="915">
        <f t="shared" si="37"/>
        <v>0</v>
      </c>
      <c r="AY38" s="915">
        <f t="shared" si="38"/>
        <v>0</v>
      </c>
      <c r="AZ38" s="915">
        <f t="shared" si="39"/>
        <v>0</v>
      </c>
      <c r="BA38" s="915">
        <f t="shared" si="40"/>
        <v>7.42</v>
      </c>
      <c r="BB38" s="915">
        <f t="shared" si="41"/>
        <v>0</v>
      </c>
      <c r="BC38" s="915">
        <f t="shared" si="42"/>
        <v>0</v>
      </c>
      <c r="BD38" s="915">
        <f t="shared" si="43"/>
        <v>0</v>
      </c>
      <c r="BE38" s="915">
        <f t="shared" si="44"/>
        <v>0</v>
      </c>
      <c r="BF38" s="915">
        <f t="shared" si="45"/>
        <v>0</v>
      </c>
      <c r="BG38" s="915">
        <f t="shared" si="46"/>
        <v>0</v>
      </c>
      <c r="BH38" s="915">
        <f t="shared" si="47"/>
        <v>0</v>
      </c>
      <c r="BI38" s="915">
        <f t="shared" si="48"/>
        <v>0</v>
      </c>
      <c r="BJ38" s="915">
        <f t="shared" si="49"/>
        <v>0</v>
      </c>
      <c r="BK38" s="915">
        <f t="shared" si="50"/>
        <v>0</v>
      </c>
      <c r="BL38" s="915">
        <f t="shared" si="51"/>
        <v>0</v>
      </c>
      <c r="BM38" s="915">
        <f t="shared" si="52"/>
        <v>0</v>
      </c>
      <c r="BN38" s="915">
        <f t="shared" si="53"/>
        <v>0</v>
      </c>
      <c r="BO38" s="915">
        <f t="shared" si="54"/>
        <v>0</v>
      </c>
      <c r="BP38" s="915">
        <f t="shared" si="55"/>
        <v>0</v>
      </c>
      <c r="BQ38" s="915">
        <f t="shared" si="56"/>
        <v>0</v>
      </c>
      <c r="BR38" s="915">
        <f t="shared" si="57"/>
        <v>0</v>
      </c>
      <c r="BS38" s="915">
        <f t="shared" si="58"/>
        <v>0</v>
      </c>
      <c r="BT38" s="915">
        <f t="shared" si="59"/>
        <v>0</v>
      </c>
      <c r="BU38" s="915">
        <f t="shared" si="60"/>
        <v>0</v>
      </c>
      <c r="BV38" s="915">
        <f t="shared" si="61"/>
        <v>0</v>
      </c>
      <c r="BW38" s="915">
        <f t="shared" si="62"/>
        <v>0</v>
      </c>
      <c r="BX38" s="915">
        <f t="shared" si="63"/>
        <v>0</v>
      </c>
      <c r="BY38" s="915">
        <f t="shared" si="64"/>
        <v>0</v>
      </c>
      <c r="BZ38" s="915">
        <f t="shared" si="65"/>
        <v>0</v>
      </c>
      <c r="CA38" s="915">
        <f t="shared" si="66"/>
        <v>0</v>
      </c>
      <c r="CB38" s="915">
        <f t="shared" si="67"/>
        <v>0</v>
      </c>
      <c r="CC38" s="915">
        <f t="shared" si="68"/>
        <v>0</v>
      </c>
      <c r="CD38" s="915">
        <f t="shared" si="69"/>
        <v>0</v>
      </c>
      <c r="CE38" s="915">
        <f t="shared" si="70"/>
        <v>0</v>
      </c>
      <c r="CF38" s="915">
        <f t="shared" si="71"/>
        <v>0</v>
      </c>
      <c r="CG38" s="915">
        <f t="shared" si="72"/>
        <v>0</v>
      </c>
      <c r="CH38" s="915">
        <f t="shared" si="73"/>
        <v>0</v>
      </c>
      <c r="CI38" s="915">
        <f t="shared" si="74"/>
        <v>0</v>
      </c>
      <c r="CJ38" s="915">
        <f t="shared" si="75"/>
        <v>0</v>
      </c>
      <c r="CK38" s="915">
        <f t="shared" si="76"/>
        <v>0</v>
      </c>
      <c r="CL38" s="915">
        <f t="shared" si="77"/>
        <v>0</v>
      </c>
      <c r="CM38" s="915">
        <f t="shared" si="78"/>
        <v>0</v>
      </c>
      <c r="CN38" s="915">
        <f t="shared" si="79"/>
        <v>0</v>
      </c>
      <c r="CO38" s="915">
        <f t="shared" si="80"/>
        <v>0</v>
      </c>
      <c r="CP38" s="915">
        <f t="shared" si="81"/>
        <v>0</v>
      </c>
      <c r="CQ38" s="915">
        <f t="shared" si="82"/>
        <v>0</v>
      </c>
      <c r="CR38" s="915">
        <f t="shared" si="83"/>
        <v>0</v>
      </c>
      <c r="CS38" s="915">
        <f t="shared" si="84"/>
        <v>0</v>
      </c>
      <c r="CT38" s="915">
        <f t="shared" si="85"/>
        <v>0</v>
      </c>
      <c r="CU38" s="915">
        <f t="shared" si="86"/>
        <v>0</v>
      </c>
      <c r="CV38" s="915">
        <f t="shared" si="87"/>
        <v>0</v>
      </c>
      <c r="CW38" s="915">
        <f t="shared" si="88"/>
        <v>0</v>
      </c>
      <c r="CX38" s="915">
        <f t="shared" si="89"/>
        <v>0</v>
      </c>
      <c r="CY38" s="915">
        <f t="shared" si="90"/>
        <v>0</v>
      </c>
      <c r="CZ38" s="915">
        <f t="shared" si="91"/>
        <v>0</v>
      </c>
      <c r="DA38" s="915">
        <f t="shared" si="92"/>
        <v>0</v>
      </c>
      <c r="DB38" s="915">
        <f t="shared" si="93"/>
        <v>0</v>
      </c>
      <c r="DC38" s="915">
        <f t="shared" si="94"/>
        <v>0</v>
      </c>
      <c r="DD38" s="915">
        <f t="shared" si="95"/>
        <v>0</v>
      </c>
      <c r="DE38" s="915">
        <f t="shared" si="96"/>
        <v>0</v>
      </c>
      <c r="DF38" s="915">
        <f t="shared" si="97"/>
        <v>0</v>
      </c>
      <c r="DG38" s="915">
        <f t="shared" si="98"/>
        <v>0</v>
      </c>
      <c r="DH38" s="915">
        <f t="shared" si="99"/>
        <v>0</v>
      </c>
      <c r="DI38" s="915">
        <f t="shared" si="100"/>
        <v>0</v>
      </c>
      <c r="DJ38" s="915">
        <f t="shared" si="101"/>
        <v>0</v>
      </c>
      <c r="DK38" s="915">
        <f t="shared" si="102"/>
        <v>0</v>
      </c>
      <c r="DL38" s="915">
        <f t="shared" si="103"/>
        <v>0</v>
      </c>
      <c r="DM38" s="915">
        <f t="shared" si="104"/>
        <v>0</v>
      </c>
      <c r="DN38" s="915">
        <f t="shared" si="105"/>
        <v>0</v>
      </c>
      <c r="DO38" s="915">
        <f t="shared" si="106"/>
        <v>0</v>
      </c>
      <c r="DP38" s="915">
        <f t="shared" si="107"/>
        <v>0</v>
      </c>
      <c r="DQ38" s="915">
        <f t="shared" si="108"/>
        <v>0</v>
      </c>
      <c r="DR38" s="915">
        <f t="shared" si="109"/>
        <v>0</v>
      </c>
      <c r="DS38" s="915">
        <f t="shared" si="110"/>
        <v>0</v>
      </c>
      <c r="DT38" s="915">
        <f t="shared" si="111"/>
        <v>0</v>
      </c>
      <c r="DU38" s="915">
        <f t="shared" si="112"/>
        <v>0</v>
      </c>
      <c r="DV38" s="915">
        <f t="shared" si="113"/>
        <v>0</v>
      </c>
      <c r="DW38" s="915">
        <f t="shared" si="114"/>
        <v>0</v>
      </c>
      <c r="DX38" s="915">
        <f t="shared" si="115"/>
        <v>0</v>
      </c>
      <c r="DY38" s="915">
        <f t="shared" si="116"/>
        <v>0</v>
      </c>
      <c r="DZ38" s="915">
        <f t="shared" si="117"/>
        <v>0</v>
      </c>
      <c r="EA38" s="915">
        <f t="shared" si="118"/>
        <v>0</v>
      </c>
      <c r="EB38" s="915">
        <f t="shared" si="119"/>
        <v>0</v>
      </c>
      <c r="EC38" s="915">
        <f t="shared" si="120"/>
        <v>0</v>
      </c>
      <c r="ED38" s="915">
        <f t="shared" si="121"/>
        <v>0</v>
      </c>
      <c r="EE38" s="915">
        <f t="shared" si="122"/>
        <v>0</v>
      </c>
      <c r="EF38" s="915">
        <f t="shared" si="123"/>
        <v>0</v>
      </c>
      <c r="EG38" s="915">
        <f t="shared" si="124"/>
        <v>0</v>
      </c>
      <c r="EH38" s="915">
        <f t="shared" si="125"/>
        <v>0</v>
      </c>
      <c r="EI38" s="915">
        <f t="shared" si="126"/>
        <v>0</v>
      </c>
      <c r="EJ38" s="915">
        <f t="shared" si="127"/>
        <v>0</v>
      </c>
      <c r="EK38" s="915">
        <f t="shared" si="128"/>
        <v>0</v>
      </c>
      <c r="EL38" s="915">
        <f t="shared" si="129"/>
        <v>0</v>
      </c>
      <c r="EM38" s="915">
        <f t="shared" si="130"/>
        <v>0</v>
      </c>
      <c r="EN38" s="915">
        <f t="shared" si="131"/>
        <v>0</v>
      </c>
      <c r="EO38" s="915">
        <f t="shared" si="132"/>
        <v>0</v>
      </c>
      <c r="EP38" s="915">
        <f t="shared" si="133"/>
        <v>0</v>
      </c>
      <c r="EQ38" s="915">
        <f t="shared" si="134"/>
        <v>0</v>
      </c>
      <c r="ER38" s="915">
        <f t="shared" si="135"/>
        <v>0</v>
      </c>
      <c r="ES38" s="915">
        <f t="shared" si="136"/>
        <v>0</v>
      </c>
      <c r="ET38" s="915">
        <f t="shared" si="137"/>
        <v>0</v>
      </c>
      <c r="EU38" s="915">
        <f t="shared" si="138"/>
        <v>0</v>
      </c>
      <c r="EV38" s="915">
        <f t="shared" si="139"/>
        <v>0</v>
      </c>
      <c r="EW38" s="915">
        <f t="shared" si="140"/>
        <v>0</v>
      </c>
      <c r="EX38" s="915">
        <f t="shared" si="141"/>
        <v>0</v>
      </c>
      <c r="EY38" s="915">
        <f t="shared" si="142"/>
        <v>0</v>
      </c>
      <c r="EZ38" s="915">
        <f t="shared" si="143"/>
        <v>0</v>
      </c>
      <c r="FA38" s="915">
        <f t="shared" si="144"/>
        <v>0</v>
      </c>
      <c r="FB38" s="915">
        <f t="shared" si="145"/>
        <v>0</v>
      </c>
      <c r="FC38" s="915">
        <f t="shared" si="146"/>
        <v>0</v>
      </c>
      <c r="FD38" s="915">
        <f t="shared" si="147"/>
        <v>0</v>
      </c>
      <c r="FE38" s="915">
        <f t="shared" si="148"/>
        <v>0</v>
      </c>
      <c r="FF38" s="915">
        <f t="shared" si="149"/>
        <v>0</v>
      </c>
      <c r="FG38" s="915">
        <f t="shared" si="150"/>
        <v>0</v>
      </c>
      <c r="FH38" s="915">
        <f t="shared" si="151"/>
        <v>0</v>
      </c>
      <c r="FI38" s="915">
        <f t="shared" si="152"/>
        <v>0</v>
      </c>
      <c r="FJ38" s="915">
        <f t="shared" si="153"/>
        <v>0</v>
      </c>
      <c r="FK38" s="915">
        <f t="shared" si="154"/>
        <v>0</v>
      </c>
      <c r="FL38" s="915">
        <f t="shared" si="155"/>
        <v>0</v>
      </c>
      <c r="FM38" s="915">
        <f t="shared" si="156"/>
        <v>0</v>
      </c>
      <c r="FN38" s="915">
        <f t="shared" si="157"/>
        <v>0</v>
      </c>
      <c r="FO38" s="915">
        <f t="shared" si="158"/>
        <v>0</v>
      </c>
      <c r="FP38" s="915">
        <f t="shared" si="159"/>
        <v>0</v>
      </c>
      <c r="FQ38" s="915">
        <f t="shared" si="160"/>
        <v>0</v>
      </c>
      <c r="FR38" s="915">
        <f t="shared" si="161"/>
        <v>0</v>
      </c>
      <c r="FS38" s="915">
        <f t="shared" si="162"/>
        <v>0</v>
      </c>
      <c r="FT38" s="915">
        <f t="shared" si="163"/>
        <v>0</v>
      </c>
      <c r="FU38" s="915">
        <f t="shared" si="164"/>
        <v>0</v>
      </c>
      <c r="FV38" s="915">
        <f t="shared" si="165"/>
        <v>0</v>
      </c>
      <c r="FW38" s="915">
        <f t="shared" si="166"/>
        <v>0</v>
      </c>
      <c r="FX38" s="915">
        <f t="shared" si="167"/>
        <v>0</v>
      </c>
      <c r="FY38" s="915">
        <f t="shared" si="168"/>
        <v>0</v>
      </c>
      <c r="FZ38" s="915">
        <f t="shared" si="169"/>
        <v>0</v>
      </c>
    </row>
    <row r="39" spans="1:182" ht="14.1" customHeight="1" x14ac:dyDescent="0.2">
      <c r="A39" s="497">
        <v>32</v>
      </c>
      <c r="B39" s="1423"/>
      <c r="C39" s="1424"/>
      <c r="D39" s="138">
        <v>4</v>
      </c>
      <c r="E39" s="138" t="s">
        <v>27</v>
      </c>
      <c r="F39" s="139" t="s">
        <v>2544</v>
      </c>
      <c r="G39" s="139" t="s">
        <v>2542</v>
      </c>
      <c r="H39" s="100">
        <v>7</v>
      </c>
      <c r="I39" s="119">
        <f t="shared" si="11"/>
        <v>0.42</v>
      </c>
      <c r="J39" s="90">
        <f t="shared" si="12"/>
        <v>7.42</v>
      </c>
      <c r="K39" s="225"/>
      <c r="N39" s="942">
        <f>BB6</f>
        <v>7.42</v>
      </c>
      <c r="O39" s="879" t="str">
        <f>"Contractor Labor for " &amp; TabName4</f>
        <v>Contractor Labor for Phase 4</v>
      </c>
      <c r="P39" s="950" t="s">
        <v>267</v>
      </c>
      <c r="W39" s="915">
        <f t="shared" si="8"/>
        <v>0</v>
      </c>
      <c r="X39" s="915">
        <f t="shared" si="9"/>
        <v>0</v>
      </c>
      <c r="Y39" s="915">
        <f t="shared" si="10"/>
        <v>0</v>
      </c>
      <c r="Z39" s="915">
        <f t="shared" si="13"/>
        <v>0</v>
      </c>
      <c r="AA39" s="915">
        <f t="shared" si="14"/>
        <v>0</v>
      </c>
      <c r="AB39" s="915">
        <f t="shared" si="15"/>
        <v>0</v>
      </c>
      <c r="AC39" s="915">
        <f t="shared" si="16"/>
        <v>0</v>
      </c>
      <c r="AD39" s="915">
        <f t="shared" si="17"/>
        <v>0</v>
      </c>
      <c r="AE39" s="915">
        <f t="shared" si="18"/>
        <v>0</v>
      </c>
      <c r="AF39" s="915">
        <f t="shared" si="19"/>
        <v>0</v>
      </c>
      <c r="AG39" s="915">
        <f t="shared" si="20"/>
        <v>0</v>
      </c>
      <c r="AH39" s="915">
        <f t="shared" si="21"/>
        <v>0</v>
      </c>
      <c r="AI39" s="915">
        <f t="shared" si="22"/>
        <v>0</v>
      </c>
      <c r="AJ39" s="915">
        <f t="shared" si="23"/>
        <v>0</v>
      </c>
      <c r="AK39" s="915">
        <f t="shared" si="24"/>
        <v>0</v>
      </c>
      <c r="AL39" s="915">
        <f t="shared" si="25"/>
        <v>0</v>
      </c>
      <c r="AM39" s="915">
        <f t="shared" si="26"/>
        <v>0</v>
      </c>
      <c r="AN39" s="915">
        <f t="shared" si="27"/>
        <v>0</v>
      </c>
      <c r="AO39" s="915">
        <f t="shared" si="28"/>
        <v>0</v>
      </c>
      <c r="AP39" s="915">
        <f t="shared" si="29"/>
        <v>0</v>
      </c>
      <c r="AQ39" s="915">
        <f t="shared" si="30"/>
        <v>0</v>
      </c>
      <c r="AR39" s="915">
        <f t="shared" si="31"/>
        <v>0</v>
      </c>
      <c r="AS39" s="915">
        <f t="shared" si="32"/>
        <v>0</v>
      </c>
      <c r="AT39" s="915">
        <f t="shared" si="33"/>
        <v>0</v>
      </c>
      <c r="AU39" s="915">
        <f t="shared" si="34"/>
        <v>0</v>
      </c>
      <c r="AV39" s="915">
        <f t="shared" si="35"/>
        <v>0</v>
      </c>
      <c r="AW39" s="915">
        <f t="shared" si="36"/>
        <v>0</v>
      </c>
      <c r="AX39" s="915">
        <f t="shared" si="37"/>
        <v>0</v>
      </c>
      <c r="AY39" s="915">
        <f t="shared" si="38"/>
        <v>0</v>
      </c>
      <c r="AZ39" s="915">
        <f t="shared" si="39"/>
        <v>0</v>
      </c>
      <c r="BA39" s="915">
        <f t="shared" si="40"/>
        <v>0</v>
      </c>
      <c r="BB39" s="915">
        <f t="shared" si="41"/>
        <v>7.42</v>
      </c>
      <c r="BC39" s="915">
        <f t="shared" si="42"/>
        <v>0</v>
      </c>
      <c r="BD39" s="915">
        <f t="shared" si="43"/>
        <v>0</v>
      </c>
      <c r="BE39" s="915">
        <f t="shared" si="44"/>
        <v>0</v>
      </c>
      <c r="BF39" s="915">
        <f t="shared" si="45"/>
        <v>0</v>
      </c>
      <c r="BG39" s="915">
        <f t="shared" si="46"/>
        <v>0</v>
      </c>
      <c r="BH39" s="915">
        <f t="shared" si="47"/>
        <v>0</v>
      </c>
      <c r="BI39" s="915">
        <f t="shared" si="48"/>
        <v>0</v>
      </c>
      <c r="BJ39" s="915">
        <f t="shared" si="49"/>
        <v>0</v>
      </c>
      <c r="BK39" s="915">
        <f t="shared" si="50"/>
        <v>0</v>
      </c>
      <c r="BL39" s="915">
        <f t="shared" si="51"/>
        <v>0</v>
      </c>
      <c r="BM39" s="915">
        <f t="shared" si="52"/>
        <v>0</v>
      </c>
      <c r="BN39" s="915">
        <f t="shared" si="53"/>
        <v>0</v>
      </c>
      <c r="BO39" s="915">
        <f t="shared" si="54"/>
        <v>0</v>
      </c>
      <c r="BP39" s="915">
        <f t="shared" si="55"/>
        <v>0</v>
      </c>
      <c r="BQ39" s="915">
        <f t="shared" si="56"/>
        <v>0</v>
      </c>
      <c r="BR39" s="915">
        <f t="shared" si="57"/>
        <v>0</v>
      </c>
      <c r="BS39" s="915">
        <f t="shared" si="58"/>
        <v>0</v>
      </c>
      <c r="BT39" s="915">
        <f t="shared" si="59"/>
        <v>0</v>
      </c>
      <c r="BU39" s="915">
        <f t="shared" si="60"/>
        <v>0</v>
      </c>
      <c r="BV39" s="915">
        <f t="shared" si="61"/>
        <v>0</v>
      </c>
      <c r="BW39" s="915">
        <f t="shared" si="62"/>
        <v>0</v>
      </c>
      <c r="BX39" s="915">
        <f t="shared" si="63"/>
        <v>0</v>
      </c>
      <c r="BY39" s="915">
        <f t="shared" si="64"/>
        <v>0</v>
      </c>
      <c r="BZ39" s="915">
        <f t="shared" si="65"/>
        <v>0</v>
      </c>
      <c r="CA39" s="915">
        <f t="shared" si="66"/>
        <v>0</v>
      </c>
      <c r="CB39" s="915">
        <f t="shared" si="67"/>
        <v>0</v>
      </c>
      <c r="CC39" s="915">
        <f t="shared" si="68"/>
        <v>0</v>
      </c>
      <c r="CD39" s="915">
        <f t="shared" si="69"/>
        <v>0</v>
      </c>
      <c r="CE39" s="915">
        <f t="shared" si="70"/>
        <v>0</v>
      </c>
      <c r="CF39" s="915">
        <f t="shared" si="71"/>
        <v>0</v>
      </c>
      <c r="CG39" s="915">
        <f t="shared" si="72"/>
        <v>0</v>
      </c>
      <c r="CH39" s="915">
        <f t="shared" si="73"/>
        <v>0</v>
      </c>
      <c r="CI39" s="915">
        <f t="shared" si="74"/>
        <v>0</v>
      </c>
      <c r="CJ39" s="915">
        <f t="shared" si="75"/>
        <v>0</v>
      </c>
      <c r="CK39" s="915">
        <f t="shared" si="76"/>
        <v>0</v>
      </c>
      <c r="CL39" s="915">
        <f t="shared" si="77"/>
        <v>0</v>
      </c>
      <c r="CM39" s="915">
        <f t="shared" si="78"/>
        <v>0</v>
      </c>
      <c r="CN39" s="915">
        <f t="shared" si="79"/>
        <v>0</v>
      </c>
      <c r="CO39" s="915">
        <f t="shared" si="80"/>
        <v>0</v>
      </c>
      <c r="CP39" s="915">
        <f t="shared" si="81"/>
        <v>0</v>
      </c>
      <c r="CQ39" s="915">
        <f t="shared" si="82"/>
        <v>0</v>
      </c>
      <c r="CR39" s="915">
        <f t="shared" si="83"/>
        <v>0</v>
      </c>
      <c r="CS39" s="915">
        <f t="shared" si="84"/>
        <v>0</v>
      </c>
      <c r="CT39" s="915">
        <f t="shared" si="85"/>
        <v>0</v>
      </c>
      <c r="CU39" s="915">
        <f t="shared" si="86"/>
        <v>0</v>
      </c>
      <c r="CV39" s="915">
        <f t="shared" si="87"/>
        <v>0</v>
      </c>
      <c r="CW39" s="915">
        <f t="shared" si="88"/>
        <v>0</v>
      </c>
      <c r="CX39" s="915">
        <f t="shared" si="89"/>
        <v>0</v>
      </c>
      <c r="CY39" s="915">
        <f t="shared" si="90"/>
        <v>0</v>
      </c>
      <c r="CZ39" s="915">
        <f t="shared" si="91"/>
        <v>0</v>
      </c>
      <c r="DA39" s="915">
        <f t="shared" si="92"/>
        <v>0</v>
      </c>
      <c r="DB39" s="915">
        <f t="shared" si="93"/>
        <v>0</v>
      </c>
      <c r="DC39" s="915">
        <f t="shared" si="94"/>
        <v>0</v>
      </c>
      <c r="DD39" s="915">
        <f t="shared" si="95"/>
        <v>0</v>
      </c>
      <c r="DE39" s="915">
        <f t="shared" si="96"/>
        <v>0</v>
      </c>
      <c r="DF39" s="915">
        <f t="shared" si="97"/>
        <v>0</v>
      </c>
      <c r="DG39" s="915">
        <f t="shared" si="98"/>
        <v>0</v>
      </c>
      <c r="DH39" s="915">
        <f t="shared" si="99"/>
        <v>0</v>
      </c>
      <c r="DI39" s="915">
        <f t="shared" si="100"/>
        <v>0</v>
      </c>
      <c r="DJ39" s="915">
        <f t="shared" si="101"/>
        <v>0</v>
      </c>
      <c r="DK39" s="915">
        <f t="shared" si="102"/>
        <v>0</v>
      </c>
      <c r="DL39" s="915">
        <f t="shared" si="103"/>
        <v>0</v>
      </c>
      <c r="DM39" s="915">
        <f t="shared" si="104"/>
        <v>0</v>
      </c>
      <c r="DN39" s="915">
        <f t="shared" si="105"/>
        <v>0</v>
      </c>
      <c r="DO39" s="915">
        <f t="shared" si="106"/>
        <v>0</v>
      </c>
      <c r="DP39" s="915">
        <f t="shared" si="107"/>
        <v>0</v>
      </c>
      <c r="DQ39" s="915">
        <f t="shared" si="108"/>
        <v>0</v>
      </c>
      <c r="DR39" s="915">
        <f t="shared" si="109"/>
        <v>0</v>
      </c>
      <c r="DS39" s="915">
        <f t="shared" si="110"/>
        <v>0</v>
      </c>
      <c r="DT39" s="915">
        <f t="shared" si="111"/>
        <v>0</v>
      </c>
      <c r="DU39" s="915">
        <f t="shared" si="112"/>
        <v>0</v>
      </c>
      <c r="DV39" s="915">
        <f t="shared" si="113"/>
        <v>0</v>
      </c>
      <c r="DW39" s="915">
        <f t="shared" si="114"/>
        <v>0</v>
      </c>
      <c r="DX39" s="915">
        <f t="shared" si="115"/>
        <v>0</v>
      </c>
      <c r="DY39" s="915">
        <f t="shared" si="116"/>
        <v>0</v>
      </c>
      <c r="DZ39" s="915">
        <f t="shared" si="117"/>
        <v>0</v>
      </c>
      <c r="EA39" s="915">
        <f t="shared" si="118"/>
        <v>0</v>
      </c>
      <c r="EB39" s="915">
        <f t="shared" si="119"/>
        <v>0</v>
      </c>
      <c r="EC39" s="915">
        <f t="shared" si="120"/>
        <v>0</v>
      </c>
      <c r="ED39" s="915">
        <f t="shared" si="121"/>
        <v>0</v>
      </c>
      <c r="EE39" s="915">
        <f t="shared" si="122"/>
        <v>0</v>
      </c>
      <c r="EF39" s="915">
        <f t="shared" si="123"/>
        <v>0</v>
      </c>
      <c r="EG39" s="915">
        <f t="shared" si="124"/>
        <v>0</v>
      </c>
      <c r="EH39" s="915">
        <f t="shared" si="125"/>
        <v>0</v>
      </c>
      <c r="EI39" s="915">
        <f t="shared" si="126"/>
        <v>0</v>
      </c>
      <c r="EJ39" s="915">
        <f t="shared" si="127"/>
        <v>0</v>
      </c>
      <c r="EK39" s="915">
        <f t="shared" si="128"/>
        <v>0</v>
      </c>
      <c r="EL39" s="915">
        <f t="shared" si="129"/>
        <v>0</v>
      </c>
      <c r="EM39" s="915">
        <f t="shared" si="130"/>
        <v>0</v>
      </c>
      <c r="EN39" s="915">
        <f t="shared" si="131"/>
        <v>0</v>
      </c>
      <c r="EO39" s="915">
        <f t="shared" si="132"/>
        <v>0</v>
      </c>
      <c r="EP39" s="915">
        <f t="shared" si="133"/>
        <v>0</v>
      </c>
      <c r="EQ39" s="915">
        <f t="shared" si="134"/>
        <v>0</v>
      </c>
      <c r="ER39" s="915">
        <f t="shared" si="135"/>
        <v>0</v>
      </c>
      <c r="ES39" s="915">
        <f t="shared" si="136"/>
        <v>0</v>
      </c>
      <c r="ET39" s="915">
        <f t="shared" si="137"/>
        <v>0</v>
      </c>
      <c r="EU39" s="915">
        <f t="shared" si="138"/>
        <v>0</v>
      </c>
      <c r="EV39" s="915">
        <f t="shared" si="139"/>
        <v>0</v>
      </c>
      <c r="EW39" s="915">
        <f t="shared" si="140"/>
        <v>0</v>
      </c>
      <c r="EX39" s="915">
        <f t="shared" si="141"/>
        <v>0</v>
      </c>
      <c r="EY39" s="915">
        <f t="shared" si="142"/>
        <v>0</v>
      </c>
      <c r="EZ39" s="915">
        <f t="shared" si="143"/>
        <v>0</v>
      </c>
      <c r="FA39" s="915">
        <f t="shared" si="144"/>
        <v>0</v>
      </c>
      <c r="FB39" s="915">
        <f t="shared" si="145"/>
        <v>0</v>
      </c>
      <c r="FC39" s="915">
        <f t="shared" si="146"/>
        <v>0</v>
      </c>
      <c r="FD39" s="915">
        <f t="shared" si="147"/>
        <v>0</v>
      </c>
      <c r="FE39" s="915">
        <f t="shared" si="148"/>
        <v>0</v>
      </c>
      <c r="FF39" s="915">
        <f t="shared" si="149"/>
        <v>0</v>
      </c>
      <c r="FG39" s="915">
        <f t="shared" si="150"/>
        <v>0</v>
      </c>
      <c r="FH39" s="915">
        <f t="shared" si="151"/>
        <v>0</v>
      </c>
      <c r="FI39" s="915">
        <f t="shared" si="152"/>
        <v>0</v>
      </c>
      <c r="FJ39" s="915">
        <f t="shared" si="153"/>
        <v>0</v>
      </c>
      <c r="FK39" s="915">
        <f t="shared" si="154"/>
        <v>0</v>
      </c>
      <c r="FL39" s="915">
        <f t="shared" si="155"/>
        <v>0</v>
      </c>
      <c r="FM39" s="915">
        <f t="shared" si="156"/>
        <v>0</v>
      </c>
      <c r="FN39" s="915">
        <f t="shared" si="157"/>
        <v>0</v>
      </c>
      <c r="FO39" s="915">
        <f t="shared" si="158"/>
        <v>0</v>
      </c>
      <c r="FP39" s="915">
        <f t="shared" si="159"/>
        <v>0</v>
      </c>
      <c r="FQ39" s="915">
        <f t="shared" si="160"/>
        <v>0</v>
      </c>
      <c r="FR39" s="915">
        <f t="shared" si="161"/>
        <v>0</v>
      </c>
      <c r="FS39" s="915">
        <f t="shared" si="162"/>
        <v>0</v>
      </c>
      <c r="FT39" s="915">
        <f t="shared" si="163"/>
        <v>0</v>
      </c>
      <c r="FU39" s="915">
        <f t="shared" si="164"/>
        <v>0</v>
      </c>
      <c r="FV39" s="915">
        <f t="shared" si="165"/>
        <v>0</v>
      </c>
      <c r="FW39" s="915">
        <f t="shared" si="166"/>
        <v>0</v>
      </c>
      <c r="FX39" s="915">
        <f t="shared" si="167"/>
        <v>0</v>
      </c>
      <c r="FY39" s="915">
        <f t="shared" si="168"/>
        <v>0</v>
      </c>
      <c r="FZ39" s="915">
        <f t="shared" si="169"/>
        <v>0</v>
      </c>
    </row>
    <row r="40" spans="1:182" ht="14.1" customHeight="1" x14ac:dyDescent="0.2">
      <c r="A40" s="496">
        <v>33</v>
      </c>
      <c r="B40" s="1419"/>
      <c r="C40" s="1433"/>
      <c r="D40" s="264">
        <v>5</v>
      </c>
      <c r="E40" s="264" t="s">
        <v>193</v>
      </c>
      <c r="F40" s="270" t="s">
        <v>2544</v>
      </c>
      <c r="G40" s="270" t="s">
        <v>2542</v>
      </c>
      <c r="H40" s="272">
        <v>7</v>
      </c>
      <c r="I40" s="268">
        <f t="shared" si="11"/>
        <v>0.42</v>
      </c>
      <c r="J40" s="269">
        <f t="shared" si="12"/>
        <v>7.42</v>
      </c>
      <c r="K40" s="225"/>
      <c r="N40" s="942">
        <f>BC6</f>
        <v>7.42</v>
      </c>
      <c r="O40" s="915" t="str">
        <f>"Boring/Monitoring Wells for "&amp;TabName5</f>
        <v>Boring/Monitoring Wells for Phase 5</v>
      </c>
      <c r="P40" s="949" t="s">
        <v>276</v>
      </c>
      <c r="W40" s="915">
        <f t="shared" si="8"/>
        <v>0</v>
      </c>
      <c r="X40" s="915">
        <f t="shared" si="9"/>
        <v>0</v>
      </c>
      <c r="Y40" s="915">
        <f t="shared" si="10"/>
        <v>0</v>
      </c>
      <c r="Z40" s="915">
        <f t="shared" si="13"/>
        <v>0</v>
      </c>
      <c r="AA40" s="915">
        <f t="shared" si="14"/>
        <v>0</v>
      </c>
      <c r="AB40" s="915">
        <f t="shared" si="15"/>
        <v>0</v>
      </c>
      <c r="AC40" s="915">
        <f t="shared" si="16"/>
        <v>0</v>
      </c>
      <c r="AD40" s="915">
        <f t="shared" si="17"/>
        <v>0</v>
      </c>
      <c r="AE40" s="915">
        <f t="shared" si="18"/>
        <v>0</v>
      </c>
      <c r="AF40" s="915">
        <f t="shared" si="19"/>
        <v>0</v>
      </c>
      <c r="AG40" s="915">
        <f t="shared" si="20"/>
        <v>0</v>
      </c>
      <c r="AH40" s="915">
        <f t="shared" si="21"/>
        <v>0</v>
      </c>
      <c r="AI40" s="915">
        <f t="shared" si="22"/>
        <v>0</v>
      </c>
      <c r="AJ40" s="915">
        <f t="shared" si="23"/>
        <v>0</v>
      </c>
      <c r="AK40" s="915">
        <f t="shared" si="24"/>
        <v>0</v>
      </c>
      <c r="AL40" s="915">
        <f t="shared" si="25"/>
        <v>0</v>
      </c>
      <c r="AM40" s="915">
        <f t="shared" si="26"/>
        <v>0</v>
      </c>
      <c r="AN40" s="915">
        <f t="shared" si="27"/>
        <v>0</v>
      </c>
      <c r="AO40" s="915">
        <f t="shared" si="28"/>
        <v>0</v>
      </c>
      <c r="AP40" s="915">
        <f t="shared" si="29"/>
        <v>0</v>
      </c>
      <c r="AQ40" s="915">
        <f t="shared" si="30"/>
        <v>0</v>
      </c>
      <c r="AR40" s="915">
        <f t="shared" si="31"/>
        <v>0</v>
      </c>
      <c r="AS40" s="915">
        <f t="shared" si="32"/>
        <v>0</v>
      </c>
      <c r="AT40" s="915">
        <f t="shared" si="33"/>
        <v>0</v>
      </c>
      <c r="AU40" s="915">
        <f t="shared" si="34"/>
        <v>0</v>
      </c>
      <c r="AV40" s="915">
        <f t="shared" si="35"/>
        <v>0</v>
      </c>
      <c r="AW40" s="915">
        <f t="shared" si="36"/>
        <v>0</v>
      </c>
      <c r="AX40" s="915">
        <f t="shared" si="37"/>
        <v>0</v>
      </c>
      <c r="AY40" s="915">
        <f t="shared" si="38"/>
        <v>0</v>
      </c>
      <c r="AZ40" s="915">
        <f t="shared" si="39"/>
        <v>0</v>
      </c>
      <c r="BA40" s="915">
        <f t="shared" si="40"/>
        <v>0</v>
      </c>
      <c r="BB40" s="915">
        <f t="shared" si="41"/>
        <v>0</v>
      </c>
      <c r="BC40" s="915">
        <f t="shared" si="42"/>
        <v>7.42</v>
      </c>
      <c r="BD40" s="915">
        <f t="shared" si="43"/>
        <v>0</v>
      </c>
      <c r="BE40" s="915">
        <f t="shared" si="44"/>
        <v>0</v>
      </c>
      <c r="BF40" s="915">
        <f t="shared" si="45"/>
        <v>0</v>
      </c>
      <c r="BG40" s="915">
        <f t="shared" si="46"/>
        <v>0</v>
      </c>
      <c r="BH40" s="915">
        <f t="shared" si="47"/>
        <v>0</v>
      </c>
      <c r="BI40" s="915">
        <f t="shared" si="48"/>
        <v>0</v>
      </c>
      <c r="BJ40" s="915">
        <f t="shared" si="49"/>
        <v>0</v>
      </c>
      <c r="BK40" s="915">
        <f t="shared" si="50"/>
        <v>0</v>
      </c>
      <c r="BL40" s="915">
        <f t="shared" si="51"/>
        <v>0</v>
      </c>
      <c r="BM40" s="915">
        <f t="shared" si="52"/>
        <v>0</v>
      </c>
      <c r="BN40" s="915">
        <f t="shared" si="53"/>
        <v>0</v>
      </c>
      <c r="BO40" s="915">
        <f t="shared" si="54"/>
        <v>0</v>
      </c>
      <c r="BP40" s="915">
        <f t="shared" si="55"/>
        <v>0</v>
      </c>
      <c r="BQ40" s="915">
        <f t="shared" si="56"/>
        <v>0</v>
      </c>
      <c r="BR40" s="915">
        <f t="shared" si="57"/>
        <v>0</v>
      </c>
      <c r="BS40" s="915">
        <f t="shared" si="58"/>
        <v>0</v>
      </c>
      <c r="BT40" s="915">
        <f t="shared" si="59"/>
        <v>0</v>
      </c>
      <c r="BU40" s="915">
        <f t="shared" si="60"/>
        <v>0</v>
      </c>
      <c r="BV40" s="915">
        <f t="shared" si="61"/>
        <v>0</v>
      </c>
      <c r="BW40" s="915">
        <f t="shared" si="62"/>
        <v>0</v>
      </c>
      <c r="BX40" s="915">
        <f t="shared" si="63"/>
        <v>0</v>
      </c>
      <c r="BY40" s="915">
        <f t="shared" si="64"/>
        <v>0</v>
      </c>
      <c r="BZ40" s="915">
        <f t="shared" si="65"/>
        <v>0</v>
      </c>
      <c r="CA40" s="915">
        <f t="shared" si="66"/>
        <v>0</v>
      </c>
      <c r="CB40" s="915">
        <f t="shared" si="67"/>
        <v>0</v>
      </c>
      <c r="CC40" s="915">
        <f t="shared" si="68"/>
        <v>0</v>
      </c>
      <c r="CD40" s="915">
        <f t="shared" si="69"/>
        <v>0</v>
      </c>
      <c r="CE40" s="915">
        <f t="shared" si="70"/>
        <v>0</v>
      </c>
      <c r="CF40" s="915">
        <f t="shared" si="71"/>
        <v>0</v>
      </c>
      <c r="CG40" s="915">
        <f t="shared" si="72"/>
        <v>0</v>
      </c>
      <c r="CH40" s="915">
        <f t="shared" si="73"/>
        <v>0</v>
      </c>
      <c r="CI40" s="915">
        <f t="shared" si="74"/>
        <v>0</v>
      </c>
      <c r="CJ40" s="915">
        <f t="shared" si="75"/>
        <v>0</v>
      </c>
      <c r="CK40" s="915">
        <f t="shared" si="76"/>
        <v>0</v>
      </c>
      <c r="CL40" s="915">
        <f t="shared" si="77"/>
        <v>0</v>
      </c>
      <c r="CM40" s="915">
        <f t="shared" si="78"/>
        <v>0</v>
      </c>
      <c r="CN40" s="915">
        <f t="shared" si="79"/>
        <v>0</v>
      </c>
      <c r="CO40" s="915">
        <f t="shared" si="80"/>
        <v>0</v>
      </c>
      <c r="CP40" s="915">
        <f t="shared" si="81"/>
        <v>0</v>
      </c>
      <c r="CQ40" s="915">
        <f t="shared" si="82"/>
        <v>0</v>
      </c>
      <c r="CR40" s="915">
        <f t="shared" si="83"/>
        <v>0</v>
      </c>
      <c r="CS40" s="915">
        <f t="shared" si="84"/>
        <v>0</v>
      </c>
      <c r="CT40" s="915">
        <f t="shared" si="85"/>
        <v>0</v>
      </c>
      <c r="CU40" s="915">
        <f t="shared" si="86"/>
        <v>0</v>
      </c>
      <c r="CV40" s="915">
        <f t="shared" si="87"/>
        <v>0</v>
      </c>
      <c r="CW40" s="915">
        <f t="shared" si="88"/>
        <v>0</v>
      </c>
      <c r="CX40" s="915">
        <f t="shared" si="89"/>
        <v>0</v>
      </c>
      <c r="CY40" s="915">
        <f t="shared" si="90"/>
        <v>0</v>
      </c>
      <c r="CZ40" s="915">
        <f t="shared" si="91"/>
        <v>0</v>
      </c>
      <c r="DA40" s="915">
        <f t="shared" si="92"/>
        <v>0</v>
      </c>
      <c r="DB40" s="915">
        <f t="shared" si="93"/>
        <v>0</v>
      </c>
      <c r="DC40" s="915">
        <f t="shared" si="94"/>
        <v>0</v>
      </c>
      <c r="DD40" s="915">
        <f t="shared" si="95"/>
        <v>0</v>
      </c>
      <c r="DE40" s="915">
        <f t="shared" si="96"/>
        <v>0</v>
      </c>
      <c r="DF40" s="915">
        <f t="shared" si="97"/>
        <v>0</v>
      </c>
      <c r="DG40" s="915">
        <f t="shared" si="98"/>
        <v>0</v>
      </c>
      <c r="DH40" s="915">
        <f t="shared" si="99"/>
        <v>0</v>
      </c>
      <c r="DI40" s="915">
        <f t="shared" si="100"/>
        <v>0</v>
      </c>
      <c r="DJ40" s="915">
        <f t="shared" si="101"/>
        <v>0</v>
      </c>
      <c r="DK40" s="915">
        <f t="shared" si="102"/>
        <v>0</v>
      </c>
      <c r="DL40" s="915">
        <f t="shared" si="103"/>
        <v>0</v>
      </c>
      <c r="DM40" s="915">
        <f t="shared" si="104"/>
        <v>0</v>
      </c>
      <c r="DN40" s="915">
        <f t="shared" si="105"/>
        <v>0</v>
      </c>
      <c r="DO40" s="915">
        <f t="shared" si="106"/>
        <v>0</v>
      </c>
      <c r="DP40" s="915">
        <f t="shared" si="107"/>
        <v>0</v>
      </c>
      <c r="DQ40" s="915">
        <f t="shared" si="108"/>
        <v>0</v>
      </c>
      <c r="DR40" s="915">
        <f t="shared" si="109"/>
        <v>0</v>
      </c>
      <c r="DS40" s="915">
        <f t="shared" si="110"/>
        <v>0</v>
      </c>
      <c r="DT40" s="915">
        <f t="shared" si="111"/>
        <v>0</v>
      </c>
      <c r="DU40" s="915">
        <f t="shared" si="112"/>
        <v>0</v>
      </c>
      <c r="DV40" s="915">
        <f t="shared" si="113"/>
        <v>0</v>
      </c>
      <c r="DW40" s="915">
        <f t="shared" si="114"/>
        <v>0</v>
      </c>
      <c r="DX40" s="915">
        <f t="shared" si="115"/>
        <v>0</v>
      </c>
      <c r="DY40" s="915">
        <f t="shared" si="116"/>
        <v>0</v>
      </c>
      <c r="DZ40" s="915">
        <f t="shared" si="117"/>
        <v>0</v>
      </c>
      <c r="EA40" s="915">
        <f t="shared" si="118"/>
        <v>0</v>
      </c>
      <c r="EB40" s="915">
        <f t="shared" si="119"/>
        <v>0</v>
      </c>
      <c r="EC40" s="915">
        <f t="shared" si="120"/>
        <v>0</v>
      </c>
      <c r="ED40" s="915">
        <f t="shared" si="121"/>
        <v>0</v>
      </c>
      <c r="EE40" s="915">
        <f t="shared" si="122"/>
        <v>0</v>
      </c>
      <c r="EF40" s="915">
        <f t="shared" si="123"/>
        <v>0</v>
      </c>
      <c r="EG40" s="915">
        <f t="shared" si="124"/>
        <v>0</v>
      </c>
      <c r="EH40" s="915">
        <f t="shared" si="125"/>
        <v>0</v>
      </c>
      <c r="EI40" s="915">
        <f t="shared" si="126"/>
        <v>0</v>
      </c>
      <c r="EJ40" s="915">
        <f t="shared" si="127"/>
        <v>0</v>
      </c>
      <c r="EK40" s="915">
        <f t="shared" si="128"/>
        <v>0</v>
      </c>
      <c r="EL40" s="915">
        <f t="shared" si="129"/>
        <v>0</v>
      </c>
      <c r="EM40" s="915">
        <f t="shared" si="130"/>
        <v>0</v>
      </c>
      <c r="EN40" s="915">
        <f t="shared" si="131"/>
        <v>0</v>
      </c>
      <c r="EO40" s="915">
        <f t="shared" si="132"/>
        <v>0</v>
      </c>
      <c r="EP40" s="915">
        <f t="shared" si="133"/>
        <v>0</v>
      </c>
      <c r="EQ40" s="915">
        <f t="shared" si="134"/>
        <v>0</v>
      </c>
      <c r="ER40" s="915">
        <f t="shared" si="135"/>
        <v>0</v>
      </c>
      <c r="ES40" s="915">
        <f t="shared" si="136"/>
        <v>0</v>
      </c>
      <c r="ET40" s="915">
        <f t="shared" si="137"/>
        <v>0</v>
      </c>
      <c r="EU40" s="915">
        <f t="shared" si="138"/>
        <v>0</v>
      </c>
      <c r="EV40" s="915">
        <f t="shared" si="139"/>
        <v>0</v>
      </c>
      <c r="EW40" s="915">
        <f t="shared" si="140"/>
        <v>0</v>
      </c>
      <c r="EX40" s="915">
        <f t="shared" si="141"/>
        <v>0</v>
      </c>
      <c r="EY40" s="915">
        <f t="shared" si="142"/>
        <v>0</v>
      </c>
      <c r="EZ40" s="915">
        <f t="shared" si="143"/>
        <v>0</v>
      </c>
      <c r="FA40" s="915">
        <f t="shared" si="144"/>
        <v>0</v>
      </c>
      <c r="FB40" s="915">
        <f t="shared" si="145"/>
        <v>0</v>
      </c>
      <c r="FC40" s="915">
        <f t="shared" si="146"/>
        <v>0</v>
      </c>
      <c r="FD40" s="915">
        <f t="shared" si="147"/>
        <v>0</v>
      </c>
      <c r="FE40" s="915">
        <f t="shared" si="148"/>
        <v>0</v>
      </c>
      <c r="FF40" s="915">
        <f t="shared" si="149"/>
        <v>0</v>
      </c>
      <c r="FG40" s="915">
        <f t="shared" si="150"/>
        <v>0</v>
      </c>
      <c r="FH40" s="915">
        <f t="shared" si="151"/>
        <v>0</v>
      </c>
      <c r="FI40" s="915">
        <f t="shared" si="152"/>
        <v>0</v>
      </c>
      <c r="FJ40" s="915">
        <f t="shared" si="153"/>
        <v>0</v>
      </c>
      <c r="FK40" s="915">
        <f t="shared" si="154"/>
        <v>0</v>
      </c>
      <c r="FL40" s="915">
        <f t="shared" si="155"/>
        <v>0</v>
      </c>
      <c r="FM40" s="915">
        <f t="shared" si="156"/>
        <v>0</v>
      </c>
      <c r="FN40" s="915">
        <f t="shared" si="157"/>
        <v>0</v>
      </c>
      <c r="FO40" s="915">
        <f t="shared" si="158"/>
        <v>0</v>
      </c>
      <c r="FP40" s="915">
        <f t="shared" si="159"/>
        <v>0</v>
      </c>
      <c r="FQ40" s="915">
        <f t="shared" si="160"/>
        <v>0</v>
      </c>
      <c r="FR40" s="915">
        <f t="shared" si="161"/>
        <v>0</v>
      </c>
      <c r="FS40" s="915">
        <f t="shared" si="162"/>
        <v>0</v>
      </c>
      <c r="FT40" s="915">
        <f t="shared" si="163"/>
        <v>0</v>
      </c>
      <c r="FU40" s="915">
        <f t="shared" si="164"/>
        <v>0</v>
      </c>
      <c r="FV40" s="915">
        <f t="shared" si="165"/>
        <v>0</v>
      </c>
      <c r="FW40" s="915">
        <f t="shared" si="166"/>
        <v>0</v>
      </c>
      <c r="FX40" s="915">
        <f t="shared" si="167"/>
        <v>0</v>
      </c>
      <c r="FY40" s="915">
        <f t="shared" si="168"/>
        <v>0</v>
      </c>
      <c r="FZ40" s="915">
        <f t="shared" si="169"/>
        <v>0</v>
      </c>
    </row>
    <row r="41" spans="1:182" ht="14.1" customHeight="1" x14ac:dyDescent="0.2">
      <c r="A41" s="497">
        <v>34</v>
      </c>
      <c r="B41" s="1423"/>
      <c r="C41" s="1424"/>
      <c r="D41" s="138">
        <v>5</v>
      </c>
      <c r="E41" s="138" t="s">
        <v>26</v>
      </c>
      <c r="F41" s="139" t="s">
        <v>2544</v>
      </c>
      <c r="G41" s="139" t="s">
        <v>2542</v>
      </c>
      <c r="H41" s="100">
        <v>7</v>
      </c>
      <c r="I41" s="119">
        <f t="shared" si="11"/>
        <v>0.42</v>
      </c>
      <c r="J41" s="90">
        <f t="shared" si="12"/>
        <v>7.42</v>
      </c>
      <c r="K41" s="225"/>
      <c r="N41" s="942">
        <f>BD6</f>
        <v>7.42</v>
      </c>
      <c r="O41" s="879" t="str">
        <f>"Remediation for " &amp; TabName5</f>
        <v>Remediation for Phase 5</v>
      </c>
      <c r="P41" s="950" t="s">
        <v>270</v>
      </c>
      <c r="W41" s="915">
        <f t="shared" si="8"/>
        <v>0</v>
      </c>
      <c r="X41" s="915">
        <f t="shared" si="9"/>
        <v>0</v>
      </c>
      <c r="Y41" s="915">
        <f t="shared" si="10"/>
        <v>0</v>
      </c>
      <c r="Z41" s="915">
        <f t="shared" si="13"/>
        <v>0</v>
      </c>
      <c r="AA41" s="915">
        <f t="shared" si="14"/>
        <v>0</v>
      </c>
      <c r="AB41" s="915">
        <f t="shared" si="15"/>
        <v>0</v>
      </c>
      <c r="AC41" s="915">
        <f t="shared" si="16"/>
        <v>0</v>
      </c>
      <c r="AD41" s="915">
        <f t="shared" si="17"/>
        <v>0</v>
      </c>
      <c r="AE41" s="915">
        <f t="shared" si="18"/>
        <v>0</v>
      </c>
      <c r="AF41" s="915">
        <f t="shared" si="19"/>
        <v>0</v>
      </c>
      <c r="AG41" s="915">
        <f t="shared" si="20"/>
        <v>0</v>
      </c>
      <c r="AH41" s="915">
        <f t="shared" si="21"/>
        <v>0</v>
      </c>
      <c r="AI41" s="915">
        <f t="shared" si="22"/>
        <v>0</v>
      </c>
      <c r="AJ41" s="915">
        <f t="shared" si="23"/>
        <v>0</v>
      </c>
      <c r="AK41" s="915">
        <f t="shared" si="24"/>
        <v>0</v>
      </c>
      <c r="AL41" s="915">
        <f t="shared" si="25"/>
        <v>0</v>
      </c>
      <c r="AM41" s="915">
        <f t="shared" si="26"/>
        <v>0</v>
      </c>
      <c r="AN41" s="915">
        <f t="shared" si="27"/>
        <v>0</v>
      </c>
      <c r="AO41" s="915">
        <f t="shared" si="28"/>
        <v>0</v>
      </c>
      <c r="AP41" s="915">
        <f t="shared" si="29"/>
        <v>0</v>
      </c>
      <c r="AQ41" s="915">
        <f t="shared" si="30"/>
        <v>0</v>
      </c>
      <c r="AR41" s="915">
        <f t="shared" si="31"/>
        <v>0</v>
      </c>
      <c r="AS41" s="915">
        <f t="shared" si="32"/>
        <v>0</v>
      </c>
      <c r="AT41" s="915">
        <f t="shared" si="33"/>
        <v>0</v>
      </c>
      <c r="AU41" s="915">
        <f t="shared" si="34"/>
        <v>0</v>
      </c>
      <c r="AV41" s="915">
        <f t="shared" si="35"/>
        <v>0</v>
      </c>
      <c r="AW41" s="915">
        <f t="shared" si="36"/>
        <v>0</v>
      </c>
      <c r="AX41" s="915">
        <f t="shared" si="37"/>
        <v>0</v>
      </c>
      <c r="AY41" s="915">
        <f t="shared" si="38"/>
        <v>0</v>
      </c>
      <c r="AZ41" s="915">
        <f t="shared" si="39"/>
        <v>0</v>
      </c>
      <c r="BA41" s="915">
        <f t="shared" si="40"/>
        <v>0</v>
      </c>
      <c r="BB41" s="915">
        <f t="shared" si="41"/>
        <v>0</v>
      </c>
      <c r="BC41" s="915">
        <f t="shared" si="42"/>
        <v>0</v>
      </c>
      <c r="BD41" s="915">
        <f t="shared" si="43"/>
        <v>7.42</v>
      </c>
      <c r="BE41" s="915">
        <f t="shared" si="44"/>
        <v>0</v>
      </c>
      <c r="BF41" s="915">
        <f t="shared" si="45"/>
        <v>0</v>
      </c>
      <c r="BG41" s="915">
        <f t="shared" si="46"/>
        <v>0</v>
      </c>
      <c r="BH41" s="915">
        <f t="shared" si="47"/>
        <v>0</v>
      </c>
      <c r="BI41" s="915">
        <f t="shared" si="48"/>
        <v>0</v>
      </c>
      <c r="BJ41" s="915">
        <f t="shared" si="49"/>
        <v>0</v>
      </c>
      <c r="BK41" s="915">
        <f t="shared" si="50"/>
        <v>0</v>
      </c>
      <c r="BL41" s="915">
        <f t="shared" si="51"/>
        <v>0</v>
      </c>
      <c r="BM41" s="915">
        <f t="shared" si="52"/>
        <v>0</v>
      </c>
      <c r="BN41" s="915">
        <f t="shared" si="53"/>
        <v>0</v>
      </c>
      <c r="BO41" s="915">
        <f t="shared" si="54"/>
        <v>0</v>
      </c>
      <c r="BP41" s="915">
        <f t="shared" si="55"/>
        <v>0</v>
      </c>
      <c r="BQ41" s="915">
        <f t="shared" si="56"/>
        <v>0</v>
      </c>
      <c r="BR41" s="915">
        <f t="shared" si="57"/>
        <v>0</v>
      </c>
      <c r="BS41" s="915">
        <f t="shared" si="58"/>
        <v>0</v>
      </c>
      <c r="BT41" s="915">
        <f t="shared" si="59"/>
        <v>0</v>
      </c>
      <c r="BU41" s="915">
        <f t="shared" si="60"/>
        <v>0</v>
      </c>
      <c r="BV41" s="915">
        <f t="shared" si="61"/>
        <v>0</v>
      </c>
      <c r="BW41" s="915">
        <f t="shared" si="62"/>
        <v>0</v>
      </c>
      <c r="BX41" s="915">
        <f t="shared" si="63"/>
        <v>0</v>
      </c>
      <c r="BY41" s="915">
        <f t="shared" si="64"/>
        <v>0</v>
      </c>
      <c r="BZ41" s="915">
        <f t="shared" si="65"/>
        <v>0</v>
      </c>
      <c r="CA41" s="915">
        <f t="shared" si="66"/>
        <v>0</v>
      </c>
      <c r="CB41" s="915">
        <f t="shared" si="67"/>
        <v>0</v>
      </c>
      <c r="CC41" s="915">
        <f t="shared" si="68"/>
        <v>0</v>
      </c>
      <c r="CD41" s="915">
        <f t="shared" si="69"/>
        <v>0</v>
      </c>
      <c r="CE41" s="915">
        <f t="shared" si="70"/>
        <v>0</v>
      </c>
      <c r="CF41" s="915">
        <f t="shared" si="71"/>
        <v>0</v>
      </c>
      <c r="CG41" s="915">
        <f t="shared" si="72"/>
        <v>0</v>
      </c>
      <c r="CH41" s="915">
        <f t="shared" si="73"/>
        <v>0</v>
      </c>
      <c r="CI41" s="915">
        <f t="shared" si="74"/>
        <v>0</v>
      </c>
      <c r="CJ41" s="915">
        <f t="shared" si="75"/>
        <v>0</v>
      </c>
      <c r="CK41" s="915">
        <f t="shared" si="76"/>
        <v>0</v>
      </c>
      <c r="CL41" s="915">
        <f t="shared" si="77"/>
        <v>0</v>
      </c>
      <c r="CM41" s="915">
        <f t="shared" si="78"/>
        <v>0</v>
      </c>
      <c r="CN41" s="915">
        <f t="shared" si="79"/>
        <v>0</v>
      </c>
      <c r="CO41" s="915">
        <f t="shared" si="80"/>
        <v>0</v>
      </c>
      <c r="CP41" s="915">
        <f t="shared" si="81"/>
        <v>0</v>
      </c>
      <c r="CQ41" s="915">
        <f t="shared" si="82"/>
        <v>0</v>
      </c>
      <c r="CR41" s="915">
        <f t="shared" si="83"/>
        <v>0</v>
      </c>
      <c r="CS41" s="915">
        <f t="shared" si="84"/>
        <v>0</v>
      </c>
      <c r="CT41" s="915">
        <f t="shared" si="85"/>
        <v>0</v>
      </c>
      <c r="CU41" s="915">
        <f t="shared" si="86"/>
        <v>0</v>
      </c>
      <c r="CV41" s="915">
        <f t="shared" si="87"/>
        <v>0</v>
      </c>
      <c r="CW41" s="915">
        <f t="shared" si="88"/>
        <v>0</v>
      </c>
      <c r="CX41" s="915">
        <f t="shared" si="89"/>
        <v>0</v>
      </c>
      <c r="CY41" s="915">
        <f t="shared" si="90"/>
        <v>0</v>
      </c>
      <c r="CZ41" s="915">
        <f t="shared" si="91"/>
        <v>0</v>
      </c>
      <c r="DA41" s="915">
        <f t="shared" si="92"/>
        <v>0</v>
      </c>
      <c r="DB41" s="915">
        <f t="shared" si="93"/>
        <v>0</v>
      </c>
      <c r="DC41" s="915">
        <f t="shared" si="94"/>
        <v>0</v>
      </c>
      <c r="DD41" s="915">
        <f t="shared" si="95"/>
        <v>0</v>
      </c>
      <c r="DE41" s="915">
        <f t="shared" si="96"/>
        <v>0</v>
      </c>
      <c r="DF41" s="915">
        <f t="shared" si="97"/>
        <v>0</v>
      </c>
      <c r="DG41" s="915">
        <f t="shared" si="98"/>
        <v>0</v>
      </c>
      <c r="DH41" s="915">
        <f t="shared" si="99"/>
        <v>0</v>
      </c>
      <c r="DI41" s="915">
        <f t="shared" si="100"/>
        <v>0</v>
      </c>
      <c r="DJ41" s="915">
        <f t="shared" si="101"/>
        <v>0</v>
      </c>
      <c r="DK41" s="915">
        <f t="shared" si="102"/>
        <v>0</v>
      </c>
      <c r="DL41" s="915">
        <f t="shared" si="103"/>
        <v>0</v>
      </c>
      <c r="DM41" s="915">
        <f t="shared" si="104"/>
        <v>0</v>
      </c>
      <c r="DN41" s="915">
        <f t="shared" si="105"/>
        <v>0</v>
      </c>
      <c r="DO41" s="915">
        <f t="shared" si="106"/>
        <v>0</v>
      </c>
      <c r="DP41" s="915">
        <f t="shared" si="107"/>
        <v>0</v>
      </c>
      <c r="DQ41" s="915">
        <f t="shared" si="108"/>
        <v>0</v>
      </c>
      <c r="DR41" s="915">
        <f t="shared" si="109"/>
        <v>0</v>
      </c>
      <c r="DS41" s="915">
        <f t="shared" si="110"/>
        <v>0</v>
      </c>
      <c r="DT41" s="915">
        <f t="shared" si="111"/>
        <v>0</v>
      </c>
      <c r="DU41" s="915">
        <f t="shared" si="112"/>
        <v>0</v>
      </c>
      <c r="DV41" s="915">
        <f t="shared" si="113"/>
        <v>0</v>
      </c>
      <c r="DW41" s="915">
        <f t="shared" si="114"/>
        <v>0</v>
      </c>
      <c r="DX41" s="915">
        <f t="shared" si="115"/>
        <v>0</v>
      </c>
      <c r="DY41" s="915">
        <f t="shared" si="116"/>
        <v>0</v>
      </c>
      <c r="DZ41" s="915">
        <f t="shared" si="117"/>
        <v>0</v>
      </c>
      <c r="EA41" s="915">
        <f t="shared" si="118"/>
        <v>0</v>
      </c>
      <c r="EB41" s="915">
        <f t="shared" si="119"/>
        <v>0</v>
      </c>
      <c r="EC41" s="915">
        <f t="shared" si="120"/>
        <v>0</v>
      </c>
      <c r="ED41" s="915">
        <f t="shared" si="121"/>
        <v>0</v>
      </c>
      <c r="EE41" s="915">
        <f t="shared" si="122"/>
        <v>0</v>
      </c>
      <c r="EF41" s="915">
        <f t="shared" si="123"/>
        <v>0</v>
      </c>
      <c r="EG41" s="915">
        <f t="shared" si="124"/>
        <v>0</v>
      </c>
      <c r="EH41" s="915">
        <f t="shared" si="125"/>
        <v>0</v>
      </c>
      <c r="EI41" s="915">
        <f t="shared" si="126"/>
        <v>0</v>
      </c>
      <c r="EJ41" s="915">
        <f t="shared" si="127"/>
        <v>0</v>
      </c>
      <c r="EK41" s="915">
        <f t="shared" si="128"/>
        <v>0</v>
      </c>
      <c r="EL41" s="915">
        <f t="shared" si="129"/>
        <v>0</v>
      </c>
      <c r="EM41" s="915">
        <f t="shared" si="130"/>
        <v>0</v>
      </c>
      <c r="EN41" s="915">
        <f t="shared" si="131"/>
        <v>0</v>
      </c>
      <c r="EO41" s="915">
        <f t="shared" si="132"/>
        <v>0</v>
      </c>
      <c r="EP41" s="915">
        <f t="shared" si="133"/>
        <v>0</v>
      </c>
      <c r="EQ41" s="915">
        <f t="shared" si="134"/>
        <v>0</v>
      </c>
      <c r="ER41" s="915">
        <f t="shared" si="135"/>
        <v>0</v>
      </c>
      <c r="ES41" s="915">
        <f t="shared" si="136"/>
        <v>0</v>
      </c>
      <c r="ET41" s="915">
        <f t="shared" si="137"/>
        <v>0</v>
      </c>
      <c r="EU41" s="915">
        <f t="shared" si="138"/>
        <v>0</v>
      </c>
      <c r="EV41" s="915">
        <f t="shared" si="139"/>
        <v>0</v>
      </c>
      <c r="EW41" s="915">
        <f t="shared" si="140"/>
        <v>0</v>
      </c>
      <c r="EX41" s="915">
        <f t="shared" si="141"/>
        <v>0</v>
      </c>
      <c r="EY41" s="915">
        <f t="shared" si="142"/>
        <v>0</v>
      </c>
      <c r="EZ41" s="915">
        <f t="shared" si="143"/>
        <v>0</v>
      </c>
      <c r="FA41" s="915">
        <f t="shared" si="144"/>
        <v>0</v>
      </c>
      <c r="FB41" s="915">
        <f t="shared" si="145"/>
        <v>0</v>
      </c>
      <c r="FC41" s="915">
        <f t="shared" si="146"/>
        <v>0</v>
      </c>
      <c r="FD41" s="915">
        <f t="shared" si="147"/>
        <v>0</v>
      </c>
      <c r="FE41" s="915">
        <f t="shared" si="148"/>
        <v>0</v>
      </c>
      <c r="FF41" s="915">
        <f t="shared" si="149"/>
        <v>0</v>
      </c>
      <c r="FG41" s="915">
        <f t="shared" si="150"/>
        <v>0</v>
      </c>
      <c r="FH41" s="915">
        <f t="shared" si="151"/>
        <v>0</v>
      </c>
      <c r="FI41" s="915">
        <f t="shared" si="152"/>
        <v>0</v>
      </c>
      <c r="FJ41" s="915">
        <f t="shared" si="153"/>
        <v>0</v>
      </c>
      <c r="FK41" s="915">
        <f t="shared" si="154"/>
        <v>0</v>
      </c>
      <c r="FL41" s="915">
        <f t="shared" si="155"/>
        <v>0</v>
      </c>
      <c r="FM41" s="915">
        <f t="shared" si="156"/>
        <v>0</v>
      </c>
      <c r="FN41" s="915">
        <f t="shared" si="157"/>
        <v>0</v>
      </c>
      <c r="FO41" s="915">
        <f t="shared" si="158"/>
        <v>0</v>
      </c>
      <c r="FP41" s="915">
        <f t="shared" si="159"/>
        <v>0</v>
      </c>
      <c r="FQ41" s="915">
        <f t="shared" si="160"/>
        <v>0</v>
      </c>
      <c r="FR41" s="915">
        <f t="shared" si="161"/>
        <v>0</v>
      </c>
      <c r="FS41" s="915">
        <f t="shared" si="162"/>
        <v>0</v>
      </c>
      <c r="FT41" s="915">
        <f t="shared" si="163"/>
        <v>0</v>
      </c>
      <c r="FU41" s="915">
        <f t="shared" si="164"/>
        <v>0</v>
      </c>
      <c r="FV41" s="915">
        <f t="shared" si="165"/>
        <v>0</v>
      </c>
      <c r="FW41" s="915">
        <f t="shared" si="166"/>
        <v>0</v>
      </c>
      <c r="FX41" s="915">
        <f t="shared" si="167"/>
        <v>0</v>
      </c>
      <c r="FY41" s="915">
        <f t="shared" si="168"/>
        <v>0</v>
      </c>
      <c r="FZ41" s="915">
        <f t="shared" si="169"/>
        <v>0</v>
      </c>
    </row>
    <row r="42" spans="1:182" ht="14.1" customHeight="1" x14ac:dyDescent="0.2">
      <c r="A42" s="496">
        <v>35</v>
      </c>
      <c r="B42" s="1419"/>
      <c r="C42" s="1433"/>
      <c r="D42" s="264">
        <v>5</v>
      </c>
      <c r="E42" s="264" t="s">
        <v>35</v>
      </c>
      <c r="F42" s="270" t="s">
        <v>2544</v>
      </c>
      <c r="G42" s="270" t="s">
        <v>2542</v>
      </c>
      <c r="H42" s="272">
        <v>7</v>
      </c>
      <c r="I42" s="268">
        <f t="shared" si="11"/>
        <v>0.42</v>
      </c>
      <c r="J42" s="269">
        <f t="shared" si="12"/>
        <v>7.42</v>
      </c>
      <c r="K42" s="225"/>
      <c r="N42" s="942">
        <f>BE6</f>
        <v>7.42</v>
      </c>
      <c r="O42" s="879" t="str">
        <f>"General Construction for " &amp; TabName5</f>
        <v>General Construction for Phase 5</v>
      </c>
      <c r="P42" s="949" t="s">
        <v>271</v>
      </c>
      <c r="W42" s="915">
        <f t="shared" si="8"/>
        <v>0</v>
      </c>
      <c r="X42" s="915">
        <f t="shared" si="9"/>
        <v>0</v>
      </c>
      <c r="Y42" s="915">
        <f t="shared" si="10"/>
        <v>0</v>
      </c>
      <c r="Z42" s="915">
        <f t="shared" si="13"/>
        <v>0</v>
      </c>
      <c r="AA42" s="915">
        <f t="shared" si="14"/>
        <v>0</v>
      </c>
      <c r="AB42" s="915">
        <f t="shared" si="15"/>
        <v>0</v>
      </c>
      <c r="AC42" s="915">
        <f t="shared" si="16"/>
        <v>0</v>
      </c>
      <c r="AD42" s="915">
        <f t="shared" si="17"/>
        <v>0</v>
      </c>
      <c r="AE42" s="915">
        <f t="shared" si="18"/>
        <v>0</v>
      </c>
      <c r="AF42" s="915">
        <f t="shared" si="19"/>
        <v>0</v>
      </c>
      <c r="AG42" s="915">
        <f t="shared" si="20"/>
        <v>0</v>
      </c>
      <c r="AH42" s="915">
        <f t="shared" si="21"/>
        <v>0</v>
      </c>
      <c r="AI42" s="915">
        <f t="shared" si="22"/>
        <v>0</v>
      </c>
      <c r="AJ42" s="915">
        <f t="shared" si="23"/>
        <v>0</v>
      </c>
      <c r="AK42" s="915">
        <f t="shared" si="24"/>
        <v>0</v>
      </c>
      <c r="AL42" s="915">
        <f t="shared" si="25"/>
        <v>0</v>
      </c>
      <c r="AM42" s="915">
        <f t="shared" si="26"/>
        <v>0</v>
      </c>
      <c r="AN42" s="915">
        <f t="shared" si="27"/>
        <v>0</v>
      </c>
      <c r="AO42" s="915">
        <f t="shared" si="28"/>
        <v>0</v>
      </c>
      <c r="AP42" s="915">
        <f t="shared" si="29"/>
        <v>0</v>
      </c>
      <c r="AQ42" s="915">
        <f t="shared" si="30"/>
        <v>0</v>
      </c>
      <c r="AR42" s="915">
        <f t="shared" si="31"/>
        <v>0</v>
      </c>
      <c r="AS42" s="915">
        <f t="shared" si="32"/>
        <v>0</v>
      </c>
      <c r="AT42" s="915">
        <f t="shared" si="33"/>
        <v>0</v>
      </c>
      <c r="AU42" s="915">
        <f t="shared" si="34"/>
        <v>0</v>
      </c>
      <c r="AV42" s="915">
        <f t="shared" si="35"/>
        <v>0</v>
      </c>
      <c r="AW42" s="915">
        <f t="shared" si="36"/>
        <v>0</v>
      </c>
      <c r="AX42" s="915">
        <f t="shared" si="37"/>
        <v>0</v>
      </c>
      <c r="AY42" s="915">
        <f t="shared" si="38"/>
        <v>0</v>
      </c>
      <c r="AZ42" s="915">
        <f t="shared" si="39"/>
        <v>0</v>
      </c>
      <c r="BA42" s="915">
        <f t="shared" si="40"/>
        <v>0</v>
      </c>
      <c r="BB42" s="915">
        <f t="shared" si="41"/>
        <v>0</v>
      </c>
      <c r="BC42" s="915">
        <f t="shared" si="42"/>
        <v>0</v>
      </c>
      <c r="BD42" s="915">
        <f t="shared" si="43"/>
        <v>0</v>
      </c>
      <c r="BE42" s="915">
        <f t="shared" si="44"/>
        <v>7.42</v>
      </c>
      <c r="BF42" s="915">
        <f t="shared" si="45"/>
        <v>0</v>
      </c>
      <c r="BG42" s="915">
        <f t="shared" si="46"/>
        <v>0</v>
      </c>
      <c r="BH42" s="915">
        <f t="shared" si="47"/>
        <v>0</v>
      </c>
      <c r="BI42" s="915">
        <f t="shared" si="48"/>
        <v>0</v>
      </c>
      <c r="BJ42" s="915">
        <f t="shared" si="49"/>
        <v>0</v>
      </c>
      <c r="BK42" s="915">
        <f t="shared" si="50"/>
        <v>0</v>
      </c>
      <c r="BL42" s="915">
        <f t="shared" si="51"/>
        <v>0</v>
      </c>
      <c r="BM42" s="915">
        <f t="shared" si="52"/>
        <v>0</v>
      </c>
      <c r="BN42" s="915">
        <f t="shared" si="53"/>
        <v>0</v>
      </c>
      <c r="BO42" s="915">
        <f t="shared" si="54"/>
        <v>0</v>
      </c>
      <c r="BP42" s="915">
        <f t="shared" si="55"/>
        <v>0</v>
      </c>
      <c r="BQ42" s="915">
        <f t="shared" si="56"/>
        <v>0</v>
      </c>
      <c r="BR42" s="915">
        <f t="shared" si="57"/>
        <v>0</v>
      </c>
      <c r="BS42" s="915">
        <f t="shared" si="58"/>
        <v>0</v>
      </c>
      <c r="BT42" s="915">
        <f t="shared" si="59"/>
        <v>0</v>
      </c>
      <c r="BU42" s="915">
        <f t="shared" si="60"/>
        <v>0</v>
      </c>
      <c r="BV42" s="915">
        <f t="shared" si="61"/>
        <v>0</v>
      </c>
      <c r="BW42" s="915">
        <f t="shared" si="62"/>
        <v>0</v>
      </c>
      <c r="BX42" s="915">
        <f t="shared" si="63"/>
        <v>0</v>
      </c>
      <c r="BY42" s="915">
        <f t="shared" si="64"/>
        <v>0</v>
      </c>
      <c r="BZ42" s="915">
        <f t="shared" si="65"/>
        <v>0</v>
      </c>
      <c r="CA42" s="915">
        <f t="shared" si="66"/>
        <v>0</v>
      </c>
      <c r="CB42" s="915">
        <f t="shared" si="67"/>
        <v>0</v>
      </c>
      <c r="CC42" s="915">
        <f t="shared" si="68"/>
        <v>0</v>
      </c>
      <c r="CD42" s="915">
        <f t="shared" si="69"/>
        <v>0</v>
      </c>
      <c r="CE42" s="915">
        <f t="shared" si="70"/>
        <v>0</v>
      </c>
      <c r="CF42" s="915">
        <f t="shared" si="71"/>
        <v>0</v>
      </c>
      <c r="CG42" s="915">
        <f t="shared" si="72"/>
        <v>0</v>
      </c>
      <c r="CH42" s="915">
        <f t="shared" si="73"/>
        <v>0</v>
      </c>
      <c r="CI42" s="915">
        <f t="shared" si="74"/>
        <v>0</v>
      </c>
      <c r="CJ42" s="915">
        <f t="shared" si="75"/>
        <v>0</v>
      </c>
      <c r="CK42" s="915">
        <f t="shared" si="76"/>
        <v>0</v>
      </c>
      <c r="CL42" s="915">
        <f t="shared" si="77"/>
        <v>0</v>
      </c>
      <c r="CM42" s="915">
        <f t="shared" si="78"/>
        <v>0</v>
      </c>
      <c r="CN42" s="915">
        <f t="shared" si="79"/>
        <v>0</v>
      </c>
      <c r="CO42" s="915">
        <f t="shared" si="80"/>
        <v>0</v>
      </c>
      <c r="CP42" s="915">
        <f t="shared" si="81"/>
        <v>0</v>
      </c>
      <c r="CQ42" s="915">
        <f t="shared" si="82"/>
        <v>0</v>
      </c>
      <c r="CR42" s="915">
        <f t="shared" si="83"/>
        <v>0</v>
      </c>
      <c r="CS42" s="915">
        <f t="shared" si="84"/>
        <v>0</v>
      </c>
      <c r="CT42" s="915">
        <f t="shared" si="85"/>
        <v>0</v>
      </c>
      <c r="CU42" s="915">
        <f t="shared" si="86"/>
        <v>0</v>
      </c>
      <c r="CV42" s="915">
        <f t="shared" si="87"/>
        <v>0</v>
      </c>
      <c r="CW42" s="915">
        <f t="shared" si="88"/>
        <v>0</v>
      </c>
      <c r="CX42" s="915">
        <f t="shared" si="89"/>
        <v>0</v>
      </c>
      <c r="CY42" s="915">
        <f t="shared" si="90"/>
        <v>0</v>
      </c>
      <c r="CZ42" s="915">
        <f t="shared" si="91"/>
        <v>0</v>
      </c>
      <c r="DA42" s="915">
        <f t="shared" si="92"/>
        <v>0</v>
      </c>
      <c r="DB42" s="915">
        <f t="shared" si="93"/>
        <v>0</v>
      </c>
      <c r="DC42" s="915">
        <f t="shared" si="94"/>
        <v>0</v>
      </c>
      <c r="DD42" s="915">
        <f t="shared" si="95"/>
        <v>0</v>
      </c>
      <c r="DE42" s="915">
        <f t="shared" si="96"/>
        <v>0</v>
      </c>
      <c r="DF42" s="915">
        <f t="shared" si="97"/>
        <v>0</v>
      </c>
      <c r="DG42" s="915">
        <f t="shared" si="98"/>
        <v>0</v>
      </c>
      <c r="DH42" s="915">
        <f t="shared" si="99"/>
        <v>0</v>
      </c>
      <c r="DI42" s="915">
        <f t="shared" si="100"/>
        <v>0</v>
      </c>
      <c r="DJ42" s="915">
        <f t="shared" si="101"/>
        <v>0</v>
      </c>
      <c r="DK42" s="915">
        <f t="shared" si="102"/>
        <v>0</v>
      </c>
      <c r="DL42" s="915">
        <f t="shared" si="103"/>
        <v>0</v>
      </c>
      <c r="DM42" s="915">
        <f t="shared" si="104"/>
        <v>0</v>
      </c>
      <c r="DN42" s="915">
        <f t="shared" si="105"/>
        <v>0</v>
      </c>
      <c r="DO42" s="915">
        <f t="shared" si="106"/>
        <v>0</v>
      </c>
      <c r="DP42" s="915">
        <f t="shared" si="107"/>
        <v>0</v>
      </c>
      <c r="DQ42" s="915">
        <f t="shared" si="108"/>
        <v>0</v>
      </c>
      <c r="DR42" s="915">
        <f t="shared" si="109"/>
        <v>0</v>
      </c>
      <c r="DS42" s="915">
        <f t="shared" si="110"/>
        <v>0</v>
      </c>
      <c r="DT42" s="915">
        <f t="shared" si="111"/>
        <v>0</v>
      </c>
      <c r="DU42" s="915">
        <f t="shared" si="112"/>
        <v>0</v>
      </c>
      <c r="DV42" s="915">
        <f t="shared" si="113"/>
        <v>0</v>
      </c>
      <c r="DW42" s="915">
        <f t="shared" si="114"/>
        <v>0</v>
      </c>
      <c r="DX42" s="915">
        <f t="shared" si="115"/>
        <v>0</v>
      </c>
      <c r="DY42" s="915">
        <f t="shared" si="116"/>
        <v>0</v>
      </c>
      <c r="DZ42" s="915">
        <f t="shared" si="117"/>
        <v>0</v>
      </c>
      <c r="EA42" s="915">
        <f t="shared" si="118"/>
        <v>0</v>
      </c>
      <c r="EB42" s="915">
        <f t="shared" si="119"/>
        <v>0</v>
      </c>
      <c r="EC42" s="915">
        <f t="shared" si="120"/>
        <v>0</v>
      </c>
      <c r="ED42" s="915">
        <f t="shared" si="121"/>
        <v>0</v>
      </c>
      <c r="EE42" s="915">
        <f t="shared" si="122"/>
        <v>0</v>
      </c>
      <c r="EF42" s="915">
        <f t="shared" si="123"/>
        <v>0</v>
      </c>
      <c r="EG42" s="915">
        <f t="shared" si="124"/>
        <v>0</v>
      </c>
      <c r="EH42" s="915">
        <f t="shared" si="125"/>
        <v>0</v>
      </c>
      <c r="EI42" s="915">
        <f t="shared" si="126"/>
        <v>0</v>
      </c>
      <c r="EJ42" s="915">
        <f t="shared" si="127"/>
        <v>0</v>
      </c>
      <c r="EK42" s="915">
        <f t="shared" si="128"/>
        <v>0</v>
      </c>
      <c r="EL42" s="915">
        <f t="shared" si="129"/>
        <v>0</v>
      </c>
      <c r="EM42" s="915">
        <f t="shared" si="130"/>
        <v>0</v>
      </c>
      <c r="EN42" s="915">
        <f t="shared" si="131"/>
        <v>0</v>
      </c>
      <c r="EO42" s="915">
        <f t="shared" si="132"/>
        <v>0</v>
      </c>
      <c r="EP42" s="915">
        <f t="shared" si="133"/>
        <v>0</v>
      </c>
      <c r="EQ42" s="915">
        <f t="shared" si="134"/>
        <v>0</v>
      </c>
      <c r="ER42" s="915">
        <f t="shared" si="135"/>
        <v>0</v>
      </c>
      <c r="ES42" s="915">
        <f t="shared" si="136"/>
        <v>0</v>
      </c>
      <c r="ET42" s="915">
        <f t="shared" si="137"/>
        <v>0</v>
      </c>
      <c r="EU42" s="915">
        <f t="shared" si="138"/>
        <v>0</v>
      </c>
      <c r="EV42" s="915">
        <f t="shared" si="139"/>
        <v>0</v>
      </c>
      <c r="EW42" s="915">
        <f t="shared" si="140"/>
        <v>0</v>
      </c>
      <c r="EX42" s="915">
        <f t="shared" si="141"/>
        <v>0</v>
      </c>
      <c r="EY42" s="915">
        <f t="shared" si="142"/>
        <v>0</v>
      </c>
      <c r="EZ42" s="915">
        <f t="shared" si="143"/>
        <v>0</v>
      </c>
      <c r="FA42" s="915">
        <f t="shared" si="144"/>
        <v>0</v>
      </c>
      <c r="FB42" s="915">
        <f t="shared" si="145"/>
        <v>0</v>
      </c>
      <c r="FC42" s="915">
        <f t="shared" si="146"/>
        <v>0</v>
      </c>
      <c r="FD42" s="915">
        <f t="shared" si="147"/>
        <v>0</v>
      </c>
      <c r="FE42" s="915">
        <f t="shared" si="148"/>
        <v>0</v>
      </c>
      <c r="FF42" s="915">
        <f t="shared" si="149"/>
        <v>0</v>
      </c>
      <c r="FG42" s="915">
        <f t="shared" si="150"/>
        <v>0</v>
      </c>
      <c r="FH42" s="915">
        <f t="shared" si="151"/>
        <v>0</v>
      </c>
      <c r="FI42" s="915">
        <f t="shared" si="152"/>
        <v>0</v>
      </c>
      <c r="FJ42" s="915">
        <f t="shared" si="153"/>
        <v>0</v>
      </c>
      <c r="FK42" s="915">
        <f t="shared" si="154"/>
        <v>0</v>
      </c>
      <c r="FL42" s="915">
        <f t="shared" si="155"/>
        <v>0</v>
      </c>
      <c r="FM42" s="915">
        <f t="shared" si="156"/>
        <v>0</v>
      </c>
      <c r="FN42" s="915">
        <f t="shared" si="157"/>
        <v>0</v>
      </c>
      <c r="FO42" s="915">
        <f t="shared" si="158"/>
        <v>0</v>
      </c>
      <c r="FP42" s="915">
        <f t="shared" si="159"/>
        <v>0</v>
      </c>
      <c r="FQ42" s="915">
        <f t="shared" si="160"/>
        <v>0</v>
      </c>
      <c r="FR42" s="915">
        <f t="shared" si="161"/>
        <v>0</v>
      </c>
      <c r="FS42" s="915">
        <f t="shared" si="162"/>
        <v>0</v>
      </c>
      <c r="FT42" s="915">
        <f t="shared" si="163"/>
        <v>0</v>
      </c>
      <c r="FU42" s="915">
        <f t="shared" si="164"/>
        <v>0</v>
      </c>
      <c r="FV42" s="915">
        <f t="shared" si="165"/>
        <v>0</v>
      </c>
      <c r="FW42" s="915">
        <f t="shared" si="166"/>
        <v>0</v>
      </c>
      <c r="FX42" s="915">
        <f t="shared" si="167"/>
        <v>0</v>
      </c>
      <c r="FY42" s="915">
        <f t="shared" si="168"/>
        <v>0</v>
      </c>
      <c r="FZ42" s="915">
        <f t="shared" si="169"/>
        <v>0</v>
      </c>
    </row>
    <row r="43" spans="1:182" ht="14.1" customHeight="1" x14ac:dyDescent="0.2">
      <c r="A43" s="497">
        <v>36</v>
      </c>
      <c r="B43" s="1423"/>
      <c r="C43" s="1424"/>
      <c r="D43" s="138">
        <v>5</v>
      </c>
      <c r="E43" s="138" t="s">
        <v>52</v>
      </c>
      <c r="F43" s="139" t="s">
        <v>2544</v>
      </c>
      <c r="G43" s="139" t="s">
        <v>2542</v>
      </c>
      <c r="H43" s="100">
        <v>7</v>
      </c>
      <c r="I43" s="119">
        <f t="shared" si="11"/>
        <v>0.42</v>
      </c>
      <c r="J43" s="90">
        <f t="shared" si="12"/>
        <v>7.42</v>
      </c>
      <c r="K43" s="225"/>
      <c r="N43" s="942">
        <f>BF6</f>
        <v>7.42</v>
      </c>
      <c r="O43" s="915" t="str">
        <f>"Waste Haul for "&amp;TabName5</f>
        <v>Waste Haul for Phase 5</v>
      </c>
      <c r="P43" s="949" t="s">
        <v>288</v>
      </c>
      <c r="W43" s="915">
        <f t="shared" si="8"/>
        <v>0</v>
      </c>
      <c r="X43" s="915">
        <f t="shared" si="9"/>
        <v>0</v>
      </c>
      <c r="Y43" s="915">
        <f t="shared" si="10"/>
        <v>0</v>
      </c>
      <c r="Z43" s="915">
        <f t="shared" si="13"/>
        <v>0</v>
      </c>
      <c r="AA43" s="915">
        <f t="shared" si="14"/>
        <v>0</v>
      </c>
      <c r="AB43" s="915">
        <f t="shared" si="15"/>
        <v>0</v>
      </c>
      <c r="AC43" s="915">
        <f t="shared" si="16"/>
        <v>0</v>
      </c>
      <c r="AD43" s="915">
        <f t="shared" si="17"/>
        <v>0</v>
      </c>
      <c r="AE43" s="915">
        <f t="shared" si="18"/>
        <v>0</v>
      </c>
      <c r="AF43" s="915">
        <f t="shared" si="19"/>
        <v>0</v>
      </c>
      <c r="AG43" s="915">
        <f t="shared" si="20"/>
        <v>0</v>
      </c>
      <c r="AH43" s="915">
        <f t="shared" si="21"/>
        <v>0</v>
      </c>
      <c r="AI43" s="915">
        <f t="shared" si="22"/>
        <v>0</v>
      </c>
      <c r="AJ43" s="915">
        <f t="shared" si="23"/>
        <v>0</v>
      </c>
      <c r="AK43" s="915">
        <f t="shared" si="24"/>
        <v>0</v>
      </c>
      <c r="AL43" s="915">
        <f t="shared" si="25"/>
        <v>0</v>
      </c>
      <c r="AM43" s="915">
        <f t="shared" si="26"/>
        <v>0</v>
      </c>
      <c r="AN43" s="915">
        <f t="shared" si="27"/>
        <v>0</v>
      </c>
      <c r="AO43" s="915">
        <f t="shared" si="28"/>
        <v>0</v>
      </c>
      <c r="AP43" s="915">
        <f t="shared" si="29"/>
        <v>0</v>
      </c>
      <c r="AQ43" s="915">
        <f t="shared" si="30"/>
        <v>0</v>
      </c>
      <c r="AR43" s="915">
        <f t="shared" si="31"/>
        <v>0</v>
      </c>
      <c r="AS43" s="915">
        <f t="shared" si="32"/>
        <v>0</v>
      </c>
      <c r="AT43" s="915">
        <f t="shared" si="33"/>
        <v>0</v>
      </c>
      <c r="AU43" s="915">
        <f t="shared" si="34"/>
        <v>0</v>
      </c>
      <c r="AV43" s="915">
        <f t="shared" si="35"/>
        <v>0</v>
      </c>
      <c r="AW43" s="915">
        <f t="shared" si="36"/>
        <v>0</v>
      </c>
      <c r="AX43" s="915">
        <f t="shared" si="37"/>
        <v>0</v>
      </c>
      <c r="AY43" s="915">
        <f t="shared" si="38"/>
        <v>0</v>
      </c>
      <c r="AZ43" s="915">
        <f t="shared" si="39"/>
        <v>0</v>
      </c>
      <c r="BA43" s="915">
        <f t="shared" si="40"/>
        <v>0</v>
      </c>
      <c r="BB43" s="915">
        <f t="shared" si="41"/>
        <v>0</v>
      </c>
      <c r="BC43" s="915">
        <f t="shared" si="42"/>
        <v>0</v>
      </c>
      <c r="BD43" s="915">
        <f t="shared" si="43"/>
        <v>0</v>
      </c>
      <c r="BE43" s="915">
        <f t="shared" si="44"/>
        <v>0</v>
      </c>
      <c r="BF43" s="915">
        <f t="shared" si="45"/>
        <v>7.42</v>
      </c>
      <c r="BG43" s="915">
        <f t="shared" si="46"/>
        <v>0</v>
      </c>
      <c r="BH43" s="915">
        <f t="shared" si="47"/>
        <v>0</v>
      </c>
      <c r="BI43" s="915">
        <f t="shared" si="48"/>
        <v>0</v>
      </c>
      <c r="BJ43" s="915">
        <f t="shared" si="49"/>
        <v>0</v>
      </c>
      <c r="BK43" s="915">
        <f t="shared" si="50"/>
        <v>0</v>
      </c>
      <c r="BL43" s="915">
        <f t="shared" si="51"/>
        <v>0</v>
      </c>
      <c r="BM43" s="915">
        <f t="shared" si="52"/>
        <v>0</v>
      </c>
      <c r="BN43" s="915">
        <f t="shared" si="53"/>
        <v>0</v>
      </c>
      <c r="BO43" s="915">
        <f t="shared" si="54"/>
        <v>0</v>
      </c>
      <c r="BP43" s="915">
        <f t="shared" si="55"/>
        <v>0</v>
      </c>
      <c r="BQ43" s="915">
        <f t="shared" si="56"/>
        <v>0</v>
      </c>
      <c r="BR43" s="915">
        <f t="shared" si="57"/>
        <v>0</v>
      </c>
      <c r="BS43" s="915">
        <f t="shared" si="58"/>
        <v>0</v>
      </c>
      <c r="BT43" s="915">
        <f t="shared" si="59"/>
        <v>0</v>
      </c>
      <c r="BU43" s="915">
        <f t="shared" si="60"/>
        <v>0</v>
      </c>
      <c r="BV43" s="915">
        <f t="shared" si="61"/>
        <v>0</v>
      </c>
      <c r="BW43" s="915">
        <f t="shared" si="62"/>
        <v>0</v>
      </c>
      <c r="BX43" s="915">
        <f t="shared" si="63"/>
        <v>0</v>
      </c>
      <c r="BY43" s="915">
        <f t="shared" si="64"/>
        <v>0</v>
      </c>
      <c r="BZ43" s="915">
        <f t="shared" si="65"/>
        <v>0</v>
      </c>
      <c r="CA43" s="915">
        <f t="shared" si="66"/>
        <v>0</v>
      </c>
      <c r="CB43" s="915">
        <f t="shared" si="67"/>
        <v>0</v>
      </c>
      <c r="CC43" s="915">
        <f t="shared" si="68"/>
        <v>0</v>
      </c>
      <c r="CD43" s="915">
        <f t="shared" si="69"/>
        <v>0</v>
      </c>
      <c r="CE43" s="915">
        <f t="shared" si="70"/>
        <v>0</v>
      </c>
      <c r="CF43" s="915">
        <f t="shared" si="71"/>
        <v>0</v>
      </c>
      <c r="CG43" s="915">
        <f t="shared" si="72"/>
        <v>0</v>
      </c>
      <c r="CH43" s="915">
        <f t="shared" si="73"/>
        <v>0</v>
      </c>
      <c r="CI43" s="915">
        <f t="shared" si="74"/>
        <v>0</v>
      </c>
      <c r="CJ43" s="915">
        <f t="shared" si="75"/>
        <v>0</v>
      </c>
      <c r="CK43" s="915">
        <f t="shared" si="76"/>
        <v>0</v>
      </c>
      <c r="CL43" s="915">
        <f t="shared" si="77"/>
        <v>0</v>
      </c>
      <c r="CM43" s="915">
        <f t="shared" si="78"/>
        <v>0</v>
      </c>
      <c r="CN43" s="915">
        <f t="shared" si="79"/>
        <v>0</v>
      </c>
      <c r="CO43" s="915">
        <f t="shared" si="80"/>
        <v>0</v>
      </c>
      <c r="CP43" s="915">
        <f t="shared" si="81"/>
        <v>0</v>
      </c>
      <c r="CQ43" s="915">
        <f t="shared" si="82"/>
        <v>0</v>
      </c>
      <c r="CR43" s="915">
        <f t="shared" si="83"/>
        <v>0</v>
      </c>
      <c r="CS43" s="915">
        <f t="shared" si="84"/>
        <v>0</v>
      </c>
      <c r="CT43" s="915">
        <f t="shared" si="85"/>
        <v>0</v>
      </c>
      <c r="CU43" s="915">
        <f t="shared" si="86"/>
        <v>0</v>
      </c>
      <c r="CV43" s="915">
        <f t="shared" si="87"/>
        <v>0</v>
      </c>
      <c r="CW43" s="915">
        <f t="shared" si="88"/>
        <v>0</v>
      </c>
      <c r="CX43" s="915">
        <f t="shared" si="89"/>
        <v>0</v>
      </c>
      <c r="CY43" s="915">
        <f t="shared" si="90"/>
        <v>0</v>
      </c>
      <c r="CZ43" s="915">
        <f t="shared" si="91"/>
        <v>0</v>
      </c>
      <c r="DA43" s="915">
        <f t="shared" si="92"/>
        <v>0</v>
      </c>
      <c r="DB43" s="915">
        <f t="shared" si="93"/>
        <v>0</v>
      </c>
      <c r="DC43" s="915">
        <f t="shared" si="94"/>
        <v>0</v>
      </c>
      <c r="DD43" s="915">
        <f t="shared" si="95"/>
        <v>0</v>
      </c>
      <c r="DE43" s="915">
        <f t="shared" si="96"/>
        <v>0</v>
      </c>
      <c r="DF43" s="915">
        <f t="shared" si="97"/>
        <v>0</v>
      </c>
      <c r="DG43" s="915">
        <f t="shared" si="98"/>
        <v>0</v>
      </c>
      <c r="DH43" s="915">
        <f t="shared" si="99"/>
        <v>0</v>
      </c>
      <c r="DI43" s="915">
        <f t="shared" si="100"/>
        <v>0</v>
      </c>
      <c r="DJ43" s="915">
        <f t="shared" si="101"/>
        <v>0</v>
      </c>
      <c r="DK43" s="915">
        <f t="shared" si="102"/>
        <v>0</v>
      </c>
      <c r="DL43" s="915">
        <f t="shared" si="103"/>
        <v>0</v>
      </c>
      <c r="DM43" s="915">
        <f t="shared" si="104"/>
        <v>0</v>
      </c>
      <c r="DN43" s="915">
        <f t="shared" si="105"/>
        <v>0</v>
      </c>
      <c r="DO43" s="915">
        <f t="shared" si="106"/>
        <v>0</v>
      </c>
      <c r="DP43" s="915">
        <f t="shared" si="107"/>
        <v>0</v>
      </c>
      <c r="DQ43" s="915">
        <f t="shared" si="108"/>
        <v>0</v>
      </c>
      <c r="DR43" s="915">
        <f t="shared" si="109"/>
        <v>0</v>
      </c>
      <c r="DS43" s="915">
        <f t="shared" si="110"/>
        <v>0</v>
      </c>
      <c r="DT43" s="915">
        <f t="shared" si="111"/>
        <v>0</v>
      </c>
      <c r="DU43" s="915">
        <f t="shared" si="112"/>
        <v>0</v>
      </c>
      <c r="DV43" s="915">
        <f t="shared" si="113"/>
        <v>0</v>
      </c>
      <c r="DW43" s="915">
        <f t="shared" si="114"/>
        <v>0</v>
      </c>
      <c r="DX43" s="915">
        <f t="shared" si="115"/>
        <v>0</v>
      </c>
      <c r="DY43" s="915">
        <f t="shared" si="116"/>
        <v>0</v>
      </c>
      <c r="DZ43" s="915">
        <f t="shared" si="117"/>
        <v>0</v>
      </c>
      <c r="EA43" s="915">
        <f t="shared" si="118"/>
        <v>0</v>
      </c>
      <c r="EB43" s="915">
        <f t="shared" si="119"/>
        <v>0</v>
      </c>
      <c r="EC43" s="915">
        <f t="shared" si="120"/>
        <v>0</v>
      </c>
      <c r="ED43" s="915">
        <f t="shared" si="121"/>
        <v>0</v>
      </c>
      <c r="EE43" s="915">
        <f t="shared" si="122"/>
        <v>0</v>
      </c>
      <c r="EF43" s="915">
        <f t="shared" si="123"/>
        <v>0</v>
      </c>
      <c r="EG43" s="915">
        <f t="shared" si="124"/>
        <v>0</v>
      </c>
      <c r="EH43" s="915">
        <f t="shared" si="125"/>
        <v>0</v>
      </c>
      <c r="EI43" s="915">
        <f t="shared" si="126"/>
        <v>0</v>
      </c>
      <c r="EJ43" s="915">
        <f t="shared" si="127"/>
        <v>0</v>
      </c>
      <c r="EK43" s="915">
        <f t="shared" si="128"/>
        <v>0</v>
      </c>
      <c r="EL43" s="915">
        <f t="shared" si="129"/>
        <v>0</v>
      </c>
      <c r="EM43" s="915">
        <f t="shared" si="130"/>
        <v>0</v>
      </c>
      <c r="EN43" s="915">
        <f t="shared" si="131"/>
        <v>0</v>
      </c>
      <c r="EO43" s="915">
        <f t="shared" si="132"/>
        <v>0</v>
      </c>
      <c r="EP43" s="915">
        <f t="shared" si="133"/>
        <v>0</v>
      </c>
      <c r="EQ43" s="915">
        <f t="shared" si="134"/>
        <v>0</v>
      </c>
      <c r="ER43" s="915">
        <f t="shared" si="135"/>
        <v>0</v>
      </c>
      <c r="ES43" s="915">
        <f t="shared" si="136"/>
        <v>0</v>
      </c>
      <c r="ET43" s="915">
        <f t="shared" si="137"/>
        <v>0</v>
      </c>
      <c r="EU43" s="915">
        <f t="shared" si="138"/>
        <v>0</v>
      </c>
      <c r="EV43" s="915">
        <f t="shared" si="139"/>
        <v>0</v>
      </c>
      <c r="EW43" s="915">
        <f t="shared" si="140"/>
        <v>0</v>
      </c>
      <c r="EX43" s="915">
        <f t="shared" si="141"/>
        <v>0</v>
      </c>
      <c r="EY43" s="915">
        <f t="shared" si="142"/>
        <v>0</v>
      </c>
      <c r="EZ43" s="915">
        <f t="shared" si="143"/>
        <v>0</v>
      </c>
      <c r="FA43" s="915">
        <f t="shared" si="144"/>
        <v>0</v>
      </c>
      <c r="FB43" s="915">
        <f t="shared" si="145"/>
        <v>0</v>
      </c>
      <c r="FC43" s="915">
        <f t="shared" si="146"/>
        <v>0</v>
      </c>
      <c r="FD43" s="915">
        <f t="shared" si="147"/>
        <v>0</v>
      </c>
      <c r="FE43" s="915">
        <f t="shared" si="148"/>
        <v>0</v>
      </c>
      <c r="FF43" s="915">
        <f t="shared" si="149"/>
        <v>0</v>
      </c>
      <c r="FG43" s="915">
        <f t="shared" si="150"/>
        <v>0</v>
      </c>
      <c r="FH43" s="915">
        <f t="shared" si="151"/>
        <v>0</v>
      </c>
      <c r="FI43" s="915">
        <f t="shared" si="152"/>
        <v>0</v>
      </c>
      <c r="FJ43" s="915">
        <f t="shared" si="153"/>
        <v>0</v>
      </c>
      <c r="FK43" s="915">
        <f t="shared" si="154"/>
        <v>0</v>
      </c>
      <c r="FL43" s="915">
        <f t="shared" si="155"/>
        <v>0</v>
      </c>
      <c r="FM43" s="915">
        <f t="shared" si="156"/>
        <v>0</v>
      </c>
      <c r="FN43" s="915">
        <f t="shared" si="157"/>
        <v>0</v>
      </c>
      <c r="FO43" s="915">
        <f t="shared" si="158"/>
        <v>0</v>
      </c>
      <c r="FP43" s="915">
        <f t="shared" si="159"/>
        <v>0</v>
      </c>
      <c r="FQ43" s="915">
        <f t="shared" si="160"/>
        <v>0</v>
      </c>
      <c r="FR43" s="915">
        <f t="shared" si="161"/>
        <v>0</v>
      </c>
      <c r="FS43" s="915">
        <f t="shared" si="162"/>
        <v>0</v>
      </c>
      <c r="FT43" s="915">
        <f t="shared" si="163"/>
        <v>0</v>
      </c>
      <c r="FU43" s="915">
        <f t="shared" si="164"/>
        <v>0</v>
      </c>
      <c r="FV43" s="915">
        <f t="shared" si="165"/>
        <v>0</v>
      </c>
      <c r="FW43" s="915">
        <f t="shared" si="166"/>
        <v>0</v>
      </c>
      <c r="FX43" s="915">
        <f t="shared" si="167"/>
        <v>0</v>
      </c>
      <c r="FY43" s="915">
        <f t="shared" si="168"/>
        <v>0</v>
      </c>
      <c r="FZ43" s="915">
        <f t="shared" si="169"/>
        <v>0</v>
      </c>
    </row>
    <row r="44" spans="1:182" ht="14.1" customHeight="1" x14ac:dyDescent="0.2">
      <c r="A44" s="496">
        <v>37</v>
      </c>
      <c r="B44" s="1419"/>
      <c r="C44" s="1433"/>
      <c r="D44" s="264">
        <v>5</v>
      </c>
      <c r="E44" s="264" t="s">
        <v>30</v>
      </c>
      <c r="F44" s="270" t="s">
        <v>2544</v>
      </c>
      <c r="G44" s="270" t="s">
        <v>2542</v>
      </c>
      <c r="H44" s="272">
        <v>7</v>
      </c>
      <c r="I44" s="268">
        <f t="shared" si="11"/>
        <v>0.42</v>
      </c>
      <c r="J44" s="269">
        <f t="shared" si="12"/>
        <v>7.42</v>
      </c>
      <c r="K44" s="225"/>
      <c r="N44" s="942">
        <f>BG6</f>
        <v>7.42</v>
      </c>
      <c r="O44" s="879" t="str">
        <f>"Surveying/Inspection for " &amp; TabName5</f>
        <v>Surveying/Inspection for Phase 5</v>
      </c>
      <c r="P44" s="950" t="s">
        <v>272</v>
      </c>
      <c r="W44" s="915">
        <f t="shared" si="8"/>
        <v>0</v>
      </c>
      <c r="X44" s="915">
        <f t="shared" si="9"/>
        <v>0</v>
      </c>
      <c r="Y44" s="915">
        <f t="shared" si="10"/>
        <v>0</v>
      </c>
      <c r="Z44" s="915">
        <f t="shared" si="13"/>
        <v>0</v>
      </c>
      <c r="AA44" s="915">
        <f t="shared" si="14"/>
        <v>0</v>
      </c>
      <c r="AB44" s="915">
        <f t="shared" si="15"/>
        <v>0</v>
      </c>
      <c r="AC44" s="915">
        <f t="shared" si="16"/>
        <v>0</v>
      </c>
      <c r="AD44" s="915">
        <f t="shared" si="17"/>
        <v>0</v>
      </c>
      <c r="AE44" s="915">
        <f t="shared" si="18"/>
        <v>0</v>
      </c>
      <c r="AF44" s="915">
        <f t="shared" si="19"/>
        <v>0</v>
      </c>
      <c r="AG44" s="915">
        <f t="shared" si="20"/>
        <v>0</v>
      </c>
      <c r="AH44" s="915">
        <f t="shared" si="21"/>
        <v>0</v>
      </c>
      <c r="AI44" s="915">
        <f t="shared" si="22"/>
        <v>0</v>
      </c>
      <c r="AJ44" s="915">
        <f t="shared" si="23"/>
        <v>0</v>
      </c>
      <c r="AK44" s="915">
        <f t="shared" si="24"/>
        <v>0</v>
      </c>
      <c r="AL44" s="915">
        <f t="shared" si="25"/>
        <v>0</v>
      </c>
      <c r="AM44" s="915">
        <f t="shared" si="26"/>
        <v>0</v>
      </c>
      <c r="AN44" s="915">
        <f t="shared" si="27"/>
        <v>0</v>
      </c>
      <c r="AO44" s="915">
        <f t="shared" si="28"/>
        <v>0</v>
      </c>
      <c r="AP44" s="915">
        <f t="shared" si="29"/>
        <v>0</v>
      </c>
      <c r="AQ44" s="915">
        <f t="shared" si="30"/>
        <v>0</v>
      </c>
      <c r="AR44" s="915">
        <f t="shared" si="31"/>
        <v>0</v>
      </c>
      <c r="AS44" s="915">
        <f t="shared" si="32"/>
        <v>0</v>
      </c>
      <c r="AT44" s="915">
        <f t="shared" si="33"/>
        <v>0</v>
      </c>
      <c r="AU44" s="915">
        <f t="shared" si="34"/>
        <v>0</v>
      </c>
      <c r="AV44" s="915">
        <f t="shared" si="35"/>
        <v>0</v>
      </c>
      <c r="AW44" s="915">
        <f t="shared" si="36"/>
        <v>0</v>
      </c>
      <c r="AX44" s="915">
        <f t="shared" si="37"/>
        <v>0</v>
      </c>
      <c r="AY44" s="915">
        <f t="shared" si="38"/>
        <v>0</v>
      </c>
      <c r="AZ44" s="915">
        <f t="shared" si="39"/>
        <v>0</v>
      </c>
      <c r="BA44" s="915">
        <f t="shared" si="40"/>
        <v>0</v>
      </c>
      <c r="BB44" s="915">
        <f t="shared" si="41"/>
        <v>0</v>
      </c>
      <c r="BC44" s="915">
        <f t="shared" si="42"/>
        <v>0</v>
      </c>
      <c r="BD44" s="915">
        <f t="shared" si="43"/>
        <v>0</v>
      </c>
      <c r="BE44" s="915">
        <f t="shared" si="44"/>
        <v>0</v>
      </c>
      <c r="BF44" s="915">
        <f t="shared" si="45"/>
        <v>0</v>
      </c>
      <c r="BG44" s="915">
        <f t="shared" si="46"/>
        <v>7.42</v>
      </c>
      <c r="BH44" s="915">
        <f t="shared" si="47"/>
        <v>0</v>
      </c>
      <c r="BI44" s="915">
        <f t="shared" si="48"/>
        <v>0</v>
      </c>
      <c r="BJ44" s="915">
        <f t="shared" si="49"/>
        <v>0</v>
      </c>
      <c r="BK44" s="915">
        <f t="shared" si="50"/>
        <v>0</v>
      </c>
      <c r="BL44" s="915">
        <f t="shared" si="51"/>
        <v>0</v>
      </c>
      <c r="BM44" s="915">
        <f t="shared" si="52"/>
        <v>0</v>
      </c>
      <c r="BN44" s="915">
        <f t="shared" si="53"/>
        <v>0</v>
      </c>
      <c r="BO44" s="915">
        <f t="shared" si="54"/>
        <v>0</v>
      </c>
      <c r="BP44" s="915">
        <f t="shared" si="55"/>
        <v>0</v>
      </c>
      <c r="BQ44" s="915">
        <f t="shared" si="56"/>
        <v>0</v>
      </c>
      <c r="BR44" s="915">
        <f t="shared" si="57"/>
        <v>0</v>
      </c>
      <c r="BS44" s="915">
        <f t="shared" si="58"/>
        <v>0</v>
      </c>
      <c r="BT44" s="915">
        <f t="shared" si="59"/>
        <v>0</v>
      </c>
      <c r="BU44" s="915">
        <f t="shared" si="60"/>
        <v>0</v>
      </c>
      <c r="BV44" s="915">
        <f t="shared" si="61"/>
        <v>0</v>
      </c>
      <c r="BW44" s="915">
        <f t="shared" si="62"/>
        <v>0</v>
      </c>
      <c r="BX44" s="915">
        <f t="shared" si="63"/>
        <v>0</v>
      </c>
      <c r="BY44" s="915">
        <f t="shared" si="64"/>
        <v>0</v>
      </c>
      <c r="BZ44" s="915">
        <f t="shared" si="65"/>
        <v>0</v>
      </c>
      <c r="CA44" s="915">
        <f t="shared" si="66"/>
        <v>0</v>
      </c>
      <c r="CB44" s="915">
        <f t="shared" si="67"/>
        <v>0</v>
      </c>
      <c r="CC44" s="915">
        <f t="shared" si="68"/>
        <v>0</v>
      </c>
      <c r="CD44" s="915">
        <f t="shared" si="69"/>
        <v>0</v>
      </c>
      <c r="CE44" s="915">
        <f t="shared" si="70"/>
        <v>0</v>
      </c>
      <c r="CF44" s="915">
        <f t="shared" si="71"/>
        <v>0</v>
      </c>
      <c r="CG44" s="915">
        <f t="shared" si="72"/>
        <v>0</v>
      </c>
      <c r="CH44" s="915">
        <f t="shared" si="73"/>
        <v>0</v>
      </c>
      <c r="CI44" s="915">
        <f t="shared" si="74"/>
        <v>0</v>
      </c>
      <c r="CJ44" s="915">
        <f t="shared" si="75"/>
        <v>0</v>
      </c>
      <c r="CK44" s="915">
        <f t="shared" si="76"/>
        <v>0</v>
      </c>
      <c r="CL44" s="915">
        <f t="shared" si="77"/>
        <v>0</v>
      </c>
      <c r="CM44" s="915">
        <f t="shared" si="78"/>
        <v>0</v>
      </c>
      <c r="CN44" s="915">
        <f t="shared" si="79"/>
        <v>0</v>
      </c>
      <c r="CO44" s="915">
        <f t="shared" si="80"/>
        <v>0</v>
      </c>
      <c r="CP44" s="915">
        <f t="shared" si="81"/>
        <v>0</v>
      </c>
      <c r="CQ44" s="915">
        <f t="shared" si="82"/>
        <v>0</v>
      </c>
      <c r="CR44" s="915">
        <f t="shared" si="83"/>
        <v>0</v>
      </c>
      <c r="CS44" s="915">
        <f t="shared" si="84"/>
        <v>0</v>
      </c>
      <c r="CT44" s="915">
        <f t="shared" si="85"/>
        <v>0</v>
      </c>
      <c r="CU44" s="915">
        <f t="shared" si="86"/>
        <v>0</v>
      </c>
      <c r="CV44" s="915">
        <f t="shared" si="87"/>
        <v>0</v>
      </c>
      <c r="CW44" s="915">
        <f t="shared" si="88"/>
        <v>0</v>
      </c>
      <c r="CX44" s="915">
        <f t="shared" si="89"/>
        <v>0</v>
      </c>
      <c r="CY44" s="915">
        <f t="shared" si="90"/>
        <v>0</v>
      </c>
      <c r="CZ44" s="915">
        <f t="shared" si="91"/>
        <v>0</v>
      </c>
      <c r="DA44" s="915">
        <f t="shared" si="92"/>
        <v>0</v>
      </c>
      <c r="DB44" s="915">
        <f t="shared" si="93"/>
        <v>0</v>
      </c>
      <c r="DC44" s="915">
        <f t="shared" si="94"/>
        <v>0</v>
      </c>
      <c r="DD44" s="915">
        <f t="shared" si="95"/>
        <v>0</v>
      </c>
      <c r="DE44" s="915">
        <f t="shared" si="96"/>
        <v>0</v>
      </c>
      <c r="DF44" s="915">
        <f t="shared" si="97"/>
        <v>0</v>
      </c>
      <c r="DG44" s="915">
        <f t="shared" si="98"/>
        <v>0</v>
      </c>
      <c r="DH44" s="915">
        <f t="shared" si="99"/>
        <v>0</v>
      </c>
      <c r="DI44" s="915">
        <f t="shared" si="100"/>
        <v>0</v>
      </c>
      <c r="DJ44" s="915">
        <f t="shared" si="101"/>
        <v>0</v>
      </c>
      <c r="DK44" s="915">
        <f t="shared" si="102"/>
        <v>0</v>
      </c>
      <c r="DL44" s="915">
        <f t="shared" si="103"/>
        <v>0</v>
      </c>
      <c r="DM44" s="915">
        <f t="shared" si="104"/>
        <v>0</v>
      </c>
      <c r="DN44" s="915">
        <f t="shared" si="105"/>
        <v>0</v>
      </c>
      <c r="DO44" s="915">
        <f t="shared" si="106"/>
        <v>0</v>
      </c>
      <c r="DP44" s="915">
        <f t="shared" si="107"/>
        <v>0</v>
      </c>
      <c r="DQ44" s="915">
        <f t="shared" si="108"/>
        <v>0</v>
      </c>
      <c r="DR44" s="915">
        <f t="shared" si="109"/>
        <v>0</v>
      </c>
      <c r="DS44" s="915">
        <f t="shared" si="110"/>
        <v>0</v>
      </c>
      <c r="DT44" s="915">
        <f t="shared" si="111"/>
        <v>0</v>
      </c>
      <c r="DU44" s="915">
        <f t="shared" si="112"/>
        <v>0</v>
      </c>
      <c r="DV44" s="915">
        <f t="shared" si="113"/>
        <v>0</v>
      </c>
      <c r="DW44" s="915">
        <f t="shared" si="114"/>
        <v>0</v>
      </c>
      <c r="DX44" s="915">
        <f t="shared" si="115"/>
        <v>0</v>
      </c>
      <c r="DY44" s="915">
        <f t="shared" si="116"/>
        <v>0</v>
      </c>
      <c r="DZ44" s="915">
        <f t="shared" si="117"/>
        <v>0</v>
      </c>
      <c r="EA44" s="915">
        <f t="shared" si="118"/>
        <v>0</v>
      </c>
      <c r="EB44" s="915">
        <f t="shared" si="119"/>
        <v>0</v>
      </c>
      <c r="EC44" s="915">
        <f t="shared" si="120"/>
        <v>0</v>
      </c>
      <c r="ED44" s="915">
        <f t="shared" si="121"/>
        <v>0</v>
      </c>
      <c r="EE44" s="915">
        <f t="shared" si="122"/>
        <v>0</v>
      </c>
      <c r="EF44" s="915">
        <f t="shared" si="123"/>
        <v>0</v>
      </c>
      <c r="EG44" s="915">
        <f t="shared" si="124"/>
        <v>0</v>
      </c>
      <c r="EH44" s="915">
        <f t="shared" si="125"/>
        <v>0</v>
      </c>
      <c r="EI44" s="915">
        <f t="shared" si="126"/>
        <v>0</v>
      </c>
      <c r="EJ44" s="915">
        <f t="shared" si="127"/>
        <v>0</v>
      </c>
      <c r="EK44" s="915">
        <f t="shared" si="128"/>
        <v>0</v>
      </c>
      <c r="EL44" s="915">
        <f t="shared" si="129"/>
        <v>0</v>
      </c>
      <c r="EM44" s="915">
        <f t="shared" si="130"/>
        <v>0</v>
      </c>
      <c r="EN44" s="915">
        <f t="shared" si="131"/>
        <v>0</v>
      </c>
      <c r="EO44" s="915">
        <f t="shared" si="132"/>
        <v>0</v>
      </c>
      <c r="EP44" s="915">
        <f t="shared" si="133"/>
        <v>0</v>
      </c>
      <c r="EQ44" s="915">
        <f t="shared" si="134"/>
        <v>0</v>
      </c>
      <c r="ER44" s="915">
        <f t="shared" si="135"/>
        <v>0</v>
      </c>
      <c r="ES44" s="915">
        <f t="shared" si="136"/>
        <v>0</v>
      </c>
      <c r="ET44" s="915">
        <f t="shared" si="137"/>
        <v>0</v>
      </c>
      <c r="EU44" s="915">
        <f t="shared" si="138"/>
        <v>0</v>
      </c>
      <c r="EV44" s="915">
        <f t="shared" si="139"/>
        <v>0</v>
      </c>
      <c r="EW44" s="915">
        <f t="shared" si="140"/>
        <v>0</v>
      </c>
      <c r="EX44" s="915">
        <f t="shared" si="141"/>
        <v>0</v>
      </c>
      <c r="EY44" s="915">
        <f t="shared" si="142"/>
        <v>0</v>
      </c>
      <c r="EZ44" s="915">
        <f t="shared" si="143"/>
        <v>0</v>
      </c>
      <c r="FA44" s="915">
        <f t="shared" si="144"/>
        <v>0</v>
      </c>
      <c r="FB44" s="915">
        <f t="shared" si="145"/>
        <v>0</v>
      </c>
      <c r="FC44" s="915">
        <f t="shared" si="146"/>
        <v>0</v>
      </c>
      <c r="FD44" s="915">
        <f t="shared" si="147"/>
        <v>0</v>
      </c>
      <c r="FE44" s="915">
        <f t="shared" si="148"/>
        <v>0</v>
      </c>
      <c r="FF44" s="915">
        <f t="shared" si="149"/>
        <v>0</v>
      </c>
      <c r="FG44" s="915">
        <f t="shared" si="150"/>
        <v>0</v>
      </c>
      <c r="FH44" s="915">
        <f t="shared" si="151"/>
        <v>0</v>
      </c>
      <c r="FI44" s="915">
        <f t="shared" si="152"/>
        <v>0</v>
      </c>
      <c r="FJ44" s="915">
        <f t="shared" si="153"/>
        <v>0</v>
      </c>
      <c r="FK44" s="915">
        <f t="shared" si="154"/>
        <v>0</v>
      </c>
      <c r="FL44" s="915">
        <f t="shared" si="155"/>
        <v>0</v>
      </c>
      <c r="FM44" s="915">
        <f t="shared" si="156"/>
        <v>0</v>
      </c>
      <c r="FN44" s="915">
        <f t="shared" si="157"/>
        <v>0</v>
      </c>
      <c r="FO44" s="915">
        <f t="shared" si="158"/>
        <v>0</v>
      </c>
      <c r="FP44" s="915">
        <f t="shared" si="159"/>
        <v>0</v>
      </c>
      <c r="FQ44" s="915">
        <f t="shared" si="160"/>
        <v>0</v>
      </c>
      <c r="FR44" s="915">
        <f t="shared" si="161"/>
        <v>0</v>
      </c>
      <c r="FS44" s="915">
        <f t="shared" si="162"/>
        <v>0</v>
      </c>
      <c r="FT44" s="915">
        <f t="shared" si="163"/>
        <v>0</v>
      </c>
      <c r="FU44" s="915">
        <f t="shared" si="164"/>
        <v>0</v>
      </c>
      <c r="FV44" s="915">
        <f t="shared" si="165"/>
        <v>0</v>
      </c>
      <c r="FW44" s="915">
        <f t="shared" si="166"/>
        <v>0</v>
      </c>
      <c r="FX44" s="915">
        <f t="shared" si="167"/>
        <v>0</v>
      </c>
      <c r="FY44" s="915">
        <f t="shared" si="168"/>
        <v>0</v>
      </c>
      <c r="FZ44" s="915">
        <f t="shared" si="169"/>
        <v>0</v>
      </c>
    </row>
    <row r="45" spans="1:182" ht="14.1" customHeight="1" x14ac:dyDescent="0.2">
      <c r="A45" s="497">
        <v>38</v>
      </c>
      <c r="B45" s="1423"/>
      <c r="C45" s="1424"/>
      <c r="D45" s="138">
        <v>5</v>
      </c>
      <c r="E45" s="138" t="s">
        <v>170</v>
      </c>
      <c r="F45" s="139" t="s">
        <v>2544</v>
      </c>
      <c r="G45" s="139" t="s">
        <v>2542</v>
      </c>
      <c r="H45" s="100">
        <v>7</v>
      </c>
      <c r="I45" s="119">
        <f t="shared" si="11"/>
        <v>0.42</v>
      </c>
      <c r="J45" s="90">
        <f t="shared" si="12"/>
        <v>7.42</v>
      </c>
      <c r="K45" s="225"/>
      <c r="N45" s="942">
        <f>BH6</f>
        <v>7.42</v>
      </c>
      <c r="O45" s="879" t="str">
        <f>"Other subcontractor for " &amp; TabName5</f>
        <v>Other subcontractor for Phase 5</v>
      </c>
      <c r="P45" s="949" t="s">
        <v>273</v>
      </c>
      <c r="W45" s="915">
        <f t="shared" si="8"/>
        <v>0</v>
      </c>
      <c r="X45" s="915">
        <f t="shared" si="9"/>
        <v>0</v>
      </c>
      <c r="Y45" s="915">
        <f t="shared" si="10"/>
        <v>0</v>
      </c>
      <c r="Z45" s="915">
        <f t="shared" si="13"/>
        <v>0</v>
      </c>
      <c r="AA45" s="915">
        <f t="shared" si="14"/>
        <v>0</v>
      </c>
      <c r="AB45" s="915">
        <f t="shared" si="15"/>
        <v>0</v>
      </c>
      <c r="AC45" s="915">
        <f t="shared" si="16"/>
        <v>0</v>
      </c>
      <c r="AD45" s="915">
        <f t="shared" si="17"/>
        <v>0</v>
      </c>
      <c r="AE45" s="915">
        <f t="shared" si="18"/>
        <v>0</v>
      </c>
      <c r="AF45" s="915">
        <f t="shared" si="19"/>
        <v>0</v>
      </c>
      <c r="AG45" s="915">
        <f t="shared" si="20"/>
        <v>0</v>
      </c>
      <c r="AH45" s="915">
        <f t="shared" si="21"/>
        <v>0</v>
      </c>
      <c r="AI45" s="915">
        <f t="shared" si="22"/>
        <v>0</v>
      </c>
      <c r="AJ45" s="915">
        <f t="shared" si="23"/>
        <v>0</v>
      </c>
      <c r="AK45" s="915">
        <f t="shared" si="24"/>
        <v>0</v>
      </c>
      <c r="AL45" s="915">
        <f t="shared" si="25"/>
        <v>0</v>
      </c>
      <c r="AM45" s="915">
        <f t="shared" si="26"/>
        <v>0</v>
      </c>
      <c r="AN45" s="915">
        <f t="shared" si="27"/>
        <v>0</v>
      </c>
      <c r="AO45" s="915">
        <f t="shared" si="28"/>
        <v>0</v>
      </c>
      <c r="AP45" s="915">
        <f t="shared" si="29"/>
        <v>0</v>
      </c>
      <c r="AQ45" s="915">
        <f t="shared" si="30"/>
        <v>0</v>
      </c>
      <c r="AR45" s="915">
        <f t="shared" si="31"/>
        <v>0</v>
      </c>
      <c r="AS45" s="915">
        <f t="shared" si="32"/>
        <v>0</v>
      </c>
      <c r="AT45" s="915">
        <f t="shared" si="33"/>
        <v>0</v>
      </c>
      <c r="AU45" s="915">
        <f t="shared" si="34"/>
        <v>0</v>
      </c>
      <c r="AV45" s="915">
        <f t="shared" si="35"/>
        <v>0</v>
      </c>
      <c r="AW45" s="915">
        <f t="shared" si="36"/>
        <v>0</v>
      </c>
      <c r="AX45" s="915">
        <f t="shared" si="37"/>
        <v>0</v>
      </c>
      <c r="AY45" s="915">
        <f t="shared" si="38"/>
        <v>0</v>
      </c>
      <c r="AZ45" s="915">
        <f t="shared" si="39"/>
        <v>0</v>
      </c>
      <c r="BA45" s="915">
        <f t="shared" si="40"/>
        <v>0</v>
      </c>
      <c r="BB45" s="915">
        <f t="shared" si="41"/>
        <v>0</v>
      </c>
      <c r="BC45" s="915">
        <f t="shared" si="42"/>
        <v>0</v>
      </c>
      <c r="BD45" s="915">
        <f t="shared" si="43"/>
        <v>0</v>
      </c>
      <c r="BE45" s="915">
        <f t="shared" si="44"/>
        <v>0</v>
      </c>
      <c r="BF45" s="915">
        <f t="shared" si="45"/>
        <v>0</v>
      </c>
      <c r="BG45" s="915">
        <f t="shared" si="46"/>
        <v>0</v>
      </c>
      <c r="BH45" s="915">
        <f t="shared" si="47"/>
        <v>7.42</v>
      </c>
      <c r="BI45" s="915">
        <f t="shared" si="48"/>
        <v>0</v>
      </c>
      <c r="BJ45" s="915">
        <f t="shared" si="49"/>
        <v>0</v>
      </c>
      <c r="BK45" s="915">
        <f t="shared" si="50"/>
        <v>0</v>
      </c>
      <c r="BL45" s="915">
        <f t="shared" si="51"/>
        <v>0</v>
      </c>
      <c r="BM45" s="915">
        <f t="shared" si="52"/>
        <v>0</v>
      </c>
      <c r="BN45" s="915">
        <f t="shared" si="53"/>
        <v>0</v>
      </c>
      <c r="BO45" s="915">
        <f t="shared" si="54"/>
        <v>0</v>
      </c>
      <c r="BP45" s="915">
        <f t="shared" si="55"/>
        <v>0</v>
      </c>
      <c r="BQ45" s="915">
        <f t="shared" si="56"/>
        <v>0</v>
      </c>
      <c r="BR45" s="915">
        <f t="shared" si="57"/>
        <v>0</v>
      </c>
      <c r="BS45" s="915">
        <f t="shared" si="58"/>
        <v>0</v>
      </c>
      <c r="BT45" s="915">
        <f t="shared" si="59"/>
        <v>0</v>
      </c>
      <c r="BU45" s="915">
        <f t="shared" si="60"/>
        <v>0</v>
      </c>
      <c r="BV45" s="915">
        <f t="shared" si="61"/>
        <v>0</v>
      </c>
      <c r="BW45" s="915">
        <f t="shared" si="62"/>
        <v>0</v>
      </c>
      <c r="BX45" s="915">
        <f t="shared" si="63"/>
        <v>0</v>
      </c>
      <c r="BY45" s="915">
        <f t="shared" si="64"/>
        <v>0</v>
      </c>
      <c r="BZ45" s="915">
        <f t="shared" si="65"/>
        <v>0</v>
      </c>
      <c r="CA45" s="915">
        <f t="shared" si="66"/>
        <v>0</v>
      </c>
      <c r="CB45" s="915">
        <f t="shared" si="67"/>
        <v>0</v>
      </c>
      <c r="CC45" s="915">
        <f t="shared" si="68"/>
        <v>0</v>
      </c>
      <c r="CD45" s="915">
        <f t="shared" si="69"/>
        <v>0</v>
      </c>
      <c r="CE45" s="915">
        <f t="shared" si="70"/>
        <v>0</v>
      </c>
      <c r="CF45" s="915">
        <f t="shared" si="71"/>
        <v>0</v>
      </c>
      <c r="CG45" s="915">
        <f t="shared" si="72"/>
        <v>0</v>
      </c>
      <c r="CH45" s="915">
        <f t="shared" si="73"/>
        <v>0</v>
      </c>
      <c r="CI45" s="915">
        <f t="shared" si="74"/>
        <v>0</v>
      </c>
      <c r="CJ45" s="915">
        <f t="shared" si="75"/>
        <v>0</v>
      </c>
      <c r="CK45" s="915">
        <f t="shared" si="76"/>
        <v>0</v>
      </c>
      <c r="CL45" s="915">
        <f t="shared" si="77"/>
        <v>0</v>
      </c>
      <c r="CM45" s="915">
        <f t="shared" si="78"/>
        <v>0</v>
      </c>
      <c r="CN45" s="915">
        <f t="shared" si="79"/>
        <v>0</v>
      </c>
      <c r="CO45" s="915">
        <f t="shared" si="80"/>
        <v>0</v>
      </c>
      <c r="CP45" s="915">
        <f t="shared" si="81"/>
        <v>0</v>
      </c>
      <c r="CQ45" s="915">
        <f t="shared" si="82"/>
        <v>0</v>
      </c>
      <c r="CR45" s="915">
        <f t="shared" si="83"/>
        <v>0</v>
      </c>
      <c r="CS45" s="915">
        <f t="shared" si="84"/>
        <v>0</v>
      </c>
      <c r="CT45" s="915">
        <f t="shared" si="85"/>
        <v>0</v>
      </c>
      <c r="CU45" s="915">
        <f t="shared" si="86"/>
        <v>0</v>
      </c>
      <c r="CV45" s="915">
        <f t="shared" si="87"/>
        <v>0</v>
      </c>
      <c r="CW45" s="915">
        <f t="shared" si="88"/>
        <v>0</v>
      </c>
      <c r="CX45" s="915">
        <f t="shared" si="89"/>
        <v>0</v>
      </c>
      <c r="CY45" s="915">
        <f t="shared" si="90"/>
        <v>0</v>
      </c>
      <c r="CZ45" s="915">
        <f t="shared" si="91"/>
        <v>0</v>
      </c>
      <c r="DA45" s="915">
        <f t="shared" si="92"/>
        <v>0</v>
      </c>
      <c r="DB45" s="915">
        <f t="shared" si="93"/>
        <v>0</v>
      </c>
      <c r="DC45" s="915">
        <f t="shared" si="94"/>
        <v>0</v>
      </c>
      <c r="DD45" s="915">
        <f t="shared" si="95"/>
        <v>0</v>
      </c>
      <c r="DE45" s="915">
        <f t="shared" si="96"/>
        <v>0</v>
      </c>
      <c r="DF45" s="915">
        <f t="shared" si="97"/>
        <v>0</v>
      </c>
      <c r="DG45" s="915">
        <f t="shared" si="98"/>
        <v>0</v>
      </c>
      <c r="DH45" s="915">
        <f t="shared" si="99"/>
        <v>0</v>
      </c>
      <c r="DI45" s="915">
        <f t="shared" si="100"/>
        <v>0</v>
      </c>
      <c r="DJ45" s="915">
        <f t="shared" si="101"/>
        <v>0</v>
      </c>
      <c r="DK45" s="915">
        <f t="shared" si="102"/>
        <v>0</v>
      </c>
      <c r="DL45" s="915">
        <f t="shared" si="103"/>
        <v>0</v>
      </c>
      <c r="DM45" s="915">
        <f t="shared" si="104"/>
        <v>0</v>
      </c>
      <c r="DN45" s="915">
        <f t="shared" si="105"/>
        <v>0</v>
      </c>
      <c r="DO45" s="915">
        <f t="shared" si="106"/>
        <v>0</v>
      </c>
      <c r="DP45" s="915">
        <f t="shared" si="107"/>
        <v>0</v>
      </c>
      <c r="DQ45" s="915">
        <f t="shared" si="108"/>
        <v>0</v>
      </c>
      <c r="DR45" s="915">
        <f t="shared" si="109"/>
        <v>0</v>
      </c>
      <c r="DS45" s="915">
        <f t="shared" si="110"/>
        <v>0</v>
      </c>
      <c r="DT45" s="915">
        <f t="shared" si="111"/>
        <v>0</v>
      </c>
      <c r="DU45" s="915">
        <f t="shared" si="112"/>
        <v>0</v>
      </c>
      <c r="DV45" s="915">
        <f t="shared" si="113"/>
        <v>0</v>
      </c>
      <c r="DW45" s="915">
        <f t="shared" si="114"/>
        <v>0</v>
      </c>
      <c r="DX45" s="915">
        <f t="shared" si="115"/>
        <v>0</v>
      </c>
      <c r="DY45" s="915">
        <f t="shared" si="116"/>
        <v>0</v>
      </c>
      <c r="DZ45" s="915">
        <f t="shared" si="117"/>
        <v>0</v>
      </c>
      <c r="EA45" s="915">
        <f t="shared" si="118"/>
        <v>0</v>
      </c>
      <c r="EB45" s="915">
        <f t="shared" si="119"/>
        <v>0</v>
      </c>
      <c r="EC45" s="915">
        <f t="shared" si="120"/>
        <v>0</v>
      </c>
      <c r="ED45" s="915">
        <f t="shared" si="121"/>
        <v>0</v>
      </c>
      <c r="EE45" s="915">
        <f t="shared" si="122"/>
        <v>0</v>
      </c>
      <c r="EF45" s="915">
        <f t="shared" si="123"/>
        <v>0</v>
      </c>
      <c r="EG45" s="915">
        <f t="shared" si="124"/>
        <v>0</v>
      </c>
      <c r="EH45" s="915">
        <f t="shared" si="125"/>
        <v>0</v>
      </c>
      <c r="EI45" s="915">
        <f t="shared" si="126"/>
        <v>0</v>
      </c>
      <c r="EJ45" s="915">
        <f t="shared" si="127"/>
        <v>0</v>
      </c>
      <c r="EK45" s="915">
        <f t="shared" si="128"/>
        <v>0</v>
      </c>
      <c r="EL45" s="915">
        <f t="shared" si="129"/>
        <v>0</v>
      </c>
      <c r="EM45" s="915">
        <f t="shared" si="130"/>
        <v>0</v>
      </c>
      <c r="EN45" s="915">
        <f t="shared" si="131"/>
        <v>0</v>
      </c>
      <c r="EO45" s="915">
        <f t="shared" si="132"/>
        <v>0</v>
      </c>
      <c r="EP45" s="915">
        <f t="shared" si="133"/>
        <v>0</v>
      </c>
      <c r="EQ45" s="915">
        <f t="shared" si="134"/>
        <v>0</v>
      </c>
      <c r="ER45" s="915">
        <f t="shared" si="135"/>
        <v>0</v>
      </c>
      <c r="ES45" s="915">
        <f t="shared" si="136"/>
        <v>0</v>
      </c>
      <c r="ET45" s="915">
        <f t="shared" si="137"/>
        <v>0</v>
      </c>
      <c r="EU45" s="915">
        <f t="shared" si="138"/>
        <v>0</v>
      </c>
      <c r="EV45" s="915">
        <f t="shared" si="139"/>
        <v>0</v>
      </c>
      <c r="EW45" s="915">
        <f t="shared" si="140"/>
        <v>0</v>
      </c>
      <c r="EX45" s="915">
        <f t="shared" si="141"/>
        <v>0</v>
      </c>
      <c r="EY45" s="915">
        <f t="shared" si="142"/>
        <v>0</v>
      </c>
      <c r="EZ45" s="915">
        <f t="shared" si="143"/>
        <v>0</v>
      </c>
      <c r="FA45" s="915">
        <f t="shared" si="144"/>
        <v>0</v>
      </c>
      <c r="FB45" s="915">
        <f t="shared" si="145"/>
        <v>0</v>
      </c>
      <c r="FC45" s="915">
        <f t="shared" si="146"/>
        <v>0</v>
      </c>
      <c r="FD45" s="915">
        <f t="shared" si="147"/>
        <v>0</v>
      </c>
      <c r="FE45" s="915">
        <f t="shared" si="148"/>
        <v>0</v>
      </c>
      <c r="FF45" s="915">
        <f t="shared" si="149"/>
        <v>0</v>
      </c>
      <c r="FG45" s="915">
        <f t="shared" si="150"/>
        <v>0</v>
      </c>
      <c r="FH45" s="915">
        <f t="shared" si="151"/>
        <v>0</v>
      </c>
      <c r="FI45" s="915">
        <f t="shared" si="152"/>
        <v>0</v>
      </c>
      <c r="FJ45" s="915">
        <f t="shared" si="153"/>
        <v>0</v>
      </c>
      <c r="FK45" s="915">
        <f t="shared" si="154"/>
        <v>0</v>
      </c>
      <c r="FL45" s="915">
        <f t="shared" si="155"/>
        <v>0</v>
      </c>
      <c r="FM45" s="915">
        <f t="shared" si="156"/>
        <v>0</v>
      </c>
      <c r="FN45" s="915">
        <f t="shared" si="157"/>
        <v>0</v>
      </c>
      <c r="FO45" s="915">
        <f t="shared" si="158"/>
        <v>0</v>
      </c>
      <c r="FP45" s="915">
        <f t="shared" si="159"/>
        <v>0</v>
      </c>
      <c r="FQ45" s="915">
        <f t="shared" si="160"/>
        <v>0</v>
      </c>
      <c r="FR45" s="915">
        <f t="shared" si="161"/>
        <v>0</v>
      </c>
      <c r="FS45" s="915">
        <f t="shared" si="162"/>
        <v>0</v>
      </c>
      <c r="FT45" s="915">
        <f t="shared" si="163"/>
        <v>0</v>
      </c>
      <c r="FU45" s="915">
        <f t="shared" si="164"/>
        <v>0</v>
      </c>
      <c r="FV45" s="915">
        <f t="shared" si="165"/>
        <v>0</v>
      </c>
      <c r="FW45" s="915">
        <f t="shared" si="166"/>
        <v>0</v>
      </c>
      <c r="FX45" s="915">
        <f t="shared" si="167"/>
        <v>0</v>
      </c>
      <c r="FY45" s="915">
        <f t="shared" si="168"/>
        <v>0</v>
      </c>
      <c r="FZ45" s="915">
        <f t="shared" si="169"/>
        <v>0</v>
      </c>
    </row>
    <row r="46" spans="1:182" ht="14.1" customHeight="1" x14ac:dyDescent="0.2">
      <c r="A46" s="496">
        <v>39</v>
      </c>
      <c r="B46" s="1419"/>
      <c r="C46" s="1433"/>
      <c r="D46" s="264">
        <v>5</v>
      </c>
      <c r="E46" s="264" t="s">
        <v>48</v>
      </c>
      <c r="F46" s="270" t="s">
        <v>2544</v>
      </c>
      <c r="G46" s="270" t="s">
        <v>2542</v>
      </c>
      <c r="H46" s="272">
        <v>7</v>
      </c>
      <c r="I46" s="268">
        <f t="shared" si="11"/>
        <v>0.42</v>
      </c>
      <c r="J46" s="269">
        <f t="shared" si="12"/>
        <v>7.42</v>
      </c>
      <c r="K46" s="225"/>
      <c r="N46" s="942">
        <f>BI6</f>
        <v>7.42</v>
      </c>
      <c r="O46" s="915" t="str">
        <f>"Miscellaneous for "&amp;TabName5</f>
        <v>Miscellaneous for Phase 5</v>
      </c>
      <c r="P46" s="949" t="s">
        <v>274</v>
      </c>
      <c r="W46" s="915">
        <f t="shared" si="8"/>
        <v>0</v>
      </c>
      <c r="X46" s="915">
        <f t="shared" si="9"/>
        <v>0</v>
      </c>
      <c r="Y46" s="915">
        <f t="shared" si="10"/>
        <v>0</v>
      </c>
      <c r="Z46" s="915">
        <f t="shared" si="13"/>
        <v>0</v>
      </c>
      <c r="AA46" s="915">
        <f t="shared" si="14"/>
        <v>0</v>
      </c>
      <c r="AB46" s="915">
        <f t="shared" si="15"/>
        <v>0</v>
      </c>
      <c r="AC46" s="915">
        <f t="shared" si="16"/>
        <v>0</v>
      </c>
      <c r="AD46" s="915">
        <f t="shared" si="17"/>
        <v>0</v>
      </c>
      <c r="AE46" s="915">
        <f t="shared" si="18"/>
        <v>0</v>
      </c>
      <c r="AF46" s="915">
        <f t="shared" si="19"/>
        <v>0</v>
      </c>
      <c r="AG46" s="915">
        <f t="shared" si="20"/>
        <v>0</v>
      </c>
      <c r="AH46" s="915">
        <f t="shared" si="21"/>
        <v>0</v>
      </c>
      <c r="AI46" s="915">
        <f t="shared" si="22"/>
        <v>0</v>
      </c>
      <c r="AJ46" s="915">
        <f t="shared" si="23"/>
        <v>0</v>
      </c>
      <c r="AK46" s="915">
        <f t="shared" si="24"/>
        <v>0</v>
      </c>
      <c r="AL46" s="915">
        <f t="shared" si="25"/>
        <v>0</v>
      </c>
      <c r="AM46" s="915">
        <f t="shared" si="26"/>
        <v>0</v>
      </c>
      <c r="AN46" s="915">
        <f t="shared" si="27"/>
        <v>0</v>
      </c>
      <c r="AO46" s="915">
        <f t="shared" si="28"/>
        <v>0</v>
      </c>
      <c r="AP46" s="915">
        <f t="shared" si="29"/>
        <v>0</v>
      </c>
      <c r="AQ46" s="915">
        <f t="shared" si="30"/>
        <v>0</v>
      </c>
      <c r="AR46" s="915">
        <f t="shared" si="31"/>
        <v>0</v>
      </c>
      <c r="AS46" s="915">
        <f t="shared" si="32"/>
        <v>0</v>
      </c>
      <c r="AT46" s="915">
        <f t="shared" si="33"/>
        <v>0</v>
      </c>
      <c r="AU46" s="915">
        <f t="shared" si="34"/>
        <v>0</v>
      </c>
      <c r="AV46" s="915">
        <f t="shared" si="35"/>
        <v>0</v>
      </c>
      <c r="AW46" s="915">
        <f t="shared" si="36"/>
        <v>0</v>
      </c>
      <c r="AX46" s="915">
        <f t="shared" si="37"/>
        <v>0</v>
      </c>
      <c r="AY46" s="915">
        <f t="shared" si="38"/>
        <v>0</v>
      </c>
      <c r="AZ46" s="915">
        <f t="shared" si="39"/>
        <v>0</v>
      </c>
      <c r="BA46" s="915">
        <f t="shared" si="40"/>
        <v>0</v>
      </c>
      <c r="BB46" s="915">
        <f t="shared" si="41"/>
        <v>0</v>
      </c>
      <c r="BC46" s="915">
        <f t="shared" si="42"/>
        <v>0</v>
      </c>
      <c r="BD46" s="915">
        <f t="shared" si="43"/>
        <v>0</v>
      </c>
      <c r="BE46" s="915">
        <f t="shared" si="44"/>
        <v>0</v>
      </c>
      <c r="BF46" s="915">
        <f t="shared" si="45"/>
        <v>0</v>
      </c>
      <c r="BG46" s="915">
        <f t="shared" si="46"/>
        <v>0</v>
      </c>
      <c r="BH46" s="915">
        <f t="shared" si="47"/>
        <v>0</v>
      </c>
      <c r="BI46" s="915">
        <f t="shared" si="48"/>
        <v>7.42</v>
      </c>
      <c r="BJ46" s="915">
        <f t="shared" si="49"/>
        <v>0</v>
      </c>
      <c r="BK46" s="915">
        <f t="shared" si="50"/>
        <v>0</v>
      </c>
      <c r="BL46" s="915">
        <f t="shared" si="51"/>
        <v>0</v>
      </c>
      <c r="BM46" s="915">
        <f t="shared" si="52"/>
        <v>0</v>
      </c>
      <c r="BN46" s="915">
        <f t="shared" si="53"/>
        <v>0</v>
      </c>
      <c r="BO46" s="915">
        <f t="shared" si="54"/>
        <v>0</v>
      </c>
      <c r="BP46" s="915">
        <f t="shared" si="55"/>
        <v>0</v>
      </c>
      <c r="BQ46" s="915">
        <f t="shared" si="56"/>
        <v>0</v>
      </c>
      <c r="BR46" s="915">
        <f t="shared" si="57"/>
        <v>0</v>
      </c>
      <c r="BS46" s="915">
        <f t="shared" si="58"/>
        <v>0</v>
      </c>
      <c r="BT46" s="915">
        <f t="shared" si="59"/>
        <v>0</v>
      </c>
      <c r="BU46" s="915">
        <f t="shared" si="60"/>
        <v>0</v>
      </c>
      <c r="BV46" s="915">
        <f t="shared" si="61"/>
        <v>0</v>
      </c>
      <c r="BW46" s="915">
        <f t="shared" si="62"/>
        <v>0</v>
      </c>
      <c r="BX46" s="915">
        <f t="shared" si="63"/>
        <v>0</v>
      </c>
      <c r="BY46" s="915">
        <f t="shared" si="64"/>
        <v>0</v>
      </c>
      <c r="BZ46" s="915">
        <f t="shared" si="65"/>
        <v>0</v>
      </c>
      <c r="CA46" s="915">
        <f t="shared" si="66"/>
        <v>0</v>
      </c>
      <c r="CB46" s="915">
        <f t="shared" si="67"/>
        <v>0</v>
      </c>
      <c r="CC46" s="915">
        <f t="shared" si="68"/>
        <v>0</v>
      </c>
      <c r="CD46" s="915">
        <f t="shared" si="69"/>
        <v>0</v>
      </c>
      <c r="CE46" s="915">
        <f t="shared" si="70"/>
        <v>0</v>
      </c>
      <c r="CF46" s="915">
        <f t="shared" si="71"/>
        <v>0</v>
      </c>
      <c r="CG46" s="915">
        <f t="shared" si="72"/>
        <v>0</v>
      </c>
      <c r="CH46" s="915">
        <f t="shared" si="73"/>
        <v>0</v>
      </c>
      <c r="CI46" s="915">
        <f t="shared" si="74"/>
        <v>0</v>
      </c>
      <c r="CJ46" s="915">
        <f t="shared" si="75"/>
        <v>0</v>
      </c>
      <c r="CK46" s="915">
        <f t="shared" si="76"/>
        <v>0</v>
      </c>
      <c r="CL46" s="915">
        <f t="shared" si="77"/>
        <v>0</v>
      </c>
      <c r="CM46" s="915">
        <f t="shared" si="78"/>
        <v>0</v>
      </c>
      <c r="CN46" s="915">
        <f t="shared" si="79"/>
        <v>0</v>
      </c>
      <c r="CO46" s="915">
        <f t="shared" si="80"/>
        <v>0</v>
      </c>
      <c r="CP46" s="915">
        <f t="shared" si="81"/>
        <v>0</v>
      </c>
      <c r="CQ46" s="915">
        <f t="shared" si="82"/>
        <v>0</v>
      </c>
      <c r="CR46" s="915">
        <f t="shared" si="83"/>
        <v>0</v>
      </c>
      <c r="CS46" s="915">
        <f t="shared" si="84"/>
        <v>0</v>
      </c>
      <c r="CT46" s="915">
        <f t="shared" si="85"/>
        <v>0</v>
      </c>
      <c r="CU46" s="915">
        <f t="shared" si="86"/>
        <v>0</v>
      </c>
      <c r="CV46" s="915">
        <f t="shared" si="87"/>
        <v>0</v>
      </c>
      <c r="CW46" s="915">
        <f t="shared" si="88"/>
        <v>0</v>
      </c>
      <c r="CX46" s="915">
        <f t="shared" si="89"/>
        <v>0</v>
      </c>
      <c r="CY46" s="915">
        <f t="shared" si="90"/>
        <v>0</v>
      </c>
      <c r="CZ46" s="915">
        <f t="shared" si="91"/>
        <v>0</v>
      </c>
      <c r="DA46" s="915">
        <f t="shared" si="92"/>
        <v>0</v>
      </c>
      <c r="DB46" s="915">
        <f t="shared" si="93"/>
        <v>0</v>
      </c>
      <c r="DC46" s="915">
        <f t="shared" si="94"/>
        <v>0</v>
      </c>
      <c r="DD46" s="915">
        <f t="shared" si="95"/>
        <v>0</v>
      </c>
      <c r="DE46" s="915">
        <f t="shared" si="96"/>
        <v>0</v>
      </c>
      <c r="DF46" s="915">
        <f t="shared" si="97"/>
        <v>0</v>
      </c>
      <c r="DG46" s="915">
        <f t="shared" si="98"/>
        <v>0</v>
      </c>
      <c r="DH46" s="915">
        <f t="shared" si="99"/>
        <v>0</v>
      </c>
      <c r="DI46" s="915">
        <f t="shared" si="100"/>
        <v>0</v>
      </c>
      <c r="DJ46" s="915">
        <f t="shared" si="101"/>
        <v>0</v>
      </c>
      <c r="DK46" s="915">
        <f t="shared" si="102"/>
        <v>0</v>
      </c>
      <c r="DL46" s="915">
        <f t="shared" si="103"/>
        <v>0</v>
      </c>
      <c r="DM46" s="915">
        <f t="shared" si="104"/>
        <v>0</v>
      </c>
      <c r="DN46" s="915">
        <f t="shared" si="105"/>
        <v>0</v>
      </c>
      <c r="DO46" s="915">
        <f t="shared" si="106"/>
        <v>0</v>
      </c>
      <c r="DP46" s="915">
        <f t="shared" si="107"/>
        <v>0</v>
      </c>
      <c r="DQ46" s="915">
        <f t="shared" si="108"/>
        <v>0</v>
      </c>
      <c r="DR46" s="915">
        <f t="shared" si="109"/>
        <v>0</v>
      </c>
      <c r="DS46" s="915">
        <f t="shared" si="110"/>
        <v>0</v>
      </c>
      <c r="DT46" s="915">
        <f t="shared" si="111"/>
        <v>0</v>
      </c>
      <c r="DU46" s="915">
        <f t="shared" si="112"/>
        <v>0</v>
      </c>
      <c r="DV46" s="915">
        <f t="shared" si="113"/>
        <v>0</v>
      </c>
      <c r="DW46" s="915">
        <f t="shared" si="114"/>
        <v>0</v>
      </c>
      <c r="DX46" s="915">
        <f t="shared" si="115"/>
        <v>0</v>
      </c>
      <c r="DY46" s="915">
        <f t="shared" si="116"/>
        <v>0</v>
      </c>
      <c r="DZ46" s="915">
        <f t="shared" si="117"/>
        <v>0</v>
      </c>
      <c r="EA46" s="915">
        <f t="shared" si="118"/>
        <v>0</v>
      </c>
      <c r="EB46" s="915">
        <f t="shared" si="119"/>
        <v>0</v>
      </c>
      <c r="EC46" s="915">
        <f t="shared" si="120"/>
        <v>0</v>
      </c>
      <c r="ED46" s="915">
        <f t="shared" si="121"/>
        <v>0</v>
      </c>
      <c r="EE46" s="915">
        <f t="shared" si="122"/>
        <v>0</v>
      </c>
      <c r="EF46" s="915">
        <f t="shared" si="123"/>
        <v>0</v>
      </c>
      <c r="EG46" s="915">
        <f t="shared" si="124"/>
        <v>0</v>
      </c>
      <c r="EH46" s="915">
        <f t="shared" si="125"/>
        <v>0</v>
      </c>
      <c r="EI46" s="915">
        <f t="shared" si="126"/>
        <v>0</v>
      </c>
      <c r="EJ46" s="915">
        <f t="shared" si="127"/>
        <v>0</v>
      </c>
      <c r="EK46" s="915">
        <f t="shared" si="128"/>
        <v>0</v>
      </c>
      <c r="EL46" s="915">
        <f t="shared" si="129"/>
        <v>0</v>
      </c>
      <c r="EM46" s="915">
        <f t="shared" si="130"/>
        <v>0</v>
      </c>
      <c r="EN46" s="915">
        <f t="shared" si="131"/>
        <v>0</v>
      </c>
      <c r="EO46" s="915">
        <f t="shared" si="132"/>
        <v>0</v>
      </c>
      <c r="EP46" s="915">
        <f t="shared" si="133"/>
        <v>0</v>
      </c>
      <c r="EQ46" s="915">
        <f t="shared" si="134"/>
        <v>0</v>
      </c>
      <c r="ER46" s="915">
        <f t="shared" si="135"/>
        <v>0</v>
      </c>
      <c r="ES46" s="915">
        <f t="shared" si="136"/>
        <v>0</v>
      </c>
      <c r="ET46" s="915">
        <f t="shared" si="137"/>
        <v>0</v>
      </c>
      <c r="EU46" s="915">
        <f t="shared" si="138"/>
        <v>0</v>
      </c>
      <c r="EV46" s="915">
        <f t="shared" si="139"/>
        <v>0</v>
      </c>
      <c r="EW46" s="915">
        <f t="shared" si="140"/>
        <v>0</v>
      </c>
      <c r="EX46" s="915">
        <f t="shared" si="141"/>
        <v>0</v>
      </c>
      <c r="EY46" s="915">
        <f t="shared" si="142"/>
        <v>0</v>
      </c>
      <c r="EZ46" s="915">
        <f t="shared" si="143"/>
        <v>0</v>
      </c>
      <c r="FA46" s="915">
        <f t="shared" si="144"/>
        <v>0</v>
      </c>
      <c r="FB46" s="915">
        <f t="shared" si="145"/>
        <v>0</v>
      </c>
      <c r="FC46" s="915">
        <f t="shared" si="146"/>
        <v>0</v>
      </c>
      <c r="FD46" s="915">
        <f t="shared" si="147"/>
        <v>0</v>
      </c>
      <c r="FE46" s="915">
        <f t="shared" si="148"/>
        <v>0</v>
      </c>
      <c r="FF46" s="915">
        <f t="shared" si="149"/>
        <v>0</v>
      </c>
      <c r="FG46" s="915">
        <f t="shared" si="150"/>
        <v>0</v>
      </c>
      <c r="FH46" s="915">
        <f t="shared" si="151"/>
        <v>0</v>
      </c>
      <c r="FI46" s="915">
        <f t="shared" si="152"/>
        <v>0</v>
      </c>
      <c r="FJ46" s="915">
        <f t="shared" si="153"/>
        <v>0</v>
      </c>
      <c r="FK46" s="915">
        <f t="shared" si="154"/>
        <v>0</v>
      </c>
      <c r="FL46" s="915">
        <f t="shared" si="155"/>
        <v>0</v>
      </c>
      <c r="FM46" s="915">
        <f t="shared" si="156"/>
        <v>0</v>
      </c>
      <c r="FN46" s="915">
        <f t="shared" si="157"/>
        <v>0</v>
      </c>
      <c r="FO46" s="915">
        <f t="shared" si="158"/>
        <v>0</v>
      </c>
      <c r="FP46" s="915">
        <f t="shared" si="159"/>
        <v>0</v>
      </c>
      <c r="FQ46" s="915">
        <f t="shared" si="160"/>
        <v>0</v>
      </c>
      <c r="FR46" s="915">
        <f t="shared" si="161"/>
        <v>0</v>
      </c>
      <c r="FS46" s="915">
        <f t="shared" si="162"/>
        <v>0</v>
      </c>
      <c r="FT46" s="915">
        <f t="shared" si="163"/>
        <v>0</v>
      </c>
      <c r="FU46" s="915">
        <f t="shared" si="164"/>
        <v>0</v>
      </c>
      <c r="FV46" s="915">
        <f t="shared" si="165"/>
        <v>0</v>
      </c>
      <c r="FW46" s="915">
        <f t="shared" si="166"/>
        <v>0</v>
      </c>
      <c r="FX46" s="915">
        <f t="shared" si="167"/>
        <v>0</v>
      </c>
      <c r="FY46" s="915">
        <f t="shared" si="168"/>
        <v>0</v>
      </c>
      <c r="FZ46" s="915">
        <f t="shared" si="169"/>
        <v>0</v>
      </c>
    </row>
    <row r="47" spans="1:182" ht="14.1" customHeight="1" x14ac:dyDescent="0.2">
      <c r="A47" s="497">
        <v>40</v>
      </c>
      <c r="B47" s="1423"/>
      <c r="C47" s="1424"/>
      <c r="D47" s="138">
        <v>5</v>
      </c>
      <c r="E47" s="1020" t="s">
        <v>27</v>
      </c>
      <c r="F47" s="139" t="s">
        <v>2544</v>
      </c>
      <c r="G47" s="139" t="s">
        <v>2542</v>
      </c>
      <c r="H47" s="100">
        <v>7</v>
      </c>
      <c r="I47" s="119">
        <f t="shared" ref="I47:I48" si="170">IF(ISTEXT(K47),0,StateTaxSub*G47*H47)</f>
        <v>0.42</v>
      </c>
      <c r="J47" s="90">
        <f t="shared" ref="J47:J48" si="171">(G47*H47)+I47</f>
        <v>7.42</v>
      </c>
      <c r="K47" s="225"/>
      <c r="N47" s="942">
        <f>BJ6</f>
        <v>7.42</v>
      </c>
      <c r="O47" s="879" t="str">
        <f>"Contractor Labor for " &amp; TabName5</f>
        <v>Contractor Labor for Phase 5</v>
      </c>
      <c r="P47" s="950" t="s">
        <v>275</v>
      </c>
      <c r="W47" s="915">
        <f t="shared" si="8"/>
        <v>0</v>
      </c>
      <c r="X47" s="915">
        <f t="shared" si="9"/>
        <v>0</v>
      </c>
      <c r="Y47" s="915">
        <f t="shared" si="10"/>
        <v>0</v>
      </c>
      <c r="Z47" s="915">
        <f t="shared" si="13"/>
        <v>0</v>
      </c>
      <c r="AA47" s="915">
        <f t="shared" si="14"/>
        <v>0</v>
      </c>
      <c r="AB47" s="915">
        <f t="shared" si="15"/>
        <v>0</v>
      </c>
      <c r="AC47" s="915">
        <f t="shared" si="16"/>
        <v>0</v>
      </c>
      <c r="AD47" s="915">
        <f t="shared" si="17"/>
        <v>0</v>
      </c>
      <c r="AE47" s="915">
        <f t="shared" si="18"/>
        <v>0</v>
      </c>
      <c r="AF47" s="915">
        <f t="shared" si="19"/>
        <v>0</v>
      </c>
      <c r="AG47" s="915">
        <f t="shared" si="20"/>
        <v>0</v>
      </c>
      <c r="AH47" s="915">
        <f t="shared" si="21"/>
        <v>0</v>
      </c>
      <c r="AI47" s="915">
        <f t="shared" si="22"/>
        <v>0</v>
      </c>
      <c r="AJ47" s="915">
        <f t="shared" si="23"/>
        <v>0</v>
      </c>
      <c r="AK47" s="915">
        <f t="shared" si="24"/>
        <v>0</v>
      </c>
      <c r="AL47" s="915">
        <f t="shared" si="25"/>
        <v>0</v>
      </c>
      <c r="AM47" s="915">
        <f t="shared" si="26"/>
        <v>0</v>
      </c>
      <c r="AN47" s="915">
        <f t="shared" si="27"/>
        <v>0</v>
      </c>
      <c r="AO47" s="915">
        <f t="shared" si="28"/>
        <v>0</v>
      </c>
      <c r="AP47" s="915">
        <f t="shared" si="29"/>
        <v>0</v>
      </c>
      <c r="AQ47" s="915">
        <f t="shared" si="30"/>
        <v>0</v>
      </c>
      <c r="AR47" s="915">
        <f t="shared" si="31"/>
        <v>0</v>
      </c>
      <c r="AS47" s="915">
        <f t="shared" si="32"/>
        <v>0</v>
      </c>
      <c r="AT47" s="915">
        <f t="shared" si="33"/>
        <v>0</v>
      </c>
      <c r="AU47" s="915">
        <f t="shared" si="34"/>
        <v>0</v>
      </c>
      <c r="AV47" s="915">
        <f t="shared" si="35"/>
        <v>0</v>
      </c>
      <c r="AW47" s="915">
        <f t="shared" si="36"/>
        <v>0</v>
      </c>
      <c r="AX47" s="915">
        <f t="shared" si="37"/>
        <v>0</v>
      </c>
      <c r="AY47" s="915">
        <f t="shared" si="38"/>
        <v>0</v>
      </c>
      <c r="AZ47" s="915">
        <f t="shared" si="39"/>
        <v>0</v>
      </c>
      <c r="BA47" s="915">
        <f t="shared" si="40"/>
        <v>0</v>
      </c>
      <c r="BB47" s="915">
        <f t="shared" si="41"/>
        <v>0</v>
      </c>
      <c r="BC47" s="915">
        <f t="shared" si="42"/>
        <v>0</v>
      </c>
      <c r="BD47" s="915">
        <f t="shared" si="43"/>
        <v>0</v>
      </c>
      <c r="BE47" s="915">
        <f t="shared" si="44"/>
        <v>0</v>
      </c>
      <c r="BF47" s="915">
        <f t="shared" si="45"/>
        <v>0</v>
      </c>
      <c r="BG47" s="915">
        <f t="shared" si="46"/>
        <v>0</v>
      </c>
      <c r="BH47" s="915">
        <f t="shared" si="47"/>
        <v>0</v>
      </c>
      <c r="BI47" s="915">
        <f t="shared" si="48"/>
        <v>0</v>
      </c>
      <c r="BJ47" s="915">
        <f t="shared" si="49"/>
        <v>7.42</v>
      </c>
      <c r="BK47" s="915">
        <f t="shared" si="50"/>
        <v>0</v>
      </c>
      <c r="BL47" s="915">
        <f t="shared" si="51"/>
        <v>0</v>
      </c>
      <c r="BM47" s="915">
        <f t="shared" si="52"/>
        <v>0</v>
      </c>
      <c r="BN47" s="915">
        <f t="shared" si="53"/>
        <v>0</v>
      </c>
      <c r="BO47" s="915">
        <f t="shared" si="54"/>
        <v>0</v>
      </c>
      <c r="BP47" s="915">
        <f t="shared" si="55"/>
        <v>0</v>
      </c>
      <c r="BQ47" s="915">
        <f t="shared" si="56"/>
        <v>0</v>
      </c>
      <c r="BR47" s="915">
        <f t="shared" si="57"/>
        <v>0</v>
      </c>
      <c r="BS47" s="915">
        <f t="shared" si="58"/>
        <v>0</v>
      </c>
      <c r="BT47" s="915">
        <f t="shared" si="59"/>
        <v>0</v>
      </c>
      <c r="BU47" s="915">
        <f t="shared" si="60"/>
        <v>0</v>
      </c>
      <c r="BV47" s="915">
        <f t="shared" si="61"/>
        <v>0</v>
      </c>
      <c r="BW47" s="915">
        <f t="shared" si="62"/>
        <v>0</v>
      </c>
      <c r="BX47" s="915">
        <f t="shared" si="63"/>
        <v>0</v>
      </c>
      <c r="BY47" s="915">
        <f t="shared" si="64"/>
        <v>0</v>
      </c>
      <c r="BZ47" s="915">
        <f t="shared" si="65"/>
        <v>0</v>
      </c>
      <c r="CA47" s="915">
        <f t="shared" si="66"/>
        <v>0</v>
      </c>
      <c r="CB47" s="915">
        <f t="shared" si="67"/>
        <v>0</v>
      </c>
      <c r="CC47" s="915">
        <f t="shared" si="68"/>
        <v>0</v>
      </c>
      <c r="CD47" s="915">
        <f t="shared" si="69"/>
        <v>0</v>
      </c>
      <c r="CE47" s="915">
        <f t="shared" si="70"/>
        <v>0</v>
      </c>
      <c r="CF47" s="915">
        <f t="shared" si="71"/>
        <v>0</v>
      </c>
      <c r="CG47" s="915">
        <f t="shared" si="72"/>
        <v>0</v>
      </c>
      <c r="CH47" s="915">
        <f t="shared" si="73"/>
        <v>0</v>
      </c>
      <c r="CI47" s="915">
        <f t="shared" si="74"/>
        <v>0</v>
      </c>
      <c r="CJ47" s="915">
        <f t="shared" si="75"/>
        <v>0</v>
      </c>
      <c r="CK47" s="915">
        <f t="shared" si="76"/>
        <v>0</v>
      </c>
      <c r="CL47" s="915">
        <f t="shared" si="77"/>
        <v>0</v>
      </c>
      <c r="CM47" s="915">
        <f t="shared" si="78"/>
        <v>0</v>
      </c>
      <c r="CN47" s="915">
        <f t="shared" si="79"/>
        <v>0</v>
      </c>
      <c r="CO47" s="915">
        <f t="shared" si="80"/>
        <v>0</v>
      </c>
      <c r="CP47" s="915">
        <f t="shared" si="81"/>
        <v>0</v>
      </c>
      <c r="CQ47" s="915">
        <f t="shared" si="82"/>
        <v>0</v>
      </c>
      <c r="CR47" s="915">
        <f t="shared" si="83"/>
        <v>0</v>
      </c>
      <c r="CS47" s="915">
        <f t="shared" si="84"/>
        <v>0</v>
      </c>
      <c r="CT47" s="915">
        <f t="shared" si="85"/>
        <v>0</v>
      </c>
      <c r="CU47" s="915">
        <f t="shared" si="86"/>
        <v>0</v>
      </c>
      <c r="CV47" s="915">
        <f t="shared" si="87"/>
        <v>0</v>
      </c>
      <c r="CW47" s="915">
        <f t="shared" si="88"/>
        <v>0</v>
      </c>
      <c r="CX47" s="915">
        <f t="shared" si="89"/>
        <v>0</v>
      </c>
      <c r="CY47" s="915">
        <f t="shared" si="90"/>
        <v>0</v>
      </c>
      <c r="CZ47" s="915">
        <f t="shared" si="91"/>
        <v>0</v>
      </c>
      <c r="DA47" s="915">
        <f t="shared" si="92"/>
        <v>0</v>
      </c>
      <c r="DB47" s="915">
        <f t="shared" si="93"/>
        <v>0</v>
      </c>
      <c r="DC47" s="915">
        <f t="shared" si="94"/>
        <v>0</v>
      </c>
      <c r="DD47" s="915">
        <f t="shared" si="95"/>
        <v>0</v>
      </c>
      <c r="DE47" s="915">
        <f t="shared" si="96"/>
        <v>0</v>
      </c>
      <c r="DF47" s="915">
        <f t="shared" si="97"/>
        <v>0</v>
      </c>
      <c r="DG47" s="915">
        <f t="shared" si="98"/>
        <v>0</v>
      </c>
      <c r="DH47" s="915">
        <f t="shared" si="99"/>
        <v>0</v>
      </c>
      <c r="DI47" s="915">
        <f t="shared" si="100"/>
        <v>0</v>
      </c>
      <c r="DJ47" s="915">
        <f t="shared" si="101"/>
        <v>0</v>
      </c>
      <c r="DK47" s="915">
        <f t="shared" si="102"/>
        <v>0</v>
      </c>
      <c r="DL47" s="915">
        <f t="shared" si="103"/>
        <v>0</v>
      </c>
      <c r="DM47" s="915">
        <f t="shared" si="104"/>
        <v>0</v>
      </c>
      <c r="DN47" s="915">
        <f t="shared" si="105"/>
        <v>0</v>
      </c>
      <c r="DO47" s="915">
        <f t="shared" si="106"/>
        <v>0</v>
      </c>
      <c r="DP47" s="915">
        <f t="shared" si="107"/>
        <v>0</v>
      </c>
      <c r="DQ47" s="915">
        <f t="shared" si="108"/>
        <v>0</v>
      </c>
      <c r="DR47" s="915">
        <f t="shared" si="109"/>
        <v>0</v>
      </c>
      <c r="DS47" s="915">
        <f t="shared" si="110"/>
        <v>0</v>
      </c>
      <c r="DT47" s="915">
        <f t="shared" si="111"/>
        <v>0</v>
      </c>
      <c r="DU47" s="915">
        <f t="shared" si="112"/>
        <v>0</v>
      </c>
      <c r="DV47" s="915">
        <f t="shared" si="113"/>
        <v>0</v>
      </c>
      <c r="DW47" s="915">
        <f t="shared" si="114"/>
        <v>0</v>
      </c>
      <c r="DX47" s="915">
        <f t="shared" si="115"/>
        <v>0</v>
      </c>
      <c r="DY47" s="915">
        <f t="shared" si="116"/>
        <v>0</v>
      </c>
      <c r="DZ47" s="915">
        <f t="shared" si="117"/>
        <v>0</v>
      </c>
      <c r="EA47" s="915">
        <f t="shared" si="118"/>
        <v>0</v>
      </c>
      <c r="EB47" s="915">
        <f t="shared" si="119"/>
        <v>0</v>
      </c>
      <c r="EC47" s="915">
        <f t="shared" si="120"/>
        <v>0</v>
      </c>
      <c r="ED47" s="915">
        <f t="shared" si="121"/>
        <v>0</v>
      </c>
      <c r="EE47" s="915">
        <f t="shared" si="122"/>
        <v>0</v>
      </c>
      <c r="EF47" s="915">
        <f t="shared" si="123"/>
        <v>0</v>
      </c>
      <c r="EG47" s="915">
        <f t="shared" si="124"/>
        <v>0</v>
      </c>
      <c r="EH47" s="915">
        <f t="shared" si="125"/>
        <v>0</v>
      </c>
      <c r="EI47" s="915">
        <f t="shared" si="126"/>
        <v>0</v>
      </c>
      <c r="EJ47" s="915">
        <f t="shared" si="127"/>
        <v>0</v>
      </c>
      <c r="EK47" s="915">
        <f t="shared" si="128"/>
        <v>0</v>
      </c>
      <c r="EL47" s="915">
        <f t="shared" si="129"/>
        <v>0</v>
      </c>
      <c r="EM47" s="915">
        <f t="shared" si="130"/>
        <v>0</v>
      </c>
      <c r="EN47" s="915">
        <f t="shared" si="131"/>
        <v>0</v>
      </c>
      <c r="EO47" s="915">
        <f t="shared" si="132"/>
        <v>0</v>
      </c>
      <c r="EP47" s="915">
        <f t="shared" si="133"/>
        <v>0</v>
      </c>
      <c r="EQ47" s="915">
        <f t="shared" si="134"/>
        <v>0</v>
      </c>
      <c r="ER47" s="915">
        <f t="shared" si="135"/>
        <v>0</v>
      </c>
      <c r="ES47" s="915">
        <f t="shared" si="136"/>
        <v>0</v>
      </c>
      <c r="ET47" s="915">
        <f t="shared" si="137"/>
        <v>0</v>
      </c>
      <c r="EU47" s="915">
        <f t="shared" si="138"/>
        <v>0</v>
      </c>
      <c r="EV47" s="915">
        <f t="shared" si="139"/>
        <v>0</v>
      </c>
      <c r="EW47" s="915">
        <f t="shared" si="140"/>
        <v>0</v>
      </c>
      <c r="EX47" s="915">
        <f t="shared" si="141"/>
        <v>0</v>
      </c>
      <c r="EY47" s="915">
        <f t="shared" si="142"/>
        <v>0</v>
      </c>
      <c r="EZ47" s="915">
        <f t="shared" si="143"/>
        <v>0</v>
      </c>
      <c r="FA47" s="915">
        <f t="shared" si="144"/>
        <v>0</v>
      </c>
      <c r="FB47" s="915">
        <f t="shared" si="145"/>
        <v>0</v>
      </c>
      <c r="FC47" s="915">
        <f t="shared" si="146"/>
        <v>0</v>
      </c>
      <c r="FD47" s="915">
        <f t="shared" si="147"/>
        <v>0</v>
      </c>
      <c r="FE47" s="915">
        <f t="shared" si="148"/>
        <v>0</v>
      </c>
      <c r="FF47" s="915">
        <f t="shared" si="149"/>
        <v>0</v>
      </c>
      <c r="FG47" s="915">
        <f t="shared" si="150"/>
        <v>0</v>
      </c>
      <c r="FH47" s="915">
        <f t="shared" si="151"/>
        <v>0</v>
      </c>
      <c r="FI47" s="915">
        <f t="shared" si="152"/>
        <v>0</v>
      </c>
      <c r="FJ47" s="915">
        <f t="shared" si="153"/>
        <v>0</v>
      </c>
      <c r="FK47" s="915">
        <f t="shared" si="154"/>
        <v>0</v>
      </c>
      <c r="FL47" s="915">
        <f t="shared" si="155"/>
        <v>0</v>
      </c>
      <c r="FM47" s="915">
        <f t="shared" si="156"/>
        <v>0</v>
      </c>
      <c r="FN47" s="915">
        <f t="shared" si="157"/>
        <v>0</v>
      </c>
      <c r="FO47" s="915">
        <f t="shared" si="158"/>
        <v>0</v>
      </c>
      <c r="FP47" s="915">
        <f t="shared" si="159"/>
        <v>0</v>
      </c>
      <c r="FQ47" s="915">
        <f t="shared" si="160"/>
        <v>0</v>
      </c>
      <c r="FR47" s="915">
        <f t="shared" si="161"/>
        <v>0</v>
      </c>
      <c r="FS47" s="915">
        <f t="shared" si="162"/>
        <v>0</v>
      </c>
      <c r="FT47" s="915">
        <f t="shared" si="163"/>
        <v>0</v>
      </c>
      <c r="FU47" s="915">
        <f t="shared" si="164"/>
        <v>0</v>
      </c>
      <c r="FV47" s="915">
        <f t="shared" si="165"/>
        <v>0</v>
      </c>
      <c r="FW47" s="915">
        <f t="shared" si="166"/>
        <v>0</v>
      </c>
      <c r="FX47" s="915">
        <f t="shared" si="167"/>
        <v>0</v>
      </c>
      <c r="FY47" s="915">
        <f t="shared" si="168"/>
        <v>0</v>
      </c>
      <c r="FZ47" s="915">
        <f t="shared" si="169"/>
        <v>0</v>
      </c>
    </row>
    <row r="48" spans="1:182" x14ac:dyDescent="0.2">
      <c r="A48" s="496">
        <v>41</v>
      </c>
      <c r="B48" s="1419"/>
      <c r="C48" s="1433"/>
      <c r="D48" s="264">
        <v>6</v>
      </c>
      <c r="E48" s="264" t="s">
        <v>193</v>
      </c>
      <c r="F48" s="270" t="s">
        <v>2544</v>
      </c>
      <c r="G48" s="270" t="s">
        <v>2542</v>
      </c>
      <c r="H48" s="272">
        <v>7</v>
      </c>
      <c r="I48" s="268">
        <f t="shared" si="170"/>
        <v>0.42</v>
      </c>
      <c r="J48" s="269">
        <f t="shared" si="171"/>
        <v>7.42</v>
      </c>
      <c r="K48" s="225"/>
      <c r="N48" s="942">
        <f>BK6</f>
        <v>7.42</v>
      </c>
      <c r="O48" s="915" t="str">
        <f>"Boring/Monitoring Wells for "&amp;TabName6</f>
        <v>Boring/Monitoring Wells for Phase 6</v>
      </c>
      <c r="P48" s="949" t="s">
        <v>283</v>
      </c>
      <c r="W48" s="915">
        <f t="shared" si="8"/>
        <v>0</v>
      </c>
      <c r="X48" s="915">
        <f t="shared" si="9"/>
        <v>0</v>
      </c>
      <c r="Y48" s="915">
        <f t="shared" si="10"/>
        <v>0</v>
      </c>
      <c r="Z48" s="915">
        <f t="shared" si="13"/>
        <v>0</v>
      </c>
      <c r="AA48" s="915">
        <f t="shared" si="14"/>
        <v>0</v>
      </c>
      <c r="AB48" s="915">
        <f t="shared" si="15"/>
        <v>0</v>
      </c>
      <c r="AC48" s="915">
        <f t="shared" si="16"/>
        <v>0</v>
      </c>
      <c r="AD48" s="915">
        <f t="shared" si="17"/>
        <v>0</v>
      </c>
      <c r="AE48" s="915">
        <f t="shared" si="18"/>
        <v>0</v>
      </c>
      <c r="AF48" s="915">
        <f t="shared" si="19"/>
        <v>0</v>
      </c>
      <c r="AG48" s="915">
        <f t="shared" si="20"/>
        <v>0</v>
      </c>
      <c r="AH48" s="915">
        <f t="shared" si="21"/>
        <v>0</v>
      </c>
      <c r="AI48" s="915">
        <f t="shared" si="22"/>
        <v>0</v>
      </c>
      <c r="AJ48" s="915">
        <f t="shared" si="23"/>
        <v>0</v>
      </c>
      <c r="AK48" s="915">
        <f t="shared" si="24"/>
        <v>0</v>
      </c>
      <c r="AL48" s="915">
        <f t="shared" si="25"/>
        <v>0</v>
      </c>
      <c r="AM48" s="915">
        <f t="shared" si="26"/>
        <v>0</v>
      </c>
      <c r="AN48" s="915">
        <f t="shared" si="27"/>
        <v>0</v>
      </c>
      <c r="AO48" s="915">
        <f t="shared" si="28"/>
        <v>0</v>
      </c>
      <c r="AP48" s="915">
        <f t="shared" si="29"/>
        <v>0</v>
      </c>
      <c r="AQ48" s="915">
        <f t="shared" si="30"/>
        <v>0</v>
      </c>
      <c r="AR48" s="915">
        <f t="shared" si="31"/>
        <v>0</v>
      </c>
      <c r="AS48" s="915">
        <f t="shared" si="32"/>
        <v>0</v>
      </c>
      <c r="AT48" s="915">
        <f t="shared" si="33"/>
        <v>0</v>
      </c>
      <c r="AU48" s="915">
        <f t="shared" si="34"/>
        <v>0</v>
      </c>
      <c r="AV48" s="915">
        <f t="shared" si="35"/>
        <v>0</v>
      </c>
      <c r="AW48" s="915">
        <f t="shared" si="36"/>
        <v>0</v>
      </c>
      <c r="AX48" s="915">
        <f t="shared" si="37"/>
        <v>0</v>
      </c>
      <c r="AY48" s="915">
        <f t="shared" si="38"/>
        <v>0</v>
      </c>
      <c r="AZ48" s="915">
        <f t="shared" si="39"/>
        <v>0</v>
      </c>
      <c r="BA48" s="915">
        <f t="shared" si="40"/>
        <v>0</v>
      </c>
      <c r="BB48" s="915">
        <f t="shared" si="41"/>
        <v>0</v>
      </c>
      <c r="BC48" s="915">
        <f t="shared" si="42"/>
        <v>0</v>
      </c>
      <c r="BD48" s="915">
        <f t="shared" si="43"/>
        <v>0</v>
      </c>
      <c r="BE48" s="915">
        <f t="shared" si="44"/>
        <v>0</v>
      </c>
      <c r="BF48" s="915">
        <f t="shared" si="45"/>
        <v>0</v>
      </c>
      <c r="BG48" s="915">
        <f t="shared" si="46"/>
        <v>0</v>
      </c>
      <c r="BH48" s="915">
        <f t="shared" si="47"/>
        <v>0</v>
      </c>
      <c r="BI48" s="915">
        <f t="shared" si="48"/>
        <v>0</v>
      </c>
      <c r="BJ48" s="915">
        <f t="shared" si="49"/>
        <v>0</v>
      </c>
      <c r="BK48" s="915">
        <f t="shared" si="50"/>
        <v>7.42</v>
      </c>
      <c r="BL48" s="915">
        <f t="shared" si="51"/>
        <v>0</v>
      </c>
      <c r="BM48" s="915">
        <f t="shared" si="52"/>
        <v>0</v>
      </c>
      <c r="BN48" s="915">
        <f t="shared" si="53"/>
        <v>0</v>
      </c>
      <c r="BO48" s="915">
        <f t="shared" si="54"/>
        <v>0</v>
      </c>
      <c r="BP48" s="915">
        <f t="shared" si="55"/>
        <v>0</v>
      </c>
      <c r="BQ48" s="915">
        <f t="shared" si="56"/>
        <v>0</v>
      </c>
      <c r="BR48" s="915">
        <f t="shared" si="57"/>
        <v>0</v>
      </c>
      <c r="BS48" s="915">
        <f t="shared" si="58"/>
        <v>0</v>
      </c>
      <c r="BT48" s="915">
        <f t="shared" si="59"/>
        <v>0</v>
      </c>
      <c r="BU48" s="915">
        <f t="shared" si="60"/>
        <v>0</v>
      </c>
      <c r="BV48" s="915">
        <f t="shared" si="61"/>
        <v>0</v>
      </c>
      <c r="BW48" s="915">
        <f t="shared" si="62"/>
        <v>0</v>
      </c>
      <c r="BX48" s="915">
        <f t="shared" si="63"/>
        <v>0</v>
      </c>
      <c r="BY48" s="915">
        <f t="shared" si="64"/>
        <v>0</v>
      </c>
      <c r="BZ48" s="915">
        <f t="shared" si="65"/>
        <v>0</v>
      </c>
      <c r="CA48" s="915">
        <f t="shared" si="66"/>
        <v>0</v>
      </c>
      <c r="CB48" s="915">
        <f t="shared" si="67"/>
        <v>0</v>
      </c>
      <c r="CC48" s="915">
        <f t="shared" si="68"/>
        <v>0</v>
      </c>
      <c r="CD48" s="915">
        <f t="shared" si="69"/>
        <v>0</v>
      </c>
      <c r="CE48" s="915">
        <f t="shared" si="70"/>
        <v>0</v>
      </c>
      <c r="CF48" s="915">
        <f t="shared" si="71"/>
        <v>0</v>
      </c>
      <c r="CG48" s="915">
        <f t="shared" si="72"/>
        <v>0</v>
      </c>
      <c r="CH48" s="915">
        <f t="shared" si="73"/>
        <v>0</v>
      </c>
      <c r="CI48" s="915">
        <f t="shared" si="74"/>
        <v>0</v>
      </c>
      <c r="CJ48" s="915">
        <f t="shared" si="75"/>
        <v>0</v>
      </c>
      <c r="CK48" s="915">
        <f t="shared" si="76"/>
        <v>0</v>
      </c>
      <c r="CL48" s="915">
        <f t="shared" si="77"/>
        <v>0</v>
      </c>
      <c r="CM48" s="915">
        <f t="shared" si="78"/>
        <v>0</v>
      </c>
      <c r="CN48" s="915">
        <f t="shared" si="79"/>
        <v>0</v>
      </c>
      <c r="CO48" s="915">
        <f t="shared" si="80"/>
        <v>0</v>
      </c>
      <c r="CP48" s="915">
        <f t="shared" si="81"/>
        <v>0</v>
      </c>
      <c r="CQ48" s="915">
        <f t="shared" si="82"/>
        <v>0</v>
      </c>
      <c r="CR48" s="915">
        <f t="shared" si="83"/>
        <v>0</v>
      </c>
      <c r="CS48" s="915">
        <f t="shared" si="84"/>
        <v>0</v>
      </c>
      <c r="CT48" s="915">
        <f t="shared" si="85"/>
        <v>0</v>
      </c>
      <c r="CU48" s="915">
        <f t="shared" si="86"/>
        <v>0</v>
      </c>
      <c r="CV48" s="915">
        <f t="shared" si="87"/>
        <v>0</v>
      </c>
      <c r="CW48" s="915">
        <f t="shared" si="88"/>
        <v>0</v>
      </c>
      <c r="CX48" s="915">
        <f t="shared" si="89"/>
        <v>0</v>
      </c>
      <c r="CY48" s="915">
        <f t="shared" si="90"/>
        <v>0</v>
      </c>
      <c r="CZ48" s="915">
        <f t="shared" si="91"/>
        <v>0</v>
      </c>
      <c r="DA48" s="915">
        <f t="shared" si="92"/>
        <v>0</v>
      </c>
      <c r="DB48" s="915">
        <f t="shared" si="93"/>
        <v>0</v>
      </c>
      <c r="DC48" s="915">
        <f t="shared" si="94"/>
        <v>0</v>
      </c>
      <c r="DD48" s="915">
        <f t="shared" si="95"/>
        <v>0</v>
      </c>
      <c r="DE48" s="915">
        <f t="shared" si="96"/>
        <v>0</v>
      </c>
      <c r="DF48" s="915">
        <f t="shared" si="97"/>
        <v>0</v>
      </c>
      <c r="DG48" s="915">
        <f t="shared" si="98"/>
        <v>0</v>
      </c>
      <c r="DH48" s="915">
        <f t="shared" si="99"/>
        <v>0</v>
      </c>
      <c r="DI48" s="915">
        <f t="shared" si="100"/>
        <v>0</v>
      </c>
      <c r="DJ48" s="915">
        <f t="shared" si="101"/>
        <v>0</v>
      </c>
      <c r="DK48" s="915">
        <f t="shared" si="102"/>
        <v>0</v>
      </c>
      <c r="DL48" s="915">
        <f t="shared" si="103"/>
        <v>0</v>
      </c>
      <c r="DM48" s="915">
        <f t="shared" si="104"/>
        <v>0</v>
      </c>
      <c r="DN48" s="915">
        <f t="shared" si="105"/>
        <v>0</v>
      </c>
      <c r="DO48" s="915">
        <f t="shared" si="106"/>
        <v>0</v>
      </c>
      <c r="DP48" s="915">
        <f t="shared" si="107"/>
        <v>0</v>
      </c>
      <c r="DQ48" s="915">
        <f t="shared" si="108"/>
        <v>0</v>
      </c>
      <c r="DR48" s="915">
        <f t="shared" si="109"/>
        <v>0</v>
      </c>
      <c r="DS48" s="915">
        <f t="shared" si="110"/>
        <v>0</v>
      </c>
      <c r="DT48" s="915">
        <f t="shared" si="111"/>
        <v>0</v>
      </c>
      <c r="DU48" s="915">
        <f t="shared" si="112"/>
        <v>0</v>
      </c>
      <c r="DV48" s="915">
        <f t="shared" si="113"/>
        <v>0</v>
      </c>
      <c r="DW48" s="915">
        <f t="shared" si="114"/>
        <v>0</v>
      </c>
      <c r="DX48" s="915">
        <f t="shared" si="115"/>
        <v>0</v>
      </c>
      <c r="DY48" s="915">
        <f t="shared" si="116"/>
        <v>0</v>
      </c>
      <c r="DZ48" s="915">
        <f t="shared" si="117"/>
        <v>0</v>
      </c>
      <c r="EA48" s="915">
        <f t="shared" si="118"/>
        <v>0</v>
      </c>
      <c r="EB48" s="915">
        <f t="shared" si="119"/>
        <v>0</v>
      </c>
      <c r="EC48" s="915">
        <f t="shared" si="120"/>
        <v>0</v>
      </c>
      <c r="ED48" s="915">
        <f t="shared" si="121"/>
        <v>0</v>
      </c>
      <c r="EE48" s="915">
        <f t="shared" si="122"/>
        <v>0</v>
      </c>
      <c r="EF48" s="915">
        <f t="shared" si="123"/>
        <v>0</v>
      </c>
      <c r="EG48" s="915">
        <f t="shared" si="124"/>
        <v>0</v>
      </c>
      <c r="EH48" s="915">
        <f t="shared" si="125"/>
        <v>0</v>
      </c>
      <c r="EI48" s="915">
        <f t="shared" si="126"/>
        <v>0</v>
      </c>
      <c r="EJ48" s="915">
        <f t="shared" si="127"/>
        <v>0</v>
      </c>
      <c r="EK48" s="915">
        <f t="shared" si="128"/>
        <v>0</v>
      </c>
      <c r="EL48" s="915">
        <f t="shared" si="129"/>
        <v>0</v>
      </c>
      <c r="EM48" s="915">
        <f t="shared" si="130"/>
        <v>0</v>
      </c>
      <c r="EN48" s="915">
        <f t="shared" si="131"/>
        <v>0</v>
      </c>
      <c r="EO48" s="915">
        <f t="shared" si="132"/>
        <v>0</v>
      </c>
      <c r="EP48" s="915">
        <f t="shared" si="133"/>
        <v>0</v>
      </c>
      <c r="EQ48" s="915">
        <f t="shared" si="134"/>
        <v>0</v>
      </c>
      <c r="ER48" s="915">
        <f t="shared" si="135"/>
        <v>0</v>
      </c>
      <c r="ES48" s="915">
        <f t="shared" si="136"/>
        <v>0</v>
      </c>
      <c r="ET48" s="915">
        <f t="shared" si="137"/>
        <v>0</v>
      </c>
      <c r="EU48" s="915">
        <f t="shared" si="138"/>
        <v>0</v>
      </c>
      <c r="EV48" s="915">
        <f t="shared" si="139"/>
        <v>0</v>
      </c>
      <c r="EW48" s="915">
        <f t="shared" si="140"/>
        <v>0</v>
      </c>
      <c r="EX48" s="915">
        <f t="shared" si="141"/>
        <v>0</v>
      </c>
      <c r="EY48" s="915">
        <f t="shared" si="142"/>
        <v>0</v>
      </c>
      <c r="EZ48" s="915">
        <f t="shared" si="143"/>
        <v>0</v>
      </c>
      <c r="FA48" s="915">
        <f t="shared" si="144"/>
        <v>0</v>
      </c>
      <c r="FB48" s="915">
        <f t="shared" si="145"/>
        <v>0</v>
      </c>
      <c r="FC48" s="915">
        <f t="shared" si="146"/>
        <v>0</v>
      </c>
      <c r="FD48" s="915">
        <f t="shared" si="147"/>
        <v>0</v>
      </c>
      <c r="FE48" s="915">
        <f t="shared" si="148"/>
        <v>0</v>
      </c>
      <c r="FF48" s="915">
        <f t="shared" si="149"/>
        <v>0</v>
      </c>
      <c r="FG48" s="915">
        <f t="shared" si="150"/>
        <v>0</v>
      </c>
      <c r="FH48" s="915">
        <f t="shared" si="151"/>
        <v>0</v>
      </c>
      <c r="FI48" s="915">
        <f t="shared" si="152"/>
        <v>0</v>
      </c>
      <c r="FJ48" s="915">
        <f t="shared" si="153"/>
        <v>0</v>
      </c>
      <c r="FK48" s="915">
        <f t="shared" si="154"/>
        <v>0</v>
      </c>
      <c r="FL48" s="915">
        <f t="shared" si="155"/>
        <v>0</v>
      </c>
      <c r="FM48" s="915">
        <f t="shared" si="156"/>
        <v>0</v>
      </c>
      <c r="FN48" s="915">
        <f t="shared" si="157"/>
        <v>0</v>
      </c>
      <c r="FO48" s="915">
        <f t="shared" si="158"/>
        <v>0</v>
      </c>
      <c r="FP48" s="915">
        <f t="shared" si="159"/>
        <v>0</v>
      </c>
      <c r="FQ48" s="915">
        <f t="shared" si="160"/>
        <v>0</v>
      </c>
      <c r="FR48" s="915">
        <f t="shared" si="161"/>
        <v>0</v>
      </c>
      <c r="FS48" s="915">
        <f t="shared" si="162"/>
        <v>0</v>
      </c>
      <c r="FT48" s="915">
        <f t="shared" si="163"/>
        <v>0</v>
      </c>
      <c r="FU48" s="915">
        <f t="shared" si="164"/>
        <v>0</v>
      </c>
      <c r="FV48" s="915">
        <f t="shared" si="165"/>
        <v>0</v>
      </c>
      <c r="FW48" s="915">
        <f t="shared" si="166"/>
        <v>0</v>
      </c>
      <c r="FX48" s="915">
        <f t="shared" si="167"/>
        <v>0</v>
      </c>
      <c r="FY48" s="915">
        <f t="shared" si="168"/>
        <v>0</v>
      </c>
      <c r="FZ48" s="915">
        <f t="shared" si="169"/>
        <v>0</v>
      </c>
    </row>
    <row r="49" spans="1:182" x14ac:dyDescent="0.2">
      <c r="A49" s="497">
        <v>42</v>
      </c>
      <c r="B49" s="1423"/>
      <c r="C49" s="1424"/>
      <c r="D49" s="138">
        <v>6</v>
      </c>
      <c r="E49" s="138" t="s">
        <v>26</v>
      </c>
      <c r="F49" s="139" t="s">
        <v>2544</v>
      </c>
      <c r="G49" s="139" t="s">
        <v>2542</v>
      </c>
      <c r="H49" s="100">
        <v>7</v>
      </c>
      <c r="I49" s="119">
        <f t="shared" ref="I49:I62" si="172">IF(ISTEXT(K49),0,StateTaxSub*G49*H49)</f>
        <v>0.42</v>
      </c>
      <c r="J49" s="90">
        <f t="shared" ref="J49:J62" si="173">(G49*H49)+I49</f>
        <v>7.42</v>
      </c>
      <c r="K49" s="225"/>
      <c r="N49" s="942">
        <f>BL6</f>
        <v>7.42</v>
      </c>
      <c r="O49" s="879" t="str">
        <f>"Remediation for " &amp; TabName6</f>
        <v>Remediation for Phase 6</v>
      </c>
      <c r="P49" s="950" t="s">
        <v>277</v>
      </c>
      <c r="W49" s="915">
        <f t="shared" si="8"/>
        <v>0</v>
      </c>
      <c r="X49" s="915">
        <f t="shared" si="9"/>
        <v>0</v>
      </c>
      <c r="Y49" s="915">
        <f t="shared" si="10"/>
        <v>0</v>
      </c>
      <c r="Z49" s="915">
        <f t="shared" si="13"/>
        <v>0</v>
      </c>
      <c r="AA49" s="915">
        <f t="shared" si="14"/>
        <v>0</v>
      </c>
      <c r="AB49" s="915">
        <f t="shared" si="15"/>
        <v>0</v>
      </c>
      <c r="AC49" s="915">
        <f t="shared" si="16"/>
        <v>0</v>
      </c>
      <c r="AD49" s="915">
        <f t="shared" si="17"/>
        <v>0</v>
      </c>
      <c r="AE49" s="915">
        <f t="shared" si="18"/>
        <v>0</v>
      </c>
      <c r="AF49" s="915">
        <f t="shared" si="19"/>
        <v>0</v>
      </c>
      <c r="AG49" s="915">
        <f t="shared" si="20"/>
        <v>0</v>
      </c>
      <c r="AH49" s="915">
        <f t="shared" si="21"/>
        <v>0</v>
      </c>
      <c r="AI49" s="915">
        <f t="shared" si="22"/>
        <v>0</v>
      </c>
      <c r="AJ49" s="915">
        <f t="shared" si="23"/>
        <v>0</v>
      </c>
      <c r="AK49" s="915">
        <f t="shared" si="24"/>
        <v>0</v>
      </c>
      <c r="AL49" s="915">
        <f t="shared" si="25"/>
        <v>0</v>
      </c>
      <c r="AM49" s="915">
        <f t="shared" si="26"/>
        <v>0</v>
      </c>
      <c r="AN49" s="915">
        <f t="shared" si="27"/>
        <v>0</v>
      </c>
      <c r="AO49" s="915">
        <f t="shared" si="28"/>
        <v>0</v>
      </c>
      <c r="AP49" s="915">
        <f t="shared" si="29"/>
        <v>0</v>
      </c>
      <c r="AQ49" s="915">
        <f t="shared" si="30"/>
        <v>0</v>
      </c>
      <c r="AR49" s="915">
        <f t="shared" si="31"/>
        <v>0</v>
      </c>
      <c r="AS49" s="915">
        <f t="shared" si="32"/>
        <v>0</v>
      </c>
      <c r="AT49" s="915">
        <f t="shared" si="33"/>
        <v>0</v>
      </c>
      <c r="AU49" s="915">
        <f t="shared" si="34"/>
        <v>0</v>
      </c>
      <c r="AV49" s="915">
        <f t="shared" si="35"/>
        <v>0</v>
      </c>
      <c r="AW49" s="915">
        <f t="shared" si="36"/>
        <v>0</v>
      </c>
      <c r="AX49" s="915">
        <f t="shared" si="37"/>
        <v>0</v>
      </c>
      <c r="AY49" s="915">
        <f t="shared" si="38"/>
        <v>0</v>
      </c>
      <c r="AZ49" s="915">
        <f t="shared" si="39"/>
        <v>0</v>
      </c>
      <c r="BA49" s="915">
        <f t="shared" si="40"/>
        <v>0</v>
      </c>
      <c r="BB49" s="915">
        <f t="shared" si="41"/>
        <v>0</v>
      </c>
      <c r="BC49" s="915">
        <f t="shared" si="42"/>
        <v>0</v>
      </c>
      <c r="BD49" s="915">
        <f t="shared" si="43"/>
        <v>0</v>
      </c>
      <c r="BE49" s="915">
        <f t="shared" si="44"/>
        <v>0</v>
      </c>
      <c r="BF49" s="915">
        <f t="shared" si="45"/>
        <v>0</v>
      </c>
      <c r="BG49" s="915">
        <f t="shared" si="46"/>
        <v>0</v>
      </c>
      <c r="BH49" s="915">
        <f t="shared" si="47"/>
        <v>0</v>
      </c>
      <c r="BI49" s="915">
        <f t="shared" si="48"/>
        <v>0</v>
      </c>
      <c r="BJ49" s="915">
        <f t="shared" si="49"/>
        <v>0</v>
      </c>
      <c r="BK49" s="915">
        <f t="shared" si="50"/>
        <v>0</v>
      </c>
      <c r="BL49" s="915">
        <f t="shared" si="51"/>
        <v>7.42</v>
      </c>
      <c r="BM49" s="915">
        <f t="shared" si="52"/>
        <v>0</v>
      </c>
      <c r="BN49" s="915">
        <f t="shared" si="53"/>
        <v>0</v>
      </c>
      <c r="BO49" s="915">
        <f t="shared" si="54"/>
        <v>0</v>
      </c>
      <c r="BP49" s="915">
        <f t="shared" si="55"/>
        <v>0</v>
      </c>
      <c r="BQ49" s="915">
        <f t="shared" si="56"/>
        <v>0</v>
      </c>
      <c r="BR49" s="915">
        <f t="shared" si="57"/>
        <v>0</v>
      </c>
      <c r="BS49" s="915">
        <f t="shared" si="58"/>
        <v>0</v>
      </c>
      <c r="BT49" s="915">
        <f t="shared" si="59"/>
        <v>0</v>
      </c>
      <c r="BU49" s="915">
        <f t="shared" si="60"/>
        <v>0</v>
      </c>
      <c r="BV49" s="915">
        <f t="shared" si="61"/>
        <v>0</v>
      </c>
      <c r="BW49" s="915">
        <f t="shared" si="62"/>
        <v>0</v>
      </c>
      <c r="BX49" s="915">
        <f t="shared" si="63"/>
        <v>0</v>
      </c>
      <c r="BY49" s="915">
        <f t="shared" si="64"/>
        <v>0</v>
      </c>
      <c r="BZ49" s="915">
        <f t="shared" si="65"/>
        <v>0</v>
      </c>
      <c r="CA49" s="915">
        <f t="shared" si="66"/>
        <v>0</v>
      </c>
      <c r="CB49" s="915">
        <f t="shared" si="67"/>
        <v>0</v>
      </c>
      <c r="CC49" s="915">
        <f t="shared" si="68"/>
        <v>0</v>
      </c>
      <c r="CD49" s="915">
        <f t="shared" si="69"/>
        <v>0</v>
      </c>
      <c r="CE49" s="915">
        <f t="shared" si="70"/>
        <v>0</v>
      </c>
      <c r="CF49" s="915">
        <f t="shared" si="71"/>
        <v>0</v>
      </c>
      <c r="CG49" s="915">
        <f t="shared" si="72"/>
        <v>0</v>
      </c>
      <c r="CH49" s="915">
        <f t="shared" si="73"/>
        <v>0</v>
      </c>
      <c r="CI49" s="915">
        <f t="shared" si="74"/>
        <v>0</v>
      </c>
      <c r="CJ49" s="915">
        <f t="shared" si="75"/>
        <v>0</v>
      </c>
      <c r="CK49" s="915">
        <f t="shared" si="76"/>
        <v>0</v>
      </c>
      <c r="CL49" s="915">
        <f t="shared" si="77"/>
        <v>0</v>
      </c>
      <c r="CM49" s="915">
        <f t="shared" si="78"/>
        <v>0</v>
      </c>
      <c r="CN49" s="915">
        <f t="shared" si="79"/>
        <v>0</v>
      </c>
      <c r="CO49" s="915">
        <f t="shared" si="80"/>
        <v>0</v>
      </c>
      <c r="CP49" s="915">
        <f t="shared" si="81"/>
        <v>0</v>
      </c>
      <c r="CQ49" s="915">
        <f t="shared" si="82"/>
        <v>0</v>
      </c>
      <c r="CR49" s="915">
        <f t="shared" si="83"/>
        <v>0</v>
      </c>
      <c r="CS49" s="915">
        <f t="shared" si="84"/>
        <v>0</v>
      </c>
      <c r="CT49" s="915">
        <f t="shared" si="85"/>
        <v>0</v>
      </c>
      <c r="CU49" s="915">
        <f t="shared" si="86"/>
        <v>0</v>
      </c>
      <c r="CV49" s="915">
        <f t="shared" si="87"/>
        <v>0</v>
      </c>
      <c r="CW49" s="915">
        <f t="shared" si="88"/>
        <v>0</v>
      </c>
      <c r="CX49" s="915">
        <f t="shared" si="89"/>
        <v>0</v>
      </c>
      <c r="CY49" s="915">
        <f t="shared" si="90"/>
        <v>0</v>
      </c>
      <c r="CZ49" s="915">
        <f t="shared" si="91"/>
        <v>0</v>
      </c>
      <c r="DA49" s="915">
        <f t="shared" si="92"/>
        <v>0</v>
      </c>
      <c r="DB49" s="915">
        <f t="shared" si="93"/>
        <v>0</v>
      </c>
      <c r="DC49" s="915">
        <f t="shared" si="94"/>
        <v>0</v>
      </c>
      <c r="DD49" s="915">
        <f t="shared" si="95"/>
        <v>0</v>
      </c>
      <c r="DE49" s="915">
        <f t="shared" si="96"/>
        <v>0</v>
      </c>
      <c r="DF49" s="915">
        <f t="shared" si="97"/>
        <v>0</v>
      </c>
      <c r="DG49" s="915">
        <f t="shared" si="98"/>
        <v>0</v>
      </c>
      <c r="DH49" s="915">
        <f t="shared" si="99"/>
        <v>0</v>
      </c>
      <c r="DI49" s="915">
        <f t="shared" si="100"/>
        <v>0</v>
      </c>
      <c r="DJ49" s="915">
        <f t="shared" si="101"/>
        <v>0</v>
      </c>
      <c r="DK49" s="915">
        <f t="shared" si="102"/>
        <v>0</v>
      </c>
      <c r="DL49" s="915">
        <f t="shared" si="103"/>
        <v>0</v>
      </c>
      <c r="DM49" s="915">
        <f t="shared" si="104"/>
        <v>0</v>
      </c>
      <c r="DN49" s="915">
        <f t="shared" si="105"/>
        <v>0</v>
      </c>
      <c r="DO49" s="915">
        <f t="shared" si="106"/>
        <v>0</v>
      </c>
      <c r="DP49" s="915">
        <f t="shared" si="107"/>
        <v>0</v>
      </c>
      <c r="DQ49" s="915">
        <f t="shared" si="108"/>
        <v>0</v>
      </c>
      <c r="DR49" s="915">
        <f t="shared" si="109"/>
        <v>0</v>
      </c>
      <c r="DS49" s="915">
        <f t="shared" si="110"/>
        <v>0</v>
      </c>
      <c r="DT49" s="915">
        <f t="shared" si="111"/>
        <v>0</v>
      </c>
      <c r="DU49" s="915">
        <f t="shared" si="112"/>
        <v>0</v>
      </c>
      <c r="DV49" s="915">
        <f t="shared" si="113"/>
        <v>0</v>
      </c>
      <c r="DW49" s="915">
        <f t="shared" si="114"/>
        <v>0</v>
      </c>
      <c r="DX49" s="915">
        <f t="shared" si="115"/>
        <v>0</v>
      </c>
      <c r="DY49" s="915">
        <f t="shared" si="116"/>
        <v>0</v>
      </c>
      <c r="DZ49" s="915">
        <f t="shared" si="117"/>
        <v>0</v>
      </c>
      <c r="EA49" s="915">
        <f t="shared" si="118"/>
        <v>0</v>
      </c>
      <c r="EB49" s="915">
        <f t="shared" si="119"/>
        <v>0</v>
      </c>
      <c r="EC49" s="915">
        <f t="shared" si="120"/>
        <v>0</v>
      </c>
      <c r="ED49" s="915">
        <f t="shared" si="121"/>
        <v>0</v>
      </c>
      <c r="EE49" s="915">
        <f t="shared" si="122"/>
        <v>0</v>
      </c>
      <c r="EF49" s="915">
        <f t="shared" si="123"/>
        <v>0</v>
      </c>
      <c r="EG49" s="915">
        <f t="shared" si="124"/>
        <v>0</v>
      </c>
      <c r="EH49" s="915">
        <f t="shared" si="125"/>
        <v>0</v>
      </c>
      <c r="EI49" s="915">
        <f t="shared" si="126"/>
        <v>0</v>
      </c>
      <c r="EJ49" s="915">
        <f t="shared" si="127"/>
        <v>0</v>
      </c>
      <c r="EK49" s="915">
        <f t="shared" si="128"/>
        <v>0</v>
      </c>
      <c r="EL49" s="915">
        <f t="shared" si="129"/>
        <v>0</v>
      </c>
      <c r="EM49" s="915">
        <f t="shared" si="130"/>
        <v>0</v>
      </c>
      <c r="EN49" s="915">
        <f t="shared" si="131"/>
        <v>0</v>
      </c>
      <c r="EO49" s="915">
        <f t="shared" si="132"/>
        <v>0</v>
      </c>
      <c r="EP49" s="915">
        <f t="shared" si="133"/>
        <v>0</v>
      </c>
      <c r="EQ49" s="915">
        <f t="shared" si="134"/>
        <v>0</v>
      </c>
      <c r="ER49" s="915">
        <f t="shared" si="135"/>
        <v>0</v>
      </c>
      <c r="ES49" s="915">
        <f t="shared" si="136"/>
        <v>0</v>
      </c>
      <c r="ET49" s="915">
        <f t="shared" si="137"/>
        <v>0</v>
      </c>
      <c r="EU49" s="915">
        <f t="shared" si="138"/>
        <v>0</v>
      </c>
      <c r="EV49" s="915">
        <f t="shared" si="139"/>
        <v>0</v>
      </c>
      <c r="EW49" s="915">
        <f t="shared" si="140"/>
        <v>0</v>
      </c>
      <c r="EX49" s="915">
        <f t="shared" si="141"/>
        <v>0</v>
      </c>
      <c r="EY49" s="915">
        <f t="shared" si="142"/>
        <v>0</v>
      </c>
      <c r="EZ49" s="915">
        <f t="shared" si="143"/>
        <v>0</v>
      </c>
      <c r="FA49" s="915">
        <f t="shared" si="144"/>
        <v>0</v>
      </c>
      <c r="FB49" s="915">
        <f t="shared" si="145"/>
        <v>0</v>
      </c>
      <c r="FC49" s="915">
        <f t="shared" si="146"/>
        <v>0</v>
      </c>
      <c r="FD49" s="915">
        <f t="shared" si="147"/>
        <v>0</v>
      </c>
      <c r="FE49" s="915">
        <f t="shared" si="148"/>
        <v>0</v>
      </c>
      <c r="FF49" s="915">
        <f t="shared" si="149"/>
        <v>0</v>
      </c>
      <c r="FG49" s="915">
        <f t="shared" si="150"/>
        <v>0</v>
      </c>
      <c r="FH49" s="915">
        <f t="shared" si="151"/>
        <v>0</v>
      </c>
      <c r="FI49" s="915">
        <f t="shared" si="152"/>
        <v>0</v>
      </c>
      <c r="FJ49" s="915">
        <f t="shared" si="153"/>
        <v>0</v>
      </c>
      <c r="FK49" s="915">
        <f t="shared" si="154"/>
        <v>0</v>
      </c>
      <c r="FL49" s="915">
        <f t="shared" si="155"/>
        <v>0</v>
      </c>
      <c r="FM49" s="915">
        <f t="shared" si="156"/>
        <v>0</v>
      </c>
      <c r="FN49" s="915">
        <f t="shared" si="157"/>
        <v>0</v>
      </c>
      <c r="FO49" s="915">
        <f t="shared" si="158"/>
        <v>0</v>
      </c>
      <c r="FP49" s="915">
        <f t="shared" si="159"/>
        <v>0</v>
      </c>
      <c r="FQ49" s="915">
        <f t="shared" si="160"/>
        <v>0</v>
      </c>
      <c r="FR49" s="915">
        <f t="shared" si="161"/>
        <v>0</v>
      </c>
      <c r="FS49" s="915">
        <f t="shared" si="162"/>
        <v>0</v>
      </c>
      <c r="FT49" s="915">
        <f t="shared" si="163"/>
        <v>0</v>
      </c>
      <c r="FU49" s="915">
        <f t="shared" si="164"/>
        <v>0</v>
      </c>
      <c r="FV49" s="915">
        <f t="shared" si="165"/>
        <v>0</v>
      </c>
      <c r="FW49" s="915">
        <f t="shared" si="166"/>
        <v>0</v>
      </c>
      <c r="FX49" s="915">
        <f t="shared" si="167"/>
        <v>0</v>
      </c>
      <c r="FY49" s="915">
        <f t="shared" si="168"/>
        <v>0</v>
      </c>
      <c r="FZ49" s="915">
        <f t="shared" si="169"/>
        <v>0</v>
      </c>
    </row>
    <row r="50" spans="1:182" x14ac:dyDescent="0.2">
      <c r="A50" s="496">
        <v>43</v>
      </c>
      <c r="B50" s="1419"/>
      <c r="C50" s="1433"/>
      <c r="D50" s="264">
        <v>6</v>
      </c>
      <c r="E50" s="264" t="s">
        <v>35</v>
      </c>
      <c r="F50" s="270" t="s">
        <v>2544</v>
      </c>
      <c r="G50" s="270" t="s">
        <v>2542</v>
      </c>
      <c r="H50" s="272">
        <v>7</v>
      </c>
      <c r="I50" s="268">
        <f t="shared" si="172"/>
        <v>0.42</v>
      </c>
      <c r="J50" s="269">
        <f t="shared" si="173"/>
        <v>7.42</v>
      </c>
      <c r="K50" s="225"/>
      <c r="N50" s="942">
        <f>BM6</f>
        <v>7.42</v>
      </c>
      <c r="O50" s="879" t="str">
        <f>"General Construction for " &amp; TabName6</f>
        <v>General Construction for Phase 6</v>
      </c>
      <c r="P50" s="949" t="s">
        <v>278</v>
      </c>
      <c r="W50" s="915">
        <f t="shared" si="8"/>
        <v>0</v>
      </c>
      <c r="X50" s="915">
        <f t="shared" si="9"/>
        <v>0</v>
      </c>
      <c r="Y50" s="915">
        <f t="shared" si="10"/>
        <v>0</v>
      </c>
      <c r="Z50" s="915">
        <f t="shared" si="13"/>
        <v>0</v>
      </c>
      <c r="AA50" s="915">
        <f t="shared" si="14"/>
        <v>0</v>
      </c>
      <c r="AB50" s="915">
        <f t="shared" si="15"/>
        <v>0</v>
      </c>
      <c r="AC50" s="915">
        <f t="shared" si="16"/>
        <v>0</v>
      </c>
      <c r="AD50" s="915">
        <f t="shared" si="17"/>
        <v>0</v>
      </c>
      <c r="AE50" s="915">
        <f t="shared" si="18"/>
        <v>0</v>
      </c>
      <c r="AF50" s="915">
        <f t="shared" si="19"/>
        <v>0</v>
      </c>
      <c r="AG50" s="915">
        <f t="shared" si="20"/>
        <v>0</v>
      </c>
      <c r="AH50" s="915">
        <f t="shared" si="21"/>
        <v>0</v>
      </c>
      <c r="AI50" s="915">
        <f t="shared" si="22"/>
        <v>0</v>
      </c>
      <c r="AJ50" s="915">
        <f t="shared" si="23"/>
        <v>0</v>
      </c>
      <c r="AK50" s="915">
        <f t="shared" si="24"/>
        <v>0</v>
      </c>
      <c r="AL50" s="915">
        <f t="shared" si="25"/>
        <v>0</v>
      </c>
      <c r="AM50" s="915">
        <f t="shared" si="26"/>
        <v>0</v>
      </c>
      <c r="AN50" s="915">
        <f t="shared" si="27"/>
        <v>0</v>
      </c>
      <c r="AO50" s="915">
        <f t="shared" si="28"/>
        <v>0</v>
      </c>
      <c r="AP50" s="915">
        <f t="shared" si="29"/>
        <v>0</v>
      </c>
      <c r="AQ50" s="915">
        <f t="shared" si="30"/>
        <v>0</v>
      </c>
      <c r="AR50" s="915">
        <f t="shared" si="31"/>
        <v>0</v>
      </c>
      <c r="AS50" s="915">
        <f t="shared" si="32"/>
        <v>0</v>
      </c>
      <c r="AT50" s="915">
        <f t="shared" si="33"/>
        <v>0</v>
      </c>
      <c r="AU50" s="915">
        <f t="shared" si="34"/>
        <v>0</v>
      </c>
      <c r="AV50" s="915">
        <f t="shared" si="35"/>
        <v>0</v>
      </c>
      <c r="AW50" s="915">
        <f t="shared" si="36"/>
        <v>0</v>
      </c>
      <c r="AX50" s="915">
        <f t="shared" si="37"/>
        <v>0</v>
      </c>
      <c r="AY50" s="915">
        <f t="shared" si="38"/>
        <v>0</v>
      </c>
      <c r="AZ50" s="915">
        <f t="shared" si="39"/>
        <v>0</v>
      </c>
      <c r="BA50" s="915">
        <f t="shared" si="40"/>
        <v>0</v>
      </c>
      <c r="BB50" s="915">
        <f t="shared" si="41"/>
        <v>0</v>
      </c>
      <c r="BC50" s="915">
        <f t="shared" si="42"/>
        <v>0</v>
      </c>
      <c r="BD50" s="915">
        <f t="shared" si="43"/>
        <v>0</v>
      </c>
      <c r="BE50" s="915">
        <f t="shared" si="44"/>
        <v>0</v>
      </c>
      <c r="BF50" s="915">
        <f t="shared" si="45"/>
        <v>0</v>
      </c>
      <c r="BG50" s="915">
        <f t="shared" si="46"/>
        <v>0</v>
      </c>
      <c r="BH50" s="915">
        <f t="shared" si="47"/>
        <v>0</v>
      </c>
      <c r="BI50" s="915">
        <f t="shared" si="48"/>
        <v>0</v>
      </c>
      <c r="BJ50" s="915">
        <f t="shared" si="49"/>
        <v>0</v>
      </c>
      <c r="BK50" s="915">
        <f t="shared" si="50"/>
        <v>0</v>
      </c>
      <c r="BL50" s="915">
        <f t="shared" si="51"/>
        <v>0</v>
      </c>
      <c r="BM50" s="915">
        <f t="shared" si="52"/>
        <v>7.42</v>
      </c>
      <c r="BN50" s="915">
        <f t="shared" si="53"/>
        <v>0</v>
      </c>
      <c r="BO50" s="915">
        <f t="shared" si="54"/>
        <v>0</v>
      </c>
      <c r="BP50" s="915">
        <f t="shared" si="55"/>
        <v>0</v>
      </c>
      <c r="BQ50" s="915">
        <f t="shared" si="56"/>
        <v>0</v>
      </c>
      <c r="BR50" s="915">
        <f t="shared" si="57"/>
        <v>0</v>
      </c>
      <c r="BS50" s="915">
        <f t="shared" si="58"/>
        <v>0</v>
      </c>
      <c r="BT50" s="915">
        <f t="shared" si="59"/>
        <v>0</v>
      </c>
      <c r="BU50" s="915">
        <f t="shared" si="60"/>
        <v>0</v>
      </c>
      <c r="BV50" s="915">
        <f t="shared" si="61"/>
        <v>0</v>
      </c>
      <c r="BW50" s="915">
        <f t="shared" si="62"/>
        <v>0</v>
      </c>
      <c r="BX50" s="915">
        <f t="shared" si="63"/>
        <v>0</v>
      </c>
      <c r="BY50" s="915">
        <f t="shared" si="64"/>
        <v>0</v>
      </c>
      <c r="BZ50" s="915">
        <f t="shared" si="65"/>
        <v>0</v>
      </c>
      <c r="CA50" s="915">
        <f t="shared" si="66"/>
        <v>0</v>
      </c>
      <c r="CB50" s="915">
        <f t="shared" si="67"/>
        <v>0</v>
      </c>
      <c r="CC50" s="915">
        <f t="shared" si="68"/>
        <v>0</v>
      </c>
      <c r="CD50" s="915">
        <f t="shared" si="69"/>
        <v>0</v>
      </c>
      <c r="CE50" s="915">
        <f t="shared" si="70"/>
        <v>0</v>
      </c>
      <c r="CF50" s="915">
        <f t="shared" si="71"/>
        <v>0</v>
      </c>
      <c r="CG50" s="915">
        <f t="shared" si="72"/>
        <v>0</v>
      </c>
      <c r="CH50" s="915">
        <f t="shared" si="73"/>
        <v>0</v>
      </c>
      <c r="CI50" s="915">
        <f t="shared" si="74"/>
        <v>0</v>
      </c>
      <c r="CJ50" s="915">
        <f t="shared" si="75"/>
        <v>0</v>
      </c>
      <c r="CK50" s="915">
        <f t="shared" si="76"/>
        <v>0</v>
      </c>
      <c r="CL50" s="915">
        <f t="shared" si="77"/>
        <v>0</v>
      </c>
      <c r="CM50" s="915">
        <f t="shared" si="78"/>
        <v>0</v>
      </c>
      <c r="CN50" s="915">
        <f t="shared" si="79"/>
        <v>0</v>
      </c>
      <c r="CO50" s="915">
        <f t="shared" si="80"/>
        <v>0</v>
      </c>
      <c r="CP50" s="915">
        <f t="shared" si="81"/>
        <v>0</v>
      </c>
      <c r="CQ50" s="915">
        <f t="shared" si="82"/>
        <v>0</v>
      </c>
      <c r="CR50" s="915">
        <f t="shared" si="83"/>
        <v>0</v>
      </c>
      <c r="CS50" s="915">
        <f t="shared" si="84"/>
        <v>0</v>
      </c>
      <c r="CT50" s="915">
        <f t="shared" si="85"/>
        <v>0</v>
      </c>
      <c r="CU50" s="915">
        <f t="shared" si="86"/>
        <v>0</v>
      </c>
      <c r="CV50" s="915">
        <f t="shared" si="87"/>
        <v>0</v>
      </c>
      <c r="CW50" s="915">
        <f t="shared" si="88"/>
        <v>0</v>
      </c>
      <c r="CX50" s="915">
        <f t="shared" si="89"/>
        <v>0</v>
      </c>
      <c r="CY50" s="915">
        <f t="shared" si="90"/>
        <v>0</v>
      </c>
      <c r="CZ50" s="915">
        <f t="shared" si="91"/>
        <v>0</v>
      </c>
      <c r="DA50" s="915">
        <f t="shared" si="92"/>
        <v>0</v>
      </c>
      <c r="DB50" s="915">
        <f t="shared" si="93"/>
        <v>0</v>
      </c>
      <c r="DC50" s="915">
        <f t="shared" si="94"/>
        <v>0</v>
      </c>
      <c r="DD50" s="915">
        <f t="shared" si="95"/>
        <v>0</v>
      </c>
      <c r="DE50" s="915">
        <f t="shared" si="96"/>
        <v>0</v>
      </c>
      <c r="DF50" s="915">
        <f t="shared" si="97"/>
        <v>0</v>
      </c>
      <c r="DG50" s="915">
        <f t="shared" si="98"/>
        <v>0</v>
      </c>
      <c r="DH50" s="915">
        <f t="shared" si="99"/>
        <v>0</v>
      </c>
      <c r="DI50" s="915">
        <f t="shared" si="100"/>
        <v>0</v>
      </c>
      <c r="DJ50" s="915">
        <f t="shared" si="101"/>
        <v>0</v>
      </c>
      <c r="DK50" s="915">
        <f t="shared" si="102"/>
        <v>0</v>
      </c>
      <c r="DL50" s="915">
        <f t="shared" si="103"/>
        <v>0</v>
      </c>
      <c r="DM50" s="915">
        <f t="shared" si="104"/>
        <v>0</v>
      </c>
      <c r="DN50" s="915">
        <f t="shared" si="105"/>
        <v>0</v>
      </c>
      <c r="DO50" s="915">
        <f t="shared" si="106"/>
        <v>0</v>
      </c>
      <c r="DP50" s="915">
        <f t="shared" si="107"/>
        <v>0</v>
      </c>
      <c r="DQ50" s="915">
        <f t="shared" si="108"/>
        <v>0</v>
      </c>
      <c r="DR50" s="915">
        <f t="shared" si="109"/>
        <v>0</v>
      </c>
      <c r="DS50" s="915">
        <f t="shared" si="110"/>
        <v>0</v>
      </c>
      <c r="DT50" s="915">
        <f t="shared" si="111"/>
        <v>0</v>
      </c>
      <c r="DU50" s="915">
        <f t="shared" si="112"/>
        <v>0</v>
      </c>
      <c r="DV50" s="915">
        <f t="shared" si="113"/>
        <v>0</v>
      </c>
      <c r="DW50" s="915">
        <f t="shared" si="114"/>
        <v>0</v>
      </c>
      <c r="DX50" s="915">
        <f t="shared" si="115"/>
        <v>0</v>
      </c>
      <c r="DY50" s="915">
        <f t="shared" si="116"/>
        <v>0</v>
      </c>
      <c r="DZ50" s="915">
        <f t="shared" si="117"/>
        <v>0</v>
      </c>
      <c r="EA50" s="915">
        <f t="shared" si="118"/>
        <v>0</v>
      </c>
      <c r="EB50" s="915">
        <f t="shared" si="119"/>
        <v>0</v>
      </c>
      <c r="EC50" s="915">
        <f t="shared" si="120"/>
        <v>0</v>
      </c>
      <c r="ED50" s="915">
        <f t="shared" si="121"/>
        <v>0</v>
      </c>
      <c r="EE50" s="915">
        <f t="shared" si="122"/>
        <v>0</v>
      </c>
      <c r="EF50" s="915">
        <f t="shared" si="123"/>
        <v>0</v>
      </c>
      <c r="EG50" s="915">
        <f t="shared" si="124"/>
        <v>0</v>
      </c>
      <c r="EH50" s="915">
        <f t="shared" si="125"/>
        <v>0</v>
      </c>
      <c r="EI50" s="915">
        <f t="shared" si="126"/>
        <v>0</v>
      </c>
      <c r="EJ50" s="915">
        <f t="shared" si="127"/>
        <v>0</v>
      </c>
      <c r="EK50" s="915">
        <f t="shared" si="128"/>
        <v>0</v>
      </c>
      <c r="EL50" s="915">
        <f t="shared" si="129"/>
        <v>0</v>
      </c>
      <c r="EM50" s="915">
        <f t="shared" si="130"/>
        <v>0</v>
      </c>
      <c r="EN50" s="915">
        <f t="shared" si="131"/>
        <v>0</v>
      </c>
      <c r="EO50" s="915">
        <f t="shared" si="132"/>
        <v>0</v>
      </c>
      <c r="EP50" s="915">
        <f t="shared" si="133"/>
        <v>0</v>
      </c>
      <c r="EQ50" s="915">
        <f t="shared" si="134"/>
        <v>0</v>
      </c>
      <c r="ER50" s="915">
        <f t="shared" si="135"/>
        <v>0</v>
      </c>
      <c r="ES50" s="915">
        <f t="shared" si="136"/>
        <v>0</v>
      </c>
      <c r="ET50" s="915">
        <f t="shared" si="137"/>
        <v>0</v>
      </c>
      <c r="EU50" s="915">
        <f t="shared" si="138"/>
        <v>0</v>
      </c>
      <c r="EV50" s="915">
        <f t="shared" si="139"/>
        <v>0</v>
      </c>
      <c r="EW50" s="915">
        <f t="shared" si="140"/>
        <v>0</v>
      </c>
      <c r="EX50" s="915">
        <f t="shared" si="141"/>
        <v>0</v>
      </c>
      <c r="EY50" s="915">
        <f t="shared" si="142"/>
        <v>0</v>
      </c>
      <c r="EZ50" s="915">
        <f t="shared" si="143"/>
        <v>0</v>
      </c>
      <c r="FA50" s="915">
        <f t="shared" si="144"/>
        <v>0</v>
      </c>
      <c r="FB50" s="915">
        <f t="shared" si="145"/>
        <v>0</v>
      </c>
      <c r="FC50" s="915">
        <f t="shared" si="146"/>
        <v>0</v>
      </c>
      <c r="FD50" s="915">
        <f t="shared" si="147"/>
        <v>0</v>
      </c>
      <c r="FE50" s="915">
        <f t="shared" si="148"/>
        <v>0</v>
      </c>
      <c r="FF50" s="915">
        <f t="shared" si="149"/>
        <v>0</v>
      </c>
      <c r="FG50" s="915">
        <f t="shared" si="150"/>
        <v>0</v>
      </c>
      <c r="FH50" s="915">
        <f t="shared" si="151"/>
        <v>0</v>
      </c>
      <c r="FI50" s="915">
        <f t="shared" si="152"/>
        <v>0</v>
      </c>
      <c r="FJ50" s="915">
        <f t="shared" si="153"/>
        <v>0</v>
      </c>
      <c r="FK50" s="915">
        <f t="shared" si="154"/>
        <v>0</v>
      </c>
      <c r="FL50" s="915">
        <f t="shared" si="155"/>
        <v>0</v>
      </c>
      <c r="FM50" s="915">
        <f t="shared" si="156"/>
        <v>0</v>
      </c>
      <c r="FN50" s="915">
        <f t="shared" si="157"/>
        <v>0</v>
      </c>
      <c r="FO50" s="915">
        <f t="shared" si="158"/>
        <v>0</v>
      </c>
      <c r="FP50" s="915">
        <f t="shared" si="159"/>
        <v>0</v>
      </c>
      <c r="FQ50" s="915">
        <f t="shared" si="160"/>
        <v>0</v>
      </c>
      <c r="FR50" s="915">
        <f t="shared" si="161"/>
        <v>0</v>
      </c>
      <c r="FS50" s="915">
        <f t="shared" si="162"/>
        <v>0</v>
      </c>
      <c r="FT50" s="915">
        <f t="shared" si="163"/>
        <v>0</v>
      </c>
      <c r="FU50" s="915">
        <f t="shared" si="164"/>
        <v>0</v>
      </c>
      <c r="FV50" s="915">
        <f t="shared" si="165"/>
        <v>0</v>
      </c>
      <c r="FW50" s="915">
        <f t="shared" si="166"/>
        <v>0</v>
      </c>
      <c r="FX50" s="915">
        <f t="shared" si="167"/>
        <v>0</v>
      </c>
      <c r="FY50" s="915">
        <f t="shared" si="168"/>
        <v>0</v>
      </c>
      <c r="FZ50" s="915">
        <f t="shared" si="169"/>
        <v>0</v>
      </c>
    </row>
    <row r="51" spans="1:182" x14ac:dyDescent="0.2">
      <c r="A51" s="497">
        <v>44</v>
      </c>
      <c r="B51" s="1423"/>
      <c r="C51" s="1424"/>
      <c r="D51" s="138">
        <v>6</v>
      </c>
      <c r="E51" s="138" t="s">
        <v>52</v>
      </c>
      <c r="F51" s="139" t="s">
        <v>2544</v>
      </c>
      <c r="G51" s="139" t="s">
        <v>2542</v>
      </c>
      <c r="H51" s="100">
        <v>7</v>
      </c>
      <c r="I51" s="119">
        <f t="shared" si="172"/>
        <v>0.42</v>
      </c>
      <c r="J51" s="90">
        <f t="shared" si="173"/>
        <v>7.42</v>
      </c>
      <c r="K51" s="225"/>
      <c r="N51" s="942">
        <f>BN6</f>
        <v>7.42</v>
      </c>
      <c r="O51" s="915" t="str">
        <f>"Waste Haul for "&amp;TabName6</f>
        <v>Waste Haul for Phase 6</v>
      </c>
      <c r="P51" s="949" t="s">
        <v>289</v>
      </c>
      <c r="W51" s="915">
        <f t="shared" si="8"/>
        <v>0</v>
      </c>
      <c r="X51" s="915">
        <f t="shared" si="9"/>
        <v>0</v>
      </c>
      <c r="Y51" s="915">
        <f t="shared" si="10"/>
        <v>0</v>
      </c>
      <c r="Z51" s="915">
        <f t="shared" si="13"/>
        <v>0</v>
      </c>
      <c r="AA51" s="915">
        <f t="shared" si="14"/>
        <v>0</v>
      </c>
      <c r="AB51" s="915">
        <f t="shared" si="15"/>
        <v>0</v>
      </c>
      <c r="AC51" s="915">
        <f t="shared" si="16"/>
        <v>0</v>
      </c>
      <c r="AD51" s="915">
        <f t="shared" si="17"/>
        <v>0</v>
      </c>
      <c r="AE51" s="915">
        <f t="shared" si="18"/>
        <v>0</v>
      </c>
      <c r="AF51" s="915">
        <f t="shared" si="19"/>
        <v>0</v>
      </c>
      <c r="AG51" s="915">
        <f t="shared" si="20"/>
        <v>0</v>
      </c>
      <c r="AH51" s="915">
        <f t="shared" si="21"/>
        <v>0</v>
      </c>
      <c r="AI51" s="915">
        <f t="shared" si="22"/>
        <v>0</v>
      </c>
      <c r="AJ51" s="915">
        <f t="shared" si="23"/>
        <v>0</v>
      </c>
      <c r="AK51" s="915">
        <f t="shared" si="24"/>
        <v>0</v>
      </c>
      <c r="AL51" s="915">
        <f t="shared" si="25"/>
        <v>0</v>
      </c>
      <c r="AM51" s="915">
        <f t="shared" si="26"/>
        <v>0</v>
      </c>
      <c r="AN51" s="915">
        <f t="shared" si="27"/>
        <v>0</v>
      </c>
      <c r="AO51" s="915">
        <f t="shared" si="28"/>
        <v>0</v>
      </c>
      <c r="AP51" s="915">
        <f t="shared" si="29"/>
        <v>0</v>
      </c>
      <c r="AQ51" s="915">
        <f t="shared" si="30"/>
        <v>0</v>
      </c>
      <c r="AR51" s="915">
        <f t="shared" si="31"/>
        <v>0</v>
      </c>
      <c r="AS51" s="915">
        <f t="shared" si="32"/>
        <v>0</v>
      </c>
      <c r="AT51" s="915">
        <f t="shared" si="33"/>
        <v>0</v>
      </c>
      <c r="AU51" s="915">
        <f t="shared" si="34"/>
        <v>0</v>
      </c>
      <c r="AV51" s="915">
        <f t="shared" si="35"/>
        <v>0</v>
      </c>
      <c r="AW51" s="915">
        <f t="shared" si="36"/>
        <v>0</v>
      </c>
      <c r="AX51" s="915">
        <f t="shared" si="37"/>
        <v>0</v>
      </c>
      <c r="AY51" s="915">
        <f t="shared" si="38"/>
        <v>0</v>
      </c>
      <c r="AZ51" s="915">
        <f t="shared" si="39"/>
        <v>0</v>
      </c>
      <c r="BA51" s="915">
        <f t="shared" si="40"/>
        <v>0</v>
      </c>
      <c r="BB51" s="915">
        <f t="shared" si="41"/>
        <v>0</v>
      </c>
      <c r="BC51" s="915">
        <f t="shared" si="42"/>
        <v>0</v>
      </c>
      <c r="BD51" s="915">
        <f t="shared" si="43"/>
        <v>0</v>
      </c>
      <c r="BE51" s="915">
        <f t="shared" si="44"/>
        <v>0</v>
      </c>
      <c r="BF51" s="915">
        <f t="shared" si="45"/>
        <v>0</v>
      </c>
      <c r="BG51" s="915">
        <f t="shared" si="46"/>
        <v>0</v>
      </c>
      <c r="BH51" s="915">
        <f t="shared" si="47"/>
        <v>0</v>
      </c>
      <c r="BI51" s="915">
        <f t="shared" si="48"/>
        <v>0</v>
      </c>
      <c r="BJ51" s="915">
        <f t="shared" si="49"/>
        <v>0</v>
      </c>
      <c r="BK51" s="915">
        <f t="shared" si="50"/>
        <v>0</v>
      </c>
      <c r="BL51" s="915">
        <f t="shared" si="51"/>
        <v>0</v>
      </c>
      <c r="BM51" s="915">
        <f t="shared" si="52"/>
        <v>0</v>
      </c>
      <c r="BN51" s="915">
        <f t="shared" si="53"/>
        <v>7.42</v>
      </c>
      <c r="BO51" s="915">
        <f t="shared" si="54"/>
        <v>0</v>
      </c>
      <c r="BP51" s="915">
        <f t="shared" si="55"/>
        <v>0</v>
      </c>
      <c r="BQ51" s="915">
        <f t="shared" si="56"/>
        <v>0</v>
      </c>
      <c r="BR51" s="915">
        <f t="shared" si="57"/>
        <v>0</v>
      </c>
      <c r="BS51" s="915">
        <f t="shared" si="58"/>
        <v>0</v>
      </c>
      <c r="BT51" s="915">
        <f t="shared" si="59"/>
        <v>0</v>
      </c>
      <c r="BU51" s="915">
        <f t="shared" si="60"/>
        <v>0</v>
      </c>
      <c r="BV51" s="915">
        <f t="shared" si="61"/>
        <v>0</v>
      </c>
      <c r="BW51" s="915">
        <f t="shared" si="62"/>
        <v>0</v>
      </c>
      <c r="BX51" s="915">
        <f t="shared" si="63"/>
        <v>0</v>
      </c>
      <c r="BY51" s="915">
        <f t="shared" si="64"/>
        <v>0</v>
      </c>
      <c r="BZ51" s="915">
        <f t="shared" si="65"/>
        <v>0</v>
      </c>
      <c r="CA51" s="915">
        <f t="shared" si="66"/>
        <v>0</v>
      </c>
      <c r="CB51" s="915">
        <f t="shared" si="67"/>
        <v>0</v>
      </c>
      <c r="CC51" s="915">
        <f t="shared" si="68"/>
        <v>0</v>
      </c>
      <c r="CD51" s="915">
        <f t="shared" si="69"/>
        <v>0</v>
      </c>
      <c r="CE51" s="915">
        <f t="shared" si="70"/>
        <v>0</v>
      </c>
      <c r="CF51" s="915">
        <f t="shared" si="71"/>
        <v>0</v>
      </c>
      <c r="CG51" s="915">
        <f t="shared" si="72"/>
        <v>0</v>
      </c>
      <c r="CH51" s="915">
        <f t="shared" si="73"/>
        <v>0</v>
      </c>
      <c r="CI51" s="915">
        <f t="shared" si="74"/>
        <v>0</v>
      </c>
      <c r="CJ51" s="915">
        <f t="shared" si="75"/>
        <v>0</v>
      </c>
      <c r="CK51" s="915">
        <f t="shared" si="76"/>
        <v>0</v>
      </c>
      <c r="CL51" s="915">
        <f t="shared" si="77"/>
        <v>0</v>
      </c>
      <c r="CM51" s="915">
        <f t="shared" si="78"/>
        <v>0</v>
      </c>
      <c r="CN51" s="915">
        <f t="shared" si="79"/>
        <v>0</v>
      </c>
      <c r="CO51" s="915">
        <f t="shared" si="80"/>
        <v>0</v>
      </c>
      <c r="CP51" s="915">
        <f t="shared" si="81"/>
        <v>0</v>
      </c>
      <c r="CQ51" s="915">
        <f t="shared" si="82"/>
        <v>0</v>
      </c>
      <c r="CR51" s="915">
        <f t="shared" si="83"/>
        <v>0</v>
      </c>
      <c r="CS51" s="915">
        <f t="shared" si="84"/>
        <v>0</v>
      </c>
      <c r="CT51" s="915">
        <f t="shared" si="85"/>
        <v>0</v>
      </c>
      <c r="CU51" s="915">
        <f t="shared" si="86"/>
        <v>0</v>
      </c>
      <c r="CV51" s="915">
        <f t="shared" si="87"/>
        <v>0</v>
      </c>
      <c r="CW51" s="915">
        <f t="shared" si="88"/>
        <v>0</v>
      </c>
      <c r="CX51" s="915">
        <f t="shared" si="89"/>
        <v>0</v>
      </c>
      <c r="CY51" s="915">
        <f t="shared" si="90"/>
        <v>0</v>
      </c>
      <c r="CZ51" s="915">
        <f t="shared" si="91"/>
        <v>0</v>
      </c>
      <c r="DA51" s="915">
        <f t="shared" si="92"/>
        <v>0</v>
      </c>
      <c r="DB51" s="915">
        <f t="shared" si="93"/>
        <v>0</v>
      </c>
      <c r="DC51" s="915">
        <f t="shared" si="94"/>
        <v>0</v>
      </c>
      <c r="DD51" s="915">
        <f t="shared" si="95"/>
        <v>0</v>
      </c>
      <c r="DE51" s="915">
        <f t="shared" si="96"/>
        <v>0</v>
      </c>
      <c r="DF51" s="915">
        <f t="shared" si="97"/>
        <v>0</v>
      </c>
      <c r="DG51" s="915">
        <f t="shared" si="98"/>
        <v>0</v>
      </c>
      <c r="DH51" s="915">
        <f t="shared" si="99"/>
        <v>0</v>
      </c>
      <c r="DI51" s="915">
        <f t="shared" si="100"/>
        <v>0</v>
      </c>
      <c r="DJ51" s="915">
        <f t="shared" si="101"/>
        <v>0</v>
      </c>
      <c r="DK51" s="915">
        <f t="shared" si="102"/>
        <v>0</v>
      </c>
      <c r="DL51" s="915">
        <f t="shared" si="103"/>
        <v>0</v>
      </c>
      <c r="DM51" s="915">
        <f t="shared" si="104"/>
        <v>0</v>
      </c>
      <c r="DN51" s="915">
        <f t="shared" si="105"/>
        <v>0</v>
      </c>
      <c r="DO51" s="915">
        <f t="shared" si="106"/>
        <v>0</v>
      </c>
      <c r="DP51" s="915">
        <f t="shared" si="107"/>
        <v>0</v>
      </c>
      <c r="DQ51" s="915">
        <f t="shared" si="108"/>
        <v>0</v>
      </c>
      <c r="DR51" s="915">
        <f t="shared" si="109"/>
        <v>0</v>
      </c>
      <c r="DS51" s="915">
        <f t="shared" si="110"/>
        <v>0</v>
      </c>
      <c r="DT51" s="915">
        <f t="shared" si="111"/>
        <v>0</v>
      </c>
      <c r="DU51" s="915">
        <f t="shared" si="112"/>
        <v>0</v>
      </c>
      <c r="DV51" s="915">
        <f t="shared" si="113"/>
        <v>0</v>
      </c>
      <c r="DW51" s="915">
        <f t="shared" si="114"/>
        <v>0</v>
      </c>
      <c r="DX51" s="915">
        <f t="shared" si="115"/>
        <v>0</v>
      </c>
      <c r="DY51" s="915">
        <f t="shared" si="116"/>
        <v>0</v>
      </c>
      <c r="DZ51" s="915">
        <f t="shared" si="117"/>
        <v>0</v>
      </c>
      <c r="EA51" s="915">
        <f t="shared" si="118"/>
        <v>0</v>
      </c>
      <c r="EB51" s="915">
        <f t="shared" si="119"/>
        <v>0</v>
      </c>
      <c r="EC51" s="915">
        <f t="shared" si="120"/>
        <v>0</v>
      </c>
      <c r="ED51" s="915">
        <f t="shared" si="121"/>
        <v>0</v>
      </c>
      <c r="EE51" s="915">
        <f t="shared" si="122"/>
        <v>0</v>
      </c>
      <c r="EF51" s="915">
        <f t="shared" si="123"/>
        <v>0</v>
      </c>
      <c r="EG51" s="915">
        <f t="shared" si="124"/>
        <v>0</v>
      </c>
      <c r="EH51" s="915">
        <f t="shared" si="125"/>
        <v>0</v>
      </c>
      <c r="EI51" s="915">
        <f t="shared" si="126"/>
        <v>0</v>
      </c>
      <c r="EJ51" s="915">
        <f t="shared" si="127"/>
        <v>0</v>
      </c>
      <c r="EK51" s="915">
        <f t="shared" si="128"/>
        <v>0</v>
      </c>
      <c r="EL51" s="915">
        <f t="shared" si="129"/>
        <v>0</v>
      </c>
      <c r="EM51" s="915">
        <f t="shared" si="130"/>
        <v>0</v>
      </c>
      <c r="EN51" s="915">
        <f t="shared" si="131"/>
        <v>0</v>
      </c>
      <c r="EO51" s="915">
        <f t="shared" si="132"/>
        <v>0</v>
      </c>
      <c r="EP51" s="915">
        <f t="shared" si="133"/>
        <v>0</v>
      </c>
      <c r="EQ51" s="915">
        <f t="shared" si="134"/>
        <v>0</v>
      </c>
      <c r="ER51" s="915">
        <f t="shared" si="135"/>
        <v>0</v>
      </c>
      <c r="ES51" s="915">
        <f t="shared" si="136"/>
        <v>0</v>
      </c>
      <c r="ET51" s="915">
        <f t="shared" si="137"/>
        <v>0</v>
      </c>
      <c r="EU51" s="915">
        <f t="shared" si="138"/>
        <v>0</v>
      </c>
      <c r="EV51" s="915">
        <f t="shared" si="139"/>
        <v>0</v>
      </c>
      <c r="EW51" s="915">
        <f t="shared" si="140"/>
        <v>0</v>
      </c>
      <c r="EX51" s="915">
        <f t="shared" si="141"/>
        <v>0</v>
      </c>
      <c r="EY51" s="915">
        <f t="shared" si="142"/>
        <v>0</v>
      </c>
      <c r="EZ51" s="915">
        <f t="shared" si="143"/>
        <v>0</v>
      </c>
      <c r="FA51" s="915">
        <f t="shared" si="144"/>
        <v>0</v>
      </c>
      <c r="FB51" s="915">
        <f t="shared" si="145"/>
        <v>0</v>
      </c>
      <c r="FC51" s="915">
        <f t="shared" si="146"/>
        <v>0</v>
      </c>
      <c r="FD51" s="915">
        <f t="shared" si="147"/>
        <v>0</v>
      </c>
      <c r="FE51" s="915">
        <f t="shared" si="148"/>
        <v>0</v>
      </c>
      <c r="FF51" s="915">
        <f t="shared" si="149"/>
        <v>0</v>
      </c>
      <c r="FG51" s="915">
        <f t="shared" si="150"/>
        <v>0</v>
      </c>
      <c r="FH51" s="915">
        <f t="shared" si="151"/>
        <v>0</v>
      </c>
      <c r="FI51" s="915">
        <f t="shared" si="152"/>
        <v>0</v>
      </c>
      <c r="FJ51" s="915">
        <f t="shared" si="153"/>
        <v>0</v>
      </c>
      <c r="FK51" s="915">
        <f t="shared" si="154"/>
        <v>0</v>
      </c>
      <c r="FL51" s="915">
        <f t="shared" si="155"/>
        <v>0</v>
      </c>
      <c r="FM51" s="915">
        <f t="shared" si="156"/>
        <v>0</v>
      </c>
      <c r="FN51" s="915">
        <f t="shared" si="157"/>
        <v>0</v>
      </c>
      <c r="FO51" s="915">
        <f t="shared" si="158"/>
        <v>0</v>
      </c>
      <c r="FP51" s="915">
        <f t="shared" si="159"/>
        <v>0</v>
      </c>
      <c r="FQ51" s="915">
        <f t="shared" si="160"/>
        <v>0</v>
      </c>
      <c r="FR51" s="915">
        <f t="shared" si="161"/>
        <v>0</v>
      </c>
      <c r="FS51" s="915">
        <f t="shared" si="162"/>
        <v>0</v>
      </c>
      <c r="FT51" s="915">
        <f t="shared" si="163"/>
        <v>0</v>
      </c>
      <c r="FU51" s="915">
        <f t="shared" si="164"/>
        <v>0</v>
      </c>
      <c r="FV51" s="915">
        <f t="shared" si="165"/>
        <v>0</v>
      </c>
      <c r="FW51" s="915">
        <f t="shared" si="166"/>
        <v>0</v>
      </c>
      <c r="FX51" s="915">
        <f t="shared" si="167"/>
        <v>0</v>
      </c>
      <c r="FY51" s="915">
        <f t="shared" si="168"/>
        <v>0</v>
      </c>
      <c r="FZ51" s="915">
        <f t="shared" si="169"/>
        <v>0</v>
      </c>
    </row>
    <row r="52" spans="1:182" x14ac:dyDescent="0.2">
      <c r="A52" s="496">
        <v>45</v>
      </c>
      <c r="B52" s="1419"/>
      <c r="C52" s="1433"/>
      <c r="D52" s="264">
        <v>6</v>
      </c>
      <c r="E52" s="264" t="s">
        <v>30</v>
      </c>
      <c r="F52" s="270" t="s">
        <v>2544</v>
      </c>
      <c r="G52" s="270" t="s">
        <v>2542</v>
      </c>
      <c r="H52" s="272">
        <v>7</v>
      </c>
      <c r="I52" s="268">
        <f t="shared" si="172"/>
        <v>0.42</v>
      </c>
      <c r="J52" s="269">
        <f t="shared" si="173"/>
        <v>7.42</v>
      </c>
      <c r="K52" s="225"/>
      <c r="N52" s="942">
        <f>BO6</f>
        <v>7.42</v>
      </c>
      <c r="O52" s="879" t="str">
        <f>"Surveying/Inspection for " &amp; TabName6</f>
        <v>Surveying/Inspection for Phase 6</v>
      </c>
      <c r="P52" s="950" t="s">
        <v>279</v>
      </c>
      <c r="W52" s="915">
        <f t="shared" si="8"/>
        <v>0</v>
      </c>
      <c r="X52" s="915">
        <f t="shared" si="9"/>
        <v>0</v>
      </c>
      <c r="Y52" s="915">
        <f t="shared" si="10"/>
        <v>0</v>
      </c>
      <c r="Z52" s="915">
        <f t="shared" si="13"/>
        <v>0</v>
      </c>
      <c r="AA52" s="915">
        <f t="shared" si="14"/>
        <v>0</v>
      </c>
      <c r="AB52" s="915">
        <f t="shared" si="15"/>
        <v>0</v>
      </c>
      <c r="AC52" s="915">
        <f t="shared" si="16"/>
        <v>0</v>
      </c>
      <c r="AD52" s="915">
        <f t="shared" si="17"/>
        <v>0</v>
      </c>
      <c r="AE52" s="915">
        <f t="shared" si="18"/>
        <v>0</v>
      </c>
      <c r="AF52" s="915">
        <f t="shared" si="19"/>
        <v>0</v>
      </c>
      <c r="AG52" s="915">
        <f t="shared" si="20"/>
        <v>0</v>
      </c>
      <c r="AH52" s="915">
        <f t="shared" si="21"/>
        <v>0</v>
      </c>
      <c r="AI52" s="915">
        <f t="shared" si="22"/>
        <v>0</v>
      </c>
      <c r="AJ52" s="915">
        <f t="shared" si="23"/>
        <v>0</v>
      </c>
      <c r="AK52" s="915">
        <f t="shared" si="24"/>
        <v>0</v>
      </c>
      <c r="AL52" s="915">
        <f t="shared" si="25"/>
        <v>0</v>
      </c>
      <c r="AM52" s="915">
        <f t="shared" si="26"/>
        <v>0</v>
      </c>
      <c r="AN52" s="915">
        <f t="shared" si="27"/>
        <v>0</v>
      </c>
      <c r="AO52" s="915">
        <f t="shared" si="28"/>
        <v>0</v>
      </c>
      <c r="AP52" s="915">
        <f t="shared" si="29"/>
        <v>0</v>
      </c>
      <c r="AQ52" s="915">
        <f t="shared" si="30"/>
        <v>0</v>
      </c>
      <c r="AR52" s="915">
        <f t="shared" si="31"/>
        <v>0</v>
      </c>
      <c r="AS52" s="915">
        <f t="shared" si="32"/>
        <v>0</v>
      </c>
      <c r="AT52" s="915">
        <f t="shared" si="33"/>
        <v>0</v>
      </c>
      <c r="AU52" s="915">
        <f t="shared" si="34"/>
        <v>0</v>
      </c>
      <c r="AV52" s="915">
        <f t="shared" si="35"/>
        <v>0</v>
      </c>
      <c r="AW52" s="915">
        <f t="shared" si="36"/>
        <v>0</v>
      </c>
      <c r="AX52" s="915">
        <f t="shared" si="37"/>
        <v>0</v>
      </c>
      <c r="AY52" s="915">
        <f t="shared" si="38"/>
        <v>0</v>
      </c>
      <c r="AZ52" s="915">
        <f t="shared" si="39"/>
        <v>0</v>
      </c>
      <c r="BA52" s="915">
        <f t="shared" si="40"/>
        <v>0</v>
      </c>
      <c r="BB52" s="915">
        <f t="shared" si="41"/>
        <v>0</v>
      </c>
      <c r="BC52" s="915">
        <f t="shared" si="42"/>
        <v>0</v>
      </c>
      <c r="BD52" s="915">
        <f t="shared" si="43"/>
        <v>0</v>
      </c>
      <c r="BE52" s="915">
        <f t="shared" si="44"/>
        <v>0</v>
      </c>
      <c r="BF52" s="915">
        <f t="shared" si="45"/>
        <v>0</v>
      </c>
      <c r="BG52" s="915">
        <f t="shared" si="46"/>
        <v>0</v>
      </c>
      <c r="BH52" s="915">
        <f t="shared" si="47"/>
        <v>0</v>
      </c>
      <c r="BI52" s="915">
        <f t="shared" si="48"/>
        <v>0</v>
      </c>
      <c r="BJ52" s="915">
        <f t="shared" si="49"/>
        <v>0</v>
      </c>
      <c r="BK52" s="915">
        <f t="shared" si="50"/>
        <v>0</v>
      </c>
      <c r="BL52" s="915">
        <f t="shared" si="51"/>
        <v>0</v>
      </c>
      <c r="BM52" s="915">
        <f t="shared" si="52"/>
        <v>0</v>
      </c>
      <c r="BN52" s="915">
        <f t="shared" si="53"/>
        <v>0</v>
      </c>
      <c r="BO52" s="915">
        <f t="shared" si="54"/>
        <v>7.42</v>
      </c>
      <c r="BP52" s="915">
        <f t="shared" si="55"/>
        <v>0</v>
      </c>
      <c r="BQ52" s="915">
        <f t="shared" si="56"/>
        <v>0</v>
      </c>
      <c r="BR52" s="915">
        <f t="shared" si="57"/>
        <v>0</v>
      </c>
      <c r="BS52" s="915">
        <f t="shared" si="58"/>
        <v>0</v>
      </c>
      <c r="BT52" s="915">
        <f t="shared" si="59"/>
        <v>0</v>
      </c>
      <c r="BU52" s="915">
        <f t="shared" si="60"/>
        <v>0</v>
      </c>
      <c r="BV52" s="915">
        <f t="shared" si="61"/>
        <v>0</v>
      </c>
      <c r="BW52" s="915">
        <f t="shared" si="62"/>
        <v>0</v>
      </c>
      <c r="BX52" s="915">
        <f t="shared" si="63"/>
        <v>0</v>
      </c>
      <c r="BY52" s="915">
        <f t="shared" si="64"/>
        <v>0</v>
      </c>
      <c r="BZ52" s="915">
        <f t="shared" si="65"/>
        <v>0</v>
      </c>
      <c r="CA52" s="915">
        <f t="shared" si="66"/>
        <v>0</v>
      </c>
      <c r="CB52" s="915">
        <f t="shared" si="67"/>
        <v>0</v>
      </c>
      <c r="CC52" s="915">
        <f t="shared" si="68"/>
        <v>0</v>
      </c>
      <c r="CD52" s="915">
        <f t="shared" si="69"/>
        <v>0</v>
      </c>
      <c r="CE52" s="915">
        <f t="shared" si="70"/>
        <v>0</v>
      </c>
      <c r="CF52" s="915">
        <f t="shared" si="71"/>
        <v>0</v>
      </c>
      <c r="CG52" s="915">
        <f t="shared" si="72"/>
        <v>0</v>
      </c>
      <c r="CH52" s="915">
        <f t="shared" si="73"/>
        <v>0</v>
      </c>
      <c r="CI52" s="915">
        <f t="shared" si="74"/>
        <v>0</v>
      </c>
      <c r="CJ52" s="915">
        <f t="shared" si="75"/>
        <v>0</v>
      </c>
      <c r="CK52" s="915">
        <f t="shared" si="76"/>
        <v>0</v>
      </c>
      <c r="CL52" s="915">
        <f t="shared" si="77"/>
        <v>0</v>
      </c>
      <c r="CM52" s="915">
        <f t="shared" si="78"/>
        <v>0</v>
      </c>
      <c r="CN52" s="915">
        <f t="shared" si="79"/>
        <v>0</v>
      </c>
      <c r="CO52" s="915">
        <f t="shared" si="80"/>
        <v>0</v>
      </c>
      <c r="CP52" s="915">
        <f t="shared" si="81"/>
        <v>0</v>
      </c>
      <c r="CQ52" s="915">
        <f t="shared" si="82"/>
        <v>0</v>
      </c>
      <c r="CR52" s="915">
        <f t="shared" si="83"/>
        <v>0</v>
      </c>
      <c r="CS52" s="915">
        <f t="shared" si="84"/>
        <v>0</v>
      </c>
      <c r="CT52" s="915">
        <f t="shared" si="85"/>
        <v>0</v>
      </c>
      <c r="CU52" s="915">
        <f t="shared" si="86"/>
        <v>0</v>
      </c>
      <c r="CV52" s="915">
        <f t="shared" si="87"/>
        <v>0</v>
      </c>
      <c r="CW52" s="915">
        <f t="shared" si="88"/>
        <v>0</v>
      </c>
      <c r="CX52" s="915">
        <f t="shared" si="89"/>
        <v>0</v>
      </c>
      <c r="CY52" s="915">
        <f t="shared" si="90"/>
        <v>0</v>
      </c>
      <c r="CZ52" s="915">
        <f t="shared" si="91"/>
        <v>0</v>
      </c>
      <c r="DA52" s="915">
        <f t="shared" si="92"/>
        <v>0</v>
      </c>
      <c r="DB52" s="915">
        <f t="shared" si="93"/>
        <v>0</v>
      </c>
      <c r="DC52" s="915">
        <f t="shared" si="94"/>
        <v>0</v>
      </c>
      <c r="DD52" s="915">
        <f t="shared" si="95"/>
        <v>0</v>
      </c>
      <c r="DE52" s="915">
        <f t="shared" si="96"/>
        <v>0</v>
      </c>
      <c r="DF52" s="915">
        <f t="shared" si="97"/>
        <v>0</v>
      </c>
      <c r="DG52" s="915">
        <f t="shared" si="98"/>
        <v>0</v>
      </c>
      <c r="DH52" s="915">
        <f t="shared" si="99"/>
        <v>0</v>
      </c>
      <c r="DI52" s="915">
        <f t="shared" si="100"/>
        <v>0</v>
      </c>
      <c r="DJ52" s="915">
        <f t="shared" si="101"/>
        <v>0</v>
      </c>
      <c r="DK52" s="915">
        <f t="shared" si="102"/>
        <v>0</v>
      </c>
      <c r="DL52" s="915">
        <f t="shared" si="103"/>
        <v>0</v>
      </c>
      <c r="DM52" s="915">
        <f t="shared" si="104"/>
        <v>0</v>
      </c>
      <c r="DN52" s="915">
        <f t="shared" si="105"/>
        <v>0</v>
      </c>
      <c r="DO52" s="915">
        <f t="shared" si="106"/>
        <v>0</v>
      </c>
      <c r="DP52" s="915">
        <f t="shared" si="107"/>
        <v>0</v>
      </c>
      <c r="DQ52" s="915">
        <f t="shared" si="108"/>
        <v>0</v>
      </c>
      <c r="DR52" s="915">
        <f t="shared" si="109"/>
        <v>0</v>
      </c>
      <c r="DS52" s="915">
        <f t="shared" si="110"/>
        <v>0</v>
      </c>
      <c r="DT52" s="915">
        <f t="shared" si="111"/>
        <v>0</v>
      </c>
      <c r="DU52" s="915">
        <f t="shared" si="112"/>
        <v>0</v>
      </c>
      <c r="DV52" s="915">
        <f t="shared" si="113"/>
        <v>0</v>
      </c>
      <c r="DW52" s="915">
        <f t="shared" si="114"/>
        <v>0</v>
      </c>
      <c r="DX52" s="915">
        <f t="shared" si="115"/>
        <v>0</v>
      </c>
      <c r="DY52" s="915">
        <f t="shared" si="116"/>
        <v>0</v>
      </c>
      <c r="DZ52" s="915">
        <f t="shared" si="117"/>
        <v>0</v>
      </c>
      <c r="EA52" s="915">
        <f t="shared" si="118"/>
        <v>0</v>
      </c>
      <c r="EB52" s="915">
        <f t="shared" si="119"/>
        <v>0</v>
      </c>
      <c r="EC52" s="915">
        <f t="shared" si="120"/>
        <v>0</v>
      </c>
      <c r="ED52" s="915">
        <f t="shared" si="121"/>
        <v>0</v>
      </c>
      <c r="EE52" s="915">
        <f t="shared" si="122"/>
        <v>0</v>
      </c>
      <c r="EF52" s="915">
        <f t="shared" si="123"/>
        <v>0</v>
      </c>
      <c r="EG52" s="915">
        <f t="shared" si="124"/>
        <v>0</v>
      </c>
      <c r="EH52" s="915">
        <f t="shared" si="125"/>
        <v>0</v>
      </c>
      <c r="EI52" s="915">
        <f t="shared" si="126"/>
        <v>0</v>
      </c>
      <c r="EJ52" s="915">
        <f t="shared" si="127"/>
        <v>0</v>
      </c>
      <c r="EK52" s="915">
        <f t="shared" si="128"/>
        <v>0</v>
      </c>
      <c r="EL52" s="915">
        <f t="shared" si="129"/>
        <v>0</v>
      </c>
      <c r="EM52" s="915">
        <f t="shared" si="130"/>
        <v>0</v>
      </c>
      <c r="EN52" s="915">
        <f t="shared" si="131"/>
        <v>0</v>
      </c>
      <c r="EO52" s="915">
        <f t="shared" si="132"/>
        <v>0</v>
      </c>
      <c r="EP52" s="915">
        <f t="shared" si="133"/>
        <v>0</v>
      </c>
      <c r="EQ52" s="915">
        <f t="shared" si="134"/>
        <v>0</v>
      </c>
      <c r="ER52" s="915">
        <f t="shared" si="135"/>
        <v>0</v>
      </c>
      <c r="ES52" s="915">
        <f t="shared" si="136"/>
        <v>0</v>
      </c>
      <c r="ET52" s="915">
        <f t="shared" si="137"/>
        <v>0</v>
      </c>
      <c r="EU52" s="915">
        <f t="shared" si="138"/>
        <v>0</v>
      </c>
      <c r="EV52" s="915">
        <f t="shared" si="139"/>
        <v>0</v>
      </c>
      <c r="EW52" s="915">
        <f t="shared" si="140"/>
        <v>0</v>
      </c>
      <c r="EX52" s="915">
        <f t="shared" si="141"/>
        <v>0</v>
      </c>
      <c r="EY52" s="915">
        <f t="shared" si="142"/>
        <v>0</v>
      </c>
      <c r="EZ52" s="915">
        <f t="shared" si="143"/>
        <v>0</v>
      </c>
      <c r="FA52" s="915">
        <f t="shared" si="144"/>
        <v>0</v>
      </c>
      <c r="FB52" s="915">
        <f t="shared" si="145"/>
        <v>0</v>
      </c>
      <c r="FC52" s="915">
        <f t="shared" si="146"/>
        <v>0</v>
      </c>
      <c r="FD52" s="915">
        <f t="shared" si="147"/>
        <v>0</v>
      </c>
      <c r="FE52" s="915">
        <f t="shared" si="148"/>
        <v>0</v>
      </c>
      <c r="FF52" s="915">
        <f t="shared" si="149"/>
        <v>0</v>
      </c>
      <c r="FG52" s="915">
        <f t="shared" si="150"/>
        <v>0</v>
      </c>
      <c r="FH52" s="915">
        <f t="shared" si="151"/>
        <v>0</v>
      </c>
      <c r="FI52" s="915">
        <f t="shared" si="152"/>
        <v>0</v>
      </c>
      <c r="FJ52" s="915">
        <f t="shared" si="153"/>
        <v>0</v>
      </c>
      <c r="FK52" s="915">
        <f t="shared" si="154"/>
        <v>0</v>
      </c>
      <c r="FL52" s="915">
        <f t="shared" si="155"/>
        <v>0</v>
      </c>
      <c r="FM52" s="915">
        <f t="shared" si="156"/>
        <v>0</v>
      </c>
      <c r="FN52" s="915">
        <f t="shared" si="157"/>
        <v>0</v>
      </c>
      <c r="FO52" s="915">
        <f t="shared" si="158"/>
        <v>0</v>
      </c>
      <c r="FP52" s="915">
        <f t="shared" si="159"/>
        <v>0</v>
      </c>
      <c r="FQ52" s="915">
        <f t="shared" si="160"/>
        <v>0</v>
      </c>
      <c r="FR52" s="915">
        <f t="shared" si="161"/>
        <v>0</v>
      </c>
      <c r="FS52" s="915">
        <f t="shared" si="162"/>
        <v>0</v>
      </c>
      <c r="FT52" s="915">
        <f t="shared" si="163"/>
        <v>0</v>
      </c>
      <c r="FU52" s="915">
        <f t="shared" si="164"/>
        <v>0</v>
      </c>
      <c r="FV52" s="915">
        <f t="shared" si="165"/>
        <v>0</v>
      </c>
      <c r="FW52" s="915">
        <f t="shared" si="166"/>
        <v>0</v>
      </c>
      <c r="FX52" s="915">
        <f t="shared" si="167"/>
        <v>0</v>
      </c>
      <c r="FY52" s="915">
        <f t="shared" si="168"/>
        <v>0</v>
      </c>
      <c r="FZ52" s="915">
        <f t="shared" si="169"/>
        <v>0</v>
      </c>
    </row>
    <row r="53" spans="1:182" x14ac:dyDescent="0.2">
      <c r="A53" s="497">
        <v>46</v>
      </c>
      <c r="B53" s="1423"/>
      <c r="C53" s="1424"/>
      <c r="D53" s="138">
        <v>6</v>
      </c>
      <c r="E53" s="138" t="s">
        <v>170</v>
      </c>
      <c r="F53" s="139" t="s">
        <v>2544</v>
      </c>
      <c r="G53" s="139" t="s">
        <v>2542</v>
      </c>
      <c r="H53" s="100">
        <v>7</v>
      </c>
      <c r="I53" s="119">
        <f t="shared" si="172"/>
        <v>0.42</v>
      </c>
      <c r="J53" s="90">
        <f t="shared" si="173"/>
        <v>7.42</v>
      </c>
      <c r="K53" s="225"/>
      <c r="N53" s="942">
        <f>BP6</f>
        <v>7.42</v>
      </c>
      <c r="O53" s="879" t="str">
        <f>"Other subcontractor for " &amp; TabName6</f>
        <v>Other subcontractor for Phase 6</v>
      </c>
      <c r="P53" s="949" t="s">
        <v>280</v>
      </c>
      <c r="W53" s="915">
        <f t="shared" si="8"/>
        <v>0</v>
      </c>
      <c r="X53" s="915">
        <f t="shared" si="9"/>
        <v>0</v>
      </c>
      <c r="Y53" s="915">
        <f t="shared" si="10"/>
        <v>0</v>
      </c>
      <c r="Z53" s="915">
        <f t="shared" si="13"/>
        <v>0</v>
      </c>
      <c r="AA53" s="915">
        <f t="shared" si="14"/>
        <v>0</v>
      </c>
      <c r="AB53" s="915">
        <f t="shared" si="15"/>
        <v>0</v>
      </c>
      <c r="AC53" s="915">
        <f t="shared" si="16"/>
        <v>0</v>
      </c>
      <c r="AD53" s="915">
        <f t="shared" si="17"/>
        <v>0</v>
      </c>
      <c r="AE53" s="915">
        <f t="shared" si="18"/>
        <v>0</v>
      </c>
      <c r="AF53" s="915">
        <f t="shared" si="19"/>
        <v>0</v>
      </c>
      <c r="AG53" s="915">
        <f t="shared" si="20"/>
        <v>0</v>
      </c>
      <c r="AH53" s="915">
        <f t="shared" si="21"/>
        <v>0</v>
      </c>
      <c r="AI53" s="915">
        <f t="shared" si="22"/>
        <v>0</v>
      </c>
      <c r="AJ53" s="915">
        <f t="shared" si="23"/>
        <v>0</v>
      </c>
      <c r="AK53" s="915">
        <f t="shared" si="24"/>
        <v>0</v>
      </c>
      <c r="AL53" s="915">
        <f t="shared" si="25"/>
        <v>0</v>
      </c>
      <c r="AM53" s="915">
        <f t="shared" si="26"/>
        <v>0</v>
      </c>
      <c r="AN53" s="915">
        <f t="shared" si="27"/>
        <v>0</v>
      </c>
      <c r="AO53" s="915">
        <f t="shared" si="28"/>
        <v>0</v>
      </c>
      <c r="AP53" s="915">
        <f t="shared" si="29"/>
        <v>0</v>
      </c>
      <c r="AQ53" s="915">
        <f t="shared" si="30"/>
        <v>0</v>
      </c>
      <c r="AR53" s="915">
        <f t="shared" si="31"/>
        <v>0</v>
      </c>
      <c r="AS53" s="915">
        <f t="shared" si="32"/>
        <v>0</v>
      </c>
      <c r="AT53" s="915">
        <f t="shared" si="33"/>
        <v>0</v>
      </c>
      <c r="AU53" s="915">
        <f t="shared" si="34"/>
        <v>0</v>
      </c>
      <c r="AV53" s="915">
        <f t="shared" si="35"/>
        <v>0</v>
      </c>
      <c r="AW53" s="915">
        <f t="shared" si="36"/>
        <v>0</v>
      </c>
      <c r="AX53" s="915">
        <f t="shared" si="37"/>
        <v>0</v>
      </c>
      <c r="AY53" s="915">
        <f t="shared" si="38"/>
        <v>0</v>
      </c>
      <c r="AZ53" s="915">
        <f t="shared" si="39"/>
        <v>0</v>
      </c>
      <c r="BA53" s="915">
        <f t="shared" si="40"/>
        <v>0</v>
      </c>
      <c r="BB53" s="915">
        <f t="shared" si="41"/>
        <v>0</v>
      </c>
      <c r="BC53" s="915">
        <f t="shared" si="42"/>
        <v>0</v>
      </c>
      <c r="BD53" s="915">
        <f t="shared" si="43"/>
        <v>0</v>
      </c>
      <c r="BE53" s="915">
        <f t="shared" si="44"/>
        <v>0</v>
      </c>
      <c r="BF53" s="915">
        <f t="shared" si="45"/>
        <v>0</v>
      </c>
      <c r="BG53" s="915">
        <f t="shared" si="46"/>
        <v>0</v>
      </c>
      <c r="BH53" s="915">
        <f t="shared" si="47"/>
        <v>0</v>
      </c>
      <c r="BI53" s="915">
        <f t="shared" si="48"/>
        <v>0</v>
      </c>
      <c r="BJ53" s="915">
        <f t="shared" si="49"/>
        <v>0</v>
      </c>
      <c r="BK53" s="915">
        <f t="shared" si="50"/>
        <v>0</v>
      </c>
      <c r="BL53" s="915">
        <f t="shared" si="51"/>
        <v>0</v>
      </c>
      <c r="BM53" s="915">
        <f t="shared" si="52"/>
        <v>0</v>
      </c>
      <c r="BN53" s="915">
        <f t="shared" si="53"/>
        <v>0</v>
      </c>
      <c r="BO53" s="915">
        <f t="shared" si="54"/>
        <v>0</v>
      </c>
      <c r="BP53" s="915">
        <f t="shared" si="55"/>
        <v>7.42</v>
      </c>
      <c r="BQ53" s="915">
        <f t="shared" si="56"/>
        <v>0</v>
      </c>
      <c r="BR53" s="915">
        <f t="shared" si="57"/>
        <v>0</v>
      </c>
      <c r="BS53" s="915">
        <f t="shared" si="58"/>
        <v>0</v>
      </c>
      <c r="BT53" s="915">
        <f t="shared" si="59"/>
        <v>0</v>
      </c>
      <c r="BU53" s="915">
        <f t="shared" si="60"/>
        <v>0</v>
      </c>
      <c r="BV53" s="915">
        <f t="shared" si="61"/>
        <v>0</v>
      </c>
      <c r="BW53" s="915">
        <f t="shared" si="62"/>
        <v>0</v>
      </c>
      <c r="BX53" s="915">
        <f t="shared" si="63"/>
        <v>0</v>
      </c>
      <c r="BY53" s="915">
        <f t="shared" si="64"/>
        <v>0</v>
      </c>
      <c r="BZ53" s="915">
        <f t="shared" si="65"/>
        <v>0</v>
      </c>
      <c r="CA53" s="915">
        <f t="shared" si="66"/>
        <v>0</v>
      </c>
      <c r="CB53" s="915">
        <f t="shared" si="67"/>
        <v>0</v>
      </c>
      <c r="CC53" s="915">
        <f t="shared" si="68"/>
        <v>0</v>
      </c>
      <c r="CD53" s="915">
        <f t="shared" si="69"/>
        <v>0</v>
      </c>
      <c r="CE53" s="915">
        <f t="shared" si="70"/>
        <v>0</v>
      </c>
      <c r="CF53" s="915">
        <f t="shared" si="71"/>
        <v>0</v>
      </c>
      <c r="CG53" s="915">
        <f t="shared" si="72"/>
        <v>0</v>
      </c>
      <c r="CH53" s="915">
        <f t="shared" si="73"/>
        <v>0</v>
      </c>
      <c r="CI53" s="915">
        <f t="shared" si="74"/>
        <v>0</v>
      </c>
      <c r="CJ53" s="915">
        <f t="shared" si="75"/>
        <v>0</v>
      </c>
      <c r="CK53" s="915">
        <f t="shared" si="76"/>
        <v>0</v>
      </c>
      <c r="CL53" s="915">
        <f t="shared" si="77"/>
        <v>0</v>
      </c>
      <c r="CM53" s="915">
        <f t="shared" si="78"/>
        <v>0</v>
      </c>
      <c r="CN53" s="915">
        <f t="shared" si="79"/>
        <v>0</v>
      </c>
      <c r="CO53" s="915">
        <f t="shared" si="80"/>
        <v>0</v>
      </c>
      <c r="CP53" s="915">
        <f t="shared" si="81"/>
        <v>0</v>
      </c>
      <c r="CQ53" s="915">
        <f t="shared" si="82"/>
        <v>0</v>
      </c>
      <c r="CR53" s="915">
        <f t="shared" si="83"/>
        <v>0</v>
      </c>
      <c r="CS53" s="915">
        <f t="shared" si="84"/>
        <v>0</v>
      </c>
      <c r="CT53" s="915">
        <f t="shared" si="85"/>
        <v>0</v>
      </c>
      <c r="CU53" s="915">
        <f t="shared" si="86"/>
        <v>0</v>
      </c>
      <c r="CV53" s="915">
        <f t="shared" si="87"/>
        <v>0</v>
      </c>
      <c r="CW53" s="915">
        <f t="shared" si="88"/>
        <v>0</v>
      </c>
      <c r="CX53" s="915">
        <f t="shared" si="89"/>
        <v>0</v>
      </c>
      <c r="CY53" s="915">
        <f t="shared" si="90"/>
        <v>0</v>
      </c>
      <c r="CZ53" s="915">
        <f t="shared" si="91"/>
        <v>0</v>
      </c>
      <c r="DA53" s="915">
        <f t="shared" si="92"/>
        <v>0</v>
      </c>
      <c r="DB53" s="915">
        <f t="shared" si="93"/>
        <v>0</v>
      </c>
      <c r="DC53" s="915">
        <f t="shared" si="94"/>
        <v>0</v>
      </c>
      <c r="DD53" s="915">
        <f t="shared" si="95"/>
        <v>0</v>
      </c>
      <c r="DE53" s="915">
        <f t="shared" si="96"/>
        <v>0</v>
      </c>
      <c r="DF53" s="915">
        <f t="shared" si="97"/>
        <v>0</v>
      </c>
      <c r="DG53" s="915">
        <f t="shared" si="98"/>
        <v>0</v>
      </c>
      <c r="DH53" s="915">
        <f t="shared" si="99"/>
        <v>0</v>
      </c>
      <c r="DI53" s="915">
        <f t="shared" si="100"/>
        <v>0</v>
      </c>
      <c r="DJ53" s="915">
        <f t="shared" si="101"/>
        <v>0</v>
      </c>
      <c r="DK53" s="915">
        <f t="shared" si="102"/>
        <v>0</v>
      </c>
      <c r="DL53" s="915">
        <f t="shared" si="103"/>
        <v>0</v>
      </c>
      <c r="DM53" s="915">
        <f t="shared" si="104"/>
        <v>0</v>
      </c>
      <c r="DN53" s="915">
        <f t="shared" si="105"/>
        <v>0</v>
      </c>
      <c r="DO53" s="915">
        <f t="shared" si="106"/>
        <v>0</v>
      </c>
      <c r="DP53" s="915">
        <f t="shared" si="107"/>
        <v>0</v>
      </c>
      <c r="DQ53" s="915">
        <f t="shared" si="108"/>
        <v>0</v>
      </c>
      <c r="DR53" s="915">
        <f t="shared" si="109"/>
        <v>0</v>
      </c>
      <c r="DS53" s="915">
        <f t="shared" si="110"/>
        <v>0</v>
      </c>
      <c r="DT53" s="915">
        <f t="shared" si="111"/>
        <v>0</v>
      </c>
      <c r="DU53" s="915">
        <f t="shared" si="112"/>
        <v>0</v>
      </c>
      <c r="DV53" s="915">
        <f t="shared" si="113"/>
        <v>0</v>
      </c>
      <c r="DW53" s="915">
        <f t="shared" si="114"/>
        <v>0</v>
      </c>
      <c r="DX53" s="915">
        <f t="shared" si="115"/>
        <v>0</v>
      </c>
      <c r="DY53" s="915">
        <f t="shared" si="116"/>
        <v>0</v>
      </c>
      <c r="DZ53" s="915">
        <f t="shared" si="117"/>
        <v>0</v>
      </c>
      <c r="EA53" s="915">
        <f t="shared" si="118"/>
        <v>0</v>
      </c>
      <c r="EB53" s="915">
        <f t="shared" si="119"/>
        <v>0</v>
      </c>
      <c r="EC53" s="915">
        <f t="shared" si="120"/>
        <v>0</v>
      </c>
      <c r="ED53" s="915">
        <f t="shared" si="121"/>
        <v>0</v>
      </c>
      <c r="EE53" s="915">
        <f t="shared" si="122"/>
        <v>0</v>
      </c>
      <c r="EF53" s="915">
        <f t="shared" si="123"/>
        <v>0</v>
      </c>
      <c r="EG53" s="915">
        <f t="shared" si="124"/>
        <v>0</v>
      </c>
      <c r="EH53" s="915">
        <f t="shared" si="125"/>
        <v>0</v>
      </c>
      <c r="EI53" s="915">
        <f t="shared" si="126"/>
        <v>0</v>
      </c>
      <c r="EJ53" s="915">
        <f t="shared" si="127"/>
        <v>0</v>
      </c>
      <c r="EK53" s="915">
        <f t="shared" si="128"/>
        <v>0</v>
      </c>
      <c r="EL53" s="915">
        <f t="shared" si="129"/>
        <v>0</v>
      </c>
      <c r="EM53" s="915">
        <f t="shared" si="130"/>
        <v>0</v>
      </c>
      <c r="EN53" s="915">
        <f t="shared" si="131"/>
        <v>0</v>
      </c>
      <c r="EO53" s="915">
        <f t="shared" si="132"/>
        <v>0</v>
      </c>
      <c r="EP53" s="915">
        <f t="shared" si="133"/>
        <v>0</v>
      </c>
      <c r="EQ53" s="915">
        <f t="shared" si="134"/>
        <v>0</v>
      </c>
      <c r="ER53" s="915">
        <f t="shared" si="135"/>
        <v>0</v>
      </c>
      <c r="ES53" s="915">
        <f t="shared" si="136"/>
        <v>0</v>
      </c>
      <c r="ET53" s="915">
        <f t="shared" si="137"/>
        <v>0</v>
      </c>
      <c r="EU53" s="915">
        <f t="shared" si="138"/>
        <v>0</v>
      </c>
      <c r="EV53" s="915">
        <f t="shared" si="139"/>
        <v>0</v>
      </c>
      <c r="EW53" s="915">
        <f t="shared" si="140"/>
        <v>0</v>
      </c>
      <c r="EX53" s="915">
        <f t="shared" si="141"/>
        <v>0</v>
      </c>
      <c r="EY53" s="915">
        <f t="shared" si="142"/>
        <v>0</v>
      </c>
      <c r="EZ53" s="915">
        <f t="shared" si="143"/>
        <v>0</v>
      </c>
      <c r="FA53" s="915">
        <f t="shared" si="144"/>
        <v>0</v>
      </c>
      <c r="FB53" s="915">
        <f t="shared" si="145"/>
        <v>0</v>
      </c>
      <c r="FC53" s="915">
        <f t="shared" si="146"/>
        <v>0</v>
      </c>
      <c r="FD53" s="915">
        <f t="shared" si="147"/>
        <v>0</v>
      </c>
      <c r="FE53" s="915">
        <f t="shared" si="148"/>
        <v>0</v>
      </c>
      <c r="FF53" s="915">
        <f t="shared" si="149"/>
        <v>0</v>
      </c>
      <c r="FG53" s="915">
        <f t="shared" si="150"/>
        <v>0</v>
      </c>
      <c r="FH53" s="915">
        <f t="shared" si="151"/>
        <v>0</v>
      </c>
      <c r="FI53" s="915">
        <f t="shared" si="152"/>
        <v>0</v>
      </c>
      <c r="FJ53" s="915">
        <f t="shared" si="153"/>
        <v>0</v>
      </c>
      <c r="FK53" s="915">
        <f t="shared" si="154"/>
        <v>0</v>
      </c>
      <c r="FL53" s="915">
        <f t="shared" si="155"/>
        <v>0</v>
      </c>
      <c r="FM53" s="915">
        <f t="shared" si="156"/>
        <v>0</v>
      </c>
      <c r="FN53" s="915">
        <f t="shared" si="157"/>
        <v>0</v>
      </c>
      <c r="FO53" s="915">
        <f t="shared" si="158"/>
        <v>0</v>
      </c>
      <c r="FP53" s="915">
        <f t="shared" si="159"/>
        <v>0</v>
      </c>
      <c r="FQ53" s="915">
        <f t="shared" si="160"/>
        <v>0</v>
      </c>
      <c r="FR53" s="915">
        <f t="shared" si="161"/>
        <v>0</v>
      </c>
      <c r="FS53" s="915">
        <f t="shared" si="162"/>
        <v>0</v>
      </c>
      <c r="FT53" s="915">
        <f t="shared" si="163"/>
        <v>0</v>
      </c>
      <c r="FU53" s="915">
        <f t="shared" si="164"/>
        <v>0</v>
      </c>
      <c r="FV53" s="915">
        <f t="shared" si="165"/>
        <v>0</v>
      </c>
      <c r="FW53" s="915">
        <f t="shared" si="166"/>
        <v>0</v>
      </c>
      <c r="FX53" s="915">
        <f t="shared" si="167"/>
        <v>0</v>
      </c>
      <c r="FY53" s="915">
        <f t="shared" si="168"/>
        <v>0</v>
      </c>
      <c r="FZ53" s="915">
        <f t="shared" si="169"/>
        <v>0</v>
      </c>
    </row>
    <row r="54" spans="1:182" x14ac:dyDescent="0.2">
      <c r="A54" s="496">
        <v>47</v>
      </c>
      <c r="B54" s="1419"/>
      <c r="C54" s="1433"/>
      <c r="D54" s="264">
        <v>6</v>
      </c>
      <c r="E54" s="264" t="s">
        <v>48</v>
      </c>
      <c r="F54" s="270" t="s">
        <v>2544</v>
      </c>
      <c r="G54" s="270" t="s">
        <v>2542</v>
      </c>
      <c r="H54" s="272">
        <v>7</v>
      </c>
      <c r="I54" s="268">
        <f t="shared" si="172"/>
        <v>0.42</v>
      </c>
      <c r="J54" s="269">
        <f t="shared" si="173"/>
        <v>7.42</v>
      </c>
      <c r="K54" s="225"/>
      <c r="N54" s="942">
        <f>BQ6</f>
        <v>7.42</v>
      </c>
      <c r="O54" s="915" t="str">
        <f>"Miscellaneous for "&amp;TabName6</f>
        <v>Miscellaneous for Phase 6</v>
      </c>
      <c r="P54" s="949" t="s">
        <v>281</v>
      </c>
      <c r="W54" s="915">
        <f t="shared" si="8"/>
        <v>0</v>
      </c>
      <c r="X54" s="915">
        <f t="shared" si="9"/>
        <v>0</v>
      </c>
      <c r="Y54" s="915">
        <f t="shared" si="10"/>
        <v>0</v>
      </c>
      <c r="Z54" s="915">
        <f t="shared" si="13"/>
        <v>0</v>
      </c>
      <c r="AA54" s="915">
        <f t="shared" si="14"/>
        <v>0</v>
      </c>
      <c r="AB54" s="915">
        <f t="shared" si="15"/>
        <v>0</v>
      </c>
      <c r="AC54" s="915">
        <f t="shared" si="16"/>
        <v>0</v>
      </c>
      <c r="AD54" s="915">
        <f t="shared" si="17"/>
        <v>0</v>
      </c>
      <c r="AE54" s="915">
        <f t="shared" si="18"/>
        <v>0</v>
      </c>
      <c r="AF54" s="915">
        <f t="shared" si="19"/>
        <v>0</v>
      </c>
      <c r="AG54" s="915">
        <f t="shared" si="20"/>
        <v>0</v>
      </c>
      <c r="AH54" s="915">
        <f t="shared" si="21"/>
        <v>0</v>
      </c>
      <c r="AI54" s="915">
        <f t="shared" si="22"/>
        <v>0</v>
      </c>
      <c r="AJ54" s="915">
        <f t="shared" si="23"/>
        <v>0</v>
      </c>
      <c r="AK54" s="915">
        <f t="shared" si="24"/>
        <v>0</v>
      </c>
      <c r="AL54" s="915">
        <f t="shared" si="25"/>
        <v>0</v>
      </c>
      <c r="AM54" s="915">
        <f t="shared" si="26"/>
        <v>0</v>
      </c>
      <c r="AN54" s="915">
        <f t="shared" si="27"/>
        <v>0</v>
      </c>
      <c r="AO54" s="915">
        <f t="shared" si="28"/>
        <v>0</v>
      </c>
      <c r="AP54" s="915">
        <f t="shared" si="29"/>
        <v>0</v>
      </c>
      <c r="AQ54" s="915">
        <f t="shared" si="30"/>
        <v>0</v>
      </c>
      <c r="AR54" s="915">
        <f t="shared" si="31"/>
        <v>0</v>
      </c>
      <c r="AS54" s="915">
        <f t="shared" si="32"/>
        <v>0</v>
      </c>
      <c r="AT54" s="915">
        <f t="shared" si="33"/>
        <v>0</v>
      </c>
      <c r="AU54" s="915">
        <f t="shared" si="34"/>
        <v>0</v>
      </c>
      <c r="AV54" s="915">
        <f t="shared" si="35"/>
        <v>0</v>
      </c>
      <c r="AW54" s="915">
        <f t="shared" si="36"/>
        <v>0</v>
      </c>
      <c r="AX54" s="915">
        <f t="shared" si="37"/>
        <v>0</v>
      </c>
      <c r="AY54" s="915">
        <f t="shared" si="38"/>
        <v>0</v>
      </c>
      <c r="AZ54" s="915">
        <f t="shared" si="39"/>
        <v>0</v>
      </c>
      <c r="BA54" s="915">
        <f t="shared" si="40"/>
        <v>0</v>
      </c>
      <c r="BB54" s="915">
        <f t="shared" si="41"/>
        <v>0</v>
      </c>
      <c r="BC54" s="915">
        <f t="shared" si="42"/>
        <v>0</v>
      </c>
      <c r="BD54" s="915">
        <f t="shared" si="43"/>
        <v>0</v>
      </c>
      <c r="BE54" s="915">
        <f t="shared" si="44"/>
        <v>0</v>
      </c>
      <c r="BF54" s="915">
        <f t="shared" si="45"/>
        <v>0</v>
      </c>
      <c r="BG54" s="915">
        <f t="shared" si="46"/>
        <v>0</v>
      </c>
      <c r="BH54" s="915">
        <f t="shared" si="47"/>
        <v>0</v>
      </c>
      <c r="BI54" s="915">
        <f t="shared" si="48"/>
        <v>0</v>
      </c>
      <c r="BJ54" s="915">
        <f t="shared" si="49"/>
        <v>0</v>
      </c>
      <c r="BK54" s="915">
        <f t="shared" si="50"/>
        <v>0</v>
      </c>
      <c r="BL54" s="915">
        <f t="shared" si="51"/>
        <v>0</v>
      </c>
      <c r="BM54" s="915">
        <f t="shared" si="52"/>
        <v>0</v>
      </c>
      <c r="BN54" s="915">
        <f t="shared" si="53"/>
        <v>0</v>
      </c>
      <c r="BO54" s="915">
        <f t="shared" si="54"/>
        <v>0</v>
      </c>
      <c r="BP54" s="915">
        <f t="shared" si="55"/>
        <v>0</v>
      </c>
      <c r="BQ54" s="915">
        <f t="shared" si="56"/>
        <v>7.42</v>
      </c>
      <c r="BR54" s="915">
        <f t="shared" si="57"/>
        <v>0</v>
      </c>
      <c r="BS54" s="915">
        <f t="shared" si="58"/>
        <v>0</v>
      </c>
      <c r="BT54" s="915">
        <f t="shared" si="59"/>
        <v>0</v>
      </c>
      <c r="BU54" s="915">
        <f t="shared" si="60"/>
        <v>0</v>
      </c>
      <c r="BV54" s="915">
        <f t="shared" si="61"/>
        <v>0</v>
      </c>
      <c r="BW54" s="915">
        <f t="shared" si="62"/>
        <v>0</v>
      </c>
      <c r="BX54" s="915">
        <f t="shared" si="63"/>
        <v>0</v>
      </c>
      <c r="BY54" s="915">
        <f t="shared" si="64"/>
        <v>0</v>
      </c>
      <c r="BZ54" s="915">
        <f t="shared" si="65"/>
        <v>0</v>
      </c>
      <c r="CA54" s="915">
        <f t="shared" si="66"/>
        <v>0</v>
      </c>
      <c r="CB54" s="915">
        <f t="shared" si="67"/>
        <v>0</v>
      </c>
      <c r="CC54" s="915">
        <f t="shared" si="68"/>
        <v>0</v>
      </c>
      <c r="CD54" s="915">
        <f t="shared" si="69"/>
        <v>0</v>
      </c>
      <c r="CE54" s="915">
        <f t="shared" si="70"/>
        <v>0</v>
      </c>
      <c r="CF54" s="915">
        <f t="shared" si="71"/>
        <v>0</v>
      </c>
      <c r="CG54" s="915">
        <f t="shared" si="72"/>
        <v>0</v>
      </c>
      <c r="CH54" s="915">
        <f t="shared" si="73"/>
        <v>0</v>
      </c>
      <c r="CI54" s="915">
        <f t="shared" si="74"/>
        <v>0</v>
      </c>
      <c r="CJ54" s="915">
        <f t="shared" si="75"/>
        <v>0</v>
      </c>
      <c r="CK54" s="915">
        <f t="shared" si="76"/>
        <v>0</v>
      </c>
      <c r="CL54" s="915">
        <f t="shared" si="77"/>
        <v>0</v>
      </c>
      <c r="CM54" s="915">
        <f t="shared" si="78"/>
        <v>0</v>
      </c>
      <c r="CN54" s="915">
        <f t="shared" si="79"/>
        <v>0</v>
      </c>
      <c r="CO54" s="915">
        <f t="shared" si="80"/>
        <v>0</v>
      </c>
      <c r="CP54" s="915">
        <f t="shared" si="81"/>
        <v>0</v>
      </c>
      <c r="CQ54" s="915">
        <f t="shared" si="82"/>
        <v>0</v>
      </c>
      <c r="CR54" s="915">
        <f t="shared" si="83"/>
        <v>0</v>
      </c>
      <c r="CS54" s="915">
        <f t="shared" si="84"/>
        <v>0</v>
      </c>
      <c r="CT54" s="915">
        <f t="shared" si="85"/>
        <v>0</v>
      </c>
      <c r="CU54" s="915">
        <f t="shared" si="86"/>
        <v>0</v>
      </c>
      <c r="CV54" s="915">
        <f t="shared" si="87"/>
        <v>0</v>
      </c>
      <c r="CW54" s="915">
        <f t="shared" si="88"/>
        <v>0</v>
      </c>
      <c r="CX54" s="915">
        <f t="shared" si="89"/>
        <v>0</v>
      </c>
      <c r="CY54" s="915">
        <f t="shared" si="90"/>
        <v>0</v>
      </c>
      <c r="CZ54" s="915">
        <f t="shared" si="91"/>
        <v>0</v>
      </c>
      <c r="DA54" s="915">
        <f t="shared" si="92"/>
        <v>0</v>
      </c>
      <c r="DB54" s="915">
        <f t="shared" si="93"/>
        <v>0</v>
      </c>
      <c r="DC54" s="915">
        <f t="shared" si="94"/>
        <v>0</v>
      </c>
      <c r="DD54" s="915">
        <f t="shared" si="95"/>
        <v>0</v>
      </c>
      <c r="DE54" s="915">
        <f t="shared" si="96"/>
        <v>0</v>
      </c>
      <c r="DF54" s="915">
        <f t="shared" si="97"/>
        <v>0</v>
      </c>
      <c r="DG54" s="915">
        <f t="shared" si="98"/>
        <v>0</v>
      </c>
      <c r="DH54" s="915">
        <f t="shared" si="99"/>
        <v>0</v>
      </c>
      <c r="DI54" s="915">
        <f t="shared" si="100"/>
        <v>0</v>
      </c>
      <c r="DJ54" s="915">
        <f t="shared" si="101"/>
        <v>0</v>
      </c>
      <c r="DK54" s="915">
        <f t="shared" si="102"/>
        <v>0</v>
      </c>
      <c r="DL54" s="915">
        <f t="shared" si="103"/>
        <v>0</v>
      </c>
      <c r="DM54" s="915">
        <f t="shared" si="104"/>
        <v>0</v>
      </c>
      <c r="DN54" s="915">
        <f t="shared" si="105"/>
        <v>0</v>
      </c>
      <c r="DO54" s="915">
        <f t="shared" si="106"/>
        <v>0</v>
      </c>
      <c r="DP54" s="915">
        <f t="shared" si="107"/>
        <v>0</v>
      </c>
      <c r="DQ54" s="915">
        <f t="shared" si="108"/>
        <v>0</v>
      </c>
      <c r="DR54" s="915">
        <f t="shared" si="109"/>
        <v>0</v>
      </c>
      <c r="DS54" s="915">
        <f t="shared" si="110"/>
        <v>0</v>
      </c>
      <c r="DT54" s="915">
        <f t="shared" si="111"/>
        <v>0</v>
      </c>
      <c r="DU54" s="915">
        <f t="shared" si="112"/>
        <v>0</v>
      </c>
      <c r="DV54" s="915">
        <f t="shared" si="113"/>
        <v>0</v>
      </c>
      <c r="DW54" s="915">
        <f t="shared" si="114"/>
        <v>0</v>
      </c>
      <c r="DX54" s="915">
        <f t="shared" si="115"/>
        <v>0</v>
      </c>
      <c r="DY54" s="915">
        <f t="shared" si="116"/>
        <v>0</v>
      </c>
      <c r="DZ54" s="915">
        <f t="shared" si="117"/>
        <v>0</v>
      </c>
      <c r="EA54" s="915">
        <f t="shared" si="118"/>
        <v>0</v>
      </c>
      <c r="EB54" s="915">
        <f t="shared" si="119"/>
        <v>0</v>
      </c>
      <c r="EC54" s="915">
        <f t="shared" si="120"/>
        <v>0</v>
      </c>
      <c r="ED54" s="915">
        <f t="shared" si="121"/>
        <v>0</v>
      </c>
      <c r="EE54" s="915">
        <f t="shared" si="122"/>
        <v>0</v>
      </c>
      <c r="EF54" s="915">
        <f t="shared" si="123"/>
        <v>0</v>
      </c>
      <c r="EG54" s="915">
        <f t="shared" si="124"/>
        <v>0</v>
      </c>
      <c r="EH54" s="915">
        <f t="shared" si="125"/>
        <v>0</v>
      </c>
      <c r="EI54" s="915">
        <f t="shared" si="126"/>
        <v>0</v>
      </c>
      <c r="EJ54" s="915">
        <f t="shared" si="127"/>
        <v>0</v>
      </c>
      <c r="EK54" s="915">
        <f t="shared" si="128"/>
        <v>0</v>
      </c>
      <c r="EL54" s="915">
        <f t="shared" si="129"/>
        <v>0</v>
      </c>
      <c r="EM54" s="915">
        <f t="shared" si="130"/>
        <v>0</v>
      </c>
      <c r="EN54" s="915">
        <f t="shared" si="131"/>
        <v>0</v>
      </c>
      <c r="EO54" s="915">
        <f t="shared" si="132"/>
        <v>0</v>
      </c>
      <c r="EP54" s="915">
        <f t="shared" si="133"/>
        <v>0</v>
      </c>
      <c r="EQ54" s="915">
        <f t="shared" si="134"/>
        <v>0</v>
      </c>
      <c r="ER54" s="915">
        <f t="shared" si="135"/>
        <v>0</v>
      </c>
      <c r="ES54" s="915">
        <f t="shared" si="136"/>
        <v>0</v>
      </c>
      <c r="ET54" s="915">
        <f t="shared" si="137"/>
        <v>0</v>
      </c>
      <c r="EU54" s="915">
        <f t="shared" si="138"/>
        <v>0</v>
      </c>
      <c r="EV54" s="915">
        <f t="shared" si="139"/>
        <v>0</v>
      </c>
      <c r="EW54" s="915">
        <f t="shared" si="140"/>
        <v>0</v>
      </c>
      <c r="EX54" s="915">
        <f t="shared" si="141"/>
        <v>0</v>
      </c>
      <c r="EY54" s="915">
        <f t="shared" si="142"/>
        <v>0</v>
      </c>
      <c r="EZ54" s="915">
        <f t="shared" si="143"/>
        <v>0</v>
      </c>
      <c r="FA54" s="915">
        <f t="shared" si="144"/>
        <v>0</v>
      </c>
      <c r="FB54" s="915">
        <f t="shared" si="145"/>
        <v>0</v>
      </c>
      <c r="FC54" s="915">
        <f t="shared" si="146"/>
        <v>0</v>
      </c>
      <c r="FD54" s="915">
        <f t="shared" si="147"/>
        <v>0</v>
      </c>
      <c r="FE54" s="915">
        <f t="shared" si="148"/>
        <v>0</v>
      </c>
      <c r="FF54" s="915">
        <f t="shared" si="149"/>
        <v>0</v>
      </c>
      <c r="FG54" s="915">
        <f t="shared" si="150"/>
        <v>0</v>
      </c>
      <c r="FH54" s="915">
        <f t="shared" si="151"/>
        <v>0</v>
      </c>
      <c r="FI54" s="915">
        <f t="shared" si="152"/>
        <v>0</v>
      </c>
      <c r="FJ54" s="915">
        <f t="shared" si="153"/>
        <v>0</v>
      </c>
      <c r="FK54" s="915">
        <f t="shared" si="154"/>
        <v>0</v>
      </c>
      <c r="FL54" s="915">
        <f t="shared" si="155"/>
        <v>0</v>
      </c>
      <c r="FM54" s="915">
        <f t="shared" si="156"/>
        <v>0</v>
      </c>
      <c r="FN54" s="915">
        <f t="shared" si="157"/>
        <v>0</v>
      </c>
      <c r="FO54" s="915">
        <f t="shared" si="158"/>
        <v>0</v>
      </c>
      <c r="FP54" s="915">
        <f t="shared" si="159"/>
        <v>0</v>
      </c>
      <c r="FQ54" s="915">
        <f t="shared" si="160"/>
        <v>0</v>
      </c>
      <c r="FR54" s="915">
        <f t="shared" si="161"/>
        <v>0</v>
      </c>
      <c r="FS54" s="915">
        <f t="shared" si="162"/>
        <v>0</v>
      </c>
      <c r="FT54" s="915">
        <f t="shared" si="163"/>
        <v>0</v>
      </c>
      <c r="FU54" s="915">
        <f t="shared" si="164"/>
        <v>0</v>
      </c>
      <c r="FV54" s="915">
        <f t="shared" si="165"/>
        <v>0</v>
      </c>
      <c r="FW54" s="915">
        <f t="shared" si="166"/>
        <v>0</v>
      </c>
      <c r="FX54" s="915">
        <f t="shared" si="167"/>
        <v>0</v>
      </c>
      <c r="FY54" s="915">
        <f t="shared" si="168"/>
        <v>0</v>
      </c>
      <c r="FZ54" s="915">
        <f t="shared" si="169"/>
        <v>0</v>
      </c>
    </row>
    <row r="55" spans="1:182" x14ac:dyDescent="0.2">
      <c r="A55" s="497">
        <v>48</v>
      </c>
      <c r="B55" s="1423"/>
      <c r="C55" s="1424"/>
      <c r="D55" s="138">
        <v>6</v>
      </c>
      <c r="E55" s="138" t="s">
        <v>27</v>
      </c>
      <c r="F55" s="139" t="s">
        <v>2544</v>
      </c>
      <c r="G55" s="139" t="s">
        <v>2542</v>
      </c>
      <c r="H55" s="100">
        <v>7</v>
      </c>
      <c r="I55" s="119">
        <f t="shared" si="172"/>
        <v>0.42</v>
      </c>
      <c r="J55" s="90">
        <f t="shared" si="173"/>
        <v>7.42</v>
      </c>
      <c r="K55" s="225"/>
      <c r="N55" s="942">
        <f>BR6</f>
        <v>7.42</v>
      </c>
      <c r="O55" s="879" t="str">
        <f>"Contractor Labor for " &amp; TabName6</f>
        <v>Contractor Labor for Phase 6</v>
      </c>
      <c r="P55" s="950" t="s">
        <v>282</v>
      </c>
      <c r="W55" s="915">
        <f t="shared" si="8"/>
        <v>0</v>
      </c>
      <c r="X55" s="915">
        <f t="shared" si="9"/>
        <v>0</v>
      </c>
      <c r="Y55" s="915">
        <f t="shared" si="10"/>
        <v>0</v>
      </c>
      <c r="Z55" s="915">
        <f t="shared" si="13"/>
        <v>0</v>
      </c>
      <c r="AA55" s="915">
        <f t="shared" si="14"/>
        <v>0</v>
      </c>
      <c r="AB55" s="915">
        <f t="shared" si="15"/>
        <v>0</v>
      </c>
      <c r="AC55" s="915">
        <f t="shared" si="16"/>
        <v>0</v>
      </c>
      <c r="AD55" s="915">
        <f t="shared" si="17"/>
        <v>0</v>
      </c>
      <c r="AE55" s="915">
        <f t="shared" si="18"/>
        <v>0</v>
      </c>
      <c r="AF55" s="915">
        <f t="shared" si="19"/>
        <v>0</v>
      </c>
      <c r="AG55" s="915">
        <f t="shared" si="20"/>
        <v>0</v>
      </c>
      <c r="AH55" s="915">
        <f t="shared" si="21"/>
        <v>0</v>
      </c>
      <c r="AI55" s="915">
        <f t="shared" si="22"/>
        <v>0</v>
      </c>
      <c r="AJ55" s="915">
        <f t="shared" si="23"/>
        <v>0</v>
      </c>
      <c r="AK55" s="915">
        <f t="shared" si="24"/>
        <v>0</v>
      </c>
      <c r="AL55" s="915">
        <f t="shared" si="25"/>
        <v>0</v>
      </c>
      <c r="AM55" s="915">
        <f t="shared" si="26"/>
        <v>0</v>
      </c>
      <c r="AN55" s="915">
        <f t="shared" si="27"/>
        <v>0</v>
      </c>
      <c r="AO55" s="915">
        <f t="shared" si="28"/>
        <v>0</v>
      </c>
      <c r="AP55" s="915">
        <f t="shared" si="29"/>
        <v>0</v>
      </c>
      <c r="AQ55" s="915">
        <f t="shared" si="30"/>
        <v>0</v>
      </c>
      <c r="AR55" s="915">
        <f t="shared" si="31"/>
        <v>0</v>
      </c>
      <c r="AS55" s="915">
        <f t="shared" si="32"/>
        <v>0</v>
      </c>
      <c r="AT55" s="915">
        <f t="shared" si="33"/>
        <v>0</v>
      </c>
      <c r="AU55" s="915">
        <f t="shared" si="34"/>
        <v>0</v>
      </c>
      <c r="AV55" s="915">
        <f t="shared" si="35"/>
        <v>0</v>
      </c>
      <c r="AW55" s="915">
        <f t="shared" si="36"/>
        <v>0</v>
      </c>
      <c r="AX55" s="915">
        <f t="shared" si="37"/>
        <v>0</v>
      </c>
      <c r="AY55" s="915">
        <f t="shared" si="38"/>
        <v>0</v>
      </c>
      <c r="AZ55" s="915">
        <f t="shared" si="39"/>
        <v>0</v>
      </c>
      <c r="BA55" s="915">
        <f t="shared" si="40"/>
        <v>0</v>
      </c>
      <c r="BB55" s="915">
        <f t="shared" si="41"/>
        <v>0</v>
      </c>
      <c r="BC55" s="915">
        <f t="shared" si="42"/>
        <v>0</v>
      </c>
      <c r="BD55" s="915">
        <f t="shared" si="43"/>
        <v>0</v>
      </c>
      <c r="BE55" s="915">
        <f t="shared" si="44"/>
        <v>0</v>
      </c>
      <c r="BF55" s="915">
        <f t="shared" si="45"/>
        <v>0</v>
      </c>
      <c r="BG55" s="915">
        <f t="shared" si="46"/>
        <v>0</v>
      </c>
      <c r="BH55" s="915">
        <f t="shared" si="47"/>
        <v>0</v>
      </c>
      <c r="BI55" s="915">
        <f t="shared" si="48"/>
        <v>0</v>
      </c>
      <c r="BJ55" s="915">
        <f t="shared" si="49"/>
        <v>0</v>
      </c>
      <c r="BK55" s="915">
        <f t="shared" si="50"/>
        <v>0</v>
      </c>
      <c r="BL55" s="915">
        <f t="shared" si="51"/>
        <v>0</v>
      </c>
      <c r="BM55" s="915">
        <f t="shared" si="52"/>
        <v>0</v>
      </c>
      <c r="BN55" s="915">
        <f t="shared" si="53"/>
        <v>0</v>
      </c>
      <c r="BO55" s="915">
        <f t="shared" si="54"/>
        <v>0</v>
      </c>
      <c r="BP55" s="915">
        <f t="shared" si="55"/>
        <v>0</v>
      </c>
      <c r="BQ55" s="915">
        <f t="shared" si="56"/>
        <v>0</v>
      </c>
      <c r="BR55" s="915">
        <f t="shared" si="57"/>
        <v>7.42</v>
      </c>
      <c r="BS55" s="915">
        <f t="shared" si="58"/>
        <v>0</v>
      </c>
      <c r="BT55" s="915">
        <f t="shared" si="59"/>
        <v>0</v>
      </c>
      <c r="BU55" s="915">
        <f t="shared" si="60"/>
        <v>0</v>
      </c>
      <c r="BV55" s="915">
        <f t="shared" si="61"/>
        <v>0</v>
      </c>
      <c r="BW55" s="915">
        <f t="shared" si="62"/>
        <v>0</v>
      </c>
      <c r="BX55" s="915">
        <f t="shared" si="63"/>
        <v>0</v>
      </c>
      <c r="BY55" s="915">
        <f t="shared" si="64"/>
        <v>0</v>
      </c>
      <c r="BZ55" s="915">
        <f t="shared" si="65"/>
        <v>0</v>
      </c>
      <c r="CA55" s="915">
        <f t="shared" si="66"/>
        <v>0</v>
      </c>
      <c r="CB55" s="915">
        <f t="shared" si="67"/>
        <v>0</v>
      </c>
      <c r="CC55" s="915">
        <f t="shared" si="68"/>
        <v>0</v>
      </c>
      <c r="CD55" s="915">
        <f t="shared" si="69"/>
        <v>0</v>
      </c>
      <c r="CE55" s="915">
        <f t="shared" si="70"/>
        <v>0</v>
      </c>
      <c r="CF55" s="915">
        <f t="shared" si="71"/>
        <v>0</v>
      </c>
      <c r="CG55" s="915">
        <f t="shared" si="72"/>
        <v>0</v>
      </c>
      <c r="CH55" s="915">
        <f t="shared" si="73"/>
        <v>0</v>
      </c>
      <c r="CI55" s="915">
        <f t="shared" si="74"/>
        <v>0</v>
      </c>
      <c r="CJ55" s="915">
        <f t="shared" si="75"/>
        <v>0</v>
      </c>
      <c r="CK55" s="915">
        <f t="shared" si="76"/>
        <v>0</v>
      </c>
      <c r="CL55" s="915">
        <f t="shared" si="77"/>
        <v>0</v>
      </c>
      <c r="CM55" s="915">
        <f t="shared" si="78"/>
        <v>0</v>
      </c>
      <c r="CN55" s="915">
        <f t="shared" si="79"/>
        <v>0</v>
      </c>
      <c r="CO55" s="915">
        <f t="shared" si="80"/>
        <v>0</v>
      </c>
      <c r="CP55" s="915">
        <f t="shared" si="81"/>
        <v>0</v>
      </c>
      <c r="CQ55" s="915">
        <f t="shared" si="82"/>
        <v>0</v>
      </c>
      <c r="CR55" s="915">
        <f t="shared" si="83"/>
        <v>0</v>
      </c>
      <c r="CS55" s="915">
        <f t="shared" si="84"/>
        <v>0</v>
      </c>
      <c r="CT55" s="915">
        <f t="shared" si="85"/>
        <v>0</v>
      </c>
      <c r="CU55" s="915">
        <f t="shared" si="86"/>
        <v>0</v>
      </c>
      <c r="CV55" s="915">
        <f t="shared" si="87"/>
        <v>0</v>
      </c>
      <c r="CW55" s="915">
        <f t="shared" si="88"/>
        <v>0</v>
      </c>
      <c r="CX55" s="915">
        <f t="shared" si="89"/>
        <v>0</v>
      </c>
      <c r="CY55" s="915">
        <f t="shared" si="90"/>
        <v>0</v>
      </c>
      <c r="CZ55" s="915">
        <f t="shared" si="91"/>
        <v>0</v>
      </c>
      <c r="DA55" s="915">
        <f t="shared" si="92"/>
        <v>0</v>
      </c>
      <c r="DB55" s="915">
        <f t="shared" si="93"/>
        <v>0</v>
      </c>
      <c r="DC55" s="915">
        <f t="shared" si="94"/>
        <v>0</v>
      </c>
      <c r="DD55" s="915">
        <f t="shared" si="95"/>
        <v>0</v>
      </c>
      <c r="DE55" s="915">
        <f t="shared" si="96"/>
        <v>0</v>
      </c>
      <c r="DF55" s="915">
        <f t="shared" si="97"/>
        <v>0</v>
      </c>
      <c r="DG55" s="915">
        <f t="shared" si="98"/>
        <v>0</v>
      </c>
      <c r="DH55" s="915">
        <f t="shared" si="99"/>
        <v>0</v>
      </c>
      <c r="DI55" s="915">
        <f t="shared" si="100"/>
        <v>0</v>
      </c>
      <c r="DJ55" s="915">
        <f t="shared" si="101"/>
        <v>0</v>
      </c>
      <c r="DK55" s="915">
        <f t="shared" si="102"/>
        <v>0</v>
      </c>
      <c r="DL55" s="915">
        <f t="shared" si="103"/>
        <v>0</v>
      </c>
      <c r="DM55" s="915">
        <f t="shared" si="104"/>
        <v>0</v>
      </c>
      <c r="DN55" s="915">
        <f t="shared" si="105"/>
        <v>0</v>
      </c>
      <c r="DO55" s="915">
        <f t="shared" si="106"/>
        <v>0</v>
      </c>
      <c r="DP55" s="915">
        <f t="shared" si="107"/>
        <v>0</v>
      </c>
      <c r="DQ55" s="915">
        <f t="shared" si="108"/>
        <v>0</v>
      </c>
      <c r="DR55" s="915">
        <f t="shared" si="109"/>
        <v>0</v>
      </c>
      <c r="DS55" s="915">
        <f t="shared" si="110"/>
        <v>0</v>
      </c>
      <c r="DT55" s="915">
        <f t="shared" si="111"/>
        <v>0</v>
      </c>
      <c r="DU55" s="915">
        <f t="shared" si="112"/>
        <v>0</v>
      </c>
      <c r="DV55" s="915">
        <f t="shared" si="113"/>
        <v>0</v>
      </c>
      <c r="DW55" s="915">
        <f t="shared" si="114"/>
        <v>0</v>
      </c>
      <c r="DX55" s="915">
        <f t="shared" si="115"/>
        <v>0</v>
      </c>
      <c r="DY55" s="915">
        <f t="shared" si="116"/>
        <v>0</v>
      </c>
      <c r="DZ55" s="915">
        <f t="shared" si="117"/>
        <v>0</v>
      </c>
      <c r="EA55" s="915">
        <f t="shared" si="118"/>
        <v>0</v>
      </c>
      <c r="EB55" s="915">
        <f t="shared" si="119"/>
        <v>0</v>
      </c>
      <c r="EC55" s="915">
        <f t="shared" si="120"/>
        <v>0</v>
      </c>
      <c r="ED55" s="915">
        <f t="shared" si="121"/>
        <v>0</v>
      </c>
      <c r="EE55" s="915">
        <f t="shared" si="122"/>
        <v>0</v>
      </c>
      <c r="EF55" s="915">
        <f t="shared" si="123"/>
        <v>0</v>
      </c>
      <c r="EG55" s="915">
        <f t="shared" si="124"/>
        <v>0</v>
      </c>
      <c r="EH55" s="915">
        <f t="shared" si="125"/>
        <v>0</v>
      </c>
      <c r="EI55" s="915">
        <f t="shared" si="126"/>
        <v>0</v>
      </c>
      <c r="EJ55" s="915">
        <f t="shared" si="127"/>
        <v>0</v>
      </c>
      <c r="EK55" s="915">
        <f t="shared" si="128"/>
        <v>0</v>
      </c>
      <c r="EL55" s="915">
        <f t="shared" si="129"/>
        <v>0</v>
      </c>
      <c r="EM55" s="915">
        <f t="shared" si="130"/>
        <v>0</v>
      </c>
      <c r="EN55" s="915">
        <f t="shared" si="131"/>
        <v>0</v>
      </c>
      <c r="EO55" s="915">
        <f t="shared" si="132"/>
        <v>0</v>
      </c>
      <c r="EP55" s="915">
        <f t="shared" si="133"/>
        <v>0</v>
      </c>
      <c r="EQ55" s="915">
        <f t="shared" si="134"/>
        <v>0</v>
      </c>
      <c r="ER55" s="915">
        <f t="shared" si="135"/>
        <v>0</v>
      </c>
      <c r="ES55" s="915">
        <f t="shared" si="136"/>
        <v>0</v>
      </c>
      <c r="ET55" s="915">
        <f t="shared" si="137"/>
        <v>0</v>
      </c>
      <c r="EU55" s="915">
        <f t="shared" si="138"/>
        <v>0</v>
      </c>
      <c r="EV55" s="915">
        <f t="shared" si="139"/>
        <v>0</v>
      </c>
      <c r="EW55" s="915">
        <f t="shared" si="140"/>
        <v>0</v>
      </c>
      <c r="EX55" s="915">
        <f t="shared" si="141"/>
        <v>0</v>
      </c>
      <c r="EY55" s="915">
        <f t="shared" si="142"/>
        <v>0</v>
      </c>
      <c r="EZ55" s="915">
        <f t="shared" si="143"/>
        <v>0</v>
      </c>
      <c r="FA55" s="915">
        <f t="shared" si="144"/>
        <v>0</v>
      </c>
      <c r="FB55" s="915">
        <f t="shared" si="145"/>
        <v>0</v>
      </c>
      <c r="FC55" s="915">
        <f t="shared" si="146"/>
        <v>0</v>
      </c>
      <c r="FD55" s="915">
        <f t="shared" si="147"/>
        <v>0</v>
      </c>
      <c r="FE55" s="915">
        <f t="shared" si="148"/>
        <v>0</v>
      </c>
      <c r="FF55" s="915">
        <f t="shared" si="149"/>
        <v>0</v>
      </c>
      <c r="FG55" s="915">
        <f t="shared" si="150"/>
        <v>0</v>
      </c>
      <c r="FH55" s="915">
        <f t="shared" si="151"/>
        <v>0</v>
      </c>
      <c r="FI55" s="915">
        <f t="shared" si="152"/>
        <v>0</v>
      </c>
      <c r="FJ55" s="915">
        <f t="shared" si="153"/>
        <v>0</v>
      </c>
      <c r="FK55" s="915">
        <f t="shared" si="154"/>
        <v>0</v>
      </c>
      <c r="FL55" s="915">
        <f t="shared" si="155"/>
        <v>0</v>
      </c>
      <c r="FM55" s="915">
        <f t="shared" si="156"/>
        <v>0</v>
      </c>
      <c r="FN55" s="915">
        <f t="shared" si="157"/>
        <v>0</v>
      </c>
      <c r="FO55" s="915">
        <f t="shared" si="158"/>
        <v>0</v>
      </c>
      <c r="FP55" s="915">
        <f t="shared" si="159"/>
        <v>0</v>
      </c>
      <c r="FQ55" s="915">
        <f t="shared" si="160"/>
        <v>0</v>
      </c>
      <c r="FR55" s="915">
        <f t="shared" si="161"/>
        <v>0</v>
      </c>
      <c r="FS55" s="915">
        <f t="shared" si="162"/>
        <v>0</v>
      </c>
      <c r="FT55" s="915">
        <f t="shared" si="163"/>
        <v>0</v>
      </c>
      <c r="FU55" s="915">
        <f t="shared" si="164"/>
        <v>0</v>
      </c>
      <c r="FV55" s="915">
        <f t="shared" si="165"/>
        <v>0</v>
      </c>
      <c r="FW55" s="915">
        <f t="shared" si="166"/>
        <v>0</v>
      </c>
      <c r="FX55" s="915">
        <f t="shared" si="167"/>
        <v>0</v>
      </c>
      <c r="FY55" s="915">
        <f t="shared" si="168"/>
        <v>0</v>
      </c>
      <c r="FZ55" s="915">
        <f t="shared" si="169"/>
        <v>0</v>
      </c>
    </row>
    <row r="56" spans="1:182" x14ac:dyDescent="0.2">
      <c r="A56" s="496">
        <v>49</v>
      </c>
      <c r="B56" s="1419"/>
      <c r="C56" s="1433"/>
      <c r="D56" s="264">
        <v>7</v>
      </c>
      <c r="E56" s="264" t="s">
        <v>193</v>
      </c>
      <c r="F56" s="270" t="s">
        <v>2544</v>
      </c>
      <c r="G56" s="270" t="s">
        <v>2542</v>
      </c>
      <c r="H56" s="272">
        <v>7</v>
      </c>
      <c r="I56" s="268">
        <f t="shared" si="172"/>
        <v>0.42</v>
      </c>
      <c r="J56" s="269">
        <f t="shared" si="173"/>
        <v>7.42</v>
      </c>
      <c r="K56" s="225"/>
      <c r="N56" s="942">
        <f>BS6</f>
        <v>7.42</v>
      </c>
      <c r="O56" s="915" t="str">
        <f>"Boring/Monitoring Wells for "&amp;TabName7</f>
        <v>Boring/Monitoring Wells for Phase 7</v>
      </c>
      <c r="P56" s="949" t="s">
        <v>577</v>
      </c>
      <c r="W56" s="915">
        <f t="shared" si="8"/>
        <v>0</v>
      </c>
      <c r="X56" s="915">
        <f t="shared" si="9"/>
        <v>0</v>
      </c>
      <c r="Y56" s="915">
        <f t="shared" si="10"/>
        <v>0</v>
      </c>
      <c r="Z56" s="915">
        <f t="shared" si="13"/>
        <v>0</v>
      </c>
      <c r="AA56" s="915">
        <f t="shared" si="14"/>
        <v>0</v>
      </c>
      <c r="AB56" s="915">
        <f t="shared" si="15"/>
        <v>0</v>
      </c>
      <c r="AC56" s="915">
        <f t="shared" si="16"/>
        <v>0</v>
      </c>
      <c r="AD56" s="915">
        <f t="shared" si="17"/>
        <v>0</v>
      </c>
      <c r="AE56" s="915">
        <f t="shared" si="18"/>
        <v>0</v>
      </c>
      <c r="AF56" s="915">
        <f t="shared" si="19"/>
        <v>0</v>
      </c>
      <c r="AG56" s="915">
        <f t="shared" si="20"/>
        <v>0</v>
      </c>
      <c r="AH56" s="915">
        <f t="shared" si="21"/>
        <v>0</v>
      </c>
      <c r="AI56" s="915">
        <f t="shared" si="22"/>
        <v>0</v>
      </c>
      <c r="AJ56" s="915">
        <f t="shared" si="23"/>
        <v>0</v>
      </c>
      <c r="AK56" s="915">
        <f t="shared" si="24"/>
        <v>0</v>
      </c>
      <c r="AL56" s="915">
        <f t="shared" si="25"/>
        <v>0</v>
      </c>
      <c r="AM56" s="915">
        <f t="shared" si="26"/>
        <v>0</v>
      </c>
      <c r="AN56" s="915">
        <f t="shared" si="27"/>
        <v>0</v>
      </c>
      <c r="AO56" s="915">
        <f t="shared" si="28"/>
        <v>0</v>
      </c>
      <c r="AP56" s="915">
        <f t="shared" si="29"/>
        <v>0</v>
      </c>
      <c r="AQ56" s="915">
        <f t="shared" si="30"/>
        <v>0</v>
      </c>
      <c r="AR56" s="915">
        <f t="shared" si="31"/>
        <v>0</v>
      </c>
      <c r="AS56" s="915">
        <f t="shared" si="32"/>
        <v>0</v>
      </c>
      <c r="AT56" s="915">
        <f t="shared" si="33"/>
        <v>0</v>
      </c>
      <c r="AU56" s="915">
        <f t="shared" si="34"/>
        <v>0</v>
      </c>
      <c r="AV56" s="915">
        <f t="shared" si="35"/>
        <v>0</v>
      </c>
      <c r="AW56" s="915">
        <f t="shared" si="36"/>
        <v>0</v>
      </c>
      <c r="AX56" s="915">
        <f t="shared" si="37"/>
        <v>0</v>
      </c>
      <c r="AY56" s="915">
        <f t="shared" si="38"/>
        <v>0</v>
      </c>
      <c r="AZ56" s="915">
        <f t="shared" si="39"/>
        <v>0</v>
      </c>
      <c r="BA56" s="915">
        <f t="shared" si="40"/>
        <v>0</v>
      </c>
      <c r="BB56" s="915">
        <f t="shared" si="41"/>
        <v>0</v>
      </c>
      <c r="BC56" s="915">
        <f t="shared" si="42"/>
        <v>0</v>
      </c>
      <c r="BD56" s="915">
        <f t="shared" si="43"/>
        <v>0</v>
      </c>
      <c r="BE56" s="915">
        <f t="shared" si="44"/>
        <v>0</v>
      </c>
      <c r="BF56" s="915">
        <f t="shared" si="45"/>
        <v>0</v>
      </c>
      <c r="BG56" s="915">
        <f t="shared" si="46"/>
        <v>0</v>
      </c>
      <c r="BH56" s="915">
        <f t="shared" si="47"/>
        <v>0</v>
      </c>
      <c r="BI56" s="915">
        <f t="shared" si="48"/>
        <v>0</v>
      </c>
      <c r="BJ56" s="915">
        <f t="shared" si="49"/>
        <v>0</v>
      </c>
      <c r="BK56" s="915">
        <f t="shared" si="50"/>
        <v>0</v>
      </c>
      <c r="BL56" s="915">
        <f t="shared" si="51"/>
        <v>0</v>
      </c>
      <c r="BM56" s="915">
        <f t="shared" si="52"/>
        <v>0</v>
      </c>
      <c r="BN56" s="915">
        <f t="shared" si="53"/>
        <v>0</v>
      </c>
      <c r="BO56" s="915">
        <f t="shared" si="54"/>
        <v>0</v>
      </c>
      <c r="BP56" s="915">
        <f t="shared" si="55"/>
        <v>0</v>
      </c>
      <c r="BQ56" s="915">
        <f t="shared" si="56"/>
        <v>0</v>
      </c>
      <c r="BR56" s="915">
        <f t="shared" si="57"/>
        <v>0</v>
      </c>
      <c r="BS56" s="915">
        <f t="shared" si="58"/>
        <v>7.42</v>
      </c>
      <c r="BT56" s="915">
        <f t="shared" si="59"/>
        <v>0</v>
      </c>
      <c r="BU56" s="915">
        <f t="shared" si="60"/>
        <v>0</v>
      </c>
      <c r="BV56" s="915">
        <f t="shared" si="61"/>
        <v>0</v>
      </c>
      <c r="BW56" s="915">
        <f t="shared" si="62"/>
        <v>0</v>
      </c>
      <c r="BX56" s="915">
        <f t="shared" si="63"/>
        <v>0</v>
      </c>
      <c r="BY56" s="915">
        <f t="shared" si="64"/>
        <v>0</v>
      </c>
      <c r="BZ56" s="915">
        <f t="shared" si="65"/>
        <v>0</v>
      </c>
      <c r="CA56" s="915">
        <f t="shared" si="66"/>
        <v>0</v>
      </c>
      <c r="CB56" s="915">
        <f t="shared" si="67"/>
        <v>0</v>
      </c>
      <c r="CC56" s="915">
        <f t="shared" si="68"/>
        <v>0</v>
      </c>
      <c r="CD56" s="915">
        <f t="shared" si="69"/>
        <v>0</v>
      </c>
      <c r="CE56" s="915">
        <f t="shared" si="70"/>
        <v>0</v>
      </c>
      <c r="CF56" s="915">
        <f t="shared" si="71"/>
        <v>0</v>
      </c>
      <c r="CG56" s="915">
        <f t="shared" si="72"/>
        <v>0</v>
      </c>
      <c r="CH56" s="915">
        <f t="shared" si="73"/>
        <v>0</v>
      </c>
      <c r="CI56" s="915">
        <f t="shared" si="74"/>
        <v>0</v>
      </c>
      <c r="CJ56" s="915">
        <f t="shared" si="75"/>
        <v>0</v>
      </c>
      <c r="CK56" s="915">
        <f t="shared" si="76"/>
        <v>0</v>
      </c>
      <c r="CL56" s="915">
        <f t="shared" si="77"/>
        <v>0</v>
      </c>
      <c r="CM56" s="915">
        <f t="shared" si="78"/>
        <v>0</v>
      </c>
      <c r="CN56" s="915">
        <f t="shared" si="79"/>
        <v>0</v>
      </c>
      <c r="CO56" s="915">
        <f t="shared" si="80"/>
        <v>0</v>
      </c>
      <c r="CP56" s="915">
        <f t="shared" si="81"/>
        <v>0</v>
      </c>
      <c r="CQ56" s="915">
        <f t="shared" si="82"/>
        <v>0</v>
      </c>
      <c r="CR56" s="915">
        <f t="shared" si="83"/>
        <v>0</v>
      </c>
      <c r="CS56" s="915">
        <f t="shared" si="84"/>
        <v>0</v>
      </c>
      <c r="CT56" s="915">
        <f t="shared" si="85"/>
        <v>0</v>
      </c>
      <c r="CU56" s="915">
        <f t="shared" si="86"/>
        <v>0</v>
      </c>
      <c r="CV56" s="915">
        <f t="shared" si="87"/>
        <v>0</v>
      </c>
      <c r="CW56" s="915">
        <f t="shared" si="88"/>
        <v>0</v>
      </c>
      <c r="CX56" s="915">
        <f t="shared" si="89"/>
        <v>0</v>
      </c>
      <c r="CY56" s="915">
        <f t="shared" si="90"/>
        <v>0</v>
      </c>
      <c r="CZ56" s="915">
        <f t="shared" si="91"/>
        <v>0</v>
      </c>
      <c r="DA56" s="915">
        <f t="shared" si="92"/>
        <v>0</v>
      </c>
      <c r="DB56" s="915">
        <f t="shared" si="93"/>
        <v>0</v>
      </c>
      <c r="DC56" s="915">
        <f t="shared" si="94"/>
        <v>0</v>
      </c>
      <c r="DD56" s="915">
        <f t="shared" si="95"/>
        <v>0</v>
      </c>
      <c r="DE56" s="915">
        <f t="shared" si="96"/>
        <v>0</v>
      </c>
      <c r="DF56" s="915">
        <f t="shared" si="97"/>
        <v>0</v>
      </c>
      <c r="DG56" s="915">
        <f t="shared" si="98"/>
        <v>0</v>
      </c>
      <c r="DH56" s="915">
        <f t="shared" si="99"/>
        <v>0</v>
      </c>
      <c r="DI56" s="915">
        <f t="shared" si="100"/>
        <v>0</v>
      </c>
      <c r="DJ56" s="915">
        <f t="shared" si="101"/>
        <v>0</v>
      </c>
      <c r="DK56" s="915">
        <f t="shared" si="102"/>
        <v>0</v>
      </c>
      <c r="DL56" s="915">
        <f t="shared" si="103"/>
        <v>0</v>
      </c>
      <c r="DM56" s="915">
        <f t="shared" si="104"/>
        <v>0</v>
      </c>
      <c r="DN56" s="915">
        <f t="shared" si="105"/>
        <v>0</v>
      </c>
      <c r="DO56" s="915">
        <f t="shared" si="106"/>
        <v>0</v>
      </c>
      <c r="DP56" s="915">
        <f t="shared" si="107"/>
        <v>0</v>
      </c>
      <c r="DQ56" s="915">
        <f t="shared" si="108"/>
        <v>0</v>
      </c>
      <c r="DR56" s="915">
        <f t="shared" si="109"/>
        <v>0</v>
      </c>
      <c r="DS56" s="915">
        <f t="shared" si="110"/>
        <v>0</v>
      </c>
      <c r="DT56" s="915">
        <f t="shared" si="111"/>
        <v>0</v>
      </c>
      <c r="DU56" s="915">
        <f t="shared" si="112"/>
        <v>0</v>
      </c>
      <c r="DV56" s="915">
        <f t="shared" si="113"/>
        <v>0</v>
      </c>
      <c r="DW56" s="915">
        <f t="shared" si="114"/>
        <v>0</v>
      </c>
      <c r="DX56" s="915">
        <f t="shared" si="115"/>
        <v>0</v>
      </c>
      <c r="DY56" s="915">
        <f t="shared" si="116"/>
        <v>0</v>
      </c>
      <c r="DZ56" s="915">
        <f t="shared" si="117"/>
        <v>0</v>
      </c>
      <c r="EA56" s="915">
        <f t="shared" si="118"/>
        <v>0</v>
      </c>
      <c r="EB56" s="915">
        <f t="shared" si="119"/>
        <v>0</v>
      </c>
      <c r="EC56" s="915">
        <f t="shared" si="120"/>
        <v>0</v>
      </c>
      <c r="ED56" s="915">
        <f t="shared" si="121"/>
        <v>0</v>
      </c>
      <c r="EE56" s="915">
        <f t="shared" si="122"/>
        <v>0</v>
      </c>
      <c r="EF56" s="915">
        <f t="shared" si="123"/>
        <v>0</v>
      </c>
      <c r="EG56" s="915">
        <f t="shared" si="124"/>
        <v>0</v>
      </c>
      <c r="EH56" s="915">
        <f t="shared" si="125"/>
        <v>0</v>
      </c>
      <c r="EI56" s="915">
        <f t="shared" si="126"/>
        <v>0</v>
      </c>
      <c r="EJ56" s="915">
        <f t="shared" si="127"/>
        <v>0</v>
      </c>
      <c r="EK56" s="915">
        <f t="shared" si="128"/>
        <v>0</v>
      </c>
      <c r="EL56" s="915">
        <f t="shared" si="129"/>
        <v>0</v>
      </c>
      <c r="EM56" s="915">
        <f t="shared" si="130"/>
        <v>0</v>
      </c>
      <c r="EN56" s="915">
        <f t="shared" si="131"/>
        <v>0</v>
      </c>
      <c r="EO56" s="915">
        <f t="shared" si="132"/>
        <v>0</v>
      </c>
      <c r="EP56" s="915">
        <f t="shared" si="133"/>
        <v>0</v>
      </c>
      <c r="EQ56" s="915">
        <f t="shared" si="134"/>
        <v>0</v>
      </c>
      <c r="ER56" s="915">
        <f t="shared" si="135"/>
        <v>0</v>
      </c>
      <c r="ES56" s="915">
        <f t="shared" si="136"/>
        <v>0</v>
      </c>
      <c r="ET56" s="915">
        <f t="shared" si="137"/>
        <v>0</v>
      </c>
      <c r="EU56" s="915">
        <f t="shared" si="138"/>
        <v>0</v>
      </c>
      <c r="EV56" s="915">
        <f t="shared" si="139"/>
        <v>0</v>
      </c>
      <c r="EW56" s="915">
        <f t="shared" si="140"/>
        <v>0</v>
      </c>
      <c r="EX56" s="915">
        <f t="shared" si="141"/>
        <v>0</v>
      </c>
      <c r="EY56" s="915">
        <f t="shared" si="142"/>
        <v>0</v>
      </c>
      <c r="EZ56" s="915">
        <f t="shared" si="143"/>
        <v>0</v>
      </c>
      <c r="FA56" s="915">
        <f t="shared" si="144"/>
        <v>0</v>
      </c>
      <c r="FB56" s="915">
        <f t="shared" si="145"/>
        <v>0</v>
      </c>
      <c r="FC56" s="915">
        <f t="shared" si="146"/>
        <v>0</v>
      </c>
      <c r="FD56" s="915">
        <f t="shared" si="147"/>
        <v>0</v>
      </c>
      <c r="FE56" s="915">
        <f t="shared" si="148"/>
        <v>0</v>
      </c>
      <c r="FF56" s="915">
        <f t="shared" si="149"/>
        <v>0</v>
      </c>
      <c r="FG56" s="915">
        <f t="shared" si="150"/>
        <v>0</v>
      </c>
      <c r="FH56" s="915">
        <f t="shared" si="151"/>
        <v>0</v>
      </c>
      <c r="FI56" s="915">
        <f t="shared" si="152"/>
        <v>0</v>
      </c>
      <c r="FJ56" s="915">
        <f t="shared" si="153"/>
        <v>0</v>
      </c>
      <c r="FK56" s="915">
        <f t="shared" si="154"/>
        <v>0</v>
      </c>
      <c r="FL56" s="915">
        <f t="shared" si="155"/>
        <v>0</v>
      </c>
      <c r="FM56" s="915">
        <f t="shared" si="156"/>
        <v>0</v>
      </c>
      <c r="FN56" s="915">
        <f t="shared" si="157"/>
        <v>0</v>
      </c>
      <c r="FO56" s="915">
        <f t="shared" si="158"/>
        <v>0</v>
      </c>
      <c r="FP56" s="915">
        <f t="shared" si="159"/>
        <v>0</v>
      </c>
      <c r="FQ56" s="915">
        <f t="shared" si="160"/>
        <v>0</v>
      </c>
      <c r="FR56" s="915">
        <f t="shared" si="161"/>
        <v>0</v>
      </c>
      <c r="FS56" s="915">
        <f t="shared" si="162"/>
        <v>0</v>
      </c>
      <c r="FT56" s="915">
        <f t="shared" si="163"/>
        <v>0</v>
      </c>
      <c r="FU56" s="915">
        <f t="shared" si="164"/>
        <v>0</v>
      </c>
      <c r="FV56" s="915">
        <f t="shared" si="165"/>
        <v>0</v>
      </c>
      <c r="FW56" s="915">
        <f t="shared" si="166"/>
        <v>0</v>
      </c>
      <c r="FX56" s="915">
        <f t="shared" si="167"/>
        <v>0</v>
      </c>
      <c r="FY56" s="915">
        <f t="shared" si="168"/>
        <v>0</v>
      </c>
      <c r="FZ56" s="915">
        <f t="shared" si="169"/>
        <v>0</v>
      </c>
    </row>
    <row r="57" spans="1:182" x14ac:dyDescent="0.2">
      <c r="A57" s="497">
        <v>50</v>
      </c>
      <c r="B57" s="1423"/>
      <c r="C57" s="1424"/>
      <c r="D57" s="138">
        <v>7</v>
      </c>
      <c r="E57" s="138" t="s">
        <v>26</v>
      </c>
      <c r="F57" s="139" t="s">
        <v>2544</v>
      </c>
      <c r="G57" s="139" t="s">
        <v>2542</v>
      </c>
      <c r="H57" s="100">
        <v>7</v>
      </c>
      <c r="I57" s="119">
        <f t="shared" si="172"/>
        <v>0.42</v>
      </c>
      <c r="J57" s="90">
        <f t="shared" si="173"/>
        <v>7.42</v>
      </c>
      <c r="K57" s="225"/>
      <c r="N57" s="942">
        <f>BT6</f>
        <v>7.42</v>
      </c>
      <c r="O57" s="879" t="str">
        <f>"Remediation for " &amp; TabName7</f>
        <v>Remediation for Phase 7</v>
      </c>
      <c r="P57" s="950" t="s">
        <v>578</v>
      </c>
      <c r="W57" s="915">
        <f t="shared" si="8"/>
        <v>0</v>
      </c>
      <c r="X57" s="915">
        <f t="shared" si="9"/>
        <v>0</v>
      </c>
      <c r="Y57" s="915">
        <f t="shared" si="10"/>
        <v>0</v>
      </c>
      <c r="Z57" s="915">
        <f t="shared" si="13"/>
        <v>0</v>
      </c>
      <c r="AA57" s="915">
        <f t="shared" si="14"/>
        <v>0</v>
      </c>
      <c r="AB57" s="915">
        <f t="shared" si="15"/>
        <v>0</v>
      </c>
      <c r="AC57" s="915">
        <f t="shared" si="16"/>
        <v>0</v>
      </c>
      <c r="AD57" s="915">
        <f t="shared" si="17"/>
        <v>0</v>
      </c>
      <c r="AE57" s="915">
        <f t="shared" si="18"/>
        <v>0</v>
      </c>
      <c r="AF57" s="915">
        <f t="shared" si="19"/>
        <v>0</v>
      </c>
      <c r="AG57" s="915">
        <f t="shared" si="20"/>
        <v>0</v>
      </c>
      <c r="AH57" s="915">
        <f t="shared" si="21"/>
        <v>0</v>
      </c>
      <c r="AI57" s="915">
        <f t="shared" si="22"/>
        <v>0</v>
      </c>
      <c r="AJ57" s="915">
        <f t="shared" si="23"/>
        <v>0</v>
      </c>
      <c r="AK57" s="915">
        <f t="shared" si="24"/>
        <v>0</v>
      </c>
      <c r="AL57" s="915">
        <f t="shared" si="25"/>
        <v>0</v>
      </c>
      <c r="AM57" s="915">
        <f t="shared" si="26"/>
        <v>0</v>
      </c>
      <c r="AN57" s="915">
        <f t="shared" si="27"/>
        <v>0</v>
      </c>
      <c r="AO57" s="915">
        <f t="shared" si="28"/>
        <v>0</v>
      </c>
      <c r="AP57" s="915">
        <f t="shared" si="29"/>
        <v>0</v>
      </c>
      <c r="AQ57" s="915">
        <f t="shared" si="30"/>
        <v>0</v>
      </c>
      <c r="AR57" s="915">
        <f t="shared" si="31"/>
        <v>0</v>
      </c>
      <c r="AS57" s="915">
        <f t="shared" si="32"/>
        <v>0</v>
      </c>
      <c r="AT57" s="915">
        <f t="shared" si="33"/>
        <v>0</v>
      </c>
      <c r="AU57" s="915">
        <f t="shared" si="34"/>
        <v>0</v>
      </c>
      <c r="AV57" s="915">
        <f t="shared" si="35"/>
        <v>0</v>
      </c>
      <c r="AW57" s="915">
        <f t="shared" si="36"/>
        <v>0</v>
      </c>
      <c r="AX57" s="915">
        <f t="shared" si="37"/>
        <v>0</v>
      </c>
      <c r="AY57" s="915">
        <f t="shared" si="38"/>
        <v>0</v>
      </c>
      <c r="AZ57" s="915">
        <f t="shared" si="39"/>
        <v>0</v>
      </c>
      <c r="BA57" s="915">
        <f t="shared" si="40"/>
        <v>0</v>
      </c>
      <c r="BB57" s="915">
        <f t="shared" si="41"/>
        <v>0</v>
      </c>
      <c r="BC57" s="915">
        <f t="shared" si="42"/>
        <v>0</v>
      </c>
      <c r="BD57" s="915">
        <f t="shared" si="43"/>
        <v>0</v>
      </c>
      <c r="BE57" s="915">
        <f t="shared" si="44"/>
        <v>0</v>
      </c>
      <c r="BF57" s="915">
        <f t="shared" si="45"/>
        <v>0</v>
      </c>
      <c r="BG57" s="915">
        <f t="shared" si="46"/>
        <v>0</v>
      </c>
      <c r="BH57" s="915">
        <f t="shared" si="47"/>
        <v>0</v>
      </c>
      <c r="BI57" s="915">
        <f t="shared" si="48"/>
        <v>0</v>
      </c>
      <c r="BJ57" s="915">
        <f t="shared" si="49"/>
        <v>0</v>
      </c>
      <c r="BK57" s="915">
        <f t="shared" si="50"/>
        <v>0</v>
      </c>
      <c r="BL57" s="915">
        <f t="shared" si="51"/>
        <v>0</v>
      </c>
      <c r="BM57" s="915">
        <f t="shared" si="52"/>
        <v>0</v>
      </c>
      <c r="BN57" s="915">
        <f t="shared" si="53"/>
        <v>0</v>
      </c>
      <c r="BO57" s="915">
        <f t="shared" si="54"/>
        <v>0</v>
      </c>
      <c r="BP57" s="915">
        <f t="shared" si="55"/>
        <v>0</v>
      </c>
      <c r="BQ57" s="915">
        <f t="shared" si="56"/>
        <v>0</v>
      </c>
      <c r="BR57" s="915">
        <f t="shared" si="57"/>
        <v>0</v>
      </c>
      <c r="BS57" s="915">
        <f t="shared" si="58"/>
        <v>0</v>
      </c>
      <c r="BT57" s="915">
        <f t="shared" si="59"/>
        <v>7.42</v>
      </c>
      <c r="BU57" s="915">
        <f t="shared" si="60"/>
        <v>0</v>
      </c>
      <c r="BV57" s="915">
        <f t="shared" si="61"/>
        <v>0</v>
      </c>
      <c r="BW57" s="915">
        <f t="shared" si="62"/>
        <v>0</v>
      </c>
      <c r="BX57" s="915">
        <f t="shared" si="63"/>
        <v>0</v>
      </c>
      <c r="BY57" s="915">
        <f t="shared" si="64"/>
        <v>0</v>
      </c>
      <c r="BZ57" s="915">
        <f t="shared" si="65"/>
        <v>0</v>
      </c>
      <c r="CA57" s="915">
        <f t="shared" si="66"/>
        <v>0</v>
      </c>
      <c r="CB57" s="915">
        <f t="shared" si="67"/>
        <v>0</v>
      </c>
      <c r="CC57" s="915">
        <f t="shared" si="68"/>
        <v>0</v>
      </c>
      <c r="CD57" s="915">
        <f t="shared" si="69"/>
        <v>0</v>
      </c>
      <c r="CE57" s="915">
        <f t="shared" si="70"/>
        <v>0</v>
      </c>
      <c r="CF57" s="915">
        <f t="shared" si="71"/>
        <v>0</v>
      </c>
      <c r="CG57" s="915">
        <f t="shared" si="72"/>
        <v>0</v>
      </c>
      <c r="CH57" s="915">
        <f t="shared" si="73"/>
        <v>0</v>
      </c>
      <c r="CI57" s="915">
        <f t="shared" si="74"/>
        <v>0</v>
      </c>
      <c r="CJ57" s="915">
        <f t="shared" si="75"/>
        <v>0</v>
      </c>
      <c r="CK57" s="915">
        <f t="shared" si="76"/>
        <v>0</v>
      </c>
      <c r="CL57" s="915">
        <f t="shared" si="77"/>
        <v>0</v>
      </c>
      <c r="CM57" s="915">
        <f t="shared" si="78"/>
        <v>0</v>
      </c>
      <c r="CN57" s="915">
        <f t="shared" si="79"/>
        <v>0</v>
      </c>
      <c r="CO57" s="915">
        <f t="shared" si="80"/>
        <v>0</v>
      </c>
      <c r="CP57" s="915">
        <f t="shared" si="81"/>
        <v>0</v>
      </c>
      <c r="CQ57" s="915">
        <f t="shared" si="82"/>
        <v>0</v>
      </c>
      <c r="CR57" s="915">
        <f t="shared" si="83"/>
        <v>0</v>
      </c>
      <c r="CS57" s="915">
        <f t="shared" si="84"/>
        <v>0</v>
      </c>
      <c r="CT57" s="915">
        <f t="shared" si="85"/>
        <v>0</v>
      </c>
      <c r="CU57" s="915">
        <f t="shared" si="86"/>
        <v>0</v>
      </c>
      <c r="CV57" s="915">
        <f t="shared" si="87"/>
        <v>0</v>
      </c>
      <c r="CW57" s="915">
        <f t="shared" si="88"/>
        <v>0</v>
      </c>
      <c r="CX57" s="915">
        <f t="shared" si="89"/>
        <v>0</v>
      </c>
      <c r="CY57" s="915">
        <f t="shared" si="90"/>
        <v>0</v>
      </c>
      <c r="CZ57" s="915">
        <f t="shared" si="91"/>
        <v>0</v>
      </c>
      <c r="DA57" s="915">
        <f t="shared" si="92"/>
        <v>0</v>
      </c>
      <c r="DB57" s="915">
        <f t="shared" si="93"/>
        <v>0</v>
      </c>
      <c r="DC57" s="915">
        <f t="shared" si="94"/>
        <v>0</v>
      </c>
      <c r="DD57" s="915">
        <f t="shared" si="95"/>
        <v>0</v>
      </c>
      <c r="DE57" s="915">
        <f t="shared" si="96"/>
        <v>0</v>
      </c>
      <c r="DF57" s="915">
        <f t="shared" si="97"/>
        <v>0</v>
      </c>
      <c r="DG57" s="915">
        <f t="shared" si="98"/>
        <v>0</v>
      </c>
      <c r="DH57" s="915">
        <f t="shared" si="99"/>
        <v>0</v>
      </c>
      <c r="DI57" s="915">
        <f t="shared" si="100"/>
        <v>0</v>
      </c>
      <c r="DJ57" s="915">
        <f t="shared" si="101"/>
        <v>0</v>
      </c>
      <c r="DK57" s="915">
        <f t="shared" si="102"/>
        <v>0</v>
      </c>
      <c r="DL57" s="915">
        <f t="shared" si="103"/>
        <v>0</v>
      </c>
      <c r="DM57" s="915">
        <f t="shared" si="104"/>
        <v>0</v>
      </c>
      <c r="DN57" s="915">
        <f t="shared" si="105"/>
        <v>0</v>
      </c>
      <c r="DO57" s="915">
        <f t="shared" si="106"/>
        <v>0</v>
      </c>
      <c r="DP57" s="915">
        <f t="shared" si="107"/>
        <v>0</v>
      </c>
      <c r="DQ57" s="915">
        <f t="shared" si="108"/>
        <v>0</v>
      </c>
      <c r="DR57" s="915">
        <f t="shared" si="109"/>
        <v>0</v>
      </c>
      <c r="DS57" s="915">
        <f t="shared" si="110"/>
        <v>0</v>
      </c>
      <c r="DT57" s="915">
        <f t="shared" si="111"/>
        <v>0</v>
      </c>
      <c r="DU57" s="915">
        <f t="shared" si="112"/>
        <v>0</v>
      </c>
      <c r="DV57" s="915">
        <f t="shared" si="113"/>
        <v>0</v>
      </c>
      <c r="DW57" s="915">
        <f t="shared" si="114"/>
        <v>0</v>
      </c>
      <c r="DX57" s="915">
        <f t="shared" si="115"/>
        <v>0</v>
      </c>
      <c r="DY57" s="915">
        <f t="shared" si="116"/>
        <v>0</v>
      </c>
      <c r="DZ57" s="915">
        <f t="shared" si="117"/>
        <v>0</v>
      </c>
      <c r="EA57" s="915">
        <f t="shared" si="118"/>
        <v>0</v>
      </c>
      <c r="EB57" s="915">
        <f t="shared" si="119"/>
        <v>0</v>
      </c>
      <c r="EC57" s="915">
        <f t="shared" si="120"/>
        <v>0</v>
      </c>
      <c r="ED57" s="915">
        <f t="shared" si="121"/>
        <v>0</v>
      </c>
      <c r="EE57" s="915">
        <f t="shared" si="122"/>
        <v>0</v>
      </c>
      <c r="EF57" s="915">
        <f t="shared" si="123"/>
        <v>0</v>
      </c>
      <c r="EG57" s="915">
        <f t="shared" si="124"/>
        <v>0</v>
      </c>
      <c r="EH57" s="915">
        <f t="shared" si="125"/>
        <v>0</v>
      </c>
      <c r="EI57" s="915">
        <f t="shared" si="126"/>
        <v>0</v>
      </c>
      <c r="EJ57" s="915">
        <f t="shared" si="127"/>
        <v>0</v>
      </c>
      <c r="EK57" s="915">
        <f t="shared" si="128"/>
        <v>0</v>
      </c>
      <c r="EL57" s="915">
        <f t="shared" si="129"/>
        <v>0</v>
      </c>
      <c r="EM57" s="915">
        <f t="shared" si="130"/>
        <v>0</v>
      </c>
      <c r="EN57" s="915">
        <f t="shared" si="131"/>
        <v>0</v>
      </c>
      <c r="EO57" s="915">
        <f t="shared" si="132"/>
        <v>0</v>
      </c>
      <c r="EP57" s="915">
        <f t="shared" si="133"/>
        <v>0</v>
      </c>
      <c r="EQ57" s="915">
        <f t="shared" si="134"/>
        <v>0</v>
      </c>
      <c r="ER57" s="915">
        <f t="shared" si="135"/>
        <v>0</v>
      </c>
      <c r="ES57" s="915">
        <f t="shared" si="136"/>
        <v>0</v>
      </c>
      <c r="ET57" s="915">
        <f t="shared" si="137"/>
        <v>0</v>
      </c>
      <c r="EU57" s="915">
        <f t="shared" si="138"/>
        <v>0</v>
      </c>
      <c r="EV57" s="915">
        <f t="shared" si="139"/>
        <v>0</v>
      </c>
      <c r="EW57" s="915">
        <f t="shared" si="140"/>
        <v>0</v>
      </c>
      <c r="EX57" s="915">
        <f t="shared" si="141"/>
        <v>0</v>
      </c>
      <c r="EY57" s="915">
        <f t="shared" si="142"/>
        <v>0</v>
      </c>
      <c r="EZ57" s="915">
        <f t="shared" si="143"/>
        <v>0</v>
      </c>
      <c r="FA57" s="915">
        <f t="shared" si="144"/>
        <v>0</v>
      </c>
      <c r="FB57" s="915">
        <f t="shared" si="145"/>
        <v>0</v>
      </c>
      <c r="FC57" s="915">
        <f t="shared" si="146"/>
        <v>0</v>
      </c>
      <c r="FD57" s="915">
        <f t="shared" si="147"/>
        <v>0</v>
      </c>
      <c r="FE57" s="915">
        <f t="shared" si="148"/>
        <v>0</v>
      </c>
      <c r="FF57" s="915">
        <f t="shared" si="149"/>
        <v>0</v>
      </c>
      <c r="FG57" s="915">
        <f t="shared" si="150"/>
        <v>0</v>
      </c>
      <c r="FH57" s="915">
        <f t="shared" si="151"/>
        <v>0</v>
      </c>
      <c r="FI57" s="915">
        <f t="shared" si="152"/>
        <v>0</v>
      </c>
      <c r="FJ57" s="915">
        <f t="shared" si="153"/>
        <v>0</v>
      </c>
      <c r="FK57" s="915">
        <f t="shared" si="154"/>
        <v>0</v>
      </c>
      <c r="FL57" s="915">
        <f t="shared" si="155"/>
        <v>0</v>
      </c>
      <c r="FM57" s="915">
        <f t="shared" si="156"/>
        <v>0</v>
      </c>
      <c r="FN57" s="915">
        <f t="shared" si="157"/>
        <v>0</v>
      </c>
      <c r="FO57" s="915">
        <f t="shared" si="158"/>
        <v>0</v>
      </c>
      <c r="FP57" s="915">
        <f t="shared" si="159"/>
        <v>0</v>
      </c>
      <c r="FQ57" s="915">
        <f t="shared" si="160"/>
        <v>0</v>
      </c>
      <c r="FR57" s="915">
        <f t="shared" si="161"/>
        <v>0</v>
      </c>
      <c r="FS57" s="915">
        <f t="shared" si="162"/>
        <v>0</v>
      </c>
      <c r="FT57" s="915">
        <f t="shared" si="163"/>
        <v>0</v>
      </c>
      <c r="FU57" s="915">
        <f t="shared" si="164"/>
        <v>0</v>
      </c>
      <c r="FV57" s="915">
        <f t="shared" si="165"/>
        <v>0</v>
      </c>
      <c r="FW57" s="915">
        <f t="shared" si="166"/>
        <v>0</v>
      </c>
      <c r="FX57" s="915">
        <f t="shared" si="167"/>
        <v>0</v>
      </c>
      <c r="FY57" s="915">
        <f t="shared" si="168"/>
        <v>0</v>
      </c>
      <c r="FZ57" s="915">
        <f t="shared" si="169"/>
        <v>0</v>
      </c>
    </row>
    <row r="58" spans="1:182" x14ac:dyDescent="0.2">
      <c r="A58" s="496">
        <v>51</v>
      </c>
      <c r="B58" s="1419"/>
      <c r="C58" s="1433"/>
      <c r="D58" s="264">
        <v>7</v>
      </c>
      <c r="E58" s="264" t="s">
        <v>35</v>
      </c>
      <c r="F58" s="270" t="s">
        <v>2544</v>
      </c>
      <c r="G58" s="270" t="s">
        <v>2542</v>
      </c>
      <c r="H58" s="272">
        <v>7</v>
      </c>
      <c r="I58" s="268">
        <f t="shared" si="172"/>
        <v>0.42</v>
      </c>
      <c r="J58" s="269">
        <f t="shared" si="173"/>
        <v>7.42</v>
      </c>
      <c r="K58" s="225"/>
      <c r="N58" s="942">
        <f>BU6</f>
        <v>7.42</v>
      </c>
      <c r="O58" s="879" t="str">
        <f>"General Construction for " &amp; TabName7</f>
        <v>General Construction for Phase 7</v>
      </c>
      <c r="P58" s="949" t="s">
        <v>579</v>
      </c>
      <c r="W58" s="915">
        <f t="shared" si="8"/>
        <v>0</v>
      </c>
      <c r="X58" s="915">
        <f t="shared" si="9"/>
        <v>0</v>
      </c>
      <c r="Y58" s="915">
        <f t="shared" si="10"/>
        <v>0</v>
      </c>
      <c r="Z58" s="915">
        <f t="shared" si="13"/>
        <v>0</v>
      </c>
      <c r="AA58" s="915">
        <f t="shared" si="14"/>
        <v>0</v>
      </c>
      <c r="AB58" s="915">
        <f t="shared" si="15"/>
        <v>0</v>
      </c>
      <c r="AC58" s="915">
        <f t="shared" si="16"/>
        <v>0</v>
      </c>
      <c r="AD58" s="915">
        <f t="shared" si="17"/>
        <v>0</v>
      </c>
      <c r="AE58" s="915">
        <f t="shared" si="18"/>
        <v>0</v>
      </c>
      <c r="AF58" s="915">
        <f t="shared" si="19"/>
        <v>0</v>
      </c>
      <c r="AG58" s="915">
        <f t="shared" si="20"/>
        <v>0</v>
      </c>
      <c r="AH58" s="915">
        <f t="shared" si="21"/>
        <v>0</v>
      </c>
      <c r="AI58" s="915">
        <f t="shared" si="22"/>
        <v>0</v>
      </c>
      <c r="AJ58" s="915">
        <f t="shared" si="23"/>
        <v>0</v>
      </c>
      <c r="AK58" s="915">
        <f t="shared" si="24"/>
        <v>0</v>
      </c>
      <c r="AL58" s="915">
        <f t="shared" si="25"/>
        <v>0</v>
      </c>
      <c r="AM58" s="915">
        <f t="shared" si="26"/>
        <v>0</v>
      </c>
      <c r="AN58" s="915">
        <f t="shared" si="27"/>
        <v>0</v>
      </c>
      <c r="AO58" s="915">
        <f t="shared" si="28"/>
        <v>0</v>
      </c>
      <c r="AP58" s="915">
        <f t="shared" si="29"/>
        <v>0</v>
      </c>
      <c r="AQ58" s="915">
        <f t="shared" si="30"/>
        <v>0</v>
      </c>
      <c r="AR58" s="915">
        <f t="shared" si="31"/>
        <v>0</v>
      </c>
      <c r="AS58" s="915">
        <f t="shared" si="32"/>
        <v>0</v>
      </c>
      <c r="AT58" s="915">
        <f t="shared" si="33"/>
        <v>0</v>
      </c>
      <c r="AU58" s="915">
        <f t="shared" si="34"/>
        <v>0</v>
      </c>
      <c r="AV58" s="915">
        <f t="shared" si="35"/>
        <v>0</v>
      </c>
      <c r="AW58" s="915">
        <f t="shared" si="36"/>
        <v>0</v>
      </c>
      <c r="AX58" s="915">
        <f t="shared" si="37"/>
        <v>0</v>
      </c>
      <c r="AY58" s="915">
        <f t="shared" si="38"/>
        <v>0</v>
      </c>
      <c r="AZ58" s="915">
        <f t="shared" si="39"/>
        <v>0</v>
      </c>
      <c r="BA58" s="915">
        <f t="shared" si="40"/>
        <v>0</v>
      </c>
      <c r="BB58" s="915">
        <f t="shared" si="41"/>
        <v>0</v>
      </c>
      <c r="BC58" s="915">
        <f t="shared" si="42"/>
        <v>0</v>
      </c>
      <c r="BD58" s="915">
        <f t="shared" si="43"/>
        <v>0</v>
      </c>
      <c r="BE58" s="915">
        <f t="shared" si="44"/>
        <v>0</v>
      </c>
      <c r="BF58" s="915">
        <f t="shared" si="45"/>
        <v>0</v>
      </c>
      <c r="BG58" s="915">
        <f t="shared" si="46"/>
        <v>0</v>
      </c>
      <c r="BH58" s="915">
        <f t="shared" si="47"/>
        <v>0</v>
      </c>
      <c r="BI58" s="915">
        <f t="shared" si="48"/>
        <v>0</v>
      </c>
      <c r="BJ58" s="915">
        <f t="shared" si="49"/>
        <v>0</v>
      </c>
      <c r="BK58" s="915">
        <f t="shared" si="50"/>
        <v>0</v>
      </c>
      <c r="BL58" s="915">
        <f t="shared" si="51"/>
        <v>0</v>
      </c>
      <c r="BM58" s="915">
        <f t="shared" si="52"/>
        <v>0</v>
      </c>
      <c r="BN58" s="915">
        <f t="shared" si="53"/>
        <v>0</v>
      </c>
      <c r="BO58" s="915">
        <f t="shared" si="54"/>
        <v>0</v>
      </c>
      <c r="BP58" s="915">
        <f t="shared" si="55"/>
        <v>0</v>
      </c>
      <c r="BQ58" s="915">
        <f t="shared" si="56"/>
        <v>0</v>
      </c>
      <c r="BR58" s="915">
        <f t="shared" si="57"/>
        <v>0</v>
      </c>
      <c r="BS58" s="915">
        <f t="shared" si="58"/>
        <v>0</v>
      </c>
      <c r="BT58" s="915">
        <f t="shared" si="59"/>
        <v>0</v>
      </c>
      <c r="BU58" s="915">
        <f t="shared" si="60"/>
        <v>7.42</v>
      </c>
      <c r="BV58" s="915">
        <f t="shared" si="61"/>
        <v>0</v>
      </c>
      <c r="BW58" s="915">
        <f t="shared" si="62"/>
        <v>0</v>
      </c>
      <c r="BX58" s="915">
        <f t="shared" si="63"/>
        <v>0</v>
      </c>
      <c r="BY58" s="915">
        <f t="shared" si="64"/>
        <v>0</v>
      </c>
      <c r="BZ58" s="915">
        <f t="shared" si="65"/>
        <v>0</v>
      </c>
      <c r="CA58" s="915">
        <f t="shared" si="66"/>
        <v>0</v>
      </c>
      <c r="CB58" s="915">
        <f t="shared" si="67"/>
        <v>0</v>
      </c>
      <c r="CC58" s="915">
        <f t="shared" si="68"/>
        <v>0</v>
      </c>
      <c r="CD58" s="915">
        <f t="shared" si="69"/>
        <v>0</v>
      </c>
      <c r="CE58" s="915">
        <f t="shared" si="70"/>
        <v>0</v>
      </c>
      <c r="CF58" s="915">
        <f t="shared" si="71"/>
        <v>0</v>
      </c>
      <c r="CG58" s="915">
        <f t="shared" si="72"/>
        <v>0</v>
      </c>
      <c r="CH58" s="915">
        <f t="shared" si="73"/>
        <v>0</v>
      </c>
      <c r="CI58" s="915">
        <f t="shared" si="74"/>
        <v>0</v>
      </c>
      <c r="CJ58" s="915">
        <f t="shared" si="75"/>
        <v>0</v>
      </c>
      <c r="CK58" s="915">
        <f t="shared" si="76"/>
        <v>0</v>
      </c>
      <c r="CL58" s="915">
        <f t="shared" si="77"/>
        <v>0</v>
      </c>
      <c r="CM58" s="915">
        <f t="shared" si="78"/>
        <v>0</v>
      </c>
      <c r="CN58" s="915">
        <f t="shared" si="79"/>
        <v>0</v>
      </c>
      <c r="CO58" s="915">
        <f t="shared" si="80"/>
        <v>0</v>
      </c>
      <c r="CP58" s="915">
        <f t="shared" si="81"/>
        <v>0</v>
      </c>
      <c r="CQ58" s="915">
        <f t="shared" si="82"/>
        <v>0</v>
      </c>
      <c r="CR58" s="915">
        <f t="shared" si="83"/>
        <v>0</v>
      </c>
      <c r="CS58" s="915">
        <f t="shared" si="84"/>
        <v>0</v>
      </c>
      <c r="CT58" s="915">
        <f t="shared" si="85"/>
        <v>0</v>
      </c>
      <c r="CU58" s="915">
        <f t="shared" si="86"/>
        <v>0</v>
      </c>
      <c r="CV58" s="915">
        <f t="shared" si="87"/>
        <v>0</v>
      </c>
      <c r="CW58" s="915">
        <f t="shared" si="88"/>
        <v>0</v>
      </c>
      <c r="CX58" s="915">
        <f t="shared" si="89"/>
        <v>0</v>
      </c>
      <c r="CY58" s="915">
        <f t="shared" si="90"/>
        <v>0</v>
      </c>
      <c r="CZ58" s="915">
        <f t="shared" si="91"/>
        <v>0</v>
      </c>
      <c r="DA58" s="915">
        <f t="shared" si="92"/>
        <v>0</v>
      </c>
      <c r="DB58" s="915">
        <f t="shared" si="93"/>
        <v>0</v>
      </c>
      <c r="DC58" s="915">
        <f t="shared" si="94"/>
        <v>0</v>
      </c>
      <c r="DD58" s="915">
        <f t="shared" si="95"/>
        <v>0</v>
      </c>
      <c r="DE58" s="915">
        <f t="shared" si="96"/>
        <v>0</v>
      </c>
      <c r="DF58" s="915">
        <f t="shared" si="97"/>
        <v>0</v>
      </c>
      <c r="DG58" s="915">
        <f t="shared" si="98"/>
        <v>0</v>
      </c>
      <c r="DH58" s="915">
        <f t="shared" si="99"/>
        <v>0</v>
      </c>
      <c r="DI58" s="915">
        <f t="shared" si="100"/>
        <v>0</v>
      </c>
      <c r="DJ58" s="915">
        <f t="shared" si="101"/>
        <v>0</v>
      </c>
      <c r="DK58" s="915">
        <f t="shared" si="102"/>
        <v>0</v>
      </c>
      <c r="DL58" s="915">
        <f t="shared" si="103"/>
        <v>0</v>
      </c>
      <c r="DM58" s="915">
        <f t="shared" si="104"/>
        <v>0</v>
      </c>
      <c r="DN58" s="915">
        <f t="shared" si="105"/>
        <v>0</v>
      </c>
      <c r="DO58" s="915">
        <f t="shared" si="106"/>
        <v>0</v>
      </c>
      <c r="DP58" s="915">
        <f t="shared" si="107"/>
        <v>0</v>
      </c>
      <c r="DQ58" s="915">
        <f t="shared" si="108"/>
        <v>0</v>
      </c>
      <c r="DR58" s="915">
        <f t="shared" si="109"/>
        <v>0</v>
      </c>
      <c r="DS58" s="915">
        <f t="shared" si="110"/>
        <v>0</v>
      </c>
      <c r="DT58" s="915">
        <f t="shared" si="111"/>
        <v>0</v>
      </c>
      <c r="DU58" s="915">
        <f t="shared" si="112"/>
        <v>0</v>
      </c>
      <c r="DV58" s="915">
        <f t="shared" si="113"/>
        <v>0</v>
      </c>
      <c r="DW58" s="915">
        <f t="shared" si="114"/>
        <v>0</v>
      </c>
      <c r="DX58" s="915">
        <f t="shared" si="115"/>
        <v>0</v>
      </c>
      <c r="DY58" s="915">
        <f t="shared" si="116"/>
        <v>0</v>
      </c>
      <c r="DZ58" s="915">
        <f t="shared" si="117"/>
        <v>0</v>
      </c>
      <c r="EA58" s="915">
        <f t="shared" si="118"/>
        <v>0</v>
      </c>
      <c r="EB58" s="915">
        <f t="shared" si="119"/>
        <v>0</v>
      </c>
      <c r="EC58" s="915">
        <f t="shared" si="120"/>
        <v>0</v>
      </c>
      <c r="ED58" s="915">
        <f t="shared" si="121"/>
        <v>0</v>
      </c>
      <c r="EE58" s="915">
        <f t="shared" si="122"/>
        <v>0</v>
      </c>
      <c r="EF58" s="915">
        <f t="shared" si="123"/>
        <v>0</v>
      </c>
      <c r="EG58" s="915">
        <f t="shared" si="124"/>
        <v>0</v>
      </c>
      <c r="EH58" s="915">
        <f t="shared" si="125"/>
        <v>0</v>
      </c>
      <c r="EI58" s="915">
        <f t="shared" si="126"/>
        <v>0</v>
      </c>
      <c r="EJ58" s="915">
        <f t="shared" si="127"/>
        <v>0</v>
      </c>
      <c r="EK58" s="915">
        <f t="shared" si="128"/>
        <v>0</v>
      </c>
      <c r="EL58" s="915">
        <f t="shared" si="129"/>
        <v>0</v>
      </c>
      <c r="EM58" s="915">
        <f t="shared" si="130"/>
        <v>0</v>
      </c>
      <c r="EN58" s="915">
        <f t="shared" si="131"/>
        <v>0</v>
      </c>
      <c r="EO58" s="915">
        <f t="shared" si="132"/>
        <v>0</v>
      </c>
      <c r="EP58" s="915">
        <f t="shared" si="133"/>
        <v>0</v>
      </c>
      <c r="EQ58" s="915">
        <f t="shared" si="134"/>
        <v>0</v>
      </c>
      <c r="ER58" s="915">
        <f t="shared" si="135"/>
        <v>0</v>
      </c>
      <c r="ES58" s="915">
        <f t="shared" si="136"/>
        <v>0</v>
      </c>
      <c r="ET58" s="915">
        <f t="shared" si="137"/>
        <v>0</v>
      </c>
      <c r="EU58" s="915">
        <f t="shared" si="138"/>
        <v>0</v>
      </c>
      <c r="EV58" s="915">
        <f t="shared" si="139"/>
        <v>0</v>
      </c>
      <c r="EW58" s="915">
        <f t="shared" si="140"/>
        <v>0</v>
      </c>
      <c r="EX58" s="915">
        <f t="shared" si="141"/>
        <v>0</v>
      </c>
      <c r="EY58" s="915">
        <f t="shared" si="142"/>
        <v>0</v>
      </c>
      <c r="EZ58" s="915">
        <f t="shared" si="143"/>
        <v>0</v>
      </c>
      <c r="FA58" s="915">
        <f t="shared" si="144"/>
        <v>0</v>
      </c>
      <c r="FB58" s="915">
        <f t="shared" si="145"/>
        <v>0</v>
      </c>
      <c r="FC58" s="915">
        <f t="shared" si="146"/>
        <v>0</v>
      </c>
      <c r="FD58" s="915">
        <f t="shared" si="147"/>
        <v>0</v>
      </c>
      <c r="FE58" s="915">
        <f t="shared" si="148"/>
        <v>0</v>
      </c>
      <c r="FF58" s="915">
        <f t="shared" si="149"/>
        <v>0</v>
      </c>
      <c r="FG58" s="915">
        <f t="shared" si="150"/>
        <v>0</v>
      </c>
      <c r="FH58" s="915">
        <f t="shared" si="151"/>
        <v>0</v>
      </c>
      <c r="FI58" s="915">
        <f t="shared" si="152"/>
        <v>0</v>
      </c>
      <c r="FJ58" s="915">
        <f t="shared" si="153"/>
        <v>0</v>
      </c>
      <c r="FK58" s="915">
        <f t="shared" si="154"/>
        <v>0</v>
      </c>
      <c r="FL58" s="915">
        <f t="shared" si="155"/>
        <v>0</v>
      </c>
      <c r="FM58" s="915">
        <f t="shared" si="156"/>
        <v>0</v>
      </c>
      <c r="FN58" s="915">
        <f t="shared" si="157"/>
        <v>0</v>
      </c>
      <c r="FO58" s="915">
        <f t="shared" si="158"/>
        <v>0</v>
      </c>
      <c r="FP58" s="915">
        <f t="shared" si="159"/>
        <v>0</v>
      </c>
      <c r="FQ58" s="915">
        <f t="shared" si="160"/>
        <v>0</v>
      </c>
      <c r="FR58" s="915">
        <f t="shared" si="161"/>
        <v>0</v>
      </c>
      <c r="FS58" s="915">
        <f t="shared" si="162"/>
        <v>0</v>
      </c>
      <c r="FT58" s="915">
        <f t="shared" si="163"/>
        <v>0</v>
      </c>
      <c r="FU58" s="915">
        <f t="shared" si="164"/>
        <v>0</v>
      </c>
      <c r="FV58" s="915">
        <f t="shared" si="165"/>
        <v>0</v>
      </c>
      <c r="FW58" s="915">
        <f t="shared" si="166"/>
        <v>0</v>
      </c>
      <c r="FX58" s="915">
        <f t="shared" si="167"/>
        <v>0</v>
      </c>
      <c r="FY58" s="915">
        <f t="shared" si="168"/>
        <v>0</v>
      </c>
      <c r="FZ58" s="915">
        <f t="shared" si="169"/>
        <v>0</v>
      </c>
    </row>
    <row r="59" spans="1:182" x14ac:dyDescent="0.2">
      <c r="A59" s="497">
        <v>52</v>
      </c>
      <c r="B59" s="1453"/>
      <c r="C59" s="1454"/>
      <c r="D59" s="1020">
        <v>7</v>
      </c>
      <c r="E59" s="1020" t="s">
        <v>52</v>
      </c>
      <c r="F59" s="1024" t="s">
        <v>2544</v>
      </c>
      <c r="G59" s="1024" t="s">
        <v>2542</v>
      </c>
      <c r="H59" s="100">
        <v>7</v>
      </c>
      <c r="I59" s="119">
        <f t="shared" si="172"/>
        <v>0.42</v>
      </c>
      <c r="J59" s="90">
        <f t="shared" si="173"/>
        <v>7.42</v>
      </c>
      <c r="K59" s="225"/>
      <c r="N59" s="942">
        <f>BV6</f>
        <v>7.42</v>
      </c>
      <c r="O59" s="915" t="str">
        <f>"Waste Haul for "&amp;TabName7</f>
        <v>Waste Haul for Phase 7</v>
      </c>
      <c r="P59" s="949" t="s">
        <v>580</v>
      </c>
      <c r="W59" s="915">
        <f t="shared" si="8"/>
        <v>0</v>
      </c>
      <c r="X59" s="915">
        <f t="shared" si="9"/>
        <v>0</v>
      </c>
      <c r="Y59" s="915">
        <f t="shared" si="10"/>
        <v>0</v>
      </c>
      <c r="Z59" s="915">
        <f t="shared" si="13"/>
        <v>0</v>
      </c>
      <c r="AA59" s="915">
        <f t="shared" si="14"/>
        <v>0</v>
      </c>
      <c r="AB59" s="915">
        <f t="shared" si="15"/>
        <v>0</v>
      </c>
      <c r="AC59" s="915">
        <f t="shared" si="16"/>
        <v>0</v>
      </c>
      <c r="AD59" s="915">
        <f t="shared" si="17"/>
        <v>0</v>
      </c>
      <c r="AE59" s="915">
        <f t="shared" si="18"/>
        <v>0</v>
      </c>
      <c r="AF59" s="915">
        <f t="shared" si="19"/>
        <v>0</v>
      </c>
      <c r="AG59" s="915">
        <f t="shared" si="20"/>
        <v>0</v>
      </c>
      <c r="AH59" s="915">
        <f t="shared" si="21"/>
        <v>0</v>
      </c>
      <c r="AI59" s="915">
        <f t="shared" si="22"/>
        <v>0</v>
      </c>
      <c r="AJ59" s="915">
        <f t="shared" si="23"/>
        <v>0</v>
      </c>
      <c r="AK59" s="915">
        <f t="shared" si="24"/>
        <v>0</v>
      </c>
      <c r="AL59" s="915">
        <f t="shared" si="25"/>
        <v>0</v>
      </c>
      <c r="AM59" s="915">
        <f t="shared" si="26"/>
        <v>0</v>
      </c>
      <c r="AN59" s="915">
        <f t="shared" si="27"/>
        <v>0</v>
      </c>
      <c r="AO59" s="915">
        <f t="shared" si="28"/>
        <v>0</v>
      </c>
      <c r="AP59" s="915">
        <f t="shared" si="29"/>
        <v>0</v>
      </c>
      <c r="AQ59" s="915">
        <f t="shared" si="30"/>
        <v>0</v>
      </c>
      <c r="AR59" s="915">
        <f t="shared" si="31"/>
        <v>0</v>
      </c>
      <c r="AS59" s="915">
        <f t="shared" si="32"/>
        <v>0</v>
      </c>
      <c r="AT59" s="915">
        <f t="shared" si="33"/>
        <v>0</v>
      </c>
      <c r="AU59" s="915">
        <f t="shared" si="34"/>
        <v>0</v>
      </c>
      <c r="AV59" s="915">
        <f t="shared" si="35"/>
        <v>0</v>
      </c>
      <c r="AW59" s="915">
        <f t="shared" si="36"/>
        <v>0</v>
      </c>
      <c r="AX59" s="915">
        <f t="shared" si="37"/>
        <v>0</v>
      </c>
      <c r="AY59" s="915">
        <f t="shared" si="38"/>
        <v>0</v>
      </c>
      <c r="AZ59" s="915">
        <f t="shared" si="39"/>
        <v>0</v>
      </c>
      <c r="BA59" s="915">
        <f t="shared" si="40"/>
        <v>0</v>
      </c>
      <c r="BB59" s="915">
        <f t="shared" si="41"/>
        <v>0</v>
      </c>
      <c r="BC59" s="915">
        <f t="shared" si="42"/>
        <v>0</v>
      </c>
      <c r="BD59" s="915">
        <f t="shared" si="43"/>
        <v>0</v>
      </c>
      <c r="BE59" s="915">
        <f t="shared" si="44"/>
        <v>0</v>
      </c>
      <c r="BF59" s="915">
        <f t="shared" si="45"/>
        <v>0</v>
      </c>
      <c r="BG59" s="915">
        <f t="shared" si="46"/>
        <v>0</v>
      </c>
      <c r="BH59" s="915">
        <f t="shared" si="47"/>
        <v>0</v>
      </c>
      <c r="BI59" s="915">
        <f t="shared" si="48"/>
        <v>0</v>
      </c>
      <c r="BJ59" s="915">
        <f t="shared" si="49"/>
        <v>0</v>
      </c>
      <c r="BK59" s="915">
        <f t="shared" si="50"/>
        <v>0</v>
      </c>
      <c r="BL59" s="915">
        <f t="shared" si="51"/>
        <v>0</v>
      </c>
      <c r="BM59" s="915">
        <f t="shared" si="52"/>
        <v>0</v>
      </c>
      <c r="BN59" s="915">
        <f t="shared" si="53"/>
        <v>0</v>
      </c>
      <c r="BO59" s="915">
        <f t="shared" si="54"/>
        <v>0</v>
      </c>
      <c r="BP59" s="915">
        <f t="shared" si="55"/>
        <v>0</v>
      </c>
      <c r="BQ59" s="915">
        <f t="shared" si="56"/>
        <v>0</v>
      </c>
      <c r="BR59" s="915">
        <f t="shared" si="57"/>
        <v>0</v>
      </c>
      <c r="BS59" s="915">
        <f t="shared" si="58"/>
        <v>0</v>
      </c>
      <c r="BT59" s="915">
        <f t="shared" si="59"/>
        <v>0</v>
      </c>
      <c r="BU59" s="915">
        <f t="shared" si="60"/>
        <v>0</v>
      </c>
      <c r="BV59" s="915">
        <f t="shared" si="61"/>
        <v>7.42</v>
      </c>
      <c r="BW59" s="915">
        <f t="shared" si="62"/>
        <v>0</v>
      </c>
      <c r="BX59" s="915">
        <f t="shared" si="63"/>
        <v>0</v>
      </c>
      <c r="BY59" s="915">
        <f t="shared" si="64"/>
        <v>0</v>
      </c>
      <c r="BZ59" s="915">
        <f t="shared" si="65"/>
        <v>0</v>
      </c>
      <c r="CA59" s="915">
        <f t="shared" si="66"/>
        <v>0</v>
      </c>
      <c r="CB59" s="915">
        <f t="shared" si="67"/>
        <v>0</v>
      </c>
      <c r="CC59" s="915">
        <f t="shared" si="68"/>
        <v>0</v>
      </c>
      <c r="CD59" s="915">
        <f t="shared" si="69"/>
        <v>0</v>
      </c>
      <c r="CE59" s="915">
        <f t="shared" si="70"/>
        <v>0</v>
      </c>
      <c r="CF59" s="915">
        <f t="shared" si="71"/>
        <v>0</v>
      </c>
      <c r="CG59" s="915">
        <f t="shared" si="72"/>
        <v>0</v>
      </c>
      <c r="CH59" s="915">
        <f t="shared" si="73"/>
        <v>0</v>
      </c>
      <c r="CI59" s="915">
        <f t="shared" si="74"/>
        <v>0</v>
      </c>
      <c r="CJ59" s="915">
        <f t="shared" si="75"/>
        <v>0</v>
      </c>
      <c r="CK59" s="915">
        <f t="shared" si="76"/>
        <v>0</v>
      </c>
      <c r="CL59" s="915">
        <f t="shared" si="77"/>
        <v>0</v>
      </c>
      <c r="CM59" s="915">
        <f t="shared" si="78"/>
        <v>0</v>
      </c>
      <c r="CN59" s="915">
        <f t="shared" si="79"/>
        <v>0</v>
      </c>
      <c r="CO59" s="915">
        <f t="shared" si="80"/>
        <v>0</v>
      </c>
      <c r="CP59" s="915">
        <f t="shared" si="81"/>
        <v>0</v>
      </c>
      <c r="CQ59" s="915">
        <f t="shared" si="82"/>
        <v>0</v>
      </c>
      <c r="CR59" s="915">
        <f t="shared" si="83"/>
        <v>0</v>
      </c>
      <c r="CS59" s="915">
        <f t="shared" si="84"/>
        <v>0</v>
      </c>
      <c r="CT59" s="915">
        <f t="shared" si="85"/>
        <v>0</v>
      </c>
      <c r="CU59" s="915">
        <f t="shared" si="86"/>
        <v>0</v>
      </c>
      <c r="CV59" s="915">
        <f t="shared" si="87"/>
        <v>0</v>
      </c>
      <c r="CW59" s="915">
        <f t="shared" si="88"/>
        <v>0</v>
      </c>
      <c r="CX59" s="915">
        <f t="shared" si="89"/>
        <v>0</v>
      </c>
      <c r="CY59" s="915">
        <f t="shared" si="90"/>
        <v>0</v>
      </c>
      <c r="CZ59" s="915">
        <f t="shared" si="91"/>
        <v>0</v>
      </c>
      <c r="DA59" s="915">
        <f t="shared" si="92"/>
        <v>0</v>
      </c>
      <c r="DB59" s="915">
        <f t="shared" si="93"/>
        <v>0</v>
      </c>
      <c r="DC59" s="915">
        <f t="shared" si="94"/>
        <v>0</v>
      </c>
      <c r="DD59" s="915">
        <f t="shared" si="95"/>
        <v>0</v>
      </c>
      <c r="DE59" s="915">
        <f t="shared" si="96"/>
        <v>0</v>
      </c>
      <c r="DF59" s="915">
        <f t="shared" si="97"/>
        <v>0</v>
      </c>
      <c r="DG59" s="915">
        <f t="shared" si="98"/>
        <v>0</v>
      </c>
      <c r="DH59" s="915">
        <f t="shared" si="99"/>
        <v>0</v>
      </c>
      <c r="DI59" s="915">
        <f t="shared" si="100"/>
        <v>0</v>
      </c>
      <c r="DJ59" s="915">
        <f t="shared" si="101"/>
        <v>0</v>
      </c>
      <c r="DK59" s="915">
        <f t="shared" si="102"/>
        <v>0</v>
      </c>
      <c r="DL59" s="915">
        <f t="shared" si="103"/>
        <v>0</v>
      </c>
      <c r="DM59" s="915">
        <f t="shared" si="104"/>
        <v>0</v>
      </c>
      <c r="DN59" s="915">
        <f t="shared" si="105"/>
        <v>0</v>
      </c>
      <c r="DO59" s="915">
        <f t="shared" si="106"/>
        <v>0</v>
      </c>
      <c r="DP59" s="915">
        <f t="shared" si="107"/>
        <v>0</v>
      </c>
      <c r="DQ59" s="915">
        <f t="shared" si="108"/>
        <v>0</v>
      </c>
      <c r="DR59" s="915">
        <f t="shared" si="109"/>
        <v>0</v>
      </c>
      <c r="DS59" s="915">
        <f t="shared" si="110"/>
        <v>0</v>
      </c>
      <c r="DT59" s="915">
        <f t="shared" si="111"/>
        <v>0</v>
      </c>
      <c r="DU59" s="915">
        <f t="shared" si="112"/>
        <v>0</v>
      </c>
      <c r="DV59" s="915">
        <f t="shared" si="113"/>
        <v>0</v>
      </c>
      <c r="DW59" s="915">
        <f t="shared" si="114"/>
        <v>0</v>
      </c>
      <c r="DX59" s="915">
        <f t="shared" si="115"/>
        <v>0</v>
      </c>
      <c r="DY59" s="915">
        <f t="shared" si="116"/>
        <v>0</v>
      </c>
      <c r="DZ59" s="915">
        <f t="shared" si="117"/>
        <v>0</v>
      </c>
      <c r="EA59" s="915">
        <f t="shared" si="118"/>
        <v>0</v>
      </c>
      <c r="EB59" s="915">
        <f t="shared" si="119"/>
        <v>0</v>
      </c>
      <c r="EC59" s="915">
        <f t="shared" si="120"/>
        <v>0</v>
      </c>
      <c r="ED59" s="915">
        <f t="shared" si="121"/>
        <v>0</v>
      </c>
      <c r="EE59" s="915">
        <f t="shared" si="122"/>
        <v>0</v>
      </c>
      <c r="EF59" s="915">
        <f t="shared" si="123"/>
        <v>0</v>
      </c>
      <c r="EG59" s="915">
        <f t="shared" si="124"/>
        <v>0</v>
      </c>
      <c r="EH59" s="915">
        <f t="shared" si="125"/>
        <v>0</v>
      </c>
      <c r="EI59" s="915">
        <f t="shared" si="126"/>
        <v>0</v>
      </c>
      <c r="EJ59" s="915">
        <f t="shared" si="127"/>
        <v>0</v>
      </c>
      <c r="EK59" s="915">
        <f t="shared" si="128"/>
        <v>0</v>
      </c>
      <c r="EL59" s="915">
        <f t="shared" si="129"/>
        <v>0</v>
      </c>
      <c r="EM59" s="915">
        <f t="shared" si="130"/>
        <v>0</v>
      </c>
      <c r="EN59" s="915">
        <f t="shared" si="131"/>
        <v>0</v>
      </c>
      <c r="EO59" s="915">
        <f t="shared" si="132"/>
        <v>0</v>
      </c>
      <c r="EP59" s="915">
        <f t="shared" si="133"/>
        <v>0</v>
      </c>
      <c r="EQ59" s="915">
        <f t="shared" si="134"/>
        <v>0</v>
      </c>
      <c r="ER59" s="915">
        <f t="shared" si="135"/>
        <v>0</v>
      </c>
      <c r="ES59" s="915">
        <f t="shared" si="136"/>
        <v>0</v>
      </c>
      <c r="ET59" s="915">
        <f t="shared" si="137"/>
        <v>0</v>
      </c>
      <c r="EU59" s="915">
        <f t="shared" si="138"/>
        <v>0</v>
      </c>
      <c r="EV59" s="915">
        <f t="shared" si="139"/>
        <v>0</v>
      </c>
      <c r="EW59" s="915">
        <f t="shared" si="140"/>
        <v>0</v>
      </c>
      <c r="EX59" s="915">
        <f t="shared" si="141"/>
        <v>0</v>
      </c>
      <c r="EY59" s="915">
        <f t="shared" si="142"/>
        <v>0</v>
      </c>
      <c r="EZ59" s="915">
        <f t="shared" si="143"/>
        <v>0</v>
      </c>
      <c r="FA59" s="915">
        <f t="shared" si="144"/>
        <v>0</v>
      </c>
      <c r="FB59" s="915">
        <f t="shared" si="145"/>
        <v>0</v>
      </c>
      <c r="FC59" s="915">
        <f t="shared" si="146"/>
        <v>0</v>
      </c>
      <c r="FD59" s="915">
        <f t="shared" si="147"/>
        <v>0</v>
      </c>
      <c r="FE59" s="915">
        <f t="shared" si="148"/>
        <v>0</v>
      </c>
      <c r="FF59" s="915">
        <f t="shared" si="149"/>
        <v>0</v>
      </c>
      <c r="FG59" s="915">
        <f t="shared" si="150"/>
        <v>0</v>
      </c>
      <c r="FH59" s="915">
        <f t="shared" si="151"/>
        <v>0</v>
      </c>
      <c r="FI59" s="915">
        <f t="shared" si="152"/>
        <v>0</v>
      </c>
      <c r="FJ59" s="915">
        <f t="shared" si="153"/>
        <v>0</v>
      </c>
      <c r="FK59" s="915">
        <f t="shared" si="154"/>
        <v>0</v>
      </c>
      <c r="FL59" s="915">
        <f t="shared" si="155"/>
        <v>0</v>
      </c>
      <c r="FM59" s="915">
        <f t="shared" si="156"/>
        <v>0</v>
      </c>
      <c r="FN59" s="915">
        <f t="shared" si="157"/>
        <v>0</v>
      </c>
      <c r="FO59" s="915">
        <f t="shared" si="158"/>
        <v>0</v>
      </c>
      <c r="FP59" s="915">
        <f t="shared" si="159"/>
        <v>0</v>
      </c>
      <c r="FQ59" s="915">
        <f t="shared" si="160"/>
        <v>0</v>
      </c>
      <c r="FR59" s="915">
        <f t="shared" si="161"/>
        <v>0</v>
      </c>
      <c r="FS59" s="915">
        <f t="shared" si="162"/>
        <v>0</v>
      </c>
      <c r="FT59" s="915">
        <f t="shared" si="163"/>
        <v>0</v>
      </c>
      <c r="FU59" s="915">
        <f t="shared" si="164"/>
        <v>0</v>
      </c>
      <c r="FV59" s="915">
        <f t="shared" si="165"/>
        <v>0</v>
      </c>
      <c r="FW59" s="915">
        <f t="shared" si="166"/>
        <v>0</v>
      </c>
      <c r="FX59" s="915">
        <f t="shared" si="167"/>
        <v>0</v>
      </c>
      <c r="FY59" s="915">
        <f t="shared" si="168"/>
        <v>0</v>
      </c>
      <c r="FZ59" s="915">
        <f t="shared" si="169"/>
        <v>0</v>
      </c>
    </row>
    <row r="60" spans="1:182" x14ac:dyDescent="0.2">
      <c r="A60" s="496">
        <v>53</v>
      </c>
      <c r="B60" s="1419"/>
      <c r="C60" s="1433"/>
      <c r="D60" s="264">
        <v>7</v>
      </c>
      <c r="E60" s="264" t="s">
        <v>30</v>
      </c>
      <c r="F60" s="270" t="s">
        <v>2544</v>
      </c>
      <c r="G60" s="270" t="s">
        <v>2542</v>
      </c>
      <c r="H60" s="272">
        <v>7</v>
      </c>
      <c r="I60" s="268">
        <f t="shared" si="172"/>
        <v>0.42</v>
      </c>
      <c r="J60" s="269">
        <f t="shared" si="173"/>
        <v>7.42</v>
      </c>
      <c r="K60" s="225"/>
      <c r="N60" s="942">
        <f>BW6</f>
        <v>7.42</v>
      </c>
      <c r="O60" s="879" t="str">
        <f>"Surveying/Inspection for " &amp; TabName7</f>
        <v>Surveying/Inspection for Phase 7</v>
      </c>
      <c r="P60" s="950" t="s">
        <v>581</v>
      </c>
      <c r="W60" s="915">
        <f t="shared" si="8"/>
        <v>0</v>
      </c>
      <c r="X60" s="915">
        <f t="shared" si="9"/>
        <v>0</v>
      </c>
      <c r="Y60" s="915">
        <f t="shared" si="10"/>
        <v>0</v>
      </c>
      <c r="Z60" s="915">
        <f t="shared" si="13"/>
        <v>0</v>
      </c>
      <c r="AA60" s="915">
        <f t="shared" si="14"/>
        <v>0</v>
      </c>
      <c r="AB60" s="915">
        <f t="shared" si="15"/>
        <v>0</v>
      </c>
      <c r="AC60" s="915">
        <f t="shared" si="16"/>
        <v>0</v>
      </c>
      <c r="AD60" s="915">
        <f t="shared" si="17"/>
        <v>0</v>
      </c>
      <c r="AE60" s="915">
        <f t="shared" si="18"/>
        <v>0</v>
      </c>
      <c r="AF60" s="915">
        <f t="shared" si="19"/>
        <v>0</v>
      </c>
      <c r="AG60" s="915">
        <f t="shared" si="20"/>
        <v>0</v>
      </c>
      <c r="AH60" s="915">
        <f t="shared" si="21"/>
        <v>0</v>
      </c>
      <c r="AI60" s="915">
        <f t="shared" si="22"/>
        <v>0</v>
      </c>
      <c r="AJ60" s="915">
        <f t="shared" si="23"/>
        <v>0</v>
      </c>
      <c r="AK60" s="915">
        <f t="shared" si="24"/>
        <v>0</v>
      </c>
      <c r="AL60" s="915">
        <f t="shared" si="25"/>
        <v>0</v>
      </c>
      <c r="AM60" s="915">
        <f t="shared" si="26"/>
        <v>0</v>
      </c>
      <c r="AN60" s="915">
        <f t="shared" si="27"/>
        <v>0</v>
      </c>
      <c r="AO60" s="915">
        <f t="shared" si="28"/>
        <v>0</v>
      </c>
      <c r="AP60" s="915">
        <f t="shared" si="29"/>
        <v>0</v>
      </c>
      <c r="AQ60" s="915">
        <f t="shared" si="30"/>
        <v>0</v>
      </c>
      <c r="AR60" s="915">
        <f t="shared" si="31"/>
        <v>0</v>
      </c>
      <c r="AS60" s="915">
        <f t="shared" si="32"/>
        <v>0</v>
      </c>
      <c r="AT60" s="915">
        <f t="shared" si="33"/>
        <v>0</v>
      </c>
      <c r="AU60" s="915">
        <f t="shared" si="34"/>
        <v>0</v>
      </c>
      <c r="AV60" s="915">
        <f t="shared" si="35"/>
        <v>0</v>
      </c>
      <c r="AW60" s="915">
        <f t="shared" si="36"/>
        <v>0</v>
      </c>
      <c r="AX60" s="915">
        <f t="shared" si="37"/>
        <v>0</v>
      </c>
      <c r="AY60" s="915">
        <f t="shared" si="38"/>
        <v>0</v>
      </c>
      <c r="AZ60" s="915">
        <f t="shared" si="39"/>
        <v>0</v>
      </c>
      <c r="BA60" s="915">
        <f t="shared" si="40"/>
        <v>0</v>
      </c>
      <c r="BB60" s="915">
        <f t="shared" si="41"/>
        <v>0</v>
      </c>
      <c r="BC60" s="915">
        <f t="shared" si="42"/>
        <v>0</v>
      </c>
      <c r="BD60" s="915">
        <f t="shared" si="43"/>
        <v>0</v>
      </c>
      <c r="BE60" s="915">
        <f t="shared" si="44"/>
        <v>0</v>
      </c>
      <c r="BF60" s="915">
        <f t="shared" si="45"/>
        <v>0</v>
      </c>
      <c r="BG60" s="915">
        <f t="shared" si="46"/>
        <v>0</v>
      </c>
      <c r="BH60" s="915">
        <f t="shared" si="47"/>
        <v>0</v>
      </c>
      <c r="BI60" s="915">
        <f t="shared" si="48"/>
        <v>0</v>
      </c>
      <c r="BJ60" s="915">
        <f t="shared" si="49"/>
        <v>0</v>
      </c>
      <c r="BK60" s="915">
        <f t="shared" si="50"/>
        <v>0</v>
      </c>
      <c r="BL60" s="915">
        <f t="shared" si="51"/>
        <v>0</v>
      </c>
      <c r="BM60" s="915">
        <f t="shared" si="52"/>
        <v>0</v>
      </c>
      <c r="BN60" s="915">
        <f t="shared" si="53"/>
        <v>0</v>
      </c>
      <c r="BO60" s="915">
        <f t="shared" si="54"/>
        <v>0</v>
      </c>
      <c r="BP60" s="915">
        <f t="shared" si="55"/>
        <v>0</v>
      </c>
      <c r="BQ60" s="915">
        <f t="shared" si="56"/>
        <v>0</v>
      </c>
      <c r="BR60" s="915">
        <f t="shared" si="57"/>
        <v>0</v>
      </c>
      <c r="BS60" s="915">
        <f t="shared" si="58"/>
        <v>0</v>
      </c>
      <c r="BT60" s="915">
        <f t="shared" si="59"/>
        <v>0</v>
      </c>
      <c r="BU60" s="915">
        <f t="shared" si="60"/>
        <v>0</v>
      </c>
      <c r="BV60" s="915">
        <f t="shared" si="61"/>
        <v>0</v>
      </c>
      <c r="BW60" s="915">
        <f t="shared" si="62"/>
        <v>7.42</v>
      </c>
      <c r="BX60" s="915">
        <f t="shared" si="63"/>
        <v>0</v>
      </c>
      <c r="BY60" s="915">
        <f t="shared" si="64"/>
        <v>0</v>
      </c>
      <c r="BZ60" s="915">
        <f t="shared" si="65"/>
        <v>0</v>
      </c>
      <c r="CA60" s="915">
        <f t="shared" si="66"/>
        <v>0</v>
      </c>
      <c r="CB60" s="915">
        <f t="shared" si="67"/>
        <v>0</v>
      </c>
      <c r="CC60" s="915">
        <f t="shared" si="68"/>
        <v>0</v>
      </c>
      <c r="CD60" s="915">
        <f t="shared" si="69"/>
        <v>0</v>
      </c>
      <c r="CE60" s="915">
        <f t="shared" si="70"/>
        <v>0</v>
      </c>
      <c r="CF60" s="915">
        <f t="shared" si="71"/>
        <v>0</v>
      </c>
      <c r="CG60" s="915">
        <f t="shared" si="72"/>
        <v>0</v>
      </c>
      <c r="CH60" s="915">
        <f t="shared" si="73"/>
        <v>0</v>
      </c>
      <c r="CI60" s="915">
        <f t="shared" si="74"/>
        <v>0</v>
      </c>
      <c r="CJ60" s="915">
        <f t="shared" si="75"/>
        <v>0</v>
      </c>
      <c r="CK60" s="915">
        <f t="shared" si="76"/>
        <v>0</v>
      </c>
      <c r="CL60" s="915">
        <f t="shared" si="77"/>
        <v>0</v>
      </c>
      <c r="CM60" s="915">
        <f t="shared" si="78"/>
        <v>0</v>
      </c>
      <c r="CN60" s="915">
        <f t="shared" si="79"/>
        <v>0</v>
      </c>
      <c r="CO60" s="915">
        <f t="shared" si="80"/>
        <v>0</v>
      </c>
      <c r="CP60" s="915">
        <f t="shared" si="81"/>
        <v>0</v>
      </c>
      <c r="CQ60" s="915">
        <f t="shared" si="82"/>
        <v>0</v>
      </c>
      <c r="CR60" s="915">
        <f t="shared" si="83"/>
        <v>0</v>
      </c>
      <c r="CS60" s="915">
        <f t="shared" si="84"/>
        <v>0</v>
      </c>
      <c r="CT60" s="915">
        <f t="shared" si="85"/>
        <v>0</v>
      </c>
      <c r="CU60" s="915">
        <f t="shared" si="86"/>
        <v>0</v>
      </c>
      <c r="CV60" s="915">
        <f t="shared" si="87"/>
        <v>0</v>
      </c>
      <c r="CW60" s="915">
        <f t="shared" si="88"/>
        <v>0</v>
      </c>
      <c r="CX60" s="915">
        <f t="shared" si="89"/>
        <v>0</v>
      </c>
      <c r="CY60" s="915">
        <f t="shared" si="90"/>
        <v>0</v>
      </c>
      <c r="CZ60" s="915">
        <f t="shared" si="91"/>
        <v>0</v>
      </c>
      <c r="DA60" s="915">
        <f t="shared" si="92"/>
        <v>0</v>
      </c>
      <c r="DB60" s="915">
        <f t="shared" si="93"/>
        <v>0</v>
      </c>
      <c r="DC60" s="915">
        <f t="shared" si="94"/>
        <v>0</v>
      </c>
      <c r="DD60" s="915">
        <f t="shared" si="95"/>
        <v>0</v>
      </c>
      <c r="DE60" s="915">
        <f t="shared" si="96"/>
        <v>0</v>
      </c>
      <c r="DF60" s="915">
        <f t="shared" si="97"/>
        <v>0</v>
      </c>
      <c r="DG60" s="915">
        <f t="shared" si="98"/>
        <v>0</v>
      </c>
      <c r="DH60" s="915">
        <f t="shared" si="99"/>
        <v>0</v>
      </c>
      <c r="DI60" s="915">
        <f t="shared" si="100"/>
        <v>0</v>
      </c>
      <c r="DJ60" s="915">
        <f t="shared" si="101"/>
        <v>0</v>
      </c>
      <c r="DK60" s="915">
        <f t="shared" si="102"/>
        <v>0</v>
      </c>
      <c r="DL60" s="915">
        <f t="shared" si="103"/>
        <v>0</v>
      </c>
      <c r="DM60" s="915">
        <f t="shared" si="104"/>
        <v>0</v>
      </c>
      <c r="DN60" s="915">
        <f t="shared" si="105"/>
        <v>0</v>
      </c>
      <c r="DO60" s="915">
        <f t="shared" si="106"/>
        <v>0</v>
      </c>
      <c r="DP60" s="915">
        <f t="shared" si="107"/>
        <v>0</v>
      </c>
      <c r="DQ60" s="915">
        <f t="shared" si="108"/>
        <v>0</v>
      </c>
      <c r="DR60" s="915">
        <f t="shared" si="109"/>
        <v>0</v>
      </c>
      <c r="DS60" s="915">
        <f t="shared" si="110"/>
        <v>0</v>
      </c>
      <c r="DT60" s="915">
        <f t="shared" si="111"/>
        <v>0</v>
      </c>
      <c r="DU60" s="915">
        <f t="shared" si="112"/>
        <v>0</v>
      </c>
      <c r="DV60" s="915">
        <f t="shared" si="113"/>
        <v>0</v>
      </c>
      <c r="DW60" s="915">
        <f t="shared" si="114"/>
        <v>0</v>
      </c>
      <c r="DX60" s="915">
        <f t="shared" si="115"/>
        <v>0</v>
      </c>
      <c r="DY60" s="915">
        <f t="shared" si="116"/>
        <v>0</v>
      </c>
      <c r="DZ60" s="915">
        <f t="shared" si="117"/>
        <v>0</v>
      </c>
      <c r="EA60" s="915">
        <f t="shared" si="118"/>
        <v>0</v>
      </c>
      <c r="EB60" s="915">
        <f t="shared" si="119"/>
        <v>0</v>
      </c>
      <c r="EC60" s="915">
        <f t="shared" si="120"/>
        <v>0</v>
      </c>
      <c r="ED60" s="915">
        <f t="shared" si="121"/>
        <v>0</v>
      </c>
      <c r="EE60" s="915">
        <f t="shared" si="122"/>
        <v>0</v>
      </c>
      <c r="EF60" s="915">
        <f t="shared" si="123"/>
        <v>0</v>
      </c>
      <c r="EG60" s="915">
        <f t="shared" si="124"/>
        <v>0</v>
      </c>
      <c r="EH60" s="915">
        <f t="shared" si="125"/>
        <v>0</v>
      </c>
      <c r="EI60" s="915">
        <f t="shared" si="126"/>
        <v>0</v>
      </c>
      <c r="EJ60" s="915">
        <f t="shared" si="127"/>
        <v>0</v>
      </c>
      <c r="EK60" s="915">
        <f t="shared" si="128"/>
        <v>0</v>
      </c>
      <c r="EL60" s="915">
        <f t="shared" si="129"/>
        <v>0</v>
      </c>
      <c r="EM60" s="915">
        <f t="shared" si="130"/>
        <v>0</v>
      </c>
      <c r="EN60" s="915">
        <f t="shared" si="131"/>
        <v>0</v>
      </c>
      <c r="EO60" s="915">
        <f t="shared" si="132"/>
        <v>0</v>
      </c>
      <c r="EP60" s="915">
        <f t="shared" si="133"/>
        <v>0</v>
      </c>
      <c r="EQ60" s="915">
        <f t="shared" si="134"/>
        <v>0</v>
      </c>
      <c r="ER60" s="915">
        <f t="shared" si="135"/>
        <v>0</v>
      </c>
      <c r="ES60" s="915">
        <f t="shared" si="136"/>
        <v>0</v>
      </c>
      <c r="ET60" s="915">
        <f t="shared" si="137"/>
        <v>0</v>
      </c>
      <c r="EU60" s="915">
        <f t="shared" si="138"/>
        <v>0</v>
      </c>
      <c r="EV60" s="915">
        <f t="shared" si="139"/>
        <v>0</v>
      </c>
      <c r="EW60" s="915">
        <f t="shared" si="140"/>
        <v>0</v>
      </c>
      <c r="EX60" s="915">
        <f t="shared" si="141"/>
        <v>0</v>
      </c>
      <c r="EY60" s="915">
        <f t="shared" si="142"/>
        <v>0</v>
      </c>
      <c r="EZ60" s="915">
        <f t="shared" si="143"/>
        <v>0</v>
      </c>
      <c r="FA60" s="915">
        <f t="shared" si="144"/>
        <v>0</v>
      </c>
      <c r="FB60" s="915">
        <f t="shared" si="145"/>
        <v>0</v>
      </c>
      <c r="FC60" s="915">
        <f t="shared" si="146"/>
        <v>0</v>
      </c>
      <c r="FD60" s="915">
        <f t="shared" si="147"/>
        <v>0</v>
      </c>
      <c r="FE60" s="915">
        <f t="shared" si="148"/>
        <v>0</v>
      </c>
      <c r="FF60" s="915">
        <f t="shared" si="149"/>
        <v>0</v>
      </c>
      <c r="FG60" s="915">
        <f t="shared" si="150"/>
        <v>0</v>
      </c>
      <c r="FH60" s="915">
        <f t="shared" si="151"/>
        <v>0</v>
      </c>
      <c r="FI60" s="915">
        <f t="shared" si="152"/>
        <v>0</v>
      </c>
      <c r="FJ60" s="915">
        <f t="shared" si="153"/>
        <v>0</v>
      </c>
      <c r="FK60" s="915">
        <f t="shared" si="154"/>
        <v>0</v>
      </c>
      <c r="FL60" s="915">
        <f t="shared" si="155"/>
        <v>0</v>
      </c>
      <c r="FM60" s="915">
        <f t="shared" si="156"/>
        <v>0</v>
      </c>
      <c r="FN60" s="915">
        <f t="shared" si="157"/>
        <v>0</v>
      </c>
      <c r="FO60" s="915">
        <f t="shared" si="158"/>
        <v>0</v>
      </c>
      <c r="FP60" s="915">
        <f t="shared" si="159"/>
        <v>0</v>
      </c>
      <c r="FQ60" s="915">
        <f t="shared" si="160"/>
        <v>0</v>
      </c>
      <c r="FR60" s="915">
        <f t="shared" si="161"/>
        <v>0</v>
      </c>
      <c r="FS60" s="915">
        <f t="shared" si="162"/>
        <v>0</v>
      </c>
      <c r="FT60" s="915">
        <f t="shared" si="163"/>
        <v>0</v>
      </c>
      <c r="FU60" s="915">
        <f t="shared" si="164"/>
        <v>0</v>
      </c>
      <c r="FV60" s="915">
        <f t="shared" si="165"/>
        <v>0</v>
      </c>
      <c r="FW60" s="915">
        <f t="shared" si="166"/>
        <v>0</v>
      </c>
      <c r="FX60" s="915">
        <f t="shared" si="167"/>
        <v>0</v>
      </c>
      <c r="FY60" s="915">
        <f t="shared" si="168"/>
        <v>0</v>
      </c>
      <c r="FZ60" s="915">
        <f t="shared" si="169"/>
        <v>0</v>
      </c>
    </row>
    <row r="61" spans="1:182" x14ac:dyDescent="0.2">
      <c r="A61" s="497">
        <v>54</v>
      </c>
      <c r="B61" s="1423"/>
      <c r="C61" s="1424"/>
      <c r="D61" s="138">
        <v>7</v>
      </c>
      <c r="E61" s="138" t="s">
        <v>170</v>
      </c>
      <c r="F61" s="139" t="s">
        <v>2544</v>
      </c>
      <c r="G61" s="139" t="s">
        <v>2542</v>
      </c>
      <c r="H61" s="100">
        <v>7</v>
      </c>
      <c r="I61" s="119">
        <f t="shared" si="172"/>
        <v>0.42</v>
      </c>
      <c r="J61" s="90">
        <f t="shared" si="173"/>
        <v>7.42</v>
      </c>
      <c r="K61" s="225"/>
      <c r="N61" s="942">
        <f>BX6</f>
        <v>7.42</v>
      </c>
      <c r="O61" s="879" t="str">
        <f>"Other subcontractor for " &amp; TabName7</f>
        <v>Other subcontractor for Phase 7</v>
      </c>
      <c r="P61" s="949" t="s">
        <v>582</v>
      </c>
      <c r="W61" s="915">
        <f t="shared" si="8"/>
        <v>0</v>
      </c>
      <c r="X61" s="915">
        <f t="shared" si="9"/>
        <v>0</v>
      </c>
      <c r="Y61" s="915">
        <f t="shared" si="10"/>
        <v>0</v>
      </c>
      <c r="Z61" s="915">
        <f t="shared" si="13"/>
        <v>0</v>
      </c>
      <c r="AA61" s="915">
        <f t="shared" si="14"/>
        <v>0</v>
      </c>
      <c r="AB61" s="915">
        <f t="shared" si="15"/>
        <v>0</v>
      </c>
      <c r="AC61" s="915">
        <f t="shared" si="16"/>
        <v>0</v>
      </c>
      <c r="AD61" s="915">
        <f t="shared" si="17"/>
        <v>0</v>
      </c>
      <c r="AE61" s="915">
        <f t="shared" si="18"/>
        <v>0</v>
      </c>
      <c r="AF61" s="915">
        <f t="shared" si="19"/>
        <v>0</v>
      </c>
      <c r="AG61" s="915">
        <f t="shared" si="20"/>
        <v>0</v>
      </c>
      <c r="AH61" s="915">
        <f t="shared" si="21"/>
        <v>0</v>
      </c>
      <c r="AI61" s="915">
        <f t="shared" si="22"/>
        <v>0</v>
      </c>
      <c r="AJ61" s="915">
        <f t="shared" si="23"/>
        <v>0</v>
      </c>
      <c r="AK61" s="915">
        <f t="shared" si="24"/>
        <v>0</v>
      </c>
      <c r="AL61" s="915">
        <f t="shared" si="25"/>
        <v>0</v>
      </c>
      <c r="AM61" s="915">
        <f t="shared" si="26"/>
        <v>0</v>
      </c>
      <c r="AN61" s="915">
        <f t="shared" si="27"/>
        <v>0</v>
      </c>
      <c r="AO61" s="915">
        <f t="shared" si="28"/>
        <v>0</v>
      </c>
      <c r="AP61" s="915">
        <f t="shared" si="29"/>
        <v>0</v>
      </c>
      <c r="AQ61" s="915">
        <f t="shared" si="30"/>
        <v>0</v>
      </c>
      <c r="AR61" s="915">
        <f t="shared" si="31"/>
        <v>0</v>
      </c>
      <c r="AS61" s="915">
        <f t="shared" si="32"/>
        <v>0</v>
      </c>
      <c r="AT61" s="915">
        <f t="shared" si="33"/>
        <v>0</v>
      </c>
      <c r="AU61" s="915">
        <f t="shared" si="34"/>
        <v>0</v>
      </c>
      <c r="AV61" s="915">
        <f t="shared" si="35"/>
        <v>0</v>
      </c>
      <c r="AW61" s="915">
        <f t="shared" si="36"/>
        <v>0</v>
      </c>
      <c r="AX61" s="915">
        <f t="shared" si="37"/>
        <v>0</v>
      </c>
      <c r="AY61" s="915">
        <f t="shared" si="38"/>
        <v>0</v>
      </c>
      <c r="AZ61" s="915">
        <f t="shared" si="39"/>
        <v>0</v>
      </c>
      <c r="BA61" s="915">
        <f t="shared" si="40"/>
        <v>0</v>
      </c>
      <c r="BB61" s="915">
        <f t="shared" si="41"/>
        <v>0</v>
      </c>
      <c r="BC61" s="915">
        <f t="shared" si="42"/>
        <v>0</v>
      </c>
      <c r="BD61" s="915">
        <f t="shared" si="43"/>
        <v>0</v>
      </c>
      <c r="BE61" s="915">
        <f t="shared" si="44"/>
        <v>0</v>
      </c>
      <c r="BF61" s="915">
        <f t="shared" si="45"/>
        <v>0</v>
      </c>
      <c r="BG61" s="915">
        <f t="shared" si="46"/>
        <v>0</v>
      </c>
      <c r="BH61" s="915">
        <f t="shared" si="47"/>
        <v>0</v>
      </c>
      <c r="BI61" s="915">
        <f t="shared" si="48"/>
        <v>0</v>
      </c>
      <c r="BJ61" s="915">
        <f t="shared" si="49"/>
        <v>0</v>
      </c>
      <c r="BK61" s="915">
        <f t="shared" si="50"/>
        <v>0</v>
      </c>
      <c r="BL61" s="915">
        <f t="shared" si="51"/>
        <v>0</v>
      </c>
      <c r="BM61" s="915">
        <f t="shared" si="52"/>
        <v>0</v>
      </c>
      <c r="BN61" s="915">
        <f t="shared" si="53"/>
        <v>0</v>
      </c>
      <c r="BO61" s="915">
        <f t="shared" si="54"/>
        <v>0</v>
      </c>
      <c r="BP61" s="915">
        <f t="shared" si="55"/>
        <v>0</v>
      </c>
      <c r="BQ61" s="915">
        <f t="shared" si="56"/>
        <v>0</v>
      </c>
      <c r="BR61" s="915">
        <f t="shared" si="57"/>
        <v>0</v>
      </c>
      <c r="BS61" s="915">
        <f t="shared" si="58"/>
        <v>0</v>
      </c>
      <c r="BT61" s="915">
        <f t="shared" si="59"/>
        <v>0</v>
      </c>
      <c r="BU61" s="915">
        <f t="shared" si="60"/>
        <v>0</v>
      </c>
      <c r="BV61" s="915">
        <f t="shared" si="61"/>
        <v>0</v>
      </c>
      <c r="BW61" s="915">
        <f t="shared" si="62"/>
        <v>0</v>
      </c>
      <c r="BX61" s="915">
        <f t="shared" si="63"/>
        <v>7.42</v>
      </c>
      <c r="BY61" s="915">
        <f t="shared" si="64"/>
        <v>0</v>
      </c>
      <c r="BZ61" s="915">
        <f t="shared" si="65"/>
        <v>0</v>
      </c>
      <c r="CA61" s="915">
        <f t="shared" si="66"/>
        <v>0</v>
      </c>
      <c r="CB61" s="915">
        <f t="shared" si="67"/>
        <v>0</v>
      </c>
      <c r="CC61" s="915">
        <f t="shared" si="68"/>
        <v>0</v>
      </c>
      <c r="CD61" s="915">
        <f t="shared" si="69"/>
        <v>0</v>
      </c>
      <c r="CE61" s="915">
        <f t="shared" si="70"/>
        <v>0</v>
      </c>
      <c r="CF61" s="915">
        <f t="shared" si="71"/>
        <v>0</v>
      </c>
      <c r="CG61" s="915">
        <f t="shared" si="72"/>
        <v>0</v>
      </c>
      <c r="CH61" s="915">
        <f t="shared" si="73"/>
        <v>0</v>
      </c>
      <c r="CI61" s="915">
        <f t="shared" si="74"/>
        <v>0</v>
      </c>
      <c r="CJ61" s="915">
        <f t="shared" si="75"/>
        <v>0</v>
      </c>
      <c r="CK61" s="915">
        <f t="shared" si="76"/>
        <v>0</v>
      </c>
      <c r="CL61" s="915">
        <f t="shared" si="77"/>
        <v>0</v>
      </c>
      <c r="CM61" s="915">
        <f t="shared" si="78"/>
        <v>0</v>
      </c>
      <c r="CN61" s="915">
        <f t="shared" si="79"/>
        <v>0</v>
      </c>
      <c r="CO61" s="915">
        <f t="shared" si="80"/>
        <v>0</v>
      </c>
      <c r="CP61" s="915">
        <f t="shared" si="81"/>
        <v>0</v>
      </c>
      <c r="CQ61" s="915">
        <f t="shared" si="82"/>
        <v>0</v>
      </c>
      <c r="CR61" s="915">
        <f t="shared" si="83"/>
        <v>0</v>
      </c>
      <c r="CS61" s="915">
        <f t="shared" si="84"/>
        <v>0</v>
      </c>
      <c r="CT61" s="915">
        <f t="shared" si="85"/>
        <v>0</v>
      </c>
      <c r="CU61" s="915">
        <f t="shared" si="86"/>
        <v>0</v>
      </c>
      <c r="CV61" s="915">
        <f t="shared" si="87"/>
        <v>0</v>
      </c>
      <c r="CW61" s="915">
        <f t="shared" si="88"/>
        <v>0</v>
      </c>
      <c r="CX61" s="915">
        <f t="shared" si="89"/>
        <v>0</v>
      </c>
      <c r="CY61" s="915">
        <f t="shared" si="90"/>
        <v>0</v>
      </c>
      <c r="CZ61" s="915">
        <f t="shared" si="91"/>
        <v>0</v>
      </c>
      <c r="DA61" s="915">
        <f t="shared" si="92"/>
        <v>0</v>
      </c>
      <c r="DB61" s="915">
        <f t="shared" si="93"/>
        <v>0</v>
      </c>
      <c r="DC61" s="915">
        <f t="shared" si="94"/>
        <v>0</v>
      </c>
      <c r="DD61" s="915">
        <f t="shared" si="95"/>
        <v>0</v>
      </c>
      <c r="DE61" s="915">
        <f t="shared" si="96"/>
        <v>0</v>
      </c>
      <c r="DF61" s="915">
        <f t="shared" si="97"/>
        <v>0</v>
      </c>
      <c r="DG61" s="915">
        <f t="shared" si="98"/>
        <v>0</v>
      </c>
      <c r="DH61" s="915">
        <f t="shared" si="99"/>
        <v>0</v>
      </c>
      <c r="DI61" s="915">
        <f t="shared" si="100"/>
        <v>0</v>
      </c>
      <c r="DJ61" s="915">
        <f t="shared" si="101"/>
        <v>0</v>
      </c>
      <c r="DK61" s="915">
        <f t="shared" si="102"/>
        <v>0</v>
      </c>
      <c r="DL61" s="915">
        <f t="shared" si="103"/>
        <v>0</v>
      </c>
      <c r="DM61" s="915">
        <f t="shared" si="104"/>
        <v>0</v>
      </c>
      <c r="DN61" s="915">
        <f t="shared" si="105"/>
        <v>0</v>
      </c>
      <c r="DO61" s="915">
        <f t="shared" si="106"/>
        <v>0</v>
      </c>
      <c r="DP61" s="915">
        <f t="shared" si="107"/>
        <v>0</v>
      </c>
      <c r="DQ61" s="915">
        <f t="shared" si="108"/>
        <v>0</v>
      </c>
      <c r="DR61" s="915">
        <f t="shared" si="109"/>
        <v>0</v>
      </c>
      <c r="DS61" s="915">
        <f t="shared" si="110"/>
        <v>0</v>
      </c>
      <c r="DT61" s="915">
        <f t="shared" si="111"/>
        <v>0</v>
      </c>
      <c r="DU61" s="915">
        <f t="shared" si="112"/>
        <v>0</v>
      </c>
      <c r="DV61" s="915">
        <f t="shared" si="113"/>
        <v>0</v>
      </c>
      <c r="DW61" s="915">
        <f t="shared" si="114"/>
        <v>0</v>
      </c>
      <c r="DX61" s="915">
        <f t="shared" si="115"/>
        <v>0</v>
      </c>
      <c r="DY61" s="915">
        <f t="shared" si="116"/>
        <v>0</v>
      </c>
      <c r="DZ61" s="915">
        <f t="shared" si="117"/>
        <v>0</v>
      </c>
      <c r="EA61" s="915">
        <f t="shared" si="118"/>
        <v>0</v>
      </c>
      <c r="EB61" s="915">
        <f t="shared" si="119"/>
        <v>0</v>
      </c>
      <c r="EC61" s="915">
        <f t="shared" si="120"/>
        <v>0</v>
      </c>
      <c r="ED61" s="915">
        <f t="shared" si="121"/>
        <v>0</v>
      </c>
      <c r="EE61" s="915">
        <f t="shared" si="122"/>
        <v>0</v>
      </c>
      <c r="EF61" s="915">
        <f t="shared" si="123"/>
        <v>0</v>
      </c>
      <c r="EG61" s="915">
        <f t="shared" si="124"/>
        <v>0</v>
      </c>
      <c r="EH61" s="915">
        <f t="shared" si="125"/>
        <v>0</v>
      </c>
      <c r="EI61" s="915">
        <f t="shared" si="126"/>
        <v>0</v>
      </c>
      <c r="EJ61" s="915">
        <f t="shared" si="127"/>
        <v>0</v>
      </c>
      <c r="EK61" s="915">
        <f t="shared" si="128"/>
        <v>0</v>
      </c>
      <c r="EL61" s="915">
        <f t="shared" si="129"/>
        <v>0</v>
      </c>
      <c r="EM61" s="915">
        <f t="shared" si="130"/>
        <v>0</v>
      </c>
      <c r="EN61" s="915">
        <f t="shared" si="131"/>
        <v>0</v>
      </c>
      <c r="EO61" s="915">
        <f t="shared" si="132"/>
        <v>0</v>
      </c>
      <c r="EP61" s="915">
        <f t="shared" si="133"/>
        <v>0</v>
      </c>
      <c r="EQ61" s="915">
        <f t="shared" si="134"/>
        <v>0</v>
      </c>
      <c r="ER61" s="915">
        <f t="shared" si="135"/>
        <v>0</v>
      </c>
      <c r="ES61" s="915">
        <f t="shared" si="136"/>
        <v>0</v>
      </c>
      <c r="ET61" s="915">
        <f t="shared" si="137"/>
        <v>0</v>
      </c>
      <c r="EU61" s="915">
        <f t="shared" si="138"/>
        <v>0</v>
      </c>
      <c r="EV61" s="915">
        <f t="shared" si="139"/>
        <v>0</v>
      </c>
      <c r="EW61" s="915">
        <f t="shared" si="140"/>
        <v>0</v>
      </c>
      <c r="EX61" s="915">
        <f t="shared" si="141"/>
        <v>0</v>
      </c>
      <c r="EY61" s="915">
        <f t="shared" si="142"/>
        <v>0</v>
      </c>
      <c r="EZ61" s="915">
        <f t="shared" si="143"/>
        <v>0</v>
      </c>
      <c r="FA61" s="915">
        <f t="shared" si="144"/>
        <v>0</v>
      </c>
      <c r="FB61" s="915">
        <f t="shared" si="145"/>
        <v>0</v>
      </c>
      <c r="FC61" s="915">
        <f t="shared" si="146"/>
        <v>0</v>
      </c>
      <c r="FD61" s="915">
        <f t="shared" si="147"/>
        <v>0</v>
      </c>
      <c r="FE61" s="915">
        <f t="shared" si="148"/>
        <v>0</v>
      </c>
      <c r="FF61" s="915">
        <f t="shared" si="149"/>
        <v>0</v>
      </c>
      <c r="FG61" s="915">
        <f t="shared" si="150"/>
        <v>0</v>
      </c>
      <c r="FH61" s="915">
        <f t="shared" si="151"/>
        <v>0</v>
      </c>
      <c r="FI61" s="915">
        <f t="shared" si="152"/>
        <v>0</v>
      </c>
      <c r="FJ61" s="915">
        <f t="shared" si="153"/>
        <v>0</v>
      </c>
      <c r="FK61" s="915">
        <f t="shared" si="154"/>
        <v>0</v>
      </c>
      <c r="FL61" s="915">
        <f t="shared" si="155"/>
        <v>0</v>
      </c>
      <c r="FM61" s="915">
        <f t="shared" si="156"/>
        <v>0</v>
      </c>
      <c r="FN61" s="915">
        <f t="shared" si="157"/>
        <v>0</v>
      </c>
      <c r="FO61" s="915">
        <f t="shared" si="158"/>
        <v>0</v>
      </c>
      <c r="FP61" s="915">
        <f t="shared" si="159"/>
        <v>0</v>
      </c>
      <c r="FQ61" s="915">
        <f t="shared" si="160"/>
        <v>0</v>
      </c>
      <c r="FR61" s="915">
        <f t="shared" si="161"/>
        <v>0</v>
      </c>
      <c r="FS61" s="915">
        <f t="shared" si="162"/>
        <v>0</v>
      </c>
      <c r="FT61" s="915">
        <f t="shared" si="163"/>
        <v>0</v>
      </c>
      <c r="FU61" s="915">
        <f t="shared" si="164"/>
        <v>0</v>
      </c>
      <c r="FV61" s="915">
        <f t="shared" si="165"/>
        <v>0</v>
      </c>
      <c r="FW61" s="915">
        <f t="shared" si="166"/>
        <v>0</v>
      </c>
      <c r="FX61" s="915">
        <f t="shared" si="167"/>
        <v>0</v>
      </c>
      <c r="FY61" s="915">
        <f t="shared" si="168"/>
        <v>0</v>
      </c>
      <c r="FZ61" s="915">
        <f t="shared" si="169"/>
        <v>0</v>
      </c>
    </row>
    <row r="62" spans="1:182" x14ac:dyDescent="0.2">
      <c r="A62" s="496">
        <v>55</v>
      </c>
      <c r="B62" s="1419"/>
      <c r="C62" s="1433"/>
      <c r="D62" s="264">
        <v>7</v>
      </c>
      <c r="E62" s="264" t="s">
        <v>48</v>
      </c>
      <c r="F62" s="270" t="s">
        <v>2544</v>
      </c>
      <c r="G62" s="270" t="s">
        <v>2542</v>
      </c>
      <c r="H62" s="272">
        <v>7</v>
      </c>
      <c r="I62" s="268">
        <f t="shared" si="172"/>
        <v>0.42</v>
      </c>
      <c r="J62" s="269">
        <f t="shared" si="173"/>
        <v>7.42</v>
      </c>
      <c r="K62" s="225"/>
      <c r="N62" s="942">
        <f>BY6</f>
        <v>7.42</v>
      </c>
      <c r="O62" s="915" t="str">
        <f>"Miscellaneous for "&amp;TabName7</f>
        <v>Miscellaneous for Phase 7</v>
      </c>
      <c r="P62" s="949" t="s">
        <v>583</v>
      </c>
      <c r="W62" s="915">
        <f t="shared" si="8"/>
        <v>0</v>
      </c>
      <c r="X62" s="915">
        <f t="shared" si="9"/>
        <v>0</v>
      </c>
      <c r="Y62" s="915">
        <f t="shared" si="10"/>
        <v>0</v>
      </c>
      <c r="Z62" s="915">
        <f t="shared" si="13"/>
        <v>0</v>
      </c>
      <c r="AA62" s="915">
        <f t="shared" si="14"/>
        <v>0</v>
      </c>
      <c r="AB62" s="915">
        <f t="shared" si="15"/>
        <v>0</v>
      </c>
      <c r="AC62" s="915">
        <f t="shared" si="16"/>
        <v>0</v>
      </c>
      <c r="AD62" s="915">
        <f t="shared" si="17"/>
        <v>0</v>
      </c>
      <c r="AE62" s="915">
        <f t="shared" si="18"/>
        <v>0</v>
      </c>
      <c r="AF62" s="915">
        <f t="shared" si="19"/>
        <v>0</v>
      </c>
      <c r="AG62" s="915">
        <f t="shared" si="20"/>
        <v>0</v>
      </c>
      <c r="AH62" s="915">
        <f t="shared" si="21"/>
        <v>0</v>
      </c>
      <c r="AI62" s="915">
        <f t="shared" si="22"/>
        <v>0</v>
      </c>
      <c r="AJ62" s="915">
        <f t="shared" si="23"/>
        <v>0</v>
      </c>
      <c r="AK62" s="915">
        <f t="shared" si="24"/>
        <v>0</v>
      </c>
      <c r="AL62" s="915">
        <f t="shared" si="25"/>
        <v>0</v>
      </c>
      <c r="AM62" s="915">
        <f t="shared" si="26"/>
        <v>0</v>
      </c>
      <c r="AN62" s="915">
        <f t="shared" si="27"/>
        <v>0</v>
      </c>
      <c r="AO62" s="915">
        <f t="shared" si="28"/>
        <v>0</v>
      </c>
      <c r="AP62" s="915">
        <f t="shared" si="29"/>
        <v>0</v>
      </c>
      <c r="AQ62" s="915">
        <f t="shared" si="30"/>
        <v>0</v>
      </c>
      <c r="AR62" s="915">
        <f t="shared" si="31"/>
        <v>0</v>
      </c>
      <c r="AS62" s="915">
        <f t="shared" si="32"/>
        <v>0</v>
      </c>
      <c r="AT62" s="915">
        <f t="shared" si="33"/>
        <v>0</v>
      </c>
      <c r="AU62" s="915">
        <f t="shared" si="34"/>
        <v>0</v>
      </c>
      <c r="AV62" s="915">
        <f t="shared" si="35"/>
        <v>0</v>
      </c>
      <c r="AW62" s="915">
        <f t="shared" si="36"/>
        <v>0</v>
      </c>
      <c r="AX62" s="915">
        <f t="shared" si="37"/>
        <v>0</v>
      </c>
      <c r="AY62" s="915">
        <f t="shared" si="38"/>
        <v>0</v>
      </c>
      <c r="AZ62" s="915">
        <f t="shared" si="39"/>
        <v>0</v>
      </c>
      <c r="BA62" s="915">
        <f t="shared" si="40"/>
        <v>0</v>
      </c>
      <c r="BB62" s="915">
        <f t="shared" si="41"/>
        <v>0</v>
      </c>
      <c r="BC62" s="915">
        <f t="shared" si="42"/>
        <v>0</v>
      </c>
      <c r="BD62" s="915">
        <f t="shared" si="43"/>
        <v>0</v>
      </c>
      <c r="BE62" s="915">
        <f t="shared" si="44"/>
        <v>0</v>
      </c>
      <c r="BF62" s="915">
        <f t="shared" si="45"/>
        <v>0</v>
      </c>
      <c r="BG62" s="915">
        <f t="shared" si="46"/>
        <v>0</v>
      </c>
      <c r="BH62" s="915">
        <f t="shared" si="47"/>
        <v>0</v>
      </c>
      <c r="BI62" s="915">
        <f t="shared" si="48"/>
        <v>0</v>
      </c>
      <c r="BJ62" s="915">
        <f t="shared" si="49"/>
        <v>0</v>
      </c>
      <c r="BK62" s="915">
        <f t="shared" si="50"/>
        <v>0</v>
      </c>
      <c r="BL62" s="915">
        <f t="shared" si="51"/>
        <v>0</v>
      </c>
      <c r="BM62" s="915">
        <f t="shared" si="52"/>
        <v>0</v>
      </c>
      <c r="BN62" s="915">
        <f t="shared" si="53"/>
        <v>0</v>
      </c>
      <c r="BO62" s="915">
        <f t="shared" si="54"/>
        <v>0</v>
      </c>
      <c r="BP62" s="915">
        <f t="shared" si="55"/>
        <v>0</v>
      </c>
      <c r="BQ62" s="915">
        <f t="shared" si="56"/>
        <v>0</v>
      </c>
      <c r="BR62" s="915">
        <f t="shared" si="57"/>
        <v>0</v>
      </c>
      <c r="BS62" s="915">
        <f t="shared" si="58"/>
        <v>0</v>
      </c>
      <c r="BT62" s="915">
        <f t="shared" si="59"/>
        <v>0</v>
      </c>
      <c r="BU62" s="915">
        <f t="shared" si="60"/>
        <v>0</v>
      </c>
      <c r="BV62" s="915">
        <f t="shared" si="61"/>
        <v>0</v>
      </c>
      <c r="BW62" s="915">
        <f t="shared" si="62"/>
        <v>0</v>
      </c>
      <c r="BX62" s="915">
        <f t="shared" si="63"/>
        <v>0</v>
      </c>
      <c r="BY62" s="915">
        <f t="shared" si="64"/>
        <v>7.42</v>
      </c>
      <c r="BZ62" s="915">
        <f t="shared" si="65"/>
        <v>0</v>
      </c>
      <c r="CA62" s="915">
        <f t="shared" si="66"/>
        <v>0</v>
      </c>
      <c r="CB62" s="915">
        <f t="shared" si="67"/>
        <v>0</v>
      </c>
      <c r="CC62" s="915">
        <f t="shared" si="68"/>
        <v>0</v>
      </c>
      <c r="CD62" s="915">
        <f t="shared" si="69"/>
        <v>0</v>
      </c>
      <c r="CE62" s="915">
        <f t="shared" si="70"/>
        <v>0</v>
      </c>
      <c r="CF62" s="915">
        <f t="shared" si="71"/>
        <v>0</v>
      </c>
      <c r="CG62" s="915">
        <f t="shared" si="72"/>
        <v>0</v>
      </c>
      <c r="CH62" s="915">
        <f t="shared" si="73"/>
        <v>0</v>
      </c>
      <c r="CI62" s="915">
        <f t="shared" si="74"/>
        <v>0</v>
      </c>
      <c r="CJ62" s="915">
        <f t="shared" si="75"/>
        <v>0</v>
      </c>
      <c r="CK62" s="915">
        <f t="shared" si="76"/>
        <v>0</v>
      </c>
      <c r="CL62" s="915">
        <f t="shared" si="77"/>
        <v>0</v>
      </c>
      <c r="CM62" s="915">
        <f t="shared" si="78"/>
        <v>0</v>
      </c>
      <c r="CN62" s="915">
        <f t="shared" si="79"/>
        <v>0</v>
      </c>
      <c r="CO62" s="915">
        <f t="shared" si="80"/>
        <v>0</v>
      </c>
      <c r="CP62" s="915">
        <f t="shared" si="81"/>
        <v>0</v>
      </c>
      <c r="CQ62" s="915">
        <f t="shared" si="82"/>
        <v>0</v>
      </c>
      <c r="CR62" s="915">
        <f t="shared" si="83"/>
        <v>0</v>
      </c>
      <c r="CS62" s="915">
        <f t="shared" si="84"/>
        <v>0</v>
      </c>
      <c r="CT62" s="915">
        <f t="shared" si="85"/>
        <v>0</v>
      </c>
      <c r="CU62" s="915">
        <f t="shared" si="86"/>
        <v>0</v>
      </c>
      <c r="CV62" s="915">
        <f t="shared" si="87"/>
        <v>0</v>
      </c>
      <c r="CW62" s="915">
        <f t="shared" si="88"/>
        <v>0</v>
      </c>
      <c r="CX62" s="915">
        <f t="shared" si="89"/>
        <v>0</v>
      </c>
      <c r="CY62" s="915">
        <f t="shared" si="90"/>
        <v>0</v>
      </c>
      <c r="CZ62" s="915">
        <f t="shared" si="91"/>
        <v>0</v>
      </c>
      <c r="DA62" s="915">
        <f t="shared" si="92"/>
        <v>0</v>
      </c>
      <c r="DB62" s="915">
        <f t="shared" si="93"/>
        <v>0</v>
      </c>
      <c r="DC62" s="915">
        <f t="shared" si="94"/>
        <v>0</v>
      </c>
      <c r="DD62" s="915">
        <f t="shared" si="95"/>
        <v>0</v>
      </c>
      <c r="DE62" s="915">
        <f t="shared" si="96"/>
        <v>0</v>
      </c>
      <c r="DF62" s="915">
        <f t="shared" si="97"/>
        <v>0</v>
      </c>
      <c r="DG62" s="915">
        <f t="shared" si="98"/>
        <v>0</v>
      </c>
      <c r="DH62" s="915">
        <f t="shared" si="99"/>
        <v>0</v>
      </c>
      <c r="DI62" s="915">
        <f t="shared" si="100"/>
        <v>0</v>
      </c>
      <c r="DJ62" s="915">
        <f t="shared" si="101"/>
        <v>0</v>
      </c>
      <c r="DK62" s="915">
        <f t="shared" si="102"/>
        <v>0</v>
      </c>
      <c r="DL62" s="915">
        <f t="shared" si="103"/>
        <v>0</v>
      </c>
      <c r="DM62" s="915">
        <f t="shared" si="104"/>
        <v>0</v>
      </c>
      <c r="DN62" s="915">
        <f t="shared" si="105"/>
        <v>0</v>
      </c>
      <c r="DO62" s="915">
        <f t="shared" si="106"/>
        <v>0</v>
      </c>
      <c r="DP62" s="915">
        <f t="shared" si="107"/>
        <v>0</v>
      </c>
      <c r="DQ62" s="915">
        <f t="shared" si="108"/>
        <v>0</v>
      </c>
      <c r="DR62" s="915">
        <f t="shared" si="109"/>
        <v>0</v>
      </c>
      <c r="DS62" s="915">
        <f t="shared" si="110"/>
        <v>0</v>
      </c>
      <c r="DT62" s="915">
        <f t="shared" si="111"/>
        <v>0</v>
      </c>
      <c r="DU62" s="915">
        <f t="shared" si="112"/>
        <v>0</v>
      </c>
      <c r="DV62" s="915">
        <f t="shared" si="113"/>
        <v>0</v>
      </c>
      <c r="DW62" s="915">
        <f t="shared" si="114"/>
        <v>0</v>
      </c>
      <c r="DX62" s="915">
        <f t="shared" si="115"/>
        <v>0</v>
      </c>
      <c r="DY62" s="915">
        <f t="shared" si="116"/>
        <v>0</v>
      </c>
      <c r="DZ62" s="915">
        <f t="shared" si="117"/>
        <v>0</v>
      </c>
      <c r="EA62" s="915">
        <f t="shared" si="118"/>
        <v>0</v>
      </c>
      <c r="EB62" s="915">
        <f t="shared" si="119"/>
        <v>0</v>
      </c>
      <c r="EC62" s="915">
        <f t="shared" si="120"/>
        <v>0</v>
      </c>
      <c r="ED62" s="915">
        <f t="shared" si="121"/>
        <v>0</v>
      </c>
      <c r="EE62" s="915">
        <f t="shared" si="122"/>
        <v>0</v>
      </c>
      <c r="EF62" s="915">
        <f t="shared" si="123"/>
        <v>0</v>
      </c>
      <c r="EG62" s="915">
        <f t="shared" si="124"/>
        <v>0</v>
      </c>
      <c r="EH62" s="915">
        <f t="shared" si="125"/>
        <v>0</v>
      </c>
      <c r="EI62" s="915">
        <f t="shared" si="126"/>
        <v>0</v>
      </c>
      <c r="EJ62" s="915">
        <f t="shared" si="127"/>
        <v>0</v>
      </c>
      <c r="EK62" s="915">
        <f t="shared" si="128"/>
        <v>0</v>
      </c>
      <c r="EL62" s="915">
        <f t="shared" si="129"/>
        <v>0</v>
      </c>
      <c r="EM62" s="915">
        <f t="shared" si="130"/>
        <v>0</v>
      </c>
      <c r="EN62" s="915">
        <f t="shared" si="131"/>
        <v>0</v>
      </c>
      <c r="EO62" s="915">
        <f t="shared" si="132"/>
        <v>0</v>
      </c>
      <c r="EP62" s="915">
        <f t="shared" si="133"/>
        <v>0</v>
      </c>
      <c r="EQ62" s="915">
        <f t="shared" si="134"/>
        <v>0</v>
      </c>
      <c r="ER62" s="915">
        <f t="shared" si="135"/>
        <v>0</v>
      </c>
      <c r="ES62" s="915">
        <f t="shared" si="136"/>
        <v>0</v>
      </c>
      <c r="ET62" s="915">
        <f t="shared" si="137"/>
        <v>0</v>
      </c>
      <c r="EU62" s="915">
        <f t="shared" si="138"/>
        <v>0</v>
      </c>
      <c r="EV62" s="915">
        <f t="shared" si="139"/>
        <v>0</v>
      </c>
      <c r="EW62" s="915">
        <f t="shared" si="140"/>
        <v>0</v>
      </c>
      <c r="EX62" s="915">
        <f t="shared" si="141"/>
        <v>0</v>
      </c>
      <c r="EY62" s="915">
        <f t="shared" si="142"/>
        <v>0</v>
      </c>
      <c r="EZ62" s="915">
        <f t="shared" si="143"/>
        <v>0</v>
      </c>
      <c r="FA62" s="915">
        <f t="shared" si="144"/>
        <v>0</v>
      </c>
      <c r="FB62" s="915">
        <f t="shared" si="145"/>
        <v>0</v>
      </c>
      <c r="FC62" s="915">
        <f t="shared" si="146"/>
        <v>0</v>
      </c>
      <c r="FD62" s="915">
        <f t="shared" si="147"/>
        <v>0</v>
      </c>
      <c r="FE62" s="915">
        <f t="shared" si="148"/>
        <v>0</v>
      </c>
      <c r="FF62" s="915">
        <f t="shared" si="149"/>
        <v>0</v>
      </c>
      <c r="FG62" s="915">
        <f t="shared" si="150"/>
        <v>0</v>
      </c>
      <c r="FH62" s="915">
        <f t="shared" si="151"/>
        <v>0</v>
      </c>
      <c r="FI62" s="915">
        <f t="shared" si="152"/>
        <v>0</v>
      </c>
      <c r="FJ62" s="915">
        <f t="shared" si="153"/>
        <v>0</v>
      </c>
      <c r="FK62" s="915">
        <f t="shared" si="154"/>
        <v>0</v>
      </c>
      <c r="FL62" s="915">
        <f t="shared" si="155"/>
        <v>0</v>
      </c>
      <c r="FM62" s="915">
        <f t="shared" si="156"/>
        <v>0</v>
      </c>
      <c r="FN62" s="915">
        <f t="shared" si="157"/>
        <v>0</v>
      </c>
      <c r="FO62" s="915">
        <f t="shared" si="158"/>
        <v>0</v>
      </c>
      <c r="FP62" s="915">
        <f t="shared" si="159"/>
        <v>0</v>
      </c>
      <c r="FQ62" s="915">
        <f t="shared" si="160"/>
        <v>0</v>
      </c>
      <c r="FR62" s="915">
        <f t="shared" si="161"/>
        <v>0</v>
      </c>
      <c r="FS62" s="915">
        <f t="shared" si="162"/>
        <v>0</v>
      </c>
      <c r="FT62" s="915">
        <f t="shared" si="163"/>
        <v>0</v>
      </c>
      <c r="FU62" s="915">
        <f t="shared" si="164"/>
        <v>0</v>
      </c>
      <c r="FV62" s="915">
        <f t="shared" si="165"/>
        <v>0</v>
      </c>
      <c r="FW62" s="915">
        <f t="shared" si="166"/>
        <v>0</v>
      </c>
      <c r="FX62" s="915">
        <f t="shared" si="167"/>
        <v>0</v>
      </c>
      <c r="FY62" s="915">
        <f t="shared" si="168"/>
        <v>0</v>
      </c>
      <c r="FZ62" s="915">
        <f t="shared" si="169"/>
        <v>0</v>
      </c>
    </row>
    <row r="63" spans="1:182" x14ac:dyDescent="0.2">
      <c r="A63" s="497">
        <v>56</v>
      </c>
      <c r="B63" s="1423"/>
      <c r="C63" s="1424"/>
      <c r="D63" s="138">
        <v>7</v>
      </c>
      <c r="E63" s="138" t="s">
        <v>27</v>
      </c>
      <c r="F63" s="139" t="s">
        <v>2544</v>
      </c>
      <c r="G63" s="139" t="s">
        <v>2542</v>
      </c>
      <c r="H63" s="100">
        <v>7</v>
      </c>
      <c r="I63" s="119">
        <f t="shared" ref="I63:I90" si="174">IF(ISTEXT(K63),0,StateTaxSub*G63*H63)</f>
        <v>0.42</v>
      </c>
      <c r="J63" s="90">
        <f t="shared" ref="J63:J90" si="175">(G63*H63)+I63</f>
        <v>7.42</v>
      </c>
      <c r="K63" s="225"/>
      <c r="N63" s="942">
        <f>BZ6</f>
        <v>7.42</v>
      </c>
      <c r="O63" s="879" t="str">
        <f>"Contractor Labor for " &amp; TabName7</f>
        <v>Contractor Labor for Phase 7</v>
      </c>
      <c r="P63" s="950" t="s">
        <v>584</v>
      </c>
      <c r="W63" s="915">
        <f t="shared" si="8"/>
        <v>0</v>
      </c>
      <c r="X63" s="915">
        <f t="shared" si="9"/>
        <v>0</v>
      </c>
      <c r="Y63" s="915">
        <f t="shared" si="10"/>
        <v>0</v>
      </c>
      <c r="Z63" s="915">
        <f t="shared" si="13"/>
        <v>0</v>
      </c>
      <c r="AA63" s="915">
        <f t="shared" si="14"/>
        <v>0</v>
      </c>
      <c r="AB63" s="915">
        <f t="shared" si="15"/>
        <v>0</v>
      </c>
      <c r="AC63" s="915">
        <f t="shared" si="16"/>
        <v>0</v>
      </c>
      <c r="AD63" s="915">
        <f t="shared" si="17"/>
        <v>0</v>
      </c>
      <c r="AE63" s="915">
        <f t="shared" si="18"/>
        <v>0</v>
      </c>
      <c r="AF63" s="915">
        <f t="shared" si="19"/>
        <v>0</v>
      </c>
      <c r="AG63" s="915">
        <f t="shared" si="20"/>
        <v>0</v>
      </c>
      <c r="AH63" s="915">
        <f t="shared" si="21"/>
        <v>0</v>
      </c>
      <c r="AI63" s="915">
        <f t="shared" si="22"/>
        <v>0</v>
      </c>
      <c r="AJ63" s="915">
        <f t="shared" si="23"/>
        <v>0</v>
      </c>
      <c r="AK63" s="915">
        <f t="shared" si="24"/>
        <v>0</v>
      </c>
      <c r="AL63" s="915">
        <f t="shared" si="25"/>
        <v>0</v>
      </c>
      <c r="AM63" s="915">
        <f t="shared" si="26"/>
        <v>0</v>
      </c>
      <c r="AN63" s="915">
        <f t="shared" si="27"/>
        <v>0</v>
      </c>
      <c r="AO63" s="915">
        <f t="shared" si="28"/>
        <v>0</v>
      </c>
      <c r="AP63" s="915">
        <f t="shared" si="29"/>
        <v>0</v>
      </c>
      <c r="AQ63" s="915">
        <f t="shared" si="30"/>
        <v>0</v>
      </c>
      <c r="AR63" s="915">
        <f t="shared" si="31"/>
        <v>0</v>
      </c>
      <c r="AS63" s="915">
        <f t="shared" si="32"/>
        <v>0</v>
      </c>
      <c r="AT63" s="915">
        <f t="shared" si="33"/>
        <v>0</v>
      </c>
      <c r="AU63" s="915">
        <f t="shared" si="34"/>
        <v>0</v>
      </c>
      <c r="AV63" s="915">
        <f t="shared" si="35"/>
        <v>0</v>
      </c>
      <c r="AW63" s="915">
        <f t="shared" si="36"/>
        <v>0</v>
      </c>
      <c r="AX63" s="915">
        <f t="shared" si="37"/>
        <v>0</v>
      </c>
      <c r="AY63" s="915">
        <f t="shared" si="38"/>
        <v>0</v>
      </c>
      <c r="AZ63" s="915">
        <f t="shared" si="39"/>
        <v>0</v>
      </c>
      <c r="BA63" s="915">
        <f t="shared" si="40"/>
        <v>0</v>
      </c>
      <c r="BB63" s="915">
        <f t="shared" si="41"/>
        <v>0</v>
      </c>
      <c r="BC63" s="915">
        <f t="shared" si="42"/>
        <v>0</v>
      </c>
      <c r="BD63" s="915">
        <f t="shared" si="43"/>
        <v>0</v>
      </c>
      <c r="BE63" s="915">
        <f t="shared" si="44"/>
        <v>0</v>
      </c>
      <c r="BF63" s="915">
        <f t="shared" si="45"/>
        <v>0</v>
      </c>
      <c r="BG63" s="915">
        <f t="shared" si="46"/>
        <v>0</v>
      </c>
      <c r="BH63" s="915">
        <f t="shared" si="47"/>
        <v>0</v>
      </c>
      <c r="BI63" s="915">
        <f t="shared" si="48"/>
        <v>0</v>
      </c>
      <c r="BJ63" s="915">
        <f t="shared" si="49"/>
        <v>0</v>
      </c>
      <c r="BK63" s="915">
        <f t="shared" si="50"/>
        <v>0</v>
      </c>
      <c r="BL63" s="915">
        <f t="shared" si="51"/>
        <v>0</v>
      </c>
      <c r="BM63" s="915">
        <f t="shared" si="52"/>
        <v>0</v>
      </c>
      <c r="BN63" s="915">
        <f t="shared" si="53"/>
        <v>0</v>
      </c>
      <c r="BO63" s="915">
        <f t="shared" si="54"/>
        <v>0</v>
      </c>
      <c r="BP63" s="915">
        <f t="shared" si="55"/>
        <v>0</v>
      </c>
      <c r="BQ63" s="915">
        <f t="shared" si="56"/>
        <v>0</v>
      </c>
      <c r="BR63" s="915">
        <f t="shared" si="57"/>
        <v>0</v>
      </c>
      <c r="BS63" s="915">
        <f t="shared" si="58"/>
        <v>0</v>
      </c>
      <c r="BT63" s="915">
        <f t="shared" si="59"/>
        <v>0</v>
      </c>
      <c r="BU63" s="915">
        <f t="shared" si="60"/>
        <v>0</v>
      </c>
      <c r="BV63" s="915">
        <f t="shared" si="61"/>
        <v>0</v>
      </c>
      <c r="BW63" s="915">
        <f t="shared" si="62"/>
        <v>0</v>
      </c>
      <c r="BX63" s="915">
        <f t="shared" si="63"/>
        <v>0</v>
      </c>
      <c r="BY63" s="915">
        <f t="shared" si="64"/>
        <v>0</v>
      </c>
      <c r="BZ63" s="915">
        <f t="shared" si="65"/>
        <v>7.42</v>
      </c>
      <c r="CA63" s="915">
        <f t="shared" si="66"/>
        <v>0</v>
      </c>
      <c r="CB63" s="915">
        <f t="shared" si="67"/>
        <v>0</v>
      </c>
      <c r="CC63" s="915">
        <f t="shared" si="68"/>
        <v>0</v>
      </c>
      <c r="CD63" s="915">
        <f t="shared" si="69"/>
        <v>0</v>
      </c>
      <c r="CE63" s="915">
        <f t="shared" si="70"/>
        <v>0</v>
      </c>
      <c r="CF63" s="915">
        <f t="shared" si="71"/>
        <v>0</v>
      </c>
      <c r="CG63" s="915">
        <f t="shared" si="72"/>
        <v>0</v>
      </c>
      <c r="CH63" s="915">
        <f t="shared" si="73"/>
        <v>0</v>
      </c>
      <c r="CI63" s="915">
        <f t="shared" si="74"/>
        <v>0</v>
      </c>
      <c r="CJ63" s="915">
        <f t="shared" si="75"/>
        <v>0</v>
      </c>
      <c r="CK63" s="915">
        <f t="shared" si="76"/>
        <v>0</v>
      </c>
      <c r="CL63" s="915">
        <f t="shared" si="77"/>
        <v>0</v>
      </c>
      <c r="CM63" s="915">
        <f t="shared" si="78"/>
        <v>0</v>
      </c>
      <c r="CN63" s="915">
        <f t="shared" si="79"/>
        <v>0</v>
      </c>
      <c r="CO63" s="915">
        <f t="shared" si="80"/>
        <v>0</v>
      </c>
      <c r="CP63" s="915">
        <f t="shared" si="81"/>
        <v>0</v>
      </c>
      <c r="CQ63" s="915">
        <f t="shared" si="82"/>
        <v>0</v>
      </c>
      <c r="CR63" s="915">
        <f t="shared" si="83"/>
        <v>0</v>
      </c>
      <c r="CS63" s="915">
        <f t="shared" si="84"/>
        <v>0</v>
      </c>
      <c r="CT63" s="915">
        <f t="shared" si="85"/>
        <v>0</v>
      </c>
      <c r="CU63" s="915">
        <f t="shared" si="86"/>
        <v>0</v>
      </c>
      <c r="CV63" s="915">
        <f t="shared" si="87"/>
        <v>0</v>
      </c>
      <c r="CW63" s="915">
        <f t="shared" si="88"/>
        <v>0</v>
      </c>
      <c r="CX63" s="915">
        <f t="shared" si="89"/>
        <v>0</v>
      </c>
      <c r="CY63" s="915">
        <f t="shared" si="90"/>
        <v>0</v>
      </c>
      <c r="CZ63" s="915">
        <f t="shared" si="91"/>
        <v>0</v>
      </c>
      <c r="DA63" s="915">
        <f t="shared" si="92"/>
        <v>0</v>
      </c>
      <c r="DB63" s="915">
        <f t="shared" si="93"/>
        <v>0</v>
      </c>
      <c r="DC63" s="915">
        <f t="shared" si="94"/>
        <v>0</v>
      </c>
      <c r="DD63" s="915">
        <f t="shared" si="95"/>
        <v>0</v>
      </c>
      <c r="DE63" s="915">
        <f t="shared" si="96"/>
        <v>0</v>
      </c>
      <c r="DF63" s="915">
        <f t="shared" si="97"/>
        <v>0</v>
      </c>
      <c r="DG63" s="915">
        <f t="shared" si="98"/>
        <v>0</v>
      </c>
      <c r="DH63" s="915">
        <f t="shared" si="99"/>
        <v>0</v>
      </c>
      <c r="DI63" s="915">
        <f t="shared" si="100"/>
        <v>0</v>
      </c>
      <c r="DJ63" s="915">
        <f t="shared" si="101"/>
        <v>0</v>
      </c>
      <c r="DK63" s="915">
        <f t="shared" si="102"/>
        <v>0</v>
      </c>
      <c r="DL63" s="915">
        <f t="shared" si="103"/>
        <v>0</v>
      </c>
      <c r="DM63" s="915">
        <f t="shared" si="104"/>
        <v>0</v>
      </c>
      <c r="DN63" s="915">
        <f t="shared" si="105"/>
        <v>0</v>
      </c>
      <c r="DO63" s="915">
        <f t="shared" si="106"/>
        <v>0</v>
      </c>
      <c r="DP63" s="915">
        <f t="shared" si="107"/>
        <v>0</v>
      </c>
      <c r="DQ63" s="915">
        <f t="shared" si="108"/>
        <v>0</v>
      </c>
      <c r="DR63" s="915">
        <f t="shared" si="109"/>
        <v>0</v>
      </c>
      <c r="DS63" s="915">
        <f t="shared" si="110"/>
        <v>0</v>
      </c>
      <c r="DT63" s="915">
        <f t="shared" si="111"/>
        <v>0</v>
      </c>
      <c r="DU63" s="915">
        <f t="shared" si="112"/>
        <v>0</v>
      </c>
      <c r="DV63" s="915">
        <f t="shared" si="113"/>
        <v>0</v>
      </c>
      <c r="DW63" s="915">
        <f t="shared" si="114"/>
        <v>0</v>
      </c>
      <c r="DX63" s="915">
        <f t="shared" si="115"/>
        <v>0</v>
      </c>
      <c r="DY63" s="915">
        <f t="shared" si="116"/>
        <v>0</v>
      </c>
      <c r="DZ63" s="915">
        <f t="shared" si="117"/>
        <v>0</v>
      </c>
      <c r="EA63" s="915">
        <f t="shared" si="118"/>
        <v>0</v>
      </c>
      <c r="EB63" s="915">
        <f t="shared" si="119"/>
        <v>0</v>
      </c>
      <c r="EC63" s="915">
        <f t="shared" si="120"/>
        <v>0</v>
      </c>
      <c r="ED63" s="915">
        <f t="shared" si="121"/>
        <v>0</v>
      </c>
      <c r="EE63" s="915">
        <f t="shared" si="122"/>
        <v>0</v>
      </c>
      <c r="EF63" s="915">
        <f t="shared" si="123"/>
        <v>0</v>
      </c>
      <c r="EG63" s="915">
        <f t="shared" si="124"/>
        <v>0</v>
      </c>
      <c r="EH63" s="915">
        <f t="shared" si="125"/>
        <v>0</v>
      </c>
      <c r="EI63" s="915">
        <f t="shared" si="126"/>
        <v>0</v>
      </c>
      <c r="EJ63" s="915">
        <f t="shared" si="127"/>
        <v>0</v>
      </c>
      <c r="EK63" s="915">
        <f t="shared" si="128"/>
        <v>0</v>
      </c>
      <c r="EL63" s="915">
        <f t="shared" si="129"/>
        <v>0</v>
      </c>
      <c r="EM63" s="915">
        <f t="shared" si="130"/>
        <v>0</v>
      </c>
      <c r="EN63" s="915">
        <f t="shared" si="131"/>
        <v>0</v>
      </c>
      <c r="EO63" s="915">
        <f t="shared" si="132"/>
        <v>0</v>
      </c>
      <c r="EP63" s="915">
        <f t="shared" si="133"/>
        <v>0</v>
      </c>
      <c r="EQ63" s="915">
        <f t="shared" si="134"/>
        <v>0</v>
      </c>
      <c r="ER63" s="915">
        <f t="shared" si="135"/>
        <v>0</v>
      </c>
      <c r="ES63" s="915">
        <f t="shared" si="136"/>
        <v>0</v>
      </c>
      <c r="ET63" s="915">
        <f t="shared" si="137"/>
        <v>0</v>
      </c>
      <c r="EU63" s="915">
        <f t="shared" si="138"/>
        <v>0</v>
      </c>
      <c r="EV63" s="915">
        <f t="shared" si="139"/>
        <v>0</v>
      </c>
      <c r="EW63" s="915">
        <f t="shared" si="140"/>
        <v>0</v>
      </c>
      <c r="EX63" s="915">
        <f t="shared" si="141"/>
        <v>0</v>
      </c>
      <c r="EY63" s="915">
        <f t="shared" si="142"/>
        <v>0</v>
      </c>
      <c r="EZ63" s="915">
        <f t="shared" si="143"/>
        <v>0</v>
      </c>
      <c r="FA63" s="915">
        <f t="shared" si="144"/>
        <v>0</v>
      </c>
      <c r="FB63" s="915">
        <f t="shared" si="145"/>
        <v>0</v>
      </c>
      <c r="FC63" s="915">
        <f t="shared" si="146"/>
        <v>0</v>
      </c>
      <c r="FD63" s="915">
        <f t="shared" si="147"/>
        <v>0</v>
      </c>
      <c r="FE63" s="915">
        <f t="shared" si="148"/>
        <v>0</v>
      </c>
      <c r="FF63" s="915">
        <f t="shared" si="149"/>
        <v>0</v>
      </c>
      <c r="FG63" s="915">
        <f t="shared" si="150"/>
        <v>0</v>
      </c>
      <c r="FH63" s="915">
        <f t="shared" si="151"/>
        <v>0</v>
      </c>
      <c r="FI63" s="915">
        <f t="shared" si="152"/>
        <v>0</v>
      </c>
      <c r="FJ63" s="915">
        <f t="shared" si="153"/>
        <v>0</v>
      </c>
      <c r="FK63" s="915">
        <f t="shared" si="154"/>
        <v>0</v>
      </c>
      <c r="FL63" s="915">
        <f t="shared" si="155"/>
        <v>0</v>
      </c>
      <c r="FM63" s="915">
        <f t="shared" si="156"/>
        <v>0</v>
      </c>
      <c r="FN63" s="915">
        <f t="shared" si="157"/>
        <v>0</v>
      </c>
      <c r="FO63" s="915">
        <f t="shared" si="158"/>
        <v>0</v>
      </c>
      <c r="FP63" s="915">
        <f t="shared" si="159"/>
        <v>0</v>
      </c>
      <c r="FQ63" s="915">
        <f t="shared" si="160"/>
        <v>0</v>
      </c>
      <c r="FR63" s="915">
        <f t="shared" si="161"/>
        <v>0</v>
      </c>
      <c r="FS63" s="915">
        <f t="shared" si="162"/>
        <v>0</v>
      </c>
      <c r="FT63" s="915">
        <f t="shared" si="163"/>
        <v>0</v>
      </c>
      <c r="FU63" s="915">
        <f t="shared" si="164"/>
        <v>0</v>
      </c>
      <c r="FV63" s="915">
        <f t="shared" si="165"/>
        <v>0</v>
      </c>
      <c r="FW63" s="915">
        <f t="shared" si="166"/>
        <v>0</v>
      </c>
      <c r="FX63" s="915">
        <f t="shared" si="167"/>
        <v>0</v>
      </c>
      <c r="FY63" s="915">
        <f t="shared" si="168"/>
        <v>0</v>
      </c>
      <c r="FZ63" s="915">
        <f t="shared" si="169"/>
        <v>0</v>
      </c>
    </row>
    <row r="64" spans="1:182" x14ac:dyDescent="0.2">
      <c r="A64" s="496">
        <v>57</v>
      </c>
      <c r="B64" s="1419"/>
      <c r="C64" s="1433"/>
      <c r="D64" s="264">
        <v>8</v>
      </c>
      <c r="E64" s="264" t="s">
        <v>193</v>
      </c>
      <c r="F64" s="270" t="s">
        <v>2544</v>
      </c>
      <c r="G64" s="270" t="s">
        <v>2542</v>
      </c>
      <c r="H64" s="272">
        <v>7</v>
      </c>
      <c r="I64" s="268">
        <f t="shared" si="174"/>
        <v>0.42</v>
      </c>
      <c r="J64" s="269">
        <f t="shared" si="175"/>
        <v>7.42</v>
      </c>
      <c r="K64" s="225"/>
      <c r="N64" s="942">
        <f>CA6</f>
        <v>7.42</v>
      </c>
      <c r="O64" s="915" t="str">
        <f>"Boring/Monitoring Wells for "&amp;TabName8</f>
        <v>Boring/Monitoring Wells for Phase 8</v>
      </c>
      <c r="P64" s="949" t="s">
        <v>569</v>
      </c>
      <c r="W64" s="915">
        <f t="shared" si="8"/>
        <v>0</v>
      </c>
      <c r="X64" s="915">
        <f t="shared" si="9"/>
        <v>0</v>
      </c>
      <c r="Y64" s="915">
        <f t="shared" si="10"/>
        <v>0</v>
      </c>
      <c r="Z64" s="915">
        <f t="shared" si="13"/>
        <v>0</v>
      </c>
      <c r="AA64" s="915">
        <f t="shared" si="14"/>
        <v>0</v>
      </c>
      <c r="AB64" s="915">
        <f t="shared" si="15"/>
        <v>0</v>
      </c>
      <c r="AC64" s="915">
        <f t="shared" si="16"/>
        <v>0</v>
      </c>
      <c r="AD64" s="915">
        <f t="shared" si="17"/>
        <v>0</v>
      </c>
      <c r="AE64" s="915">
        <f t="shared" si="18"/>
        <v>0</v>
      </c>
      <c r="AF64" s="915">
        <f t="shared" si="19"/>
        <v>0</v>
      </c>
      <c r="AG64" s="915">
        <f t="shared" si="20"/>
        <v>0</v>
      </c>
      <c r="AH64" s="915">
        <f t="shared" si="21"/>
        <v>0</v>
      </c>
      <c r="AI64" s="915">
        <f t="shared" si="22"/>
        <v>0</v>
      </c>
      <c r="AJ64" s="915">
        <f t="shared" si="23"/>
        <v>0</v>
      </c>
      <c r="AK64" s="915">
        <f t="shared" si="24"/>
        <v>0</v>
      </c>
      <c r="AL64" s="915">
        <f t="shared" si="25"/>
        <v>0</v>
      </c>
      <c r="AM64" s="915">
        <f t="shared" si="26"/>
        <v>0</v>
      </c>
      <c r="AN64" s="915">
        <f t="shared" si="27"/>
        <v>0</v>
      </c>
      <c r="AO64" s="915">
        <f t="shared" si="28"/>
        <v>0</v>
      </c>
      <c r="AP64" s="915">
        <f t="shared" si="29"/>
        <v>0</v>
      </c>
      <c r="AQ64" s="915">
        <f t="shared" si="30"/>
        <v>0</v>
      </c>
      <c r="AR64" s="915">
        <f t="shared" si="31"/>
        <v>0</v>
      </c>
      <c r="AS64" s="915">
        <f t="shared" si="32"/>
        <v>0</v>
      </c>
      <c r="AT64" s="915">
        <f t="shared" si="33"/>
        <v>0</v>
      </c>
      <c r="AU64" s="915">
        <f t="shared" si="34"/>
        <v>0</v>
      </c>
      <c r="AV64" s="915">
        <f t="shared" si="35"/>
        <v>0</v>
      </c>
      <c r="AW64" s="915">
        <f t="shared" si="36"/>
        <v>0</v>
      </c>
      <c r="AX64" s="915">
        <f t="shared" si="37"/>
        <v>0</v>
      </c>
      <c r="AY64" s="915">
        <f t="shared" si="38"/>
        <v>0</v>
      </c>
      <c r="AZ64" s="915">
        <f t="shared" si="39"/>
        <v>0</v>
      </c>
      <c r="BA64" s="915">
        <f t="shared" si="40"/>
        <v>0</v>
      </c>
      <c r="BB64" s="915">
        <f t="shared" si="41"/>
        <v>0</v>
      </c>
      <c r="BC64" s="915">
        <f t="shared" si="42"/>
        <v>0</v>
      </c>
      <c r="BD64" s="915">
        <f t="shared" si="43"/>
        <v>0</v>
      </c>
      <c r="BE64" s="915">
        <f t="shared" si="44"/>
        <v>0</v>
      </c>
      <c r="BF64" s="915">
        <f t="shared" si="45"/>
        <v>0</v>
      </c>
      <c r="BG64" s="915">
        <f t="shared" si="46"/>
        <v>0</v>
      </c>
      <c r="BH64" s="915">
        <f t="shared" si="47"/>
        <v>0</v>
      </c>
      <c r="BI64" s="915">
        <f t="shared" si="48"/>
        <v>0</v>
      </c>
      <c r="BJ64" s="915">
        <f t="shared" si="49"/>
        <v>0</v>
      </c>
      <c r="BK64" s="915">
        <f t="shared" si="50"/>
        <v>0</v>
      </c>
      <c r="BL64" s="915">
        <f t="shared" si="51"/>
        <v>0</v>
      </c>
      <c r="BM64" s="915">
        <f t="shared" si="52"/>
        <v>0</v>
      </c>
      <c r="BN64" s="915">
        <f t="shared" si="53"/>
        <v>0</v>
      </c>
      <c r="BO64" s="915">
        <f t="shared" si="54"/>
        <v>0</v>
      </c>
      <c r="BP64" s="915">
        <f t="shared" si="55"/>
        <v>0</v>
      </c>
      <c r="BQ64" s="915">
        <f t="shared" si="56"/>
        <v>0</v>
      </c>
      <c r="BR64" s="915">
        <f t="shared" si="57"/>
        <v>0</v>
      </c>
      <c r="BS64" s="915">
        <f t="shared" si="58"/>
        <v>0</v>
      </c>
      <c r="BT64" s="915">
        <f t="shared" si="59"/>
        <v>0</v>
      </c>
      <c r="BU64" s="915">
        <f t="shared" si="60"/>
        <v>0</v>
      </c>
      <c r="BV64" s="915">
        <f t="shared" si="61"/>
        <v>0</v>
      </c>
      <c r="BW64" s="915">
        <f t="shared" si="62"/>
        <v>0</v>
      </c>
      <c r="BX64" s="915">
        <f t="shared" si="63"/>
        <v>0</v>
      </c>
      <c r="BY64" s="915">
        <f t="shared" si="64"/>
        <v>0</v>
      </c>
      <c r="BZ64" s="915">
        <f t="shared" si="65"/>
        <v>0</v>
      </c>
      <c r="CA64" s="915">
        <f t="shared" si="66"/>
        <v>7.42</v>
      </c>
      <c r="CB64" s="915">
        <f t="shared" si="67"/>
        <v>0</v>
      </c>
      <c r="CC64" s="915">
        <f t="shared" si="68"/>
        <v>0</v>
      </c>
      <c r="CD64" s="915">
        <f t="shared" si="69"/>
        <v>0</v>
      </c>
      <c r="CE64" s="915">
        <f t="shared" si="70"/>
        <v>0</v>
      </c>
      <c r="CF64" s="915">
        <f t="shared" si="71"/>
        <v>0</v>
      </c>
      <c r="CG64" s="915">
        <f t="shared" si="72"/>
        <v>0</v>
      </c>
      <c r="CH64" s="915">
        <f t="shared" si="73"/>
        <v>0</v>
      </c>
      <c r="CI64" s="915">
        <f t="shared" si="74"/>
        <v>0</v>
      </c>
      <c r="CJ64" s="915">
        <f t="shared" si="75"/>
        <v>0</v>
      </c>
      <c r="CK64" s="915">
        <f t="shared" si="76"/>
        <v>0</v>
      </c>
      <c r="CL64" s="915">
        <f t="shared" si="77"/>
        <v>0</v>
      </c>
      <c r="CM64" s="915">
        <f t="shared" si="78"/>
        <v>0</v>
      </c>
      <c r="CN64" s="915">
        <f t="shared" si="79"/>
        <v>0</v>
      </c>
      <c r="CO64" s="915">
        <f t="shared" si="80"/>
        <v>0</v>
      </c>
      <c r="CP64" s="915">
        <f t="shared" si="81"/>
        <v>0</v>
      </c>
      <c r="CQ64" s="915">
        <f t="shared" si="82"/>
        <v>0</v>
      </c>
      <c r="CR64" s="915">
        <f t="shared" si="83"/>
        <v>0</v>
      </c>
      <c r="CS64" s="915">
        <f t="shared" si="84"/>
        <v>0</v>
      </c>
      <c r="CT64" s="915">
        <f t="shared" si="85"/>
        <v>0</v>
      </c>
      <c r="CU64" s="915">
        <f t="shared" si="86"/>
        <v>0</v>
      </c>
      <c r="CV64" s="915">
        <f t="shared" si="87"/>
        <v>0</v>
      </c>
      <c r="CW64" s="915">
        <f t="shared" si="88"/>
        <v>0</v>
      </c>
      <c r="CX64" s="915">
        <f t="shared" si="89"/>
        <v>0</v>
      </c>
      <c r="CY64" s="915">
        <f t="shared" si="90"/>
        <v>0</v>
      </c>
      <c r="CZ64" s="915">
        <f t="shared" si="91"/>
        <v>0</v>
      </c>
      <c r="DA64" s="915">
        <f t="shared" si="92"/>
        <v>0</v>
      </c>
      <c r="DB64" s="915">
        <f t="shared" si="93"/>
        <v>0</v>
      </c>
      <c r="DC64" s="915">
        <f t="shared" si="94"/>
        <v>0</v>
      </c>
      <c r="DD64" s="915">
        <f t="shared" si="95"/>
        <v>0</v>
      </c>
      <c r="DE64" s="915">
        <f t="shared" si="96"/>
        <v>0</v>
      </c>
      <c r="DF64" s="915">
        <f t="shared" si="97"/>
        <v>0</v>
      </c>
      <c r="DG64" s="915">
        <f t="shared" si="98"/>
        <v>0</v>
      </c>
      <c r="DH64" s="915">
        <f t="shared" si="99"/>
        <v>0</v>
      </c>
      <c r="DI64" s="915">
        <f t="shared" si="100"/>
        <v>0</v>
      </c>
      <c r="DJ64" s="915">
        <f t="shared" si="101"/>
        <v>0</v>
      </c>
      <c r="DK64" s="915">
        <f t="shared" si="102"/>
        <v>0</v>
      </c>
      <c r="DL64" s="915">
        <f t="shared" si="103"/>
        <v>0</v>
      </c>
      <c r="DM64" s="915">
        <f t="shared" si="104"/>
        <v>0</v>
      </c>
      <c r="DN64" s="915">
        <f t="shared" si="105"/>
        <v>0</v>
      </c>
      <c r="DO64" s="915">
        <f t="shared" si="106"/>
        <v>0</v>
      </c>
      <c r="DP64" s="915">
        <f t="shared" si="107"/>
        <v>0</v>
      </c>
      <c r="DQ64" s="915">
        <f t="shared" si="108"/>
        <v>0</v>
      </c>
      <c r="DR64" s="915">
        <f t="shared" si="109"/>
        <v>0</v>
      </c>
      <c r="DS64" s="915">
        <f t="shared" si="110"/>
        <v>0</v>
      </c>
      <c r="DT64" s="915">
        <f t="shared" si="111"/>
        <v>0</v>
      </c>
      <c r="DU64" s="915">
        <f t="shared" si="112"/>
        <v>0</v>
      </c>
      <c r="DV64" s="915">
        <f t="shared" si="113"/>
        <v>0</v>
      </c>
      <c r="DW64" s="915">
        <f t="shared" si="114"/>
        <v>0</v>
      </c>
      <c r="DX64" s="915">
        <f t="shared" si="115"/>
        <v>0</v>
      </c>
      <c r="DY64" s="915">
        <f t="shared" si="116"/>
        <v>0</v>
      </c>
      <c r="DZ64" s="915">
        <f t="shared" si="117"/>
        <v>0</v>
      </c>
      <c r="EA64" s="915">
        <f t="shared" si="118"/>
        <v>0</v>
      </c>
      <c r="EB64" s="915">
        <f t="shared" si="119"/>
        <v>0</v>
      </c>
      <c r="EC64" s="915">
        <f t="shared" si="120"/>
        <v>0</v>
      </c>
      <c r="ED64" s="915">
        <f t="shared" si="121"/>
        <v>0</v>
      </c>
      <c r="EE64" s="915">
        <f t="shared" si="122"/>
        <v>0</v>
      </c>
      <c r="EF64" s="915">
        <f t="shared" si="123"/>
        <v>0</v>
      </c>
      <c r="EG64" s="915">
        <f t="shared" si="124"/>
        <v>0</v>
      </c>
      <c r="EH64" s="915">
        <f t="shared" si="125"/>
        <v>0</v>
      </c>
      <c r="EI64" s="915">
        <f t="shared" si="126"/>
        <v>0</v>
      </c>
      <c r="EJ64" s="915">
        <f t="shared" si="127"/>
        <v>0</v>
      </c>
      <c r="EK64" s="915">
        <f t="shared" si="128"/>
        <v>0</v>
      </c>
      <c r="EL64" s="915">
        <f t="shared" si="129"/>
        <v>0</v>
      </c>
      <c r="EM64" s="915">
        <f t="shared" si="130"/>
        <v>0</v>
      </c>
      <c r="EN64" s="915">
        <f t="shared" si="131"/>
        <v>0</v>
      </c>
      <c r="EO64" s="915">
        <f t="shared" si="132"/>
        <v>0</v>
      </c>
      <c r="EP64" s="915">
        <f t="shared" si="133"/>
        <v>0</v>
      </c>
      <c r="EQ64" s="915">
        <f t="shared" si="134"/>
        <v>0</v>
      </c>
      <c r="ER64" s="915">
        <f t="shared" si="135"/>
        <v>0</v>
      </c>
      <c r="ES64" s="915">
        <f t="shared" si="136"/>
        <v>0</v>
      </c>
      <c r="ET64" s="915">
        <f t="shared" si="137"/>
        <v>0</v>
      </c>
      <c r="EU64" s="915">
        <f t="shared" si="138"/>
        <v>0</v>
      </c>
      <c r="EV64" s="915">
        <f t="shared" si="139"/>
        <v>0</v>
      </c>
      <c r="EW64" s="915">
        <f t="shared" si="140"/>
        <v>0</v>
      </c>
      <c r="EX64" s="915">
        <f t="shared" si="141"/>
        <v>0</v>
      </c>
      <c r="EY64" s="915">
        <f t="shared" si="142"/>
        <v>0</v>
      </c>
      <c r="EZ64" s="915">
        <f t="shared" si="143"/>
        <v>0</v>
      </c>
      <c r="FA64" s="915">
        <f t="shared" si="144"/>
        <v>0</v>
      </c>
      <c r="FB64" s="915">
        <f t="shared" si="145"/>
        <v>0</v>
      </c>
      <c r="FC64" s="915">
        <f t="shared" si="146"/>
        <v>0</v>
      </c>
      <c r="FD64" s="915">
        <f t="shared" si="147"/>
        <v>0</v>
      </c>
      <c r="FE64" s="915">
        <f t="shared" si="148"/>
        <v>0</v>
      </c>
      <c r="FF64" s="915">
        <f t="shared" si="149"/>
        <v>0</v>
      </c>
      <c r="FG64" s="915">
        <f t="shared" si="150"/>
        <v>0</v>
      </c>
      <c r="FH64" s="915">
        <f t="shared" si="151"/>
        <v>0</v>
      </c>
      <c r="FI64" s="915">
        <f t="shared" si="152"/>
        <v>0</v>
      </c>
      <c r="FJ64" s="915">
        <f t="shared" si="153"/>
        <v>0</v>
      </c>
      <c r="FK64" s="915">
        <f t="shared" si="154"/>
        <v>0</v>
      </c>
      <c r="FL64" s="915">
        <f t="shared" si="155"/>
        <v>0</v>
      </c>
      <c r="FM64" s="915">
        <f t="shared" si="156"/>
        <v>0</v>
      </c>
      <c r="FN64" s="915">
        <f t="shared" si="157"/>
        <v>0</v>
      </c>
      <c r="FO64" s="915">
        <f t="shared" si="158"/>
        <v>0</v>
      </c>
      <c r="FP64" s="915">
        <f t="shared" si="159"/>
        <v>0</v>
      </c>
      <c r="FQ64" s="915">
        <f t="shared" si="160"/>
        <v>0</v>
      </c>
      <c r="FR64" s="915">
        <f t="shared" si="161"/>
        <v>0</v>
      </c>
      <c r="FS64" s="915">
        <f t="shared" si="162"/>
        <v>0</v>
      </c>
      <c r="FT64" s="915">
        <f t="shared" si="163"/>
        <v>0</v>
      </c>
      <c r="FU64" s="915">
        <f t="shared" si="164"/>
        <v>0</v>
      </c>
      <c r="FV64" s="915">
        <f t="shared" si="165"/>
        <v>0</v>
      </c>
      <c r="FW64" s="915">
        <f t="shared" si="166"/>
        <v>0</v>
      </c>
      <c r="FX64" s="915">
        <f t="shared" si="167"/>
        <v>0</v>
      </c>
      <c r="FY64" s="915">
        <f t="shared" si="168"/>
        <v>0</v>
      </c>
      <c r="FZ64" s="915">
        <f t="shared" si="169"/>
        <v>0</v>
      </c>
    </row>
    <row r="65" spans="1:182" x14ac:dyDescent="0.2">
      <c r="A65" s="497">
        <v>58</v>
      </c>
      <c r="B65" s="1423"/>
      <c r="C65" s="1424"/>
      <c r="D65" s="138">
        <v>8</v>
      </c>
      <c r="E65" s="138" t="s">
        <v>26</v>
      </c>
      <c r="F65" s="139" t="s">
        <v>2544</v>
      </c>
      <c r="G65" s="139" t="s">
        <v>2542</v>
      </c>
      <c r="H65" s="100">
        <v>7</v>
      </c>
      <c r="I65" s="119">
        <f t="shared" si="174"/>
        <v>0.42</v>
      </c>
      <c r="J65" s="90">
        <f t="shared" si="175"/>
        <v>7.42</v>
      </c>
      <c r="K65" s="225"/>
      <c r="N65" s="942">
        <f>CB6</f>
        <v>7.42</v>
      </c>
      <c r="O65" s="879" t="str">
        <f>"Remediation for " &amp; TabName8</f>
        <v>Remediation for Phase 8</v>
      </c>
      <c r="P65" s="950" t="s">
        <v>570</v>
      </c>
      <c r="W65" s="915">
        <f t="shared" si="8"/>
        <v>0</v>
      </c>
      <c r="X65" s="915">
        <f t="shared" si="9"/>
        <v>0</v>
      </c>
      <c r="Y65" s="915">
        <f t="shared" si="10"/>
        <v>0</v>
      </c>
      <c r="Z65" s="915">
        <f t="shared" si="13"/>
        <v>0</v>
      </c>
      <c r="AA65" s="915">
        <f t="shared" si="14"/>
        <v>0</v>
      </c>
      <c r="AB65" s="915">
        <f t="shared" si="15"/>
        <v>0</v>
      </c>
      <c r="AC65" s="915">
        <f t="shared" si="16"/>
        <v>0</v>
      </c>
      <c r="AD65" s="915">
        <f t="shared" si="17"/>
        <v>0</v>
      </c>
      <c r="AE65" s="915">
        <f t="shared" si="18"/>
        <v>0</v>
      </c>
      <c r="AF65" s="915">
        <f t="shared" si="19"/>
        <v>0</v>
      </c>
      <c r="AG65" s="915">
        <f t="shared" si="20"/>
        <v>0</v>
      </c>
      <c r="AH65" s="915">
        <f t="shared" si="21"/>
        <v>0</v>
      </c>
      <c r="AI65" s="915">
        <f t="shared" si="22"/>
        <v>0</v>
      </c>
      <c r="AJ65" s="915">
        <f t="shared" si="23"/>
        <v>0</v>
      </c>
      <c r="AK65" s="915">
        <f t="shared" si="24"/>
        <v>0</v>
      </c>
      <c r="AL65" s="915">
        <f t="shared" si="25"/>
        <v>0</v>
      </c>
      <c r="AM65" s="915">
        <f t="shared" si="26"/>
        <v>0</v>
      </c>
      <c r="AN65" s="915">
        <f t="shared" si="27"/>
        <v>0</v>
      </c>
      <c r="AO65" s="915">
        <f t="shared" si="28"/>
        <v>0</v>
      </c>
      <c r="AP65" s="915">
        <f t="shared" si="29"/>
        <v>0</v>
      </c>
      <c r="AQ65" s="915">
        <f t="shared" si="30"/>
        <v>0</v>
      </c>
      <c r="AR65" s="915">
        <f t="shared" si="31"/>
        <v>0</v>
      </c>
      <c r="AS65" s="915">
        <f t="shared" si="32"/>
        <v>0</v>
      </c>
      <c r="AT65" s="915">
        <f t="shared" si="33"/>
        <v>0</v>
      </c>
      <c r="AU65" s="915">
        <f t="shared" si="34"/>
        <v>0</v>
      </c>
      <c r="AV65" s="915">
        <f t="shared" si="35"/>
        <v>0</v>
      </c>
      <c r="AW65" s="915">
        <f t="shared" si="36"/>
        <v>0</v>
      </c>
      <c r="AX65" s="915">
        <f t="shared" si="37"/>
        <v>0</v>
      </c>
      <c r="AY65" s="915">
        <f t="shared" si="38"/>
        <v>0</v>
      </c>
      <c r="AZ65" s="915">
        <f t="shared" si="39"/>
        <v>0</v>
      </c>
      <c r="BA65" s="915">
        <f t="shared" si="40"/>
        <v>0</v>
      </c>
      <c r="BB65" s="915">
        <f t="shared" si="41"/>
        <v>0</v>
      </c>
      <c r="BC65" s="915">
        <f t="shared" si="42"/>
        <v>0</v>
      </c>
      <c r="BD65" s="915">
        <f t="shared" si="43"/>
        <v>0</v>
      </c>
      <c r="BE65" s="915">
        <f t="shared" si="44"/>
        <v>0</v>
      </c>
      <c r="BF65" s="915">
        <f t="shared" si="45"/>
        <v>0</v>
      </c>
      <c r="BG65" s="915">
        <f t="shared" si="46"/>
        <v>0</v>
      </c>
      <c r="BH65" s="915">
        <f t="shared" si="47"/>
        <v>0</v>
      </c>
      <c r="BI65" s="915">
        <f t="shared" si="48"/>
        <v>0</v>
      </c>
      <c r="BJ65" s="915">
        <f t="shared" si="49"/>
        <v>0</v>
      </c>
      <c r="BK65" s="915">
        <f t="shared" si="50"/>
        <v>0</v>
      </c>
      <c r="BL65" s="915">
        <f t="shared" si="51"/>
        <v>0</v>
      </c>
      <c r="BM65" s="915">
        <f t="shared" si="52"/>
        <v>0</v>
      </c>
      <c r="BN65" s="915">
        <f t="shared" si="53"/>
        <v>0</v>
      </c>
      <c r="BO65" s="915">
        <f t="shared" si="54"/>
        <v>0</v>
      </c>
      <c r="BP65" s="915">
        <f t="shared" si="55"/>
        <v>0</v>
      </c>
      <c r="BQ65" s="915">
        <f t="shared" si="56"/>
        <v>0</v>
      </c>
      <c r="BR65" s="915">
        <f t="shared" si="57"/>
        <v>0</v>
      </c>
      <c r="BS65" s="915">
        <f t="shared" si="58"/>
        <v>0</v>
      </c>
      <c r="BT65" s="915">
        <f t="shared" si="59"/>
        <v>0</v>
      </c>
      <c r="BU65" s="915">
        <f t="shared" si="60"/>
        <v>0</v>
      </c>
      <c r="BV65" s="915">
        <f t="shared" si="61"/>
        <v>0</v>
      </c>
      <c r="BW65" s="915">
        <f t="shared" si="62"/>
        <v>0</v>
      </c>
      <c r="BX65" s="915">
        <f t="shared" si="63"/>
        <v>0</v>
      </c>
      <c r="BY65" s="915">
        <f t="shared" si="64"/>
        <v>0</v>
      </c>
      <c r="BZ65" s="915">
        <f t="shared" si="65"/>
        <v>0</v>
      </c>
      <c r="CA65" s="915">
        <f t="shared" si="66"/>
        <v>0</v>
      </c>
      <c r="CB65" s="915">
        <f t="shared" si="67"/>
        <v>7.42</v>
      </c>
      <c r="CC65" s="915">
        <f t="shared" si="68"/>
        <v>0</v>
      </c>
      <c r="CD65" s="915">
        <f t="shared" si="69"/>
        <v>0</v>
      </c>
      <c r="CE65" s="915">
        <f t="shared" si="70"/>
        <v>0</v>
      </c>
      <c r="CF65" s="915">
        <f t="shared" si="71"/>
        <v>0</v>
      </c>
      <c r="CG65" s="915">
        <f t="shared" si="72"/>
        <v>0</v>
      </c>
      <c r="CH65" s="915">
        <f t="shared" si="73"/>
        <v>0</v>
      </c>
      <c r="CI65" s="915">
        <f t="shared" si="74"/>
        <v>0</v>
      </c>
      <c r="CJ65" s="915">
        <f t="shared" si="75"/>
        <v>0</v>
      </c>
      <c r="CK65" s="915">
        <f t="shared" si="76"/>
        <v>0</v>
      </c>
      <c r="CL65" s="915">
        <f t="shared" si="77"/>
        <v>0</v>
      </c>
      <c r="CM65" s="915">
        <f t="shared" si="78"/>
        <v>0</v>
      </c>
      <c r="CN65" s="915">
        <f t="shared" si="79"/>
        <v>0</v>
      </c>
      <c r="CO65" s="915">
        <f t="shared" si="80"/>
        <v>0</v>
      </c>
      <c r="CP65" s="915">
        <f t="shared" si="81"/>
        <v>0</v>
      </c>
      <c r="CQ65" s="915">
        <f t="shared" si="82"/>
        <v>0</v>
      </c>
      <c r="CR65" s="915">
        <f t="shared" si="83"/>
        <v>0</v>
      </c>
      <c r="CS65" s="915">
        <f t="shared" si="84"/>
        <v>0</v>
      </c>
      <c r="CT65" s="915">
        <f t="shared" si="85"/>
        <v>0</v>
      </c>
      <c r="CU65" s="915">
        <f t="shared" si="86"/>
        <v>0</v>
      </c>
      <c r="CV65" s="915">
        <f t="shared" si="87"/>
        <v>0</v>
      </c>
      <c r="CW65" s="915">
        <f t="shared" si="88"/>
        <v>0</v>
      </c>
      <c r="CX65" s="915">
        <f t="shared" si="89"/>
        <v>0</v>
      </c>
      <c r="CY65" s="915">
        <f t="shared" si="90"/>
        <v>0</v>
      </c>
      <c r="CZ65" s="915">
        <f t="shared" si="91"/>
        <v>0</v>
      </c>
      <c r="DA65" s="915">
        <f t="shared" si="92"/>
        <v>0</v>
      </c>
      <c r="DB65" s="915">
        <f t="shared" si="93"/>
        <v>0</v>
      </c>
      <c r="DC65" s="915">
        <f t="shared" si="94"/>
        <v>0</v>
      </c>
      <c r="DD65" s="915">
        <f t="shared" si="95"/>
        <v>0</v>
      </c>
      <c r="DE65" s="915">
        <f t="shared" si="96"/>
        <v>0</v>
      </c>
      <c r="DF65" s="915">
        <f t="shared" si="97"/>
        <v>0</v>
      </c>
      <c r="DG65" s="915">
        <f t="shared" si="98"/>
        <v>0</v>
      </c>
      <c r="DH65" s="915">
        <f t="shared" si="99"/>
        <v>0</v>
      </c>
      <c r="DI65" s="915">
        <f t="shared" si="100"/>
        <v>0</v>
      </c>
      <c r="DJ65" s="915">
        <f t="shared" si="101"/>
        <v>0</v>
      </c>
      <c r="DK65" s="915">
        <f t="shared" si="102"/>
        <v>0</v>
      </c>
      <c r="DL65" s="915">
        <f t="shared" si="103"/>
        <v>0</v>
      </c>
      <c r="DM65" s="915">
        <f t="shared" si="104"/>
        <v>0</v>
      </c>
      <c r="DN65" s="915">
        <f t="shared" si="105"/>
        <v>0</v>
      </c>
      <c r="DO65" s="915">
        <f t="shared" si="106"/>
        <v>0</v>
      </c>
      <c r="DP65" s="915">
        <f t="shared" si="107"/>
        <v>0</v>
      </c>
      <c r="DQ65" s="915">
        <f t="shared" si="108"/>
        <v>0</v>
      </c>
      <c r="DR65" s="915">
        <f t="shared" si="109"/>
        <v>0</v>
      </c>
      <c r="DS65" s="915">
        <f t="shared" si="110"/>
        <v>0</v>
      </c>
      <c r="DT65" s="915">
        <f t="shared" si="111"/>
        <v>0</v>
      </c>
      <c r="DU65" s="915">
        <f t="shared" si="112"/>
        <v>0</v>
      </c>
      <c r="DV65" s="915">
        <f t="shared" si="113"/>
        <v>0</v>
      </c>
      <c r="DW65" s="915">
        <f t="shared" si="114"/>
        <v>0</v>
      </c>
      <c r="DX65" s="915">
        <f t="shared" si="115"/>
        <v>0</v>
      </c>
      <c r="DY65" s="915">
        <f t="shared" si="116"/>
        <v>0</v>
      </c>
      <c r="DZ65" s="915">
        <f t="shared" si="117"/>
        <v>0</v>
      </c>
      <c r="EA65" s="915">
        <f t="shared" si="118"/>
        <v>0</v>
      </c>
      <c r="EB65" s="915">
        <f t="shared" si="119"/>
        <v>0</v>
      </c>
      <c r="EC65" s="915">
        <f t="shared" si="120"/>
        <v>0</v>
      </c>
      <c r="ED65" s="915">
        <f t="shared" si="121"/>
        <v>0</v>
      </c>
      <c r="EE65" s="915">
        <f t="shared" si="122"/>
        <v>0</v>
      </c>
      <c r="EF65" s="915">
        <f t="shared" si="123"/>
        <v>0</v>
      </c>
      <c r="EG65" s="915">
        <f t="shared" si="124"/>
        <v>0</v>
      </c>
      <c r="EH65" s="915">
        <f t="shared" si="125"/>
        <v>0</v>
      </c>
      <c r="EI65" s="915">
        <f t="shared" si="126"/>
        <v>0</v>
      </c>
      <c r="EJ65" s="915">
        <f t="shared" si="127"/>
        <v>0</v>
      </c>
      <c r="EK65" s="915">
        <f t="shared" si="128"/>
        <v>0</v>
      </c>
      <c r="EL65" s="915">
        <f t="shared" si="129"/>
        <v>0</v>
      </c>
      <c r="EM65" s="915">
        <f t="shared" si="130"/>
        <v>0</v>
      </c>
      <c r="EN65" s="915">
        <f t="shared" si="131"/>
        <v>0</v>
      </c>
      <c r="EO65" s="915">
        <f t="shared" si="132"/>
        <v>0</v>
      </c>
      <c r="EP65" s="915">
        <f t="shared" si="133"/>
        <v>0</v>
      </c>
      <c r="EQ65" s="915">
        <f t="shared" si="134"/>
        <v>0</v>
      </c>
      <c r="ER65" s="915">
        <f t="shared" si="135"/>
        <v>0</v>
      </c>
      <c r="ES65" s="915">
        <f t="shared" si="136"/>
        <v>0</v>
      </c>
      <c r="ET65" s="915">
        <f t="shared" si="137"/>
        <v>0</v>
      </c>
      <c r="EU65" s="915">
        <f t="shared" si="138"/>
        <v>0</v>
      </c>
      <c r="EV65" s="915">
        <f t="shared" si="139"/>
        <v>0</v>
      </c>
      <c r="EW65" s="915">
        <f t="shared" si="140"/>
        <v>0</v>
      </c>
      <c r="EX65" s="915">
        <f t="shared" si="141"/>
        <v>0</v>
      </c>
      <c r="EY65" s="915">
        <f t="shared" si="142"/>
        <v>0</v>
      </c>
      <c r="EZ65" s="915">
        <f t="shared" si="143"/>
        <v>0</v>
      </c>
      <c r="FA65" s="915">
        <f t="shared" si="144"/>
        <v>0</v>
      </c>
      <c r="FB65" s="915">
        <f t="shared" si="145"/>
        <v>0</v>
      </c>
      <c r="FC65" s="915">
        <f t="shared" si="146"/>
        <v>0</v>
      </c>
      <c r="FD65" s="915">
        <f t="shared" si="147"/>
        <v>0</v>
      </c>
      <c r="FE65" s="915">
        <f t="shared" si="148"/>
        <v>0</v>
      </c>
      <c r="FF65" s="915">
        <f t="shared" si="149"/>
        <v>0</v>
      </c>
      <c r="FG65" s="915">
        <f t="shared" si="150"/>
        <v>0</v>
      </c>
      <c r="FH65" s="915">
        <f t="shared" si="151"/>
        <v>0</v>
      </c>
      <c r="FI65" s="915">
        <f t="shared" si="152"/>
        <v>0</v>
      </c>
      <c r="FJ65" s="915">
        <f t="shared" si="153"/>
        <v>0</v>
      </c>
      <c r="FK65" s="915">
        <f t="shared" si="154"/>
        <v>0</v>
      </c>
      <c r="FL65" s="915">
        <f t="shared" si="155"/>
        <v>0</v>
      </c>
      <c r="FM65" s="915">
        <f t="shared" si="156"/>
        <v>0</v>
      </c>
      <c r="FN65" s="915">
        <f t="shared" si="157"/>
        <v>0</v>
      </c>
      <c r="FO65" s="915">
        <f t="shared" si="158"/>
        <v>0</v>
      </c>
      <c r="FP65" s="915">
        <f t="shared" si="159"/>
        <v>0</v>
      </c>
      <c r="FQ65" s="915">
        <f t="shared" si="160"/>
        <v>0</v>
      </c>
      <c r="FR65" s="915">
        <f t="shared" si="161"/>
        <v>0</v>
      </c>
      <c r="FS65" s="915">
        <f t="shared" si="162"/>
        <v>0</v>
      </c>
      <c r="FT65" s="915">
        <f t="shared" si="163"/>
        <v>0</v>
      </c>
      <c r="FU65" s="915">
        <f t="shared" si="164"/>
        <v>0</v>
      </c>
      <c r="FV65" s="915">
        <f t="shared" si="165"/>
        <v>0</v>
      </c>
      <c r="FW65" s="915">
        <f t="shared" si="166"/>
        <v>0</v>
      </c>
      <c r="FX65" s="915">
        <f t="shared" si="167"/>
        <v>0</v>
      </c>
      <c r="FY65" s="915">
        <f t="shared" si="168"/>
        <v>0</v>
      </c>
      <c r="FZ65" s="915">
        <f t="shared" si="169"/>
        <v>0</v>
      </c>
    </row>
    <row r="66" spans="1:182" x14ac:dyDescent="0.2">
      <c r="A66" s="496">
        <v>59</v>
      </c>
      <c r="B66" s="1419"/>
      <c r="C66" s="1433"/>
      <c r="D66" s="264">
        <v>8</v>
      </c>
      <c r="E66" s="264" t="s">
        <v>35</v>
      </c>
      <c r="F66" s="270" t="s">
        <v>2544</v>
      </c>
      <c r="G66" s="270" t="s">
        <v>2542</v>
      </c>
      <c r="H66" s="272">
        <v>7</v>
      </c>
      <c r="I66" s="268">
        <f>IF(ISTEXT(K66),0,StateTaxSub*G66*H66)</f>
        <v>0.42</v>
      </c>
      <c r="J66" s="269">
        <f>(G66*H68)+I66</f>
        <v>7.42</v>
      </c>
      <c r="K66" s="225"/>
      <c r="N66" s="942">
        <f>CC6</f>
        <v>7.42</v>
      </c>
      <c r="O66" s="879" t="str">
        <f>"General Construction for " &amp; TabName8</f>
        <v>General Construction for Phase 8</v>
      </c>
      <c r="P66" s="949" t="s">
        <v>571</v>
      </c>
      <c r="W66" s="915">
        <f t="shared" si="8"/>
        <v>0</v>
      </c>
      <c r="X66" s="915">
        <f t="shared" si="9"/>
        <v>0</v>
      </c>
      <c r="Y66" s="915">
        <f t="shared" si="10"/>
        <v>0</v>
      </c>
      <c r="Z66" s="915">
        <f t="shared" si="13"/>
        <v>0</v>
      </c>
      <c r="AA66" s="915">
        <f t="shared" si="14"/>
        <v>0</v>
      </c>
      <c r="AB66" s="915">
        <f t="shared" si="15"/>
        <v>0</v>
      </c>
      <c r="AC66" s="915">
        <f t="shared" si="16"/>
        <v>0</v>
      </c>
      <c r="AD66" s="915">
        <f t="shared" si="17"/>
        <v>0</v>
      </c>
      <c r="AE66" s="915">
        <f t="shared" si="18"/>
        <v>0</v>
      </c>
      <c r="AF66" s="915">
        <f t="shared" si="19"/>
        <v>0</v>
      </c>
      <c r="AG66" s="915">
        <f t="shared" si="20"/>
        <v>0</v>
      </c>
      <c r="AH66" s="915">
        <f t="shared" si="21"/>
        <v>0</v>
      </c>
      <c r="AI66" s="915">
        <f t="shared" si="22"/>
        <v>0</v>
      </c>
      <c r="AJ66" s="915">
        <f t="shared" si="23"/>
        <v>0</v>
      </c>
      <c r="AK66" s="915">
        <f t="shared" si="24"/>
        <v>0</v>
      </c>
      <c r="AL66" s="915">
        <f t="shared" si="25"/>
        <v>0</v>
      </c>
      <c r="AM66" s="915">
        <f t="shared" si="26"/>
        <v>0</v>
      </c>
      <c r="AN66" s="915">
        <f t="shared" si="27"/>
        <v>0</v>
      </c>
      <c r="AO66" s="915">
        <f t="shared" si="28"/>
        <v>0</v>
      </c>
      <c r="AP66" s="915">
        <f t="shared" si="29"/>
        <v>0</v>
      </c>
      <c r="AQ66" s="915">
        <f t="shared" si="30"/>
        <v>0</v>
      </c>
      <c r="AR66" s="915">
        <f t="shared" si="31"/>
        <v>0</v>
      </c>
      <c r="AS66" s="915">
        <f t="shared" si="32"/>
        <v>0</v>
      </c>
      <c r="AT66" s="915">
        <f t="shared" si="33"/>
        <v>0</v>
      </c>
      <c r="AU66" s="915">
        <f t="shared" si="34"/>
        <v>0</v>
      </c>
      <c r="AV66" s="915">
        <f t="shared" si="35"/>
        <v>0</v>
      </c>
      <c r="AW66" s="915">
        <f t="shared" si="36"/>
        <v>0</v>
      </c>
      <c r="AX66" s="915">
        <f t="shared" si="37"/>
        <v>0</v>
      </c>
      <c r="AY66" s="915">
        <f t="shared" si="38"/>
        <v>0</v>
      </c>
      <c r="AZ66" s="915">
        <f t="shared" si="39"/>
        <v>0</v>
      </c>
      <c r="BA66" s="915">
        <f t="shared" si="40"/>
        <v>0</v>
      </c>
      <c r="BB66" s="915">
        <f t="shared" si="41"/>
        <v>0</v>
      </c>
      <c r="BC66" s="915">
        <f t="shared" si="42"/>
        <v>0</v>
      </c>
      <c r="BD66" s="915">
        <f t="shared" si="43"/>
        <v>0</v>
      </c>
      <c r="BE66" s="915">
        <f t="shared" si="44"/>
        <v>0</v>
      </c>
      <c r="BF66" s="915">
        <f t="shared" si="45"/>
        <v>0</v>
      </c>
      <c r="BG66" s="915">
        <f t="shared" si="46"/>
        <v>0</v>
      </c>
      <c r="BH66" s="915">
        <f t="shared" si="47"/>
        <v>0</v>
      </c>
      <c r="BI66" s="915">
        <f t="shared" si="48"/>
        <v>0</v>
      </c>
      <c r="BJ66" s="915">
        <f t="shared" si="49"/>
        <v>0</v>
      </c>
      <c r="BK66" s="915">
        <f t="shared" si="50"/>
        <v>0</v>
      </c>
      <c r="BL66" s="915">
        <f t="shared" si="51"/>
        <v>0</v>
      </c>
      <c r="BM66" s="915">
        <f t="shared" si="52"/>
        <v>0</v>
      </c>
      <c r="BN66" s="915">
        <f t="shared" si="53"/>
        <v>0</v>
      </c>
      <c r="BO66" s="915">
        <f t="shared" si="54"/>
        <v>0</v>
      </c>
      <c r="BP66" s="915">
        <f t="shared" si="55"/>
        <v>0</v>
      </c>
      <c r="BQ66" s="915">
        <f t="shared" si="56"/>
        <v>0</v>
      </c>
      <c r="BR66" s="915">
        <f t="shared" si="57"/>
        <v>0</v>
      </c>
      <c r="BS66" s="915">
        <f t="shared" si="58"/>
        <v>0</v>
      </c>
      <c r="BT66" s="915">
        <f t="shared" si="59"/>
        <v>0</v>
      </c>
      <c r="BU66" s="915">
        <f t="shared" si="60"/>
        <v>0</v>
      </c>
      <c r="BV66" s="915">
        <f t="shared" si="61"/>
        <v>0</v>
      </c>
      <c r="BW66" s="915">
        <f t="shared" si="62"/>
        <v>0</v>
      </c>
      <c r="BX66" s="915">
        <f t="shared" si="63"/>
        <v>0</v>
      </c>
      <c r="BY66" s="915">
        <f t="shared" si="64"/>
        <v>0</v>
      </c>
      <c r="BZ66" s="915">
        <f t="shared" si="65"/>
        <v>0</v>
      </c>
      <c r="CA66" s="915">
        <f t="shared" si="66"/>
        <v>0</v>
      </c>
      <c r="CB66" s="915">
        <f t="shared" si="67"/>
        <v>0</v>
      </c>
      <c r="CC66" s="915">
        <f t="shared" si="68"/>
        <v>7.42</v>
      </c>
      <c r="CD66" s="915">
        <f t="shared" si="69"/>
        <v>0</v>
      </c>
      <c r="CE66" s="915">
        <f t="shared" si="70"/>
        <v>0</v>
      </c>
      <c r="CF66" s="915">
        <f t="shared" si="71"/>
        <v>0</v>
      </c>
      <c r="CG66" s="915">
        <f t="shared" si="72"/>
        <v>0</v>
      </c>
      <c r="CH66" s="915">
        <f t="shared" si="73"/>
        <v>0</v>
      </c>
      <c r="CI66" s="915">
        <f t="shared" si="74"/>
        <v>0</v>
      </c>
      <c r="CJ66" s="915">
        <f t="shared" si="75"/>
        <v>0</v>
      </c>
      <c r="CK66" s="915">
        <f t="shared" si="76"/>
        <v>0</v>
      </c>
      <c r="CL66" s="915">
        <f t="shared" si="77"/>
        <v>0</v>
      </c>
      <c r="CM66" s="915">
        <f t="shared" si="78"/>
        <v>0</v>
      </c>
      <c r="CN66" s="915">
        <f t="shared" si="79"/>
        <v>0</v>
      </c>
      <c r="CO66" s="915">
        <f t="shared" si="80"/>
        <v>0</v>
      </c>
      <c r="CP66" s="915">
        <f t="shared" si="81"/>
        <v>0</v>
      </c>
      <c r="CQ66" s="915">
        <f t="shared" si="82"/>
        <v>0</v>
      </c>
      <c r="CR66" s="915">
        <f t="shared" si="83"/>
        <v>0</v>
      </c>
      <c r="CS66" s="915">
        <f t="shared" si="84"/>
        <v>0</v>
      </c>
      <c r="CT66" s="915">
        <f t="shared" si="85"/>
        <v>0</v>
      </c>
      <c r="CU66" s="915">
        <f t="shared" si="86"/>
        <v>0</v>
      </c>
      <c r="CV66" s="915">
        <f t="shared" si="87"/>
        <v>0</v>
      </c>
      <c r="CW66" s="915">
        <f t="shared" si="88"/>
        <v>0</v>
      </c>
      <c r="CX66" s="915">
        <f t="shared" si="89"/>
        <v>0</v>
      </c>
      <c r="CY66" s="915">
        <f t="shared" si="90"/>
        <v>0</v>
      </c>
      <c r="CZ66" s="915">
        <f t="shared" si="91"/>
        <v>0</v>
      </c>
      <c r="DA66" s="915">
        <f t="shared" si="92"/>
        <v>0</v>
      </c>
      <c r="DB66" s="915">
        <f t="shared" si="93"/>
        <v>0</v>
      </c>
      <c r="DC66" s="915">
        <f t="shared" si="94"/>
        <v>0</v>
      </c>
      <c r="DD66" s="915">
        <f t="shared" si="95"/>
        <v>0</v>
      </c>
      <c r="DE66" s="915">
        <f t="shared" si="96"/>
        <v>0</v>
      </c>
      <c r="DF66" s="915">
        <f t="shared" si="97"/>
        <v>0</v>
      </c>
      <c r="DG66" s="915">
        <f t="shared" si="98"/>
        <v>0</v>
      </c>
      <c r="DH66" s="915">
        <f t="shared" si="99"/>
        <v>0</v>
      </c>
      <c r="DI66" s="915">
        <f t="shared" si="100"/>
        <v>0</v>
      </c>
      <c r="DJ66" s="915">
        <f t="shared" si="101"/>
        <v>0</v>
      </c>
      <c r="DK66" s="915">
        <f t="shared" si="102"/>
        <v>0</v>
      </c>
      <c r="DL66" s="915">
        <f t="shared" si="103"/>
        <v>0</v>
      </c>
      <c r="DM66" s="915">
        <f t="shared" si="104"/>
        <v>0</v>
      </c>
      <c r="DN66" s="915">
        <f t="shared" si="105"/>
        <v>0</v>
      </c>
      <c r="DO66" s="915">
        <f t="shared" si="106"/>
        <v>0</v>
      </c>
      <c r="DP66" s="915">
        <f t="shared" si="107"/>
        <v>0</v>
      </c>
      <c r="DQ66" s="915">
        <f t="shared" si="108"/>
        <v>0</v>
      </c>
      <c r="DR66" s="915">
        <f t="shared" si="109"/>
        <v>0</v>
      </c>
      <c r="DS66" s="915">
        <f t="shared" si="110"/>
        <v>0</v>
      </c>
      <c r="DT66" s="915">
        <f t="shared" si="111"/>
        <v>0</v>
      </c>
      <c r="DU66" s="915">
        <f t="shared" si="112"/>
        <v>0</v>
      </c>
      <c r="DV66" s="915">
        <f t="shared" si="113"/>
        <v>0</v>
      </c>
      <c r="DW66" s="915">
        <f t="shared" si="114"/>
        <v>0</v>
      </c>
      <c r="DX66" s="915">
        <f t="shared" si="115"/>
        <v>0</v>
      </c>
      <c r="DY66" s="915">
        <f t="shared" si="116"/>
        <v>0</v>
      </c>
      <c r="DZ66" s="915">
        <f t="shared" si="117"/>
        <v>0</v>
      </c>
      <c r="EA66" s="915">
        <f t="shared" si="118"/>
        <v>0</v>
      </c>
      <c r="EB66" s="915">
        <f t="shared" si="119"/>
        <v>0</v>
      </c>
      <c r="EC66" s="915">
        <f t="shared" si="120"/>
        <v>0</v>
      </c>
      <c r="ED66" s="915">
        <f t="shared" si="121"/>
        <v>0</v>
      </c>
      <c r="EE66" s="915">
        <f t="shared" si="122"/>
        <v>0</v>
      </c>
      <c r="EF66" s="915">
        <f t="shared" si="123"/>
        <v>0</v>
      </c>
      <c r="EG66" s="915">
        <f t="shared" si="124"/>
        <v>0</v>
      </c>
      <c r="EH66" s="915">
        <f t="shared" si="125"/>
        <v>0</v>
      </c>
      <c r="EI66" s="915">
        <f t="shared" si="126"/>
        <v>0</v>
      </c>
      <c r="EJ66" s="915">
        <f t="shared" si="127"/>
        <v>0</v>
      </c>
      <c r="EK66" s="915">
        <f t="shared" si="128"/>
        <v>0</v>
      </c>
      <c r="EL66" s="915">
        <f t="shared" si="129"/>
        <v>0</v>
      </c>
      <c r="EM66" s="915">
        <f t="shared" si="130"/>
        <v>0</v>
      </c>
      <c r="EN66" s="915">
        <f t="shared" si="131"/>
        <v>0</v>
      </c>
      <c r="EO66" s="915">
        <f t="shared" si="132"/>
        <v>0</v>
      </c>
      <c r="EP66" s="915">
        <f t="shared" si="133"/>
        <v>0</v>
      </c>
      <c r="EQ66" s="915">
        <f t="shared" si="134"/>
        <v>0</v>
      </c>
      <c r="ER66" s="915">
        <f t="shared" si="135"/>
        <v>0</v>
      </c>
      <c r="ES66" s="915">
        <f t="shared" si="136"/>
        <v>0</v>
      </c>
      <c r="ET66" s="915">
        <f t="shared" si="137"/>
        <v>0</v>
      </c>
      <c r="EU66" s="915">
        <f t="shared" si="138"/>
        <v>0</v>
      </c>
      <c r="EV66" s="915">
        <f t="shared" si="139"/>
        <v>0</v>
      </c>
      <c r="EW66" s="915">
        <f t="shared" si="140"/>
        <v>0</v>
      </c>
      <c r="EX66" s="915">
        <f t="shared" si="141"/>
        <v>0</v>
      </c>
      <c r="EY66" s="915">
        <f t="shared" si="142"/>
        <v>0</v>
      </c>
      <c r="EZ66" s="915">
        <f t="shared" si="143"/>
        <v>0</v>
      </c>
      <c r="FA66" s="915">
        <f t="shared" si="144"/>
        <v>0</v>
      </c>
      <c r="FB66" s="915">
        <f t="shared" si="145"/>
        <v>0</v>
      </c>
      <c r="FC66" s="915">
        <f t="shared" si="146"/>
        <v>0</v>
      </c>
      <c r="FD66" s="915">
        <f t="shared" si="147"/>
        <v>0</v>
      </c>
      <c r="FE66" s="915">
        <f t="shared" si="148"/>
        <v>0</v>
      </c>
      <c r="FF66" s="915">
        <f t="shared" si="149"/>
        <v>0</v>
      </c>
      <c r="FG66" s="915">
        <f t="shared" si="150"/>
        <v>0</v>
      </c>
      <c r="FH66" s="915">
        <f t="shared" si="151"/>
        <v>0</v>
      </c>
      <c r="FI66" s="915">
        <f t="shared" si="152"/>
        <v>0</v>
      </c>
      <c r="FJ66" s="915">
        <f t="shared" si="153"/>
        <v>0</v>
      </c>
      <c r="FK66" s="915">
        <f t="shared" si="154"/>
        <v>0</v>
      </c>
      <c r="FL66" s="915">
        <f t="shared" si="155"/>
        <v>0</v>
      </c>
      <c r="FM66" s="915">
        <f t="shared" si="156"/>
        <v>0</v>
      </c>
      <c r="FN66" s="915">
        <f t="shared" si="157"/>
        <v>0</v>
      </c>
      <c r="FO66" s="915">
        <f t="shared" si="158"/>
        <v>0</v>
      </c>
      <c r="FP66" s="915">
        <f t="shared" si="159"/>
        <v>0</v>
      </c>
      <c r="FQ66" s="915">
        <f t="shared" si="160"/>
        <v>0</v>
      </c>
      <c r="FR66" s="915">
        <f t="shared" si="161"/>
        <v>0</v>
      </c>
      <c r="FS66" s="915">
        <f t="shared" si="162"/>
        <v>0</v>
      </c>
      <c r="FT66" s="915">
        <f t="shared" si="163"/>
        <v>0</v>
      </c>
      <c r="FU66" s="915">
        <f t="shared" si="164"/>
        <v>0</v>
      </c>
      <c r="FV66" s="915">
        <f t="shared" si="165"/>
        <v>0</v>
      </c>
      <c r="FW66" s="915">
        <f t="shared" si="166"/>
        <v>0</v>
      </c>
      <c r="FX66" s="915">
        <f t="shared" si="167"/>
        <v>0</v>
      </c>
      <c r="FY66" s="915">
        <f t="shared" si="168"/>
        <v>0</v>
      </c>
      <c r="FZ66" s="915">
        <f t="shared" si="169"/>
        <v>0</v>
      </c>
    </row>
    <row r="67" spans="1:182" x14ac:dyDescent="0.2">
      <c r="A67" s="497">
        <v>60</v>
      </c>
      <c r="B67" s="1423"/>
      <c r="C67" s="1424"/>
      <c r="D67" s="138">
        <v>8</v>
      </c>
      <c r="E67" s="138" t="s">
        <v>52</v>
      </c>
      <c r="F67" s="139" t="s">
        <v>2544</v>
      </c>
      <c r="G67" s="139" t="s">
        <v>2542</v>
      </c>
      <c r="H67" s="100">
        <v>7</v>
      </c>
      <c r="I67" s="119">
        <f t="shared" si="174"/>
        <v>0.42</v>
      </c>
      <c r="J67" s="90">
        <f t="shared" si="175"/>
        <v>7.42</v>
      </c>
      <c r="K67" s="225"/>
      <c r="N67" s="942">
        <f>CD6</f>
        <v>7.42</v>
      </c>
      <c r="O67" s="915" t="str">
        <f>"Waste Haul for "&amp;TabName8</f>
        <v>Waste Haul for Phase 8</v>
      </c>
      <c r="P67" s="949" t="s">
        <v>572</v>
      </c>
      <c r="W67" s="915">
        <f t="shared" si="8"/>
        <v>0</v>
      </c>
      <c r="X67" s="915">
        <f t="shared" si="9"/>
        <v>0</v>
      </c>
      <c r="Y67" s="915">
        <f t="shared" si="10"/>
        <v>0</v>
      </c>
      <c r="Z67" s="915">
        <f t="shared" si="13"/>
        <v>0</v>
      </c>
      <c r="AA67" s="915">
        <f t="shared" si="14"/>
        <v>0</v>
      </c>
      <c r="AB67" s="915">
        <f t="shared" si="15"/>
        <v>0</v>
      </c>
      <c r="AC67" s="915">
        <f t="shared" si="16"/>
        <v>0</v>
      </c>
      <c r="AD67" s="915">
        <f t="shared" si="17"/>
        <v>0</v>
      </c>
      <c r="AE67" s="915">
        <f t="shared" si="18"/>
        <v>0</v>
      </c>
      <c r="AF67" s="915">
        <f t="shared" si="19"/>
        <v>0</v>
      </c>
      <c r="AG67" s="915">
        <f t="shared" si="20"/>
        <v>0</v>
      </c>
      <c r="AH67" s="915">
        <f t="shared" si="21"/>
        <v>0</v>
      </c>
      <c r="AI67" s="915">
        <f t="shared" si="22"/>
        <v>0</v>
      </c>
      <c r="AJ67" s="915">
        <f t="shared" si="23"/>
        <v>0</v>
      </c>
      <c r="AK67" s="915">
        <f t="shared" si="24"/>
        <v>0</v>
      </c>
      <c r="AL67" s="915">
        <f t="shared" si="25"/>
        <v>0</v>
      </c>
      <c r="AM67" s="915">
        <f t="shared" si="26"/>
        <v>0</v>
      </c>
      <c r="AN67" s="915">
        <f t="shared" si="27"/>
        <v>0</v>
      </c>
      <c r="AO67" s="915">
        <f t="shared" si="28"/>
        <v>0</v>
      </c>
      <c r="AP67" s="915">
        <f t="shared" si="29"/>
        <v>0</v>
      </c>
      <c r="AQ67" s="915">
        <f t="shared" si="30"/>
        <v>0</v>
      </c>
      <c r="AR67" s="915">
        <f t="shared" si="31"/>
        <v>0</v>
      </c>
      <c r="AS67" s="915">
        <f t="shared" si="32"/>
        <v>0</v>
      </c>
      <c r="AT67" s="915">
        <f t="shared" si="33"/>
        <v>0</v>
      </c>
      <c r="AU67" s="915">
        <f t="shared" si="34"/>
        <v>0</v>
      </c>
      <c r="AV67" s="915">
        <f t="shared" si="35"/>
        <v>0</v>
      </c>
      <c r="AW67" s="915">
        <f t="shared" si="36"/>
        <v>0</v>
      </c>
      <c r="AX67" s="915">
        <f t="shared" si="37"/>
        <v>0</v>
      </c>
      <c r="AY67" s="915">
        <f t="shared" si="38"/>
        <v>0</v>
      </c>
      <c r="AZ67" s="915">
        <f t="shared" si="39"/>
        <v>0</v>
      </c>
      <c r="BA67" s="915">
        <f t="shared" si="40"/>
        <v>0</v>
      </c>
      <c r="BB67" s="915">
        <f t="shared" si="41"/>
        <v>0</v>
      </c>
      <c r="BC67" s="915">
        <f t="shared" si="42"/>
        <v>0</v>
      </c>
      <c r="BD67" s="915">
        <f t="shared" si="43"/>
        <v>0</v>
      </c>
      <c r="BE67" s="915">
        <f t="shared" si="44"/>
        <v>0</v>
      </c>
      <c r="BF67" s="915">
        <f t="shared" si="45"/>
        <v>0</v>
      </c>
      <c r="BG67" s="915">
        <f t="shared" si="46"/>
        <v>0</v>
      </c>
      <c r="BH67" s="915">
        <f t="shared" si="47"/>
        <v>0</v>
      </c>
      <c r="BI67" s="915">
        <f t="shared" si="48"/>
        <v>0</v>
      </c>
      <c r="BJ67" s="915">
        <f t="shared" si="49"/>
        <v>0</v>
      </c>
      <c r="BK67" s="915">
        <f t="shared" si="50"/>
        <v>0</v>
      </c>
      <c r="BL67" s="915">
        <f t="shared" si="51"/>
        <v>0</v>
      </c>
      <c r="BM67" s="915">
        <f t="shared" si="52"/>
        <v>0</v>
      </c>
      <c r="BN67" s="915">
        <f t="shared" si="53"/>
        <v>0</v>
      </c>
      <c r="BO67" s="915">
        <f t="shared" si="54"/>
        <v>0</v>
      </c>
      <c r="BP67" s="915">
        <f t="shared" si="55"/>
        <v>0</v>
      </c>
      <c r="BQ67" s="915">
        <f t="shared" si="56"/>
        <v>0</v>
      </c>
      <c r="BR67" s="915">
        <f t="shared" si="57"/>
        <v>0</v>
      </c>
      <c r="BS67" s="915">
        <f t="shared" si="58"/>
        <v>0</v>
      </c>
      <c r="BT67" s="915">
        <f t="shared" si="59"/>
        <v>0</v>
      </c>
      <c r="BU67" s="915">
        <f t="shared" si="60"/>
        <v>0</v>
      </c>
      <c r="BV67" s="915">
        <f t="shared" si="61"/>
        <v>0</v>
      </c>
      <c r="BW67" s="915">
        <f t="shared" si="62"/>
        <v>0</v>
      </c>
      <c r="BX67" s="915">
        <f t="shared" si="63"/>
        <v>0</v>
      </c>
      <c r="BY67" s="915">
        <f t="shared" si="64"/>
        <v>0</v>
      </c>
      <c r="BZ67" s="915">
        <f t="shared" si="65"/>
        <v>0</v>
      </c>
      <c r="CA67" s="915">
        <f t="shared" si="66"/>
        <v>0</v>
      </c>
      <c r="CB67" s="915">
        <f t="shared" si="67"/>
        <v>0</v>
      </c>
      <c r="CC67" s="915">
        <f t="shared" si="68"/>
        <v>0</v>
      </c>
      <c r="CD67" s="915">
        <f t="shared" si="69"/>
        <v>7.42</v>
      </c>
      <c r="CE67" s="915">
        <f t="shared" si="70"/>
        <v>0</v>
      </c>
      <c r="CF67" s="915">
        <f t="shared" si="71"/>
        <v>0</v>
      </c>
      <c r="CG67" s="915">
        <f t="shared" si="72"/>
        <v>0</v>
      </c>
      <c r="CH67" s="915">
        <f t="shared" si="73"/>
        <v>0</v>
      </c>
      <c r="CI67" s="915">
        <f t="shared" si="74"/>
        <v>0</v>
      </c>
      <c r="CJ67" s="915">
        <f t="shared" si="75"/>
        <v>0</v>
      </c>
      <c r="CK67" s="915">
        <f t="shared" si="76"/>
        <v>0</v>
      </c>
      <c r="CL67" s="915">
        <f t="shared" si="77"/>
        <v>0</v>
      </c>
      <c r="CM67" s="915">
        <f t="shared" si="78"/>
        <v>0</v>
      </c>
      <c r="CN67" s="915">
        <f t="shared" si="79"/>
        <v>0</v>
      </c>
      <c r="CO67" s="915">
        <f t="shared" si="80"/>
        <v>0</v>
      </c>
      <c r="CP67" s="915">
        <f t="shared" si="81"/>
        <v>0</v>
      </c>
      <c r="CQ67" s="915">
        <f t="shared" si="82"/>
        <v>0</v>
      </c>
      <c r="CR67" s="915">
        <f t="shared" si="83"/>
        <v>0</v>
      </c>
      <c r="CS67" s="915">
        <f t="shared" si="84"/>
        <v>0</v>
      </c>
      <c r="CT67" s="915">
        <f t="shared" si="85"/>
        <v>0</v>
      </c>
      <c r="CU67" s="915">
        <f t="shared" si="86"/>
        <v>0</v>
      </c>
      <c r="CV67" s="915">
        <f t="shared" si="87"/>
        <v>0</v>
      </c>
      <c r="CW67" s="915">
        <f t="shared" si="88"/>
        <v>0</v>
      </c>
      <c r="CX67" s="915">
        <f t="shared" si="89"/>
        <v>0</v>
      </c>
      <c r="CY67" s="915">
        <f t="shared" si="90"/>
        <v>0</v>
      </c>
      <c r="CZ67" s="915">
        <f t="shared" si="91"/>
        <v>0</v>
      </c>
      <c r="DA67" s="915">
        <f t="shared" si="92"/>
        <v>0</v>
      </c>
      <c r="DB67" s="915">
        <f t="shared" si="93"/>
        <v>0</v>
      </c>
      <c r="DC67" s="915">
        <f t="shared" si="94"/>
        <v>0</v>
      </c>
      <c r="DD67" s="915">
        <f t="shared" si="95"/>
        <v>0</v>
      </c>
      <c r="DE67" s="915">
        <f t="shared" si="96"/>
        <v>0</v>
      </c>
      <c r="DF67" s="915">
        <f t="shared" si="97"/>
        <v>0</v>
      </c>
      <c r="DG67" s="915">
        <f t="shared" si="98"/>
        <v>0</v>
      </c>
      <c r="DH67" s="915">
        <f t="shared" si="99"/>
        <v>0</v>
      </c>
      <c r="DI67" s="915">
        <f t="shared" si="100"/>
        <v>0</v>
      </c>
      <c r="DJ67" s="915">
        <f t="shared" si="101"/>
        <v>0</v>
      </c>
      <c r="DK67" s="915">
        <f t="shared" si="102"/>
        <v>0</v>
      </c>
      <c r="DL67" s="915">
        <f t="shared" si="103"/>
        <v>0</v>
      </c>
      <c r="DM67" s="915">
        <f t="shared" si="104"/>
        <v>0</v>
      </c>
      <c r="DN67" s="915">
        <f t="shared" si="105"/>
        <v>0</v>
      </c>
      <c r="DO67" s="915">
        <f t="shared" si="106"/>
        <v>0</v>
      </c>
      <c r="DP67" s="915">
        <f t="shared" si="107"/>
        <v>0</v>
      </c>
      <c r="DQ67" s="915">
        <f t="shared" si="108"/>
        <v>0</v>
      </c>
      <c r="DR67" s="915">
        <f t="shared" si="109"/>
        <v>0</v>
      </c>
      <c r="DS67" s="915">
        <f t="shared" si="110"/>
        <v>0</v>
      </c>
      <c r="DT67" s="915">
        <f t="shared" si="111"/>
        <v>0</v>
      </c>
      <c r="DU67" s="915">
        <f t="shared" si="112"/>
        <v>0</v>
      </c>
      <c r="DV67" s="915">
        <f t="shared" si="113"/>
        <v>0</v>
      </c>
      <c r="DW67" s="915">
        <f t="shared" si="114"/>
        <v>0</v>
      </c>
      <c r="DX67" s="915">
        <f t="shared" si="115"/>
        <v>0</v>
      </c>
      <c r="DY67" s="915">
        <f t="shared" si="116"/>
        <v>0</v>
      </c>
      <c r="DZ67" s="915">
        <f t="shared" si="117"/>
        <v>0</v>
      </c>
      <c r="EA67" s="915">
        <f t="shared" si="118"/>
        <v>0</v>
      </c>
      <c r="EB67" s="915">
        <f t="shared" si="119"/>
        <v>0</v>
      </c>
      <c r="EC67" s="915">
        <f t="shared" si="120"/>
        <v>0</v>
      </c>
      <c r="ED67" s="915">
        <f t="shared" si="121"/>
        <v>0</v>
      </c>
      <c r="EE67" s="915">
        <f t="shared" si="122"/>
        <v>0</v>
      </c>
      <c r="EF67" s="915">
        <f t="shared" si="123"/>
        <v>0</v>
      </c>
      <c r="EG67" s="915">
        <f t="shared" si="124"/>
        <v>0</v>
      </c>
      <c r="EH67" s="915">
        <f t="shared" si="125"/>
        <v>0</v>
      </c>
      <c r="EI67" s="915">
        <f t="shared" si="126"/>
        <v>0</v>
      </c>
      <c r="EJ67" s="915">
        <f t="shared" si="127"/>
        <v>0</v>
      </c>
      <c r="EK67" s="915">
        <f t="shared" si="128"/>
        <v>0</v>
      </c>
      <c r="EL67" s="915">
        <f t="shared" si="129"/>
        <v>0</v>
      </c>
      <c r="EM67" s="915">
        <f t="shared" si="130"/>
        <v>0</v>
      </c>
      <c r="EN67" s="915">
        <f t="shared" si="131"/>
        <v>0</v>
      </c>
      <c r="EO67" s="915">
        <f t="shared" si="132"/>
        <v>0</v>
      </c>
      <c r="EP67" s="915">
        <f t="shared" si="133"/>
        <v>0</v>
      </c>
      <c r="EQ67" s="915">
        <f t="shared" si="134"/>
        <v>0</v>
      </c>
      <c r="ER67" s="915">
        <f t="shared" si="135"/>
        <v>0</v>
      </c>
      <c r="ES67" s="915">
        <f t="shared" si="136"/>
        <v>0</v>
      </c>
      <c r="ET67" s="915">
        <f t="shared" si="137"/>
        <v>0</v>
      </c>
      <c r="EU67" s="915">
        <f t="shared" si="138"/>
        <v>0</v>
      </c>
      <c r="EV67" s="915">
        <f t="shared" si="139"/>
        <v>0</v>
      </c>
      <c r="EW67" s="915">
        <f t="shared" si="140"/>
        <v>0</v>
      </c>
      <c r="EX67" s="915">
        <f t="shared" si="141"/>
        <v>0</v>
      </c>
      <c r="EY67" s="915">
        <f t="shared" si="142"/>
        <v>0</v>
      </c>
      <c r="EZ67" s="915">
        <f t="shared" si="143"/>
        <v>0</v>
      </c>
      <c r="FA67" s="915">
        <f t="shared" si="144"/>
        <v>0</v>
      </c>
      <c r="FB67" s="915">
        <f t="shared" si="145"/>
        <v>0</v>
      </c>
      <c r="FC67" s="915">
        <f t="shared" si="146"/>
        <v>0</v>
      </c>
      <c r="FD67" s="915">
        <f t="shared" si="147"/>
        <v>0</v>
      </c>
      <c r="FE67" s="915">
        <f t="shared" si="148"/>
        <v>0</v>
      </c>
      <c r="FF67" s="915">
        <f t="shared" si="149"/>
        <v>0</v>
      </c>
      <c r="FG67" s="915">
        <f t="shared" si="150"/>
        <v>0</v>
      </c>
      <c r="FH67" s="915">
        <f t="shared" si="151"/>
        <v>0</v>
      </c>
      <c r="FI67" s="915">
        <f t="shared" si="152"/>
        <v>0</v>
      </c>
      <c r="FJ67" s="915">
        <f t="shared" si="153"/>
        <v>0</v>
      </c>
      <c r="FK67" s="915">
        <f t="shared" si="154"/>
        <v>0</v>
      </c>
      <c r="FL67" s="915">
        <f t="shared" si="155"/>
        <v>0</v>
      </c>
      <c r="FM67" s="915">
        <f t="shared" si="156"/>
        <v>0</v>
      </c>
      <c r="FN67" s="915">
        <f t="shared" si="157"/>
        <v>0</v>
      </c>
      <c r="FO67" s="915">
        <f t="shared" si="158"/>
        <v>0</v>
      </c>
      <c r="FP67" s="915">
        <f t="shared" si="159"/>
        <v>0</v>
      </c>
      <c r="FQ67" s="915">
        <f t="shared" si="160"/>
        <v>0</v>
      </c>
      <c r="FR67" s="915">
        <f t="shared" si="161"/>
        <v>0</v>
      </c>
      <c r="FS67" s="915">
        <f t="shared" si="162"/>
        <v>0</v>
      </c>
      <c r="FT67" s="915">
        <f t="shared" si="163"/>
        <v>0</v>
      </c>
      <c r="FU67" s="915">
        <f t="shared" si="164"/>
        <v>0</v>
      </c>
      <c r="FV67" s="915">
        <f t="shared" si="165"/>
        <v>0</v>
      </c>
      <c r="FW67" s="915">
        <f t="shared" si="166"/>
        <v>0</v>
      </c>
      <c r="FX67" s="915">
        <f t="shared" si="167"/>
        <v>0</v>
      </c>
      <c r="FY67" s="915">
        <f t="shared" si="168"/>
        <v>0</v>
      </c>
      <c r="FZ67" s="915">
        <f t="shared" si="169"/>
        <v>0</v>
      </c>
    </row>
    <row r="68" spans="1:182" x14ac:dyDescent="0.2">
      <c r="A68" s="496">
        <v>61</v>
      </c>
      <c r="B68" s="1419"/>
      <c r="C68" s="1433"/>
      <c r="D68" s="264">
        <v>8</v>
      </c>
      <c r="E68" s="264" t="s">
        <v>30</v>
      </c>
      <c r="F68" s="270" t="s">
        <v>2544</v>
      </c>
      <c r="G68" s="270" t="s">
        <v>2542</v>
      </c>
      <c r="H68" s="272">
        <v>7</v>
      </c>
      <c r="I68" s="268">
        <f>IF(ISTEXT(K68),0,StateTaxSub*G68*H68)</f>
        <v>0.42</v>
      </c>
      <c r="J68" s="269">
        <f>(G68*H68)+I68</f>
        <v>7.42</v>
      </c>
      <c r="K68" s="225"/>
      <c r="N68" s="942">
        <f>CE6</f>
        <v>7.42</v>
      </c>
      <c r="O68" s="879" t="str">
        <f>"Surveying/Inspection for " &amp; TabName8</f>
        <v>Surveying/Inspection for Phase 8</v>
      </c>
      <c r="P68" s="950" t="s">
        <v>573</v>
      </c>
      <c r="W68" s="915">
        <f t="shared" si="8"/>
        <v>0</v>
      </c>
      <c r="X68" s="915">
        <f t="shared" si="9"/>
        <v>0</v>
      </c>
      <c r="Y68" s="915">
        <f t="shared" si="10"/>
        <v>0</v>
      </c>
      <c r="Z68" s="915">
        <f t="shared" si="13"/>
        <v>0</v>
      </c>
      <c r="AA68" s="915">
        <f t="shared" si="14"/>
        <v>0</v>
      </c>
      <c r="AB68" s="915">
        <f t="shared" si="15"/>
        <v>0</v>
      </c>
      <c r="AC68" s="915">
        <f t="shared" si="16"/>
        <v>0</v>
      </c>
      <c r="AD68" s="915">
        <f t="shared" si="17"/>
        <v>0</v>
      </c>
      <c r="AE68" s="915">
        <f t="shared" si="18"/>
        <v>0</v>
      </c>
      <c r="AF68" s="915">
        <f t="shared" si="19"/>
        <v>0</v>
      </c>
      <c r="AG68" s="915">
        <f t="shared" si="20"/>
        <v>0</v>
      </c>
      <c r="AH68" s="915">
        <f t="shared" si="21"/>
        <v>0</v>
      </c>
      <c r="AI68" s="915">
        <f t="shared" si="22"/>
        <v>0</v>
      </c>
      <c r="AJ68" s="915">
        <f t="shared" si="23"/>
        <v>0</v>
      </c>
      <c r="AK68" s="915">
        <f t="shared" si="24"/>
        <v>0</v>
      </c>
      <c r="AL68" s="915">
        <f t="shared" si="25"/>
        <v>0</v>
      </c>
      <c r="AM68" s="915">
        <f t="shared" si="26"/>
        <v>0</v>
      </c>
      <c r="AN68" s="915">
        <f t="shared" si="27"/>
        <v>0</v>
      </c>
      <c r="AO68" s="915">
        <f t="shared" si="28"/>
        <v>0</v>
      </c>
      <c r="AP68" s="915">
        <f t="shared" si="29"/>
        <v>0</v>
      </c>
      <c r="AQ68" s="915">
        <f t="shared" si="30"/>
        <v>0</v>
      </c>
      <c r="AR68" s="915">
        <f t="shared" si="31"/>
        <v>0</v>
      </c>
      <c r="AS68" s="915">
        <f t="shared" si="32"/>
        <v>0</v>
      </c>
      <c r="AT68" s="915">
        <f t="shared" si="33"/>
        <v>0</v>
      </c>
      <c r="AU68" s="915">
        <f t="shared" si="34"/>
        <v>0</v>
      </c>
      <c r="AV68" s="915">
        <f t="shared" si="35"/>
        <v>0</v>
      </c>
      <c r="AW68" s="915">
        <f t="shared" si="36"/>
        <v>0</v>
      </c>
      <c r="AX68" s="915">
        <f t="shared" si="37"/>
        <v>0</v>
      </c>
      <c r="AY68" s="915">
        <f t="shared" si="38"/>
        <v>0</v>
      </c>
      <c r="AZ68" s="915">
        <f t="shared" si="39"/>
        <v>0</v>
      </c>
      <c r="BA68" s="915">
        <f t="shared" si="40"/>
        <v>0</v>
      </c>
      <c r="BB68" s="915">
        <f t="shared" si="41"/>
        <v>0</v>
      </c>
      <c r="BC68" s="915">
        <f t="shared" si="42"/>
        <v>0</v>
      </c>
      <c r="BD68" s="915">
        <f t="shared" si="43"/>
        <v>0</v>
      </c>
      <c r="BE68" s="915">
        <f t="shared" si="44"/>
        <v>0</v>
      </c>
      <c r="BF68" s="915">
        <f t="shared" si="45"/>
        <v>0</v>
      </c>
      <c r="BG68" s="915">
        <f t="shared" si="46"/>
        <v>0</v>
      </c>
      <c r="BH68" s="915">
        <f t="shared" si="47"/>
        <v>0</v>
      </c>
      <c r="BI68" s="915">
        <f t="shared" si="48"/>
        <v>0</v>
      </c>
      <c r="BJ68" s="915">
        <f t="shared" si="49"/>
        <v>0</v>
      </c>
      <c r="BK68" s="915">
        <f t="shared" si="50"/>
        <v>0</v>
      </c>
      <c r="BL68" s="915">
        <f t="shared" si="51"/>
        <v>0</v>
      </c>
      <c r="BM68" s="915">
        <f t="shared" si="52"/>
        <v>0</v>
      </c>
      <c r="BN68" s="915">
        <f t="shared" si="53"/>
        <v>0</v>
      </c>
      <c r="BO68" s="915">
        <f t="shared" si="54"/>
        <v>0</v>
      </c>
      <c r="BP68" s="915">
        <f t="shared" si="55"/>
        <v>0</v>
      </c>
      <c r="BQ68" s="915">
        <f t="shared" si="56"/>
        <v>0</v>
      </c>
      <c r="BR68" s="915">
        <f t="shared" si="57"/>
        <v>0</v>
      </c>
      <c r="BS68" s="915">
        <f t="shared" si="58"/>
        <v>0</v>
      </c>
      <c r="BT68" s="915">
        <f t="shared" si="59"/>
        <v>0</v>
      </c>
      <c r="BU68" s="915">
        <f t="shared" si="60"/>
        <v>0</v>
      </c>
      <c r="BV68" s="915">
        <f t="shared" si="61"/>
        <v>0</v>
      </c>
      <c r="BW68" s="915">
        <f t="shared" si="62"/>
        <v>0</v>
      </c>
      <c r="BX68" s="915">
        <f t="shared" si="63"/>
        <v>0</v>
      </c>
      <c r="BY68" s="915">
        <f t="shared" si="64"/>
        <v>0</v>
      </c>
      <c r="BZ68" s="915">
        <f t="shared" si="65"/>
        <v>0</v>
      </c>
      <c r="CA68" s="915">
        <f t="shared" si="66"/>
        <v>0</v>
      </c>
      <c r="CB68" s="915">
        <f t="shared" si="67"/>
        <v>0</v>
      </c>
      <c r="CC68" s="915">
        <f t="shared" si="68"/>
        <v>0</v>
      </c>
      <c r="CD68" s="915">
        <f t="shared" si="69"/>
        <v>0</v>
      </c>
      <c r="CE68" s="915">
        <f t="shared" si="70"/>
        <v>7.42</v>
      </c>
      <c r="CF68" s="915">
        <f t="shared" si="71"/>
        <v>0</v>
      </c>
      <c r="CG68" s="915">
        <f t="shared" si="72"/>
        <v>0</v>
      </c>
      <c r="CH68" s="915">
        <f t="shared" si="73"/>
        <v>0</v>
      </c>
      <c r="CI68" s="915">
        <f t="shared" si="74"/>
        <v>0</v>
      </c>
      <c r="CJ68" s="915">
        <f t="shared" si="75"/>
        <v>0</v>
      </c>
      <c r="CK68" s="915">
        <f t="shared" si="76"/>
        <v>0</v>
      </c>
      <c r="CL68" s="915">
        <f t="shared" si="77"/>
        <v>0</v>
      </c>
      <c r="CM68" s="915">
        <f t="shared" si="78"/>
        <v>0</v>
      </c>
      <c r="CN68" s="915">
        <f t="shared" si="79"/>
        <v>0</v>
      </c>
      <c r="CO68" s="915">
        <f t="shared" si="80"/>
        <v>0</v>
      </c>
      <c r="CP68" s="915">
        <f t="shared" si="81"/>
        <v>0</v>
      </c>
      <c r="CQ68" s="915">
        <f t="shared" si="82"/>
        <v>0</v>
      </c>
      <c r="CR68" s="915">
        <f t="shared" si="83"/>
        <v>0</v>
      </c>
      <c r="CS68" s="915">
        <f t="shared" si="84"/>
        <v>0</v>
      </c>
      <c r="CT68" s="915">
        <f t="shared" si="85"/>
        <v>0</v>
      </c>
      <c r="CU68" s="915">
        <f t="shared" si="86"/>
        <v>0</v>
      </c>
      <c r="CV68" s="915">
        <f t="shared" si="87"/>
        <v>0</v>
      </c>
      <c r="CW68" s="915">
        <f t="shared" si="88"/>
        <v>0</v>
      </c>
      <c r="CX68" s="915">
        <f t="shared" si="89"/>
        <v>0</v>
      </c>
      <c r="CY68" s="915">
        <f t="shared" si="90"/>
        <v>0</v>
      </c>
      <c r="CZ68" s="915">
        <f t="shared" si="91"/>
        <v>0</v>
      </c>
      <c r="DA68" s="915">
        <f t="shared" si="92"/>
        <v>0</v>
      </c>
      <c r="DB68" s="915">
        <f t="shared" si="93"/>
        <v>0</v>
      </c>
      <c r="DC68" s="915">
        <f t="shared" si="94"/>
        <v>0</v>
      </c>
      <c r="DD68" s="915">
        <f t="shared" si="95"/>
        <v>0</v>
      </c>
      <c r="DE68" s="915">
        <f t="shared" si="96"/>
        <v>0</v>
      </c>
      <c r="DF68" s="915">
        <f t="shared" si="97"/>
        <v>0</v>
      </c>
      <c r="DG68" s="915">
        <f t="shared" si="98"/>
        <v>0</v>
      </c>
      <c r="DH68" s="915">
        <f t="shared" si="99"/>
        <v>0</v>
      </c>
      <c r="DI68" s="915">
        <f t="shared" si="100"/>
        <v>0</v>
      </c>
      <c r="DJ68" s="915">
        <f t="shared" si="101"/>
        <v>0</v>
      </c>
      <c r="DK68" s="915">
        <f t="shared" si="102"/>
        <v>0</v>
      </c>
      <c r="DL68" s="915">
        <f t="shared" si="103"/>
        <v>0</v>
      </c>
      <c r="DM68" s="915">
        <f t="shared" si="104"/>
        <v>0</v>
      </c>
      <c r="DN68" s="915">
        <f t="shared" si="105"/>
        <v>0</v>
      </c>
      <c r="DO68" s="915">
        <f t="shared" si="106"/>
        <v>0</v>
      </c>
      <c r="DP68" s="915">
        <f t="shared" si="107"/>
        <v>0</v>
      </c>
      <c r="DQ68" s="915">
        <f t="shared" si="108"/>
        <v>0</v>
      </c>
      <c r="DR68" s="915">
        <f t="shared" si="109"/>
        <v>0</v>
      </c>
      <c r="DS68" s="915">
        <f t="shared" si="110"/>
        <v>0</v>
      </c>
      <c r="DT68" s="915">
        <f t="shared" si="111"/>
        <v>0</v>
      </c>
      <c r="DU68" s="915">
        <f t="shared" si="112"/>
        <v>0</v>
      </c>
      <c r="DV68" s="915">
        <f t="shared" si="113"/>
        <v>0</v>
      </c>
      <c r="DW68" s="915">
        <f t="shared" si="114"/>
        <v>0</v>
      </c>
      <c r="DX68" s="915">
        <f t="shared" si="115"/>
        <v>0</v>
      </c>
      <c r="DY68" s="915">
        <f t="shared" si="116"/>
        <v>0</v>
      </c>
      <c r="DZ68" s="915">
        <f t="shared" si="117"/>
        <v>0</v>
      </c>
      <c r="EA68" s="915">
        <f t="shared" si="118"/>
        <v>0</v>
      </c>
      <c r="EB68" s="915">
        <f t="shared" si="119"/>
        <v>0</v>
      </c>
      <c r="EC68" s="915">
        <f t="shared" si="120"/>
        <v>0</v>
      </c>
      <c r="ED68" s="915">
        <f t="shared" si="121"/>
        <v>0</v>
      </c>
      <c r="EE68" s="915">
        <f t="shared" si="122"/>
        <v>0</v>
      </c>
      <c r="EF68" s="915">
        <f t="shared" si="123"/>
        <v>0</v>
      </c>
      <c r="EG68" s="915">
        <f t="shared" si="124"/>
        <v>0</v>
      </c>
      <c r="EH68" s="915">
        <f t="shared" si="125"/>
        <v>0</v>
      </c>
      <c r="EI68" s="915">
        <f t="shared" si="126"/>
        <v>0</v>
      </c>
      <c r="EJ68" s="915">
        <f t="shared" si="127"/>
        <v>0</v>
      </c>
      <c r="EK68" s="915">
        <f t="shared" si="128"/>
        <v>0</v>
      </c>
      <c r="EL68" s="915">
        <f t="shared" si="129"/>
        <v>0</v>
      </c>
      <c r="EM68" s="915">
        <f t="shared" si="130"/>
        <v>0</v>
      </c>
      <c r="EN68" s="915">
        <f t="shared" si="131"/>
        <v>0</v>
      </c>
      <c r="EO68" s="915">
        <f t="shared" si="132"/>
        <v>0</v>
      </c>
      <c r="EP68" s="915">
        <f t="shared" si="133"/>
        <v>0</v>
      </c>
      <c r="EQ68" s="915">
        <f t="shared" si="134"/>
        <v>0</v>
      </c>
      <c r="ER68" s="915">
        <f t="shared" si="135"/>
        <v>0</v>
      </c>
      <c r="ES68" s="915">
        <f t="shared" si="136"/>
        <v>0</v>
      </c>
      <c r="ET68" s="915">
        <f t="shared" si="137"/>
        <v>0</v>
      </c>
      <c r="EU68" s="915">
        <f t="shared" si="138"/>
        <v>0</v>
      </c>
      <c r="EV68" s="915">
        <f t="shared" si="139"/>
        <v>0</v>
      </c>
      <c r="EW68" s="915">
        <f t="shared" si="140"/>
        <v>0</v>
      </c>
      <c r="EX68" s="915">
        <f t="shared" si="141"/>
        <v>0</v>
      </c>
      <c r="EY68" s="915">
        <f t="shared" si="142"/>
        <v>0</v>
      </c>
      <c r="EZ68" s="915">
        <f t="shared" si="143"/>
        <v>0</v>
      </c>
      <c r="FA68" s="915">
        <f t="shared" si="144"/>
        <v>0</v>
      </c>
      <c r="FB68" s="915">
        <f t="shared" si="145"/>
        <v>0</v>
      </c>
      <c r="FC68" s="915">
        <f t="shared" si="146"/>
        <v>0</v>
      </c>
      <c r="FD68" s="915">
        <f t="shared" si="147"/>
        <v>0</v>
      </c>
      <c r="FE68" s="915">
        <f t="shared" si="148"/>
        <v>0</v>
      </c>
      <c r="FF68" s="915">
        <f t="shared" si="149"/>
        <v>0</v>
      </c>
      <c r="FG68" s="915">
        <f t="shared" si="150"/>
        <v>0</v>
      </c>
      <c r="FH68" s="915">
        <f t="shared" si="151"/>
        <v>0</v>
      </c>
      <c r="FI68" s="915">
        <f t="shared" si="152"/>
        <v>0</v>
      </c>
      <c r="FJ68" s="915">
        <f t="shared" si="153"/>
        <v>0</v>
      </c>
      <c r="FK68" s="915">
        <f t="shared" si="154"/>
        <v>0</v>
      </c>
      <c r="FL68" s="915">
        <f t="shared" si="155"/>
        <v>0</v>
      </c>
      <c r="FM68" s="915">
        <f t="shared" si="156"/>
        <v>0</v>
      </c>
      <c r="FN68" s="915">
        <f t="shared" si="157"/>
        <v>0</v>
      </c>
      <c r="FO68" s="915">
        <f t="shared" si="158"/>
        <v>0</v>
      </c>
      <c r="FP68" s="915">
        <f t="shared" si="159"/>
        <v>0</v>
      </c>
      <c r="FQ68" s="915">
        <f t="shared" si="160"/>
        <v>0</v>
      </c>
      <c r="FR68" s="915">
        <f t="shared" si="161"/>
        <v>0</v>
      </c>
      <c r="FS68" s="915">
        <f t="shared" si="162"/>
        <v>0</v>
      </c>
      <c r="FT68" s="915">
        <f t="shared" si="163"/>
        <v>0</v>
      </c>
      <c r="FU68" s="915">
        <f t="shared" si="164"/>
        <v>0</v>
      </c>
      <c r="FV68" s="915">
        <f t="shared" si="165"/>
        <v>0</v>
      </c>
      <c r="FW68" s="915">
        <f t="shared" si="166"/>
        <v>0</v>
      </c>
      <c r="FX68" s="915">
        <f t="shared" si="167"/>
        <v>0</v>
      </c>
      <c r="FY68" s="915">
        <f t="shared" si="168"/>
        <v>0</v>
      </c>
      <c r="FZ68" s="915">
        <f t="shared" si="169"/>
        <v>0</v>
      </c>
    </row>
    <row r="69" spans="1:182" x14ac:dyDescent="0.2">
      <c r="A69" s="497">
        <v>62</v>
      </c>
      <c r="B69" s="1423"/>
      <c r="C69" s="1424"/>
      <c r="D69" s="138">
        <v>8</v>
      </c>
      <c r="E69" s="1020" t="s">
        <v>170</v>
      </c>
      <c r="F69" s="139" t="s">
        <v>2544</v>
      </c>
      <c r="G69" s="139" t="s">
        <v>2542</v>
      </c>
      <c r="H69" s="100">
        <v>7</v>
      </c>
      <c r="I69" s="119">
        <f t="shared" si="174"/>
        <v>0.42</v>
      </c>
      <c r="J69" s="90">
        <f t="shared" si="175"/>
        <v>7.42</v>
      </c>
      <c r="K69" s="225"/>
      <c r="N69" s="942">
        <f>CF6</f>
        <v>7.42</v>
      </c>
      <c r="O69" s="879" t="str">
        <f>"Other subcontractor for " &amp; TabName8</f>
        <v>Other subcontractor for Phase 8</v>
      </c>
      <c r="P69" s="949" t="s">
        <v>574</v>
      </c>
      <c r="W69" s="915">
        <f t="shared" si="8"/>
        <v>0</v>
      </c>
      <c r="X69" s="915">
        <f t="shared" si="9"/>
        <v>0</v>
      </c>
      <c r="Y69" s="915">
        <f t="shared" si="10"/>
        <v>0</v>
      </c>
      <c r="Z69" s="915">
        <f t="shared" si="13"/>
        <v>0</v>
      </c>
      <c r="AA69" s="915">
        <f t="shared" si="14"/>
        <v>0</v>
      </c>
      <c r="AB69" s="915">
        <f t="shared" si="15"/>
        <v>0</v>
      </c>
      <c r="AC69" s="915">
        <f t="shared" si="16"/>
        <v>0</v>
      </c>
      <c r="AD69" s="915">
        <f t="shared" si="17"/>
        <v>0</v>
      </c>
      <c r="AE69" s="915">
        <f t="shared" si="18"/>
        <v>0</v>
      </c>
      <c r="AF69" s="915">
        <f t="shared" si="19"/>
        <v>0</v>
      </c>
      <c r="AG69" s="915">
        <f t="shared" si="20"/>
        <v>0</v>
      </c>
      <c r="AH69" s="915">
        <f t="shared" si="21"/>
        <v>0</v>
      </c>
      <c r="AI69" s="915">
        <f t="shared" si="22"/>
        <v>0</v>
      </c>
      <c r="AJ69" s="915">
        <f t="shared" si="23"/>
        <v>0</v>
      </c>
      <c r="AK69" s="915">
        <f t="shared" si="24"/>
        <v>0</v>
      </c>
      <c r="AL69" s="915">
        <f t="shared" si="25"/>
        <v>0</v>
      </c>
      <c r="AM69" s="915">
        <f t="shared" si="26"/>
        <v>0</v>
      </c>
      <c r="AN69" s="915">
        <f t="shared" si="27"/>
        <v>0</v>
      </c>
      <c r="AO69" s="915">
        <f t="shared" si="28"/>
        <v>0</v>
      </c>
      <c r="AP69" s="915">
        <f t="shared" si="29"/>
        <v>0</v>
      </c>
      <c r="AQ69" s="915">
        <f t="shared" si="30"/>
        <v>0</v>
      </c>
      <c r="AR69" s="915">
        <f t="shared" si="31"/>
        <v>0</v>
      </c>
      <c r="AS69" s="915">
        <f t="shared" si="32"/>
        <v>0</v>
      </c>
      <c r="AT69" s="915">
        <f t="shared" si="33"/>
        <v>0</v>
      </c>
      <c r="AU69" s="915">
        <f t="shared" si="34"/>
        <v>0</v>
      </c>
      <c r="AV69" s="915">
        <f t="shared" si="35"/>
        <v>0</v>
      </c>
      <c r="AW69" s="915">
        <f t="shared" si="36"/>
        <v>0</v>
      </c>
      <c r="AX69" s="915">
        <f t="shared" si="37"/>
        <v>0</v>
      </c>
      <c r="AY69" s="915">
        <f t="shared" si="38"/>
        <v>0</v>
      </c>
      <c r="AZ69" s="915">
        <f t="shared" si="39"/>
        <v>0</v>
      </c>
      <c r="BA69" s="915">
        <f t="shared" si="40"/>
        <v>0</v>
      </c>
      <c r="BB69" s="915">
        <f t="shared" si="41"/>
        <v>0</v>
      </c>
      <c r="BC69" s="915">
        <f t="shared" si="42"/>
        <v>0</v>
      </c>
      <c r="BD69" s="915">
        <f t="shared" si="43"/>
        <v>0</v>
      </c>
      <c r="BE69" s="915">
        <f t="shared" si="44"/>
        <v>0</v>
      </c>
      <c r="BF69" s="915">
        <f t="shared" si="45"/>
        <v>0</v>
      </c>
      <c r="BG69" s="915">
        <f t="shared" si="46"/>
        <v>0</v>
      </c>
      <c r="BH69" s="915">
        <f t="shared" si="47"/>
        <v>0</v>
      </c>
      <c r="BI69" s="915">
        <f t="shared" si="48"/>
        <v>0</v>
      </c>
      <c r="BJ69" s="915">
        <f t="shared" si="49"/>
        <v>0</v>
      </c>
      <c r="BK69" s="915">
        <f t="shared" si="50"/>
        <v>0</v>
      </c>
      <c r="BL69" s="915">
        <f t="shared" si="51"/>
        <v>0</v>
      </c>
      <c r="BM69" s="915">
        <f t="shared" si="52"/>
        <v>0</v>
      </c>
      <c r="BN69" s="915">
        <f t="shared" si="53"/>
        <v>0</v>
      </c>
      <c r="BO69" s="915">
        <f t="shared" si="54"/>
        <v>0</v>
      </c>
      <c r="BP69" s="915">
        <f t="shared" si="55"/>
        <v>0</v>
      </c>
      <c r="BQ69" s="915">
        <f t="shared" si="56"/>
        <v>0</v>
      </c>
      <c r="BR69" s="915">
        <f t="shared" si="57"/>
        <v>0</v>
      </c>
      <c r="BS69" s="915">
        <f t="shared" si="58"/>
        <v>0</v>
      </c>
      <c r="BT69" s="915">
        <f t="shared" si="59"/>
        <v>0</v>
      </c>
      <c r="BU69" s="915">
        <f t="shared" si="60"/>
        <v>0</v>
      </c>
      <c r="BV69" s="915">
        <f t="shared" si="61"/>
        <v>0</v>
      </c>
      <c r="BW69" s="915">
        <f t="shared" si="62"/>
        <v>0</v>
      </c>
      <c r="BX69" s="915">
        <f t="shared" si="63"/>
        <v>0</v>
      </c>
      <c r="BY69" s="915">
        <f t="shared" si="64"/>
        <v>0</v>
      </c>
      <c r="BZ69" s="915">
        <f t="shared" si="65"/>
        <v>0</v>
      </c>
      <c r="CA69" s="915">
        <f t="shared" si="66"/>
        <v>0</v>
      </c>
      <c r="CB69" s="915">
        <f t="shared" si="67"/>
        <v>0</v>
      </c>
      <c r="CC69" s="915">
        <f t="shared" si="68"/>
        <v>0</v>
      </c>
      <c r="CD69" s="915">
        <f t="shared" si="69"/>
        <v>0</v>
      </c>
      <c r="CE69" s="915">
        <f t="shared" si="70"/>
        <v>0</v>
      </c>
      <c r="CF69" s="915">
        <f t="shared" si="71"/>
        <v>7.42</v>
      </c>
      <c r="CG69" s="915">
        <f t="shared" si="72"/>
        <v>0</v>
      </c>
      <c r="CH69" s="915">
        <f t="shared" si="73"/>
        <v>0</v>
      </c>
      <c r="CI69" s="915">
        <f t="shared" si="74"/>
        <v>0</v>
      </c>
      <c r="CJ69" s="915">
        <f t="shared" si="75"/>
        <v>0</v>
      </c>
      <c r="CK69" s="915">
        <f t="shared" si="76"/>
        <v>0</v>
      </c>
      <c r="CL69" s="915">
        <f t="shared" si="77"/>
        <v>0</v>
      </c>
      <c r="CM69" s="915">
        <f t="shared" si="78"/>
        <v>0</v>
      </c>
      <c r="CN69" s="915">
        <f t="shared" si="79"/>
        <v>0</v>
      </c>
      <c r="CO69" s="915">
        <f t="shared" si="80"/>
        <v>0</v>
      </c>
      <c r="CP69" s="915">
        <f t="shared" si="81"/>
        <v>0</v>
      </c>
      <c r="CQ69" s="915">
        <f t="shared" si="82"/>
        <v>0</v>
      </c>
      <c r="CR69" s="915">
        <f t="shared" si="83"/>
        <v>0</v>
      </c>
      <c r="CS69" s="915">
        <f t="shared" si="84"/>
        <v>0</v>
      </c>
      <c r="CT69" s="915">
        <f t="shared" si="85"/>
        <v>0</v>
      </c>
      <c r="CU69" s="915">
        <f t="shared" si="86"/>
        <v>0</v>
      </c>
      <c r="CV69" s="915">
        <f t="shared" si="87"/>
        <v>0</v>
      </c>
      <c r="CW69" s="915">
        <f t="shared" si="88"/>
        <v>0</v>
      </c>
      <c r="CX69" s="915">
        <f t="shared" si="89"/>
        <v>0</v>
      </c>
      <c r="CY69" s="915">
        <f t="shared" si="90"/>
        <v>0</v>
      </c>
      <c r="CZ69" s="915">
        <f t="shared" si="91"/>
        <v>0</v>
      </c>
      <c r="DA69" s="915">
        <f t="shared" si="92"/>
        <v>0</v>
      </c>
      <c r="DB69" s="915">
        <f t="shared" si="93"/>
        <v>0</v>
      </c>
      <c r="DC69" s="915">
        <f t="shared" si="94"/>
        <v>0</v>
      </c>
      <c r="DD69" s="915">
        <f t="shared" si="95"/>
        <v>0</v>
      </c>
      <c r="DE69" s="915">
        <f t="shared" si="96"/>
        <v>0</v>
      </c>
      <c r="DF69" s="915">
        <f t="shared" si="97"/>
        <v>0</v>
      </c>
      <c r="DG69" s="915">
        <f t="shared" si="98"/>
        <v>0</v>
      </c>
      <c r="DH69" s="915">
        <f t="shared" si="99"/>
        <v>0</v>
      </c>
      <c r="DI69" s="915">
        <f t="shared" si="100"/>
        <v>0</v>
      </c>
      <c r="DJ69" s="915">
        <f t="shared" si="101"/>
        <v>0</v>
      </c>
      <c r="DK69" s="915">
        <f t="shared" si="102"/>
        <v>0</v>
      </c>
      <c r="DL69" s="915">
        <f t="shared" si="103"/>
        <v>0</v>
      </c>
      <c r="DM69" s="915">
        <f t="shared" si="104"/>
        <v>0</v>
      </c>
      <c r="DN69" s="915">
        <f t="shared" si="105"/>
        <v>0</v>
      </c>
      <c r="DO69" s="915">
        <f t="shared" si="106"/>
        <v>0</v>
      </c>
      <c r="DP69" s="915">
        <f t="shared" si="107"/>
        <v>0</v>
      </c>
      <c r="DQ69" s="915">
        <f t="shared" si="108"/>
        <v>0</v>
      </c>
      <c r="DR69" s="915">
        <f t="shared" si="109"/>
        <v>0</v>
      </c>
      <c r="DS69" s="915">
        <f t="shared" si="110"/>
        <v>0</v>
      </c>
      <c r="DT69" s="915">
        <f t="shared" si="111"/>
        <v>0</v>
      </c>
      <c r="DU69" s="915">
        <f t="shared" si="112"/>
        <v>0</v>
      </c>
      <c r="DV69" s="915">
        <f t="shared" si="113"/>
        <v>0</v>
      </c>
      <c r="DW69" s="915">
        <f t="shared" si="114"/>
        <v>0</v>
      </c>
      <c r="DX69" s="915">
        <f t="shared" si="115"/>
        <v>0</v>
      </c>
      <c r="DY69" s="915">
        <f t="shared" si="116"/>
        <v>0</v>
      </c>
      <c r="DZ69" s="915">
        <f t="shared" si="117"/>
        <v>0</v>
      </c>
      <c r="EA69" s="915">
        <f t="shared" si="118"/>
        <v>0</v>
      </c>
      <c r="EB69" s="915">
        <f t="shared" si="119"/>
        <v>0</v>
      </c>
      <c r="EC69" s="915">
        <f t="shared" si="120"/>
        <v>0</v>
      </c>
      <c r="ED69" s="915">
        <f t="shared" si="121"/>
        <v>0</v>
      </c>
      <c r="EE69" s="915">
        <f t="shared" si="122"/>
        <v>0</v>
      </c>
      <c r="EF69" s="915">
        <f t="shared" si="123"/>
        <v>0</v>
      </c>
      <c r="EG69" s="915">
        <f t="shared" si="124"/>
        <v>0</v>
      </c>
      <c r="EH69" s="915">
        <f t="shared" si="125"/>
        <v>0</v>
      </c>
      <c r="EI69" s="915">
        <f t="shared" si="126"/>
        <v>0</v>
      </c>
      <c r="EJ69" s="915">
        <f t="shared" si="127"/>
        <v>0</v>
      </c>
      <c r="EK69" s="915">
        <f t="shared" si="128"/>
        <v>0</v>
      </c>
      <c r="EL69" s="915">
        <f t="shared" si="129"/>
        <v>0</v>
      </c>
      <c r="EM69" s="915">
        <f t="shared" si="130"/>
        <v>0</v>
      </c>
      <c r="EN69" s="915">
        <f t="shared" si="131"/>
        <v>0</v>
      </c>
      <c r="EO69" s="915">
        <f t="shared" si="132"/>
        <v>0</v>
      </c>
      <c r="EP69" s="915">
        <f t="shared" si="133"/>
        <v>0</v>
      </c>
      <c r="EQ69" s="915">
        <f t="shared" si="134"/>
        <v>0</v>
      </c>
      <c r="ER69" s="915">
        <f t="shared" si="135"/>
        <v>0</v>
      </c>
      <c r="ES69" s="915">
        <f t="shared" si="136"/>
        <v>0</v>
      </c>
      <c r="ET69" s="915">
        <f t="shared" si="137"/>
        <v>0</v>
      </c>
      <c r="EU69" s="915">
        <f t="shared" si="138"/>
        <v>0</v>
      </c>
      <c r="EV69" s="915">
        <f t="shared" si="139"/>
        <v>0</v>
      </c>
      <c r="EW69" s="915">
        <f t="shared" si="140"/>
        <v>0</v>
      </c>
      <c r="EX69" s="915">
        <f t="shared" si="141"/>
        <v>0</v>
      </c>
      <c r="EY69" s="915">
        <f t="shared" si="142"/>
        <v>0</v>
      </c>
      <c r="EZ69" s="915">
        <f t="shared" si="143"/>
        <v>0</v>
      </c>
      <c r="FA69" s="915">
        <f t="shared" si="144"/>
        <v>0</v>
      </c>
      <c r="FB69" s="915">
        <f t="shared" si="145"/>
        <v>0</v>
      </c>
      <c r="FC69" s="915">
        <f t="shared" si="146"/>
        <v>0</v>
      </c>
      <c r="FD69" s="915">
        <f t="shared" si="147"/>
        <v>0</v>
      </c>
      <c r="FE69" s="915">
        <f t="shared" si="148"/>
        <v>0</v>
      </c>
      <c r="FF69" s="915">
        <f t="shared" si="149"/>
        <v>0</v>
      </c>
      <c r="FG69" s="915">
        <f t="shared" si="150"/>
        <v>0</v>
      </c>
      <c r="FH69" s="915">
        <f t="shared" si="151"/>
        <v>0</v>
      </c>
      <c r="FI69" s="915">
        <f t="shared" si="152"/>
        <v>0</v>
      </c>
      <c r="FJ69" s="915">
        <f t="shared" si="153"/>
        <v>0</v>
      </c>
      <c r="FK69" s="915">
        <f t="shared" si="154"/>
        <v>0</v>
      </c>
      <c r="FL69" s="915">
        <f t="shared" si="155"/>
        <v>0</v>
      </c>
      <c r="FM69" s="915">
        <f t="shared" si="156"/>
        <v>0</v>
      </c>
      <c r="FN69" s="915">
        <f t="shared" si="157"/>
        <v>0</v>
      </c>
      <c r="FO69" s="915">
        <f t="shared" si="158"/>
        <v>0</v>
      </c>
      <c r="FP69" s="915">
        <f t="shared" si="159"/>
        <v>0</v>
      </c>
      <c r="FQ69" s="915">
        <f t="shared" si="160"/>
        <v>0</v>
      </c>
      <c r="FR69" s="915">
        <f t="shared" si="161"/>
        <v>0</v>
      </c>
      <c r="FS69" s="915">
        <f t="shared" si="162"/>
        <v>0</v>
      </c>
      <c r="FT69" s="915">
        <f t="shared" si="163"/>
        <v>0</v>
      </c>
      <c r="FU69" s="915">
        <f t="shared" si="164"/>
        <v>0</v>
      </c>
      <c r="FV69" s="915">
        <f t="shared" si="165"/>
        <v>0</v>
      </c>
      <c r="FW69" s="915">
        <f t="shared" si="166"/>
        <v>0</v>
      </c>
      <c r="FX69" s="915">
        <f t="shared" si="167"/>
        <v>0</v>
      </c>
      <c r="FY69" s="915">
        <f t="shared" si="168"/>
        <v>0</v>
      </c>
      <c r="FZ69" s="915">
        <f t="shared" si="169"/>
        <v>0</v>
      </c>
    </row>
    <row r="70" spans="1:182" x14ac:dyDescent="0.2">
      <c r="A70" s="496">
        <v>63</v>
      </c>
      <c r="B70" s="1419"/>
      <c r="C70" s="1433"/>
      <c r="D70" s="264">
        <v>8</v>
      </c>
      <c r="E70" s="264" t="s">
        <v>48</v>
      </c>
      <c r="F70" s="270" t="s">
        <v>2544</v>
      </c>
      <c r="G70" s="270" t="s">
        <v>2542</v>
      </c>
      <c r="H70" s="272">
        <v>7</v>
      </c>
      <c r="I70" s="268">
        <f t="shared" si="174"/>
        <v>0.42</v>
      </c>
      <c r="J70" s="269">
        <f t="shared" si="175"/>
        <v>7.42</v>
      </c>
      <c r="K70" s="225"/>
      <c r="N70" s="942">
        <f>CG6</f>
        <v>7.42</v>
      </c>
      <c r="O70" s="915" t="str">
        <f>"Miscellaneous for "&amp;TabName8</f>
        <v>Miscellaneous for Phase 8</v>
      </c>
      <c r="P70" s="949" t="s">
        <v>575</v>
      </c>
      <c r="W70" s="915">
        <f t="shared" si="8"/>
        <v>0</v>
      </c>
      <c r="X70" s="915">
        <f t="shared" si="9"/>
        <v>0</v>
      </c>
      <c r="Y70" s="915">
        <f t="shared" si="10"/>
        <v>0</v>
      </c>
      <c r="Z70" s="915">
        <f t="shared" si="13"/>
        <v>0</v>
      </c>
      <c r="AA70" s="915">
        <f t="shared" si="14"/>
        <v>0</v>
      </c>
      <c r="AB70" s="915">
        <f t="shared" si="15"/>
        <v>0</v>
      </c>
      <c r="AC70" s="915">
        <f t="shared" si="16"/>
        <v>0</v>
      </c>
      <c r="AD70" s="915">
        <f t="shared" si="17"/>
        <v>0</v>
      </c>
      <c r="AE70" s="915">
        <f t="shared" si="18"/>
        <v>0</v>
      </c>
      <c r="AF70" s="915">
        <f t="shared" si="19"/>
        <v>0</v>
      </c>
      <c r="AG70" s="915">
        <f t="shared" si="20"/>
        <v>0</v>
      </c>
      <c r="AH70" s="915">
        <f t="shared" si="21"/>
        <v>0</v>
      </c>
      <c r="AI70" s="915">
        <f t="shared" si="22"/>
        <v>0</v>
      </c>
      <c r="AJ70" s="915">
        <f t="shared" si="23"/>
        <v>0</v>
      </c>
      <c r="AK70" s="915">
        <f t="shared" si="24"/>
        <v>0</v>
      </c>
      <c r="AL70" s="915">
        <f t="shared" si="25"/>
        <v>0</v>
      </c>
      <c r="AM70" s="915">
        <f t="shared" si="26"/>
        <v>0</v>
      </c>
      <c r="AN70" s="915">
        <f t="shared" si="27"/>
        <v>0</v>
      </c>
      <c r="AO70" s="915">
        <f t="shared" si="28"/>
        <v>0</v>
      </c>
      <c r="AP70" s="915">
        <f t="shared" si="29"/>
        <v>0</v>
      </c>
      <c r="AQ70" s="915">
        <f t="shared" si="30"/>
        <v>0</v>
      </c>
      <c r="AR70" s="915">
        <f t="shared" si="31"/>
        <v>0</v>
      </c>
      <c r="AS70" s="915">
        <f t="shared" si="32"/>
        <v>0</v>
      </c>
      <c r="AT70" s="915">
        <f t="shared" si="33"/>
        <v>0</v>
      </c>
      <c r="AU70" s="915">
        <f t="shared" si="34"/>
        <v>0</v>
      </c>
      <c r="AV70" s="915">
        <f t="shared" si="35"/>
        <v>0</v>
      </c>
      <c r="AW70" s="915">
        <f t="shared" si="36"/>
        <v>0</v>
      </c>
      <c r="AX70" s="915">
        <f t="shared" si="37"/>
        <v>0</v>
      </c>
      <c r="AY70" s="915">
        <f t="shared" si="38"/>
        <v>0</v>
      </c>
      <c r="AZ70" s="915">
        <f t="shared" si="39"/>
        <v>0</v>
      </c>
      <c r="BA70" s="915">
        <f t="shared" si="40"/>
        <v>0</v>
      </c>
      <c r="BB70" s="915">
        <f t="shared" si="41"/>
        <v>0</v>
      </c>
      <c r="BC70" s="915">
        <f t="shared" si="42"/>
        <v>0</v>
      </c>
      <c r="BD70" s="915">
        <f t="shared" si="43"/>
        <v>0</v>
      </c>
      <c r="BE70" s="915">
        <f t="shared" si="44"/>
        <v>0</v>
      </c>
      <c r="BF70" s="915">
        <f t="shared" si="45"/>
        <v>0</v>
      </c>
      <c r="BG70" s="915">
        <f t="shared" si="46"/>
        <v>0</v>
      </c>
      <c r="BH70" s="915">
        <f t="shared" si="47"/>
        <v>0</v>
      </c>
      <c r="BI70" s="915">
        <f t="shared" si="48"/>
        <v>0</v>
      </c>
      <c r="BJ70" s="915">
        <f t="shared" si="49"/>
        <v>0</v>
      </c>
      <c r="BK70" s="915">
        <f t="shared" si="50"/>
        <v>0</v>
      </c>
      <c r="BL70" s="915">
        <f t="shared" si="51"/>
        <v>0</v>
      </c>
      <c r="BM70" s="915">
        <f t="shared" si="52"/>
        <v>0</v>
      </c>
      <c r="BN70" s="915">
        <f t="shared" si="53"/>
        <v>0</v>
      </c>
      <c r="BO70" s="915">
        <f t="shared" si="54"/>
        <v>0</v>
      </c>
      <c r="BP70" s="915">
        <f t="shared" si="55"/>
        <v>0</v>
      </c>
      <c r="BQ70" s="915">
        <f t="shared" si="56"/>
        <v>0</v>
      </c>
      <c r="BR70" s="915">
        <f t="shared" si="57"/>
        <v>0</v>
      </c>
      <c r="BS70" s="915">
        <f t="shared" si="58"/>
        <v>0</v>
      </c>
      <c r="BT70" s="915">
        <f t="shared" si="59"/>
        <v>0</v>
      </c>
      <c r="BU70" s="915">
        <f t="shared" si="60"/>
        <v>0</v>
      </c>
      <c r="BV70" s="915">
        <f t="shared" si="61"/>
        <v>0</v>
      </c>
      <c r="BW70" s="915">
        <f t="shared" si="62"/>
        <v>0</v>
      </c>
      <c r="BX70" s="915">
        <f t="shared" si="63"/>
        <v>0</v>
      </c>
      <c r="BY70" s="915">
        <f t="shared" si="64"/>
        <v>0</v>
      </c>
      <c r="BZ70" s="915">
        <f t="shared" si="65"/>
        <v>0</v>
      </c>
      <c r="CA70" s="915">
        <f>IF(AND($D70=$R$15,$E70=$T$8),$J70,0)</f>
        <v>0</v>
      </c>
      <c r="CB70" s="915">
        <f>IF(AND($D70=$R$15,$E70=$T$9),$J70,0)</f>
        <v>0</v>
      </c>
      <c r="CC70" s="915">
        <f>IF(AND($D70=$R$15,$E70=$T$10),$J70,0)</f>
        <v>0</v>
      </c>
      <c r="CD70" s="915">
        <f>IF(AND($D70=$R$15,$E70=$T$11),$J70,0)</f>
        <v>0</v>
      </c>
      <c r="CE70" s="915">
        <f>IF(AND($D70=$R$15,$E70=$T$12),$J70,0)</f>
        <v>0</v>
      </c>
      <c r="CF70" s="915">
        <f>IF(AND($D70=$R$15,$E70=$T$13),$J70,0)</f>
        <v>0</v>
      </c>
      <c r="CG70" s="915">
        <f>IF(AND($D70=$R$15,$E70=$T$14),$J70,0)</f>
        <v>7.42</v>
      </c>
      <c r="CH70" s="915">
        <f>IF(AND($D70=$R$15,$E70=$T$15),$J70,0)</f>
        <v>0</v>
      </c>
      <c r="CI70" s="915">
        <f>IF(AND($D70=$R$16,$E70=$T$8),$J70,0)</f>
        <v>0</v>
      </c>
      <c r="CJ70" s="915">
        <f>IF(AND($D70=$R$16,$E70=$T$9),$J70,0)</f>
        <v>0</v>
      </c>
      <c r="CK70" s="915">
        <f>IF(AND($D70=$R$16,$E70=$T$10),$J70,0)</f>
        <v>0</v>
      </c>
      <c r="CL70" s="915">
        <f>IF(AND($D70=$R$16,$E70=$T$11),$J70,0)</f>
        <v>0</v>
      </c>
      <c r="CM70" s="915">
        <f>IF(AND($D70=$R$16,$E70=$T$12),$J70,0)</f>
        <v>0</v>
      </c>
      <c r="CN70" s="915">
        <f>IF(AND($D70=$R$16,$E70=$T$13),$J70,0)</f>
        <v>0</v>
      </c>
      <c r="CO70" s="915">
        <f>IF(AND($D70=$R$16,$E70=$T$14),$J70,0)</f>
        <v>0</v>
      </c>
      <c r="CP70" s="915">
        <f>IF(AND($D70=$R$16,$E70=$T$15),$J70,0)</f>
        <v>0</v>
      </c>
      <c r="CQ70" s="915">
        <f t="shared" si="82"/>
        <v>0</v>
      </c>
      <c r="CR70" s="915">
        <f t="shared" si="83"/>
        <v>0</v>
      </c>
      <c r="CS70" s="915">
        <f t="shared" si="84"/>
        <v>0</v>
      </c>
      <c r="CT70" s="915">
        <f t="shared" si="85"/>
        <v>0</v>
      </c>
      <c r="CU70" s="915">
        <f t="shared" si="86"/>
        <v>0</v>
      </c>
      <c r="CV70" s="915">
        <f t="shared" si="87"/>
        <v>0</v>
      </c>
      <c r="CW70" s="915">
        <f t="shared" si="88"/>
        <v>0</v>
      </c>
      <c r="CX70" s="915">
        <f t="shared" si="89"/>
        <v>0</v>
      </c>
      <c r="CY70" s="915">
        <f>IF(AND($D70=$R$18,$E70=$T$8),$J70,0)</f>
        <v>0</v>
      </c>
      <c r="CZ70" s="915">
        <f>IF(AND($D70=$R$18,$E70=$T$9),$J70,0)</f>
        <v>0</v>
      </c>
      <c r="DA70" s="915">
        <f>IF(AND($D70=$R$18,$E70=$T$10),$J70,0)</f>
        <v>0</v>
      </c>
      <c r="DB70" s="915">
        <f>IF(AND($D70=$R$18,$E70=$T$11),$J70,0)</f>
        <v>0</v>
      </c>
      <c r="DC70" s="915">
        <f>IF(AND($D70=$R$18,$E70=$T$12),$J70,0)</f>
        <v>0</v>
      </c>
      <c r="DD70" s="915">
        <f>IF(AND($D70=$R$18,$E70=$T$13),$J70,0)</f>
        <v>0</v>
      </c>
      <c r="DE70" s="915">
        <f>IF(AND($D70=$R$18,$E70=$T$14),$J70,0)</f>
        <v>0</v>
      </c>
      <c r="DF70" s="915">
        <f>IF(AND($D70=$R$18,$E70=$T$15),$J70,0)</f>
        <v>0</v>
      </c>
      <c r="DG70" s="915">
        <f t="shared" si="98"/>
        <v>0</v>
      </c>
      <c r="DH70" s="915">
        <f t="shared" si="99"/>
        <v>0</v>
      </c>
      <c r="DI70" s="915">
        <f t="shared" si="100"/>
        <v>0</v>
      </c>
      <c r="DJ70" s="915">
        <f t="shared" si="101"/>
        <v>0</v>
      </c>
      <c r="DK70" s="915">
        <f t="shared" si="102"/>
        <v>0</v>
      </c>
      <c r="DL70" s="915">
        <f t="shared" si="103"/>
        <v>0</v>
      </c>
      <c r="DM70" s="915">
        <f t="shared" si="104"/>
        <v>0</v>
      </c>
      <c r="DN70" s="915">
        <f t="shared" si="105"/>
        <v>0</v>
      </c>
      <c r="DO70" s="915">
        <f t="shared" si="106"/>
        <v>0</v>
      </c>
      <c r="DP70" s="915">
        <f t="shared" si="107"/>
        <v>0</v>
      </c>
      <c r="DQ70" s="915">
        <f t="shared" si="108"/>
        <v>0</v>
      </c>
      <c r="DR70" s="915">
        <f t="shared" si="109"/>
        <v>0</v>
      </c>
      <c r="DS70" s="915">
        <f t="shared" si="110"/>
        <v>0</v>
      </c>
      <c r="DT70" s="915">
        <f t="shared" si="111"/>
        <v>0</v>
      </c>
      <c r="DU70" s="915">
        <f t="shared" si="112"/>
        <v>0</v>
      </c>
      <c r="DV70" s="915">
        <f t="shared" si="113"/>
        <v>0</v>
      </c>
      <c r="DW70" s="915">
        <f t="shared" si="114"/>
        <v>0</v>
      </c>
      <c r="DX70" s="915">
        <f t="shared" si="115"/>
        <v>0</v>
      </c>
      <c r="DY70" s="915">
        <f t="shared" si="116"/>
        <v>0</v>
      </c>
      <c r="DZ70" s="915">
        <f t="shared" si="117"/>
        <v>0</v>
      </c>
      <c r="EA70" s="915">
        <f t="shared" si="118"/>
        <v>0</v>
      </c>
      <c r="EB70" s="915">
        <f t="shared" si="119"/>
        <v>0</v>
      </c>
      <c r="EC70" s="915">
        <f t="shared" si="120"/>
        <v>0</v>
      </c>
      <c r="ED70" s="915">
        <f t="shared" si="121"/>
        <v>0</v>
      </c>
      <c r="EE70" s="915">
        <f t="shared" si="122"/>
        <v>0</v>
      </c>
      <c r="EF70" s="915">
        <f t="shared" si="123"/>
        <v>0</v>
      </c>
      <c r="EG70" s="915">
        <f t="shared" si="124"/>
        <v>0</v>
      </c>
      <c r="EH70" s="915">
        <f t="shared" si="125"/>
        <v>0</v>
      </c>
      <c r="EI70" s="915">
        <f t="shared" si="126"/>
        <v>0</v>
      </c>
      <c r="EJ70" s="915">
        <f t="shared" si="127"/>
        <v>0</v>
      </c>
      <c r="EK70" s="915">
        <f t="shared" si="128"/>
        <v>0</v>
      </c>
      <c r="EL70" s="915">
        <f t="shared" si="129"/>
        <v>0</v>
      </c>
      <c r="EM70" s="915">
        <f t="shared" si="130"/>
        <v>0</v>
      </c>
      <c r="EN70" s="915">
        <f t="shared" si="131"/>
        <v>0</v>
      </c>
      <c r="EO70" s="915">
        <f t="shared" si="132"/>
        <v>0</v>
      </c>
      <c r="EP70" s="915">
        <f t="shared" si="133"/>
        <v>0</v>
      </c>
      <c r="EQ70" s="915">
        <f t="shared" si="134"/>
        <v>0</v>
      </c>
      <c r="ER70" s="915">
        <f t="shared" si="135"/>
        <v>0</v>
      </c>
      <c r="ES70" s="915">
        <f t="shared" si="136"/>
        <v>0</v>
      </c>
      <c r="ET70" s="915">
        <f t="shared" si="137"/>
        <v>0</v>
      </c>
      <c r="EU70" s="915">
        <f t="shared" si="138"/>
        <v>0</v>
      </c>
      <c r="EV70" s="915">
        <f t="shared" si="139"/>
        <v>0</v>
      </c>
      <c r="EW70" s="915">
        <f t="shared" si="140"/>
        <v>0</v>
      </c>
      <c r="EX70" s="915">
        <f t="shared" si="141"/>
        <v>0</v>
      </c>
      <c r="EY70" s="915">
        <f t="shared" si="142"/>
        <v>0</v>
      </c>
      <c r="EZ70" s="915">
        <f t="shared" si="143"/>
        <v>0</v>
      </c>
      <c r="FA70" s="915">
        <f t="shared" si="144"/>
        <v>0</v>
      </c>
      <c r="FB70" s="915">
        <f t="shared" si="145"/>
        <v>0</v>
      </c>
      <c r="FC70" s="915">
        <f t="shared" si="146"/>
        <v>0</v>
      </c>
      <c r="FD70" s="915">
        <f t="shared" si="147"/>
        <v>0</v>
      </c>
      <c r="FE70" s="915">
        <f t="shared" si="148"/>
        <v>0</v>
      </c>
      <c r="FF70" s="915">
        <f t="shared" si="149"/>
        <v>0</v>
      </c>
      <c r="FG70" s="915">
        <f t="shared" si="150"/>
        <v>0</v>
      </c>
      <c r="FH70" s="915">
        <f t="shared" si="151"/>
        <v>0</v>
      </c>
      <c r="FI70" s="915">
        <f t="shared" si="152"/>
        <v>0</v>
      </c>
      <c r="FJ70" s="915">
        <f t="shared" si="153"/>
        <v>0</v>
      </c>
      <c r="FK70" s="915">
        <f t="shared" si="154"/>
        <v>0</v>
      </c>
      <c r="FL70" s="915">
        <f t="shared" si="155"/>
        <v>0</v>
      </c>
      <c r="FM70" s="915">
        <f t="shared" si="156"/>
        <v>0</v>
      </c>
      <c r="FN70" s="915">
        <f t="shared" si="157"/>
        <v>0</v>
      </c>
      <c r="FO70" s="915">
        <f t="shared" si="158"/>
        <v>0</v>
      </c>
      <c r="FP70" s="915">
        <f t="shared" si="159"/>
        <v>0</v>
      </c>
      <c r="FQ70" s="915">
        <f t="shared" si="160"/>
        <v>0</v>
      </c>
      <c r="FR70" s="915">
        <f t="shared" si="161"/>
        <v>0</v>
      </c>
      <c r="FS70" s="915">
        <f t="shared" si="162"/>
        <v>0</v>
      </c>
      <c r="FT70" s="915">
        <f t="shared" si="163"/>
        <v>0</v>
      </c>
      <c r="FU70" s="915">
        <f t="shared" si="164"/>
        <v>0</v>
      </c>
      <c r="FV70" s="915">
        <f t="shared" si="165"/>
        <v>0</v>
      </c>
      <c r="FW70" s="915">
        <f t="shared" si="166"/>
        <v>0</v>
      </c>
      <c r="FX70" s="915">
        <f t="shared" si="167"/>
        <v>0</v>
      </c>
      <c r="FY70" s="915">
        <f t="shared" si="168"/>
        <v>0</v>
      </c>
      <c r="FZ70" s="915">
        <f t="shared" si="169"/>
        <v>0</v>
      </c>
    </row>
    <row r="71" spans="1:182" x14ac:dyDescent="0.2">
      <c r="A71" s="497">
        <v>64</v>
      </c>
      <c r="B71" s="1423"/>
      <c r="C71" s="1424"/>
      <c r="D71" s="138">
        <v>8</v>
      </c>
      <c r="E71" s="1020" t="s">
        <v>27</v>
      </c>
      <c r="F71" s="139" t="s">
        <v>2544</v>
      </c>
      <c r="G71" s="139" t="s">
        <v>2542</v>
      </c>
      <c r="H71" s="100">
        <v>7</v>
      </c>
      <c r="I71" s="119">
        <f t="shared" si="174"/>
        <v>0.42</v>
      </c>
      <c r="J71" s="90">
        <f t="shared" si="175"/>
        <v>7.42</v>
      </c>
      <c r="K71" s="225"/>
      <c r="N71" s="942">
        <f>CH6</f>
        <v>7.42</v>
      </c>
      <c r="O71" s="879" t="str">
        <f>"Contractor Labor for " &amp; TabName8</f>
        <v>Contractor Labor for Phase 8</v>
      </c>
      <c r="P71" s="950" t="s">
        <v>576</v>
      </c>
      <c r="W71" s="915">
        <f t="shared" si="8"/>
        <v>0</v>
      </c>
      <c r="X71" s="915">
        <f t="shared" si="9"/>
        <v>0</v>
      </c>
      <c r="Y71" s="915">
        <f t="shared" si="10"/>
        <v>0</v>
      </c>
      <c r="Z71" s="915">
        <f t="shared" si="13"/>
        <v>0</v>
      </c>
      <c r="AA71" s="915">
        <f t="shared" si="14"/>
        <v>0</v>
      </c>
      <c r="AB71" s="915">
        <f t="shared" si="15"/>
        <v>0</v>
      </c>
      <c r="AC71" s="915">
        <f t="shared" si="16"/>
        <v>0</v>
      </c>
      <c r="AD71" s="915">
        <f t="shared" si="17"/>
        <v>0</v>
      </c>
      <c r="AE71" s="915">
        <f t="shared" si="18"/>
        <v>0</v>
      </c>
      <c r="AF71" s="915">
        <f t="shared" si="19"/>
        <v>0</v>
      </c>
      <c r="AG71" s="915">
        <f t="shared" si="20"/>
        <v>0</v>
      </c>
      <c r="AH71" s="915">
        <f t="shared" si="21"/>
        <v>0</v>
      </c>
      <c r="AI71" s="915">
        <f t="shared" si="22"/>
        <v>0</v>
      </c>
      <c r="AJ71" s="915">
        <f t="shared" si="23"/>
        <v>0</v>
      </c>
      <c r="AK71" s="915">
        <f t="shared" si="24"/>
        <v>0</v>
      </c>
      <c r="AL71" s="915">
        <f t="shared" si="25"/>
        <v>0</v>
      </c>
      <c r="AM71" s="915">
        <f t="shared" si="26"/>
        <v>0</v>
      </c>
      <c r="AN71" s="915">
        <f t="shared" si="27"/>
        <v>0</v>
      </c>
      <c r="AO71" s="915">
        <f t="shared" si="28"/>
        <v>0</v>
      </c>
      <c r="AP71" s="915">
        <f t="shared" si="29"/>
        <v>0</v>
      </c>
      <c r="AQ71" s="915">
        <f t="shared" si="30"/>
        <v>0</v>
      </c>
      <c r="AR71" s="915">
        <f t="shared" si="31"/>
        <v>0</v>
      </c>
      <c r="AS71" s="915">
        <f t="shared" si="32"/>
        <v>0</v>
      </c>
      <c r="AT71" s="915">
        <f t="shared" si="33"/>
        <v>0</v>
      </c>
      <c r="AU71" s="915">
        <f t="shared" si="34"/>
        <v>0</v>
      </c>
      <c r="AV71" s="915">
        <f t="shared" si="35"/>
        <v>0</v>
      </c>
      <c r="AW71" s="915">
        <f t="shared" si="36"/>
        <v>0</v>
      </c>
      <c r="AX71" s="915">
        <f t="shared" si="37"/>
        <v>0</v>
      </c>
      <c r="AY71" s="915">
        <f t="shared" si="38"/>
        <v>0</v>
      </c>
      <c r="AZ71" s="915">
        <f t="shared" si="39"/>
        <v>0</v>
      </c>
      <c r="BA71" s="915">
        <f t="shared" si="40"/>
        <v>0</v>
      </c>
      <c r="BB71" s="915">
        <f t="shared" si="41"/>
        <v>0</v>
      </c>
      <c r="BC71" s="915">
        <f t="shared" si="42"/>
        <v>0</v>
      </c>
      <c r="BD71" s="915">
        <f t="shared" si="43"/>
        <v>0</v>
      </c>
      <c r="BE71" s="915">
        <f t="shared" si="44"/>
        <v>0</v>
      </c>
      <c r="BF71" s="915">
        <f t="shared" si="45"/>
        <v>0</v>
      </c>
      <c r="BG71" s="915">
        <f t="shared" si="46"/>
        <v>0</v>
      </c>
      <c r="BH71" s="915">
        <f t="shared" si="47"/>
        <v>0</v>
      </c>
      <c r="BI71" s="915">
        <f t="shared" si="48"/>
        <v>0</v>
      </c>
      <c r="BJ71" s="915">
        <f t="shared" si="49"/>
        <v>0</v>
      </c>
      <c r="BK71" s="915">
        <f t="shared" si="50"/>
        <v>0</v>
      </c>
      <c r="BL71" s="915">
        <f t="shared" si="51"/>
        <v>0</v>
      </c>
      <c r="BM71" s="915">
        <f t="shared" si="52"/>
        <v>0</v>
      </c>
      <c r="BN71" s="915">
        <f t="shared" si="53"/>
        <v>0</v>
      </c>
      <c r="BO71" s="915">
        <f t="shared" si="54"/>
        <v>0</v>
      </c>
      <c r="BP71" s="915">
        <f t="shared" si="55"/>
        <v>0</v>
      </c>
      <c r="BQ71" s="915">
        <f t="shared" si="56"/>
        <v>0</v>
      </c>
      <c r="BR71" s="915">
        <f t="shared" si="57"/>
        <v>0</v>
      </c>
      <c r="BS71" s="915">
        <f t="shared" si="58"/>
        <v>0</v>
      </c>
      <c r="BT71" s="915">
        <f t="shared" si="59"/>
        <v>0</v>
      </c>
      <c r="BU71" s="915">
        <f t="shared" si="60"/>
        <v>0</v>
      </c>
      <c r="BV71" s="915">
        <f t="shared" si="61"/>
        <v>0</v>
      </c>
      <c r="BW71" s="915">
        <f t="shared" si="62"/>
        <v>0</v>
      </c>
      <c r="BX71" s="915">
        <f t="shared" si="63"/>
        <v>0</v>
      </c>
      <c r="BY71" s="915">
        <f t="shared" si="64"/>
        <v>0</v>
      </c>
      <c r="BZ71" s="915">
        <f t="shared" si="65"/>
        <v>0</v>
      </c>
      <c r="CA71" s="915">
        <f>IF(AND($D71=$R$15,$E71=$T$8),$J71,0)</f>
        <v>0</v>
      </c>
      <c r="CB71" s="915">
        <f>IF(AND($D71=$R$15,$E71=$T$9),$J71,0)</f>
        <v>0</v>
      </c>
      <c r="CC71" s="915">
        <f>IF(AND($D71=$R$15,$E71=$T$10),$J71,0)</f>
        <v>0</v>
      </c>
      <c r="CD71" s="915">
        <f>IF(AND($D71=$R$15,$E71=$T$11),$J71,0)</f>
        <v>0</v>
      </c>
      <c r="CE71" s="915">
        <f>IF(AND($D71=$R$15,$E71=$T$12),$J71,0)</f>
        <v>0</v>
      </c>
      <c r="CF71" s="915">
        <f>IF(AND($D71=$R$15,$E71=$T$13),$J71,0)</f>
        <v>0</v>
      </c>
      <c r="CG71" s="915">
        <f>IF(AND($D71=$R$15,$E71=$T$14),$J71,0)</f>
        <v>0</v>
      </c>
      <c r="CH71" s="915">
        <f>IF(AND($D71=$R$15,$E71=$T$15),$J71,0)</f>
        <v>7.42</v>
      </c>
      <c r="CI71" s="915">
        <f t="shared" si="74"/>
        <v>0</v>
      </c>
      <c r="CJ71" s="915">
        <f t="shared" si="75"/>
        <v>0</v>
      </c>
      <c r="CK71" s="915">
        <f t="shared" si="76"/>
        <v>0</v>
      </c>
      <c r="CL71" s="915">
        <f t="shared" si="77"/>
        <v>0</v>
      </c>
      <c r="CM71" s="915">
        <f t="shared" si="78"/>
        <v>0</v>
      </c>
      <c r="CN71" s="915">
        <f t="shared" si="79"/>
        <v>0</v>
      </c>
      <c r="CO71" s="915">
        <f t="shared" si="80"/>
        <v>0</v>
      </c>
      <c r="CP71" s="915">
        <f t="shared" si="81"/>
        <v>0</v>
      </c>
      <c r="CQ71" s="915">
        <f t="shared" si="82"/>
        <v>0</v>
      </c>
      <c r="CR71" s="915">
        <f t="shared" si="83"/>
        <v>0</v>
      </c>
      <c r="CS71" s="915">
        <f t="shared" si="84"/>
        <v>0</v>
      </c>
      <c r="CT71" s="915">
        <f t="shared" si="85"/>
        <v>0</v>
      </c>
      <c r="CU71" s="915">
        <f t="shared" si="86"/>
        <v>0</v>
      </c>
      <c r="CV71" s="915">
        <f t="shared" si="87"/>
        <v>0</v>
      </c>
      <c r="CW71" s="915">
        <f t="shared" si="88"/>
        <v>0</v>
      </c>
      <c r="CX71" s="915">
        <f t="shared" si="89"/>
        <v>0</v>
      </c>
      <c r="CY71" s="915">
        <f>IF(AND($D71=$R$18,$E71=$T$8),$J71,0)</f>
        <v>0</v>
      </c>
      <c r="CZ71" s="915">
        <f>IF(AND($D71=$R$18,$E71=$T$9),$J71,0)</f>
        <v>0</v>
      </c>
      <c r="DA71" s="915">
        <f>IF(AND($D71=$R$18,$E71=$T$10),$J71,0)</f>
        <v>0</v>
      </c>
      <c r="DB71" s="915">
        <f>IF(AND($D71=$R$18,$E71=$T$11),$J71,0)</f>
        <v>0</v>
      </c>
      <c r="DC71" s="915">
        <f>IF(AND($D71=$R$18,$E71=$T$12),$J71,0)</f>
        <v>0</v>
      </c>
      <c r="DD71" s="915">
        <f>IF(AND($D71=$R$18,$E71=$T$13),$J71,0)</f>
        <v>0</v>
      </c>
      <c r="DE71" s="915">
        <f>IF(AND($D71=$R$18,$E71=$T$14),$J71,0)</f>
        <v>0</v>
      </c>
      <c r="DF71" s="915">
        <f>IF(AND($D71=$R$18,$E71=$T$15),$J71,0)</f>
        <v>0</v>
      </c>
      <c r="DG71" s="915">
        <f t="shared" si="98"/>
        <v>0</v>
      </c>
      <c r="DH71" s="915">
        <f t="shared" si="99"/>
        <v>0</v>
      </c>
      <c r="DI71" s="915">
        <f t="shared" si="100"/>
        <v>0</v>
      </c>
      <c r="DJ71" s="915">
        <f t="shared" si="101"/>
        <v>0</v>
      </c>
      <c r="DK71" s="915">
        <f t="shared" si="102"/>
        <v>0</v>
      </c>
      <c r="DL71" s="915">
        <f t="shared" si="103"/>
        <v>0</v>
      </c>
      <c r="DM71" s="915">
        <f t="shared" si="104"/>
        <v>0</v>
      </c>
      <c r="DN71" s="915">
        <f t="shared" si="105"/>
        <v>0</v>
      </c>
      <c r="DO71" s="915">
        <f t="shared" si="106"/>
        <v>0</v>
      </c>
      <c r="DP71" s="915">
        <f t="shared" si="107"/>
        <v>0</v>
      </c>
      <c r="DQ71" s="915">
        <f t="shared" si="108"/>
        <v>0</v>
      </c>
      <c r="DR71" s="915">
        <f t="shared" si="109"/>
        <v>0</v>
      </c>
      <c r="DS71" s="915">
        <f t="shared" si="110"/>
        <v>0</v>
      </c>
      <c r="DT71" s="915">
        <f t="shared" si="111"/>
        <v>0</v>
      </c>
      <c r="DU71" s="915">
        <f t="shared" si="112"/>
        <v>0</v>
      </c>
      <c r="DV71" s="915">
        <f t="shared" si="113"/>
        <v>0</v>
      </c>
      <c r="DW71" s="915">
        <f t="shared" si="114"/>
        <v>0</v>
      </c>
      <c r="DX71" s="915">
        <f t="shared" si="115"/>
        <v>0</v>
      </c>
      <c r="DY71" s="915">
        <f t="shared" si="116"/>
        <v>0</v>
      </c>
      <c r="DZ71" s="915">
        <f t="shared" si="117"/>
        <v>0</v>
      </c>
      <c r="EA71" s="915">
        <f t="shared" si="118"/>
        <v>0</v>
      </c>
      <c r="EB71" s="915">
        <f t="shared" si="119"/>
        <v>0</v>
      </c>
      <c r="EC71" s="915">
        <f t="shared" si="120"/>
        <v>0</v>
      </c>
      <c r="ED71" s="915">
        <f t="shared" si="121"/>
        <v>0</v>
      </c>
      <c r="EE71" s="915">
        <f t="shared" si="122"/>
        <v>0</v>
      </c>
      <c r="EF71" s="915">
        <f t="shared" si="123"/>
        <v>0</v>
      </c>
      <c r="EG71" s="915">
        <f t="shared" si="124"/>
        <v>0</v>
      </c>
      <c r="EH71" s="915">
        <f t="shared" si="125"/>
        <v>0</v>
      </c>
      <c r="EI71" s="915">
        <f t="shared" si="126"/>
        <v>0</v>
      </c>
      <c r="EJ71" s="915">
        <f t="shared" si="127"/>
        <v>0</v>
      </c>
      <c r="EK71" s="915">
        <f t="shared" si="128"/>
        <v>0</v>
      </c>
      <c r="EL71" s="915">
        <f t="shared" si="129"/>
        <v>0</v>
      </c>
      <c r="EM71" s="915">
        <f t="shared" si="130"/>
        <v>0</v>
      </c>
      <c r="EN71" s="915">
        <f t="shared" si="131"/>
        <v>0</v>
      </c>
      <c r="EO71" s="915">
        <f t="shared" si="132"/>
        <v>0</v>
      </c>
      <c r="EP71" s="915">
        <f t="shared" si="133"/>
        <v>0</v>
      </c>
      <c r="EQ71" s="915">
        <f t="shared" si="134"/>
        <v>0</v>
      </c>
      <c r="ER71" s="915">
        <f t="shared" si="135"/>
        <v>0</v>
      </c>
      <c r="ES71" s="915">
        <f t="shared" si="136"/>
        <v>0</v>
      </c>
      <c r="ET71" s="915">
        <f t="shared" si="137"/>
        <v>0</v>
      </c>
      <c r="EU71" s="915">
        <f t="shared" si="138"/>
        <v>0</v>
      </c>
      <c r="EV71" s="915">
        <f t="shared" si="139"/>
        <v>0</v>
      </c>
      <c r="EW71" s="915">
        <f t="shared" si="140"/>
        <v>0</v>
      </c>
      <c r="EX71" s="915">
        <f t="shared" si="141"/>
        <v>0</v>
      </c>
      <c r="EY71" s="915">
        <f t="shared" si="142"/>
        <v>0</v>
      </c>
      <c r="EZ71" s="915">
        <f t="shared" si="143"/>
        <v>0</v>
      </c>
      <c r="FA71" s="915">
        <f t="shared" si="144"/>
        <v>0</v>
      </c>
      <c r="FB71" s="915">
        <f t="shared" si="145"/>
        <v>0</v>
      </c>
      <c r="FC71" s="915">
        <f t="shared" si="146"/>
        <v>0</v>
      </c>
      <c r="FD71" s="915">
        <f t="shared" si="147"/>
        <v>0</v>
      </c>
      <c r="FE71" s="915">
        <f t="shared" si="148"/>
        <v>0</v>
      </c>
      <c r="FF71" s="915">
        <f t="shared" si="149"/>
        <v>0</v>
      </c>
      <c r="FG71" s="915">
        <f t="shared" si="150"/>
        <v>0</v>
      </c>
      <c r="FH71" s="915">
        <f t="shared" si="151"/>
        <v>0</v>
      </c>
      <c r="FI71" s="915">
        <f t="shared" si="152"/>
        <v>0</v>
      </c>
      <c r="FJ71" s="915">
        <f t="shared" si="153"/>
        <v>0</v>
      </c>
      <c r="FK71" s="915">
        <f t="shared" si="154"/>
        <v>0</v>
      </c>
      <c r="FL71" s="915">
        <f t="shared" si="155"/>
        <v>0</v>
      </c>
      <c r="FM71" s="915">
        <f t="shared" si="156"/>
        <v>0</v>
      </c>
      <c r="FN71" s="915">
        <f t="shared" si="157"/>
        <v>0</v>
      </c>
      <c r="FO71" s="915">
        <f t="shared" si="158"/>
        <v>0</v>
      </c>
      <c r="FP71" s="915">
        <f t="shared" si="159"/>
        <v>0</v>
      </c>
      <c r="FQ71" s="915">
        <f t="shared" si="160"/>
        <v>0</v>
      </c>
      <c r="FR71" s="915">
        <f t="shared" si="161"/>
        <v>0</v>
      </c>
      <c r="FS71" s="915">
        <f t="shared" si="162"/>
        <v>0</v>
      </c>
      <c r="FT71" s="915">
        <f t="shared" si="163"/>
        <v>0</v>
      </c>
      <c r="FU71" s="915">
        <f t="shared" si="164"/>
        <v>0</v>
      </c>
      <c r="FV71" s="915">
        <f t="shared" si="165"/>
        <v>0</v>
      </c>
      <c r="FW71" s="915">
        <f t="shared" si="166"/>
        <v>0</v>
      </c>
      <c r="FX71" s="915">
        <f t="shared" si="167"/>
        <v>0</v>
      </c>
      <c r="FY71" s="915">
        <f t="shared" si="168"/>
        <v>0</v>
      </c>
      <c r="FZ71" s="915">
        <f t="shared" si="169"/>
        <v>0</v>
      </c>
    </row>
    <row r="72" spans="1:182" x14ac:dyDescent="0.2">
      <c r="A72" s="496">
        <v>65</v>
      </c>
      <c r="B72" s="1419"/>
      <c r="C72" s="1433"/>
      <c r="D72" s="264">
        <v>9</v>
      </c>
      <c r="E72" s="264" t="s">
        <v>193</v>
      </c>
      <c r="F72" s="270" t="s">
        <v>2544</v>
      </c>
      <c r="G72" s="270" t="s">
        <v>2542</v>
      </c>
      <c r="H72" s="272">
        <v>7</v>
      </c>
      <c r="I72" s="268">
        <f t="shared" si="174"/>
        <v>0.42</v>
      </c>
      <c r="J72" s="269">
        <f t="shared" si="175"/>
        <v>7.42</v>
      </c>
      <c r="K72" s="225"/>
      <c r="N72" s="942">
        <f>CI6</f>
        <v>7.42</v>
      </c>
      <c r="O72" s="915" t="str">
        <f>"Boring/Monitoring Wells for "&amp;TabName9</f>
        <v>Boring/Monitoring Wells for Phase 9</v>
      </c>
      <c r="P72" s="949" t="s">
        <v>561</v>
      </c>
      <c r="W72" s="915">
        <f t="shared" ref="W72:W135" si="176">IF(AND($D72=$R$8,$E72=$T$8),$J72,0)</f>
        <v>0</v>
      </c>
      <c r="X72" s="915">
        <f t="shared" ref="X72:X135" si="177">IF(AND($D72=$R$8,$E72=$T$9),$J72,0)</f>
        <v>0</v>
      </c>
      <c r="Y72" s="915">
        <f t="shared" ref="Y72:Y135" si="178">IF(AND($D72=$R$8,$E72=$T$10),$J72,0)</f>
        <v>0</v>
      </c>
      <c r="Z72" s="915">
        <f t="shared" si="13"/>
        <v>0</v>
      </c>
      <c r="AA72" s="915">
        <f t="shared" si="14"/>
        <v>0</v>
      </c>
      <c r="AB72" s="915">
        <f t="shared" si="15"/>
        <v>0</v>
      </c>
      <c r="AC72" s="915">
        <f t="shared" si="16"/>
        <v>0</v>
      </c>
      <c r="AD72" s="915">
        <f t="shared" si="17"/>
        <v>0</v>
      </c>
      <c r="AE72" s="915">
        <f t="shared" si="18"/>
        <v>0</v>
      </c>
      <c r="AF72" s="915">
        <f t="shared" si="19"/>
        <v>0</v>
      </c>
      <c r="AG72" s="915">
        <f t="shared" si="20"/>
        <v>0</v>
      </c>
      <c r="AH72" s="915">
        <f t="shared" si="21"/>
        <v>0</v>
      </c>
      <c r="AI72" s="915">
        <f t="shared" si="22"/>
        <v>0</v>
      </c>
      <c r="AJ72" s="915">
        <f t="shared" si="23"/>
        <v>0</v>
      </c>
      <c r="AK72" s="915">
        <f t="shared" si="24"/>
        <v>0</v>
      </c>
      <c r="AL72" s="915">
        <f t="shared" si="25"/>
        <v>0</v>
      </c>
      <c r="AM72" s="915">
        <f t="shared" si="26"/>
        <v>0</v>
      </c>
      <c r="AN72" s="915">
        <f t="shared" si="27"/>
        <v>0</v>
      </c>
      <c r="AO72" s="915">
        <f t="shared" si="28"/>
        <v>0</v>
      </c>
      <c r="AP72" s="915">
        <f t="shared" si="29"/>
        <v>0</v>
      </c>
      <c r="AQ72" s="915">
        <f t="shared" si="30"/>
        <v>0</v>
      </c>
      <c r="AR72" s="915">
        <f t="shared" si="31"/>
        <v>0</v>
      </c>
      <c r="AS72" s="915">
        <f t="shared" si="32"/>
        <v>0</v>
      </c>
      <c r="AT72" s="915">
        <f t="shared" si="33"/>
        <v>0</v>
      </c>
      <c r="AU72" s="915">
        <f t="shared" si="34"/>
        <v>0</v>
      </c>
      <c r="AV72" s="915">
        <f t="shared" si="35"/>
        <v>0</v>
      </c>
      <c r="AW72" s="915">
        <f t="shared" si="36"/>
        <v>0</v>
      </c>
      <c r="AX72" s="915">
        <f t="shared" si="37"/>
        <v>0</v>
      </c>
      <c r="AY72" s="915">
        <f t="shared" si="38"/>
        <v>0</v>
      </c>
      <c r="AZ72" s="915">
        <f t="shared" si="39"/>
        <v>0</v>
      </c>
      <c r="BA72" s="915">
        <f t="shared" si="40"/>
        <v>0</v>
      </c>
      <c r="BB72" s="915">
        <f t="shared" si="41"/>
        <v>0</v>
      </c>
      <c r="BC72" s="915">
        <f t="shared" si="42"/>
        <v>0</v>
      </c>
      <c r="BD72" s="915">
        <f t="shared" si="43"/>
        <v>0</v>
      </c>
      <c r="BE72" s="915">
        <f t="shared" si="44"/>
        <v>0</v>
      </c>
      <c r="BF72" s="915">
        <f t="shared" si="45"/>
        <v>0</v>
      </c>
      <c r="BG72" s="915">
        <f t="shared" si="46"/>
        <v>0</v>
      </c>
      <c r="BH72" s="915">
        <f t="shared" si="47"/>
        <v>0</v>
      </c>
      <c r="BI72" s="915">
        <f t="shared" si="48"/>
        <v>0</v>
      </c>
      <c r="BJ72" s="915">
        <f t="shared" si="49"/>
        <v>0</v>
      </c>
      <c r="BK72" s="915">
        <f t="shared" si="50"/>
        <v>0</v>
      </c>
      <c r="BL72" s="915">
        <f t="shared" si="51"/>
        <v>0</v>
      </c>
      <c r="BM72" s="915">
        <f t="shared" si="52"/>
        <v>0</v>
      </c>
      <c r="BN72" s="915">
        <f t="shared" si="53"/>
        <v>0</v>
      </c>
      <c r="BO72" s="915">
        <f t="shared" si="54"/>
        <v>0</v>
      </c>
      <c r="BP72" s="915">
        <f t="shared" si="55"/>
        <v>0</v>
      </c>
      <c r="BQ72" s="915">
        <f t="shared" si="56"/>
        <v>0</v>
      </c>
      <c r="BR72" s="915">
        <f t="shared" si="57"/>
        <v>0</v>
      </c>
      <c r="BS72" s="915">
        <f t="shared" si="58"/>
        <v>0</v>
      </c>
      <c r="BT72" s="915">
        <f t="shared" si="59"/>
        <v>0</v>
      </c>
      <c r="BU72" s="915">
        <f t="shared" si="60"/>
        <v>0</v>
      </c>
      <c r="BV72" s="915">
        <f t="shared" si="61"/>
        <v>0</v>
      </c>
      <c r="BW72" s="915">
        <f t="shared" si="62"/>
        <v>0</v>
      </c>
      <c r="BX72" s="915">
        <f t="shared" si="63"/>
        <v>0</v>
      </c>
      <c r="BY72" s="915">
        <f t="shared" si="64"/>
        <v>0</v>
      </c>
      <c r="BZ72" s="915">
        <f t="shared" si="65"/>
        <v>0</v>
      </c>
      <c r="CA72" s="915">
        <f t="shared" si="66"/>
        <v>0</v>
      </c>
      <c r="CB72" s="915">
        <f t="shared" si="67"/>
        <v>0</v>
      </c>
      <c r="CC72" s="915">
        <f t="shared" si="68"/>
        <v>0</v>
      </c>
      <c r="CD72" s="915">
        <f t="shared" si="69"/>
        <v>0</v>
      </c>
      <c r="CE72" s="915">
        <f t="shared" si="70"/>
        <v>0</v>
      </c>
      <c r="CF72" s="915">
        <f t="shared" si="71"/>
        <v>0</v>
      </c>
      <c r="CG72" s="915">
        <f t="shared" si="72"/>
        <v>0</v>
      </c>
      <c r="CH72" s="915">
        <f t="shared" si="73"/>
        <v>0</v>
      </c>
      <c r="CI72" s="915">
        <f t="shared" si="74"/>
        <v>7.42</v>
      </c>
      <c r="CJ72" s="915">
        <f t="shared" si="75"/>
        <v>0</v>
      </c>
      <c r="CK72" s="915">
        <f t="shared" si="76"/>
        <v>0</v>
      </c>
      <c r="CL72" s="915">
        <f t="shared" si="77"/>
        <v>0</v>
      </c>
      <c r="CM72" s="915">
        <f t="shared" si="78"/>
        <v>0</v>
      </c>
      <c r="CN72" s="915">
        <f t="shared" si="79"/>
        <v>0</v>
      </c>
      <c r="CO72" s="915">
        <f t="shared" si="80"/>
        <v>0</v>
      </c>
      <c r="CP72" s="915">
        <f t="shared" si="81"/>
        <v>0</v>
      </c>
      <c r="CQ72" s="915">
        <f t="shared" si="82"/>
        <v>0</v>
      </c>
      <c r="CR72" s="915">
        <f t="shared" si="83"/>
        <v>0</v>
      </c>
      <c r="CS72" s="915">
        <f t="shared" si="84"/>
        <v>0</v>
      </c>
      <c r="CT72" s="915">
        <f t="shared" si="85"/>
        <v>0</v>
      </c>
      <c r="CU72" s="915">
        <f t="shared" si="86"/>
        <v>0</v>
      </c>
      <c r="CV72" s="915">
        <f t="shared" si="87"/>
        <v>0</v>
      </c>
      <c r="CW72" s="915">
        <f t="shared" si="88"/>
        <v>0</v>
      </c>
      <c r="CX72" s="915">
        <f t="shared" si="89"/>
        <v>0</v>
      </c>
      <c r="CY72" s="915">
        <f t="shared" si="90"/>
        <v>0</v>
      </c>
      <c r="CZ72" s="915">
        <f t="shared" si="91"/>
        <v>0</v>
      </c>
      <c r="DA72" s="915">
        <f t="shared" si="92"/>
        <v>0</v>
      </c>
      <c r="DB72" s="915">
        <f t="shared" si="93"/>
        <v>0</v>
      </c>
      <c r="DC72" s="915">
        <f t="shared" si="94"/>
        <v>0</v>
      </c>
      <c r="DD72" s="915">
        <f t="shared" si="95"/>
        <v>0</v>
      </c>
      <c r="DE72" s="915">
        <f t="shared" si="96"/>
        <v>0</v>
      </c>
      <c r="DF72" s="915">
        <f t="shared" si="97"/>
        <v>0</v>
      </c>
      <c r="DG72" s="915">
        <f t="shared" si="98"/>
        <v>0</v>
      </c>
      <c r="DH72" s="915">
        <f t="shared" si="99"/>
        <v>0</v>
      </c>
      <c r="DI72" s="915">
        <f t="shared" si="100"/>
        <v>0</v>
      </c>
      <c r="DJ72" s="915">
        <f t="shared" si="101"/>
        <v>0</v>
      </c>
      <c r="DK72" s="915">
        <f t="shared" si="102"/>
        <v>0</v>
      </c>
      <c r="DL72" s="915">
        <f t="shared" si="103"/>
        <v>0</v>
      </c>
      <c r="DM72" s="915">
        <f t="shared" si="104"/>
        <v>0</v>
      </c>
      <c r="DN72" s="915">
        <f t="shared" si="105"/>
        <v>0</v>
      </c>
      <c r="DO72" s="915">
        <f t="shared" si="106"/>
        <v>0</v>
      </c>
      <c r="DP72" s="915">
        <f t="shared" si="107"/>
        <v>0</v>
      </c>
      <c r="DQ72" s="915">
        <f t="shared" si="108"/>
        <v>0</v>
      </c>
      <c r="DR72" s="915">
        <f t="shared" si="109"/>
        <v>0</v>
      </c>
      <c r="DS72" s="915">
        <f t="shared" si="110"/>
        <v>0</v>
      </c>
      <c r="DT72" s="915">
        <f t="shared" si="111"/>
        <v>0</v>
      </c>
      <c r="DU72" s="915">
        <f t="shared" si="112"/>
        <v>0</v>
      </c>
      <c r="DV72" s="915">
        <f t="shared" si="113"/>
        <v>0</v>
      </c>
      <c r="DW72" s="915">
        <f t="shared" si="114"/>
        <v>0</v>
      </c>
      <c r="DX72" s="915">
        <f t="shared" si="115"/>
        <v>0</v>
      </c>
      <c r="DY72" s="915">
        <f t="shared" si="116"/>
        <v>0</v>
      </c>
      <c r="DZ72" s="915">
        <f t="shared" si="117"/>
        <v>0</v>
      </c>
      <c r="EA72" s="915">
        <f t="shared" si="118"/>
        <v>0</v>
      </c>
      <c r="EB72" s="915">
        <f t="shared" si="119"/>
        <v>0</v>
      </c>
      <c r="EC72" s="915">
        <f t="shared" si="120"/>
        <v>0</v>
      </c>
      <c r="ED72" s="915">
        <f t="shared" si="121"/>
        <v>0</v>
      </c>
      <c r="EE72" s="915">
        <f t="shared" si="122"/>
        <v>0</v>
      </c>
      <c r="EF72" s="915">
        <f t="shared" si="123"/>
        <v>0</v>
      </c>
      <c r="EG72" s="915">
        <f t="shared" si="124"/>
        <v>0</v>
      </c>
      <c r="EH72" s="915">
        <f t="shared" si="125"/>
        <v>0</v>
      </c>
      <c r="EI72" s="915">
        <f t="shared" si="126"/>
        <v>0</v>
      </c>
      <c r="EJ72" s="915">
        <f t="shared" si="127"/>
        <v>0</v>
      </c>
      <c r="EK72" s="915">
        <f t="shared" si="128"/>
        <v>0</v>
      </c>
      <c r="EL72" s="915">
        <f t="shared" si="129"/>
        <v>0</v>
      </c>
      <c r="EM72" s="915">
        <f t="shared" si="130"/>
        <v>0</v>
      </c>
      <c r="EN72" s="915">
        <f t="shared" si="131"/>
        <v>0</v>
      </c>
      <c r="EO72" s="915">
        <f t="shared" si="132"/>
        <v>0</v>
      </c>
      <c r="EP72" s="915">
        <f t="shared" si="133"/>
        <v>0</v>
      </c>
      <c r="EQ72" s="915">
        <f t="shared" si="134"/>
        <v>0</v>
      </c>
      <c r="ER72" s="915">
        <f t="shared" si="135"/>
        <v>0</v>
      </c>
      <c r="ES72" s="915">
        <f t="shared" si="136"/>
        <v>0</v>
      </c>
      <c r="ET72" s="915">
        <f t="shared" si="137"/>
        <v>0</v>
      </c>
      <c r="EU72" s="915">
        <f t="shared" si="138"/>
        <v>0</v>
      </c>
      <c r="EV72" s="915">
        <f t="shared" si="139"/>
        <v>0</v>
      </c>
      <c r="EW72" s="915">
        <f t="shared" si="140"/>
        <v>0</v>
      </c>
      <c r="EX72" s="915">
        <f t="shared" si="141"/>
        <v>0</v>
      </c>
      <c r="EY72" s="915">
        <f t="shared" si="142"/>
        <v>0</v>
      </c>
      <c r="EZ72" s="915">
        <f t="shared" si="143"/>
        <v>0</v>
      </c>
      <c r="FA72" s="915">
        <f t="shared" si="144"/>
        <v>0</v>
      </c>
      <c r="FB72" s="915">
        <f t="shared" si="145"/>
        <v>0</v>
      </c>
      <c r="FC72" s="915">
        <f t="shared" si="146"/>
        <v>0</v>
      </c>
      <c r="FD72" s="915">
        <f t="shared" si="147"/>
        <v>0</v>
      </c>
      <c r="FE72" s="915">
        <f t="shared" si="148"/>
        <v>0</v>
      </c>
      <c r="FF72" s="915">
        <f t="shared" si="149"/>
        <v>0</v>
      </c>
      <c r="FG72" s="915">
        <f t="shared" si="150"/>
        <v>0</v>
      </c>
      <c r="FH72" s="915">
        <f t="shared" si="151"/>
        <v>0</v>
      </c>
      <c r="FI72" s="915">
        <f t="shared" si="152"/>
        <v>0</v>
      </c>
      <c r="FJ72" s="915">
        <f t="shared" si="153"/>
        <v>0</v>
      </c>
      <c r="FK72" s="915">
        <f t="shared" si="154"/>
        <v>0</v>
      </c>
      <c r="FL72" s="915">
        <f t="shared" si="155"/>
        <v>0</v>
      </c>
      <c r="FM72" s="915">
        <f t="shared" si="156"/>
        <v>0</v>
      </c>
      <c r="FN72" s="915">
        <f t="shared" si="157"/>
        <v>0</v>
      </c>
      <c r="FO72" s="915">
        <f t="shared" si="158"/>
        <v>0</v>
      </c>
      <c r="FP72" s="915">
        <f t="shared" si="159"/>
        <v>0</v>
      </c>
      <c r="FQ72" s="915">
        <f t="shared" si="160"/>
        <v>0</v>
      </c>
      <c r="FR72" s="915">
        <f t="shared" si="161"/>
        <v>0</v>
      </c>
      <c r="FS72" s="915">
        <f t="shared" si="162"/>
        <v>0</v>
      </c>
      <c r="FT72" s="915">
        <f t="shared" si="163"/>
        <v>0</v>
      </c>
      <c r="FU72" s="915">
        <f t="shared" si="164"/>
        <v>0</v>
      </c>
      <c r="FV72" s="915">
        <f t="shared" si="165"/>
        <v>0</v>
      </c>
      <c r="FW72" s="915">
        <f t="shared" si="166"/>
        <v>0</v>
      </c>
      <c r="FX72" s="915">
        <f t="shared" si="167"/>
        <v>0</v>
      </c>
      <c r="FY72" s="915">
        <f t="shared" si="168"/>
        <v>0</v>
      </c>
      <c r="FZ72" s="915">
        <f t="shared" si="169"/>
        <v>0</v>
      </c>
    </row>
    <row r="73" spans="1:182" x14ac:dyDescent="0.2">
      <c r="A73" s="497">
        <v>66</v>
      </c>
      <c r="B73" s="1423"/>
      <c r="C73" s="1424"/>
      <c r="D73" s="138">
        <v>9</v>
      </c>
      <c r="E73" s="138" t="s">
        <v>26</v>
      </c>
      <c r="F73" s="139" t="s">
        <v>2544</v>
      </c>
      <c r="G73" s="139" t="s">
        <v>2542</v>
      </c>
      <c r="H73" s="100">
        <v>7</v>
      </c>
      <c r="I73" s="119">
        <f t="shared" si="174"/>
        <v>0.42</v>
      </c>
      <c r="J73" s="90">
        <f t="shared" si="175"/>
        <v>7.42</v>
      </c>
      <c r="K73" s="225"/>
      <c r="N73" s="942">
        <f>CJ6</f>
        <v>7.42</v>
      </c>
      <c r="O73" s="879" t="str">
        <f>"Remediation for " &amp; TabName9</f>
        <v>Remediation for Phase 9</v>
      </c>
      <c r="P73" s="950" t="s">
        <v>562</v>
      </c>
      <c r="W73" s="915">
        <f t="shared" si="176"/>
        <v>0</v>
      </c>
      <c r="X73" s="915">
        <f t="shared" si="177"/>
        <v>0</v>
      </c>
      <c r="Y73" s="915">
        <f t="shared" si="178"/>
        <v>0</v>
      </c>
      <c r="Z73" s="915">
        <f t="shared" ref="Z73:Z136" si="179">IF(AND($D73=$R$8,$E73=$T$11),$J73,0)</f>
        <v>0</v>
      </c>
      <c r="AA73" s="915">
        <f t="shared" ref="AA73:AA136" si="180">IF(AND($D73=$R$8,$E73=$T$12),$J73,0)</f>
        <v>0</v>
      </c>
      <c r="AB73" s="915">
        <f t="shared" ref="AB73:AB136" si="181">IF(AND($D73=$R$8,$E73=$T$13),$J73,0)</f>
        <v>0</v>
      </c>
      <c r="AC73" s="915">
        <f t="shared" ref="AC73:AC136" si="182">IF(AND($D73=$R$8,$E73=$T$14),$J73,0)</f>
        <v>0</v>
      </c>
      <c r="AD73" s="915">
        <f t="shared" ref="AD73:AD136" si="183">IF(AND($D73=$R$8,$E73=$T$15),$J73,0)</f>
        <v>0</v>
      </c>
      <c r="AE73" s="915">
        <f t="shared" ref="AE73:AE136" si="184">IF(AND($D73=$R$9,$E73=$T$8),$J73,0)</f>
        <v>0</v>
      </c>
      <c r="AF73" s="915">
        <f t="shared" ref="AF73:AF136" si="185">IF(AND($D73=$R$9,$E73=$T$9),$J73,0)</f>
        <v>0</v>
      </c>
      <c r="AG73" s="915">
        <f t="shared" ref="AG73:AG136" si="186">IF(AND($D73=$R$9,$E73=$T$10),$J73,0)</f>
        <v>0</v>
      </c>
      <c r="AH73" s="915">
        <f t="shared" ref="AH73:AH136" si="187">IF(AND($D73=$R$9,$E73=$T$11),$J73,0)</f>
        <v>0</v>
      </c>
      <c r="AI73" s="915">
        <f t="shared" ref="AI73:AI136" si="188">IF(AND($D73=$R$9,$E73=$T$12),$J73,0)</f>
        <v>0</v>
      </c>
      <c r="AJ73" s="915">
        <f t="shared" ref="AJ73:AJ136" si="189">IF(AND($D73=$R$9,$E73=$T$13),$J73,0)</f>
        <v>0</v>
      </c>
      <c r="AK73" s="915">
        <f t="shared" ref="AK73:AK136" si="190">IF(AND($D73=$R$9,$E73=$T$14),$J73,0)</f>
        <v>0</v>
      </c>
      <c r="AL73" s="915">
        <f t="shared" ref="AL73:AL136" si="191">IF(AND($D73=$R$9,$E73=$T$15),$J73,0)</f>
        <v>0</v>
      </c>
      <c r="AM73" s="915">
        <f t="shared" ref="AM73:AM136" si="192">IF(AND($D73=$R$10,$E73=$T$8),$J73,0)</f>
        <v>0</v>
      </c>
      <c r="AN73" s="915">
        <f t="shared" ref="AN73:AN136" si="193">IF(AND($D73=$R$10,$E73=$T$9),$J73,0)</f>
        <v>0</v>
      </c>
      <c r="AO73" s="915">
        <f t="shared" ref="AO73:AO136" si="194">IF(AND($D73=$R$10,$E73=$T$10),$J73,0)</f>
        <v>0</v>
      </c>
      <c r="AP73" s="915">
        <f t="shared" ref="AP73:AP136" si="195">IF(AND($D73=$R$10,$E73=$T$11),$J73,0)</f>
        <v>0</v>
      </c>
      <c r="AQ73" s="915">
        <f t="shared" ref="AQ73:AQ136" si="196">IF(AND($D73=$R$10,$E73=$T$12),$J73,0)</f>
        <v>0</v>
      </c>
      <c r="AR73" s="915">
        <f t="shared" ref="AR73:AR136" si="197">IF(AND($D73=$R$10,$E73=$T$13),$J73,0)</f>
        <v>0</v>
      </c>
      <c r="AS73" s="915">
        <f t="shared" ref="AS73:AS136" si="198">IF(AND($D73=$R$10,$E73=$T$14),$J73,0)</f>
        <v>0</v>
      </c>
      <c r="AT73" s="915">
        <f t="shared" ref="AT73:AT136" si="199">IF(AND($D73=$R$10,$E73=$T$15),$J73,0)</f>
        <v>0</v>
      </c>
      <c r="AU73" s="915">
        <f t="shared" ref="AU73:AU136" si="200">IF(AND($D73=$R$11,$E73=$T$8),$J73,0)</f>
        <v>0</v>
      </c>
      <c r="AV73" s="915">
        <f t="shared" ref="AV73:AV136" si="201">IF(AND($D73=$R$11,$E73=$T$9),$J73,0)</f>
        <v>0</v>
      </c>
      <c r="AW73" s="915">
        <f t="shared" ref="AW73:AW136" si="202">IF(AND($D73=$R$11,$E73=$T$10),$J73,0)</f>
        <v>0</v>
      </c>
      <c r="AX73" s="915">
        <f t="shared" ref="AX73:AX136" si="203">IF(AND($D73=$R$11,$E73=$T$11),$J73,0)</f>
        <v>0</v>
      </c>
      <c r="AY73" s="915">
        <f t="shared" ref="AY73:AY136" si="204">IF(AND($D73=$R$11,$E73=$T$12),$J73,0)</f>
        <v>0</v>
      </c>
      <c r="AZ73" s="915">
        <f t="shared" ref="AZ73:AZ136" si="205">IF(AND($D73=$R$11,$E73=$T$13),$J73,0)</f>
        <v>0</v>
      </c>
      <c r="BA73" s="915">
        <f t="shared" ref="BA73:BA136" si="206">IF(AND($D73=$R$11,$E73=$T$14),$J73,0)</f>
        <v>0</v>
      </c>
      <c r="BB73" s="915">
        <f t="shared" ref="BB73:BB136" si="207">IF(AND($D73=$R$11,$E73=$T$15),$J73,0)</f>
        <v>0</v>
      </c>
      <c r="BC73" s="915">
        <f t="shared" ref="BC73:BC89" si="208">IF(AND($D73=$R$12,$E73=$T$8),$J73,0)</f>
        <v>0</v>
      </c>
      <c r="BD73" s="915">
        <f t="shared" ref="BD73:BD89" si="209">IF(AND($D73=$R$12,$E73=$T$9),$J73,0)</f>
        <v>0</v>
      </c>
      <c r="BE73" s="915">
        <f t="shared" ref="BE73:BE89" si="210">IF(AND($D73=$R$12,$E73=$T$10),$J73,0)</f>
        <v>0</v>
      </c>
      <c r="BF73" s="915">
        <f t="shared" ref="BF73:BF89" si="211">IF(AND($D73=$R$12,$E73=$T$11),$J73,0)</f>
        <v>0</v>
      </c>
      <c r="BG73" s="915">
        <f t="shared" ref="BG73:BG89" si="212">IF(AND($D73=$R$12,$E73=$T$12),$J73,0)</f>
        <v>0</v>
      </c>
      <c r="BH73" s="915">
        <f t="shared" ref="BH73:BH89" si="213">IF(AND($D73=$R$12,$E73=$T$13),$J73,0)</f>
        <v>0</v>
      </c>
      <c r="BI73" s="915">
        <f t="shared" ref="BI73:BI89" si="214">IF(AND($D73=$R$12,$E73=$T$14),$J73,0)</f>
        <v>0</v>
      </c>
      <c r="BJ73" s="915">
        <f t="shared" ref="BJ73:BJ89" si="215">IF(AND($D73=$R$12,$E73=$T$15),$J73,0)</f>
        <v>0</v>
      </c>
      <c r="BK73" s="915">
        <f t="shared" ref="BK73:BK136" si="216">IF(AND($D73=$R$13,$E73=$T$8),$J73,0)</f>
        <v>0</v>
      </c>
      <c r="BL73" s="915">
        <f t="shared" ref="BL73:BL136" si="217">IF(AND($D73=$R$13,$E73=$T$9),$J73,0)</f>
        <v>0</v>
      </c>
      <c r="BM73" s="915">
        <f t="shared" ref="BM73:BM136" si="218">IF(AND($D73=$R$13,$E73=$T$10),$J73,0)</f>
        <v>0</v>
      </c>
      <c r="BN73" s="915">
        <f t="shared" ref="BN73:BN136" si="219">IF(AND($D73=$R$13,$E73=$T$11),$J73,0)</f>
        <v>0</v>
      </c>
      <c r="BO73" s="915">
        <f t="shared" ref="BO73:BO136" si="220">IF(AND($D73=$R$13,$E73=$T$12),$J73,0)</f>
        <v>0</v>
      </c>
      <c r="BP73" s="915">
        <f t="shared" ref="BP73:BP136" si="221">IF(AND($D73=$R$13,$E73=$T$13),$J73,0)</f>
        <v>0</v>
      </c>
      <c r="BQ73" s="915">
        <f t="shared" ref="BQ73:BQ136" si="222">IF(AND($D73=$R$13,$E73=$T$14),$J73,0)</f>
        <v>0</v>
      </c>
      <c r="BR73" s="915">
        <f t="shared" ref="BR73:BR136" si="223">IF(AND($D73=$R$13,$E73=$T$15),$J73,0)</f>
        <v>0</v>
      </c>
      <c r="BS73" s="915">
        <f t="shared" ref="BS73:BS83" si="224">IF(AND($D73=$R$14,$E73=$T$8),$J73,0)</f>
        <v>0</v>
      </c>
      <c r="BT73" s="915">
        <f t="shared" ref="BT73:BT83" si="225">IF(AND($D73=$R$14,$E73=$T$9),$J73,0)</f>
        <v>0</v>
      </c>
      <c r="BU73" s="915">
        <f t="shared" ref="BU73:BU83" si="226">IF(AND($D73=$R$14,$E73=$T$10),$J73,0)</f>
        <v>0</v>
      </c>
      <c r="BV73" s="915">
        <f t="shared" ref="BV73:BV83" si="227">IF(AND($D73=$R$14,$E73=$T$11),$J73,0)</f>
        <v>0</v>
      </c>
      <c r="BW73" s="915">
        <f t="shared" ref="BW73:BW83" si="228">IF(AND($D73=$R$14,$E73=$T$12),$J73,0)</f>
        <v>0</v>
      </c>
      <c r="BX73" s="915">
        <f t="shared" ref="BX73:BX83" si="229">IF(AND($D73=$R$14,$E73=$T$13),$J73,0)</f>
        <v>0</v>
      </c>
      <c r="BY73" s="915">
        <f t="shared" ref="BY73:BY83" si="230">IF(AND($D73=$R$14,$E73=$T$14),$J73,0)</f>
        <v>0</v>
      </c>
      <c r="BZ73" s="915">
        <f t="shared" ref="BZ73:BZ83" si="231">IF(AND($D73=$R$14,$E73=$T$15),$J73,0)</f>
        <v>0</v>
      </c>
      <c r="CA73" s="915">
        <f t="shared" ref="CA73:CA91" si="232">IF(AND($D73=$R$15,$E73=$T$8),$J73,0)</f>
        <v>0</v>
      </c>
      <c r="CB73" s="915">
        <f t="shared" ref="CB73:CB91" si="233">IF(AND($D73=$R$15,$E73=$T$9),$J73,0)</f>
        <v>0</v>
      </c>
      <c r="CC73" s="915">
        <f t="shared" ref="CC73:CC91" si="234">IF(AND($D73=$R$15,$E73=$T$10),$J73,0)</f>
        <v>0</v>
      </c>
      <c r="CD73" s="915">
        <f t="shared" ref="CD73:CD91" si="235">IF(AND($D73=$R$15,$E73=$T$11),$J73,0)</f>
        <v>0</v>
      </c>
      <c r="CE73" s="915">
        <f t="shared" ref="CE73:CE91" si="236">IF(AND($D73=$R$15,$E73=$T$12),$J73,0)</f>
        <v>0</v>
      </c>
      <c r="CF73" s="915">
        <f t="shared" ref="CF73:CF91" si="237">IF(AND($D73=$R$15,$E73=$T$13),$J73,0)</f>
        <v>0</v>
      </c>
      <c r="CG73" s="915">
        <f t="shared" ref="CG73:CG91" si="238">IF(AND($D73=$R$15,$E73=$T$14),$J73,0)</f>
        <v>0</v>
      </c>
      <c r="CH73" s="915">
        <f t="shared" ref="CH73:CH91" si="239">IF(AND($D73=$R$15,$E73=$T$15),$J73,0)</f>
        <v>0</v>
      </c>
      <c r="CI73" s="915">
        <f t="shared" ref="CI73:CI80" si="240">IF(AND($D73=$R$16,$E73=$T$8),$J73,0)</f>
        <v>0</v>
      </c>
      <c r="CJ73" s="915">
        <f t="shared" ref="CJ73:CJ80" si="241">IF(AND($D73=$R$16,$E73=$T$9),$J73,0)</f>
        <v>7.42</v>
      </c>
      <c r="CK73" s="915">
        <f t="shared" ref="CK73:CK80" si="242">IF(AND($D73=$R$16,$E73=$T$10),$J73,0)</f>
        <v>0</v>
      </c>
      <c r="CL73" s="915">
        <f t="shared" ref="CL73:CL80" si="243">IF(AND($D73=$R$16,$E73=$T$11),$J73,0)</f>
        <v>0</v>
      </c>
      <c r="CM73" s="915">
        <f t="shared" ref="CM73:CM80" si="244">IF(AND($D73=$R$16,$E73=$T$12),$J73,0)</f>
        <v>0</v>
      </c>
      <c r="CN73" s="915">
        <f t="shared" ref="CN73:CN80" si="245">IF(AND($D73=$R$16,$E73=$T$13),$J73,0)</f>
        <v>0</v>
      </c>
      <c r="CO73" s="915">
        <f t="shared" ref="CO73:CO80" si="246">IF(AND($D73=$R$16,$E73=$T$14),$J73,0)</f>
        <v>0</v>
      </c>
      <c r="CP73" s="915">
        <f t="shared" ref="CP73:CP80" si="247">IF(AND($D73=$R$16,$E73=$T$15),$J73,0)</f>
        <v>0</v>
      </c>
      <c r="CQ73" s="915">
        <f t="shared" ref="CQ73:CQ92" si="248">IF(AND($D73=$R$17,$E73=$T$8),$J73,0)</f>
        <v>0</v>
      </c>
      <c r="CR73" s="915">
        <f t="shared" ref="CR73:CR92" si="249">IF(AND($D73=$R$17,$E73=$T$9),$J73,0)</f>
        <v>0</v>
      </c>
      <c r="CS73" s="915">
        <f t="shared" ref="CS73:CS92" si="250">IF(AND($D73=$R$17,$E73=$T$10),$J73,0)</f>
        <v>0</v>
      </c>
      <c r="CT73" s="915">
        <f t="shared" ref="CT73:CT92" si="251">IF(AND($D73=$R$17,$E73=$T$11),$J73,0)</f>
        <v>0</v>
      </c>
      <c r="CU73" s="915">
        <f t="shared" ref="CU73:CU92" si="252">IF(AND($D73=$R$17,$E73=$T$12),$J73,0)</f>
        <v>0</v>
      </c>
      <c r="CV73" s="915">
        <f t="shared" ref="CV73:CV92" si="253">IF(AND($D73=$R$17,$E73=$T$13),$J73,0)</f>
        <v>0</v>
      </c>
      <c r="CW73" s="915">
        <f t="shared" ref="CW73:CW92" si="254">IF(AND($D73=$R$17,$E73=$T$14),$J73,0)</f>
        <v>0</v>
      </c>
      <c r="CX73" s="915">
        <f t="shared" ref="CX73:CX92" si="255">IF(AND($D73=$R$17,$E73=$T$15),$J73,0)</f>
        <v>0</v>
      </c>
      <c r="CY73" s="915">
        <f t="shared" ref="CY73:CY136" si="256">IF(AND($D73=$R$18,$E73=$T$8),$J73,0)</f>
        <v>0</v>
      </c>
      <c r="CZ73" s="915">
        <f t="shared" ref="CZ73:CZ136" si="257">IF(AND($D73=$R$18,$E73=$T$9),$J73,0)</f>
        <v>0</v>
      </c>
      <c r="DA73" s="915">
        <f t="shared" ref="DA73:DA136" si="258">IF(AND($D73=$R$18,$E73=$T$10),$J73,0)</f>
        <v>0</v>
      </c>
      <c r="DB73" s="915">
        <f t="shared" ref="DB73:DB136" si="259">IF(AND($D73=$R$18,$E73=$T$11),$J73,0)</f>
        <v>0</v>
      </c>
      <c r="DC73" s="915">
        <f t="shared" ref="DC73:DC136" si="260">IF(AND($D73=$R$18,$E73=$T$12),$J73,0)</f>
        <v>0</v>
      </c>
      <c r="DD73" s="915">
        <f t="shared" ref="DD73:DD136" si="261">IF(AND($D73=$R$18,$E73=$T$13),$J73,0)</f>
        <v>0</v>
      </c>
      <c r="DE73" s="915">
        <f t="shared" ref="DE73:DE136" si="262">IF(AND($D73=$R$18,$E73=$T$14),$J73,0)</f>
        <v>0</v>
      </c>
      <c r="DF73" s="915">
        <f t="shared" ref="DF73:DF136" si="263">IF(AND($D73=$R$18,$E73=$T$15),$J73,0)</f>
        <v>0</v>
      </c>
      <c r="DG73" s="915">
        <f t="shared" ref="DG73:DG134" si="264">IF(AND($D73=$R$19,$E73=$T$8),$J73,0)</f>
        <v>0</v>
      </c>
      <c r="DH73" s="915">
        <f t="shared" ref="DH73:DH134" si="265">IF(AND($D73=$R$19,$E73=$T$9),$J73,0)</f>
        <v>0</v>
      </c>
      <c r="DI73" s="915">
        <f t="shared" ref="DI73:DI134" si="266">IF(AND($D73=$R$19,$E73=$T$10),$J73,0)</f>
        <v>0</v>
      </c>
      <c r="DJ73" s="915">
        <f t="shared" ref="DJ73:DJ134" si="267">IF(AND($D73=$R$19,$E73=$T$11),$J73,0)</f>
        <v>0</v>
      </c>
      <c r="DK73" s="915">
        <f t="shared" ref="DK73:DK134" si="268">IF(AND($D73=$R$19,$E73=$T$12),$J73,0)</f>
        <v>0</v>
      </c>
      <c r="DL73" s="915">
        <f t="shared" ref="DL73:DL134" si="269">IF(AND($D73=$R$19,$E73=$T$13),$J73,0)</f>
        <v>0</v>
      </c>
      <c r="DM73" s="915">
        <f t="shared" ref="DM73:DM134" si="270">IF(AND($D73=$R$19,$E73=$T$14),$J73,0)</f>
        <v>0</v>
      </c>
      <c r="DN73" s="915">
        <f t="shared" ref="DN73:DN134" si="271">IF(AND($D73=$R$19,$E73=$T$15),$J73,0)</f>
        <v>0</v>
      </c>
      <c r="DO73" s="915">
        <f t="shared" ref="DO73:DO111" si="272">IF(AND($D73=$R$20,$E73=$T$8),$J73,0)</f>
        <v>0</v>
      </c>
      <c r="DP73" s="915">
        <f t="shared" ref="DP73:DP111" si="273">IF(AND($D73=$R$20,$E73=$T$9),$J73,0)</f>
        <v>0</v>
      </c>
      <c r="DQ73" s="915">
        <f t="shared" ref="DQ73:DQ111" si="274">IF(AND($D73=$R$20,$E73=$T$10),$J73,0)</f>
        <v>0</v>
      </c>
      <c r="DR73" s="915">
        <f t="shared" ref="DR73:DR111" si="275">IF(AND($D73=$R$20,$E73=$T$11),$J73,0)</f>
        <v>0</v>
      </c>
      <c r="DS73" s="915">
        <f t="shared" ref="DS73:DS111" si="276">IF(AND($D73=$R$20,$E73=$T$12),$J73,0)</f>
        <v>0</v>
      </c>
      <c r="DT73" s="915">
        <f t="shared" ref="DT73:DT111" si="277">IF(AND($D73=$R$20,$E73=$T$13),$J73,0)</f>
        <v>0</v>
      </c>
      <c r="DU73" s="915">
        <f t="shared" ref="DU73:DU111" si="278">IF(AND($D73=$R$20,$E73=$T$14),$J73,0)</f>
        <v>0</v>
      </c>
      <c r="DV73" s="915">
        <f t="shared" ref="DV73:DV111" si="279">IF(AND($D73=$R$20,$E73=$T$15),$J73,0)</f>
        <v>0</v>
      </c>
      <c r="DW73" s="915">
        <f t="shared" ref="DW73:DW111" si="280">IF(AND($D73=$R$21,$E73=$T$8),$J73,0)</f>
        <v>0</v>
      </c>
      <c r="DX73" s="915">
        <f t="shared" ref="DX73:DX111" si="281">IF(AND($D73=$R$21,$E73=$T$9),$J73,0)</f>
        <v>0</v>
      </c>
      <c r="DY73" s="915">
        <f t="shared" ref="DY73:DY111" si="282">IF(AND($D73=$R$21,$E73=$T$10),$J73,0)</f>
        <v>0</v>
      </c>
      <c r="DZ73" s="915">
        <f t="shared" ref="DZ73:DZ111" si="283">IF(AND($D73=$R$21,$E73=$T$11),$J73,0)</f>
        <v>0</v>
      </c>
      <c r="EA73" s="915">
        <f t="shared" ref="EA73:EA111" si="284">IF(AND($D73=$R$21,$E73=$T$12),$J73,0)</f>
        <v>0</v>
      </c>
      <c r="EB73" s="915">
        <f t="shared" ref="EB73:EB111" si="285">IF(AND($D73=$R$21,$E73=$T$13),$J73,0)</f>
        <v>0</v>
      </c>
      <c r="EC73" s="915">
        <f t="shared" ref="EC73:EC111" si="286">IF(AND($D73=$R$21,$E73=$T$14),$J73,0)</f>
        <v>0</v>
      </c>
      <c r="ED73" s="915">
        <f t="shared" ref="ED73:ED111" si="287">IF(AND($D73=$R$21,$E73=$T$15),$J73,0)</f>
        <v>0</v>
      </c>
      <c r="EE73" s="915">
        <f t="shared" ref="EE73:EE133" si="288">IF(AND($D73=$R$22,$E73=$T$8),$J73,0)</f>
        <v>0</v>
      </c>
      <c r="EF73" s="915">
        <f t="shared" ref="EF73:EF133" si="289">IF(AND($D73=$R$22,$E73=$T$9),$J73,0)</f>
        <v>0</v>
      </c>
      <c r="EG73" s="915">
        <f t="shared" ref="EG73:EG133" si="290">IF(AND($D73=$R$22,$E73=$T$10),$J73,0)</f>
        <v>0</v>
      </c>
      <c r="EH73" s="915">
        <f t="shared" ref="EH73:EH133" si="291">IF(AND($D73=$R$22,$E73=$T$11),$J73,0)</f>
        <v>0</v>
      </c>
      <c r="EI73" s="915">
        <f t="shared" ref="EI73:EI133" si="292">IF(AND($D73=$R$22,$E73=$T$12),$J73,0)</f>
        <v>0</v>
      </c>
      <c r="EJ73" s="915">
        <f t="shared" ref="EJ73:EJ133" si="293">IF(AND($D73=$R$22,$E73=$T$13),$J73,0)</f>
        <v>0</v>
      </c>
      <c r="EK73" s="915">
        <f t="shared" ref="EK73:EK133" si="294">IF(AND($D73=$R$22,$E73=$T$14),$J73,0)</f>
        <v>0</v>
      </c>
      <c r="EL73" s="915">
        <f t="shared" ref="EL73:EL133" si="295">IF(AND($D73=$R$22,$E73=$T$15),$J73,0)</f>
        <v>0</v>
      </c>
      <c r="EM73" s="915">
        <f t="shared" ref="EM73:EM133" si="296">IF(AND($D73=$R$23,$E73=$T$8),$J73,0)</f>
        <v>0</v>
      </c>
      <c r="EN73" s="915">
        <f t="shared" ref="EN73:EN133" si="297">IF(AND($D73=$R$23,$E73=$T$9),$J73,0)</f>
        <v>0</v>
      </c>
      <c r="EO73" s="915">
        <f t="shared" ref="EO73:EO133" si="298">IF(AND($D73=$R$23,$E73=$T$10),$J73,0)</f>
        <v>0</v>
      </c>
      <c r="EP73" s="915">
        <f t="shared" ref="EP73:EP133" si="299">IF(AND($D73=$R$23,$E73=$T$11),$J73,0)</f>
        <v>0</v>
      </c>
      <c r="EQ73" s="915">
        <f t="shared" ref="EQ73:EQ133" si="300">IF(AND($D73=$R$23,$E73=$T$12),$J73,0)</f>
        <v>0</v>
      </c>
      <c r="ER73" s="915">
        <f t="shared" ref="ER73:ER133" si="301">IF(AND($D73=$R$23,$E73=$T$13),$J73,0)</f>
        <v>0</v>
      </c>
      <c r="ES73" s="915">
        <f t="shared" ref="ES73:ES133" si="302">IF(AND($D73=$R$23,$E73=$T$14),$J73,0)</f>
        <v>0</v>
      </c>
      <c r="ET73" s="915">
        <f t="shared" ref="ET73:ET133" si="303">IF(AND($D73=$R$23,$E73=$T$15),$J73,0)</f>
        <v>0</v>
      </c>
      <c r="EU73" s="915">
        <f t="shared" ref="EU73:EU136" si="304">IF(AND($D73=$R$24,$E73=$T$8),$J73,0)</f>
        <v>0</v>
      </c>
      <c r="EV73" s="915">
        <f t="shared" ref="EV73:EV136" si="305">IF(AND($D73=$R$24,$E73=$T$9),$J73,0)</f>
        <v>0</v>
      </c>
      <c r="EW73" s="915">
        <f t="shared" ref="EW73:EW136" si="306">IF(AND($D73=$R$24,$E73=$T$10),$J73,0)</f>
        <v>0</v>
      </c>
      <c r="EX73" s="915">
        <f t="shared" ref="EX73:EX136" si="307">IF(AND($D73=$R$24,$E73=$T$11),$J73,0)</f>
        <v>0</v>
      </c>
      <c r="EY73" s="915">
        <f t="shared" ref="EY73:EY136" si="308">IF(AND($D73=$R$24,$E73=$T$12),$J73,0)</f>
        <v>0</v>
      </c>
      <c r="EZ73" s="915">
        <f t="shared" ref="EZ73:EZ136" si="309">IF(AND($D73=$R$24,$E73=$T$13),$J73,0)</f>
        <v>0</v>
      </c>
      <c r="FA73" s="915">
        <f t="shared" ref="FA73:FA136" si="310">IF(AND($D73=$R$24,$E73=$T$14),$J73,0)</f>
        <v>0</v>
      </c>
      <c r="FB73" s="915">
        <f t="shared" ref="FB73:FB136" si="311">IF(AND($D73=$R$24,$E73=$T$15),$J73,0)</f>
        <v>0</v>
      </c>
      <c r="FC73" s="915">
        <f t="shared" ref="FC73:FC136" si="312">IF(AND($D73=$R$25,$E73=$T$8),$J73,0)</f>
        <v>0</v>
      </c>
      <c r="FD73" s="915">
        <f t="shared" ref="FD73:FD136" si="313">IF(AND($D73=$R$25,$E73=$T$9),$J73,0)</f>
        <v>0</v>
      </c>
      <c r="FE73" s="915">
        <f t="shared" ref="FE73:FE136" si="314">IF(AND($D73=$R$25,$E73=$T$10),$J73,0)</f>
        <v>0</v>
      </c>
      <c r="FF73" s="915">
        <f t="shared" ref="FF73:FF136" si="315">IF(AND($D73=$R$25,$E73=$T$11),$J73,0)</f>
        <v>0</v>
      </c>
      <c r="FG73" s="915">
        <f t="shared" ref="FG73:FG136" si="316">IF(AND($D73=$R$25,$E73=$T$12),$J73,0)</f>
        <v>0</v>
      </c>
      <c r="FH73" s="915">
        <f t="shared" ref="FH73:FH136" si="317">IF(AND($D73=$R$25,$E73=$T$13),$J73,0)</f>
        <v>0</v>
      </c>
      <c r="FI73" s="915">
        <f t="shared" ref="FI73:FI136" si="318">IF(AND($D73=$R$25,$E73=$T$14),$J73,0)</f>
        <v>0</v>
      </c>
      <c r="FJ73" s="915">
        <f t="shared" ref="FJ73:FJ136" si="319">IF(AND($D73=$R$25,$E73=$T$15),$J73,0)</f>
        <v>0</v>
      </c>
      <c r="FK73" s="915">
        <f t="shared" ref="FK73:FK136" si="320">IF(AND($D73=$R$26,$E73=$T$8),$J73,0)</f>
        <v>0</v>
      </c>
      <c r="FL73" s="915">
        <f t="shared" ref="FL73:FL136" si="321">IF(AND($D73=$R$26,$E73=$T$9),$J73,0)</f>
        <v>0</v>
      </c>
      <c r="FM73" s="915">
        <f t="shared" ref="FM73:FM136" si="322">IF(AND($D73=$R$26,$E73=$T$10),$J73,0)</f>
        <v>0</v>
      </c>
      <c r="FN73" s="915">
        <f t="shared" ref="FN73:FN136" si="323">IF(AND($D73=$R$26,$E73=$T$11),$J73,0)</f>
        <v>0</v>
      </c>
      <c r="FO73" s="915">
        <f t="shared" ref="FO73:FO136" si="324">IF(AND($D73=$R$26,$E73=$T$12),$J73,0)</f>
        <v>0</v>
      </c>
      <c r="FP73" s="915">
        <f t="shared" ref="FP73:FP136" si="325">IF(AND($D73=$R$26,$E73=$T$13),$J73,0)</f>
        <v>0</v>
      </c>
      <c r="FQ73" s="915">
        <f t="shared" ref="FQ73:FQ136" si="326">IF(AND($D73=$R$26,$E73=$T$14),$J73,0)</f>
        <v>0</v>
      </c>
      <c r="FR73" s="915">
        <f t="shared" ref="FR73:FR136" si="327">IF(AND($D73=$R$26,$E73=$T$15),$J73,0)</f>
        <v>0</v>
      </c>
      <c r="FS73" s="915">
        <f t="shared" ref="FS73:FS136" si="328">IF(AND($D73=$R$27,$E73=$T$8),$J73,0)</f>
        <v>0</v>
      </c>
      <c r="FT73" s="915">
        <f t="shared" ref="FT73:FT136" si="329">IF(AND($D73=$R$27,$E73=$T$9),$J73,0)</f>
        <v>0</v>
      </c>
      <c r="FU73" s="915">
        <f t="shared" ref="FU73:FU136" si="330">IF(AND($D73=$R$27,$E73=$T$10),$J73,0)</f>
        <v>0</v>
      </c>
      <c r="FV73" s="915">
        <f t="shared" ref="FV73:FV136" si="331">IF(AND($D73=$R$27,$E73=$T$11),$J73,0)</f>
        <v>0</v>
      </c>
      <c r="FW73" s="915">
        <f t="shared" ref="FW73:FW136" si="332">IF(AND($D73=$R$27,$E73=$T$12),$J73,0)</f>
        <v>0</v>
      </c>
      <c r="FX73" s="915">
        <f t="shared" ref="FX73:FX136" si="333">IF(AND($D73=$R$27,$E73=$T$13),$J73,0)</f>
        <v>0</v>
      </c>
      <c r="FY73" s="915">
        <f t="shared" ref="FY73:FY136" si="334">IF(AND($D73=$R$27,$E73=$T$14),$J73,0)</f>
        <v>0</v>
      </c>
      <c r="FZ73" s="915">
        <f t="shared" ref="FZ73:FZ136" si="335">IF(AND($D73=$R$27,$E73=$T$15),$J73,0)</f>
        <v>0</v>
      </c>
    </row>
    <row r="74" spans="1:182" x14ac:dyDescent="0.2">
      <c r="A74" s="496">
        <v>67</v>
      </c>
      <c r="B74" s="1419"/>
      <c r="C74" s="1433"/>
      <c r="D74" s="264">
        <v>9</v>
      </c>
      <c r="E74" s="264" t="s">
        <v>35</v>
      </c>
      <c r="F74" s="270" t="s">
        <v>2544</v>
      </c>
      <c r="G74" s="270" t="s">
        <v>2542</v>
      </c>
      <c r="H74" s="272">
        <v>7</v>
      </c>
      <c r="I74" s="268">
        <f t="shared" si="174"/>
        <v>0.42</v>
      </c>
      <c r="J74" s="269">
        <f t="shared" si="175"/>
        <v>7.42</v>
      </c>
      <c r="K74" s="225"/>
      <c r="N74" s="942">
        <f>CK6</f>
        <v>7.42</v>
      </c>
      <c r="O74" s="879" t="str">
        <f>"General Construction for " &amp; TabName9</f>
        <v>General Construction for Phase 9</v>
      </c>
      <c r="P74" s="949" t="s">
        <v>563</v>
      </c>
      <c r="W74" s="915">
        <f t="shared" si="176"/>
        <v>0</v>
      </c>
      <c r="X74" s="915">
        <f t="shared" si="177"/>
        <v>0</v>
      </c>
      <c r="Y74" s="915">
        <f t="shared" si="178"/>
        <v>0</v>
      </c>
      <c r="Z74" s="915">
        <f t="shared" si="179"/>
        <v>0</v>
      </c>
      <c r="AA74" s="915">
        <f t="shared" si="180"/>
        <v>0</v>
      </c>
      <c r="AB74" s="915">
        <f t="shared" si="181"/>
        <v>0</v>
      </c>
      <c r="AC74" s="915">
        <f t="shared" si="182"/>
        <v>0</v>
      </c>
      <c r="AD74" s="915">
        <f t="shared" si="183"/>
        <v>0</v>
      </c>
      <c r="AE74" s="915">
        <f t="shared" si="184"/>
        <v>0</v>
      </c>
      <c r="AF74" s="915">
        <f t="shared" si="185"/>
        <v>0</v>
      </c>
      <c r="AG74" s="915">
        <f t="shared" si="186"/>
        <v>0</v>
      </c>
      <c r="AH74" s="915">
        <f t="shared" si="187"/>
        <v>0</v>
      </c>
      <c r="AI74" s="915">
        <f t="shared" si="188"/>
        <v>0</v>
      </c>
      <c r="AJ74" s="915">
        <f t="shared" si="189"/>
        <v>0</v>
      </c>
      <c r="AK74" s="915">
        <f t="shared" si="190"/>
        <v>0</v>
      </c>
      <c r="AL74" s="915">
        <f t="shared" si="191"/>
        <v>0</v>
      </c>
      <c r="AM74" s="915">
        <f t="shared" si="192"/>
        <v>0</v>
      </c>
      <c r="AN74" s="915">
        <f t="shared" si="193"/>
        <v>0</v>
      </c>
      <c r="AO74" s="915">
        <f t="shared" si="194"/>
        <v>0</v>
      </c>
      <c r="AP74" s="915">
        <f t="shared" si="195"/>
        <v>0</v>
      </c>
      <c r="AQ74" s="915">
        <f t="shared" si="196"/>
        <v>0</v>
      </c>
      <c r="AR74" s="915">
        <f t="shared" si="197"/>
        <v>0</v>
      </c>
      <c r="AS74" s="915">
        <f t="shared" si="198"/>
        <v>0</v>
      </c>
      <c r="AT74" s="915">
        <f t="shared" si="199"/>
        <v>0</v>
      </c>
      <c r="AU74" s="915">
        <f t="shared" si="200"/>
        <v>0</v>
      </c>
      <c r="AV74" s="915">
        <f t="shared" si="201"/>
        <v>0</v>
      </c>
      <c r="AW74" s="915">
        <f t="shared" si="202"/>
        <v>0</v>
      </c>
      <c r="AX74" s="915">
        <f t="shared" si="203"/>
        <v>0</v>
      </c>
      <c r="AY74" s="915">
        <f t="shared" si="204"/>
        <v>0</v>
      </c>
      <c r="AZ74" s="915">
        <f t="shared" si="205"/>
        <v>0</v>
      </c>
      <c r="BA74" s="915">
        <f t="shared" si="206"/>
        <v>0</v>
      </c>
      <c r="BB74" s="915">
        <f t="shared" si="207"/>
        <v>0</v>
      </c>
      <c r="BC74" s="915">
        <f t="shared" si="208"/>
        <v>0</v>
      </c>
      <c r="BD74" s="915">
        <f t="shared" si="209"/>
        <v>0</v>
      </c>
      <c r="BE74" s="915">
        <f t="shared" si="210"/>
        <v>0</v>
      </c>
      <c r="BF74" s="915">
        <f t="shared" si="211"/>
        <v>0</v>
      </c>
      <c r="BG74" s="915">
        <f t="shared" si="212"/>
        <v>0</v>
      </c>
      <c r="BH74" s="915">
        <f t="shared" si="213"/>
        <v>0</v>
      </c>
      <c r="BI74" s="915">
        <f t="shared" si="214"/>
        <v>0</v>
      </c>
      <c r="BJ74" s="915">
        <f t="shared" si="215"/>
        <v>0</v>
      </c>
      <c r="BK74" s="915">
        <f t="shared" si="216"/>
        <v>0</v>
      </c>
      <c r="BL74" s="915">
        <f t="shared" si="217"/>
        <v>0</v>
      </c>
      <c r="BM74" s="915">
        <f t="shared" si="218"/>
        <v>0</v>
      </c>
      <c r="BN74" s="915">
        <f t="shared" si="219"/>
        <v>0</v>
      </c>
      <c r="BO74" s="915">
        <f t="shared" si="220"/>
        <v>0</v>
      </c>
      <c r="BP74" s="915">
        <f t="shared" si="221"/>
        <v>0</v>
      </c>
      <c r="BQ74" s="915">
        <f t="shared" si="222"/>
        <v>0</v>
      </c>
      <c r="BR74" s="915">
        <f t="shared" si="223"/>
        <v>0</v>
      </c>
      <c r="BS74" s="915">
        <f t="shared" si="224"/>
        <v>0</v>
      </c>
      <c r="BT74" s="915">
        <f t="shared" si="225"/>
        <v>0</v>
      </c>
      <c r="BU74" s="915">
        <f t="shared" si="226"/>
        <v>0</v>
      </c>
      <c r="BV74" s="915">
        <f t="shared" si="227"/>
        <v>0</v>
      </c>
      <c r="BW74" s="915">
        <f t="shared" si="228"/>
        <v>0</v>
      </c>
      <c r="BX74" s="915">
        <f t="shared" si="229"/>
        <v>0</v>
      </c>
      <c r="BY74" s="915">
        <f t="shared" si="230"/>
        <v>0</v>
      </c>
      <c r="BZ74" s="915">
        <f t="shared" si="231"/>
        <v>0</v>
      </c>
      <c r="CA74" s="915">
        <f t="shared" si="232"/>
        <v>0</v>
      </c>
      <c r="CB74" s="915">
        <f t="shared" si="233"/>
        <v>0</v>
      </c>
      <c r="CC74" s="915">
        <f t="shared" si="234"/>
        <v>0</v>
      </c>
      <c r="CD74" s="915">
        <f t="shared" si="235"/>
        <v>0</v>
      </c>
      <c r="CE74" s="915">
        <f t="shared" si="236"/>
        <v>0</v>
      </c>
      <c r="CF74" s="915">
        <f t="shared" si="237"/>
        <v>0</v>
      </c>
      <c r="CG74" s="915">
        <f t="shared" si="238"/>
        <v>0</v>
      </c>
      <c r="CH74" s="915">
        <f t="shared" si="239"/>
        <v>0</v>
      </c>
      <c r="CI74" s="915">
        <f t="shared" si="240"/>
        <v>0</v>
      </c>
      <c r="CJ74" s="915">
        <f t="shared" si="241"/>
        <v>0</v>
      </c>
      <c r="CK74" s="915">
        <f t="shared" si="242"/>
        <v>7.42</v>
      </c>
      <c r="CL74" s="915">
        <f t="shared" si="243"/>
        <v>0</v>
      </c>
      <c r="CM74" s="915">
        <f t="shared" si="244"/>
        <v>0</v>
      </c>
      <c r="CN74" s="915">
        <f t="shared" si="245"/>
        <v>0</v>
      </c>
      <c r="CO74" s="915">
        <f t="shared" si="246"/>
        <v>0</v>
      </c>
      <c r="CP74" s="915">
        <f t="shared" si="247"/>
        <v>0</v>
      </c>
      <c r="CQ74" s="915">
        <f t="shared" si="248"/>
        <v>0</v>
      </c>
      <c r="CR74" s="915">
        <f t="shared" si="249"/>
        <v>0</v>
      </c>
      <c r="CS74" s="915">
        <f t="shared" si="250"/>
        <v>0</v>
      </c>
      <c r="CT74" s="915">
        <f t="shared" si="251"/>
        <v>0</v>
      </c>
      <c r="CU74" s="915">
        <f t="shared" si="252"/>
        <v>0</v>
      </c>
      <c r="CV74" s="915">
        <f t="shared" si="253"/>
        <v>0</v>
      </c>
      <c r="CW74" s="915">
        <f t="shared" si="254"/>
        <v>0</v>
      </c>
      <c r="CX74" s="915">
        <f t="shared" si="255"/>
        <v>0</v>
      </c>
      <c r="CY74" s="915">
        <f t="shared" si="256"/>
        <v>0</v>
      </c>
      <c r="CZ74" s="915">
        <f t="shared" si="257"/>
        <v>0</v>
      </c>
      <c r="DA74" s="915">
        <f t="shared" si="258"/>
        <v>0</v>
      </c>
      <c r="DB74" s="915">
        <f t="shared" si="259"/>
        <v>0</v>
      </c>
      <c r="DC74" s="915">
        <f t="shared" si="260"/>
        <v>0</v>
      </c>
      <c r="DD74" s="915">
        <f t="shared" si="261"/>
        <v>0</v>
      </c>
      <c r="DE74" s="915">
        <f t="shared" si="262"/>
        <v>0</v>
      </c>
      <c r="DF74" s="915">
        <f t="shared" si="263"/>
        <v>0</v>
      </c>
      <c r="DG74" s="915">
        <f t="shared" si="264"/>
        <v>0</v>
      </c>
      <c r="DH74" s="915">
        <f t="shared" si="265"/>
        <v>0</v>
      </c>
      <c r="DI74" s="915">
        <f t="shared" si="266"/>
        <v>0</v>
      </c>
      <c r="DJ74" s="915">
        <f t="shared" si="267"/>
        <v>0</v>
      </c>
      <c r="DK74" s="915">
        <f t="shared" si="268"/>
        <v>0</v>
      </c>
      <c r="DL74" s="915">
        <f t="shared" si="269"/>
        <v>0</v>
      </c>
      <c r="DM74" s="915">
        <f t="shared" si="270"/>
        <v>0</v>
      </c>
      <c r="DN74" s="915">
        <f t="shared" si="271"/>
        <v>0</v>
      </c>
      <c r="DO74" s="915">
        <f t="shared" si="272"/>
        <v>0</v>
      </c>
      <c r="DP74" s="915">
        <f t="shared" si="273"/>
        <v>0</v>
      </c>
      <c r="DQ74" s="915">
        <f t="shared" si="274"/>
        <v>0</v>
      </c>
      <c r="DR74" s="915">
        <f t="shared" si="275"/>
        <v>0</v>
      </c>
      <c r="DS74" s="915">
        <f t="shared" si="276"/>
        <v>0</v>
      </c>
      <c r="DT74" s="915">
        <f t="shared" si="277"/>
        <v>0</v>
      </c>
      <c r="DU74" s="915">
        <f t="shared" si="278"/>
        <v>0</v>
      </c>
      <c r="DV74" s="915">
        <f t="shared" si="279"/>
        <v>0</v>
      </c>
      <c r="DW74" s="915">
        <f t="shared" si="280"/>
        <v>0</v>
      </c>
      <c r="DX74" s="915">
        <f t="shared" si="281"/>
        <v>0</v>
      </c>
      <c r="DY74" s="915">
        <f t="shared" si="282"/>
        <v>0</v>
      </c>
      <c r="DZ74" s="915">
        <f t="shared" si="283"/>
        <v>0</v>
      </c>
      <c r="EA74" s="915">
        <f t="shared" si="284"/>
        <v>0</v>
      </c>
      <c r="EB74" s="915">
        <f t="shared" si="285"/>
        <v>0</v>
      </c>
      <c r="EC74" s="915">
        <f t="shared" si="286"/>
        <v>0</v>
      </c>
      <c r="ED74" s="915">
        <f t="shared" si="287"/>
        <v>0</v>
      </c>
      <c r="EE74" s="915">
        <f t="shared" si="288"/>
        <v>0</v>
      </c>
      <c r="EF74" s="915">
        <f t="shared" si="289"/>
        <v>0</v>
      </c>
      <c r="EG74" s="915">
        <f t="shared" si="290"/>
        <v>0</v>
      </c>
      <c r="EH74" s="915">
        <f t="shared" si="291"/>
        <v>0</v>
      </c>
      <c r="EI74" s="915">
        <f t="shared" si="292"/>
        <v>0</v>
      </c>
      <c r="EJ74" s="915">
        <f t="shared" si="293"/>
        <v>0</v>
      </c>
      <c r="EK74" s="915">
        <f t="shared" si="294"/>
        <v>0</v>
      </c>
      <c r="EL74" s="915">
        <f t="shared" si="295"/>
        <v>0</v>
      </c>
      <c r="EM74" s="915">
        <f t="shared" si="296"/>
        <v>0</v>
      </c>
      <c r="EN74" s="915">
        <f t="shared" si="297"/>
        <v>0</v>
      </c>
      <c r="EO74" s="915">
        <f t="shared" si="298"/>
        <v>0</v>
      </c>
      <c r="EP74" s="915">
        <f t="shared" si="299"/>
        <v>0</v>
      </c>
      <c r="EQ74" s="915">
        <f t="shared" si="300"/>
        <v>0</v>
      </c>
      <c r="ER74" s="915">
        <f t="shared" si="301"/>
        <v>0</v>
      </c>
      <c r="ES74" s="915">
        <f t="shared" si="302"/>
        <v>0</v>
      </c>
      <c r="ET74" s="915">
        <f t="shared" si="303"/>
        <v>0</v>
      </c>
      <c r="EU74" s="915">
        <f t="shared" si="304"/>
        <v>0</v>
      </c>
      <c r="EV74" s="915">
        <f t="shared" si="305"/>
        <v>0</v>
      </c>
      <c r="EW74" s="915">
        <f t="shared" si="306"/>
        <v>0</v>
      </c>
      <c r="EX74" s="915">
        <f t="shared" si="307"/>
        <v>0</v>
      </c>
      <c r="EY74" s="915">
        <f t="shared" si="308"/>
        <v>0</v>
      </c>
      <c r="EZ74" s="915">
        <f t="shared" si="309"/>
        <v>0</v>
      </c>
      <c r="FA74" s="915">
        <f t="shared" si="310"/>
        <v>0</v>
      </c>
      <c r="FB74" s="915">
        <f t="shared" si="311"/>
        <v>0</v>
      </c>
      <c r="FC74" s="915">
        <f t="shared" si="312"/>
        <v>0</v>
      </c>
      <c r="FD74" s="915">
        <f t="shared" si="313"/>
        <v>0</v>
      </c>
      <c r="FE74" s="915">
        <f t="shared" si="314"/>
        <v>0</v>
      </c>
      <c r="FF74" s="915">
        <f t="shared" si="315"/>
        <v>0</v>
      </c>
      <c r="FG74" s="915">
        <f t="shared" si="316"/>
        <v>0</v>
      </c>
      <c r="FH74" s="915">
        <f t="shared" si="317"/>
        <v>0</v>
      </c>
      <c r="FI74" s="915">
        <f t="shared" si="318"/>
        <v>0</v>
      </c>
      <c r="FJ74" s="915">
        <f t="shared" si="319"/>
        <v>0</v>
      </c>
      <c r="FK74" s="915">
        <f t="shared" si="320"/>
        <v>0</v>
      </c>
      <c r="FL74" s="915">
        <f t="shared" si="321"/>
        <v>0</v>
      </c>
      <c r="FM74" s="915">
        <f t="shared" si="322"/>
        <v>0</v>
      </c>
      <c r="FN74" s="915">
        <f t="shared" si="323"/>
        <v>0</v>
      </c>
      <c r="FO74" s="915">
        <f t="shared" si="324"/>
        <v>0</v>
      </c>
      <c r="FP74" s="915">
        <f t="shared" si="325"/>
        <v>0</v>
      </c>
      <c r="FQ74" s="915">
        <f t="shared" si="326"/>
        <v>0</v>
      </c>
      <c r="FR74" s="915">
        <f t="shared" si="327"/>
        <v>0</v>
      </c>
      <c r="FS74" s="915">
        <f t="shared" si="328"/>
        <v>0</v>
      </c>
      <c r="FT74" s="915">
        <f t="shared" si="329"/>
        <v>0</v>
      </c>
      <c r="FU74" s="915">
        <f t="shared" si="330"/>
        <v>0</v>
      </c>
      <c r="FV74" s="915">
        <f t="shared" si="331"/>
        <v>0</v>
      </c>
      <c r="FW74" s="915">
        <f t="shared" si="332"/>
        <v>0</v>
      </c>
      <c r="FX74" s="915">
        <f t="shared" si="333"/>
        <v>0</v>
      </c>
      <c r="FY74" s="915">
        <f t="shared" si="334"/>
        <v>0</v>
      </c>
      <c r="FZ74" s="915">
        <f t="shared" si="335"/>
        <v>0</v>
      </c>
    </row>
    <row r="75" spans="1:182" x14ac:dyDescent="0.2">
      <c r="A75" s="497">
        <v>68</v>
      </c>
      <c r="B75" s="1423"/>
      <c r="C75" s="1424"/>
      <c r="D75" s="138">
        <v>9</v>
      </c>
      <c r="E75" s="138" t="s">
        <v>52</v>
      </c>
      <c r="F75" s="139" t="s">
        <v>2544</v>
      </c>
      <c r="G75" s="139" t="s">
        <v>2542</v>
      </c>
      <c r="H75" s="100">
        <v>7</v>
      </c>
      <c r="I75" s="119">
        <f t="shared" si="174"/>
        <v>0.42</v>
      </c>
      <c r="J75" s="90">
        <f t="shared" si="175"/>
        <v>7.42</v>
      </c>
      <c r="K75" s="225"/>
      <c r="N75" s="942">
        <f>CL6</f>
        <v>7.42</v>
      </c>
      <c r="O75" s="915" t="str">
        <f>"Waste Haul for "&amp;TabName9</f>
        <v>Waste Haul for Phase 9</v>
      </c>
      <c r="P75" s="949" t="s">
        <v>564</v>
      </c>
      <c r="W75" s="915">
        <f t="shared" si="176"/>
        <v>0</v>
      </c>
      <c r="X75" s="915">
        <f t="shared" si="177"/>
        <v>0</v>
      </c>
      <c r="Y75" s="915">
        <f t="shared" si="178"/>
        <v>0</v>
      </c>
      <c r="Z75" s="915">
        <f t="shared" si="179"/>
        <v>0</v>
      </c>
      <c r="AA75" s="915">
        <f t="shared" si="180"/>
        <v>0</v>
      </c>
      <c r="AB75" s="915">
        <f t="shared" si="181"/>
        <v>0</v>
      </c>
      <c r="AC75" s="915">
        <f t="shared" si="182"/>
        <v>0</v>
      </c>
      <c r="AD75" s="915">
        <f t="shared" si="183"/>
        <v>0</v>
      </c>
      <c r="AE75" s="915">
        <f t="shared" si="184"/>
        <v>0</v>
      </c>
      <c r="AF75" s="915">
        <f t="shared" si="185"/>
        <v>0</v>
      </c>
      <c r="AG75" s="915">
        <f t="shared" si="186"/>
        <v>0</v>
      </c>
      <c r="AH75" s="915">
        <f t="shared" si="187"/>
        <v>0</v>
      </c>
      <c r="AI75" s="915">
        <f t="shared" si="188"/>
        <v>0</v>
      </c>
      <c r="AJ75" s="915">
        <f t="shared" si="189"/>
        <v>0</v>
      </c>
      <c r="AK75" s="915">
        <f t="shared" si="190"/>
        <v>0</v>
      </c>
      <c r="AL75" s="915">
        <f t="shared" si="191"/>
        <v>0</v>
      </c>
      <c r="AM75" s="915">
        <f t="shared" si="192"/>
        <v>0</v>
      </c>
      <c r="AN75" s="915">
        <f t="shared" si="193"/>
        <v>0</v>
      </c>
      <c r="AO75" s="915">
        <f t="shared" si="194"/>
        <v>0</v>
      </c>
      <c r="AP75" s="915">
        <f t="shared" si="195"/>
        <v>0</v>
      </c>
      <c r="AQ75" s="915">
        <f t="shared" si="196"/>
        <v>0</v>
      </c>
      <c r="AR75" s="915">
        <f t="shared" si="197"/>
        <v>0</v>
      </c>
      <c r="AS75" s="915">
        <f t="shared" si="198"/>
        <v>0</v>
      </c>
      <c r="AT75" s="915">
        <f t="shared" si="199"/>
        <v>0</v>
      </c>
      <c r="AU75" s="915">
        <f t="shared" si="200"/>
        <v>0</v>
      </c>
      <c r="AV75" s="915">
        <f t="shared" si="201"/>
        <v>0</v>
      </c>
      <c r="AW75" s="915">
        <f t="shared" si="202"/>
        <v>0</v>
      </c>
      <c r="AX75" s="915">
        <f t="shared" si="203"/>
        <v>0</v>
      </c>
      <c r="AY75" s="915">
        <f t="shared" si="204"/>
        <v>0</v>
      </c>
      <c r="AZ75" s="915">
        <f t="shared" si="205"/>
        <v>0</v>
      </c>
      <c r="BA75" s="915">
        <f t="shared" si="206"/>
        <v>0</v>
      </c>
      <c r="BB75" s="915">
        <f t="shared" si="207"/>
        <v>0</v>
      </c>
      <c r="BC75" s="915">
        <f t="shared" si="208"/>
        <v>0</v>
      </c>
      <c r="BD75" s="915">
        <f t="shared" si="209"/>
        <v>0</v>
      </c>
      <c r="BE75" s="915">
        <f t="shared" si="210"/>
        <v>0</v>
      </c>
      <c r="BF75" s="915">
        <f t="shared" si="211"/>
        <v>0</v>
      </c>
      <c r="BG75" s="915">
        <f t="shared" si="212"/>
        <v>0</v>
      </c>
      <c r="BH75" s="915">
        <f t="shared" si="213"/>
        <v>0</v>
      </c>
      <c r="BI75" s="915">
        <f t="shared" si="214"/>
        <v>0</v>
      </c>
      <c r="BJ75" s="915">
        <f t="shared" si="215"/>
        <v>0</v>
      </c>
      <c r="BK75" s="915">
        <f t="shared" si="216"/>
        <v>0</v>
      </c>
      <c r="BL75" s="915">
        <f t="shared" si="217"/>
        <v>0</v>
      </c>
      <c r="BM75" s="915">
        <f t="shared" si="218"/>
        <v>0</v>
      </c>
      <c r="BN75" s="915">
        <f t="shared" si="219"/>
        <v>0</v>
      </c>
      <c r="BO75" s="915">
        <f t="shared" si="220"/>
        <v>0</v>
      </c>
      <c r="BP75" s="915">
        <f t="shared" si="221"/>
        <v>0</v>
      </c>
      <c r="BQ75" s="915">
        <f t="shared" si="222"/>
        <v>0</v>
      </c>
      <c r="BR75" s="915">
        <f t="shared" si="223"/>
        <v>0</v>
      </c>
      <c r="BS75" s="915">
        <f t="shared" si="224"/>
        <v>0</v>
      </c>
      <c r="BT75" s="915">
        <f t="shared" si="225"/>
        <v>0</v>
      </c>
      <c r="BU75" s="915">
        <f t="shared" si="226"/>
        <v>0</v>
      </c>
      <c r="BV75" s="915">
        <f t="shared" si="227"/>
        <v>0</v>
      </c>
      <c r="BW75" s="915">
        <f t="shared" si="228"/>
        <v>0</v>
      </c>
      <c r="BX75" s="915">
        <f t="shared" si="229"/>
        <v>0</v>
      </c>
      <c r="BY75" s="915">
        <f t="shared" si="230"/>
        <v>0</v>
      </c>
      <c r="BZ75" s="915">
        <f t="shared" si="231"/>
        <v>0</v>
      </c>
      <c r="CA75" s="915">
        <f t="shared" si="232"/>
        <v>0</v>
      </c>
      <c r="CB75" s="915">
        <f t="shared" si="233"/>
        <v>0</v>
      </c>
      <c r="CC75" s="915">
        <f t="shared" si="234"/>
        <v>0</v>
      </c>
      <c r="CD75" s="915">
        <f t="shared" si="235"/>
        <v>0</v>
      </c>
      <c r="CE75" s="915">
        <f t="shared" si="236"/>
        <v>0</v>
      </c>
      <c r="CF75" s="915">
        <f t="shared" si="237"/>
        <v>0</v>
      </c>
      <c r="CG75" s="915">
        <f t="shared" si="238"/>
        <v>0</v>
      </c>
      <c r="CH75" s="915">
        <f t="shared" si="239"/>
        <v>0</v>
      </c>
      <c r="CI75" s="915">
        <f t="shared" si="240"/>
        <v>0</v>
      </c>
      <c r="CJ75" s="915">
        <f t="shared" si="241"/>
        <v>0</v>
      </c>
      <c r="CK75" s="915">
        <f t="shared" si="242"/>
        <v>0</v>
      </c>
      <c r="CL75" s="915">
        <f t="shared" si="243"/>
        <v>7.42</v>
      </c>
      <c r="CM75" s="915">
        <f t="shared" si="244"/>
        <v>0</v>
      </c>
      <c r="CN75" s="915">
        <f t="shared" si="245"/>
        <v>0</v>
      </c>
      <c r="CO75" s="915">
        <f t="shared" si="246"/>
        <v>0</v>
      </c>
      <c r="CP75" s="915">
        <f t="shared" si="247"/>
        <v>0</v>
      </c>
      <c r="CQ75" s="915">
        <f t="shared" si="248"/>
        <v>0</v>
      </c>
      <c r="CR75" s="915">
        <f t="shared" si="249"/>
        <v>0</v>
      </c>
      <c r="CS75" s="915">
        <f t="shared" si="250"/>
        <v>0</v>
      </c>
      <c r="CT75" s="915">
        <f t="shared" si="251"/>
        <v>0</v>
      </c>
      <c r="CU75" s="915">
        <f t="shared" si="252"/>
        <v>0</v>
      </c>
      <c r="CV75" s="915">
        <f t="shared" si="253"/>
        <v>0</v>
      </c>
      <c r="CW75" s="915">
        <f t="shared" si="254"/>
        <v>0</v>
      </c>
      <c r="CX75" s="915">
        <f t="shared" si="255"/>
        <v>0</v>
      </c>
      <c r="CY75" s="915">
        <f t="shared" si="256"/>
        <v>0</v>
      </c>
      <c r="CZ75" s="915">
        <f t="shared" si="257"/>
        <v>0</v>
      </c>
      <c r="DA75" s="915">
        <f t="shared" si="258"/>
        <v>0</v>
      </c>
      <c r="DB75" s="915">
        <f t="shared" si="259"/>
        <v>0</v>
      </c>
      <c r="DC75" s="915">
        <f t="shared" si="260"/>
        <v>0</v>
      </c>
      <c r="DD75" s="915">
        <f t="shared" si="261"/>
        <v>0</v>
      </c>
      <c r="DE75" s="915">
        <f t="shared" si="262"/>
        <v>0</v>
      </c>
      <c r="DF75" s="915">
        <f t="shared" si="263"/>
        <v>0</v>
      </c>
      <c r="DG75" s="915">
        <f t="shared" si="264"/>
        <v>0</v>
      </c>
      <c r="DH75" s="915">
        <f t="shared" si="265"/>
        <v>0</v>
      </c>
      <c r="DI75" s="915">
        <f t="shared" si="266"/>
        <v>0</v>
      </c>
      <c r="DJ75" s="915">
        <f t="shared" si="267"/>
        <v>0</v>
      </c>
      <c r="DK75" s="915">
        <f t="shared" si="268"/>
        <v>0</v>
      </c>
      <c r="DL75" s="915">
        <f t="shared" si="269"/>
        <v>0</v>
      </c>
      <c r="DM75" s="915">
        <f t="shared" si="270"/>
        <v>0</v>
      </c>
      <c r="DN75" s="915">
        <f t="shared" si="271"/>
        <v>0</v>
      </c>
      <c r="DO75" s="915">
        <f t="shared" si="272"/>
        <v>0</v>
      </c>
      <c r="DP75" s="915">
        <f t="shared" si="273"/>
        <v>0</v>
      </c>
      <c r="DQ75" s="915">
        <f t="shared" si="274"/>
        <v>0</v>
      </c>
      <c r="DR75" s="915">
        <f t="shared" si="275"/>
        <v>0</v>
      </c>
      <c r="DS75" s="915">
        <f t="shared" si="276"/>
        <v>0</v>
      </c>
      <c r="DT75" s="915">
        <f t="shared" si="277"/>
        <v>0</v>
      </c>
      <c r="DU75" s="915">
        <f t="shared" si="278"/>
        <v>0</v>
      </c>
      <c r="DV75" s="915">
        <f t="shared" si="279"/>
        <v>0</v>
      </c>
      <c r="DW75" s="915">
        <f t="shared" si="280"/>
        <v>0</v>
      </c>
      <c r="DX75" s="915">
        <f t="shared" si="281"/>
        <v>0</v>
      </c>
      <c r="DY75" s="915">
        <f t="shared" si="282"/>
        <v>0</v>
      </c>
      <c r="DZ75" s="915">
        <f t="shared" si="283"/>
        <v>0</v>
      </c>
      <c r="EA75" s="915">
        <f t="shared" si="284"/>
        <v>0</v>
      </c>
      <c r="EB75" s="915">
        <f t="shared" si="285"/>
        <v>0</v>
      </c>
      <c r="EC75" s="915">
        <f t="shared" si="286"/>
        <v>0</v>
      </c>
      <c r="ED75" s="915">
        <f t="shared" si="287"/>
        <v>0</v>
      </c>
      <c r="EE75" s="915">
        <f t="shared" si="288"/>
        <v>0</v>
      </c>
      <c r="EF75" s="915">
        <f t="shared" si="289"/>
        <v>0</v>
      </c>
      <c r="EG75" s="915">
        <f t="shared" si="290"/>
        <v>0</v>
      </c>
      <c r="EH75" s="915">
        <f t="shared" si="291"/>
        <v>0</v>
      </c>
      <c r="EI75" s="915">
        <f t="shared" si="292"/>
        <v>0</v>
      </c>
      <c r="EJ75" s="915">
        <f t="shared" si="293"/>
        <v>0</v>
      </c>
      <c r="EK75" s="915">
        <f t="shared" si="294"/>
        <v>0</v>
      </c>
      <c r="EL75" s="915">
        <f t="shared" si="295"/>
        <v>0</v>
      </c>
      <c r="EM75" s="915">
        <f t="shared" si="296"/>
        <v>0</v>
      </c>
      <c r="EN75" s="915">
        <f t="shared" si="297"/>
        <v>0</v>
      </c>
      <c r="EO75" s="915">
        <f t="shared" si="298"/>
        <v>0</v>
      </c>
      <c r="EP75" s="915">
        <f t="shared" si="299"/>
        <v>0</v>
      </c>
      <c r="EQ75" s="915">
        <f t="shared" si="300"/>
        <v>0</v>
      </c>
      <c r="ER75" s="915">
        <f t="shared" si="301"/>
        <v>0</v>
      </c>
      <c r="ES75" s="915">
        <f t="shared" si="302"/>
        <v>0</v>
      </c>
      <c r="ET75" s="915">
        <f t="shared" si="303"/>
        <v>0</v>
      </c>
      <c r="EU75" s="915">
        <f t="shared" si="304"/>
        <v>0</v>
      </c>
      <c r="EV75" s="915">
        <f t="shared" si="305"/>
        <v>0</v>
      </c>
      <c r="EW75" s="915">
        <f t="shared" si="306"/>
        <v>0</v>
      </c>
      <c r="EX75" s="915">
        <f t="shared" si="307"/>
        <v>0</v>
      </c>
      <c r="EY75" s="915">
        <f t="shared" si="308"/>
        <v>0</v>
      </c>
      <c r="EZ75" s="915">
        <f t="shared" si="309"/>
        <v>0</v>
      </c>
      <c r="FA75" s="915">
        <f t="shared" si="310"/>
        <v>0</v>
      </c>
      <c r="FB75" s="915">
        <f t="shared" si="311"/>
        <v>0</v>
      </c>
      <c r="FC75" s="915">
        <f t="shared" si="312"/>
        <v>0</v>
      </c>
      <c r="FD75" s="915">
        <f t="shared" si="313"/>
        <v>0</v>
      </c>
      <c r="FE75" s="915">
        <f t="shared" si="314"/>
        <v>0</v>
      </c>
      <c r="FF75" s="915">
        <f t="shared" si="315"/>
        <v>0</v>
      </c>
      <c r="FG75" s="915">
        <f t="shared" si="316"/>
        <v>0</v>
      </c>
      <c r="FH75" s="915">
        <f t="shared" si="317"/>
        <v>0</v>
      </c>
      <c r="FI75" s="915">
        <f t="shared" si="318"/>
        <v>0</v>
      </c>
      <c r="FJ75" s="915">
        <f t="shared" si="319"/>
        <v>0</v>
      </c>
      <c r="FK75" s="915">
        <f t="shared" si="320"/>
        <v>0</v>
      </c>
      <c r="FL75" s="915">
        <f t="shared" si="321"/>
        <v>0</v>
      </c>
      <c r="FM75" s="915">
        <f t="shared" si="322"/>
        <v>0</v>
      </c>
      <c r="FN75" s="915">
        <f t="shared" si="323"/>
        <v>0</v>
      </c>
      <c r="FO75" s="915">
        <f t="shared" si="324"/>
        <v>0</v>
      </c>
      <c r="FP75" s="915">
        <f t="shared" si="325"/>
        <v>0</v>
      </c>
      <c r="FQ75" s="915">
        <f t="shared" si="326"/>
        <v>0</v>
      </c>
      <c r="FR75" s="915">
        <f t="shared" si="327"/>
        <v>0</v>
      </c>
      <c r="FS75" s="915">
        <f t="shared" si="328"/>
        <v>0</v>
      </c>
      <c r="FT75" s="915">
        <f t="shared" si="329"/>
        <v>0</v>
      </c>
      <c r="FU75" s="915">
        <f t="shared" si="330"/>
        <v>0</v>
      </c>
      <c r="FV75" s="915">
        <f t="shared" si="331"/>
        <v>0</v>
      </c>
      <c r="FW75" s="915">
        <f t="shared" si="332"/>
        <v>0</v>
      </c>
      <c r="FX75" s="915">
        <f t="shared" si="333"/>
        <v>0</v>
      </c>
      <c r="FY75" s="915">
        <f t="shared" si="334"/>
        <v>0</v>
      </c>
      <c r="FZ75" s="915">
        <f t="shared" si="335"/>
        <v>0</v>
      </c>
    </row>
    <row r="76" spans="1:182" x14ac:dyDescent="0.2">
      <c r="A76" s="496">
        <v>69</v>
      </c>
      <c r="B76" s="1419"/>
      <c r="C76" s="1433"/>
      <c r="D76" s="264">
        <v>9</v>
      </c>
      <c r="E76" s="264" t="s">
        <v>30</v>
      </c>
      <c r="F76" s="270" t="s">
        <v>2544</v>
      </c>
      <c r="G76" s="270" t="s">
        <v>2542</v>
      </c>
      <c r="H76" s="272">
        <v>7</v>
      </c>
      <c r="I76" s="268">
        <f t="shared" si="174"/>
        <v>0.42</v>
      </c>
      <c r="J76" s="269">
        <f t="shared" si="175"/>
        <v>7.42</v>
      </c>
      <c r="K76" s="225"/>
      <c r="N76" s="942">
        <f>CM6</f>
        <v>7.42</v>
      </c>
      <c r="O76" s="879" t="str">
        <f>"Surveying/Inspection for " &amp; TabName9</f>
        <v>Surveying/Inspection for Phase 9</v>
      </c>
      <c r="P76" s="950" t="s">
        <v>565</v>
      </c>
      <c r="W76" s="915">
        <f t="shared" si="176"/>
        <v>0</v>
      </c>
      <c r="X76" s="915">
        <f t="shared" si="177"/>
        <v>0</v>
      </c>
      <c r="Y76" s="915">
        <f t="shared" si="178"/>
        <v>0</v>
      </c>
      <c r="Z76" s="915">
        <f t="shared" si="179"/>
        <v>0</v>
      </c>
      <c r="AA76" s="915">
        <f t="shared" si="180"/>
        <v>0</v>
      </c>
      <c r="AB76" s="915">
        <f t="shared" si="181"/>
        <v>0</v>
      </c>
      <c r="AC76" s="915">
        <f t="shared" si="182"/>
        <v>0</v>
      </c>
      <c r="AD76" s="915">
        <f t="shared" si="183"/>
        <v>0</v>
      </c>
      <c r="AE76" s="915">
        <f t="shared" si="184"/>
        <v>0</v>
      </c>
      <c r="AF76" s="915">
        <f t="shared" si="185"/>
        <v>0</v>
      </c>
      <c r="AG76" s="915">
        <f t="shared" si="186"/>
        <v>0</v>
      </c>
      <c r="AH76" s="915">
        <f t="shared" si="187"/>
        <v>0</v>
      </c>
      <c r="AI76" s="915">
        <f t="shared" si="188"/>
        <v>0</v>
      </c>
      <c r="AJ76" s="915">
        <f t="shared" si="189"/>
        <v>0</v>
      </c>
      <c r="AK76" s="915">
        <f t="shared" si="190"/>
        <v>0</v>
      </c>
      <c r="AL76" s="915">
        <f t="shared" si="191"/>
        <v>0</v>
      </c>
      <c r="AM76" s="915">
        <f t="shared" si="192"/>
        <v>0</v>
      </c>
      <c r="AN76" s="915">
        <f t="shared" si="193"/>
        <v>0</v>
      </c>
      <c r="AO76" s="915">
        <f t="shared" si="194"/>
        <v>0</v>
      </c>
      <c r="AP76" s="915">
        <f t="shared" si="195"/>
        <v>0</v>
      </c>
      <c r="AQ76" s="915">
        <f t="shared" si="196"/>
        <v>0</v>
      </c>
      <c r="AR76" s="915">
        <f t="shared" si="197"/>
        <v>0</v>
      </c>
      <c r="AS76" s="915">
        <f t="shared" si="198"/>
        <v>0</v>
      </c>
      <c r="AT76" s="915">
        <f t="shared" si="199"/>
        <v>0</v>
      </c>
      <c r="AU76" s="915">
        <f t="shared" si="200"/>
        <v>0</v>
      </c>
      <c r="AV76" s="915">
        <f t="shared" si="201"/>
        <v>0</v>
      </c>
      <c r="AW76" s="915">
        <f t="shared" si="202"/>
        <v>0</v>
      </c>
      <c r="AX76" s="915">
        <f t="shared" si="203"/>
        <v>0</v>
      </c>
      <c r="AY76" s="915">
        <f t="shared" si="204"/>
        <v>0</v>
      </c>
      <c r="AZ76" s="915">
        <f t="shared" si="205"/>
        <v>0</v>
      </c>
      <c r="BA76" s="915">
        <f t="shared" si="206"/>
        <v>0</v>
      </c>
      <c r="BB76" s="915">
        <f t="shared" si="207"/>
        <v>0</v>
      </c>
      <c r="BC76" s="915">
        <f t="shared" si="208"/>
        <v>0</v>
      </c>
      <c r="BD76" s="915">
        <f t="shared" si="209"/>
        <v>0</v>
      </c>
      <c r="BE76" s="915">
        <f t="shared" si="210"/>
        <v>0</v>
      </c>
      <c r="BF76" s="915">
        <f t="shared" si="211"/>
        <v>0</v>
      </c>
      <c r="BG76" s="915">
        <f t="shared" si="212"/>
        <v>0</v>
      </c>
      <c r="BH76" s="915">
        <f t="shared" si="213"/>
        <v>0</v>
      </c>
      <c r="BI76" s="915">
        <f t="shared" si="214"/>
        <v>0</v>
      </c>
      <c r="BJ76" s="915">
        <f t="shared" si="215"/>
        <v>0</v>
      </c>
      <c r="BK76" s="915">
        <f t="shared" si="216"/>
        <v>0</v>
      </c>
      <c r="BL76" s="915">
        <f t="shared" si="217"/>
        <v>0</v>
      </c>
      <c r="BM76" s="915">
        <f t="shared" si="218"/>
        <v>0</v>
      </c>
      <c r="BN76" s="915">
        <f t="shared" si="219"/>
        <v>0</v>
      </c>
      <c r="BO76" s="915">
        <f t="shared" si="220"/>
        <v>0</v>
      </c>
      <c r="BP76" s="915">
        <f t="shared" si="221"/>
        <v>0</v>
      </c>
      <c r="BQ76" s="915">
        <f t="shared" si="222"/>
        <v>0</v>
      </c>
      <c r="BR76" s="915">
        <f t="shared" si="223"/>
        <v>0</v>
      </c>
      <c r="BS76" s="915">
        <f t="shared" si="224"/>
        <v>0</v>
      </c>
      <c r="BT76" s="915">
        <f t="shared" si="225"/>
        <v>0</v>
      </c>
      <c r="BU76" s="915">
        <f t="shared" si="226"/>
        <v>0</v>
      </c>
      <c r="BV76" s="915">
        <f t="shared" si="227"/>
        <v>0</v>
      </c>
      <c r="BW76" s="915">
        <f t="shared" si="228"/>
        <v>0</v>
      </c>
      <c r="BX76" s="915">
        <f t="shared" si="229"/>
        <v>0</v>
      </c>
      <c r="BY76" s="915">
        <f t="shared" si="230"/>
        <v>0</v>
      </c>
      <c r="BZ76" s="915">
        <f t="shared" si="231"/>
        <v>0</v>
      </c>
      <c r="CA76" s="915">
        <f t="shared" si="232"/>
        <v>0</v>
      </c>
      <c r="CB76" s="915">
        <f t="shared" si="233"/>
        <v>0</v>
      </c>
      <c r="CC76" s="915">
        <f t="shared" si="234"/>
        <v>0</v>
      </c>
      <c r="CD76" s="915">
        <f t="shared" si="235"/>
        <v>0</v>
      </c>
      <c r="CE76" s="915">
        <f t="shared" si="236"/>
        <v>0</v>
      </c>
      <c r="CF76" s="915">
        <f t="shared" si="237"/>
        <v>0</v>
      </c>
      <c r="CG76" s="915">
        <f t="shared" si="238"/>
        <v>0</v>
      </c>
      <c r="CH76" s="915">
        <f t="shared" si="239"/>
        <v>0</v>
      </c>
      <c r="CI76" s="915">
        <f t="shared" si="240"/>
        <v>0</v>
      </c>
      <c r="CJ76" s="915">
        <f t="shared" si="241"/>
        <v>0</v>
      </c>
      <c r="CK76" s="915">
        <f t="shared" si="242"/>
        <v>0</v>
      </c>
      <c r="CL76" s="915">
        <f t="shared" si="243"/>
        <v>0</v>
      </c>
      <c r="CM76" s="915">
        <f t="shared" si="244"/>
        <v>7.42</v>
      </c>
      <c r="CN76" s="915">
        <f t="shared" si="245"/>
        <v>0</v>
      </c>
      <c r="CO76" s="915">
        <f t="shared" si="246"/>
        <v>0</v>
      </c>
      <c r="CP76" s="915">
        <f t="shared" si="247"/>
        <v>0</v>
      </c>
      <c r="CQ76" s="915">
        <f t="shared" si="248"/>
        <v>0</v>
      </c>
      <c r="CR76" s="915">
        <f t="shared" si="249"/>
        <v>0</v>
      </c>
      <c r="CS76" s="915">
        <f t="shared" si="250"/>
        <v>0</v>
      </c>
      <c r="CT76" s="915">
        <f t="shared" si="251"/>
        <v>0</v>
      </c>
      <c r="CU76" s="915">
        <f t="shared" si="252"/>
        <v>0</v>
      </c>
      <c r="CV76" s="915">
        <f t="shared" si="253"/>
        <v>0</v>
      </c>
      <c r="CW76" s="915">
        <f t="shared" si="254"/>
        <v>0</v>
      </c>
      <c r="CX76" s="915">
        <f t="shared" si="255"/>
        <v>0</v>
      </c>
      <c r="CY76" s="915">
        <f t="shared" si="256"/>
        <v>0</v>
      </c>
      <c r="CZ76" s="915">
        <f t="shared" si="257"/>
        <v>0</v>
      </c>
      <c r="DA76" s="915">
        <f t="shared" si="258"/>
        <v>0</v>
      </c>
      <c r="DB76" s="915">
        <f t="shared" si="259"/>
        <v>0</v>
      </c>
      <c r="DC76" s="915">
        <f t="shared" si="260"/>
        <v>0</v>
      </c>
      <c r="DD76" s="915">
        <f t="shared" si="261"/>
        <v>0</v>
      </c>
      <c r="DE76" s="915">
        <f t="shared" si="262"/>
        <v>0</v>
      </c>
      <c r="DF76" s="915">
        <f t="shared" si="263"/>
        <v>0</v>
      </c>
      <c r="DG76" s="915">
        <f t="shared" si="264"/>
        <v>0</v>
      </c>
      <c r="DH76" s="915">
        <f t="shared" si="265"/>
        <v>0</v>
      </c>
      <c r="DI76" s="915">
        <f t="shared" si="266"/>
        <v>0</v>
      </c>
      <c r="DJ76" s="915">
        <f t="shared" si="267"/>
        <v>0</v>
      </c>
      <c r="DK76" s="915">
        <f t="shared" si="268"/>
        <v>0</v>
      </c>
      <c r="DL76" s="915">
        <f t="shared" si="269"/>
        <v>0</v>
      </c>
      <c r="DM76" s="915">
        <f t="shared" si="270"/>
        <v>0</v>
      </c>
      <c r="DN76" s="915">
        <f t="shared" si="271"/>
        <v>0</v>
      </c>
      <c r="DO76" s="915">
        <f t="shared" si="272"/>
        <v>0</v>
      </c>
      <c r="DP76" s="915">
        <f t="shared" si="273"/>
        <v>0</v>
      </c>
      <c r="DQ76" s="915">
        <f t="shared" si="274"/>
        <v>0</v>
      </c>
      <c r="DR76" s="915">
        <f t="shared" si="275"/>
        <v>0</v>
      </c>
      <c r="DS76" s="915">
        <f t="shared" si="276"/>
        <v>0</v>
      </c>
      <c r="DT76" s="915">
        <f t="shared" si="277"/>
        <v>0</v>
      </c>
      <c r="DU76" s="915">
        <f t="shared" si="278"/>
        <v>0</v>
      </c>
      <c r="DV76" s="915">
        <f t="shared" si="279"/>
        <v>0</v>
      </c>
      <c r="DW76" s="915">
        <f t="shared" si="280"/>
        <v>0</v>
      </c>
      <c r="DX76" s="915">
        <f t="shared" si="281"/>
        <v>0</v>
      </c>
      <c r="DY76" s="915">
        <f t="shared" si="282"/>
        <v>0</v>
      </c>
      <c r="DZ76" s="915">
        <f t="shared" si="283"/>
        <v>0</v>
      </c>
      <c r="EA76" s="915">
        <f t="shared" si="284"/>
        <v>0</v>
      </c>
      <c r="EB76" s="915">
        <f t="shared" si="285"/>
        <v>0</v>
      </c>
      <c r="EC76" s="915">
        <f t="shared" si="286"/>
        <v>0</v>
      </c>
      <c r="ED76" s="915">
        <f t="shared" si="287"/>
        <v>0</v>
      </c>
      <c r="EE76" s="915">
        <f t="shared" si="288"/>
        <v>0</v>
      </c>
      <c r="EF76" s="915">
        <f t="shared" si="289"/>
        <v>0</v>
      </c>
      <c r="EG76" s="915">
        <f t="shared" si="290"/>
        <v>0</v>
      </c>
      <c r="EH76" s="915">
        <f t="shared" si="291"/>
        <v>0</v>
      </c>
      <c r="EI76" s="915">
        <f t="shared" si="292"/>
        <v>0</v>
      </c>
      <c r="EJ76" s="915">
        <f t="shared" si="293"/>
        <v>0</v>
      </c>
      <c r="EK76" s="915">
        <f t="shared" si="294"/>
        <v>0</v>
      </c>
      <c r="EL76" s="915">
        <f t="shared" si="295"/>
        <v>0</v>
      </c>
      <c r="EM76" s="915">
        <f t="shared" si="296"/>
        <v>0</v>
      </c>
      <c r="EN76" s="915">
        <f t="shared" si="297"/>
        <v>0</v>
      </c>
      <c r="EO76" s="915">
        <f t="shared" si="298"/>
        <v>0</v>
      </c>
      <c r="EP76" s="915">
        <f t="shared" si="299"/>
        <v>0</v>
      </c>
      <c r="EQ76" s="915">
        <f t="shared" si="300"/>
        <v>0</v>
      </c>
      <c r="ER76" s="915">
        <f t="shared" si="301"/>
        <v>0</v>
      </c>
      <c r="ES76" s="915">
        <f t="shared" si="302"/>
        <v>0</v>
      </c>
      <c r="ET76" s="915">
        <f t="shared" si="303"/>
        <v>0</v>
      </c>
      <c r="EU76" s="915">
        <f t="shared" si="304"/>
        <v>0</v>
      </c>
      <c r="EV76" s="915">
        <f t="shared" si="305"/>
        <v>0</v>
      </c>
      <c r="EW76" s="915">
        <f t="shared" si="306"/>
        <v>0</v>
      </c>
      <c r="EX76" s="915">
        <f t="shared" si="307"/>
        <v>0</v>
      </c>
      <c r="EY76" s="915">
        <f t="shared" si="308"/>
        <v>0</v>
      </c>
      <c r="EZ76" s="915">
        <f t="shared" si="309"/>
        <v>0</v>
      </c>
      <c r="FA76" s="915">
        <f t="shared" si="310"/>
        <v>0</v>
      </c>
      <c r="FB76" s="915">
        <f t="shared" si="311"/>
        <v>0</v>
      </c>
      <c r="FC76" s="915">
        <f t="shared" si="312"/>
        <v>0</v>
      </c>
      <c r="FD76" s="915">
        <f t="shared" si="313"/>
        <v>0</v>
      </c>
      <c r="FE76" s="915">
        <f t="shared" si="314"/>
        <v>0</v>
      </c>
      <c r="FF76" s="915">
        <f t="shared" si="315"/>
        <v>0</v>
      </c>
      <c r="FG76" s="915">
        <f t="shared" si="316"/>
        <v>0</v>
      </c>
      <c r="FH76" s="915">
        <f t="shared" si="317"/>
        <v>0</v>
      </c>
      <c r="FI76" s="915">
        <f t="shared" si="318"/>
        <v>0</v>
      </c>
      <c r="FJ76" s="915">
        <f t="shared" si="319"/>
        <v>0</v>
      </c>
      <c r="FK76" s="915">
        <f t="shared" si="320"/>
        <v>0</v>
      </c>
      <c r="FL76" s="915">
        <f t="shared" si="321"/>
        <v>0</v>
      </c>
      <c r="FM76" s="915">
        <f t="shared" si="322"/>
        <v>0</v>
      </c>
      <c r="FN76" s="915">
        <f t="shared" si="323"/>
        <v>0</v>
      </c>
      <c r="FO76" s="915">
        <f t="shared" si="324"/>
        <v>0</v>
      </c>
      <c r="FP76" s="915">
        <f t="shared" si="325"/>
        <v>0</v>
      </c>
      <c r="FQ76" s="915">
        <f t="shared" si="326"/>
        <v>0</v>
      </c>
      <c r="FR76" s="915">
        <f t="shared" si="327"/>
        <v>0</v>
      </c>
      <c r="FS76" s="915">
        <f t="shared" si="328"/>
        <v>0</v>
      </c>
      <c r="FT76" s="915">
        <f t="shared" si="329"/>
        <v>0</v>
      </c>
      <c r="FU76" s="915">
        <f t="shared" si="330"/>
        <v>0</v>
      </c>
      <c r="FV76" s="915">
        <f t="shared" si="331"/>
        <v>0</v>
      </c>
      <c r="FW76" s="915">
        <f t="shared" si="332"/>
        <v>0</v>
      </c>
      <c r="FX76" s="915">
        <f t="shared" si="333"/>
        <v>0</v>
      </c>
      <c r="FY76" s="915">
        <f t="shared" si="334"/>
        <v>0</v>
      </c>
      <c r="FZ76" s="915">
        <f t="shared" si="335"/>
        <v>0</v>
      </c>
    </row>
    <row r="77" spans="1:182" x14ac:dyDescent="0.2">
      <c r="A77" s="497">
        <v>70</v>
      </c>
      <c r="B77" s="1423"/>
      <c r="C77" s="1424"/>
      <c r="D77" s="138">
        <v>9</v>
      </c>
      <c r="E77" s="138" t="s">
        <v>170</v>
      </c>
      <c r="F77" s="139" t="s">
        <v>2544</v>
      </c>
      <c r="G77" s="139" t="s">
        <v>2542</v>
      </c>
      <c r="H77" s="100">
        <v>7</v>
      </c>
      <c r="I77" s="119">
        <f t="shared" si="174"/>
        <v>0.42</v>
      </c>
      <c r="J77" s="90">
        <f t="shared" si="175"/>
        <v>7.42</v>
      </c>
      <c r="K77" s="225"/>
      <c r="N77" s="942">
        <f>CN6</f>
        <v>7.42</v>
      </c>
      <c r="O77" s="879" t="str">
        <f>"Other subcontractor for " &amp; TabName9</f>
        <v>Other subcontractor for Phase 9</v>
      </c>
      <c r="P77" s="949" t="s">
        <v>566</v>
      </c>
      <c r="W77" s="915">
        <f t="shared" si="176"/>
        <v>0</v>
      </c>
      <c r="X77" s="915">
        <f t="shared" si="177"/>
        <v>0</v>
      </c>
      <c r="Y77" s="915">
        <f t="shared" si="178"/>
        <v>0</v>
      </c>
      <c r="Z77" s="915">
        <f t="shared" si="179"/>
        <v>0</v>
      </c>
      <c r="AA77" s="915">
        <f t="shared" si="180"/>
        <v>0</v>
      </c>
      <c r="AB77" s="915">
        <f t="shared" si="181"/>
        <v>0</v>
      </c>
      <c r="AC77" s="915">
        <f t="shared" si="182"/>
        <v>0</v>
      </c>
      <c r="AD77" s="915">
        <f t="shared" si="183"/>
        <v>0</v>
      </c>
      <c r="AE77" s="915">
        <f t="shared" si="184"/>
        <v>0</v>
      </c>
      <c r="AF77" s="915">
        <f t="shared" si="185"/>
        <v>0</v>
      </c>
      <c r="AG77" s="915">
        <f t="shared" si="186"/>
        <v>0</v>
      </c>
      <c r="AH77" s="915">
        <f t="shared" si="187"/>
        <v>0</v>
      </c>
      <c r="AI77" s="915">
        <f t="shared" si="188"/>
        <v>0</v>
      </c>
      <c r="AJ77" s="915">
        <f t="shared" si="189"/>
        <v>0</v>
      </c>
      <c r="AK77" s="915">
        <f t="shared" si="190"/>
        <v>0</v>
      </c>
      <c r="AL77" s="915">
        <f t="shared" si="191"/>
        <v>0</v>
      </c>
      <c r="AM77" s="915">
        <f t="shared" si="192"/>
        <v>0</v>
      </c>
      <c r="AN77" s="915">
        <f t="shared" si="193"/>
        <v>0</v>
      </c>
      <c r="AO77" s="915">
        <f t="shared" si="194"/>
        <v>0</v>
      </c>
      <c r="AP77" s="915">
        <f t="shared" si="195"/>
        <v>0</v>
      </c>
      <c r="AQ77" s="915">
        <f t="shared" si="196"/>
        <v>0</v>
      </c>
      <c r="AR77" s="915">
        <f t="shared" si="197"/>
        <v>0</v>
      </c>
      <c r="AS77" s="915">
        <f t="shared" si="198"/>
        <v>0</v>
      </c>
      <c r="AT77" s="915">
        <f t="shared" si="199"/>
        <v>0</v>
      </c>
      <c r="AU77" s="915">
        <f t="shared" si="200"/>
        <v>0</v>
      </c>
      <c r="AV77" s="915">
        <f t="shared" si="201"/>
        <v>0</v>
      </c>
      <c r="AW77" s="915">
        <f t="shared" si="202"/>
        <v>0</v>
      </c>
      <c r="AX77" s="915">
        <f t="shared" si="203"/>
        <v>0</v>
      </c>
      <c r="AY77" s="915">
        <f t="shared" si="204"/>
        <v>0</v>
      </c>
      <c r="AZ77" s="915">
        <f t="shared" si="205"/>
        <v>0</v>
      </c>
      <c r="BA77" s="915">
        <f t="shared" si="206"/>
        <v>0</v>
      </c>
      <c r="BB77" s="915">
        <f t="shared" si="207"/>
        <v>0</v>
      </c>
      <c r="BC77" s="915">
        <f t="shared" si="208"/>
        <v>0</v>
      </c>
      <c r="BD77" s="915">
        <f t="shared" si="209"/>
        <v>0</v>
      </c>
      <c r="BE77" s="915">
        <f t="shared" si="210"/>
        <v>0</v>
      </c>
      <c r="BF77" s="915">
        <f t="shared" si="211"/>
        <v>0</v>
      </c>
      <c r="BG77" s="915">
        <f t="shared" si="212"/>
        <v>0</v>
      </c>
      <c r="BH77" s="915">
        <f t="shared" si="213"/>
        <v>0</v>
      </c>
      <c r="BI77" s="915">
        <f t="shared" si="214"/>
        <v>0</v>
      </c>
      <c r="BJ77" s="915">
        <f t="shared" si="215"/>
        <v>0</v>
      </c>
      <c r="BK77" s="915">
        <f t="shared" si="216"/>
        <v>0</v>
      </c>
      <c r="BL77" s="915">
        <f t="shared" si="217"/>
        <v>0</v>
      </c>
      <c r="BM77" s="915">
        <f t="shared" si="218"/>
        <v>0</v>
      </c>
      <c r="BN77" s="915">
        <f t="shared" si="219"/>
        <v>0</v>
      </c>
      <c r="BO77" s="915">
        <f t="shared" si="220"/>
        <v>0</v>
      </c>
      <c r="BP77" s="915">
        <f t="shared" si="221"/>
        <v>0</v>
      </c>
      <c r="BQ77" s="915">
        <f t="shared" si="222"/>
        <v>0</v>
      </c>
      <c r="BR77" s="915">
        <f t="shared" si="223"/>
        <v>0</v>
      </c>
      <c r="BS77" s="915">
        <f t="shared" si="224"/>
        <v>0</v>
      </c>
      <c r="BT77" s="915">
        <f t="shared" si="225"/>
        <v>0</v>
      </c>
      <c r="BU77" s="915">
        <f t="shared" si="226"/>
        <v>0</v>
      </c>
      <c r="BV77" s="915">
        <f t="shared" si="227"/>
        <v>0</v>
      </c>
      <c r="BW77" s="915">
        <f t="shared" si="228"/>
        <v>0</v>
      </c>
      <c r="BX77" s="915">
        <f t="shared" si="229"/>
        <v>0</v>
      </c>
      <c r="BY77" s="915">
        <f t="shared" si="230"/>
        <v>0</v>
      </c>
      <c r="BZ77" s="915">
        <f t="shared" si="231"/>
        <v>0</v>
      </c>
      <c r="CA77" s="915">
        <f t="shared" si="232"/>
        <v>0</v>
      </c>
      <c r="CB77" s="915">
        <f t="shared" si="233"/>
        <v>0</v>
      </c>
      <c r="CC77" s="915">
        <f t="shared" si="234"/>
        <v>0</v>
      </c>
      <c r="CD77" s="915">
        <f t="shared" si="235"/>
        <v>0</v>
      </c>
      <c r="CE77" s="915">
        <f t="shared" si="236"/>
        <v>0</v>
      </c>
      <c r="CF77" s="915">
        <f t="shared" si="237"/>
        <v>0</v>
      </c>
      <c r="CG77" s="915">
        <f t="shared" si="238"/>
        <v>0</v>
      </c>
      <c r="CH77" s="915">
        <f t="shared" si="239"/>
        <v>0</v>
      </c>
      <c r="CI77" s="915">
        <f t="shared" si="240"/>
        <v>0</v>
      </c>
      <c r="CJ77" s="915">
        <f t="shared" si="241"/>
        <v>0</v>
      </c>
      <c r="CK77" s="915">
        <f t="shared" si="242"/>
        <v>0</v>
      </c>
      <c r="CL77" s="915">
        <f t="shared" si="243"/>
        <v>0</v>
      </c>
      <c r="CM77" s="915">
        <f t="shared" si="244"/>
        <v>0</v>
      </c>
      <c r="CN77" s="915">
        <f t="shared" si="245"/>
        <v>7.42</v>
      </c>
      <c r="CO77" s="915">
        <f t="shared" si="246"/>
        <v>0</v>
      </c>
      <c r="CP77" s="915">
        <f t="shared" si="247"/>
        <v>0</v>
      </c>
      <c r="CQ77" s="915">
        <f t="shared" si="248"/>
        <v>0</v>
      </c>
      <c r="CR77" s="915">
        <f t="shared" si="249"/>
        <v>0</v>
      </c>
      <c r="CS77" s="915">
        <f t="shared" si="250"/>
        <v>0</v>
      </c>
      <c r="CT77" s="915">
        <f t="shared" si="251"/>
        <v>0</v>
      </c>
      <c r="CU77" s="915">
        <f t="shared" si="252"/>
        <v>0</v>
      </c>
      <c r="CV77" s="915">
        <f t="shared" si="253"/>
        <v>0</v>
      </c>
      <c r="CW77" s="915">
        <f t="shared" si="254"/>
        <v>0</v>
      </c>
      <c r="CX77" s="915">
        <f t="shared" si="255"/>
        <v>0</v>
      </c>
      <c r="CY77" s="915">
        <f t="shared" si="256"/>
        <v>0</v>
      </c>
      <c r="CZ77" s="915">
        <f t="shared" si="257"/>
        <v>0</v>
      </c>
      <c r="DA77" s="915">
        <f t="shared" si="258"/>
        <v>0</v>
      </c>
      <c r="DB77" s="915">
        <f t="shared" si="259"/>
        <v>0</v>
      </c>
      <c r="DC77" s="915">
        <f t="shared" si="260"/>
        <v>0</v>
      </c>
      <c r="DD77" s="915">
        <f t="shared" si="261"/>
        <v>0</v>
      </c>
      <c r="DE77" s="915">
        <f t="shared" si="262"/>
        <v>0</v>
      </c>
      <c r="DF77" s="915">
        <f t="shared" si="263"/>
        <v>0</v>
      </c>
      <c r="DG77" s="915">
        <f t="shared" si="264"/>
        <v>0</v>
      </c>
      <c r="DH77" s="915">
        <f t="shared" si="265"/>
        <v>0</v>
      </c>
      <c r="DI77" s="915">
        <f t="shared" si="266"/>
        <v>0</v>
      </c>
      <c r="DJ77" s="915">
        <f t="shared" si="267"/>
        <v>0</v>
      </c>
      <c r="DK77" s="915">
        <f t="shared" si="268"/>
        <v>0</v>
      </c>
      <c r="DL77" s="915">
        <f t="shared" si="269"/>
        <v>0</v>
      </c>
      <c r="DM77" s="915">
        <f t="shared" si="270"/>
        <v>0</v>
      </c>
      <c r="DN77" s="915">
        <f t="shared" si="271"/>
        <v>0</v>
      </c>
      <c r="DO77" s="915">
        <f t="shared" si="272"/>
        <v>0</v>
      </c>
      <c r="DP77" s="915">
        <f t="shared" si="273"/>
        <v>0</v>
      </c>
      <c r="DQ77" s="915">
        <f t="shared" si="274"/>
        <v>0</v>
      </c>
      <c r="DR77" s="915">
        <f t="shared" si="275"/>
        <v>0</v>
      </c>
      <c r="DS77" s="915">
        <f t="shared" si="276"/>
        <v>0</v>
      </c>
      <c r="DT77" s="915">
        <f t="shared" si="277"/>
        <v>0</v>
      </c>
      <c r="DU77" s="915">
        <f t="shared" si="278"/>
        <v>0</v>
      </c>
      <c r="DV77" s="915">
        <f t="shared" si="279"/>
        <v>0</v>
      </c>
      <c r="DW77" s="915">
        <f t="shared" si="280"/>
        <v>0</v>
      </c>
      <c r="DX77" s="915">
        <f t="shared" si="281"/>
        <v>0</v>
      </c>
      <c r="DY77" s="915">
        <f t="shared" si="282"/>
        <v>0</v>
      </c>
      <c r="DZ77" s="915">
        <f t="shared" si="283"/>
        <v>0</v>
      </c>
      <c r="EA77" s="915">
        <f t="shared" si="284"/>
        <v>0</v>
      </c>
      <c r="EB77" s="915">
        <f t="shared" si="285"/>
        <v>0</v>
      </c>
      <c r="EC77" s="915">
        <f t="shared" si="286"/>
        <v>0</v>
      </c>
      <c r="ED77" s="915">
        <f t="shared" si="287"/>
        <v>0</v>
      </c>
      <c r="EE77" s="915">
        <f t="shared" si="288"/>
        <v>0</v>
      </c>
      <c r="EF77" s="915">
        <f t="shared" si="289"/>
        <v>0</v>
      </c>
      <c r="EG77" s="915">
        <f t="shared" si="290"/>
        <v>0</v>
      </c>
      <c r="EH77" s="915">
        <f t="shared" si="291"/>
        <v>0</v>
      </c>
      <c r="EI77" s="915">
        <f t="shared" si="292"/>
        <v>0</v>
      </c>
      <c r="EJ77" s="915">
        <f t="shared" si="293"/>
        <v>0</v>
      </c>
      <c r="EK77" s="915">
        <f t="shared" si="294"/>
        <v>0</v>
      </c>
      <c r="EL77" s="915">
        <f t="shared" si="295"/>
        <v>0</v>
      </c>
      <c r="EM77" s="915">
        <f t="shared" si="296"/>
        <v>0</v>
      </c>
      <c r="EN77" s="915">
        <f t="shared" si="297"/>
        <v>0</v>
      </c>
      <c r="EO77" s="915">
        <f t="shared" si="298"/>
        <v>0</v>
      </c>
      <c r="EP77" s="915">
        <f t="shared" si="299"/>
        <v>0</v>
      </c>
      <c r="EQ77" s="915">
        <f t="shared" si="300"/>
        <v>0</v>
      </c>
      <c r="ER77" s="915">
        <f t="shared" si="301"/>
        <v>0</v>
      </c>
      <c r="ES77" s="915">
        <f t="shared" si="302"/>
        <v>0</v>
      </c>
      <c r="ET77" s="915">
        <f t="shared" si="303"/>
        <v>0</v>
      </c>
      <c r="EU77" s="915">
        <f t="shared" si="304"/>
        <v>0</v>
      </c>
      <c r="EV77" s="915">
        <f t="shared" si="305"/>
        <v>0</v>
      </c>
      <c r="EW77" s="915">
        <f t="shared" si="306"/>
        <v>0</v>
      </c>
      <c r="EX77" s="915">
        <f t="shared" si="307"/>
        <v>0</v>
      </c>
      <c r="EY77" s="915">
        <f t="shared" si="308"/>
        <v>0</v>
      </c>
      <c r="EZ77" s="915">
        <f t="shared" si="309"/>
        <v>0</v>
      </c>
      <c r="FA77" s="915">
        <f t="shared" si="310"/>
        <v>0</v>
      </c>
      <c r="FB77" s="915">
        <f t="shared" si="311"/>
        <v>0</v>
      </c>
      <c r="FC77" s="915">
        <f t="shared" si="312"/>
        <v>0</v>
      </c>
      <c r="FD77" s="915">
        <f t="shared" si="313"/>
        <v>0</v>
      </c>
      <c r="FE77" s="915">
        <f t="shared" si="314"/>
        <v>0</v>
      </c>
      <c r="FF77" s="915">
        <f t="shared" si="315"/>
        <v>0</v>
      </c>
      <c r="FG77" s="915">
        <f t="shared" si="316"/>
        <v>0</v>
      </c>
      <c r="FH77" s="915">
        <f t="shared" si="317"/>
        <v>0</v>
      </c>
      <c r="FI77" s="915">
        <f t="shared" si="318"/>
        <v>0</v>
      </c>
      <c r="FJ77" s="915">
        <f t="shared" si="319"/>
        <v>0</v>
      </c>
      <c r="FK77" s="915">
        <f t="shared" si="320"/>
        <v>0</v>
      </c>
      <c r="FL77" s="915">
        <f t="shared" si="321"/>
        <v>0</v>
      </c>
      <c r="FM77" s="915">
        <f t="shared" si="322"/>
        <v>0</v>
      </c>
      <c r="FN77" s="915">
        <f t="shared" si="323"/>
        <v>0</v>
      </c>
      <c r="FO77" s="915">
        <f t="shared" si="324"/>
        <v>0</v>
      </c>
      <c r="FP77" s="915">
        <f t="shared" si="325"/>
        <v>0</v>
      </c>
      <c r="FQ77" s="915">
        <f t="shared" si="326"/>
        <v>0</v>
      </c>
      <c r="FR77" s="915">
        <f t="shared" si="327"/>
        <v>0</v>
      </c>
      <c r="FS77" s="915">
        <f t="shared" si="328"/>
        <v>0</v>
      </c>
      <c r="FT77" s="915">
        <f t="shared" si="329"/>
        <v>0</v>
      </c>
      <c r="FU77" s="915">
        <f t="shared" si="330"/>
        <v>0</v>
      </c>
      <c r="FV77" s="915">
        <f t="shared" si="331"/>
        <v>0</v>
      </c>
      <c r="FW77" s="915">
        <f t="shared" si="332"/>
        <v>0</v>
      </c>
      <c r="FX77" s="915">
        <f t="shared" si="333"/>
        <v>0</v>
      </c>
      <c r="FY77" s="915">
        <f t="shared" si="334"/>
        <v>0</v>
      </c>
      <c r="FZ77" s="915">
        <f t="shared" si="335"/>
        <v>0</v>
      </c>
    </row>
    <row r="78" spans="1:182" x14ac:dyDescent="0.2">
      <c r="A78" s="496">
        <v>71</v>
      </c>
      <c r="B78" s="1419"/>
      <c r="C78" s="1433"/>
      <c r="D78" s="264">
        <v>9</v>
      </c>
      <c r="E78" s="264" t="s">
        <v>48</v>
      </c>
      <c r="F78" s="270" t="s">
        <v>2544</v>
      </c>
      <c r="G78" s="270" t="s">
        <v>2542</v>
      </c>
      <c r="H78" s="272">
        <v>7</v>
      </c>
      <c r="I78" s="268">
        <f t="shared" si="174"/>
        <v>0.42</v>
      </c>
      <c r="J78" s="269">
        <f t="shared" si="175"/>
        <v>7.42</v>
      </c>
      <c r="K78" s="225"/>
      <c r="N78" s="942">
        <f>CO6</f>
        <v>7.42</v>
      </c>
      <c r="O78" s="915" t="str">
        <f>"Miscellaneous for "&amp;TabName9</f>
        <v>Miscellaneous for Phase 9</v>
      </c>
      <c r="P78" s="949" t="s">
        <v>567</v>
      </c>
      <c r="W78" s="915">
        <f t="shared" si="176"/>
        <v>0</v>
      </c>
      <c r="X78" s="915">
        <f t="shared" si="177"/>
        <v>0</v>
      </c>
      <c r="Y78" s="915">
        <f t="shared" si="178"/>
        <v>0</v>
      </c>
      <c r="Z78" s="915">
        <f t="shared" si="179"/>
        <v>0</v>
      </c>
      <c r="AA78" s="915">
        <f t="shared" si="180"/>
        <v>0</v>
      </c>
      <c r="AB78" s="915">
        <f t="shared" si="181"/>
        <v>0</v>
      </c>
      <c r="AC78" s="915">
        <f t="shared" si="182"/>
        <v>0</v>
      </c>
      <c r="AD78" s="915">
        <f t="shared" si="183"/>
        <v>0</v>
      </c>
      <c r="AE78" s="915">
        <f t="shared" si="184"/>
        <v>0</v>
      </c>
      <c r="AF78" s="915">
        <f t="shared" si="185"/>
        <v>0</v>
      </c>
      <c r="AG78" s="915">
        <f t="shared" si="186"/>
        <v>0</v>
      </c>
      <c r="AH78" s="915">
        <f t="shared" si="187"/>
        <v>0</v>
      </c>
      <c r="AI78" s="915">
        <f t="shared" si="188"/>
        <v>0</v>
      </c>
      <c r="AJ78" s="915">
        <f t="shared" si="189"/>
        <v>0</v>
      </c>
      <c r="AK78" s="915">
        <f t="shared" si="190"/>
        <v>0</v>
      </c>
      <c r="AL78" s="915">
        <f t="shared" si="191"/>
        <v>0</v>
      </c>
      <c r="AM78" s="915">
        <f t="shared" si="192"/>
        <v>0</v>
      </c>
      <c r="AN78" s="915">
        <f t="shared" si="193"/>
        <v>0</v>
      </c>
      <c r="AO78" s="915">
        <f t="shared" si="194"/>
        <v>0</v>
      </c>
      <c r="AP78" s="915">
        <f t="shared" si="195"/>
        <v>0</v>
      </c>
      <c r="AQ78" s="915">
        <f t="shared" si="196"/>
        <v>0</v>
      </c>
      <c r="AR78" s="915">
        <f t="shared" si="197"/>
        <v>0</v>
      </c>
      <c r="AS78" s="915">
        <f t="shared" si="198"/>
        <v>0</v>
      </c>
      <c r="AT78" s="915">
        <f t="shared" si="199"/>
        <v>0</v>
      </c>
      <c r="AU78" s="915">
        <f t="shared" si="200"/>
        <v>0</v>
      </c>
      <c r="AV78" s="915">
        <f t="shared" si="201"/>
        <v>0</v>
      </c>
      <c r="AW78" s="915">
        <f t="shared" si="202"/>
        <v>0</v>
      </c>
      <c r="AX78" s="915">
        <f t="shared" si="203"/>
        <v>0</v>
      </c>
      <c r="AY78" s="915">
        <f t="shared" si="204"/>
        <v>0</v>
      </c>
      <c r="AZ78" s="915">
        <f t="shared" si="205"/>
        <v>0</v>
      </c>
      <c r="BA78" s="915">
        <f t="shared" si="206"/>
        <v>0</v>
      </c>
      <c r="BB78" s="915">
        <f t="shared" si="207"/>
        <v>0</v>
      </c>
      <c r="BC78" s="915">
        <f t="shared" si="208"/>
        <v>0</v>
      </c>
      <c r="BD78" s="915">
        <f t="shared" si="209"/>
        <v>0</v>
      </c>
      <c r="BE78" s="915">
        <f t="shared" si="210"/>
        <v>0</v>
      </c>
      <c r="BF78" s="915">
        <f t="shared" si="211"/>
        <v>0</v>
      </c>
      <c r="BG78" s="915">
        <f t="shared" si="212"/>
        <v>0</v>
      </c>
      <c r="BH78" s="915">
        <f t="shared" si="213"/>
        <v>0</v>
      </c>
      <c r="BI78" s="915">
        <f t="shared" si="214"/>
        <v>0</v>
      </c>
      <c r="BJ78" s="915">
        <f t="shared" si="215"/>
        <v>0</v>
      </c>
      <c r="BK78" s="915">
        <f t="shared" si="216"/>
        <v>0</v>
      </c>
      <c r="BL78" s="915">
        <f t="shared" si="217"/>
        <v>0</v>
      </c>
      <c r="BM78" s="915">
        <f t="shared" si="218"/>
        <v>0</v>
      </c>
      <c r="BN78" s="915">
        <f t="shared" si="219"/>
        <v>0</v>
      </c>
      <c r="BO78" s="915">
        <f t="shared" si="220"/>
        <v>0</v>
      </c>
      <c r="BP78" s="915">
        <f t="shared" si="221"/>
        <v>0</v>
      </c>
      <c r="BQ78" s="915">
        <f t="shared" si="222"/>
        <v>0</v>
      </c>
      <c r="BR78" s="915">
        <f t="shared" si="223"/>
        <v>0</v>
      </c>
      <c r="BS78" s="915">
        <f t="shared" si="224"/>
        <v>0</v>
      </c>
      <c r="BT78" s="915">
        <f t="shared" si="225"/>
        <v>0</v>
      </c>
      <c r="BU78" s="915">
        <f t="shared" si="226"/>
        <v>0</v>
      </c>
      <c r="BV78" s="915">
        <f t="shared" si="227"/>
        <v>0</v>
      </c>
      <c r="BW78" s="915">
        <f t="shared" si="228"/>
        <v>0</v>
      </c>
      <c r="BX78" s="915">
        <f t="shared" si="229"/>
        <v>0</v>
      </c>
      <c r="BY78" s="915">
        <f t="shared" si="230"/>
        <v>0</v>
      </c>
      <c r="BZ78" s="915">
        <f t="shared" si="231"/>
        <v>0</v>
      </c>
      <c r="CA78" s="915">
        <f t="shared" si="232"/>
        <v>0</v>
      </c>
      <c r="CB78" s="915">
        <f t="shared" si="233"/>
        <v>0</v>
      </c>
      <c r="CC78" s="915">
        <f t="shared" si="234"/>
        <v>0</v>
      </c>
      <c r="CD78" s="915">
        <f t="shared" si="235"/>
        <v>0</v>
      </c>
      <c r="CE78" s="915">
        <f t="shared" si="236"/>
        <v>0</v>
      </c>
      <c r="CF78" s="915">
        <f t="shared" si="237"/>
        <v>0</v>
      </c>
      <c r="CG78" s="915">
        <f t="shared" si="238"/>
        <v>0</v>
      </c>
      <c r="CH78" s="915">
        <f t="shared" si="239"/>
        <v>0</v>
      </c>
      <c r="CI78" s="915">
        <f t="shared" si="240"/>
        <v>0</v>
      </c>
      <c r="CJ78" s="915">
        <f t="shared" si="241"/>
        <v>0</v>
      </c>
      <c r="CK78" s="915">
        <f t="shared" si="242"/>
        <v>0</v>
      </c>
      <c r="CL78" s="915">
        <f t="shared" si="243"/>
        <v>0</v>
      </c>
      <c r="CM78" s="915">
        <f t="shared" si="244"/>
        <v>0</v>
      </c>
      <c r="CN78" s="915">
        <f t="shared" si="245"/>
        <v>0</v>
      </c>
      <c r="CO78" s="915">
        <f t="shared" si="246"/>
        <v>7.42</v>
      </c>
      <c r="CP78" s="915">
        <f t="shared" si="247"/>
        <v>0</v>
      </c>
      <c r="CQ78" s="915">
        <f t="shared" si="248"/>
        <v>0</v>
      </c>
      <c r="CR78" s="915">
        <f t="shared" si="249"/>
        <v>0</v>
      </c>
      <c r="CS78" s="915">
        <f t="shared" si="250"/>
        <v>0</v>
      </c>
      <c r="CT78" s="915">
        <f t="shared" si="251"/>
        <v>0</v>
      </c>
      <c r="CU78" s="915">
        <f t="shared" si="252"/>
        <v>0</v>
      </c>
      <c r="CV78" s="915">
        <f t="shared" si="253"/>
        <v>0</v>
      </c>
      <c r="CW78" s="915">
        <f t="shared" si="254"/>
        <v>0</v>
      </c>
      <c r="CX78" s="915">
        <f t="shared" si="255"/>
        <v>0</v>
      </c>
      <c r="CY78" s="915">
        <f t="shared" si="256"/>
        <v>0</v>
      </c>
      <c r="CZ78" s="915">
        <f t="shared" si="257"/>
        <v>0</v>
      </c>
      <c r="DA78" s="915">
        <f t="shared" si="258"/>
        <v>0</v>
      </c>
      <c r="DB78" s="915">
        <f t="shared" si="259"/>
        <v>0</v>
      </c>
      <c r="DC78" s="915">
        <f t="shared" si="260"/>
        <v>0</v>
      </c>
      <c r="DD78" s="915">
        <f t="shared" si="261"/>
        <v>0</v>
      </c>
      <c r="DE78" s="915">
        <f t="shared" si="262"/>
        <v>0</v>
      </c>
      <c r="DF78" s="915">
        <f t="shared" si="263"/>
        <v>0</v>
      </c>
      <c r="DG78" s="915">
        <f t="shared" si="264"/>
        <v>0</v>
      </c>
      <c r="DH78" s="915">
        <f t="shared" si="265"/>
        <v>0</v>
      </c>
      <c r="DI78" s="915">
        <f t="shared" si="266"/>
        <v>0</v>
      </c>
      <c r="DJ78" s="915">
        <f t="shared" si="267"/>
        <v>0</v>
      </c>
      <c r="DK78" s="915">
        <f t="shared" si="268"/>
        <v>0</v>
      </c>
      <c r="DL78" s="915">
        <f t="shared" si="269"/>
        <v>0</v>
      </c>
      <c r="DM78" s="915">
        <f t="shared" si="270"/>
        <v>0</v>
      </c>
      <c r="DN78" s="915">
        <f t="shared" si="271"/>
        <v>0</v>
      </c>
      <c r="DO78" s="915">
        <f t="shared" si="272"/>
        <v>0</v>
      </c>
      <c r="DP78" s="915">
        <f t="shared" si="273"/>
        <v>0</v>
      </c>
      <c r="DQ78" s="915">
        <f t="shared" si="274"/>
        <v>0</v>
      </c>
      <c r="DR78" s="915">
        <f t="shared" si="275"/>
        <v>0</v>
      </c>
      <c r="DS78" s="915">
        <f t="shared" si="276"/>
        <v>0</v>
      </c>
      <c r="DT78" s="915">
        <f t="shared" si="277"/>
        <v>0</v>
      </c>
      <c r="DU78" s="915">
        <f t="shared" si="278"/>
        <v>0</v>
      </c>
      <c r="DV78" s="915">
        <f t="shared" si="279"/>
        <v>0</v>
      </c>
      <c r="DW78" s="915">
        <f t="shared" si="280"/>
        <v>0</v>
      </c>
      <c r="DX78" s="915">
        <f t="shared" si="281"/>
        <v>0</v>
      </c>
      <c r="DY78" s="915">
        <f t="shared" si="282"/>
        <v>0</v>
      </c>
      <c r="DZ78" s="915">
        <f t="shared" si="283"/>
        <v>0</v>
      </c>
      <c r="EA78" s="915">
        <f t="shared" si="284"/>
        <v>0</v>
      </c>
      <c r="EB78" s="915">
        <f t="shared" si="285"/>
        <v>0</v>
      </c>
      <c r="EC78" s="915">
        <f t="shared" si="286"/>
        <v>0</v>
      </c>
      <c r="ED78" s="915">
        <f t="shared" si="287"/>
        <v>0</v>
      </c>
      <c r="EE78" s="915">
        <f t="shared" si="288"/>
        <v>0</v>
      </c>
      <c r="EF78" s="915">
        <f t="shared" si="289"/>
        <v>0</v>
      </c>
      <c r="EG78" s="915">
        <f t="shared" si="290"/>
        <v>0</v>
      </c>
      <c r="EH78" s="915">
        <f t="shared" si="291"/>
        <v>0</v>
      </c>
      <c r="EI78" s="915">
        <f t="shared" si="292"/>
        <v>0</v>
      </c>
      <c r="EJ78" s="915">
        <f t="shared" si="293"/>
        <v>0</v>
      </c>
      <c r="EK78" s="915">
        <f t="shared" si="294"/>
        <v>0</v>
      </c>
      <c r="EL78" s="915">
        <f t="shared" si="295"/>
        <v>0</v>
      </c>
      <c r="EM78" s="915">
        <f t="shared" si="296"/>
        <v>0</v>
      </c>
      <c r="EN78" s="915">
        <f t="shared" si="297"/>
        <v>0</v>
      </c>
      <c r="EO78" s="915">
        <f t="shared" si="298"/>
        <v>0</v>
      </c>
      <c r="EP78" s="915">
        <f t="shared" si="299"/>
        <v>0</v>
      </c>
      <c r="EQ78" s="915">
        <f t="shared" si="300"/>
        <v>0</v>
      </c>
      <c r="ER78" s="915">
        <f t="shared" si="301"/>
        <v>0</v>
      </c>
      <c r="ES78" s="915">
        <f t="shared" si="302"/>
        <v>0</v>
      </c>
      <c r="ET78" s="915">
        <f t="shared" si="303"/>
        <v>0</v>
      </c>
      <c r="EU78" s="915">
        <f t="shared" si="304"/>
        <v>0</v>
      </c>
      <c r="EV78" s="915">
        <f t="shared" si="305"/>
        <v>0</v>
      </c>
      <c r="EW78" s="915">
        <f t="shared" si="306"/>
        <v>0</v>
      </c>
      <c r="EX78" s="915">
        <f t="shared" si="307"/>
        <v>0</v>
      </c>
      <c r="EY78" s="915">
        <f t="shared" si="308"/>
        <v>0</v>
      </c>
      <c r="EZ78" s="915">
        <f t="shared" si="309"/>
        <v>0</v>
      </c>
      <c r="FA78" s="915">
        <f t="shared" si="310"/>
        <v>0</v>
      </c>
      <c r="FB78" s="915">
        <f t="shared" si="311"/>
        <v>0</v>
      </c>
      <c r="FC78" s="915">
        <f t="shared" si="312"/>
        <v>0</v>
      </c>
      <c r="FD78" s="915">
        <f t="shared" si="313"/>
        <v>0</v>
      </c>
      <c r="FE78" s="915">
        <f t="shared" si="314"/>
        <v>0</v>
      </c>
      <c r="FF78" s="915">
        <f t="shared" si="315"/>
        <v>0</v>
      </c>
      <c r="FG78" s="915">
        <f t="shared" si="316"/>
        <v>0</v>
      </c>
      <c r="FH78" s="915">
        <f t="shared" si="317"/>
        <v>0</v>
      </c>
      <c r="FI78" s="915">
        <f t="shared" si="318"/>
        <v>0</v>
      </c>
      <c r="FJ78" s="915">
        <f t="shared" si="319"/>
        <v>0</v>
      </c>
      <c r="FK78" s="915">
        <f t="shared" si="320"/>
        <v>0</v>
      </c>
      <c r="FL78" s="915">
        <f t="shared" si="321"/>
        <v>0</v>
      </c>
      <c r="FM78" s="915">
        <f t="shared" si="322"/>
        <v>0</v>
      </c>
      <c r="FN78" s="915">
        <f t="shared" si="323"/>
        <v>0</v>
      </c>
      <c r="FO78" s="915">
        <f t="shared" si="324"/>
        <v>0</v>
      </c>
      <c r="FP78" s="915">
        <f t="shared" si="325"/>
        <v>0</v>
      </c>
      <c r="FQ78" s="915">
        <f t="shared" si="326"/>
        <v>0</v>
      </c>
      <c r="FR78" s="915">
        <f t="shared" si="327"/>
        <v>0</v>
      </c>
      <c r="FS78" s="915">
        <f t="shared" si="328"/>
        <v>0</v>
      </c>
      <c r="FT78" s="915">
        <f t="shared" si="329"/>
        <v>0</v>
      </c>
      <c r="FU78" s="915">
        <f t="shared" si="330"/>
        <v>0</v>
      </c>
      <c r="FV78" s="915">
        <f t="shared" si="331"/>
        <v>0</v>
      </c>
      <c r="FW78" s="915">
        <f t="shared" si="332"/>
        <v>0</v>
      </c>
      <c r="FX78" s="915">
        <f t="shared" si="333"/>
        <v>0</v>
      </c>
      <c r="FY78" s="915">
        <f t="shared" si="334"/>
        <v>0</v>
      </c>
      <c r="FZ78" s="915">
        <f t="shared" si="335"/>
        <v>0</v>
      </c>
    </row>
    <row r="79" spans="1:182" x14ac:dyDescent="0.2">
      <c r="A79" s="497">
        <v>72</v>
      </c>
      <c r="B79" s="1423"/>
      <c r="C79" s="1424"/>
      <c r="D79" s="138">
        <v>9</v>
      </c>
      <c r="E79" s="138" t="s">
        <v>27</v>
      </c>
      <c r="F79" s="139" t="s">
        <v>2544</v>
      </c>
      <c r="G79" s="139" t="s">
        <v>2542</v>
      </c>
      <c r="H79" s="100">
        <v>7</v>
      </c>
      <c r="I79" s="119">
        <f t="shared" si="174"/>
        <v>0.42</v>
      </c>
      <c r="J79" s="90">
        <f t="shared" si="175"/>
        <v>7.42</v>
      </c>
      <c r="K79" s="225"/>
      <c r="N79" s="942">
        <f>CP6</f>
        <v>7.42</v>
      </c>
      <c r="O79" s="879" t="str">
        <f>"Contractor Labor for " &amp; TabName9</f>
        <v>Contractor Labor for Phase 9</v>
      </c>
      <c r="P79" s="950" t="s">
        <v>568</v>
      </c>
      <c r="W79" s="915">
        <f t="shared" si="176"/>
        <v>0</v>
      </c>
      <c r="X79" s="915">
        <f t="shared" si="177"/>
        <v>0</v>
      </c>
      <c r="Y79" s="915">
        <f t="shared" si="178"/>
        <v>0</v>
      </c>
      <c r="Z79" s="915">
        <f t="shared" si="179"/>
        <v>0</v>
      </c>
      <c r="AA79" s="915">
        <f t="shared" si="180"/>
        <v>0</v>
      </c>
      <c r="AB79" s="915">
        <f t="shared" si="181"/>
        <v>0</v>
      </c>
      <c r="AC79" s="915">
        <f t="shared" si="182"/>
        <v>0</v>
      </c>
      <c r="AD79" s="915">
        <f t="shared" si="183"/>
        <v>0</v>
      </c>
      <c r="AE79" s="915">
        <f t="shared" si="184"/>
        <v>0</v>
      </c>
      <c r="AF79" s="915">
        <f t="shared" si="185"/>
        <v>0</v>
      </c>
      <c r="AG79" s="915">
        <f t="shared" si="186"/>
        <v>0</v>
      </c>
      <c r="AH79" s="915">
        <f t="shared" si="187"/>
        <v>0</v>
      </c>
      <c r="AI79" s="915">
        <f t="shared" si="188"/>
        <v>0</v>
      </c>
      <c r="AJ79" s="915">
        <f t="shared" si="189"/>
        <v>0</v>
      </c>
      <c r="AK79" s="915">
        <f t="shared" si="190"/>
        <v>0</v>
      </c>
      <c r="AL79" s="915">
        <f t="shared" si="191"/>
        <v>0</v>
      </c>
      <c r="AM79" s="915">
        <f t="shared" si="192"/>
        <v>0</v>
      </c>
      <c r="AN79" s="915">
        <f t="shared" si="193"/>
        <v>0</v>
      </c>
      <c r="AO79" s="915">
        <f t="shared" si="194"/>
        <v>0</v>
      </c>
      <c r="AP79" s="915">
        <f t="shared" si="195"/>
        <v>0</v>
      </c>
      <c r="AQ79" s="915">
        <f t="shared" si="196"/>
        <v>0</v>
      </c>
      <c r="AR79" s="915">
        <f t="shared" si="197"/>
        <v>0</v>
      </c>
      <c r="AS79" s="915">
        <f t="shared" si="198"/>
        <v>0</v>
      </c>
      <c r="AT79" s="915">
        <f t="shared" si="199"/>
        <v>0</v>
      </c>
      <c r="AU79" s="915">
        <f t="shared" si="200"/>
        <v>0</v>
      </c>
      <c r="AV79" s="915">
        <f t="shared" si="201"/>
        <v>0</v>
      </c>
      <c r="AW79" s="915">
        <f t="shared" si="202"/>
        <v>0</v>
      </c>
      <c r="AX79" s="915">
        <f t="shared" si="203"/>
        <v>0</v>
      </c>
      <c r="AY79" s="915">
        <f t="shared" si="204"/>
        <v>0</v>
      </c>
      <c r="AZ79" s="915">
        <f t="shared" si="205"/>
        <v>0</v>
      </c>
      <c r="BA79" s="915">
        <f t="shared" si="206"/>
        <v>0</v>
      </c>
      <c r="BB79" s="915">
        <f t="shared" si="207"/>
        <v>0</v>
      </c>
      <c r="BC79" s="915">
        <f t="shared" si="208"/>
        <v>0</v>
      </c>
      <c r="BD79" s="915">
        <f t="shared" si="209"/>
        <v>0</v>
      </c>
      <c r="BE79" s="915">
        <f t="shared" si="210"/>
        <v>0</v>
      </c>
      <c r="BF79" s="915">
        <f t="shared" si="211"/>
        <v>0</v>
      </c>
      <c r="BG79" s="915">
        <f t="shared" si="212"/>
        <v>0</v>
      </c>
      <c r="BH79" s="915">
        <f t="shared" si="213"/>
        <v>0</v>
      </c>
      <c r="BI79" s="915">
        <f t="shared" si="214"/>
        <v>0</v>
      </c>
      <c r="BJ79" s="915">
        <f t="shared" si="215"/>
        <v>0</v>
      </c>
      <c r="BK79" s="915">
        <f t="shared" si="216"/>
        <v>0</v>
      </c>
      <c r="BL79" s="915">
        <f t="shared" si="217"/>
        <v>0</v>
      </c>
      <c r="BM79" s="915">
        <f t="shared" si="218"/>
        <v>0</v>
      </c>
      <c r="BN79" s="915">
        <f t="shared" si="219"/>
        <v>0</v>
      </c>
      <c r="BO79" s="915">
        <f t="shared" si="220"/>
        <v>0</v>
      </c>
      <c r="BP79" s="915">
        <f t="shared" si="221"/>
        <v>0</v>
      </c>
      <c r="BQ79" s="915">
        <f t="shared" si="222"/>
        <v>0</v>
      </c>
      <c r="BR79" s="915">
        <f t="shared" si="223"/>
        <v>0</v>
      </c>
      <c r="BS79" s="915">
        <f t="shared" si="224"/>
        <v>0</v>
      </c>
      <c r="BT79" s="915">
        <f t="shared" si="225"/>
        <v>0</v>
      </c>
      <c r="BU79" s="915">
        <f t="shared" si="226"/>
        <v>0</v>
      </c>
      <c r="BV79" s="915">
        <f t="shared" si="227"/>
        <v>0</v>
      </c>
      <c r="BW79" s="915">
        <f t="shared" si="228"/>
        <v>0</v>
      </c>
      <c r="BX79" s="915">
        <f t="shared" si="229"/>
        <v>0</v>
      </c>
      <c r="BY79" s="915">
        <f t="shared" si="230"/>
        <v>0</v>
      </c>
      <c r="BZ79" s="915">
        <f t="shared" si="231"/>
        <v>0</v>
      </c>
      <c r="CA79" s="915">
        <f t="shared" si="232"/>
        <v>0</v>
      </c>
      <c r="CB79" s="915">
        <f t="shared" si="233"/>
        <v>0</v>
      </c>
      <c r="CC79" s="915">
        <f t="shared" si="234"/>
        <v>0</v>
      </c>
      <c r="CD79" s="915">
        <f t="shared" si="235"/>
        <v>0</v>
      </c>
      <c r="CE79" s="915">
        <f t="shared" si="236"/>
        <v>0</v>
      </c>
      <c r="CF79" s="915">
        <f t="shared" si="237"/>
        <v>0</v>
      </c>
      <c r="CG79" s="915">
        <f t="shared" si="238"/>
        <v>0</v>
      </c>
      <c r="CH79" s="915">
        <f t="shared" si="239"/>
        <v>0</v>
      </c>
      <c r="CI79" s="915">
        <f t="shared" si="240"/>
        <v>0</v>
      </c>
      <c r="CJ79" s="915">
        <f t="shared" si="241"/>
        <v>0</v>
      </c>
      <c r="CK79" s="915">
        <f t="shared" si="242"/>
        <v>0</v>
      </c>
      <c r="CL79" s="915">
        <f t="shared" si="243"/>
        <v>0</v>
      </c>
      <c r="CM79" s="915">
        <f t="shared" si="244"/>
        <v>0</v>
      </c>
      <c r="CN79" s="915">
        <f t="shared" si="245"/>
        <v>0</v>
      </c>
      <c r="CO79" s="915">
        <f t="shared" si="246"/>
        <v>0</v>
      </c>
      <c r="CP79" s="915">
        <f t="shared" si="247"/>
        <v>7.42</v>
      </c>
      <c r="CQ79" s="915">
        <f t="shared" si="248"/>
        <v>0</v>
      </c>
      <c r="CR79" s="915">
        <f t="shared" si="249"/>
        <v>0</v>
      </c>
      <c r="CS79" s="915">
        <f t="shared" si="250"/>
        <v>0</v>
      </c>
      <c r="CT79" s="915">
        <f t="shared" si="251"/>
        <v>0</v>
      </c>
      <c r="CU79" s="915">
        <f t="shared" si="252"/>
        <v>0</v>
      </c>
      <c r="CV79" s="915">
        <f t="shared" si="253"/>
        <v>0</v>
      </c>
      <c r="CW79" s="915">
        <f t="shared" si="254"/>
        <v>0</v>
      </c>
      <c r="CX79" s="915">
        <f t="shared" si="255"/>
        <v>0</v>
      </c>
      <c r="CY79" s="915">
        <f t="shared" si="256"/>
        <v>0</v>
      </c>
      <c r="CZ79" s="915">
        <f t="shared" si="257"/>
        <v>0</v>
      </c>
      <c r="DA79" s="915">
        <f t="shared" si="258"/>
        <v>0</v>
      </c>
      <c r="DB79" s="915">
        <f t="shared" si="259"/>
        <v>0</v>
      </c>
      <c r="DC79" s="915">
        <f t="shared" si="260"/>
        <v>0</v>
      </c>
      <c r="DD79" s="915">
        <f t="shared" si="261"/>
        <v>0</v>
      </c>
      <c r="DE79" s="915">
        <f t="shared" si="262"/>
        <v>0</v>
      </c>
      <c r="DF79" s="915">
        <f t="shared" si="263"/>
        <v>0</v>
      </c>
      <c r="DG79" s="915">
        <f t="shared" si="264"/>
        <v>0</v>
      </c>
      <c r="DH79" s="915">
        <f t="shared" si="265"/>
        <v>0</v>
      </c>
      <c r="DI79" s="915">
        <f t="shared" si="266"/>
        <v>0</v>
      </c>
      <c r="DJ79" s="915">
        <f t="shared" si="267"/>
        <v>0</v>
      </c>
      <c r="DK79" s="915">
        <f t="shared" si="268"/>
        <v>0</v>
      </c>
      <c r="DL79" s="915">
        <f t="shared" si="269"/>
        <v>0</v>
      </c>
      <c r="DM79" s="915">
        <f t="shared" si="270"/>
        <v>0</v>
      </c>
      <c r="DN79" s="915">
        <f t="shared" si="271"/>
        <v>0</v>
      </c>
      <c r="DO79" s="915">
        <f t="shared" si="272"/>
        <v>0</v>
      </c>
      <c r="DP79" s="915">
        <f t="shared" si="273"/>
        <v>0</v>
      </c>
      <c r="DQ79" s="915">
        <f t="shared" si="274"/>
        <v>0</v>
      </c>
      <c r="DR79" s="915">
        <f t="shared" si="275"/>
        <v>0</v>
      </c>
      <c r="DS79" s="915">
        <f t="shared" si="276"/>
        <v>0</v>
      </c>
      <c r="DT79" s="915">
        <f t="shared" si="277"/>
        <v>0</v>
      </c>
      <c r="DU79" s="915">
        <f t="shared" si="278"/>
        <v>0</v>
      </c>
      <c r="DV79" s="915">
        <f t="shared" si="279"/>
        <v>0</v>
      </c>
      <c r="DW79" s="915">
        <f t="shared" si="280"/>
        <v>0</v>
      </c>
      <c r="DX79" s="915">
        <f t="shared" si="281"/>
        <v>0</v>
      </c>
      <c r="DY79" s="915">
        <f t="shared" si="282"/>
        <v>0</v>
      </c>
      <c r="DZ79" s="915">
        <f t="shared" si="283"/>
        <v>0</v>
      </c>
      <c r="EA79" s="915">
        <f t="shared" si="284"/>
        <v>0</v>
      </c>
      <c r="EB79" s="915">
        <f t="shared" si="285"/>
        <v>0</v>
      </c>
      <c r="EC79" s="915">
        <f t="shared" si="286"/>
        <v>0</v>
      </c>
      <c r="ED79" s="915">
        <f t="shared" si="287"/>
        <v>0</v>
      </c>
      <c r="EE79" s="915">
        <f t="shared" si="288"/>
        <v>0</v>
      </c>
      <c r="EF79" s="915">
        <f t="shared" si="289"/>
        <v>0</v>
      </c>
      <c r="EG79" s="915">
        <f t="shared" si="290"/>
        <v>0</v>
      </c>
      <c r="EH79" s="915">
        <f t="shared" si="291"/>
        <v>0</v>
      </c>
      <c r="EI79" s="915">
        <f t="shared" si="292"/>
        <v>0</v>
      </c>
      <c r="EJ79" s="915">
        <f t="shared" si="293"/>
        <v>0</v>
      </c>
      <c r="EK79" s="915">
        <f t="shared" si="294"/>
        <v>0</v>
      </c>
      <c r="EL79" s="915">
        <f t="shared" si="295"/>
        <v>0</v>
      </c>
      <c r="EM79" s="915">
        <f t="shared" si="296"/>
        <v>0</v>
      </c>
      <c r="EN79" s="915">
        <f t="shared" si="297"/>
        <v>0</v>
      </c>
      <c r="EO79" s="915">
        <f t="shared" si="298"/>
        <v>0</v>
      </c>
      <c r="EP79" s="915">
        <f t="shared" si="299"/>
        <v>0</v>
      </c>
      <c r="EQ79" s="915">
        <f t="shared" si="300"/>
        <v>0</v>
      </c>
      <c r="ER79" s="915">
        <f t="shared" si="301"/>
        <v>0</v>
      </c>
      <c r="ES79" s="915">
        <f t="shared" si="302"/>
        <v>0</v>
      </c>
      <c r="ET79" s="915">
        <f t="shared" si="303"/>
        <v>0</v>
      </c>
      <c r="EU79" s="915">
        <f t="shared" si="304"/>
        <v>0</v>
      </c>
      <c r="EV79" s="915">
        <f t="shared" si="305"/>
        <v>0</v>
      </c>
      <c r="EW79" s="915">
        <f t="shared" si="306"/>
        <v>0</v>
      </c>
      <c r="EX79" s="915">
        <f t="shared" si="307"/>
        <v>0</v>
      </c>
      <c r="EY79" s="915">
        <f t="shared" si="308"/>
        <v>0</v>
      </c>
      <c r="EZ79" s="915">
        <f t="shared" si="309"/>
        <v>0</v>
      </c>
      <c r="FA79" s="915">
        <f t="shared" si="310"/>
        <v>0</v>
      </c>
      <c r="FB79" s="915">
        <f t="shared" si="311"/>
        <v>0</v>
      </c>
      <c r="FC79" s="915">
        <f t="shared" si="312"/>
        <v>0</v>
      </c>
      <c r="FD79" s="915">
        <f t="shared" si="313"/>
        <v>0</v>
      </c>
      <c r="FE79" s="915">
        <f t="shared" si="314"/>
        <v>0</v>
      </c>
      <c r="FF79" s="915">
        <f t="shared" si="315"/>
        <v>0</v>
      </c>
      <c r="FG79" s="915">
        <f t="shared" si="316"/>
        <v>0</v>
      </c>
      <c r="FH79" s="915">
        <f t="shared" si="317"/>
        <v>0</v>
      </c>
      <c r="FI79" s="915">
        <f t="shared" si="318"/>
        <v>0</v>
      </c>
      <c r="FJ79" s="915">
        <f t="shared" si="319"/>
        <v>0</v>
      </c>
      <c r="FK79" s="915">
        <f t="shared" si="320"/>
        <v>0</v>
      </c>
      <c r="FL79" s="915">
        <f t="shared" si="321"/>
        <v>0</v>
      </c>
      <c r="FM79" s="915">
        <f t="shared" si="322"/>
        <v>0</v>
      </c>
      <c r="FN79" s="915">
        <f t="shared" si="323"/>
        <v>0</v>
      </c>
      <c r="FO79" s="915">
        <f t="shared" si="324"/>
        <v>0</v>
      </c>
      <c r="FP79" s="915">
        <f t="shared" si="325"/>
        <v>0</v>
      </c>
      <c r="FQ79" s="915">
        <f t="shared" si="326"/>
        <v>0</v>
      </c>
      <c r="FR79" s="915">
        <f t="shared" si="327"/>
        <v>0</v>
      </c>
      <c r="FS79" s="915">
        <f t="shared" si="328"/>
        <v>0</v>
      </c>
      <c r="FT79" s="915">
        <f t="shared" si="329"/>
        <v>0</v>
      </c>
      <c r="FU79" s="915">
        <f t="shared" si="330"/>
        <v>0</v>
      </c>
      <c r="FV79" s="915">
        <f t="shared" si="331"/>
        <v>0</v>
      </c>
      <c r="FW79" s="915">
        <f t="shared" si="332"/>
        <v>0</v>
      </c>
      <c r="FX79" s="915">
        <f t="shared" si="333"/>
        <v>0</v>
      </c>
      <c r="FY79" s="915">
        <f t="shared" si="334"/>
        <v>0</v>
      </c>
      <c r="FZ79" s="915">
        <f t="shared" si="335"/>
        <v>0</v>
      </c>
    </row>
    <row r="80" spans="1:182" x14ac:dyDescent="0.2">
      <c r="A80" s="496">
        <v>73</v>
      </c>
      <c r="B80" s="1419"/>
      <c r="C80" s="1433"/>
      <c r="D80" s="264">
        <v>10</v>
      </c>
      <c r="E80" s="264" t="s">
        <v>193</v>
      </c>
      <c r="F80" s="270" t="s">
        <v>2544</v>
      </c>
      <c r="G80" s="270" t="s">
        <v>2542</v>
      </c>
      <c r="H80" s="272">
        <v>7</v>
      </c>
      <c r="I80" s="268">
        <f t="shared" si="174"/>
        <v>0.42</v>
      </c>
      <c r="J80" s="269">
        <f t="shared" si="175"/>
        <v>7.42</v>
      </c>
      <c r="K80" s="225"/>
      <c r="N80" s="942">
        <f>CQ6</f>
        <v>7.42</v>
      </c>
      <c r="O80" s="915" t="str">
        <f>"Boring/Monitoring Wells for "&amp;tabname10</f>
        <v>Boring/Monitoring Wells for Phase 10</v>
      </c>
      <c r="P80" s="949" t="s">
        <v>553</v>
      </c>
      <c r="W80" s="915">
        <f t="shared" si="176"/>
        <v>0</v>
      </c>
      <c r="X80" s="915">
        <f t="shared" si="177"/>
        <v>0</v>
      </c>
      <c r="Y80" s="915">
        <f t="shared" si="178"/>
        <v>0</v>
      </c>
      <c r="Z80" s="915">
        <f t="shared" si="179"/>
        <v>0</v>
      </c>
      <c r="AA80" s="915">
        <f t="shared" si="180"/>
        <v>0</v>
      </c>
      <c r="AB80" s="915">
        <f t="shared" si="181"/>
        <v>0</v>
      </c>
      <c r="AC80" s="915">
        <f t="shared" si="182"/>
        <v>0</v>
      </c>
      <c r="AD80" s="915">
        <f t="shared" si="183"/>
        <v>0</v>
      </c>
      <c r="AE80" s="915">
        <f t="shared" si="184"/>
        <v>0</v>
      </c>
      <c r="AF80" s="915">
        <f t="shared" si="185"/>
        <v>0</v>
      </c>
      <c r="AG80" s="915">
        <f t="shared" si="186"/>
        <v>0</v>
      </c>
      <c r="AH80" s="915">
        <f t="shared" si="187"/>
        <v>0</v>
      </c>
      <c r="AI80" s="915">
        <f t="shared" si="188"/>
        <v>0</v>
      </c>
      <c r="AJ80" s="915">
        <f t="shared" si="189"/>
        <v>0</v>
      </c>
      <c r="AK80" s="915">
        <f t="shared" si="190"/>
        <v>0</v>
      </c>
      <c r="AL80" s="915">
        <f t="shared" si="191"/>
        <v>0</v>
      </c>
      <c r="AM80" s="915">
        <f t="shared" si="192"/>
        <v>0</v>
      </c>
      <c r="AN80" s="915">
        <f t="shared" si="193"/>
        <v>0</v>
      </c>
      <c r="AO80" s="915">
        <f t="shared" si="194"/>
        <v>0</v>
      </c>
      <c r="AP80" s="915">
        <f t="shared" si="195"/>
        <v>0</v>
      </c>
      <c r="AQ80" s="915">
        <f t="shared" si="196"/>
        <v>0</v>
      </c>
      <c r="AR80" s="915">
        <f t="shared" si="197"/>
        <v>0</v>
      </c>
      <c r="AS80" s="915">
        <f t="shared" si="198"/>
        <v>0</v>
      </c>
      <c r="AT80" s="915">
        <f t="shared" si="199"/>
        <v>0</v>
      </c>
      <c r="AU80" s="915">
        <f t="shared" si="200"/>
        <v>0</v>
      </c>
      <c r="AV80" s="915">
        <f t="shared" si="201"/>
        <v>0</v>
      </c>
      <c r="AW80" s="915">
        <f t="shared" si="202"/>
        <v>0</v>
      </c>
      <c r="AX80" s="915">
        <f t="shared" si="203"/>
        <v>0</v>
      </c>
      <c r="AY80" s="915">
        <f t="shared" si="204"/>
        <v>0</v>
      </c>
      <c r="AZ80" s="915">
        <f t="shared" si="205"/>
        <v>0</v>
      </c>
      <c r="BA80" s="915">
        <f t="shared" si="206"/>
        <v>0</v>
      </c>
      <c r="BB80" s="915">
        <f t="shared" si="207"/>
        <v>0</v>
      </c>
      <c r="BC80" s="915">
        <f t="shared" si="208"/>
        <v>0</v>
      </c>
      <c r="BD80" s="915">
        <f t="shared" si="209"/>
        <v>0</v>
      </c>
      <c r="BE80" s="915">
        <f t="shared" si="210"/>
        <v>0</v>
      </c>
      <c r="BF80" s="915">
        <f t="shared" si="211"/>
        <v>0</v>
      </c>
      <c r="BG80" s="915">
        <f t="shared" si="212"/>
        <v>0</v>
      </c>
      <c r="BH80" s="915">
        <f t="shared" si="213"/>
        <v>0</v>
      </c>
      <c r="BI80" s="915">
        <f t="shared" si="214"/>
        <v>0</v>
      </c>
      <c r="BJ80" s="915">
        <f t="shared" si="215"/>
        <v>0</v>
      </c>
      <c r="BK80" s="915">
        <f t="shared" si="216"/>
        <v>0</v>
      </c>
      <c r="BL80" s="915">
        <f t="shared" si="217"/>
        <v>0</v>
      </c>
      <c r="BM80" s="915">
        <f t="shared" si="218"/>
        <v>0</v>
      </c>
      <c r="BN80" s="915">
        <f t="shared" si="219"/>
        <v>0</v>
      </c>
      <c r="BO80" s="915">
        <f t="shared" si="220"/>
        <v>0</v>
      </c>
      <c r="BP80" s="915">
        <f t="shared" si="221"/>
        <v>0</v>
      </c>
      <c r="BQ80" s="915">
        <f t="shared" si="222"/>
        <v>0</v>
      </c>
      <c r="BR80" s="915">
        <f t="shared" si="223"/>
        <v>0</v>
      </c>
      <c r="BS80" s="915">
        <f t="shared" si="224"/>
        <v>0</v>
      </c>
      <c r="BT80" s="915">
        <f t="shared" si="225"/>
        <v>0</v>
      </c>
      <c r="BU80" s="915">
        <f t="shared" si="226"/>
        <v>0</v>
      </c>
      <c r="BV80" s="915">
        <f t="shared" si="227"/>
        <v>0</v>
      </c>
      <c r="BW80" s="915">
        <f t="shared" si="228"/>
        <v>0</v>
      </c>
      <c r="BX80" s="915">
        <f t="shared" si="229"/>
        <v>0</v>
      </c>
      <c r="BY80" s="915">
        <f t="shared" si="230"/>
        <v>0</v>
      </c>
      <c r="BZ80" s="915">
        <f t="shared" si="231"/>
        <v>0</v>
      </c>
      <c r="CA80" s="915">
        <f t="shared" si="232"/>
        <v>0</v>
      </c>
      <c r="CB80" s="915">
        <f t="shared" si="233"/>
        <v>0</v>
      </c>
      <c r="CC80" s="915">
        <f t="shared" si="234"/>
        <v>0</v>
      </c>
      <c r="CD80" s="915">
        <f t="shared" si="235"/>
        <v>0</v>
      </c>
      <c r="CE80" s="915">
        <f t="shared" si="236"/>
        <v>0</v>
      </c>
      <c r="CF80" s="915">
        <f t="shared" si="237"/>
        <v>0</v>
      </c>
      <c r="CG80" s="915">
        <f t="shared" si="238"/>
        <v>0</v>
      </c>
      <c r="CH80" s="915">
        <f t="shared" si="239"/>
        <v>0</v>
      </c>
      <c r="CI80" s="915">
        <f t="shared" si="240"/>
        <v>0</v>
      </c>
      <c r="CJ80" s="915">
        <f t="shared" si="241"/>
        <v>0</v>
      </c>
      <c r="CK80" s="915">
        <f t="shared" si="242"/>
        <v>0</v>
      </c>
      <c r="CL80" s="915">
        <f t="shared" si="243"/>
        <v>0</v>
      </c>
      <c r="CM80" s="915">
        <f t="shared" si="244"/>
        <v>0</v>
      </c>
      <c r="CN80" s="915">
        <f t="shared" si="245"/>
        <v>0</v>
      </c>
      <c r="CO80" s="915">
        <f t="shared" si="246"/>
        <v>0</v>
      </c>
      <c r="CP80" s="915">
        <f t="shared" si="247"/>
        <v>0</v>
      </c>
      <c r="CQ80" s="915">
        <f t="shared" si="248"/>
        <v>7.42</v>
      </c>
      <c r="CR80" s="915">
        <f t="shared" si="249"/>
        <v>0</v>
      </c>
      <c r="CS80" s="915">
        <f t="shared" si="250"/>
        <v>0</v>
      </c>
      <c r="CT80" s="915">
        <f t="shared" si="251"/>
        <v>0</v>
      </c>
      <c r="CU80" s="915">
        <f t="shared" si="252"/>
        <v>0</v>
      </c>
      <c r="CV80" s="915">
        <f t="shared" si="253"/>
        <v>0</v>
      </c>
      <c r="CW80" s="915">
        <f t="shared" si="254"/>
        <v>0</v>
      </c>
      <c r="CX80" s="915">
        <f t="shared" si="255"/>
        <v>0</v>
      </c>
      <c r="CY80" s="915">
        <f t="shared" si="256"/>
        <v>0</v>
      </c>
      <c r="CZ80" s="915">
        <f t="shared" si="257"/>
        <v>0</v>
      </c>
      <c r="DA80" s="915">
        <f t="shared" si="258"/>
        <v>0</v>
      </c>
      <c r="DB80" s="915">
        <f t="shared" si="259"/>
        <v>0</v>
      </c>
      <c r="DC80" s="915">
        <f t="shared" si="260"/>
        <v>0</v>
      </c>
      <c r="DD80" s="915">
        <f t="shared" si="261"/>
        <v>0</v>
      </c>
      <c r="DE80" s="915">
        <f t="shared" si="262"/>
        <v>0</v>
      </c>
      <c r="DF80" s="915">
        <f t="shared" si="263"/>
        <v>0</v>
      </c>
      <c r="DG80" s="915">
        <f t="shared" si="264"/>
        <v>0</v>
      </c>
      <c r="DH80" s="915">
        <f t="shared" si="265"/>
        <v>0</v>
      </c>
      <c r="DI80" s="915">
        <f t="shared" si="266"/>
        <v>0</v>
      </c>
      <c r="DJ80" s="915">
        <f t="shared" si="267"/>
        <v>0</v>
      </c>
      <c r="DK80" s="915">
        <f t="shared" si="268"/>
        <v>0</v>
      </c>
      <c r="DL80" s="915">
        <f t="shared" si="269"/>
        <v>0</v>
      </c>
      <c r="DM80" s="915">
        <f t="shared" si="270"/>
        <v>0</v>
      </c>
      <c r="DN80" s="915">
        <f t="shared" si="271"/>
        <v>0</v>
      </c>
      <c r="DO80" s="915">
        <f t="shared" si="272"/>
        <v>0</v>
      </c>
      <c r="DP80" s="915">
        <f t="shared" si="273"/>
        <v>0</v>
      </c>
      <c r="DQ80" s="915">
        <f t="shared" si="274"/>
        <v>0</v>
      </c>
      <c r="DR80" s="915">
        <f t="shared" si="275"/>
        <v>0</v>
      </c>
      <c r="DS80" s="915">
        <f t="shared" si="276"/>
        <v>0</v>
      </c>
      <c r="DT80" s="915">
        <f t="shared" si="277"/>
        <v>0</v>
      </c>
      <c r="DU80" s="915">
        <f t="shared" si="278"/>
        <v>0</v>
      </c>
      <c r="DV80" s="915">
        <f t="shared" si="279"/>
        <v>0</v>
      </c>
      <c r="DW80" s="915">
        <f t="shared" si="280"/>
        <v>0</v>
      </c>
      <c r="DX80" s="915">
        <f t="shared" si="281"/>
        <v>0</v>
      </c>
      <c r="DY80" s="915">
        <f t="shared" si="282"/>
        <v>0</v>
      </c>
      <c r="DZ80" s="915">
        <f t="shared" si="283"/>
        <v>0</v>
      </c>
      <c r="EA80" s="915">
        <f t="shared" si="284"/>
        <v>0</v>
      </c>
      <c r="EB80" s="915">
        <f t="shared" si="285"/>
        <v>0</v>
      </c>
      <c r="EC80" s="915">
        <f t="shared" si="286"/>
        <v>0</v>
      </c>
      <c r="ED80" s="915">
        <f t="shared" si="287"/>
        <v>0</v>
      </c>
      <c r="EE80" s="915">
        <f t="shared" si="288"/>
        <v>0</v>
      </c>
      <c r="EF80" s="915">
        <f t="shared" si="289"/>
        <v>0</v>
      </c>
      <c r="EG80" s="915">
        <f t="shared" si="290"/>
        <v>0</v>
      </c>
      <c r="EH80" s="915">
        <f t="shared" si="291"/>
        <v>0</v>
      </c>
      <c r="EI80" s="915">
        <f t="shared" si="292"/>
        <v>0</v>
      </c>
      <c r="EJ80" s="915">
        <f t="shared" si="293"/>
        <v>0</v>
      </c>
      <c r="EK80" s="915">
        <f t="shared" si="294"/>
        <v>0</v>
      </c>
      <c r="EL80" s="915">
        <f t="shared" si="295"/>
        <v>0</v>
      </c>
      <c r="EM80" s="915">
        <f t="shared" si="296"/>
        <v>0</v>
      </c>
      <c r="EN80" s="915">
        <f t="shared" si="297"/>
        <v>0</v>
      </c>
      <c r="EO80" s="915">
        <f t="shared" si="298"/>
        <v>0</v>
      </c>
      <c r="EP80" s="915">
        <f t="shared" si="299"/>
        <v>0</v>
      </c>
      <c r="EQ80" s="915">
        <f t="shared" si="300"/>
        <v>0</v>
      </c>
      <c r="ER80" s="915">
        <f t="shared" si="301"/>
        <v>0</v>
      </c>
      <c r="ES80" s="915">
        <f t="shared" si="302"/>
        <v>0</v>
      </c>
      <c r="ET80" s="915">
        <f t="shared" si="303"/>
        <v>0</v>
      </c>
      <c r="EU80" s="915">
        <f t="shared" si="304"/>
        <v>0</v>
      </c>
      <c r="EV80" s="915">
        <f t="shared" si="305"/>
        <v>0</v>
      </c>
      <c r="EW80" s="915">
        <f t="shared" si="306"/>
        <v>0</v>
      </c>
      <c r="EX80" s="915">
        <f t="shared" si="307"/>
        <v>0</v>
      </c>
      <c r="EY80" s="915">
        <f t="shared" si="308"/>
        <v>0</v>
      </c>
      <c r="EZ80" s="915">
        <f t="shared" si="309"/>
        <v>0</v>
      </c>
      <c r="FA80" s="915">
        <f t="shared" si="310"/>
        <v>0</v>
      </c>
      <c r="FB80" s="915">
        <f t="shared" si="311"/>
        <v>0</v>
      </c>
      <c r="FC80" s="915">
        <f t="shared" si="312"/>
        <v>0</v>
      </c>
      <c r="FD80" s="915">
        <f t="shared" si="313"/>
        <v>0</v>
      </c>
      <c r="FE80" s="915">
        <f t="shared" si="314"/>
        <v>0</v>
      </c>
      <c r="FF80" s="915">
        <f t="shared" si="315"/>
        <v>0</v>
      </c>
      <c r="FG80" s="915">
        <f t="shared" si="316"/>
        <v>0</v>
      </c>
      <c r="FH80" s="915">
        <f t="shared" si="317"/>
        <v>0</v>
      </c>
      <c r="FI80" s="915">
        <f t="shared" si="318"/>
        <v>0</v>
      </c>
      <c r="FJ80" s="915">
        <f t="shared" si="319"/>
        <v>0</v>
      </c>
      <c r="FK80" s="915">
        <f t="shared" si="320"/>
        <v>0</v>
      </c>
      <c r="FL80" s="915">
        <f t="shared" si="321"/>
        <v>0</v>
      </c>
      <c r="FM80" s="915">
        <f t="shared" si="322"/>
        <v>0</v>
      </c>
      <c r="FN80" s="915">
        <f t="shared" si="323"/>
        <v>0</v>
      </c>
      <c r="FO80" s="915">
        <f t="shared" si="324"/>
        <v>0</v>
      </c>
      <c r="FP80" s="915">
        <f t="shared" si="325"/>
        <v>0</v>
      </c>
      <c r="FQ80" s="915">
        <f t="shared" si="326"/>
        <v>0</v>
      </c>
      <c r="FR80" s="915">
        <f t="shared" si="327"/>
        <v>0</v>
      </c>
      <c r="FS80" s="915">
        <f t="shared" si="328"/>
        <v>0</v>
      </c>
      <c r="FT80" s="915">
        <f t="shared" si="329"/>
        <v>0</v>
      </c>
      <c r="FU80" s="915">
        <f t="shared" si="330"/>
        <v>0</v>
      </c>
      <c r="FV80" s="915">
        <f t="shared" si="331"/>
        <v>0</v>
      </c>
      <c r="FW80" s="915">
        <f t="shared" si="332"/>
        <v>0</v>
      </c>
      <c r="FX80" s="915">
        <f t="shared" si="333"/>
        <v>0</v>
      </c>
      <c r="FY80" s="915">
        <f t="shared" si="334"/>
        <v>0</v>
      </c>
      <c r="FZ80" s="915">
        <f t="shared" si="335"/>
        <v>0</v>
      </c>
    </row>
    <row r="81" spans="1:182" x14ac:dyDescent="0.2">
      <c r="A81" s="497">
        <v>74</v>
      </c>
      <c r="B81" s="1423"/>
      <c r="C81" s="1424"/>
      <c r="D81" s="138">
        <v>10</v>
      </c>
      <c r="E81" s="138" t="s">
        <v>26</v>
      </c>
      <c r="F81" s="139" t="s">
        <v>2544</v>
      </c>
      <c r="G81" s="139" t="s">
        <v>2542</v>
      </c>
      <c r="H81" s="100">
        <v>7</v>
      </c>
      <c r="I81" s="119">
        <f t="shared" si="174"/>
        <v>0.42</v>
      </c>
      <c r="J81" s="90">
        <f t="shared" si="175"/>
        <v>7.42</v>
      </c>
      <c r="K81" s="225"/>
      <c r="N81" s="942">
        <f>CR6</f>
        <v>7.42</v>
      </c>
      <c r="O81" s="879" t="str">
        <f>"Remediation for " &amp; tabname10</f>
        <v>Remediation for Phase 10</v>
      </c>
      <c r="P81" s="950" t="s">
        <v>554</v>
      </c>
      <c r="W81" s="915">
        <f t="shared" si="176"/>
        <v>0</v>
      </c>
      <c r="X81" s="915">
        <f t="shared" si="177"/>
        <v>0</v>
      </c>
      <c r="Y81" s="915">
        <f t="shared" si="178"/>
        <v>0</v>
      </c>
      <c r="Z81" s="915">
        <f t="shared" si="179"/>
        <v>0</v>
      </c>
      <c r="AA81" s="915">
        <f t="shared" si="180"/>
        <v>0</v>
      </c>
      <c r="AB81" s="915">
        <f t="shared" si="181"/>
        <v>0</v>
      </c>
      <c r="AC81" s="915">
        <f t="shared" si="182"/>
        <v>0</v>
      </c>
      <c r="AD81" s="915">
        <f t="shared" si="183"/>
        <v>0</v>
      </c>
      <c r="AE81" s="915">
        <f t="shared" si="184"/>
        <v>0</v>
      </c>
      <c r="AF81" s="915">
        <f t="shared" si="185"/>
        <v>0</v>
      </c>
      <c r="AG81" s="915">
        <f t="shared" si="186"/>
        <v>0</v>
      </c>
      <c r="AH81" s="915">
        <f t="shared" si="187"/>
        <v>0</v>
      </c>
      <c r="AI81" s="915">
        <f t="shared" si="188"/>
        <v>0</v>
      </c>
      <c r="AJ81" s="915">
        <f t="shared" si="189"/>
        <v>0</v>
      </c>
      <c r="AK81" s="915">
        <f t="shared" si="190"/>
        <v>0</v>
      </c>
      <c r="AL81" s="915">
        <f t="shared" si="191"/>
        <v>0</v>
      </c>
      <c r="AM81" s="915">
        <f t="shared" si="192"/>
        <v>0</v>
      </c>
      <c r="AN81" s="915">
        <f t="shared" si="193"/>
        <v>0</v>
      </c>
      <c r="AO81" s="915">
        <f t="shared" si="194"/>
        <v>0</v>
      </c>
      <c r="AP81" s="915">
        <f t="shared" si="195"/>
        <v>0</v>
      </c>
      <c r="AQ81" s="915">
        <f t="shared" si="196"/>
        <v>0</v>
      </c>
      <c r="AR81" s="915">
        <f t="shared" si="197"/>
        <v>0</v>
      </c>
      <c r="AS81" s="915">
        <f t="shared" si="198"/>
        <v>0</v>
      </c>
      <c r="AT81" s="915">
        <f t="shared" si="199"/>
        <v>0</v>
      </c>
      <c r="AU81" s="915">
        <f t="shared" si="200"/>
        <v>0</v>
      </c>
      <c r="AV81" s="915">
        <f t="shared" si="201"/>
        <v>0</v>
      </c>
      <c r="AW81" s="915">
        <f t="shared" si="202"/>
        <v>0</v>
      </c>
      <c r="AX81" s="915">
        <f t="shared" si="203"/>
        <v>0</v>
      </c>
      <c r="AY81" s="915">
        <f t="shared" si="204"/>
        <v>0</v>
      </c>
      <c r="AZ81" s="915">
        <f t="shared" si="205"/>
        <v>0</v>
      </c>
      <c r="BA81" s="915">
        <f t="shared" si="206"/>
        <v>0</v>
      </c>
      <c r="BB81" s="915">
        <f t="shared" si="207"/>
        <v>0</v>
      </c>
      <c r="BC81" s="915">
        <f t="shared" si="208"/>
        <v>0</v>
      </c>
      <c r="BD81" s="915">
        <f t="shared" si="209"/>
        <v>0</v>
      </c>
      <c r="BE81" s="915">
        <f t="shared" si="210"/>
        <v>0</v>
      </c>
      <c r="BF81" s="915">
        <f t="shared" si="211"/>
        <v>0</v>
      </c>
      <c r="BG81" s="915">
        <f t="shared" si="212"/>
        <v>0</v>
      </c>
      <c r="BH81" s="915">
        <f t="shared" si="213"/>
        <v>0</v>
      </c>
      <c r="BI81" s="915">
        <f t="shared" si="214"/>
        <v>0</v>
      </c>
      <c r="BJ81" s="915">
        <f t="shared" si="215"/>
        <v>0</v>
      </c>
      <c r="BK81" s="915">
        <f t="shared" si="216"/>
        <v>0</v>
      </c>
      <c r="BL81" s="915">
        <f t="shared" si="217"/>
        <v>0</v>
      </c>
      <c r="BM81" s="915">
        <f t="shared" si="218"/>
        <v>0</v>
      </c>
      <c r="BN81" s="915">
        <f t="shared" si="219"/>
        <v>0</v>
      </c>
      <c r="BO81" s="915">
        <f t="shared" si="220"/>
        <v>0</v>
      </c>
      <c r="BP81" s="915">
        <f t="shared" si="221"/>
        <v>0</v>
      </c>
      <c r="BQ81" s="915">
        <f t="shared" si="222"/>
        <v>0</v>
      </c>
      <c r="BR81" s="915">
        <f t="shared" si="223"/>
        <v>0</v>
      </c>
      <c r="BS81" s="915">
        <f t="shared" si="224"/>
        <v>0</v>
      </c>
      <c r="BT81" s="915">
        <f t="shared" si="225"/>
        <v>0</v>
      </c>
      <c r="BU81" s="915">
        <f t="shared" si="226"/>
        <v>0</v>
      </c>
      <c r="BV81" s="915">
        <f t="shared" si="227"/>
        <v>0</v>
      </c>
      <c r="BW81" s="915">
        <f t="shared" si="228"/>
        <v>0</v>
      </c>
      <c r="BX81" s="915">
        <f t="shared" si="229"/>
        <v>0</v>
      </c>
      <c r="BY81" s="915">
        <f t="shared" si="230"/>
        <v>0</v>
      </c>
      <c r="BZ81" s="915">
        <f t="shared" si="231"/>
        <v>0</v>
      </c>
      <c r="CA81" s="915">
        <f t="shared" si="232"/>
        <v>0</v>
      </c>
      <c r="CB81" s="915">
        <f t="shared" si="233"/>
        <v>0</v>
      </c>
      <c r="CC81" s="915">
        <f t="shared" si="234"/>
        <v>0</v>
      </c>
      <c r="CD81" s="915">
        <f t="shared" si="235"/>
        <v>0</v>
      </c>
      <c r="CE81" s="915">
        <f t="shared" si="236"/>
        <v>0</v>
      </c>
      <c r="CF81" s="915">
        <f t="shared" si="237"/>
        <v>0</v>
      </c>
      <c r="CG81" s="915">
        <f t="shared" si="238"/>
        <v>0</v>
      </c>
      <c r="CH81" s="915">
        <f t="shared" si="239"/>
        <v>0</v>
      </c>
      <c r="CI81" s="915">
        <f>IF(AND($D81=$R$16,$E81=$T$8),$J81,0)</f>
        <v>0</v>
      </c>
      <c r="CJ81" s="915">
        <f>IF(AND($D81=$R$16,$E81=$T$9),$J81,0)</f>
        <v>0</v>
      </c>
      <c r="CK81" s="915">
        <f>IF(AND($D81=$R$16,$E81=$T$10),$J81,0)</f>
        <v>0</v>
      </c>
      <c r="CL81" s="915">
        <f>IF(AND($D81=$R$16,$E81=$T$11),$J81,0)</f>
        <v>0</v>
      </c>
      <c r="CM81" s="915">
        <f>IF(AND($D81=$R$16,$E81=$T$12),$J81,0)</f>
        <v>0</v>
      </c>
      <c r="CN81" s="915">
        <f>IF(AND($D81=$R$16,$E81=$T$13),$J81,0)</f>
        <v>0</v>
      </c>
      <c r="CO81" s="915">
        <f>IF(AND($D81=$R$16,$E81=$T$14),$J81,0)</f>
        <v>0</v>
      </c>
      <c r="CP81" s="915">
        <f>IF(AND($D81=$R$16,$E81=$T$15),$J81,0)</f>
        <v>0</v>
      </c>
      <c r="CQ81" s="915">
        <f t="shared" si="248"/>
        <v>0</v>
      </c>
      <c r="CR81" s="915">
        <f t="shared" si="249"/>
        <v>7.42</v>
      </c>
      <c r="CS81" s="915">
        <f t="shared" si="250"/>
        <v>0</v>
      </c>
      <c r="CT81" s="915">
        <f t="shared" si="251"/>
        <v>0</v>
      </c>
      <c r="CU81" s="915">
        <f t="shared" si="252"/>
        <v>0</v>
      </c>
      <c r="CV81" s="915">
        <f t="shared" si="253"/>
        <v>0</v>
      </c>
      <c r="CW81" s="915">
        <f t="shared" si="254"/>
        <v>0</v>
      </c>
      <c r="CX81" s="915">
        <f t="shared" si="255"/>
        <v>0</v>
      </c>
      <c r="CY81" s="915">
        <f t="shared" si="256"/>
        <v>0</v>
      </c>
      <c r="CZ81" s="915">
        <f t="shared" si="257"/>
        <v>0</v>
      </c>
      <c r="DA81" s="915">
        <f t="shared" si="258"/>
        <v>0</v>
      </c>
      <c r="DB81" s="915">
        <f t="shared" si="259"/>
        <v>0</v>
      </c>
      <c r="DC81" s="915">
        <f t="shared" si="260"/>
        <v>0</v>
      </c>
      <c r="DD81" s="915">
        <f t="shared" si="261"/>
        <v>0</v>
      </c>
      <c r="DE81" s="915">
        <f t="shared" si="262"/>
        <v>0</v>
      </c>
      <c r="DF81" s="915">
        <f t="shared" si="263"/>
        <v>0</v>
      </c>
      <c r="DG81" s="915">
        <f t="shared" si="264"/>
        <v>0</v>
      </c>
      <c r="DH81" s="915">
        <f t="shared" si="265"/>
        <v>0</v>
      </c>
      <c r="DI81" s="915">
        <f t="shared" si="266"/>
        <v>0</v>
      </c>
      <c r="DJ81" s="915">
        <f t="shared" si="267"/>
        <v>0</v>
      </c>
      <c r="DK81" s="915">
        <f t="shared" si="268"/>
        <v>0</v>
      </c>
      <c r="DL81" s="915">
        <f t="shared" si="269"/>
        <v>0</v>
      </c>
      <c r="DM81" s="915">
        <f t="shared" si="270"/>
        <v>0</v>
      </c>
      <c r="DN81" s="915">
        <f t="shared" si="271"/>
        <v>0</v>
      </c>
      <c r="DO81" s="915">
        <f t="shared" si="272"/>
        <v>0</v>
      </c>
      <c r="DP81" s="915">
        <f t="shared" si="273"/>
        <v>0</v>
      </c>
      <c r="DQ81" s="915">
        <f t="shared" si="274"/>
        <v>0</v>
      </c>
      <c r="DR81" s="915">
        <f t="shared" si="275"/>
        <v>0</v>
      </c>
      <c r="DS81" s="915">
        <f t="shared" si="276"/>
        <v>0</v>
      </c>
      <c r="DT81" s="915">
        <f t="shared" si="277"/>
        <v>0</v>
      </c>
      <c r="DU81" s="915">
        <f t="shared" si="278"/>
        <v>0</v>
      </c>
      <c r="DV81" s="915">
        <f t="shared" si="279"/>
        <v>0</v>
      </c>
      <c r="DW81" s="915">
        <f t="shared" si="280"/>
        <v>0</v>
      </c>
      <c r="DX81" s="915">
        <f t="shared" si="281"/>
        <v>0</v>
      </c>
      <c r="DY81" s="915">
        <f t="shared" si="282"/>
        <v>0</v>
      </c>
      <c r="DZ81" s="915">
        <f t="shared" si="283"/>
        <v>0</v>
      </c>
      <c r="EA81" s="915">
        <f t="shared" si="284"/>
        <v>0</v>
      </c>
      <c r="EB81" s="915">
        <f t="shared" si="285"/>
        <v>0</v>
      </c>
      <c r="EC81" s="915">
        <f t="shared" si="286"/>
        <v>0</v>
      </c>
      <c r="ED81" s="915">
        <f t="shared" si="287"/>
        <v>0</v>
      </c>
      <c r="EE81" s="915">
        <f t="shared" si="288"/>
        <v>0</v>
      </c>
      <c r="EF81" s="915">
        <f t="shared" si="289"/>
        <v>0</v>
      </c>
      <c r="EG81" s="915">
        <f t="shared" si="290"/>
        <v>0</v>
      </c>
      <c r="EH81" s="915">
        <f t="shared" si="291"/>
        <v>0</v>
      </c>
      <c r="EI81" s="915">
        <f t="shared" si="292"/>
        <v>0</v>
      </c>
      <c r="EJ81" s="915">
        <f t="shared" si="293"/>
        <v>0</v>
      </c>
      <c r="EK81" s="915">
        <f t="shared" si="294"/>
        <v>0</v>
      </c>
      <c r="EL81" s="915">
        <f t="shared" si="295"/>
        <v>0</v>
      </c>
      <c r="EM81" s="915">
        <f t="shared" si="296"/>
        <v>0</v>
      </c>
      <c r="EN81" s="915">
        <f t="shared" si="297"/>
        <v>0</v>
      </c>
      <c r="EO81" s="915">
        <f t="shared" si="298"/>
        <v>0</v>
      </c>
      <c r="EP81" s="915">
        <f t="shared" si="299"/>
        <v>0</v>
      </c>
      <c r="EQ81" s="915">
        <f t="shared" si="300"/>
        <v>0</v>
      </c>
      <c r="ER81" s="915">
        <f t="shared" si="301"/>
        <v>0</v>
      </c>
      <c r="ES81" s="915">
        <f t="shared" si="302"/>
        <v>0</v>
      </c>
      <c r="ET81" s="915">
        <f t="shared" si="303"/>
        <v>0</v>
      </c>
      <c r="EU81" s="915">
        <f t="shared" si="304"/>
        <v>0</v>
      </c>
      <c r="EV81" s="915">
        <f t="shared" si="305"/>
        <v>0</v>
      </c>
      <c r="EW81" s="915">
        <f t="shared" si="306"/>
        <v>0</v>
      </c>
      <c r="EX81" s="915">
        <f t="shared" si="307"/>
        <v>0</v>
      </c>
      <c r="EY81" s="915">
        <f t="shared" si="308"/>
        <v>0</v>
      </c>
      <c r="EZ81" s="915">
        <f t="shared" si="309"/>
        <v>0</v>
      </c>
      <c r="FA81" s="915">
        <f t="shared" si="310"/>
        <v>0</v>
      </c>
      <c r="FB81" s="915">
        <f t="shared" si="311"/>
        <v>0</v>
      </c>
      <c r="FC81" s="915">
        <f t="shared" si="312"/>
        <v>0</v>
      </c>
      <c r="FD81" s="915">
        <f t="shared" si="313"/>
        <v>0</v>
      </c>
      <c r="FE81" s="915">
        <f t="shared" si="314"/>
        <v>0</v>
      </c>
      <c r="FF81" s="915">
        <f t="shared" si="315"/>
        <v>0</v>
      </c>
      <c r="FG81" s="915">
        <f t="shared" si="316"/>
        <v>0</v>
      </c>
      <c r="FH81" s="915">
        <f t="shared" si="317"/>
        <v>0</v>
      </c>
      <c r="FI81" s="915">
        <f t="shared" si="318"/>
        <v>0</v>
      </c>
      <c r="FJ81" s="915">
        <f t="shared" si="319"/>
        <v>0</v>
      </c>
      <c r="FK81" s="915">
        <f t="shared" si="320"/>
        <v>0</v>
      </c>
      <c r="FL81" s="915">
        <f t="shared" si="321"/>
        <v>0</v>
      </c>
      <c r="FM81" s="915">
        <f t="shared" si="322"/>
        <v>0</v>
      </c>
      <c r="FN81" s="915">
        <f t="shared" si="323"/>
        <v>0</v>
      </c>
      <c r="FO81" s="915">
        <f t="shared" si="324"/>
        <v>0</v>
      </c>
      <c r="FP81" s="915">
        <f t="shared" si="325"/>
        <v>0</v>
      </c>
      <c r="FQ81" s="915">
        <f t="shared" si="326"/>
        <v>0</v>
      </c>
      <c r="FR81" s="915">
        <f t="shared" si="327"/>
        <v>0</v>
      </c>
      <c r="FS81" s="915">
        <f t="shared" si="328"/>
        <v>0</v>
      </c>
      <c r="FT81" s="915">
        <f t="shared" si="329"/>
        <v>0</v>
      </c>
      <c r="FU81" s="915">
        <f t="shared" si="330"/>
        <v>0</v>
      </c>
      <c r="FV81" s="915">
        <f t="shared" si="331"/>
        <v>0</v>
      </c>
      <c r="FW81" s="915">
        <f t="shared" si="332"/>
        <v>0</v>
      </c>
      <c r="FX81" s="915">
        <f t="shared" si="333"/>
        <v>0</v>
      </c>
      <c r="FY81" s="915">
        <f t="shared" si="334"/>
        <v>0</v>
      </c>
      <c r="FZ81" s="915">
        <f t="shared" si="335"/>
        <v>0</v>
      </c>
    </row>
    <row r="82" spans="1:182" x14ac:dyDescent="0.2">
      <c r="A82" s="496">
        <v>75</v>
      </c>
      <c r="B82" s="1419"/>
      <c r="C82" s="1433"/>
      <c r="D82" s="264">
        <v>10</v>
      </c>
      <c r="E82" s="264" t="s">
        <v>35</v>
      </c>
      <c r="F82" s="270" t="s">
        <v>2544</v>
      </c>
      <c r="G82" s="270" t="s">
        <v>2542</v>
      </c>
      <c r="H82" s="272">
        <v>7</v>
      </c>
      <c r="I82" s="268">
        <f t="shared" si="174"/>
        <v>0.42</v>
      </c>
      <c r="J82" s="269">
        <f t="shared" si="175"/>
        <v>7.42</v>
      </c>
      <c r="K82" s="225"/>
      <c r="N82" s="942">
        <f>CS6</f>
        <v>7.42</v>
      </c>
      <c r="O82" s="879" t="str">
        <f>"General Construction for " &amp; tabname10</f>
        <v>General Construction for Phase 10</v>
      </c>
      <c r="P82" s="949" t="s">
        <v>555</v>
      </c>
      <c r="W82" s="915">
        <f t="shared" si="176"/>
        <v>0</v>
      </c>
      <c r="X82" s="915">
        <f t="shared" si="177"/>
        <v>0</v>
      </c>
      <c r="Y82" s="915">
        <f t="shared" si="178"/>
        <v>0</v>
      </c>
      <c r="Z82" s="915">
        <f t="shared" si="179"/>
        <v>0</v>
      </c>
      <c r="AA82" s="915">
        <f t="shared" si="180"/>
        <v>0</v>
      </c>
      <c r="AB82" s="915">
        <f t="shared" si="181"/>
        <v>0</v>
      </c>
      <c r="AC82" s="915">
        <f t="shared" si="182"/>
        <v>0</v>
      </c>
      <c r="AD82" s="915">
        <f t="shared" si="183"/>
        <v>0</v>
      </c>
      <c r="AE82" s="915">
        <f t="shared" si="184"/>
        <v>0</v>
      </c>
      <c r="AF82" s="915">
        <f t="shared" si="185"/>
        <v>0</v>
      </c>
      <c r="AG82" s="915">
        <f t="shared" si="186"/>
        <v>0</v>
      </c>
      <c r="AH82" s="915">
        <f t="shared" si="187"/>
        <v>0</v>
      </c>
      <c r="AI82" s="915">
        <f t="shared" si="188"/>
        <v>0</v>
      </c>
      <c r="AJ82" s="915">
        <f t="shared" si="189"/>
        <v>0</v>
      </c>
      <c r="AK82" s="915">
        <f t="shared" si="190"/>
        <v>0</v>
      </c>
      <c r="AL82" s="915">
        <f t="shared" si="191"/>
        <v>0</v>
      </c>
      <c r="AM82" s="915">
        <f t="shared" si="192"/>
        <v>0</v>
      </c>
      <c r="AN82" s="915">
        <f t="shared" si="193"/>
        <v>0</v>
      </c>
      <c r="AO82" s="915">
        <f t="shared" si="194"/>
        <v>0</v>
      </c>
      <c r="AP82" s="915">
        <f t="shared" si="195"/>
        <v>0</v>
      </c>
      <c r="AQ82" s="915">
        <f t="shared" si="196"/>
        <v>0</v>
      </c>
      <c r="AR82" s="915">
        <f t="shared" si="197"/>
        <v>0</v>
      </c>
      <c r="AS82" s="915">
        <f t="shared" si="198"/>
        <v>0</v>
      </c>
      <c r="AT82" s="915">
        <f t="shared" si="199"/>
        <v>0</v>
      </c>
      <c r="AU82" s="915">
        <f t="shared" si="200"/>
        <v>0</v>
      </c>
      <c r="AV82" s="915">
        <f t="shared" si="201"/>
        <v>0</v>
      </c>
      <c r="AW82" s="915">
        <f t="shared" si="202"/>
        <v>0</v>
      </c>
      <c r="AX82" s="915">
        <f t="shared" si="203"/>
        <v>0</v>
      </c>
      <c r="AY82" s="915">
        <f t="shared" si="204"/>
        <v>0</v>
      </c>
      <c r="AZ82" s="915">
        <f t="shared" si="205"/>
        <v>0</v>
      </c>
      <c r="BA82" s="915">
        <f t="shared" si="206"/>
        <v>0</v>
      </c>
      <c r="BB82" s="915">
        <f t="shared" si="207"/>
        <v>0</v>
      </c>
      <c r="BC82" s="915">
        <f t="shared" si="208"/>
        <v>0</v>
      </c>
      <c r="BD82" s="915">
        <f t="shared" si="209"/>
        <v>0</v>
      </c>
      <c r="BE82" s="915">
        <f t="shared" si="210"/>
        <v>0</v>
      </c>
      <c r="BF82" s="915">
        <f t="shared" si="211"/>
        <v>0</v>
      </c>
      <c r="BG82" s="915">
        <f t="shared" si="212"/>
        <v>0</v>
      </c>
      <c r="BH82" s="915">
        <f t="shared" si="213"/>
        <v>0</v>
      </c>
      <c r="BI82" s="915">
        <f t="shared" si="214"/>
        <v>0</v>
      </c>
      <c r="BJ82" s="915">
        <f t="shared" si="215"/>
        <v>0</v>
      </c>
      <c r="BK82" s="915">
        <f t="shared" si="216"/>
        <v>0</v>
      </c>
      <c r="BL82" s="915">
        <f t="shared" si="217"/>
        <v>0</v>
      </c>
      <c r="BM82" s="915">
        <f t="shared" si="218"/>
        <v>0</v>
      </c>
      <c r="BN82" s="915">
        <f t="shared" si="219"/>
        <v>0</v>
      </c>
      <c r="BO82" s="915">
        <f t="shared" si="220"/>
        <v>0</v>
      </c>
      <c r="BP82" s="915">
        <f t="shared" si="221"/>
        <v>0</v>
      </c>
      <c r="BQ82" s="915">
        <f t="shared" si="222"/>
        <v>0</v>
      </c>
      <c r="BR82" s="915">
        <f t="shared" si="223"/>
        <v>0</v>
      </c>
      <c r="BS82" s="915">
        <f t="shared" si="224"/>
        <v>0</v>
      </c>
      <c r="BT82" s="915">
        <f t="shared" si="225"/>
        <v>0</v>
      </c>
      <c r="BU82" s="915">
        <f t="shared" si="226"/>
        <v>0</v>
      </c>
      <c r="BV82" s="915">
        <f t="shared" si="227"/>
        <v>0</v>
      </c>
      <c r="BW82" s="915">
        <f t="shared" si="228"/>
        <v>0</v>
      </c>
      <c r="BX82" s="915">
        <f t="shared" si="229"/>
        <v>0</v>
      </c>
      <c r="BY82" s="915">
        <f t="shared" si="230"/>
        <v>0</v>
      </c>
      <c r="BZ82" s="915">
        <f t="shared" si="231"/>
        <v>0</v>
      </c>
      <c r="CA82" s="915">
        <f t="shared" si="232"/>
        <v>0</v>
      </c>
      <c r="CB82" s="915">
        <f t="shared" si="233"/>
        <v>0</v>
      </c>
      <c r="CC82" s="915">
        <f t="shared" si="234"/>
        <v>0</v>
      </c>
      <c r="CD82" s="915">
        <f t="shared" si="235"/>
        <v>0</v>
      </c>
      <c r="CE82" s="915">
        <f t="shared" si="236"/>
        <v>0</v>
      </c>
      <c r="CF82" s="915">
        <f t="shared" si="237"/>
        <v>0</v>
      </c>
      <c r="CG82" s="915">
        <f t="shared" si="238"/>
        <v>0</v>
      </c>
      <c r="CH82" s="915">
        <f t="shared" si="239"/>
        <v>0</v>
      </c>
      <c r="CI82" s="915">
        <f t="shared" ref="CI82:CI145" si="336">IF(AND($D82=$R$16,$E82=$T$8),$J82,0)</f>
        <v>0</v>
      </c>
      <c r="CJ82" s="915">
        <f t="shared" ref="CJ82:CJ145" si="337">IF(AND($D82=$R$16,$E82=$T$9),$J82,0)</f>
        <v>0</v>
      </c>
      <c r="CK82" s="915">
        <f t="shared" ref="CK82:CK145" si="338">IF(AND($D82=$R$16,$E82=$T$10),$J82,0)</f>
        <v>0</v>
      </c>
      <c r="CL82" s="915">
        <f t="shared" ref="CL82:CL145" si="339">IF(AND($D82=$R$16,$E82=$T$11),$J82,0)</f>
        <v>0</v>
      </c>
      <c r="CM82" s="915">
        <f t="shared" ref="CM82:CM145" si="340">IF(AND($D82=$R$16,$E82=$T$12),$J82,0)</f>
        <v>0</v>
      </c>
      <c r="CN82" s="915">
        <f t="shared" ref="CN82:CN145" si="341">IF(AND($D82=$R$16,$E82=$T$13),$J82,0)</f>
        <v>0</v>
      </c>
      <c r="CO82" s="915">
        <f t="shared" ref="CO82:CO145" si="342">IF(AND($D82=$R$16,$E82=$T$14),$J82,0)</f>
        <v>0</v>
      </c>
      <c r="CP82" s="915">
        <f t="shared" ref="CP82:CP145" si="343">IF(AND($D82=$R$16,$E82=$T$15),$J82,0)</f>
        <v>0</v>
      </c>
      <c r="CQ82" s="915">
        <f t="shared" si="248"/>
        <v>0</v>
      </c>
      <c r="CR82" s="915">
        <f t="shared" si="249"/>
        <v>0</v>
      </c>
      <c r="CS82" s="915">
        <f t="shared" si="250"/>
        <v>7.42</v>
      </c>
      <c r="CT82" s="915">
        <f t="shared" si="251"/>
        <v>0</v>
      </c>
      <c r="CU82" s="915">
        <f t="shared" si="252"/>
        <v>0</v>
      </c>
      <c r="CV82" s="915">
        <f t="shared" si="253"/>
        <v>0</v>
      </c>
      <c r="CW82" s="915">
        <f t="shared" si="254"/>
        <v>0</v>
      </c>
      <c r="CX82" s="915">
        <f t="shared" si="255"/>
        <v>0</v>
      </c>
      <c r="CY82" s="915">
        <f t="shared" si="256"/>
        <v>0</v>
      </c>
      <c r="CZ82" s="915">
        <f t="shared" si="257"/>
        <v>0</v>
      </c>
      <c r="DA82" s="915">
        <f t="shared" si="258"/>
        <v>0</v>
      </c>
      <c r="DB82" s="915">
        <f t="shared" si="259"/>
        <v>0</v>
      </c>
      <c r="DC82" s="915">
        <f t="shared" si="260"/>
        <v>0</v>
      </c>
      <c r="DD82" s="915">
        <f t="shared" si="261"/>
        <v>0</v>
      </c>
      <c r="DE82" s="915">
        <f t="shared" si="262"/>
        <v>0</v>
      </c>
      <c r="DF82" s="915">
        <f t="shared" si="263"/>
        <v>0</v>
      </c>
      <c r="DG82" s="915">
        <f t="shared" si="264"/>
        <v>0</v>
      </c>
      <c r="DH82" s="915">
        <f t="shared" si="265"/>
        <v>0</v>
      </c>
      <c r="DI82" s="915">
        <f t="shared" si="266"/>
        <v>0</v>
      </c>
      <c r="DJ82" s="915">
        <f t="shared" si="267"/>
        <v>0</v>
      </c>
      <c r="DK82" s="915">
        <f t="shared" si="268"/>
        <v>0</v>
      </c>
      <c r="DL82" s="915">
        <f t="shared" si="269"/>
        <v>0</v>
      </c>
      <c r="DM82" s="915">
        <f t="shared" si="270"/>
        <v>0</v>
      </c>
      <c r="DN82" s="915">
        <f t="shared" si="271"/>
        <v>0</v>
      </c>
      <c r="DO82" s="915">
        <f t="shared" si="272"/>
        <v>0</v>
      </c>
      <c r="DP82" s="915">
        <f t="shared" si="273"/>
        <v>0</v>
      </c>
      <c r="DQ82" s="915">
        <f t="shared" si="274"/>
        <v>0</v>
      </c>
      <c r="DR82" s="915">
        <f t="shared" si="275"/>
        <v>0</v>
      </c>
      <c r="DS82" s="915">
        <f t="shared" si="276"/>
        <v>0</v>
      </c>
      <c r="DT82" s="915">
        <f t="shared" si="277"/>
        <v>0</v>
      </c>
      <c r="DU82" s="915">
        <f t="shared" si="278"/>
        <v>0</v>
      </c>
      <c r="DV82" s="915">
        <f t="shared" si="279"/>
        <v>0</v>
      </c>
      <c r="DW82" s="915">
        <f t="shared" si="280"/>
        <v>0</v>
      </c>
      <c r="DX82" s="915">
        <f t="shared" si="281"/>
        <v>0</v>
      </c>
      <c r="DY82" s="915">
        <f t="shared" si="282"/>
        <v>0</v>
      </c>
      <c r="DZ82" s="915">
        <f t="shared" si="283"/>
        <v>0</v>
      </c>
      <c r="EA82" s="915">
        <f t="shared" si="284"/>
        <v>0</v>
      </c>
      <c r="EB82" s="915">
        <f t="shared" si="285"/>
        <v>0</v>
      </c>
      <c r="EC82" s="915">
        <f t="shared" si="286"/>
        <v>0</v>
      </c>
      <c r="ED82" s="915">
        <f t="shared" si="287"/>
        <v>0</v>
      </c>
      <c r="EE82" s="915">
        <f t="shared" si="288"/>
        <v>0</v>
      </c>
      <c r="EF82" s="915">
        <f t="shared" si="289"/>
        <v>0</v>
      </c>
      <c r="EG82" s="915">
        <f t="shared" si="290"/>
        <v>0</v>
      </c>
      <c r="EH82" s="915">
        <f t="shared" si="291"/>
        <v>0</v>
      </c>
      <c r="EI82" s="915">
        <f t="shared" si="292"/>
        <v>0</v>
      </c>
      <c r="EJ82" s="915">
        <f t="shared" si="293"/>
        <v>0</v>
      </c>
      <c r="EK82" s="915">
        <f t="shared" si="294"/>
        <v>0</v>
      </c>
      <c r="EL82" s="915">
        <f t="shared" si="295"/>
        <v>0</v>
      </c>
      <c r="EM82" s="915">
        <f t="shared" si="296"/>
        <v>0</v>
      </c>
      <c r="EN82" s="915">
        <f t="shared" si="297"/>
        <v>0</v>
      </c>
      <c r="EO82" s="915">
        <f t="shared" si="298"/>
        <v>0</v>
      </c>
      <c r="EP82" s="915">
        <f t="shared" si="299"/>
        <v>0</v>
      </c>
      <c r="EQ82" s="915">
        <f t="shared" si="300"/>
        <v>0</v>
      </c>
      <c r="ER82" s="915">
        <f t="shared" si="301"/>
        <v>0</v>
      </c>
      <c r="ES82" s="915">
        <f t="shared" si="302"/>
        <v>0</v>
      </c>
      <c r="ET82" s="915">
        <f t="shared" si="303"/>
        <v>0</v>
      </c>
      <c r="EU82" s="915">
        <f t="shared" si="304"/>
        <v>0</v>
      </c>
      <c r="EV82" s="915">
        <f t="shared" si="305"/>
        <v>0</v>
      </c>
      <c r="EW82" s="915">
        <f t="shared" si="306"/>
        <v>0</v>
      </c>
      <c r="EX82" s="915">
        <f t="shared" si="307"/>
        <v>0</v>
      </c>
      <c r="EY82" s="915">
        <f t="shared" si="308"/>
        <v>0</v>
      </c>
      <c r="EZ82" s="915">
        <f t="shared" si="309"/>
        <v>0</v>
      </c>
      <c r="FA82" s="915">
        <f t="shared" si="310"/>
        <v>0</v>
      </c>
      <c r="FB82" s="915">
        <f t="shared" si="311"/>
        <v>0</v>
      </c>
      <c r="FC82" s="915">
        <f t="shared" si="312"/>
        <v>0</v>
      </c>
      <c r="FD82" s="915">
        <f t="shared" si="313"/>
        <v>0</v>
      </c>
      <c r="FE82" s="915">
        <f t="shared" si="314"/>
        <v>0</v>
      </c>
      <c r="FF82" s="915">
        <f t="shared" si="315"/>
        <v>0</v>
      </c>
      <c r="FG82" s="915">
        <f t="shared" si="316"/>
        <v>0</v>
      </c>
      <c r="FH82" s="915">
        <f t="shared" si="317"/>
        <v>0</v>
      </c>
      <c r="FI82" s="915">
        <f t="shared" si="318"/>
        <v>0</v>
      </c>
      <c r="FJ82" s="915">
        <f t="shared" si="319"/>
        <v>0</v>
      </c>
      <c r="FK82" s="915">
        <f t="shared" si="320"/>
        <v>0</v>
      </c>
      <c r="FL82" s="915">
        <f t="shared" si="321"/>
        <v>0</v>
      </c>
      <c r="FM82" s="915">
        <f t="shared" si="322"/>
        <v>0</v>
      </c>
      <c r="FN82" s="915">
        <f t="shared" si="323"/>
        <v>0</v>
      </c>
      <c r="FO82" s="915">
        <f t="shared" si="324"/>
        <v>0</v>
      </c>
      <c r="FP82" s="915">
        <f t="shared" si="325"/>
        <v>0</v>
      </c>
      <c r="FQ82" s="915">
        <f t="shared" si="326"/>
        <v>0</v>
      </c>
      <c r="FR82" s="915">
        <f t="shared" si="327"/>
        <v>0</v>
      </c>
      <c r="FS82" s="915">
        <f t="shared" si="328"/>
        <v>0</v>
      </c>
      <c r="FT82" s="915">
        <f t="shared" si="329"/>
        <v>0</v>
      </c>
      <c r="FU82" s="915">
        <f t="shared" si="330"/>
        <v>0</v>
      </c>
      <c r="FV82" s="915">
        <f t="shared" si="331"/>
        <v>0</v>
      </c>
      <c r="FW82" s="915">
        <f t="shared" si="332"/>
        <v>0</v>
      </c>
      <c r="FX82" s="915">
        <f t="shared" si="333"/>
        <v>0</v>
      </c>
      <c r="FY82" s="915">
        <f t="shared" si="334"/>
        <v>0</v>
      </c>
      <c r="FZ82" s="915">
        <f t="shared" si="335"/>
        <v>0</v>
      </c>
    </row>
    <row r="83" spans="1:182" x14ac:dyDescent="0.2">
      <c r="A83" s="497">
        <v>76</v>
      </c>
      <c r="B83" s="1423"/>
      <c r="C83" s="1424"/>
      <c r="D83" s="138">
        <v>10</v>
      </c>
      <c r="E83" s="138" t="s">
        <v>52</v>
      </c>
      <c r="F83" s="139" t="s">
        <v>2544</v>
      </c>
      <c r="G83" s="139" t="s">
        <v>2542</v>
      </c>
      <c r="H83" s="100">
        <v>7</v>
      </c>
      <c r="I83" s="119">
        <f t="shared" si="174"/>
        <v>0.42</v>
      </c>
      <c r="J83" s="90">
        <f t="shared" si="175"/>
        <v>7.42</v>
      </c>
      <c r="K83" s="225"/>
      <c r="N83" s="942">
        <f>CT6</f>
        <v>7.42</v>
      </c>
      <c r="O83" s="915" t="str">
        <f>"Waste Haul for "&amp;tabname10</f>
        <v>Waste Haul for Phase 10</v>
      </c>
      <c r="P83" s="949" t="s">
        <v>556</v>
      </c>
      <c r="W83" s="915">
        <f t="shared" si="176"/>
        <v>0</v>
      </c>
      <c r="X83" s="915">
        <f t="shared" si="177"/>
        <v>0</v>
      </c>
      <c r="Y83" s="915">
        <f t="shared" si="178"/>
        <v>0</v>
      </c>
      <c r="Z83" s="915">
        <f t="shared" si="179"/>
        <v>0</v>
      </c>
      <c r="AA83" s="915">
        <f t="shared" si="180"/>
        <v>0</v>
      </c>
      <c r="AB83" s="915">
        <f t="shared" si="181"/>
        <v>0</v>
      </c>
      <c r="AC83" s="915">
        <f t="shared" si="182"/>
        <v>0</v>
      </c>
      <c r="AD83" s="915">
        <f t="shared" si="183"/>
        <v>0</v>
      </c>
      <c r="AE83" s="915">
        <f t="shared" si="184"/>
        <v>0</v>
      </c>
      <c r="AF83" s="915">
        <f t="shared" si="185"/>
        <v>0</v>
      </c>
      <c r="AG83" s="915">
        <f t="shared" si="186"/>
        <v>0</v>
      </c>
      <c r="AH83" s="915">
        <f t="shared" si="187"/>
        <v>0</v>
      </c>
      <c r="AI83" s="915">
        <f t="shared" si="188"/>
        <v>0</v>
      </c>
      <c r="AJ83" s="915">
        <f t="shared" si="189"/>
        <v>0</v>
      </c>
      <c r="AK83" s="915">
        <f t="shared" si="190"/>
        <v>0</v>
      </c>
      <c r="AL83" s="915">
        <f t="shared" si="191"/>
        <v>0</v>
      </c>
      <c r="AM83" s="915">
        <f t="shared" si="192"/>
        <v>0</v>
      </c>
      <c r="AN83" s="915">
        <f t="shared" si="193"/>
        <v>0</v>
      </c>
      <c r="AO83" s="915">
        <f t="shared" si="194"/>
        <v>0</v>
      </c>
      <c r="AP83" s="915">
        <f t="shared" si="195"/>
        <v>0</v>
      </c>
      <c r="AQ83" s="915">
        <f t="shared" si="196"/>
        <v>0</v>
      </c>
      <c r="AR83" s="915">
        <f t="shared" si="197"/>
        <v>0</v>
      </c>
      <c r="AS83" s="915">
        <f t="shared" si="198"/>
        <v>0</v>
      </c>
      <c r="AT83" s="915">
        <f t="shared" si="199"/>
        <v>0</v>
      </c>
      <c r="AU83" s="915">
        <f t="shared" si="200"/>
        <v>0</v>
      </c>
      <c r="AV83" s="915">
        <f t="shared" si="201"/>
        <v>0</v>
      </c>
      <c r="AW83" s="915">
        <f t="shared" si="202"/>
        <v>0</v>
      </c>
      <c r="AX83" s="915">
        <f t="shared" si="203"/>
        <v>0</v>
      </c>
      <c r="AY83" s="915">
        <f t="shared" si="204"/>
        <v>0</v>
      </c>
      <c r="AZ83" s="915">
        <f t="shared" si="205"/>
        <v>0</v>
      </c>
      <c r="BA83" s="915">
        <f t="shared" si="206"/>
        <v>0</v>
      </c>
      <c r="BB83" s="915">
        <f t="shared" si="207"/>
        <v>0</v>
      </c>
      <c r="BC83" s="915">
        <f t="shared" si="208"/>
        <v>0</v>
      </c>
      <c r="BD83" s="915">
        <f t="shared" si="209"/>
        <v>0</v>
      </c>
      <c r="BE83" s="915">
        <f t="shared" si="210"/>
        <v>0</v>
      </c>
      <c r="BF83" s="915">
        <f t="shared" si="211"/>
        <v>0</v>
      </c>
      <c r="BG83" s="915">
        <f t="shared" si="212"/>
        <v>0</v>
      </c>
      <c r="BH83" s="915">
        <f t="shared" si="213"/>
        <v>0</v>
      </c>
      <c r="BI83" s="915">
        <f t="shared" si="214"/>
        <v>0</v>
      </c>
      <c r="BJ83" s="915">
        <f t="shared" si="215"/>
        <v>0</v>
      </c>
      <c r="BK83" s="915">
        <f t="shared" si="216"/>
        <v>0</v>
      </c>
      <c r="BL83" s="915">
        <f t="shared" si="217"/>
        <v>0</v>
      </c>
      <c r="BM83" s="915">
        <f t="shared" si="218"/>
        <v>0</v>
      </c>
      <c r="BN83" s="915">
        <f t="shared" si="219"/>
        <v>0</v>
      </c>
      <c r="BO83" s="915">
        <f t="shared" si="220"/>
        <v>0</v>
      </c>
      <c r="BP83" s="915">
        <f t="shared" si="221"/>
        <v>0</v>
      </c>
      <c r="BQ83" s="915">
        <f t="shared" si="222"/>
        <v>0</v>
      </c>
      <c r="BR83" s="915">
        <f t="shared" si="223"/>
        <v>0</v>
      </c>
      <c r="BS83" s="915">
        <f t="shared" si="224"/>
        <v>0</v>
      </c>
      <c r="BT83" s="915">
        <f t="shared" si="225"/>
        <v>0</v>
      </c>
      <c r="BU83" s="915">
        <f t="shared" si="226"/>
        <v>0</v>
      </c>
      <c r="BV83" s="915">
        <f t="shared" si="227"/>
        <v>0</v>
      </c>
      <c r="BW83" s="915">
        <f t="shared" si="228"/>
        <v>0</v>
      </c>
      <c r="BX83" s="915">
        <f t="shared" si="229"/>
        <v>0</v>
      </c>
      <c r="BY83" s="915">
        <f t="shared" si="230"/>
        <v>0</v>
      </c>
      <c r="BZ83" s="915">
        <f t="shared" si="231"/>
        <v>0</v>
      </c>
      <c r="CA83" s="915">
        <f t="shared" si="232"/>
        <v>0</v>
      </c>
      <c r="CB83" s="915">
        <f t="shared" si="233"/>
        <v>0</v>
      </c>
      <c r="CC83" s="915">
        <f t="shared" si="234"/>
        <v>0</v>
      </c>
      <c r="CD83" s="915">
        <f t="shared" si="235"/>
        <v>0</v>
      </c>
      <c r="CE83" s="915">
        <f t="shared" si="236"/>
        <v>0</v>
      </c>
      <c r="CF83" s="915">
        <f t="shared" si="237"/>
        <v>0</v>
      </c>
      <c r="CG83" s="915">
        <f t="shared" si="238"/>
        <v>0</v>
      </c>
      <c r="CH83" s="915">
        <f t="shared" si="239"/>
        <v>0</v>
      </c>
      <c r="CI83" s="915">
        <f t="shared" si="336"/>
        <v>0</v>
      </c>
      <c r="CJ83" s="915">
        <f t="shared" si="337"/>
        <v>0</v>
      </c>
      <c r="CK83" s="915">
        <f t="shared" si="338"/>
        <v>0</v>
      </c>
      <c r="CL83" s="915">
        <f t="shared" si="339"/>
        <v>0</v>
      </c>
      <c r="CM83" s="915">
        <f t="shared" si="340"/>
        <v>0</v>
      </c>
      <c r="CN83" s="915">
        <f t="shared" si="341"/>
        <v>0</v>
      </c>
      <c r="CO83" s="915">
        <f t="shared" si="342"/>
        <v>0</v>
      </c>
      <c r="CP83" s="915">
        <f t="shared" si="343"/>
        <v>0</v>
      </c>
      <c r="CQ83" s="915">
        <f t="shared" si="248"/>
        <v>0</v>
      </c>
      <c r="CR83" s="915">
        <f t="shared" si="249"/>
        <v>0</v>
      </c>
      <c r="CS83" s="915">
        <f t="shared" si="250"/>
        <v>0</v>
      </c>
      <c r="CT83" s="915">
        <f t="shared" si="251"/>
        <v>7.42</v>
      </c>
      <c r="CU83" s="915">
        <f t="shared" si="252"/>
        <v>0</v>
      </c>
      <c r="CV83" s="915">
        <f t="shared" si="253"/>
        <v>0</v>
      </c>
      <c r="CW83" s="915">
        <f t="shared" si="254"/>
        <v>0</v>
      </c>
      <c r="CX83" s="915">
        <f t="shared" si="255"/>
        <v>0</v>
      </c>
      <c r="CY83" s="915">
        <f t="shared" si="256"/>
        <v>0</v>
      </c>
      <c r="CZ83" s="915">
        <f t="shared" si="257"/>
        <v>0</v>
      </c>
      <c r="DA83" s="915">
        <f t="shared" si="258"/>
        <v>0</v>
      </c>
      <c r="DB83" s="915">
        <f t="shared" si="259"/>
        <v>0</v>
      </c>
      <c r="DC83" s="915">
        <f t="shared" si="260"/>
        <v>0</v>
      </c>
      <c r="DD83" s="915">
        <f t="shared" si="261"/>
        <v>0</v>
      </c>
      <c r="DE83" s="915">
        <f t="shared" si="262"/>
        <v>0</v>
      </c>
      <c r="DF83" s="915">
        <f t="shared" si="263"/>
        <v>0</v>
      </c>
      <c r="DG83" s="915">
        <f t="shared" si="264"/>
        <v>0</v>
      </c>
      <c r="DH83" s="915">
        <f t="shared" si="265"/>
        <v>0</v>
      </c>
      <c r="DI83" s="915">
        <f t="shared" si="266"/>
        <v>0</v>
      </c>
      <c r="DJ83" s="915">
        <f t="shared" si="267"/>
        <v>0</v>
      </c>
      <c r="DK83" s="915">
        <f t="shared" si="268"/>
        <v>0</v>
      </c>
      <c r="DL83" s="915">
        <f t="shared" si="269"/>
        <v>0</v>
      </c>
      <c r="DM83" s="915">
        <f t="shared" si="270"/>
        <v>0</v>
      </c>
      <c r="DN83" s="915">
        <f t="shared" si="271"/>
        <v>0</v>
      </c>
      <c r="DO83" s="915">
        <f t="shared" si="272"/>
        <v>0</v>
      </c>
      <c r="DP83" s="915">
        <f t="shared" si="273"/>
        <v>0</v>
      </c>
      <c r="DQ83" s="915">
        <f t="shared" si="274"/>
        <v>0</v>
      </c>
      <c r="DR83" s="915">
        <f t="shared" si="275"/>
        <v>0</v>
      </c>
      <c r="DS83" s="915">
        <f t="shared" si="276"/>
        <v>0</v>
      </c>
      <c r="DT83" s="915">
        <f t="shared" si="277"/>
        <v>0</v>
      </c>
      <c r="DU83" s="915">
        <f t="shared" si="278"/>
        <v>0</v>
      </c>
      <c r="DV83" s="915">
        <f t="shared" si="279"/>
        <v>0</v>
      </c>
      <c r="DW83" s="915">
        <f t="shared" si="280"/>
        <v>0</v>
      </c>
      <c r="DX83" s="915">
        <f t="shared" si="281"/>
        <v>0</v>
      </c>
      <c r="DY83" s="915">
        <f t="shared" si="282"/>
        <v>0</v>
      </c>
      <c r="DZ83" s="915">
        <f t="shared" si="283"/>
        <v>0</v>
      </c>
      <c r="EA83" s="915">
        <f t="shared" si="284"/>
        <v>0</v>
      </c>
      <c r="EB83" s="915">
        <f t="shared" si="285"/>
        <v>0</v>
      </c>
      <c r="EC83" s="915">
        <f t="shared" si="286"/>
        <v>0</v>
      </c>
      <c r="ED83" s="915">
        <f t="shared" si="287"/>
        <v>0</v>
      </c>
      <c r="EE83" s="915">
        <f t="shared" si="288"/>
        <v>0</v>
      </c>
      <c r="EF83" s="915">
        <f t="shared" si="289"/>
        <v>0</v>
      </c>
      <c r="EG83" s="915">
        <f t="shared" si="290"/>
        <v>0</v>
      </c>
      <c r="EH83" s="915">
        <f t="shared" si="291"/>
        <v>0</v>
      </c>
      <c r="EI83" s="915">
        <f t="shared" si="292"/>
        <v>0</v>
      </c>
      <c r="EJ83" s="915">
        <f t="shared" si="293"/>
        <v>0</v>
      </c>
      <c r="EK83" s="915">
        <f t="shared" si="294"/>
        <v>0</v>
      </c>
      <c r="EL83" s="915">
        <f t="shared" si="295"/>
        <v>0</v>
      </c>
      <c r="EM83" s="915">
        <f t="shared" si="296"/>
        <v>0</v>
      </c>
      <c r="EN83" s="915">
        <f t="shared" si="297"/>
        <v>0</v>
      </c>
      <c r="EO83" s="915">
        <f t="shared" si="298"/>
        <v>0</v>
      </c>
      <c r="EP83" s="915">
        <f t="shared" si="299"/>
        <v>0</v>
      </c>
      <c r="EQ83" s="915">
        <f t="shared" si="300"/>
        <v>0</v>
      </c>
      <c r="ER83" s="915">
        <f t="shared" si="301"/>
        <v>0</v>
      </c>
      <c r="ES83" s="915">
        <f t="shared" si="302"/>
        <v>0</v>
      </c>
      <c r="ET83" s="915">
        <f t="shared" si="303"/>
        <v>0</v>
      </c>
      <c r="EU83" s="915">
        <f t="shared" si="304"/>
        <v>0</v>
      </c>
      <c r="EV83" s="915">
        <f t="shared" si="305"/>
        <v>0</v>
      </c>
      <c r="EW83" s="915">
        <f t="shared" si="306"/>
        <v>0</v>
      </c>
      <c r="EX83" s="915">
        <f t="shared" si="307"/>
        <v>0</v>
      </c>
      <c r="EY83" s="915">
        <f t="shared" si="308"/>
        <v>0</v>
      </c>
      <c r="EZ83" s="915">
        <f t="shared" si="309"/>
        <v>0</v>
      </c>
      <c r="FA83" s="915">
        <f t="shared" si="310"/>
        <v>0</v>
      </c>
      <c r="FB83" s="915">
        <f t="shared" si="311"/>
        <v>0</v>
      </c>
      <c r="FC83" s="915">
        <f t="shared" si="312"/>
        <v>0</v>
      </c>
      <c r="FD83" s="915">
        <f t="shared" si="313"/>
        <v>0</v>
      </c>
      <c r="FE83" s="915">
        <f t="shared" si="314"/>
        <v>0</v>
      </c>
      <c r="FF83" s="915">
        <f t="shared" si="315"/>
        <v>0</v>
      </c>
      <c r="FG83" s="915">
        <f t="shared" si="316"/>
        <v>0</v>
      </c>
      <c r="FH83" s="915">
        <f t="shared" si="317"/>
        <v>0</v>
      </c>
      <c r="FI83" s="915">
        <f t="shared" si="318"/>
        <v>0</v>
      </c>
      <c r="FJ83" s="915">
        <f t="shared" si="319"/>
        <v>0</v>
      </c>
      <c r="FK83" s="915">
        <f t="shared" si="320"/>
        <v>0</v>
      </c>
      <c r="FL83" s="915">
        <f t="shared" si="321"/>
        <v>0</v>
      </c>
      <c r="FM83" s="915">
        <f t="shared" si="322"/>
        <v>0</v>
      </c>
      <c r="FN83" s="915">
        <f t="shared" si="323"/>
        <v>0</v>
      </c>
      <c r="FO83" s="915">
        <f t="shared" si="324"/>
        <v>0</v>
      </c>
      <c r="FP83" s="915">
        <f t="shared" si="325"/>
        <v>0</v>
      </c>
      <c r="FQ83" s="915">
        <f t="shared" si="326"/>
        <v>0</v>
      </c>
      <c r="FR83" s="915">
        <f t="shared" si="327"/>
        <v>0</v>
      </c>
      <c r="FS83" s="915">
        <f t="shared" si="328"/>
        <v>0</v>
      </c>
      <c r="FT83" s="915">
        <f t="shared" si="329"/>
        <v>0</v>
      </c>
      <c r="FU83" s="915">
        <f t="shared" si="330"/>
        <v>0</v>
      </c>
      <c r="FV83" s="915">
        <f t="shared" si="331"/>
        <v>0</v>
      </c>
      <c r="FW83" s="915">
        <f t="shared" si="332"/>
        <v>0</v>
      </c>
      <c r="FX83" s="915">
        <f t="shared" si="333"/>
        <v>0</v>
      </c>
      <c r="FY83" s="915">
        <f t="shared" si="334"/>
        <v>0</v>
      </c>
      <c r="FZ83" s="915">
        <f t="shared" si="335"/>
        <v>0</v>
      </c>
    </row>
    <row r="84" spans="1:182" x14ac:dyDescent="0.2">
      <c r="A84" s="496">
        <v>77</v>
      </c>
      <c r="B84" s="1419"/>
      <c r="C84" s="1433"/>
      <c r="D84" s="264">
        <v>10</v>
      </c>
      <c r="E84" s="264" t="s">
        <v>30</v>
      </c>
      <c r="F84" s="270" t="s">
        <v>2544</v>
      </c>
      <c r="G84" s="270" t="s">
        <v>2542</v>
      </c>
      <c r="H84" s="272">
        <v>7</v>
      </c>
      <c r="I84" s="268">
        <f t="shared" si="174"/>
        <v>0.42</v>
      </c>
      <c r="J84" s="269">
        <f t="shared" si="175"/>
        <v>7.42</v>
      </c>
      <c r="K84" s="225"/>
      <c r="N84" s="942">
        <f>CU6</f>
        <v>7.42</v>
      </c>
      <c r="O84" s="879" t="str">
        <f>"Surveying/Inspection for " &amp; tabname10</f>
        <v>Surveying/Inspection for Phase 10</v>
      </c>
      <c r="P84" s="950" t="s">
        <v>557</v>
      </c>
      <c r="W84" s="915">
        <f t="shared" si="176"/>
        <v>0</v>
      </c>
      <c r="X84" s="915">
        <f t="shared" si="177"/>
        <v>0</v>
      </c>
      <c r="Y84" s="915">
        <f t="shared" si="178"/>
        <v>0</v>
      </c>
      <c r="Z84" s="915">
        <f t="shared" si="179"/>
        <v>0</v>
      </c>
      <c r="AA84" s="915">
        <f t="shared" si="180"/>
        <v>0</v>
      </c>
      <c r="AB84" s="915">
        <f t="shared" si="181"/>
        <v>0</v>
      </c>
      <c r="AC84" s="915">
        <f t="shared" si="182"/>
        <v>0</v>
      </c>
      <c r="AD84" s="915">
        <f t="shared" si="183"/>
        <v>0</v>
      </c>
      <c r="AE84" s="915">
        <f t="shared" si="184"/>
        <v>0</v>
      </c>
      <c r="AF84" s="915">
        <f t="shared" si="185"/>
        <v>0</v>
      </c>
      <c r="AG84" s="915">
        <f t="shared" si="186"/>
        <v>0</v>
      </c>
      <c r="AH84" s="915">
        <f t="shared" si="187"/>
        <v>0</v>
      </c>
      <c r="AI84" s="915">
        <f t="shared" si="188"/>
        <v>0</v>
      </c>
      <c r="AJ84" s="915">
        <f t="shared" si="189"/>
        <v>0</v>
      </c>
      <c r="AK84" s="915">
        <f t="shared" si="190"/>
        <v>0</v>
      </c>
      <c r="AL84" s="915">
        <f t="shared" si="191"/>
        <v>0</v>
      </c>
      <c r="AM84" s="915">
        <f t="shared" si="192"/>
        <v>0</v>
      </c>
      <c r="AN84" s="915">
        <f t="shared" si="193"/>
        <v>0</v>
      </c>
      <c r="AO84" s="915">
        <f t="shared" si="194"/>
        <v>0</v>
      </c>
      <c r="AP84" s="915">
        <f t="shared" si="195"/>
        <v>0</v>
      </c>
      <c r="AQ84" s="915">
        <f t="shared" si="196"/>
        <v>0</v>
      </c>
      <c r="AR84" s="915">
        <f t="shared" si="197"/>
        <v>0</v>
      </c>
      <c r="AS84" s="915">
        <f t="shared" si="198"/>
        <v>0</v>
      </c>
      <c r="AT84" s="915">
        <f t="shared" si="199"/>
        <v>0</v>
      </c>
      <c r="AU84" s="915">
        <f t="shared" si="200"/>
        <v>0</v>
      </c>
      <c r="AV84" s="915">
        <f t="shared" si="201"/>
        <v>0</v>
      </c>
      <c r="AW84" s="915">
        <f t="shared" si="202"/>
        <v>0</v>
      </c>
      <c r="AX84" s="915">
        <f t="shared" si="203"/>
        <v>0</v>
      </c>
      <c r="AY84" s="915">
        <f t="shared" si="204"/>
        <v>0</v>
      </c>
      <c r="AZ84" s="915">
        <f t="shared" si="205"/>
        <v>0</v>
      </c>
      <c r="BA84" s="915">
        <f t="shared" si="206"/>
        <v>0</v>
      </c>
      <c r="BB84" s="915">
        <f t="shared" si="207"/>
        <v>0</v>
      </c>
      <c r="BC84" s="915">
        <f t="shared" si="208"/>
        <v>0</v>
      </c>
      <c r="BD84" s="915">
        <f t="shared" si="209"/>
        <v>0</v>
      </c>
      <c r="BE84" s="915">
        <f t="shared" si="210"/>
        <v>0</v>
      </c>
      <c r="BF84" s="915">
        <f t="shared" si="211"/>
        <v>0</v>
      </c>
      <c r="BG84" s="915">
        <f t="shared" si="212"/>
        <v>0</v>
      </c>
      <c r="BH84" s="915">
        <f t="shared" si="213"/>
        <v>0</v>
      </c>
      <c r="BI84" s="915">
        <f t="shared" si="214"/>
        <v>0</v>
      </c>
      <c r="BJ84" s="915">
        <f t="shared" si="215"/>
        <v>0</v>
      </c>
      <c r="BK84" s="915">
        <f t="shared" si="216"/>
        <v>0</v>
      </c>
      <c r="BL84" s="915">
        <f t="shared" si="217"/>
        <v>0</v>
      </c>
      <c r="BM84" s="915">
        <f t="shared" si="218"/>
        <v>0</v>
      </c>
      <c r="BN84" s="915">
        <f t="shared" si="219"/>
        <v>0</v>
      </c>
      <c r="BO84" s="915">
        <f t="shared" si="220"/>
        <v>0</v>
      </c>
      <c r="BP84" s="915">
        <f t="shared" si="221"/>
        <v>0</v>
      </c>
      <c r="BQ84" s="915">
        <f t="shared" si="222"/>
        <v>0</v>
      </c>
      <c r="BR84" s="915">
        <f t="shared" si="223"/>
        <v>0</v>
      </c>
      <c r="BS84" s="915">
        <f>IF(AND($D84=$R$14,$E84=$T$8),$J84,0)</f>
        <v>0</v>
      </c>
      <c r="BT84" s="915">
        <f>IF(AND($D84=$R$14,$E84=$T$9),$J84,0)</f>
        <v>0</v>
      </c>
      <c r="BU84" s="915">
        <f>IF(AND($D84=$R$14,$E84=$T$10),$J84,0)</f>
        <v>0</v>
      </c>
      <c r="BV84" s="915">
        <f>IF(AND($D84=$R$14,$E84=$T$11),$J84,0)</f>
        <v>0</v>
      </c>
      <c r="BW84" s="915">
        <f>IF(AND($D84=$R$14,$E84=$T$12),$J84,0)</f>
        <v>0</v>
      </c>
      <c r="BX84" s="915">
        <f>IF(AND($D84=$R$14,$E84=$T$13),$J84,0)</f>
        <v>0</v>
      </c>
      <c r="BY84" s="915">
        <f>IF(AND($D84=$R$14,$E84=$T$14),$J84,0)</f>
        <v>0</v>
      </c>
      <c r="BZ84" s="915">
        <f>IF(AND($D84=$R$14,$E84=$T$15),$J84,0)</f>
        <v>0</v>
      </c>
      <c r="CA84" s="915">
        <f t="shared" si="232"/>
        <v>0</v>
      </c>
      <c r="CB84" s="915">
        <f t="shared" si="233"/>
        <v>0</v>
      </c>
      <c r="CC84" s="915">
        <f t="shared" si="234"/>
        <v>0</v>
      </c>
      <c r="CD84" s="915">
        <f t="shared" si="235"/>
        <v>0</v>
      </c>
      <c r="CE84" s="915">
        <f t="shared" si="236"/>
        <v>0</v>
      </c>
      <c r="CF84" s="915">
        <f t="shared" si="237"/>
        <v>0</v>
      </c>
      <c r="CG84" s="915">
        <f t="shared" si="238"/>
        <v>0</v>
      </c>
      <c r="CH84" s="915">
        <f t="shared" si="239"/>
        <v>0</v>
      </c>
      <c r="CI84" s="915">
        <f t="shared" si="336"/>
        <v>0</v>
      </c>
      <c r="CJ84" s="915">
        <f t="shared" si="337"/>
        <v>0</v>
      </c>
      <c r="CK84" s="915">
        <f t="shared" si="338"/>
        <v>0</v>
      </c>
      <c r="CL84" s="915">
        <f t="shared" si="339"/>
        <v>0</v>
      </c>
      <c r="CM84" s="915">
        <f t="shared" si="340"/>
        <v>0</v>
      </c>
      <c r="CN84" s="915">
        <f t="shared" si="341"/>
        <v>0</v>
      </c>
      <c r="CO84" s="915">
        <f t="shared" si="342"/>
        <v>0</v>
      </c>
      <c r="CP84" s="915">
        <f t="shared" si="343"/>
        <v>0</v>
      </c>
      <c r="CQ84" s="915">
        <f t="shared" si="248"/>
        <v>0</v>
      </c>
      <c r="CR84" s="915">
        <f t="shared" si="249"/>
        <v>0</v>
      </c>
      <c r="CS84" s="915">
        <f t="shared" si="250"/>
        <v>0</v>
      </c>
      <c r="CT84" s="915">
        <f t="shared" si="251"/>
        <v>0</v>
      </c>
      <c r="CU84" s="915">
        <f t="shared" si="252"/>
        <v>7.42</v>
      </c>
      <c r="CV84" s="915">
        <f t="shared" si="253"/>
        <v>0</v>
      </c>
      <c r="CW84" s="915">
        <f t="shared" si="254"/>
        <v>0</v>
      </c>
      <c r="CX84" s="915">
        <f t="shared" si="255"/>
        <v>0</v>
      </c>
      <c r="CY84" s="915">
        <f t="shared" si="256"/>
        <v>0</v>
      </c>
      <c r="CZ84" s="915">
        <f t="shared" si="257"/>
        <v>0</v>
      </c>
      <c r="DA84" s="915">
        <f t="shared" si="258"/>
        <v>0</v>
      </c>
      <c r="DB84" s="915">
        <f t="shared" si="259"/>
        <v>0</v>
      </c>
      <c r="DC84" s="915">
        <f t="shared" si="260"/>
        <v>0</v>
      </c>
      <c r="DD84" s="915">
        <f t="shared" si="261"/>
        <v>0</v>
      </c>
      <c r="DE84" s="915">
        <f t="shared" si="262"/>
        <v>0</v>
      </c>
      <c r="DF84" s="915">
        <f t="shared" si="263"/>
        <v>0</v>
      </c>
      <c r="DG84" s="915">
        <f t="shared" si="264"/>
        <v>0</v>
      </c>
      <c r="DH84" s="915">
        <f t="shared" si="265"/>
        <v>0</v>
      </c>
      <c r="DI84" s="915">
        <f t="shared" si="266"/>
        <v>0</v>
      </c>
      <c r="DJ84" s="915">
        <f t="shared" si="267"/>
        <v>0</v>
      </c>
      <c r="DK84" s="915">
        <f t="shared" si="268"/>
        <v>0</v>
      </c>
      <c r="DL84" s="915">
        <f t="shared" si="269"/>
        <v>0</v>
      </c>
      <c r="DM84" s="915">
        <f t="shared" si="270"/>
        <v>0</v>
      </c>
      <c r="DN84" s="915">
        <f t="shared" si="271"/>
        <v>0</v>
      </c>
      <c r="DO84" s="915">
        <f t="shared" si="272"/>
        <v>0</v>
      </c>
      <c r="DP84" s="915">
        <f t="shared" si="273"/>
        <v>0</v>
      </c>
      <c r="DQ84" s="915">
        <f t="shared" si="274"/>
        <v>0</v>
      </c>
      <c r="DR84" s="915">
        <f t="shared" si="275"/>
        <v>0</v>
      </c>
      <c r="DS84" s="915">
        <f t="shared" si="276"/>
        <v>0</v>
      </c>
      <c r="DT84" s="915">
        <f t="shared" si="277"/>
        <v>0</v>
      </c>
      <c r="DU84" s="915">
        <f t="shared" si="278"/>
        <v>0</v>
      </c>
      <c r="DV84" s="915">
        <f t="shared" si="279"/>
        <v>0</v>
      </c>
      <c r="DW84" s="915">
        <f t="shared" si="280"/>
        <v>0</v>
      </c>
      <c r="DX84" s="915">
        <f t="shared" si="281"/>
        <v>0</v>
      </c>
      <c r="DY84" s="915">
        <f t="shared" si="282"/>
        <v>0</v>
      </c>
      <c r="DZ84" s="915">
        <f t="shared" si="283"/>
        <v>0</v>
      </c>
      <c r="EA84" s="915">
        <f t="shared" si="284"/>
        <v>0</v>
      </c>
      <c r="EB84" s="915">
        <f t="shared" si="285"/>
        <v>0</v>
      </c>
      <c r="EC84" s="915">
        <f t="shared" si="286"/>
        <v>0</v>
      </c>
      <c r="ED84" s="915">
        <f t="shared" si="287"/>
        <v>0</v>
      </c>
      <c r="EE84" s="915">
        <f t="shared" si="288"/>
        <v>0</v>
      </c>
      <c r="EF84" s="915">
        <f t="shared" si="289"/>
        <v>0</v>
      </c>
      <c r="EG84" s="915">
        <f t="shared" si="290"/>
        <v>0</v>
      </c>
      <c r="EH84" s="915">
        <f t="shared" si="291"/>
        <v>0</v>
      </c>
      <c r="EI84" s="915">
        <f t="shared" si="292"/>
        <v>0</v>
      </c>
      <c r="EJ84" s="915">
        <f t="shared" si="293"/>
        <v>0</v>
      </c>
      <c r="EK84" s="915">
        <f t="shared" si="294"/>
        <v>0</v>
      </c>
      <c r="EL84" s="915">
        <f t="shared" si="295"/>
        <v>0</v>
      </c>
      <c r="EM84" s="915">
        <f t="shared" si="296"/>
        <v>0</v>
      </c>
      <c r="EN84" s="915">
        <f t="shared" si="297"/>
        <v>0</v>
      </c>
      <c r="EO84" s="915">
        <f t="shared" si="298"/>
        <v>0</v>
      </c>
      <c r="EP84" s="915">
        <f t="shared" si="299"/>
        <v>0</v>
      </c>
      <c r="EQ84" s="915">
        <f t="shared" si="300"/>
        <v>0</v>
      </c>
      <c r="ER84" s="915">
        <f t="shared" si="301"/>
        <v>0</v>
      </c>
      <c r="ES84" s="915">
        <f t="shared" si="302"/>
        <v>0</v>
      </c>
      <c r="ET84" s="915">
        <f t="shared" si="303"/>
        <v>0</v>
      </c>
      <c r="EU84" s="915">
        <f t="shared" si="304"/>
        <v>0</v>
      </c>
      <c r="EV84" s="915">
        <f t="shared" si="305"/>
        <v>0</v>
      </c>
      <c r="EW84" s="915">
        <f t="shared" si="306"/>
        <v>0</v>
      </c>
      <c r="EX84" s="915">
        <f t="shared" si="307"/>
        <v>0</v>
      </c>
      <c r="EY84" s="915">
        <f t="shared" si="308"/>
        <v>0</v>
      </c>
      <c r="EZ84" s="915">
        <f t="shared" si="309"/>
        <v>0</v>
      </c>
      <c r="FA84" s="915">
        <f t="shared" si="310"/>
        <v>0</v>
      </c>
      <c r="FB84" s="915">
        <f t="shared" si="311"/>
        <v>0</v>
      </c>
      <c r="FC84" s="915">
        <f t="shared" si="312"/>
        <v>0</v>
      </c>
      <c r="FD84" s="915">
        <f t="shared" si="313"/>
        <v>0</v>
      </c>
      <c r="FE84" s="915">
        <f t="shared" si="314"/>
        <v>0</v>
      </c>
      <c r="FF84" s="915">
        <f t="shared" si="315"/>
        <v>0</v>
      </c>
      <c r="FG84" s="915">
        <f t="shared" si="316"/>
        <v>0</v>
      </c>
      <c r="FH84" s="915">
        <f t="shared" si="317"/>
        <v>0</v>
      </c>
      <c r="FI84" s="915">
        <f t="shared" si="318"/>
        <v>0</v>
      </c>
      <c r="FJ84" s="915">
        <f t="shared" si="319"/>
        <v>0</v>
      </c>
      <c r="FK84" s="915">
        <f t="shared" si="320"/>
        <v>0</v>
      </c>
      <c r="FL84" s="915">
        <f t="shared" si="321"/>
        <v>0</v>
      </c>
      <c r="FM84" s="915">
        <f t="shared" si="322"/>
        <v>0</v>
      </c>
      <c r="FN84" s="915">
        <f t="shared" si="323"/>
        <v>0</v>
      </c>
      <c r="FO84" s="915">
        <f t="shared" si="324"/>
        <v>0</v>
      </c>
      <c r="FP84" s="915">
        <f t="shared" si="325"/>
        <v>0</v>
      </c>
      <c r="FQ84" s="915">
        <f t="shared" si="326"/>
        <v>0</v>
      </c>
      <c r="FR84" s="915">
        <f t="shared" si="327"/>
        <v>0</v>
      </c>
      <c r="FS84" s="915">
        <f t="shared" si="328"/>
        <v>0</v>
      </c>
      <c r="FT84" s="915">
        <f t="shared" si="329"/>
        <v>0</v>
      </c>
      <c r="FU84" s="915">
        <f t="shared" si="330"/>
        <v>0</v>
      </c>
      <c r="FV84" s="915">
        <f t="shared" si="331"/>
        <v>0</v>
      </c>
      <c r="FW84" s="915">
        <f t="shared" si="332"/>
        <v>0</v>
      </c>
      <c r="FX84" s="915">
        <f t="shared" si="333"/>
        <v>0</v>
      </c>
      <c r="FY84" s="915">
        <f t="shared" si="334"/>
        <v>0</v>
      </c>
      <c r="FZ84" s="915">
        <f t="shared" si="335"/>
        <v>0</v>
      </c>
    </row>
    <row r="85" spans="1:182" x14ac:dyDescent="0.2">
      <c r="A85" s="497">
        <v>78</v>
      </c>
      <c r="B85" s="1423"/>
      <c r="C85" s="1424"/>
      <c r="D85" s="138">
        <v>10</v>
      </c>
      <c r="E85" s="138" t="s">
        <v>170</v>
      </c>
      <c r="F85" s="139" t="s">
        <v>2544</v>
      </c>
      <c r="G85" s="139" t="s">
        <v>2542</v>
      </c>
      <c r="H85" s="100">
        <v>7</v>
      </c>
      <c r="I85" s="119">
        <f t="shared" si="174"/>
        <v>0.42</v>
      </c>
      <c r="J85" s="90">
        <f t="shared" si="175"/>
        <v>7.42</v>
      </c>
      <c r="K85" s="225"/>
      <c r="N85" s="942">
        <f>CV6</f>
        <v>7.42</v>
      </c>
      <c r="O85" s="879" t="str">
        <f>"Other subcontractor for " &amp; tabname10</f>
        <v>Other subcontractor for Phase 10</v>
      </c>
      <c r="P85" s="949" t="s">
        <v>558</v>
      </c>
      <c r="W85" s="915">
        <f t="shared" si="176"/>
        <v>0</v>
      </c>
      <c r="X85" s="915">
        <f t="shared" si="177"/>
        <v>0</v>
      </c>
      <c r="Y85" s="915">
        <f t="shared" si="178"/>
        <v>0</v>
      </c>
      <c r="Z85" s="915">
        <f t="shared" si="179"/>
        <v>0</v>
      </c>
      <c r="AA85" s="915">
        <f t="shared" si="180"/>
        <v>0</v>
      </c>
      <c r="AB85" s="915">
        <f t="shared" si="181"/>
        <v>0</v>
      </c>
      <c r="AC85" s="915">
        <f t="shared" si="182"/>
        <v>0</v>
      </c>
      <c r="AD85" s="915">
        <f t="shared" si="183"/>
        <v>0</v>
      </c>
      <c r="AE85" s="915">
        <f t="shared" si="184"/>
        <v>0</v>
      </c>
      <c r="AF85" s="915">
        <f t="shared" si="185"/>
        <v>0</v>
      </c>
      <c r="AG85" s="915">
        <f t="shared" si="186"/>
        <v>0</v>
      </c>
      <c r="AH85" s="915">
        <f t="shared" si="187"/>
        <v>0</v>
      </c>
      <c r="AI85" s="915">
        <f t="shared" si="188"/>
        <v>0</v>
      </c>
      <c r="AJ85" s="915">
        <f t="shared" si="189"/>
        <v>0</v>
      </c>
      <c r="AK85" s="915">
        <f t="shared" si="190"/>
        <v>0</v>
      </c>
      <c r="AL85" s="915">
        <f t="shared" si="191"/>
        <v>0</v>
      </c>
      <c r="AM85" s="915">
        <f t="shared" si="192"/>
        <v>0</v>
      </c>
      <c r="AN85" s="915">
        <f t="shared" si="193"/>
        <v>0</v>
      </c>
      <c r="AO85" s="915">
        <f t="shared" si="194"/>
        <v>0</v>
      </c>
      <c r="AP85" s="915">
        <f t="shared" si="195"/>
        <v>0</v>
      </c>
      <c r="AQ85" s="915">
        <f t="shared" si="196"/>
        <v>0</v>
      </c>
      <c r="AR85" s="915">
        <f t="shared" si="197"/>
        <v>0</v>
      </c>
      <c r="AS85" s="915">
        <f t="shared" si="198"/>
        <v>0</v>
      </c>
      <c r="AT85" s="915">
        <f t="shared" si="199"/>
        <v>0</v>
      </c>
      <c r="AU85" s="915">
        <f t="shared" si="200"/>
        <v>0</v>
      </c>
      <c r="AV85" s="915">
        <f t="shared" si="201"/>
        <v>0</v>
      </c>
      <c r="AW85" s="915">
        <f t="shared" si="202"/>
        <v>0</v>
      </c>
      <c r="AX85" s="915">
        <f t="shared" si="203"/>
        <v>0</v>
      </c>
      <c r="AY85" s="915">
        <f t="shared" si="204"/>
        <v>0</v>
      </c>
      <c r="AZ85" s="915">
        <f t="shared" si="205"/>
        <v>0</v>
      </c>
      <c r="BA85" s="915">
        <f t="shared" si="206"/>
        <v>0</v>
      </c>
      <c r="BB85" s="915">
        <f t="shared" si="207"/>
        <v>0</v>
      </c>
      <c r="BC85" s="915">
        <f t="shared" si="208"/>
        <v>0</v>
      </c>
      <c r="BD85" s="915">
        <f t="shared" si="209"/>
        <v>0</v>
      </c>
      <c r="BE85" s="915">
        <f t="shared" si="210"/>
        <v>0</v>
      </c>
      <c r="BF85" s="915">
        <f t="shared" si="211"/>
        <v>0</v>
      </c>
      <c r="BG85" s="915">
        <f t="shared" si="212"/>
        <v>0</v>
      </c>
      <c r="BH85" s="915">
        <f t="shared" si="213"/>
        <v>0</v>
      </c>
      <c r="BI85" s="915">
        <f t="shared" si="214"/>
        <v>0</v>
      </c>
      <c r="BJ85" s="915">
        <f t="shared" si="215"/>
        <v>0</v>
      </c>
      <c r="BK85" s="915">
        <f t="shared" si="216"/>
        <v>0</v>
      </c>
      <c r="BL85" s="915">
        <f t="shared" si="217"/>
        <v>0</v>
      </c>
      <c r="BM85" s="915">
        <f t="shared" si="218"/>
        <v>0</v>
      </c>
      <c r="BN85" s="915">
        <f t="shared" si="219"/>
        <v>0</v>
      </c>
      <c r="BO85" s="915">
        <f t="shared" si="220"/>
        <v>0</v>
      </c>
      <c r="BP85" s="915">
        <f t="shared" si="221"/>
        <v>0</v>
      </c>
      <c r="BQ85" s="915">
        <f t="shared" si="222"/>
        <v>0</v>
      </c>
      <c r="BR85" s="915">
        <f t="shared" si="223"/>
        <v>0</v>
      </c>
      <c r="BS85" s="915">
        <f t="shared" ref="BS85:BS94" si="344">IF(AND($D85=$R$14,$E85=$T$8),$J85,0)</f>
        <v>0</v>
      </c>
      <c r="BT85" s="915">
        <f t="shared" ref="BT85:BT94" si="345">IF(AND($D85=$R$14,$E85=$T$9),$J85,0)</f>
        <v>0</v>
      </c>
      <c r="BU85" s="915">
        <f t="shared" ref="BU85:BU94" si="346">IF(AND($D85=$R$14,$E85=$T$10),$J85,0)</f>
        <v>0</v>
      </c>
      <c r="BV85" s="915">
        <f t="shared" ref="BV85:BV94" si="347">IF(AND($D85=$R$14,$E85=$T$11),$J85,0)</f>
        <v>0</v>
      </c>
      <c r="BW85" s="915">
        <f t="shared" ref="BW85:BW94" si="348">IF(AND($D85=$R$14,$E85=$T$12),$J85,0)</f>
        <v>0</v>
      </c>
      <c r="BX85" s="915">
        <f t="shared" ref="BX85:BX94" si="349">IF(AND($D85=$R$14,$E85=$T$13),$J85,0)</f>
        <v>0</v>
      </c>
      <c r="BY85" s="915">
        <f t="shared" ref="BY85:BY94" si="350">IF(AND($D85=$R$14,$E85=$T$14),$J85,0)</f>
        <v>0</v>
      </c>
      <c r="BZ85" s="915">
        <f t="shared" ref="BZ85:BZ94" si="351">IF(AND($D85=$R$14,$E85=$T$15),$J85,0)</f>
        <v>0</v>
      </c>
      <c r="CA85" s="915">
        <f t="shared" si="232"/>
        <v>0</v>
      </c>
      <c r="CB85" s="915">
        <f t="shared" si="233"/>
        <v>0</v>
      </c>
      <c r="CC85" s="915">
        <f t="shared" si="234"/>
        <v>0</v>
      </c>
      <c r="CD85" s="915">
        <f t="shared" si="235"/>
        <v>0</v>
      </c>
      <c r="CE85" s="915">
        <f t="shared" si="236"/>
        <v>0</v>
      </c>
      <c r="CF85" s="915">
        <f t="shared" si="237"/>
        <v>0</v>
      </c>
      <c r="CG85" s="915">
        <f t="shared" si="238"/>
        <v>0</v>
      </c>
      <c r="CH85" s="915">
        <f t="shared" si="239"/>
        <v>0</v>
      </c>
      <c r="CI85" s="915">
        <f t="shared" si="336"/>
        <v>0</v>
      </c>
      <c r="CJ85" s="915">
        <f t="shared" si="337"/>
        <v>0</v>
      </c>
      <c r="CK85" s="915">
        <f t="shared" si="338"/>
        <v>0</v>
      </c>
      <c r="CL85" s="915">
        <f t="shared" si="339"/>
        <v>0</v>
      </c>
      <c r="CM85" s="915">
        <f t="shared" si="340"/>
        <v>0</v>
      </c>
      <c r="CN85" s="915">
        <f t="shared" si="341"/>
        <v>0</v>
      </c>
      <c r="CO85" s="915">
        <f t="shared" si="342"/>
        <v>0</v>
      </c>
      <c r="CP85" s="915">
        <f t="shared" si="343"/>
        <v>0</v>
      </c>
      <c r="CQ85" s="915">
        <f t="shared" si="248"/>
        <v>0</v>
      </c>
      <c r="CR85" s="915">
        <f t="shared" si="249"/>
        <v>0</v>
      </c>
      <c r="CS85" s="915">
        <f t="shared" si="250"/>
        <v>0</v>
      </c>
      <c r="CT85" s="915">
        <f t="shared" si="251"/>
        <v>0</v>
      </c>
      <c r="CU85" s="915">
        <f t="shared" si="252"/>
        <v>0</v>
      </c>
      <c r="CV85" s="915">
        <f t="shared" si="253"/>
        <v>7.42</v>
      </c>
      <c r="CW85" s="915">
        <f t="shared" si="254"/>
        <v>0</v>
      </c>
      <c r="CX85" s="915">
        <f t="shared" si="255"/>
        <v>0</v>
      </c>
      <c r="CY85" s="915">
        <f t="shared" si="256"/>
        <v>0</v>
      </c>
      <c r="CZ85" s="915">
        <f t="shared" si="257"/>
        <v>0</v>
      </c>
      <c r="DA85" s="915">
        <f t="shared" si="258"/>
        <v>0</v>
      </c>
      <c r="DB85" s="915">
        <f t="shared" si="259"/>
        <v>0</v>
      </c>
      <c r="DC85" s="915">
        <f t="shared" si="260"/>
        <v>0</v>
      </c>
      <c r="DD85" s="915">
        <f t="shared" si="261"/>
        <v>0</v>
      </c>
      <c r="DE85" s="915">
        <f t="shared" si="262"/>
        <v>0</v>
      </c>
      <c r="DF85" s="915">
        <f t="shared" si="263"/>
        <v>0</v>
      </c>
      <c r="DG85" s="915">
        <f t="shared" si="264"/>
        <v>0</v>
      </c>
      <c r="DH85" s="915">
        <f t="shared" si="265"/>
        <v>0</v>
      </c>
      <c r="DI85" s="915">
        <f t="shared" si="266"/>
        <v>0</v>
      </c>
      <c r="DJ85" s="915">
        <f t="shared" si="267"/>
        <v>0</v>
      </c>
      <c r="DK85" s="915">
        <f t="shared" si="268"/>
        <v>0</v>
      </c>
      <c r="DL85" s="915">
        <f t="shared" si="269"/>
        <v>0</v>
      </c>
      <c r="DM85" s="915">
        <f t="shared" si="270"/>
        <v>0</v>
      </c>
      <c r="DN85" s="915">
        <f t="shared" si="271"/>
        <v>0</v>
      </c>
      <c r="DO85" s="915">
        <f t="shared" si="272"/>
        <v>0</v>
      </c>
      <c r="DP85" s="915">
        <f t="shared" si="273"/>
        <v>0</v>
      </c>
      <c r="DQ85" s="915">
        <f t="shared" si="274"/>
        <v>0</v>
      </c>
      <c r="DR85" s="915">
        <f t="shared" si="275"/>
        <v>0</v>
      </c>
      <c r="DS85" s="915">
        <f t="shared" si="276"/>
        <v>0</v>
      </c>
      <c r="DT85" s="915">
        <f t="shared" si="277"/>
        <v>0</v>
      </c>
      <c r="DU85" s="915">
        <f t="shared" si="278"/>
        <v>0</v>
      </c>
      <c r="DV85" s="915">
        <f t="shared" si="279"/>
        <v>0</v>
      </c>
      <c r="DW85" s="915">
        <f t="shared" si="280"/>
        <v>0</v>
      </c>
      <c r="DX85" s="915">
        <f t="shared" si="281"/>
        <v>0</v>
      </c>
      <c r="DY85" s="915">
        <f t="shared" si="282"/>
        <v>0</v>
      </c>
      <c r="DZ85" s="915">
        <f t="shared" si="283"/>
        <v>0</v>
      </c>
      <c r="EA85" s="915">
        <f t="shared" si="284"/>
        <v>0</v>
      </c>
      <c r="EB85" s="915">
        <f t="shared" si="285"/>
        <v>0</v>
      </c>
      <c r="EC85" s="915">
        <f t="shared" si="286"/>
        <v>0</v>
      </c>
      <c r="ED85" s="915">
        <f t="shared" si="287"/>
        <v>0</v>
      </c>
      <c r="EE85" s="915">
        <f t="shared" si="288"/>
        <v>0</v>
      </c>
      <c r="EF85" s="915">
        <f t="shared" si="289"/>
        <v>0</v>
      </c>
      <c r="EG85" s="915">
        <f t="shared" si="290"/>
        <v>0</v>
      </c>
      <c r="EH85" s="915">
        <f t="shared" si="291"/>
        <v>0</v>
      </c>
      <c r="EI85" s="915">
        <f t="shared" si="292"/>
        <v>0</v>
      </c>
      <c r="EJ85" s="915">
        <f t="shared" si="293"/>
        <v>0</v>
      </c>
      <c r="EK85" s="915">
        <f t="shared" si="294"/>
        <v>0</v>
      </c>
      <c r="EL85" s="915">
        <f t="shared" si="295"/>
        <v>0</v>
      </c>
      <c r="EM85" s="915">
        <f t="shared" si="296"/>
        <v>0</v>
      </c>
      <c r="EN85" s="915">
        <f t="shared" si="297"/>
        <v>0</v>
      </c>
      <c r="EO85" s="915">
        <f t="shared" si="298"/>
        <v>0</v>
      </c>
      <c r="EP85" s="915">
        <f t="shared" si="299"/>
        <v>0</v>
      </c>
      <c r="EQ85" s="915">
        <f t="shared" si="300"/>
        <v>0</v>
      </c>
      <c r="ER85" s="915">
        <f t="shared" si="301"/>
        <v>0</v>
      </c>
      <c r="ES85" s="915">
        <f t="shared" si="302"/>
        <v>0</v>
      </c>
      <c r="ET85" s="915">
        <f t="shared" si="303"/>
        <v>0</v>
      </c>
      <c r="EU85" s="915">
        <f t="shared" si="304"/>
        <v>0</v>
      </c>
      <c r="EV85" s="915">
        <f t="shared" si="305"/>
        <v>0</v>
      </c>
      <c r="EW85" s="915">
        <f t="shared" si="306"/>
        <v>0</v>
      </c>
      <c r="EX85" s="915">
        <f t="shared" si="307"/>
        <v>0</v>
      </c>
      <c r="EY85" s="915">
        <f t="shared" si="308"/>
        <v>0</v>
      </c>
      <c r="EZ85" s="915">
        <f t="shared" si="309"/>
        <v>0</v>
      </c>
      <c r="FA85" s="915">
        <f t="shared" si="310"/>
        <v>0</v>
      </c>
      <c r="FB85" s="915">
        <f t="shared" si="311"/>
        <v>0</v>
      </c>
      <c r="FC85" s="915">
        <f t="shared" si="312"/>
        <v>0</v>
      </c>
      <c r="FD85" s="915">
        <f t="shared" si="313"/>
        <v>0</v>
      </c>
      <c r="FE85" s="915">
        <f t="shared" si="314"/>
        <v>0</v>
      </c>
      <c r="FF85" s="915">
        <f t="shared" si="315"/>
        <v>0</v>
      </c>
      <c r="FG85" s="915">
        <f t="shared" si="316"/>
        <v>0</v>
      </c>
      <c r="FH85" s="915">
        <f t="shared" si="317"/>
        <v>0</v>
      </c>
      <c r="FI85" s="915">
        <f t="shared" si="318"/>
        <v>0</v>
      </c>
      <c r="FJ85" s="915">
        <f t="shared" si="319"/>
        <v>0</v>
      </c>
      <c r="FK85" s="915">
        <f t="shared" si="320"/>
        <v>0</v>
      </c>
      <c r="FL85" s="915">
        <f t="shared" si="321"/>
        <v>0</v>
      </c>
      <c r="FM85" s="915">
        <f t="shared" si="322"/>
        <v>0</v>
      </c>
      <c r="FN85" s="915">
        <f t="shared" si="323"/>
        <v>0</v>
      </c>
      <c r="FO85" s="915">
        <f t="shared" si="324"/>
        <v>0</v>
      </c>
      <c r="FP85" s="915">
        <f t="shared" si="325"/>
        <v>0</v>
      </c>
      <c r="FQ85" s="915">
        <f t="shared" si="326"/>
        <v>0</v>
      </c>
      <c r="FR85" s="915">
        <f t="shared" si="327"/>
        <v>0</v>
      </c>
      <c r="FS85" s="915">
        <f t="shared" si="328"/>
        <v>0</v>
      </c>
      <c r="FT85" s="915">
        <f t="shared" si="329"/>
        <v>0</v>
      </c>
      <c r="FU85" s="915">
        <f t="shared" si="330"/>
        <v>0</v>
      </c>
      <c r="FV85" s="915">
        <f t="shared" si="331"/>
        <v>0</v>
      </c>
      <c r="FW85" s="915">
        <f t="shared" si="332"/>
        <v>0</v>
      </c>
      <c r="FX85" s="915">
        <f t="shared" si="333"/>
        <v>0</v>
      </c>
      <c r="FY85" s="915">
        <f t="shared" si="334"/>
        <v>0</v>
      </c>
      <c r="FZ85" s="915">
        <f t="shared" si="335"/>
        <v>0</v>
      </c>
    </row>
    <row r="86" spans="1:182" x14ac:dyDescent="0.2">
      <c r="A86" s="496">
        <v>79</v>
      </c>
      <c r="B86" s="1419"/>
      <c r="C86" s="1433"/>
      <c r="D86" s="264">
        <v>10</v>
      </c>
      <c r="E86" s="264" t="s">
        <v>48</v>
      </c>
      <c r="F86" s="270" t="s">
        <v>2544</v>
      </c>
      <c r="G86" s="270" t="s">
        <v>2542</v>
      </c>
      <c r="H86" s="272">
        <v>7</v>
      </c>
      <c r="I86" s="268">
        <f t="shared" si="174"/>
        <v>0.42</v>
      </c>
      <c r="J86" s="269">
        <f t="shared" si="175"/>
        <v>7.42</v>
      </c>
      <c r="K86" s="225"/>
      <c r="N86" s="942">
        <f>CW6</f>
        <v>7.42</v>
      </c>
      <c r="O86" s="915" t="str">
        <f>"Miscellaneous for "&amp;tabname10</f>
        <v>Miscellaneous for Phase 10</v>
      </c>
      <c r="P86" s="949" t="s">
        <v>559</v>
      </c>
      <c r="W86" s="915">
        <f t="shared" si="176"/>
        <v>0</v>
      </c>
      <c r="X86" s="915">
        <f t="shared" si="177"/>
        <v>0</v>
      </c>
      <c r="Y86" s="915">
        <f t="shared" si="178"/>
        <v>0</v>
      </c>
      <c r="Z86" s="915">
        <f t="shared" si="179"/>
        <v>0</v>
      </c>
      <c r="AA86" s="915">
        <f t="shared" si="180"/>
        <v>0</v>
      </c>
      <c r="AB86" s="915">
        <f t="shared" si="181"/>
        <v>0</v>
      </c>
      <c r="AC86" s="915">
        <f t="shared" si="182"/>
        <v>0</v>
      </c>
      <c r="AD86" s="915">
        <f t="shared" si="183"/>
        <v>0</v>
      </c>
      <c r="AE86" s="915">
        <f t="shared" si="184"/>
        <v>0</v>
      </c>
      <c r="AF86" s="915">
        <f t="shared" si="185"/>
        <v>0</v>
      </c>
      <c r="AG86" s="915">
        <f t="shared" si="186"/>
        <v>0</v>
      </c>
      <c r="AH86" s="915">
        <f t="shared" si="187"/>
        <v>0</v>
      </c>
      <c r="AI86" s="915">
        <f t="shared" si="188"/>
        <v>0</v>
      </c>
      <c r="AJ86" s="915">
        <f t="shared" si="189"/>
        <v>0</v>
      </c>
      <c r="AK86" s="915">
        <f t="shared" si="190"/>
        <v>0</v>
      </c>
      <c r="AL86" s="915">
        <f t="shared" si="191"/>
        <v>0</v>
      </c>
      <c r="AM86" s="915">
        <f t="shared" si="192"/>
        <v>0</v>
      </c>
      <c r="AN86" s="915">
        <f t="shared" si="193"/>
        <v>0</v>
      </c>
      <c r="AO86" s="915">
        <f t="shared" si="194"/>
        <v>0</v>
      </c>
      <c r="AP86" s="915">
        <f t="shared" si="195"/>
        <v>0</v>
      </c>
      <c r="AQ86" s="915">
        <f t="shared" si="196"/>
        <v>0</v>
      </c>
      <c r="AR86" s="915">
        <f t="shared" si="197"/>
        <v>0</v>
      </c>
      <c r="AS86" s="915">
        <f t="shared" si="198"/>
        <v>0</v>
      </c>
      <c r="AT86" s="915">
        <f t="shared" si="199"/>
        <v>0</v>
      </c>
      <c r="AU86" s="915">
        <f t="shared" si="200"/>
        <v>0</v>
      </c>
      <c r="AV86" s="915">
        <f t="shared" si="201"/>
        <v>0</v>
      </c>
      <c r="AW86" s="915">
        <f t="shared" si="202"/>
        <v>0</v>
      </c>
      <c r="AX86" s="915">
        <f t="shared" si="203"/>
        <v>0</v>
      </c>
      <c r="AY86" s="915">
        <f t="shared" si="204"/>
        <v>0</v>
      </c>
      <c r="AZ86" s="915">
        <f t="shared" si="205"/>
        <v>0</v>
      </c>
      <c r="BA86" s="915">
        <f t="shared" si="206"/>
        <v>0</v>
      </c>
      <c r="BB86" s="915">
        <f t="shared" si="207"/>
        <v>0</v>
      </c>
      <c r="BC86" s="915">
        <f t="shared" si="208"/>
        <v>0</v>
      </c>
      <c r="BD86" s="915">
        <f t="shared" si="209"/>
        <v>0</v>
      </c>
      <c r="BE86" s="915">
        <f t="shared" si="210"/>
        <v>0</v>
      </c>
      <c r="BF86" s="915">
        <f t="shared" si="211"/>
        <v>0</v>
      </c>
      <c r="BG86" s="915">
        <f t="shared" si="212"/>
        <v>0</v>
      </c>
      <c r="BH86" s="915">
        <f t="shared" si="213"/>
        <v>0</v>
      </c>
      <c r="BI86" s="915">
        <f t="shared" si="214"/>
        <v>0</v>
      </c>
      <c r="BJ86" s="915">
        <f t="shared" si="215"/>
        <v>0</v>
      </c>
      <c r="BK86" s="915">
        <f t="shared" si="216"/>
        <v>0</v>
      </c>
      <c r="BL86" s="915">
        <f t="shared" si="217"/>
        <v>0</v>
      </c>
      <c r="BM86" s="915">
        <f t="shared" si="218"/>
        <v>0</v>
      </c>
      <c r="BN86" s="915">
        <f t="shared" si="219"/>
        <v>0</v>
      </c>
      <c r="BO86" s="915">
        <f t="shared" si="220"/>
        <v>0</v>
      </c>
      <c r="BP86" s="915">
        <f t="shared" si="221"/>
        <v>0</v>
      </c>
      <c r="BQ86" s="915">
        <f t="shared" si="222"/>
        <v>0</v>
      </c>
      <c r="BR86" s="915">
        <f t="shared" si="223"/>
        <v>0</v>
      </c>
      <c r="BS86" s="915">
        <f t="shared" si="344"/>
        <v>0</v>
      </c>
      <c r="BT86" s="915">
        <f t="shared" si="345"/>
        <v>0</v>
      </c>
      <c r="BU86" s="915">
        <f t="shared" si="346"/>
        <v>0</v>
      </c>
      <c r="BV86" s="915">
        <f t="shared" si="347"/>
        <v>0</v>
      </c>
      <c r="BW86" s="915">
        <f t="shared" si="348"/>
        <v>0</v>
      </c>
      <c r="BX86" s="915">
        <f t="shared" si="349"/>
        <v>0</v>
      </c>
      <c r="BY86" s="915">
        <f t="shared" si="350"/>
        <v>0</v>
      </c>
      <c r="BZ86" s="915">
        <f t="shared" si="351"/>
        <v>0</v>
      </c>
      <c r="CA86" s="915">
        <f t="shared" si="232"/>
        <v>0</v>
      </c>
      <c r="CB86" s="915">
        <f t="shared" si="233"/>
        <v>0</v>
      </c>
      <c r="CC86" s="915">
        <f t="shared" si="234"/>
        <v>0</v>
      </c>
      <c r="CD86" s="915">
        <f t="shared" si="235"/>
        <v>0</v>
      </c>
      <c r="CE86" s="915">
        <f t="shared" si="236"/>
        <v>0</v>
      </c>
      <c r="CF86" s="915">
        <f t="shared" si="237"/>
        <v>0</v>
      </c>
      <c r="CG86" s="915">
        <f t="shared" si="238"/>
        <v>0</v>
      </c>
      <c r="CH86" s="915">
        <f t="shared" si="239"/>
        <v>0</v>
      </c>
      <c r="CI86" s="915">
        <f t="shared" si="336"/>
        <v>0</v>
      </c>
      <c r="CJ86" s="915">
        <f t="shared" si="337"/>
        <v>0</v>
      </c>
      <c r="CK86" s="915">
        <f t="shared" si="338"/>
        <v>0</v>
      </c>
      <c r="CL86" s="915">
        <f t="shared" si="339"/>
        <v>0</v>
      </c>
      <c r="CM86" s="915">
        <f t="shared" si="340"/>
        <v>0</v>
      </c>
      <c r="CN86" s="915">
        <f t="shared" si="341"/>
        <v>0</v>
      </c>
      <c r="CO86" s="915">
        <f t="shared" si="342"/>
        <v>0</v>
      </c>
      <c r="CP86" s="915">
        <f t="shared" si="343"/>
        <v>0</v>
      </c>
      <c r="CQ86" s="915">
        <f t="shared" si="248"/>
        <v>0</v>
      </c>
      <c r="CR86" s="915">
        <f t="shared" si="249"/>
        <v>0</v>
      </c>
      <c r="CS86" s="915">
        <f t="shared" si="250"/>
        <v>0</v>
      </c>
      <c r="CT86" s="915">
        <f t="shared" si="251"/>
        <v>0</v>
      </c>
      <c r="CU86" s="915">
        <f t="shared" si="252"/>
        <v>0</v>
      </c>
      <c r="CV86" s="915">
        <f t="shared" si="253"/>
        <v>0</v>
      </c>
      <c r="CW86" s="915">
        <f t="shared" si="254"/>
        <v>7.42</v>
      </c>
      <c r="CX86" s="915">
        <f t="shared" si="255"/>
        <v>0</v>
      </c>
      <c r="CY86" s="915">
        <f t="shared" si="256"/>
        <v>0</v>
      </c>
      <c r="CZ86" s="915">
        <f t="shared" si="257"/>
        <v>0</v>
      </c>
      <c r="DA86" s="915">
        <f t="shared" si="258"/>
        <v>0</v>
      </c>
      <c r="DB86" s="915">
        <f t="shared" si="259"/>
        <v>0</v>
      </c>
      <c r="DC86" s="915">
        <f t="shared" si="260"/>
        <v>0</v>
      </c>
      <c r="DD86" s="915">
        <f t="shared" si="261"/>
        <v>0</v>
      </c>
      <c r="DE86" s="915">
        <f t="shared" si="262"/>
        <v>0</v>
      </c>
      <c r="DF86" s="915">
        <f t="shared" si="263"/>
        <v>0</v>
      </c>
      <c r="DG86" s="915">
        <f t="shared" si="264"/>
        <v>0</v>
      </c>
      <c r="DH86" s="915">
        <f t="shared" si="265"/>
        <v>0</v>
      </c>
      <c r="DI86" s="915">
        <f t="shared" si="266"/>
        <v>0</v>
      </c>
      <c r="DJ86" s="915">
        <f t="shared" si="267"/>
        <v>0</v>
      </c>
      <c r="DK86" s="915">
        <f t="shared" si="268"/>
        <v>0</v>
      </c>
      <c r="DL86" s="915">
        <f t="shared" si="269"/>
        <v>0</v>
      </c>
      <c r="DM86" s="915">
        <f t="shared" si="270"/>
        <v>0</v>
      </c>
      <c r="DN86" s="915">
        <f t="shared" si="271"/>
        <v>0</v>
      </c>
      <c r="DO86" s="915">
        <f t="shared" si="272"/>
        <v>0</v>
      </c>
      <c r="DP86" s="915">
        <f t="shared" si="273"/>
        <v>0</v>
      </c>
      <c r="DQ86" s="915">
        <f t="shared" si="274"/>
        <v>0</v>
      </c>
      <c r="DR86" s="915">
        <f t="shared" si="275"/>
        <v>0</v>
      </c>
      <c r="DS86" s="915">
        <f t="shared" si="276"/>
        <v>0</v>
      </c>
      <c r="DT86" s="915">
        <f t="shared" si="277"/>
        <v>0</v>
      </c>
      <c r="DU86" s="915">
        <f t="shared" si="278"/>
        <v>0</v>
      </c>
      <c r="DV86" s="915">
        <f t="shared" si="279"/>
        <v>0</v>
      </c>
      <c r="DW86" s="915">
        <f t="shared" si="280"/>
        <v>0</v>
      </c>
      <c r="DX86" s="915">
        <f t="shared" si="281"/>
        <v>0</v>
      </c>
      <c r="DY86" s="915">
        <f t="shared" si="282"/>
        <v>0</v>
      </c>
      <c r="DZ86" s="915">
        <f t="shared" si="283"/>
        <v>0</v>
      </c>
      <c r="EA86" s="915">
        <f t="shared" si="284"/>
        <v>0</v>
      </c>
      <c r="EB86" s="915">
        <f t="shared" si="285"/>
        <v>0</v>
      </c>
      <c r="EC86" s="915">
        <f t="shared" si="286"/>
        <v>0</v>
      </c>
      <c r="ED86" s="915">
        <f t="shared" si="287"/>
        <v>0</v>
      </c>
      <c r="EE86" s="915">
        <f t="shared" si="288"/>
        <v>0</v>
      </c>
      <c r="EF86" s="915">
        <f t="shared" si="289"/>
        <v>0</v>
      </c>
      <c r="EG86" s="915">
        <f t="shared" si="290"/>
        <v>0</v>
      </c>
      <c r="EH86" s="915">
        <f t="shared" si="291"/>
        <v>0</v>
      </c>
      <c r="EI86" s="915">
        <f t="shared" si="292"/>
        <v>0</v>
      </c>
      <c r="EJ86" s="915">
        <f t="shared" si="293"/>
        <v>0</v>
      </c>
      <c r="EK86" s="915">
        <f t="shared" si="294"/>
        <v>0</v>
      </c>
      <c r="EL86" s="915">
        <f t="shared" si="295"/>
        <v>0</v>
      </c>
      <c r="EM86" s="915">
        <f t="shared" si="296"/>
        <v>0</v>
      </c>
      <c r="EN86" s="915">
        <f t="shared" si="297"/>
        <v>0</v>
      </c>
      <c r="EO86" s="915">
        <f t="shared" si="298"/>
        <v>0</v>
      </c>
      <c r="EP86" s="915">
        <f t="shared" si="299"/>
        <v>0</v>
      </c>
      <c r="EQ86" s="915">
        <f t="shared" si="300"/>
        <v>0</v>
      </c>
      <c r="ER86" s="915">
        <f t="shared" si="301"/>
        <v>0</v>
      </c>
      <c r="ES86" s="915">
        <f t="shared" si="302"/>
        <v>0</v>
      </c>
      <c r="ET86" s="915">
        <f t="shared" si="303"/>
        <v>0</v>
      </c>
      <c r="EU86" s="915">
        <f t="shared" si="304"/>
        <v>0</v>
      </c>
      <c r="EV86" s="915">
        <f t="shared" si="305"/>
        <v>0</v>
      </c>
      <c r="EW86" s="915">
        <f t="shared" si="306"/>
        <v>0</v>
      </c>
      <c r="EX86" s="915">
        <f t="shared" si="307"/>
        <v>0</v>
      </c>
      <c r="EY86" s="915">
        <f t="shared" si="308"/>
        <v>0</v>
      </c>
      <c r="EZ86" s="915">
        <f t="shared" si="309"/>
        <v>0</v>
      </c>
      <c r="FA86" s="915">
        <f t="shared" si="310"/>
        <v>0</v>
      </c>
      <c r="FB86" s="915">
        <f t="shared" si="311"/>
        <v>0</v>
      </c>
      <c r="FC86" s="915">
        <f t="shared" si="312"/>
        <v>0</v>
      </c>
      <c r="FD86" s="915">
        <f t="shared" si="313"/>
        <v>0</v>
      </c>
      <c r="FE86" s="915">
        <f t="shared" si="314"/>
        <v>0</v>
      </c>
      <c r="FF86" s="915">
        <f t="shared" si="315"/>
        <v>0</v>
      </c>
      <c r="FG86" s="915">
        <f t="shared" si="316"/>
        <v>0</v>
      </c>
      <c r="FH86" s="915">
        <f t="shared" si="317"/>
        <v>0</v>
      </c>
      <c r="FI86" s="915">
        <f t="shared" si="318"/>
        <v>0</v>
      </c>
      <c r="FJ86" s="915">
        <f t="shared" si="319"/>
        <v>0</v>
      </c>
      <c r="FK86" s="915">
        <f t="shared" si="320"/>
        <v>0</v>
      </c>
      <c r="FL86" s="915">
        <f t="shared" si="321"/>
        <v>0</v>
      </c>
      <c r="FM86" s="915">
        <f t="shared" si="322"/>
        <v>0</v>
      </c>
      <c r="FN86" s="915">
        <f t="shared" si="323"/>
        <v>0</v>
      </c>
      <c r="FO86" s="915">
        <f t="shared" si="324"/>
        <v>0</v>
      </c>
      <c r="FP86" s="915">
        <f t="shared" si="325"/>
        <v>0</v>
      </c>
      <c r="FQ86" s="915">
        <f t="shared" si="326"/>
        <v>0</v>
      </c>
      <c r="FR86" s="915">
        <f t="shared" si="327"/>
        <v>0</v>
      </c>
      <c r="FS86" s="915">
        <f t="shared" si="328"/>
        <v>0</v>
      </c>
      <c r="FT86" s="915">
        <f t="shared" si="329"/>
        <v>0</v>
      </c>
      <c r="FU86" s="915">
        <f t="shared" si="330"/>
        <v>0</v>
      </c>
      <c r="FV86" s="915">
        <f t="shared" si="331"/>
        <v>0</v>
      </c>
      <c r="FW86" s="915">
        <f t="shared" si="332"/>
        <v>0</v>
      </c>
      <c r="FX86" s="915">
        <f t="shared" si="333"/>
        <v>0</v>
      </c>
      <c r="FY86" s="915">
        <f t="shared" si="334"/>
        <v>0</v>
      </c>
      <c r="FZ86" s="915">
        <f t="shared" si="335"/>
        <v>0</v>
      </c>
    </row>
    <row r="87" spans="1:182" x14ac:dyDescent="0.2">
      <c r="A87" s="497">
        <v>80</v>
      </c>
      <c r="B87" s="1423"/>
      <c r="C87" s="1424"/>
      <c r="D87" s="138">
        <v>10</v>
      </c>
      <c r="E87" s="138" t="s">
        <v>27</v>
      </c>
      <c r="F87" s="139" t="s">
        <v>2544</v>
      </c>
      <c r="G87" s="139" t="s">
        <v>2542</v>
      </c>
      <c r="H87" s="100">
        <v>7</v>
      </c>
      <c r="I87" s="119">
        <f t="shared" si="174"/>
        <v>0.42</v>
      </c>
      <c r="J87" s="90">
        <f t="shared" si="175"/>
        <v>7.42</v>
      </c>
      <c r="K87" s="225"/>
      <c r="N87" s="942">
        <f>CX6</f>
        <v>7.42</v>
      </c>
      <c r="O87" s="879" t="str">
        <f>"Contractor Labor for " &amp; tabname10</f>
        <v>Contractor Labor for Phase 10</v>
      </c>
      <c r="P87" s="950" t="s">
        <v>560</v>
      </c>
      <c r="W87" s="915">
        <f t="shared" si="176"/>
        <v>0</v>
      </c>
      <c r="X87" s="915">
        <f t="shared" si="177"/>
        <v>0</v>
      </c>
      <c r="Y87" s="915">
        <f t="shared" si="178"/>
        <v>0</v>
      </c>
      <c r="Z87" s="915">
        <f t="shared" si="179"/>
        <v>0</v>
      </c>
      <c r="AA87" s="915">
        <f t="shared" si="180"/>
        <v>0</v>
      </c>
      <c r="AB87" s="915">
        <f t="shared" si="181"/>
        <v>0</v>
      </c>
      <c r="AC87" s="915">
        <f t="shared" si="182"/>
        <v>0</v>
      </c>
      <c r="AD87" s="915">
        <f t="shared" si="183"/>
        <v>0</v>
      </c>
      <c r="AE87" s="915">
        <f t="shared" si="184"/>
        <v>0</v>
      </c>
      <c r="AF87" s="915">
        <f t="shared" si="185"/>
        <v>0</v>
      </c>
      <c r="AG87" s="915">
        <f t="shared" si="186"/>
        <v>0</v>
      </c>
      <c r="AH87" s="915">
        <f t="shared" si="187"/>
        <v>0</v>
      </c>
      <c r="AI87" s="915">
        <f t="shared" si="188"/>
        <v>0</v>
      </c>
      <c r="AJ87" s="915">
        <f t="shared" si="189"/>
        <v>0</v>
      </c>
      <c r="AK87" s="915">
        <f t="shared" si="190"/>
        <v>0</v>
      </c>
      <c r="AL87" s="915">
        <f t="shared" si="191"/>
        <v>0</v>
      </c>
      <c r="AM87" s="915">
        <f t="shared" si="192"/>
        <v>0</v>
      </c>
      <c r="AN87" s="915">
        <f t="shared" si="193"/>
        <v>0</v>
      </c>
      <c r="AO87" s="915">
        <f t="shared" si="194"/>
        <v>0</v>
      </c>
      <c r="AP87" s="915">
        <f t="shared" si="195"/>
        <v>0</v>
      </c>
      <c r="AQ87" s="915">
        <f t="shared" si="196"/>
        <v>0</v>
      </c>
      <c r="AR87" s="915">
        <f t="shared" si="197"/>
        <v>0</v>
      </c>
      <c r="AS87" s="915">
        <f t="shared" si="198"/>
        <v>0</v>
      </c>
      <c r="AT87" s="915">
        <f t="shared" si="199"/>
        <v>0</v>
      </c>
      <c r="AU87" s="915">
        <f t="shared" si="200"/>
        <v>0</v>
      </c>
      <c r="AV87" s="915">
        <f t="shared" si="201"/>
        <v>0</v>
      </c>
      <c r="AW87" s="915">
        <f t="shared" si="202"/>
        <v>0</v>
      </c>
      <c r="AX87" s="915">
        <f t="shared" si="203"/>
        <v>0</v>
      </c>
      <c r="AY87" s="915">
        <f t="shared" si="204"/>
        <v>0</v>
      </c>
      <c r="AZ87" s="915">
        <f t="shared" si="205"/>
        <v>0</v>
      </c>
      <c r="BA87" s="915">
        <f t="shared" si="206"/>
        <v>0</v>
      </c>
      <c r="BB87" s="915">
        <f t="shared" si="207"/>
        <v>0</v>
      </c>
      <c r="BC87" s="915">
        <f t="shared" si="208"/>
        <v>0</v>
      </c>
      <c r="BD87" s="915">
        <f t="shared" si="209"/>
        <v>0</v>
      </c>
      <c r="BE87" s="915">
        <f t="shared" si="210"/>
        <v>0</v>
      </c>
      <c r="BF87" s="915">
        <f t="shared" si="211"/>
        <v>0</v>
      </c>
      <c r="BG87" s="915">
        <f t="shared" si="212"/>
        <v>0</v>
      </c>
      <c r="BH87" s="915">
        <f t="shared" si="213"/>
        <v>0</v>
      </c>
      <c r="BI87" s="915">
        <f t="shared" si="214"/>
        <v>0</v>
      </c>
      <c r="BJ87" s="915">
        <f t="shared" si="215"/>
        <v>0</v>
      </c>
      <c r="BK87" s="915">
        <f t="shared" si="216"/>
        <v>0</v>
      </c>
      <c r="BL87" s="915">
        <f t="shared" si="217"/>
        <v>0</v>
      </c>
      <c r="BM87" s="915">
        <f t="shared" si="218"/>
        <v>0</v>
      </c>
      <c r="BN87" s="915">
        <f t="shared" si="219"/>
        <v>0</v>
      </c>
      <c r="BO87" s="915">
        <f t="shared" si="220"/>
        <v>0</v>
      </c>
      <c r="BP87" s="915">
        <f t="shared" si="221"/>
        <v>0</v>
      </c>
      <c r="BQ87" s="915">
        <f t="shared" si="222"/>
        <v>0</v>
      </c>
      <c r="BR87" s="915">
        <f t="shared" si="223"/>
        <v>0</v>
      </c>
      <c r="BS87" s="915">
        <f t="shared" si="344"/>
        <v>0</v>
      </c>
      <c r="BT87" s="915">
        <f t="shared" si="345"/>
        <v>0</v>
      </c>
      <c r="BU87" s="915">
        <f t="shared" si="346"/>
        <v>0</v>
      </c>
      <c r="BV87" s="915">
        <f t="shared" si="347"/>
        <v>0</v>
      </c>
      <c r="BW87" s="915">
        <f t="shared" si="348"/>
        <v>0</v>
      </c>
      <c r="BX87" s="915">
        <f t="shared" si="349"/>
        <v>0</v>
      </c>
      <c r="BY87" s="915">
        <f t="shared" si="350"/>
        <v>0</v>
      </c>
      <c r="BZ87" s="915">
        <f t="shared" si="351"/>
        <v>0</v>
      </c>
      <c r="CA87" s="915">
        <f t="shared" si="232"/>
        <v>0</v>
      </c>
      <c r="CB87" s="915">
        <f t="shared" si="233"/>
        <v>0</v>
      </c>
      <c r="CC87" s="915">
        <f t="shared" si="234"/>
        <v>0</v>
      </c>
      <c r="CD87" s="915">
        <f t="shared" si="235"/>
        <v>0</v>
      </c>
      <c r="CE87" s="915">
        <f t="shared" si="236"/>
        <v>0</v>
      </c>
      <c r="CF87" s="915">
        <f t="shared" si="237"/>
        <v>0</v>
      </c>
      <c r="CG87" s="915">
        <f t="shared" si="238"/>
        <v>0</v>
      </c>
      <c r="CH87" s="915">
        <f t="shared" si="239"/>
        <v>0</v>
      </c>
      <c r="CI87" s="915">
        <f t="shared" si="336"/>
        <v>0</v>
      </c>
      <c r="CJ87" s="915">
        <f t="shared" si="337"/>
        <v>0</v>
      </c>
      <c r="CK87" s="915">
        <f t="shared" si="338"/>
        <v>0</v>
      </c>
      <c r="CL87" s="915">
        <f t="shared" si="339"/>
        <v>0</v>
      </c>
      <c r="CM87" s="915">
        <f t="shared" si="340"/>
        <v>0</v>
      </c>
      <c r="CN87" s="915">
        <f t="shared" si="341"/>
        <v>0</v>
      </c>
      <c r="CO87" s="915">
        <f t="shared" si="342"/>
        <v>0</v>
      </c>
      <c r="CP87" s="915">
        <f t="shared" si="343"/>
        <v>0</v>
      </c>
      <c r="CQ87" s="915">
        <f t="shared" si="248"/>
        <v>0</v>
      </c>
      <c r="CR87" s="915">
        <f t="shared" si="249"/>
        <v>0</v>
      </c>
      <c r="CS87" s="915">
        <f t="shared" si="250"/>
        <v>0</v>
      </c>
      <c r="CT87" s="915">
        <f t="shared" si="251"/>
        <v>0</v>
      </c>
      <c r="CU87" s="915">
        <f t="shared" si="252"/>
        <v>0</v>
      </c>
      <c r="CV87" s="915">
        <f t="shared" si="253"/>
        <v>0</v>
      </c>
      <c r="CW87" s="915">
        <f t="shared" si="254"/>
        <v>0</v>
      </c>
      <c r="CX87" s="915">
        <f t="shared" si="255"/>
        <v>7.42</v>
      </c>
      <c r="CY87" s="915">
        <f t="shared" si="256"/>
        <v>0</v>
      </c>
      <c r="CZ87" s="915">
        <f t="shared" si="257"/>
        <v>0</v>
      </c>
      <c r="DA87" s="915">
        <f t="shared" si="258"/>
        <v>0</v>
      </c>
      <c r="DB87" s="915">
        <f t="shared" si="259"/>
        <v>0</v>
      </c>
      <c r="DC87" s="915">
        <f t="shared" si="260"/>
        <v>0</v>
      </c>
      <c r="DD87" s="915">
        <f t="shared" si="261"/>
        <v>0</v>
      </c>
      <c r="DE87" s="915">
        <f t="shared" si="262"/>
        <v>0</v>
      </c>
      <c r="DF87" s="915">
        <f t="shared" si="263"/>
        <v>0</v>
      </c>
      <c r="DG87" s="915">
        <f t="shared" si="264"/>
        <v>0</v>
      </c>
      <c r="DH87" s="915">
        <f t="shared" si="265"/>
        <v>0</v>
      </c>
      <c r="DI87" s="915">
        <f t="shared" si="266"/>
        <v>0</v>
      </c>
      <c r="DJ87" s="915">
        <f t="shared" si="267"/>
        <v>0</v>
      </c>
      <c r="DK87" s="915">
        <f t="shared" si="268"/>
        <v>0</v>
      </c>
      <c r="DL87" s="915">
        <f t="shared" si="269"/>
        <v>0</v>
      </c>
      <c r="DM87" s="915">
        <f t="shared" si="270"/>
        <v>0</v>
      </c>
      <c r="DN87" s="915">
        <f t="shared" si="271"/>
        <v>0</v>
      </c>
      <c r="DO87" s="915">
        <f t="shared" si="272"/>
        <v>0</v>
      </c>
      <c r="DP87" s="915">
        <f t="shared" si="273"/>
        <v>0</v>
      </c>
      <c r="DQ87" s="915">
        <f t="shared" si="274"/>
        <v>0</v>
      </c>
      <c r="DR87" s="915">
        <f t="shared" si="275"/>
        <v>0</v>
      </c>
      <c r="DS87" s="915">
        <f t="shared" si="276"/>
        <v>0</v>
      </c>
      <c r="DT87" s="915">
        <f t="shared" si="277"/>
        <v>0</v>
      </c>
      <c r="DU87" s="915">
        <f t="shared" si="278"/>
        <v>0</v>
      </c>
      <c r="DV87" s="915">
        <f t="shared" si="279"/>
        <v>0</v>
      </c>
      <c r="DW87" s="915">
        <f t="shared" si="280"/>
        <v>0</v>
      </c>
      <c r="DX87" s="915">
        <f t="shared" si="281"/>
        <v>0</v>
      </c>
      <c r="DY87" s="915">
        <f t="shared" si="282"/>
        <v>0</v>
      </c>
      <c r="DZ87" s="915">
        <f t="shared" si="283"/>
        <v>0</v>
      </c>
      <c r="EA87" s="915">
        <f t="shared" si="284"/>
        <v>0</v>
      </c>
      <c r="EB87" s="915">
        <f t="shared" si="285"/>
        <v>0</v>
      </c>
      <c r="EC87" s="915">
        <f t="shared" si="286"/>
        <v>0</v>
      </c>
      <c r="ED87" s="915">
        <f t="shared" si="287"/>
        <v>0</v>
      </c>
      <c r="EE87" s="915">
        <f t="shared" si="288"/>
        <v>0</v>
      </c>
      <c r="EF87" s="915">
        <f t="shared" si="289"/>
        <v>0</v>
      </c>
      <c r="EG87" s="915">
        <f t="shared" si="290"/>
        <v>0</v>
      </c>
      <c r="EH87" s="915">
        <f t="shared" si="291"/>
        <v>0</v>
      </c>
      <c r="EI87" s="915">
        <f t="shared" si="292"/>
        <v>0</v>
      </c>
      <c r="EJ87" s="915">
        <f t="shared" si="293"/>
        <v>0</v>
      </c>
      <c r="EK87" s="915">
        <f t="shared" si="294"/>
        <v>0</v>
      </c>
      <c r="EL87" s="915">
        <f t="shared" si="295"/>
        <v>0</v>
      </c>
      <c r="EM87" s="915">
        <f t="shared" si="296"/>
        <v>0</v>
      </c>
      <c r="EN87" s="915">
        <f t="shared" si="297"/>
        <v>0</v>
      </c>
      <c r="EO87" s="915">
        <f t="shared" si="298"/>
        <v>0</v>
      </c>
      <c r="EP87" s="915">
        <f t="shared" si="299"/>
        <v>0</v>
      </c>
      <c r="EQ87" s="915">
        <f t="shared" si="300"/>
        <v>0</v>
      </c>
      <c r="ER87" s="915">
        <f t="shared" si="301"/>
        <v>0</v>
      </c>
      <c r="ES87" s="915">
        <f t="shared" si="302"/>
        <v>0</v>
      </c>
      <c r="ET87" s="915">
        <f t="shared" si="303"/>
        <v>0</v>
      </c>
      <c r="EU87" s="915">
        <f t="shared" si="304"/>
        <v>0</v>
      </c>
      <c r="EV87" s="915">
        <f t="shared" si="305"/>
        <v>0</v>
      </c>
      <c r="EW87" s="915">
        <f t="shared" si="306"/>
        <v>0</v>
      </c>
      <c r="EX87" s="915">
        <f t="shared" si="307"/>
        <v>0</v>
      </c>
      <c r="EY87" s="915">
        <f t="shared" si="308"/>
        <v>0</v>
      </c>
      <c r="EZ87" s="915">
        <f t="shared" si="309"/>
        <v>0</v>
      </c>
      <c r="FA87" s="915">
        <f t="shared" si="310"/>
        <v>0</v>
      </c>
      <c r="FB87" s="915">
        <f t="shared" si="311"/>
        <v>0</v>
      </c>
      <c r="FC87" s="915">
        <f t="shared" si="312"/>
        <v>0</v>
      </c>
      <c r="FD87" s="915">
        <f t="shared" si="313"/>
        <v>0</v>
      </c>
      <c r="FE87" s="915">
        <f t="shared" si="314"/>
        <v>0</v>
      </c>
      <c r="FF87" s="915">
        <f t="shared" si="315"/>
        <v>0</v>
      </c>
      <c r="FG87" s="915">
        <f t="shared" si="316"/>
        <v>0</v>
      </c>
      <c r="FH87" s="915">
        <f t="shared" si="317"/>
        <v>0</v>
      </c>
      <c r="FI87" s="915">
        <f t="shared" si="318"/>
        <v>0</v>
      </c>
      <c r="FJ87" s="915">
        <f t="shared" si="319"/>
        <v>0</v>
      </c>
      <c r="FK87" s="915">
        <f t="shared" si="320"/>
        <v>0</v>
      </c>
      <c r="FL87" s="915">
        <f t="shared" si="321"/>
        <v>0</v>
      </c>
      <c r="FM87" s="915">
        <f t="shared" si="322"/>
        <v>0</v>
      </c>
      <c r="FN87" s="915">
        <f t="shared" si="323"/>
        <v>0</v>
      </c>
      <c r="FO87" s="915">
        <f t="shared" si="324"/>
        <v>0</v>
      </c>
      <c r="FP87" s="915">
        <f t="shared" si="325"/>
        <v>0</v>
      </c>
      <c r="FQ87" s="915">
        <f t="shared" si="326"/>
        <v>0</v>
      </c>
      <c r="FR87" s="915">
        <f t="shared" si="327"/>
        <v>0</v>
      </c>
      <c r="FS87" s="915">
        <f t="shared" si="328"/>
        <v>0</v>
      </c>
      <c r="FT87" s="915">
        <f t="shared" si="329"/>
        <v>0</v>
      </c>
      <c r="FU87" s="915">
        <f t="shared" si="330"/>
        <v>0</v>
      </c>
      <c r="FV87" s="915">
        <f t="shared" si="331"/>
        <v>0</v>
      </c>
      <c r="FW87" s="915">
        <f t="shared" si="332"/>
        <v>0</v>
      </c>
      <c r="FX87" s="915">
        <f t="shared" si="333"/>
        <v>0</v>
      </c>
      <c r="FY87" s="915">
        <f t="shared" si="334"/>
        <v>0</v>
      </c>
      <c r="FZ87" s="915">
        <f t="shared" si="335"/>
        <v>0</v>
      </c>
    </row>
    <row r="88" spans="1:182" x14ac:dyDescent="0.2">
      <c r="A88" s="496">
        <v>81</v>
      </c>
      <c r="B88" s="1419"/>
      <c r="C88" s="1433"/>
      <c r="D88" s="264">
        <v>11</v>
      </c>
      <c r="E88" s="264" t="s">
        <v>193</v>
      </c>
      <c r="F88" s="270" t="s">
        <v>2544</v>
      </c>
      <c r="G88" s="270" t="s">
        <v>2542</v>
      </c>
      <c r="H88" s="272">
        <v>7</v>
      </c>
      <c r="I88" s="268">
        <f t="shared" si="174"/>
        <v>0.42</v>
      </c>
      <c r="J88" s="269">
        <f t="shared" si="175"/>
        <v>7.42</v>
      </c>
      <c r="K88" s="225"/>
      <c r="N88" s="951">
        <f>CY6</f>
        <v>7.42</v>
      </c>
      <c r="O88" s="879" t="str">
        <f>"Boring/Monitoring Wells for "&amp;TabName11</f>
        <v>Boring/Monitoring Wells for Phase 11</v>
      </c>
      <c r="P88" s="949" t="s">
        <v>2118</v>
      </c>
      <c r="W88" s="915">
        <f t="shared" si="176"/>
        <v>0</v>
      </c>
      <c r="X88" s="915">
        <f t="shared" si="177"/>
        <v>0</v>
      </c>
      <c r="Y88" s="915">
        <f t="shared" si="178"/>
        <v>0</v>
      </c>
      <c r="Z88" s="915">
        <f t="shared" si="179"/>
        <v>0</v>
      </c>
      <c r="AA88" s="915">
        <f t="shared" si="180"/>
        <v>0</v>
      </c>
      <c r="AB88" s="915">
        <f t="shared" si="181"/>
        <v>0</v>
      </c>
      <c r="AC88" s="915">
        <f t="shared" si="182"/>
        <v>0</v>
      </c>
      <c r="AD88" s="915">
        <f t="shared" si="183"/>
        <v>0</v>
      </c>
      <c r="AE88" s="915">
        <f t="shared" si="184"/>
        <v>0</v>
      </c>
      <c r="AF88" s="915">
        <f t="shared" si="185"/>
        <v>0</v>
      </c>
      <c r="AG88" s="915">
        <f t="shared" si="186"/>
        <v>0</v>
      </c>
      <c r="AH88" s="915">
        <f t="shared" si="187"/>
        <v>0</v>
      </c>
      <c r="AI88" s="915">
        <f t="shared" si="188"/>
        <v>0</v>
      </c>
      <c r="AJ88" s="915">
        <f t="shared" si="189"/>
        <v>0</v>
      </c>
      <c r="AK88" s="915">
        <f t="shared" si="190"/>
        <v>0</v>
      </c>
      <c r="AL88" s="915">
        <f t="shared" si="191"/>
        <v>0</v>
      </c>
      <c r="AM88" s="915">
        <f t="shared" si="192"/>
        <v>0</v>
      </c>
      <c r="AN88" s="915">
        <f t="shared" si="193"/>
        <v>0</v>
      </c>
      <c r="AO88" s="915">
        <f t="shared" si="194"/>
        <v>0</v>
      </c>
      <c r="AP88" s="915">
        <f t="shared" si="195"/>
        <v>0</v>
      </c>
      <c r="AQ88" s="915">
        <f t="shared" si="196"/>
        <v>0</v>
      </c>
      <c r="AR88" s="915">
        <f t="shared" si="197"/>
        <v>0</v>
      </c>
      <c r="AS88" s="915">
        <f t="shared" si="198"/>
        <v>0</v>
      </c>
      <c r="AT88" s="915">
        <f t="shared" si="199"/>
        <v>0</v>
      </c>
      <c r="AU88" s="915">
        <f t="shared" si="200"/>
        <v>0</v>
      </c>
      <c r="AV88" s="915">
        <f t="shared" si="201"/>
        <v>0</v>
      </c>
      <c r="AW88" s="915">
        <f t="shared" si="202"/>
        <v>0</v>
      </c>
      <c r="AX88" s="915">
        <f t="shared" si="203"/>
        <v>0</v>
      </c>
      <c r="AY88" s="915">
        <f t="shared" si="204"/>
        <v>0</v>
      </c>
      <c r="AZ88" s="915">
        <f t="shared" si="205"/>
        <v>0</v>
      </c>
      <c r="BA88" s="915">
        <f t="shared" si="206"/>
        <v>0</v>
      </c>
      <c r="BB88" s="915">
        <f t="shared" si="207"/>
        <v>0</v>
      </c>
      <c r="BC88" s="915">
        <f t="shared" si="208"/>
        <v>0</v>
      </c>
      <c r="BD88" s="915">
        <f t="shared" si="209"/>
        <v>0</v>
      </c>
      <c r="BE88" s="915">
        <f t="shared" si="210"/>
        <v>0</v>
      </c>
      <c r="BF88" s="915">
        <f t="shared" si="211"/>
        <v>0</v>
      </c>
      <c r="BG88" s="915">
        <f t="shared" si="212"/>
        <v>0</v>
      </c>
      <c r="BH88" s="915">
        <f t="shared" si="213"/>
        <v>0</v>
      </c>
      <c r="BI88" s="915">
        <f t="shared" si="214"/>
        <v>0</v>
      </c>
      <c r="BJ88" s="915">
        <f t="shared" si="215"/>
        <v>0</v>
      </c>
      <c r="BK88" s="915">
        <f t="shared" si="216"/>
        <v>0</v>
      </c>
      <c r="BL88" s="915">
        <f t="shared" si="217"/>
        <v>0</v>
      </c>
      <c r="BM88" s="915">
        <f t="shared" si="218"/>
        <v>0</v>
      </c>
      <c r="BN88" s="915">
        <f t="shared" si="219"/>
        <v>0</v>
      </c>
      <c r="BO88" s="915">
        <f t="shared" si="220"/>
        <v>0</v>
      </c>
      <c r="BP88" s="915">
        <f t="shared" si="221"/>
        <v>0</v>
      </c>
      <c r="BQ88" s="915">
        <f t="shared" si="222"/>
        <v>0</v>
      </c>
      <c r="BR88" s="915">
        <f t="shared" si="223"/>
        <v>0</v>
      </c>
      <c r="BS88" s="915">
        <f t="shared" si="344"/>
        <v>0</v>
      </c>
      <c r="BT88" s="915">
        <f t="shared" si="345"/>
        <v>0</v>
      </c>
      <c r="BU88" s="915">
        <f t="shared" si="346"/>
        <v>0</v>
      </c>
      <c r="BV88" s="915">
        <f t="shared" si="347"/>
        <v>0</v>
      </c>
      <c r="BW88" s="915">
        <f t="shared" si="348"/>
        <v>0</v>
      </c>
      <c r="BX88" s="915">
        <f t="shared" si="349"/>
        <v>0</v>
      </c>
      <c r="BY88" s="915">
        <f t="shared" si="350"/>
        <v>0</v>
      </c>
      <c r="BZ88" s="915">
        <f t="shared" si="351"/>
        <v>0</v>
      </c>
      <c r="CA88" s="915">
        <f t="shared" si="232"/>
        <v>0</v>
      </c>
      <c r="CB88" s="915">
        <f t="shared" si="233"/>
        <v>0</v>
      </c>
      <c r="CC88" s="915">
        <f t="shared" si="234"/>
        <v>0</v>
      </c>
      <c r="CD88" s="915">
        <f t="shared" si="235"/>
        <v>0</v>
      </c>
      <c r="CE88" s="915">
        <f t="shared" si="236"/>
        <v>0</v>
      </c>
      <c r="CF88" s="915">
        <f t="shared" si="237"/>
        <v>0</v>
      </c>
      <c r="CG88" s="915">
        <f t="shared" si="238"/>
        <v>0</v>
      </c>
      <c r="CH88" s="915">
        <f t="shared" si="239"/>
        <v>0</v>
      </c>
      <c r="CI88" s="915">
        <f t="shared" si="336"/>
        <v>0</v>
      </c>
      <c r="CJ88" s="915">
        <f t="shared" si="337"/>
        <v>0</v>
      </c>
      <c r="CK88" s="915">
        <f t="shared" si="338"/>
        <v>0</v>
      </c>
      <c r="CL88" s="915">
        <f t="shared" si="339"/>
        <v>0</v>
      </c>
      <c r="CM88" s="915">
        <f t="shared" si="340"/>
        <v>0</v>
      </c>
      <c r="CN88" s="915">
        <f t="shared" si="341"/>
        <v>0</v>
      </c>
      <c r="CO88" s="915">
        <f t="shared" si="342"/>
        <v>0</v>
      </c>
      <c r="CP88" s="915">
        <f t="shared" si="343"/>
        <v>0</v>
      </c>
      <c r="CQ88" s="915">
        <f t="shared" si="248"/>
        <v>0</v>
      </c>
      <c r="CR88" s="915">
        <f t="shared" si="249"/>
        <v>0</v>
      </c>
      <c r="CS88" s="915">
        <f t="shared" si="250"/>
        <v>0</v>
      </c>
      <c r="CT88" s="915">
        <f t="shared" si="251"/>
        <v>0</v>
      </c>
      <c r="CU88" s="915">
        <f t="shared" si="252"/>
        <v>0</v>
      </c>
      <c r="CV88" s="915">
        <f t="shared" si="253"/>
        <v>0</v>
      </c>
      <c r="CW88" s="915">
        <f t="shared" si="254"/>
        <v>0</v>
      </c>
      <c r="CX88" s="915">
        <f t="shared" si="255"/>
        <v>0</v>
      </c>
      <c r="CY88" s="915">
        <f t="shared" si="256"/>
        <v>7.42</v>
      </c>
      <c r="CZ88" s="915">
        <f t="shared" si="257"/>
        <v>0</v>
      </c>
      <c r="DA88" s="915">
        <f t="shared" si="258"/>
        <v>0</v>
      </c>
      <c r="DB88" s="915">
        <f t="shared" si="259"/>
        <v>0</v>
      </c>
      <c r="DC88" s="915">
        <f t="shared" si="260"/>
        <v>0</v>
      </c>
      <c r="DD88" s="915">
        <f t="shared" si="261"/>
        <v>0</v>
      </c>
      <c r="DE88" s="915">
        <f t="shared" si="262"/>
        <v>0</v>
      </c>
      <c r="DF88" s="915">
        <f t="shared" si="263"/>
        <v>0</v>
      </c>
      <c r="DG88" s="915">
        <f t="shared" si="264"/>
        <v>0</v>
      </c>
      <c r="DH88" s="915">
        <f t="shared" si="265"/>
        <v>0</v>
      </c>
      <c r="DI88" s="915">
        <f t="shared" si="266"/>
        <v>0</v>
      </c>
      <c r="DJ88" s="915">
        <f t="shared" si="267"/>
        <v>0</v>
      </c>
      <c r="DK88" s="915">
        <f t="shared" si="268"/>
        <v>0</v>
      </c>
      <c r="DL88" s="915">
        <f t="shared" si="269"/>
        <v>0</v>
      </c>
      <c r="DM88" s="915">
        <f t="shared" si="270"/>
        <v>0</v>
      </c>
      <c r="DN88" s="915">
        <f t="shared" si="271"/>
        <v>0</v>
      </c>
      <c r="DO88" s="915">
        <f t="shared" si="272"/>
        <v>0</v>
      </c>
      <c r="DP88" s="915">
        <f t="shared" si="273"/>
        <v>0</v>
      </c>
      <c r="DQ88" s="915">
        <f t="shared" si="274"/>
        <v>0</v>
      </c>
      <c r="DR88" s="915">
        <f t="shared" si="275"/>
        <v>0</v>
      </c>
      <c r="DS88" s="915">
        <f t="shared" si="276"/>
        <v>0</v>
      </c>
      <c r="DT88" s="915">
        <f t="shared" si="277"/>
        <v>0</v>
      </c>
      <c r="DU88" s="915">
        <f t="shared" si="278"/>
        <v>0</v>
      </c>
      <c r="DV88" s="915">
        <f t="shared" si="279"/>
        <v>0</v>
      </c>
      <c r="DW88" s="915">
        <f t="shared" si="280"/>
        <v>0</v>
      </c>
      <c r="DX88" s="915">
        <f t="shared" si="281"/>
        <v>0</v>
      </c>
      <c r="DY88" s="915">
        <f t="shared" si="282"/>
        <v>0</v>
      </c>
      <c r="DZ88" s="915">
        <f t="shared" si="283"/>
        <v>0</v>
      </c>
      <c r="EA88" s="915">
        <f t="shared" si="284"/>
        <v>0</v>
      </c>
      <c r="EB88" s="915">
        <f t="shared" si="285"/>
        <v>0</v>
      </c>
      <c r="EC88" s="915">
        <f t="shared" si="286"/>
        <v>0</v>
      </c>
      <c r="ED88" s="915">
        <f t="shared" si="287"/>
        <v>0</v>
      </c>
      <c r="EE88" s="915">
        <f t="shared" si="288"/>
        <v>0</v>
      </c>
      <c r="EF88" s="915">
        <f t="shared" si="289"/>
        <v>0</v>
      </c>
      <c r="EG88" s="915">
        <f t="shared" si="290"/>
        <v>0</v>
      </c>
      <c r="EH88" s="915">
        <f t="shared" si="291"/>
        <v>0</v>
      </c>
      <c r="EI88" s="915">
        <f t="shared" si="292"/>
        <v>0</v>
      </c>
      <c r="EJ88" s="915">
        <f t="shared" si="293"/>
        <v>0</v>
      </c>
      <c r="EK88" s="915">
        <f t="shared" si="294"/>
        <v>0</v>
      </c>
      <c r="EL88" s="915">
        <f t="shared" si="295"/>
        <v>0</v>
      </c>
      <c r="EM88" s="915">
        <f t="shared" si="296"/>
        <v>0</v>
      </c>
      <c r="EN88" s="915">
        <f t="shared" si="297"/>
        <v>0</v>
      </c>
      <c r="EO88" s="915">
        <f t="shared" si="298"/>
        <v>0</v>
      </c>
      <c r="EP88" s="915">
        <f t="shared" si="299"/>
        <v>0</v>
      </c>
      <c r="EQ88" s="915">
        <f t="shared" si="300"/>
        <v>0</v>
      </c>
      <c r="ER88" s="915">
        <f t="shared" si="301"/>
        <v>0</v>
      </c>
      <c r="ES88" s="915">
        <f t="shared" si="302"/>
        <v>0</v>
      </c>
      <c r="ET88" s="915">
        <f t="shared" si="303"/>
        <v>0</v>
      </c>
      <c r="EU88" s="915">
        <f t="shared" si="304"/>
        <v>0</v>
      </c>
      <c r="EV88" s="915">
        <f t="shared" si="305"/>
        <v>0</v>
      </c>
      <c r="EW88" s="915">
        <f t="shared" si="306"/>
        <v>0</v>
      </c>
      <c r="EX88" s="915">
        <f t="shared" si="307"/>
        <v>0</v>
      </c>
      <c r="EY88" s="915">
        <f t="shared" si="308"/>
        <v>0</v>
      </c>
      <c r="EZ88" s="915">
        <f t="shared" si="309"/>
        <v>0</v>
      </c>
      <c r="FA88" s="915">
        <f t="shared" si="310"/>
        <v>0</v>
      </c>
      <c r="FB88" s="915">
        <f t="shared" si="311"/>
        <v>0</v>
      </c>
      <c r="FC88" s="915">
        <f t="shared" si="312"/>
        <v>0</v>
      </c>
      <c r="FD88" s="915">
        <f t="shared" si="313"/>
        <v>0</v>
      </c>
      <c r="FE88" s="915">
        <f t="shared" si="314"/>
        <v>0</v>
      </c>
      <c r="FF88" s="915">
        <f t="shared" si="315"/>
        <v>0</v>
      </c>
      <c r="FG88" s="915">
        <f t="shared" si="316"/>
        <v>0</v>
      </c>
      <c r="FH88" s="915">
        <f t="shared" si="317"/>
        <v>0</v>
      </c>
      <c r="FI88" s="915">
        <f t="shared" si="318"/>
        <v>0</v>
      </c>
      <c r="FJ88" s="915">
        <f t="shared" si="319"/>
        <v>0</v>
      </c>
      <c r="FK88" s="915">
        <f t="shared" si="320"/>
        <v>0</v>
      </c>
      <c r="FL88" s="915">
        <f t="shared" si="321"/>
        <v>0</v>
      </c>
      <c r="FM88" s="915">
        <f t="shared" si="322"/>
        <v>0</v>
      </c>
      <c r="FN88" s="915">
        <f t="shared" si="323"/>
        <v>0</v>
      </c>
      <c r="FO88" s="915">
        <f t="shared" si="324"/>
        <v>0</v>
      </c>
      <c r="FP88" s="915">
        <f t="shared" si="325"/>
        <v>0</v>
      </c>
      <c r="FQ88" s="915">
        <f t="shared" si="326"/>
        <v>0</v>
      </c>
      <c r="FR88" s="915">
        <f t="shared" si="327"/>
        <v>0</v>
      </c>
      <c r="FS88" s="915">
        <f t="shared" si="328"/>
        <v>0</v>
      </c>
      <c r="FT88" s="915">
        <f t="shared" si="329"/>
        <v>0</v>
      </c>
      <c r="FU88" s="915">
        <f t="shared" si="330"/>
        <v>0</v>
      </c>
      <c r="FV88" s="915">
        <f t="shared" si="331"/>
        <v>0</v>
      </c>
      <c r="FW88" s="915">
        <f t="shared" si="332"/>
        <v>0</v>
      </c>
      <c r="FX88" s="915">
        <f t="shared" si="333"/>
        <v>0</v>
      </c>
      <c r="FY88" s="915">
        <f t="shared" si="334"/>
        <v>0</v>
      </c>
      <c r="FZ88" s="915">
        <f t="shared" si="335"/>
        <v>0</v>
      </c>
    </row>
    <row r="89" spans="1:182" x14ac:dyDescent="0.2">
      <c r="A89" s="497">
        <v>82</v>
      </c>
      <c r="B89" s="1423"/>
      <c r="C89" s="1424"/>
      <c r="D89" s="138">
        <v>11</v>
      </c>
      <c r="E89" s="138" t="s">
        <v>26</v>
      </c>
      <c r="F89" s="139" t="s">
        <v>2544</v>
      </c>
      <c r="G89" s="139" t="s">
        <v>2542</v>
      </c>
      <c r="H89" s="100">
        <v>7</v>
      </c>
      <c r="I89" s="119">
        <f t="shared" si="174"/>
        <v>0.42</v>
      </c>
      <c r="J89" s="90">
        <f t="shared" si="175"/>
        <v>7.42</v>
      </c>
      <c r="K89" s="225"/>
      <c r="N89" s="951">
        <f>CZ6</f>
        <v>7.42</v>
      </c>
      <c r="O89" s="879" t="str">
        <f>"Remediation for " &amp;TabName11</f>
        <v>Remediation for Phase 11</v>
      </c>
      <c r="P89" s="950" t="s">
        <v>2119</v>
      </c>
      <c r="W89" s="915">
        <f t="shared" si="176"/>
        <v>0</v>
      </c>
      <c r="X89" s="915">
        <f t="shared" si="177"/>
        <v>0</v>
      </c>
      <c r="Y89" s="915">
        <f t="shared" si="178"/>
        <v>0</v>
      </c>
      <c r="Z89" s="915">
        <f t="shared" si="179"/>
        <v>0</v>
      </c>
      <c r="AA89" s="915">
        <f t="shared" si="180"/>
        <v>0</v>
      </c>
      <c r="AB89" s="915">
        <f t="shared" si="181"/>
        <v>0</v>
      </c>
      <c r="AC89" s="915">
        <f t="shared" si="182"/>
        <v>0</v>
      </c>
      <c r="AD89" s="915">
        <f t="shared" si="183"/>
        <v>0</v>
      </c>
      <c r="AE89" s="915">
        <f t="shared" si="184"/>
        <v>0</v>
      </c>
      <c r="AF89" s="915">
        <f t="shared" si="185"/>
        <v>0</v>
      </c>
      <c r="AG89" s="915">
        <f t="shared" si="186"/>
        <v>0</v>
      </c>
      <c r="AH89" s="915">
        <f t="shared" si="187"/>
        <v>0</v>
      </c>
      <c r="AI89" s="915">
        <f t="shared" si="188"/>
        <v>0</v>
      </c>
      <c r="AJ89" s="915">
        <f t="shared" si="189"/>
        <v>0</v>
      </c>
      <c r="AK89" s="915">
        <f t="shared" si="190"/>
        <v>0</v>
      </c>
      <c r="AL89" s="915">
        <f t="shared" si="191"/>
        <v>0</v>
      </c>
      <c r="AM89" s="915">
        <f t="shared" si="192"/>
        <v>0</v>
      </c>
      <c r="AN89" s="915">
        <f t="shared" si="193"/>
        <v>0</v>
      </c>
      <c r="AO89" s="915">
        <f t="shared" si="194"/>
        <v>0</v>
      </c>
      <c r="AP89" s="915">
        <f t="shared" si="195"/>
        <v>0</v>
      </c>
      <c r="AQ89" s="915">
        <f t="shared" si="196"/>
        <v>0</v>
      </c>
      <c r="AR89" s="915">
        <f t="shared" si="197"/>
        <v>0</v>
      </c>
      <c r="AS89" s="915">
        <f t="shared" si="198"/>
        <v>0</v>
      </c>
      <c r="AT89" s="915">
        <f t="shared" si="199"/>
        <v>0</v>
      </c>
      <c r="AU89" s="915">
        <f t="shared" si="200"/>
        <v>0</v>
      </c>
      <c r="AV89" s="915">
        <f t="shared" si="201"/>
        <v>0</v>
      </c>
      <c r="AW89" s="915">
        <f t="shared" si="202"/>
        <v>0</v>
      </c>
      <c r="AX89" s="915">
        <f t="shared" si="203"/>
        <v>0</v>
      </c>
      <c r="AY89" s="915">
        <f t="shared" si="204"/>
        <v>0</v>
      </c>
      <c r="AZ89" s="915">
        <f t="shared" si="205"/>
        <v>0</v>
      </c>
      <c r="BA89" s="915">
        <f t="shared" si="206"/>
        <v>0</v>
      </c>
      <c r="BB89" s="915">
        <f t="shared" si="207"/>
        <v>0</v>
      </c>
      <c r="BC89" s="915">
        <f t="shared" si="208"/>
        <v>0</v>
      </c>
      <c r="BD89" s="915">
        <f t="shared" si="209"/>
        <v>0</v>
      </c>
      <c r="BE89" s="915">
        <f t="shared" si="210"/>
        <v>0</v>
      </c>
      <c r="BF89" s="915">
        <f t="shared" si="211"/>
        <v>0</v>
      </c>
      <c r="BG89" s="915">
        <f t="shared" si="212"/>
        <v>0</v>
      </c>
      <c r="BH89" s="915">
        <f t="shared" si="213"/>
        <v>0</v>
      </c>
      <c r="BI89" s="915">
        <f t="shared" si="214"/>
        <v>0</v>
      </c>
      <c r="BJ89" s="915">
        <f t="shared" si="215"/>
        <v>0</v>
      </c>
      <c r="BK89" s="915">
        <f t="shared" si="216"/>
        <v>0</v>
      </c>
      <c r="BL89" s="915">
        <f t="shared" si="217"/>
        <v>0</v>
      </c>
      <c r="BM89" s="915">
        <f t="shared" si="218"/>
        <v>0</v>
      </c>
      <c r="BN89" s="915">
        <f t="shared" si="219"/>
        <v>0</v>
      </c>
      <c r="BO89" s="915">
        <f t="shared" si="220"/>
        <v>0</v>
      </c>
      <c r="BP89" s="915">
        <f t="shared" si="221"/>
        <v>0</v>
      </c>
      <c r="BQ89" s="915">
        <f t="shared" si="222"/>
        <v>0</v>
      </c>
      <c r="BR89" s="915">
        <f t="shared" si="223"/>
        <v>0</v>
      </c>
      <c r="BS89" s="915">
        <f t="shared" si="344"/>
        <v>0</v>
      </c>
      <c r="BT89" s="915">
        <f t="shared" si="345"/>
        <v>0</v>
      </c>
      <c r="BU89" s="915">
        <f t="shared" si="346"/>
        <v>0</v>
      </c>
      <c r="BV89" s="915">
        <f t="shared" si="347"/>
        <v>0</v>
      </c>
      <c r="BW89" s="915">
        <f t="shared" si="348"/>
        <v>0</v>
      </c>
      <c r="BX89" s="915">
        <f t="shared" si="349"/>
        <v>0</v>
      </c>
      <c r="BY89" s="915">
        <f t="shared" si="350"/>
        <v>0</v>
      </c>
      <c r="BZ89" s="915">
        <f t="shared" si="351"/>
        <v>0</v>
      </c>
      <c r="CA89" s="915">
        <f t="shared" si="232"/>
        <v>0</v>
      </c>
      <c r="CB89" s="915">
        <f t="shared" si="233"/>
        <v>0</v>
      </c>
      <c r="CC89" s="915">
        <f t="shared" si="234"/>
        <v>0</v>
      </c>
      <c r="CD89" s="915">
        <f t="shared" si="235"/>
        <v>0</v>
      </c>
      <c r="CE89" s="915">
        <f t="shared" si="236"/>
        <v>0</v>
      </c>
      <c r="CF89" s="915">
        <f t="shared" si="237"/>
        <v>0</v>
      </c>
      <c r="CG89" s="915">
        <f t="shared" si="238"/>
        <v>0</v>
      </c>
      <c r="CH89" s="915">
        <f t="shared" si="239"/>
        <v>0</v>
      </c>
      <c r="CI89" s="915">
        <f t="shared" si="336"/>
        <v>0</v>
      </c>
      <c r="CJ89" s="915">
        <f t="shared" si="337"/>
        <v>0</v>
      </c>
      <c r="CK89" s="915">
        <f t="shared" si="338"/>
        <v>0</v>
      </c>
      <c r="CL89" s="915">
        <f t="shared" si="339"/>
        <v>0</v>
      </c>
      <c r="CM89" s="915">
        <f t="shared" si="340"/>
        <v>0</v>
      </c>
      <c r="CN89" s="915">
        <f t="shared" si="341"/>
        <v>0</v>
      </c>
      <c r="CO89" s="915">
        <f t="shared" si="342"/>
        <v>0</v>
      </c>
      <c r="CP89" s="915">
        <f t="shared" si="343"/>
        <v>0</v>
      </c>
      <c r="CQ89" s="915">
        <f t="shared" si="248"/>
        <v>0</v>
      </c>
      <c r="CR89" s="915">
        <f t="shared" si="249"/>
        <v>0</v>
      </c>
      <c r="CS89" s="915">
        <f t="shared" si="250"/>
        <v>0</v>
      </c>
      <c r="CT89" s="915">
        <f t="shared" si="251"/>
        <v>0</v>
      </c>
      <c r="CU89" s="915">
        <f t="shared" si="252"/>
        <v>0</v>
      </c>
      <c r="CV89" s="915">
        <f t="shared" si="253"/>
        <v>0</v>
      </c>
      <c r="CW89" s="915">
        <f t="shared" si="254"/>
        <v>0</v>
      </c>
      <c r="CX89" s="915">
        <f t="shared" si="255"/>
        <v>0</v>
      </c>
      <c r="CY89" s="915">
        <f t="shared" si="256"/>
        <v>0</v>
      </c>
      <c r="CZ89" s="915">
        <f t="shared" si="257"/>
        <v>7.42</v>
      </c>
      <c r="DA89" s="915">
        <f t="shared" si="258"/>
        <v>0</v>
      </c>
      <c r="DB89" s="915">
        <f t="shared" si="259"/>
        <v>0</v>
      </c>
      <c r="DC89" s="915">
        <f t="shared" si="260"/>
        <v>0</v>
      </c>
      <c r="DD89" s="915">
        <f t="shared" si="261"/>
        <v>0</v>
      </c>
      <c r="DE89" s="915">
        <f t="shared" si="262"/>
        <v>0</v>
      </c>
      <c r="DF89" s="915">
        <f t="shared" si="263"/>
        <v>0</v>
      </c>
      <c r="DG89" s="915">
        <f t="shared" si="264"/>
        <v>0</v>
      </c>
      <c r="DH89" s="915">
        <f t="shared" si="265"/>
        <v>0</v>
      </c>
      <c r="DI89" s="915">
        <f t="shared" si="266"/>
        <v>0</v>
      </c>
      <c r="DJ89" s="915">
        <f t="shared" si="267"/>
        <v>0</v>
      </c>
      <c r="DK89" s="915">
        <f t="shared" si="268"/>
        <v>0</v>
      </c>
      <c r="DL89" s="915">
        <f t="shared" si="269"/>
        <v>0</v>
      </c>
      <c r="DM89" s="915">
        <f t="shared" si="270"/>
        <v>0</v>
      </c>
      <c r="DN89" s="915">
        <f t="shared" si="271"/>
        <v>0</v>
      </c>
      <c r="DO89" s="915">
        <f t="shared" si="272"/>
        <v>0</v>
      </c>
      <c r="DP89" s="915">
        <f t="shared" si="273"/>
        <v>0</v>
      </c>
      <c r="DQ89" s="915">
        <f t="shared" si="274"/>
        <v>0</v>
      </c>
      <c r="DR89" s="915">
        <f t="shared" si="275"/>
        <v>0</v>
      </c>
      <c r="DS89" s="915">
        <f t="shared" si="276"/>
        <v>0</v>
      </c>
      <c r="DT89" s="915">
        <f t="shared" si="277"/>
        <v>0</v>
      </c>
      <c r="DU89" s="915">
        <f t="shared" si="278"/>
        <v>0</v>
      </c>
      <c r="DV89" s="915">
        <f t="shared" si="279"/>
        <v>0</v>
      </c>
      <c r="DW89" s="915">
        <f t="shared" si="280"/>
        <v>0</v>
      </c>
      <c r="DX89" s="915">
        <f t="shared" si="281"/>
        <v>0</v>
      </c>
      <c r="DY89" s="915">
        <f t="shared" si="282"/>
        <v>0</v>
      </c>
      <c r="DZ89" s="915">
        <f t="shared" si="283"/>
        <v>0</v>
      </c>
      <c r="EA89" s="915">
        <f t="shared" si="284"/>
        <v>0</v>
      </c>
      <c r="EB89" s="915">
        <f t="shared" si="285"/>
        <v>0</v>
      </c>
      <c r="EC89" s="915">
        <f t="shared" si="286"/>
        <v>0</v>
      </c>
      <c r="ED89" s="915">
        <f t="shared" si="287"/>
        <v>0</v>
      </c>
      <c r="EE89" s="915">
        <f t="shared" si="288"/>
        <v>0</v>
      </c>
      <c r="EF89" s="915">
        <f t="shared" si="289"/>
        <v>0</v>
      </c>
      <c r="EG89" s="915">
        <f t="shared" si="290"/>
        <v>0</v>
      </c>
      <c r="EH89" s="915">
        <f t="shared" si="291"/>
        <v>0</v>
      </c>
      <c r="EI89" s="915">
        <f t="shared" si="292"/>
        <v>0</v>
      </c>
      <c r="EJ89" s="915">
        <f t="shared" si="293"/>
        <v>0</v>
      </c>
      <c r="EK89" s="915">
        <f t="shared" si="294"/>
        <v>0</v>
      </c>
      <c r="EL89" s="915">
        <f t="shared" si="295"/>
        <v>0</v>
      </c>
      <c r="EM89" s="915">
        <f t="shared" si="296"/>
        <v>0</v>
      </c>
      <c r="EN89" s="915">
        <f t="shared" si="297"/>
        <v>0</v>
      </c>
      <c r="EO89" s="915">
        <f t="shared" si="298"/>
        <v>0</v>
      </c>
      <c r="EP89" s="915">
        <f t="shared" si="299"/>
        <v>0</v>
      </c>
      <c r="EQ89" s="915">
        <f t="shared" si="300"/>
        <v>0</v>
      </c>
      <c r="ER89" s="915">
        <f t="shared" si="301"/>
        <v>0</v>
      </c>
      <c r="ES89" s="915">
        <f t="shared" si="302"/>
        <v>0</v>
      </c>
      <c r="ET89" s="915">
        <f t="shared" si="303"/>
        <v>0</v>
      </c>
      <c r="EU89" s="915">
        <f t="shared" si="304"/>
        <v>0</v>
      </c>
      <c r="EV89" s="915">
        <f t="shared" si="305"/>
        <v>0</v>
      </c>
      <c r="EW89" s="915">
        <f t="shared" si="306"/>
        <v>0</v>
      </c>
      <c r="EX89" s="915">
        <f t="shared" si="307"/>
        <v>0</v>
      </c>
      <c r="EY89" s="915">
        <f t="shared" si="308"/>
        <v>0</v>
      </c>
      <c r="EZ89" s="915">
        <f t="shared" si="309"/>
        <v>0</v>
      </c>
      <c r="FA89" s="915">
        <f t="shared" si="310"/>
        <v>0</v>
      </c>
      <c r="FB89" s="915">
        <f t="shared" si="311"/>
        <v>0</v>
      </c>
      <c r="FC89" s="915">
        <f t="shared" si="312"/>
        <v>0</v>
      </c>
      <c r="FD89" s="915">
        <f t="shared" si="313"/>
        <v>0</v>
      </c>
      <c r="FE89" s="915">
        <f t="shared" si="314"/>
        <v>0</v>
      </c>
      <c r="FF89" s="915">
        <f t="shared" si="315"/>
        <v>0</v>
      </c>
      <c r="FG89" s="915">
        <f t="shared" si="316"/>
        <v>0</v>
      </c>
      <c r="FH89" s="915">
        <f t="shared" si="317"/>
        <v>0</v>
      </c>
      <c r="FI89" s="915">
        <f t="shared" si="318"/>
        <v>0</v>
      </c>
      <c r="FJ89" s="915">
        <f t="shared" si="319"/>
        <v>0</v>
      </c>
      <c r="FK89" s="915">
        <f t="shared" si="320"/>
        <v>0</v>
      </c>
      <c r="FL89" s="915">
        <f t="shared" si="321"/>
        <v>0</v>
      </c>
      <c r="FM89" s="915">
        <f t="shared" si="322"/>
        <v>0</v>
      </c>
      <c r="FN89" s="915">
        <f t="shared" si="323"/>
        <v>0</v>
      </c>
      <c r="FO89" s="915">
        <f t="shared" si="324"/>
        <v>0</v>
      </c>
      <c r="FP89" s="915">
        <f t="shared" si="325"/>
        <v>0</v>
      </c>
      <c r="FQ89" s="915">
        <f t="shared" si="326"/>
        <v>0</v>
      </c>
      <c r="FR89" s="915">
        <f t="shared" si="327"/>
        <v>0</v>
      </c>
      <c r="FS89" s="915">
        <f t="shared" si="328"/>
        <v>0</v>
      </c>
      <c r="FT89" s="915">
        <f t="shared" si="329"/>
        <v>0</v>
      </c>
      <c r="FU89" s="915">
        <f t="shared" si="330"/>
        <v>0</v>
      </c>
      <c r="FV89" s="915">
        <f t="shared" si="331"/>
        <v>0</v>
      </c>
      <c r="FW89" s="915">
        <f t="shared" si="332"/>
        <v>0</v>
      </c>
      <c r="FX89" s="915">
        <f t="shared" si="333"/>
        <v>0</v>
      </c>
      <c r="FY89" s="915">
        <f t="shared" si="334"/>
        <v>0</v>
      </c>
      <c r="FZ89" s="915">
        <f t="shared" si="335"/>
        <v>0</v>
      </c>
    </row>
    <row r="90" spans="1:182" x14ac:dyDescent="0.2">
      <c r="A90" s="496">
        <v>83</v>
      </c>
      <c r="B90" s="1419"/>
      <c r="C90" s="1433"/>
      <c r="D90" s="264">
        <v>11</v>
      </c>
      <c r="E90" s="264" t="s">
        <v>35</v>
      </c>
      <c r="F90" s="270" t="s">
        <v>2544</v>
      </c>
      <c r="G90" s="270" t="s">
        <v>2542</v>
      </c>
      <c r="H90" s="272">
        <v>7</v>
      </c>
      <c r="I90" s="268">
        <f t="shared" si="174"/>
        <v>0.42</v>
      </c>
      <c r="J90" s="269">
        <f t="shared" si="175"/>
        <v>7.42</v>
      </c>
      <c r="K90" s="225"/>
      <c r="N90" s="951">
        <f>DA6</f>
        <v>7.42</v>
      </c>
      <c r="O90" s="879" t="str">
        <f>"General Construction for " &amp; TabName11</f>
        <v>General Construction for Phase 11</v>
      </c>
      <c r="P90" s="949" t="s">
        <v>2120</v>
      </c>
      <c r="W90" s="915">
        <f t="shared" si="176"/>
        <v>0</v>
      </c>
      <c r="X90" s="915">
        <f t="shared" si="177"/>
        <v>0</v>
      </c>
      <c r="Y90" s="915">
        <f t="shared" si="178"/>
        <v>0</v>
      </c>
      <c r="Z90" s="915">
        <f t="shared" si="179"/>
        <v>0</v>
      </c>
      <c r="AA90" s="915">
        <f t="shared" si="180"/>
        <v>0</v>
      </c>
      <c r="AB90" s="915">
        <f t="shared" si="181"/>
        <v>0</v>
      </c>
      <c r="AC90" s="915">
        <f t="shared" si="182"/>
        <v>0</v>
      </c>
      <c r="AD90" s="915">
        <f t="shared" si="183"/>
        <v>0</v>
      </c>
      <c r="AE90" s="915">
        <f t="shared" si="184"/>
        <v>0</v>
      </c>
      <c r="AF90" s="915">
        <f t="shared" si="185"/>
        <v>0</v>
      </c>
      <c r="AG90" s="915">
        <f t="shared" si="186"/>
        <v>0</v>
      </c>
      <c r="AH90" s="915">
        <f t="shared" si="187"/>
        <v>0</v>
      </c>
      <c r="AI90" s="915">
        <f t="shared" si="188"/>
        <v>0</v>
      </c>
      <c r="AJ90" s="915">
        <f t="shared" si="189"/>
        <v>0</v>
      </c>
      <c r="AK90" s="915">
        <f t="shared" si="190"/>
        <v>0</v>
      </c>
      <c r="AL90" s="915">
        <f t="shared" si="191"/>
        <v>0</v>
      </c>
      <c r="AM90" s="915">
        <f t="shared" si="192"/>
        <v>0</v>
      </c>
      <c r="AN90" s="915">
        <f t="shared" si="193"/>
        <v>0</v>
      </c>
      <c r="AO90" s="915">
        <f t="shared" si="194"/>
        <v>0</v>
      </c>
      <c r="AP90" s="915">
        <f t="shared" si="195"/>
        <v>0</v>
      </c>
      <c r="AQ90" s="915">
        <f t="shared" si="196"/>
        <v>0</v>
      </c>
      <c r="AR90" s="915">
        <f t="shared" si="197"/>
        <v>0</v>
      </c>
      <c r="AS90" s="915">
        <f t="shared" si="198"/>
        <v>0</v>
      </c>
      <c r="AT90" s="915">
        <f t="shared" si="199"/>
        <v>0</v>
      </c>
      <c r="AU90" s="915">
        <f t="shared" si="200"/>
        <v>0</v>
      </c>
      <c r="AV90" s="915">
        <f t="shared" si="201"/>
        <v>0</v>
      </c>
      <c r="AW90" s="915">
        <f t="shared" si="202"/>
        <v>0</v>
      </c>
      <c r="AX90" s="915">
        <f t="shared" si="203"/>
        <v>0</v>
      </c>
      <c r="AY90" s="915">
        <f t="shared" si="204"/>
        <v>0</v>
      </c>
      <c r="AZ90" s="915">
        <f t="shared" si="205"/>
        <v>0</v>
      </c>
      <c r="BA90" s="915">
        <f t="shared" si="206"/>
        <v>0</v>
      </c>
      <c r="BB90" s="915">
        <f t="shared" si="207"/>
        <v>0</v>
      </c>
      <c r="BC90" s="915">
        <f>IF(AND($D90=$R$12,$E90=$T$8),$J90,0)</f>
        <v>0</v>
      </c>
      <c r="BD90" s="915">
        <f>IF(AND($D90=$R$12,$E90=$T$9),$J90,0)</f>
        <v>0</v>
      </c>
      <c r="BE90" s="915">
        <f>IF(AND($D90=$R$12,$E90=$T$10),$J90,0)</f>
        <v>0</v>
      </c>
      <c r="BF90" s="915">
        <f>IF(AND($D90=$R$12,$E90=$T$11),$J90,0)</f>
        <v>0</v>
      </c>
      <c r="BG90" s="915">
        <f>IF(AND($D90=$R$12,$E90=$T$12),$J90,0)</f>
        <v>0</v>
      </c>
      <c r="BH90" s="915">
        <f>IF(AND($D90=$R$12,$E90=$T$13),$J90,0)</f>
        <v>0</v>
      </c>
      <c r="BI90" s="915">
        <f>IF(AND($D90=$R$12,$E90=$T$14),$J90,0)</f>
        <v>0</v>
      </c>
      <c r="BJ90" s="915">
        <f>IF(AND($D90=$R$12,$E90=$T$15),$J90,0)</f>
        <v>0</v>
      </c>
      <c r="BK90" s="915">
        <f t="shared" si="216"/>
        <v>0</v>
      </c>
      <c r="BL90" s="915">
        <f t="shared" si="217"/>
        <v>0</v>
      </c>
      <c r="BM90" s="915">
        <f t="shared" si="218"/>
        <v>0</v>
      </c>
      <c r="BN90" s="915">
        <f t="shared" si="219"/>
        <v>0</v>
      </c>
      <c r="BO90" s="915">
        <f t="shared" si="220"/>
        <v>0</v>
      </c>
      <c r="BP90" s="915">
        <f t="shared" si="221"/>
        <v>0</v>
      </c>
      <c r="BQ90" s="915">
        <f t="shared" si="222"/>
        <v>0</v>
      </c>
      <c r="BR90" s="915">
        <f t="shared" si="223"/>
        <v>0</v>
      </c>
      <c r="BS90" s="915">
        <f t="shared" si="344"/>
        <v>0</v>
      </c>
      <c r="BT90" s="915">
        <f t="shared" si="345"/>
        <v>0</v>
      </c>
      <c r="BU90" s="915">
        <f t="shared" si="346"/>
        <v>0</v>
      </c>
      <c r="BV90" s="915">
        <f t="shared" si="347"/>
        <v>0</v>
      </c>
      <c r="BW90" s="915">
        <f t="shared" si="348"/>
        <v>0</v>
      </c>
      <c r="BX90" s="915">
        <f t="shared" si="349"/>
        <v>0</v>
      </c>
      <c r="BY90" s="915">
        <f t="shared" si="350"/>
        <v>0</v>
      </c>
      <c r="BZ90" s="915">
        <f t="shared" si="351"/>
        <v>0</v>
      </c>
      <c r="CA90" s="915">
        <f t="shared" si="232"/>
        <v>0</v>
      </c>
      <c r="CB90" s="915">
        <f t="shared" si="233"/>
        <v>0</v>
      </c>
      <c r="CC90" s="915">
        <f t="shared" si="234"/>
        <v>0</v>
      </c>
      <c r="CD90" s="915">
        <f t="shared" si="235"/>
        <v>0</v>
      </c>
      <c r="CE90" s="915">
        <f t="shared" si="236"/>
        <v>0</v>
      </c>
      <c r="CF90" s="915">
        <f t="shared" si="237"/>
        <v>0</v>
      </c>
      <c r="CG90" s="915">
        <f t="shared" si="238"/>
        <v>0</v>
      </c>
      <c r="CH90" s="915">
        <f t="shared" si="239"/>
        <v>0</v>
      </c>
      <c r="CI90" s="915">
        <f t="shared" si="336"/>
        <v>0</v>
      </c>
      <c r="CJ90" s="915">
        <f t="shared" si="337"/>
        <v>0</v>
      </c>
      <c r="CK90" s="915">
        <f t="shared" si="338"/>
        <v>0</v>
      </c>
      <c r="CL90" s="915">
        <f t="shared" si="339"/>
        <v>0</v>
      </c>
      <c r="CM90" s="915">
        <f t="shared" si="340"/>
        <v>0</v>
      </c>
      <c r="CN90" s="915">
        <f t="shared" si="341"/>
        <v>0</v>
      </c>
      <c r="CO90" s="915">
        <f t="shared" si="342"/>
        <v>0</v>
      </c>
      <c r="CP90" s="915">
        <f t="shared" si="343"/>
        <v>0</v>
      </c>
      <c r="CQ90" s="915">
        <f t="shared" si="248"/>
        <v>0</v>
      </c>
      <c r="CR90" s="915">
        <f t="shared" si="249"/>
        <v>0</v>
      </c>
      <c r="CS90" s="915">
        <f t="shared" si="250"/>
        <v>0</v>
      </c>
      <c r="CT90" s="915">
        <f t="shared" si="251"/>
        <v>0</v>
      </c>
      <c r="CU90" s="915">
        <f t="shared" si="252"/>
        <v>0</v>
      </c>
      <c r="CV90" s="915">
        <f t="shared" si="253"/>
        <v>0</v>
      </c>
      <c r="CW90" s="915">
        <f t="shared" si="254"/>
        <v>0</v>
      </c>
      <c r="CX90" s="915">
        <f t="shared" si="255"/>
        <v>0</v>
      </c>
      <c r="CY90" s="915">
        <f t="shared" si="256"/>
        <v>0</v>
      </c>
      <c r="CZ90" s="915">
        <f t="shared" si="257"/>
        <v>0</v>
      </c>
      <c r="DA90" s="915">
        <f t="shared" si="258"/>
        <v>7.42</v>
      </c>
      <c r="DB90" s="915">
        <f t="shared" si="259"/>
        <v>0</v>
      </c>
      <c r="DC90" s="915">
        <f t="shared" si="260"/>
        <v>0</v>
      </c>
      <c r="DD90" s="915">
        <f t="shared" si="261"/>
        <v>0</v>
      </c>
      <c r="DE90" s="915">
        <f t="shared" si="262"/>
        <v>0</v>
      </c>
      <c r="DF90" s="915">
        <f t="shared" si="263"/>
        <v>0</v>
      </c>
      <c r="DG90" s="915">
        <f t="shared" si="264"/>
        <v>0</v>
      </c>
      <c r="DH90" s="915">
        <f t="shared" si="265"/>
        <v>0</v>
      </c>
      <c r="DI90" s="915">
        <f t="shared" si="266"/>
        <v>0</v>
      </c>
      <c r="DJ90" s="915">
        <f t="shared" si="267"/>
        <v>0</v>
      </c>
      <c r="DK90" s="915">
        <f t="shared" si="268"/>
        <v>0</v>
      </c>
      <c r="DL90" s="915">
        <f t="shared" si="269"/>
        <v>0</v>
      </c>
      <c r="DM90" s="915">
        <f t="shared" si="270"/>
        <v>0</v>
      </c>
      <c r="DN90" s="915">
        <f t="shared" si="271"/>
        <v>0</v>
      </c>
      <c r="DO90" s="915">
        <f t="shared" si="272"/>
        <v>0</v>
      </c>
      <c r="DP90" s="915">
        <f t="shared" si="273"/>
        <v>0</v>
      </c>
      <c r="DQ90" s="915">
        <f t="shared" si="274"/>
        <v>0</v>
      </c>
      <c r="DR90" s="915">
        <f t="shared" si="275"/>
        <v>0</v>
      </c>
      <c r="DS90" s="915">
        <f t="shared" si="276"/>
        <v>0</v>
      </c>
      <c r="DT90" s="915">
        <f t="shared" si="277"/>
        <v>0</v>
      </c>
      <c r="DU90" s="915">
        <f t="shared" si="278"/>
        <v>0</v>
      </c>
      <c r="DV90" s="915">
        <f t="shared" si="279"/>
        <v>0</v>
      </c>
      <c r="DW90" s="915">
        <f t="shared" si="280"/>
        <v>0</v>
      </c>
      <c r="DX90" s="915">
        <f t="shared" si="281"/>
        <v>0</v>
      </c>
      <c r="DY90" s="915">
        <f t="shared" si="282"/>
        <v>0</v>
      </c>
      <c r="DZ90" s="915">
        <f t="shared" si="283"/>
        <v>0</v>
      </c>
      <c r="EA90" s="915">
        <f t="shared" si="284"/>
        <v>0</v>
      </c>
      <c r="EB90" s="915">
        <f t="shared" si="285"/>
        <v>0</v>
      </c>
      <c r="EC90" s="915">
        <f t="shared" si="286"/>
        <v>0</v>
      </c>
      <c r="ED90" s="915">
        <f t="shared" si="287"/>
        <v>0</v>
      </c>
      <c r="EE90" s="915">
        <f t="shared" si="288"/>
        <v>0</v>
      </c>
      <c r="EF90" s="915">
        <f t="shared" si="289"/>
        <v>0</v>
      </c>
      <c r="EG90" s="915">
        <f t="shared" si="290"/>
        <v>0</v>
      </c>
      <c r="EH90" s="915">
        <f t="shared" si="291"/>
        <v>0</v>
      </c>
      <c r="EI90" s="915">
        <f t="shared" si="292"/>
        <v>0</v>
      </c>
      <c r="EJ90" s="915">
        <f t="shared" si="293"/>
        <v>0</v>
      </c>
      <c r="EK90" s="915">
        <f t="shared" si="294"/>
        <v>0</v>
      </c>
      <c r="EL90" s="915">
        <f t="shared" si="295"/>
        <v>0</v>
      </c>
      <c r="EM90" s="915">
        <f t="shared" si="296"/>
        <v>0</v>
      </c>
      <c r="EN90" s="915">
        <f t="shared" si="297"/>
        <v>0</v>
      </c>
      <c r="EO90" s="915">
        <f t="shared" si="298"/>
        <v>0</v>
      </c>
      <c r="EP90" s="915">
        <f t="shared" si="299"/>
        <v>0</v>
      </c>
      <c r="EQ90" s="915">
        <f t="shared" si="300"/>
        <v>0</v>
      </c>
      <c r="ER90" s="915">
        <f t="shared" si="301"/>
        <v>0</v>
      </c>
      <c r="ES90" s="915">
        <f t="shared" si="302"/>
        <v>0</v>
      </c>
      <c r="ET90" s="915">
        <f t="shared" si="303"/>
        <v>0</v>
      </c>
      <c r="EU90" s="915">
        <f t="shared" si="304"/>
        <v>0</v>
      </c>
      <c r="EV90" s="915">
        <f t="shared" si="305"/>
        <v>0</v>
      </c>
      <c r="EW90" s="915">
        <f t="shared" si="306"/>
        <v>0</v>
      </c>
      <c r="EX90" s="915">
        <f t="shared" si="307"/>
        <v>0</v>
      </c>
      <c r="EY90" s="915">
        <f t="shared" si="308"/>
        <v>0</v>
      </c>
      <c r="EZ90" s="915">
        <f t="shared" si="309"/>
        <v>0</v>
      </c>
      <c r="FA90" s="915">
        <f t="shared" si="310"/>
        <v>0</v>
      </c>
      <c r="FB90" s="915">
        <f t="shared" si="311"/>
        <v>0</v>
      </c>
      <c r="FC90" s="915">
        <f t="shared" si="312"/>
        <v>0</v>
      </c>
      <c r="FD90" s="915">
        <f t="shared" si="313"/>
        <v>0</v>
      </c>
      <c r="FE90" s="915">
        <f t="shared" si="314"/>
        <v>0</v>
      </c>
      <c r="FF90" s="915">
        <f t="shared" si="315"/>
        <v>0</v>
      </c>
      <c r="FG90" s="915">
        <f t="shared" si="316"/>
        <v>0</v>
      </c>
      <c r="FH90" s="915">
        <f t="shared" si="317"/>
        <v>0</v>
      </c>
      <c r="FI90" s="915">
        <f t="shared" si="318"/>
        <v>0</v>
      </c>
      <c r="FJ90" s="915">
        <f t="shared" si="319"/>
        <v>0</v>
      </c>
      <c r="FK90" s="915">
        <f t="shared" si="320"/>
        <v>0</v>
      </c>
      <c r="FL90" s="915">
        <f t="shared" si="321"/>
        <v>0</v>
      </c>
      <c r="FM90" s="915">
        <f t="shared" si="322"/>
        <v>0</v>
      </c>
      <c r="FN90" s="915">
        <f t="shared" si="323"/>
        <v>0</v>
      </c>
      <c r="FO90" s="915">
        <f t="shared" si="324"/>
        <v>0</v>
      </c>
      <c r="FP90" s="915">
        <f t="shared" si="325"/>
        <v>0</v>
      </c>
      <c r="FQ90" s="915">
        <f t="shared" si="326"/>
        <v>0</v>
      </c>
      <c r="FR90" s="915">
        <f t="shared" si="327"/>
        <v>0</v>
      </c>
      <c r="FS90" s="915">
        <f t="shared" si="328"/>
        <v>0</v>
      </c>
      <c r="FT90" s="915">
        <f t="shared" si="329"/>
        <v>0</v>
      </c>
      <c r="FU90" s="915">
        <f t="shared" si="330"/>
        <v>0</v>
      </c>
      <c r="FV90" s="915">
        <f t="shared" si="331"/>
        <v>0</v>
      </c>
      <c r="FW90" s="915">
        <f t="shared" si="332"/>
        <v>0</v>
      </c>
      <c r="FX90" s="915">
        <f t="shared" si="333"/>
        <v>0</v>
      </c>
      <c r="FY90" s="915">
        <f t="shared" si="334"/>
        <v>0</v>
      </c>
      <c r="FZ90" s="915">
        <f t="shared" si="335"/>
        <v>0</v>
      </c>
    </row>
    <row r="91" spans="1:182" x14ac:dyDescent="0.2">
      <c r="A91" s="497">
        <v>84</v>
      </c>
      <c r="B91" s="1423"/>
      <c r="C91" s="1424"/>
      <c r="D91" s="138">
        <v>11</v>
      </c>
      <c r="E91" s="138" t="s">
        <v>52</v>
      </c>
      <c r="F91" s="139" t="s">
        <v>2544</v>
      </c>
      <c r="G91" s="139" t="s">
        <v>2542</v>
      </c>
      <c r="H91" s="100">
        <v>7</v>
      </c>
      <c r="I91" s="119">
        <f t="shared" ref="I91:I102" si="352">IF(ISTEXT(K91),0,StateTaxSub*G91*H91)</f>
        <v>0.42</v>
      </c>
      <c r="J91" s="90">
        <f t="shared" ref="J91:J102" si="353">(G91*H91)+I91</f>
        <v>7.42</v>
      </c>
      <c r="K91" s="225"/>
      <c r="N91" s="951">
        <f>DB6</f>
        <v>7.42</v>
      </c>
      <c r="O91" s="915" t="str">
        <f>"Waste Haul for "&amp;TabName11</f>
        <v>Waste Haul for Phase 11</v>
      </c>
      <c r="P91" s="949" t="s">
        <v>2121</v>
      </c>
      <c r="W91" s="915">
        <f t="shared" si="176"/>
        <v>0</v>
      </c>
      <c r="X91" s="915">
        <f t="shared" si="177"/>
        <v>0</v>
      </c>
      <c r="Y91" s="915">
        <f t="shared" si="178"/>
        <v>0</v>
      </c>
      <c r="Z91" s="915">
        <f t="shared" si="179"/>
        <v>0</v>
      </c>
      <c r="AA91" s="915">
        <f t="shared" si="180"/>
        <v>0</v>
      </c>
      <c r="AB91" s="915">
        <f t="shared" si="181"/>
        <v>0</v>
      </c>
      <c r="AC91" s="915">
        <f t="shared" si="182"/>
        <v>0</v>
      </c>
      <c r="AD91" s="915">
        <f t="shared" si="183"/>
        <v>0</v>
      </c>
      <c r="AE91" s="915">
        <f t="shared" si="184"/>
        <v>0</v>
      </c>
      <c r="AF91" s="915">
        <f t="shared" si="185"/>
        <v>0</v>
      </c>
      <c r="AG91" s="915">
        <f t="shared" si="186"/>
        <v>0</v>
      </c>
      <c r="AH91" s="915">
        <f t="shared" si="187"/>
        <v>0</v>
      </c>
      <c r="AI91" s="915">
        <f t="shared" si="188"/>
        <v>0</v>
      </c>
      <c r="AJ91" s="915">
        <f t="shared" si="189"/>
        <v>0</v>
      </c>
      <c r="AK91" s="915">
        <f t="shared" si="190"/>
        <v>0</v>
      </c>
      <c r="AL91" s="915">
        <f t="shared" si="191"/>
        <v>0</v>
      </c>
      <c r="AM91" s="915">
        <f t="shared" si="192"/>
        <v>0</v>
      </c>
      <c r="AN91" s="915">
        <f t="shared" si="193"/>
        <v>0</v>
      </c>
      <c r="AO91" s="915">
        <f t="shared" si="194"/>
        <v>0</v>
      </c>
      <c r="AP91" s="915">
        <f t="shared" si="195"/>
        <v>0</v>
      </c>
      <c r="AQ91" s="915">
        <f t="shared" si="196"/>
        <v>0</v>
      </c>
      <c r="AR91" s="915">
        <f t="shared" si="197"/>
        <v>0</v>
      </c>
      <c r="AS91" s="915">
        <f t="shared" si="198"/>
        <v>0</v>
      </c>
      <c r="AT91" s="915">
        <f t="shared" si="199"/>
        <v>0</v>
      </c>
      <c r="AU91" s="915">
        <f t="shared" si="200"/>
        <v>0</v>
      </c>
      <c r="AV91" s="915">
        <f t="shared" si="201"/>
        <v>0</v>
      </c>
      <c r="AW91" s="915">
        <f t="shared" si="202"/>
        <v>0</v>
      </c>
      <c r="AX91" s="915">
        <f t="shared" si="203"/>
        <v>0</v>
      </c>
      <c r="AY91" s="915">
        <f t="shared" si="204"/>
        <v>0</v>
      </c>
      <c r="AZ91" s="915">
        <f t="shared" si="205"/>
        <v>0</v>
      </c>
      <c r="BA91" s="915">
        <f t="shared" si="206"/>
        <v>0</v>
      </c>
      <c r="BB91" s="915">
        <f t="shared" si="207"/>
        <v>0</v>
      </c>
      <c r="BC91" s="915">
        <f t="shared" ref="BC91:BC103" si="354">IF(AND($D91=$R$12,$E91=$T$8),$J91,0)</f>
        <v>0</v>
      </c>
      <c r="BD91" s="915">
        <f t="shared" ref="BD91:BD103" si="355">IF(AND($D91=$R$12,$E91=$T$9),$J91,0)</f>
        <v>0</v>
      </c>
      <c r="BE91" s="915">
        <f t="shared" ref="BE91:BE103" si="356">IF(AND($D91=$R$12,$E91=$T$10),$J91,0)</f>
        <v>0</v>
      </c>
      <c r="BF91" s="915">
        <f t="shared" ref="BF91:BF103" si="357">IF(AND($D91=$R$12,$E91=$T$11),$J91,0)</f>
        <v>0</v>
      </c>
      <c r="BG91" s="915">
        <f t="shared" ref="BG91:BG103" si="358">IF(AND($D91=$R$12,$E91=$T$12),$J91,0)</f>
        <v>0</v>
      </c>
      <c r="BH91" s="915">
        <f t="shared" ref="BH91:BH103" si="359">IF(AND($D91=$R$12,$E91=$T$13),$J91,0)</f>
        <v>0</v>
      </c>
      <c r="BI91" s="915">
        <f t="shared" ref="BI91:BI103" si="360">IF(AND($D91=$R$12,$E91=$T$14),$J91,0)</f>
        <v>0</v>
      </c>
      <c r="BJ91" s="915">
        <f t="shared" ref="BJ91:BJ103" si="361">IF(AND($D91=$R$12,$E91=$T$15),$J91,0)</f>
        <v>0</v>
      </c>
      <c r="BK91" s="915">
        <f t="shared" si="216"/>
        <v>0</v>
      </c>
      <c r="BL91" s="915">
        <f t="shared" si="217"/>
        <v>0</v>
      </c>
      <c r="BM91" s="915">
        <f t="shared" si="218"/>
        <v>0</v>
      </c>
      <c r="BN91" s="915">
        <f t="shared" si="219"/>
        <v>0</v>
      </c>
      <c r="BO91" s="915">
        <f t="shared" si="220"/>
        <v>0</v>
      </c>
      <c r="BP91" s="915">
        <f t="shared" si="221"/>
        <v>0</v>
      </c>
      <c r="BQ91" s="915">
        <f t="shared" si="222"/>
        <v>0</v>
      </c>
      <c r="BR91" s="915">
        <f t="shared" si="223"/>
        <v>0</v>
      </c>
      <c r="BS91" s="915">
        <f t="shared" si="344"/>
        <v>0</v>
      </c>
      <c r="BT91" s="915">
        <f t="shared" si="345"/>
        <v>0</v>
      </c>
      <c r="BU91" s="915">
        <f t="shared" si="346"/>
        <v>0</v>
      </c>
      <c r="BV91" s="915">
        <f t="shared" si="347"/>
        <v>0</v>
      </c>
      <c r="BW91" s="915">
        <f t="shared" si="348"/>
        <v>0</v>
      </c>
      <c r="BX91" s="915">
        <f t="shared" si="349"/>
        <v>0</v>
      </c>
      <c r="BY91" s="915">
        <f t="shared" si="350"/>
        <v>0</v>
      </c>
      <c r="BZ91" s="915">
        <f t="shared" si="351"/>
        <v>0</v>
      </c>
      <c r="CA91" s="915">
        <f t="shared" si="232"/>
        <v>0</v>
      </c>
      <c r="CB91" s="915">
        <f t="shared" si="233"/>
        <v>0</v>
      </c>
      <c r="CC91" s="915">
        <f t="shared" si="234"/>
        <v>0</v>
      </c>
      <c r="CD91" s="915">
        <f t="shared" si="235"/>
        <v>0</v>
      </c>
      <c r="CE91" s="915">
        <f t="shared" si="236"/>
        <v>0</v>
      </c>
      <c r="CF91" s="915">
        <f t="shared" si="237"/>
        <v>0</v>
      </c>
      <c r="CG91" s="915">
        <f t="shared" si="238"/>
        <v>0</v>
      </c>
      <c r="CH91" s="915">
        <f t="shared" si="239"/>
        <v>0</v>
      </c>
      <c r="CI91" s="915">
        <f t="shared" si="336"/>
        <v>0</v>
      </c>
      <c r="CJ91" s="915">
        <f t="shared" si="337"/>
        <v>0</v>
      </c>
      <c r="CK91" s="915">
        <f t="shared" si="338"/>
        <v>0</v>
      </c>
      <c r="CL91" s="915">
        <f t="shared" si="339"/>
        <v>0</v>
      </c>
      <c r="CM91" s="915">
        <f t="shared" si="340"/>
        <v>0</v>
      </c>
      <c r="CN91" s="915">
        <f t="shared" si="341"/>
        <v>0</v>
      </c>
      <c r="CO91" s="915">
        <f t="shared" si="342"/>
        <v>0</v>
      </c>
      <c r="CP91" s="915">
        <f t="shared" si="343"/>
        <v>0</v>
      </c>
      <c r="CQ91" s="915">
        <f t="shared" si="248"/>
        <v>0</v>
      </c>
      <c r="CR91" s="915">
        <f t="shared" si="249"/>
        <v>0</v>
      </c>
      <c r="CS91" s="915">
        <f t="shared" si="250"/>
        <v>0</v>
      </c>
      <c r="CT91" s="915">
        <f t="shared" si="251"/>
        <v>0</v>
      </c>
      <c r="CU91" s="915">
        <f t="shared" si="252"/>
        <v>0</v>
      </c>
      <c r="CV91" s="915">
        <f t="shared" si="253"/>
        <v>0</v>
      </c>
      <c r="CW91" s="915">
        <f t="shared" si="254"/>
        <v>0</v>
      </c>
      <c r="CX91" s="915">
        <f t="shared" si="255"/>
        <v>0</v>
      </c>
      <c r="CY91" s="915">
        <f t="shared" si="256"/>
        <v>0</v>
      </c>
      <c r="CZ91" s="915">
        <f t="shared" si="257"/>
        <v>0</v>
      </c>
      <c r="DA91" s="915">
        <f t="shared" si="258"/>
        <v>0</v>
      </c>
      <c r="DB91" s="915">
        <f t="shared" si="259"/>
        <v>7.42</v>
      </c>
      <c r="DC91" s="915">
        <f t="shared" si="260"/>
        <v>0</v>
      </c>
      <c r="DD91" s="915">
        <f t="shared" si="261"/>
        <v>0</v>
      </c>
      <c r="DE91" s="915">
        <f t="shared" si="262"/>
        <v>0</v>
      </c>
      <c r="DF91" s="915">
        <f t="shared" si="263"/>
        <v>0</v>
      </c>
      <c r="DG91" s="915">
        <f t="shared" si="264"/>
        <v>0</v>
      </c>
      <c r="DH91" s="915">
        <f t="shared" si="265"/>
        <v>0</v>
      </c>
      <c r="DI91" s="915">
        <f t="shared" si="266"/>
        <v>0</v>
      </c>
      <c r="DJ91" s="915">
        <f t="shared" si="267"/>
        <v>0</v>
      </c>
      <c r="DK91" s="915">
        <f t="shared" si="268"/>
        <v>0</v>
      </c>
      <c r="DL91" s="915">
        <f t="shared" si="269"/>
        <v>0</v>
      </c>
      <c r="DM91" s="915">
        <f t="shared" si="270"/>
        <v>0</v>
      </c>
      <c r="DN91" s="915">
        <f t="shared" si="271"/>
        <v>0</v>
      </c>
      <c r="DO91" s="915">
        <f t="shared" si="272"/>
        <v>0</v>
      </c>
      <c r="DP91" s="915">
        <f t="shared" si="273"/>
        <v>0</v>
      </c>
      <c r="DQ91" s="915">
        <f t="shared" si="274"/>
        <v>0</v>
      </c>
      <c r="DR91" s="915">
        <f t="shared" si="275"/>
        <v>0</v>
      </c>
      <c r="DS91" s="915">
        <f t="shared" si="276"/>
        <v>0</v>
      </c>
      <c r="DT91" s="915">
        <f t="shared" si="277"/>
        <v>0</v>
      </c>
      <c r="DU91" s="915">
        <f t="shared" si="278"/>
        <v>0</v>
      </c>
      <c r="DV91" s="915">
        <f t="shared" si="279"/>
        <v>0</v>
      </c>
      <c r="DW91" s="915">
        <f t="shared" si="280"/>
        <v>0</v>
      </c>
      <c r="DX91" s="915">
        <f t="shared" si="281"/>
        <v>0</v>
      </c>
      <c r="DY91" s="915">
        <f t="shared" si="282"/>
        <v>0</v>
      </c>
      <c r="DZ91" s="915">
        <f t="shared" si="283"/>
        <v>0</v>
      </c>
      <c r="EA91" s="915">
        <f t="shared" si="284"/>
        <v>0</v>
      </c>
      <c r="EB91" s="915">
        <f t="shared" si="285"/>
        <v>0</v>
      </c>
      <c r="EC91" s="915">
        <f t="shared" si="286"/>
        <v>0</v>
      </c>
      <c r="ED91" s="915">
        <f t="shared" si="287"/>
        <v>0</v>
      </c>
      <c r="EE91" s="915">
        <f t="shared" si="288"/>
        <v>0</v>
      </c>
      <c r="EF91" s="915">
        <f t="shared" si="289"/>
        <v>0</v>
      </c>
      <c r="EG91" s="915">
        <f t="shared" si="290"/>
        <v>0</v>
      </c>
      <c r="EH91" s="915">
        <f t="shared" si="291"/>
        <v>0</v>
      </c>
      <c r="EI91" s="915">
        <f t="shared" si="292"/>
        <v>0</v>
      </c>
      <c r="EJ91" s="915">
        <f t="shared" si="293"/>
        <v>0</v>
      </c>
      <c r="EK91" s="915">
        <f t="shared" si="294"/>
        <v>0</v>
      </c>
      <c r="EL91" s="915">
        <f t="shared" si="295"/>
        <v>0</v>
      </c>
      <c r="EM91" s="915">
        <f t="shared" si="296"/>
        <v>0</v>
      </c>
      <c r="EN91" s="915">
        <f t="shared" si="297"/>
        <v>0</v>
      </c>
      <c r="EO91" s="915">
        <f t="shared" si="298"/>
        <v>0</v>
      </c>
      <c r="EP91" s="915">
        <f t="shared" si="299"/>
        <v>0</v>
      </c>
      <c r="EQ91" s="915">
        <f t="shared" si="300"/>
        <v>0</v>
      </c>
      <c r="ER91" s="915">
        <f t="shared" si="301"/>
        <v>0</v>
      </c>
      <c r="ES91" s="915">
        <f t="shared" si="302"/>
        <v>0</v>
      </c>
      <c r="ET91" s="915">
        <f t="shared" si="303"/>
        <v>0</v>
      </c>
      <c r="EU91" s="915">
        <f t="shared" si="304"/>
        <v>0</v>
      </c>
      <c r="EV91" s="915">
        <f t="shared" si="305"/>
        <v>0</v>
      </c>
      <c r="EW91" s="915">
        <f t="shared" si="306"/>
        <v>0</v>
      </c>
      <c r="EX91" s="915">
        <f t="shared" si="307"/>
        <v>0</v>
      </c>
      <c r="EY91" s="915">
        <f t="shared" si="308"/>
        <v>0</v>
      </c>
      <c r="EZ91" s="915">
        <f t="shared" si="309"/>
        <v>0</v>
      </c>
      <c r="FA91" s="915">
        <f t="shared" si="310"/>
        <v>0</v>
      </c>
      <c r="FB91" s="915">
        <f t="shared" si="311"/>
        <v>0</v>
      </c>
      <c r="FC91" s="915">
        <f t="shared" si="312"/>
        <v>0</v>
      </c>
      <c r="FD91" s="915">
        <f t="shared" si="313"/>
        <v>0</v>
      </c>
      <c r="FE91" s="915">
        <f t="shared" si="314"/>
        <v>0</v>
      </c>
      <c r="FF91" s="915">
        <f t="shared" si="315"/>
        <v>0</v>
      </c>
      <c r="FG91" s="915">
        <f t="shared" si="316"/>
        <v>0</v>
      </c>
      <c r="FH91" s="915">
        <f t="shared" si="317"/>
        <v>0</v>
      </c>
      <c r="FI91" s="915">
        <f t="shared" si="318"/>
        <v>0</v>
      </c>
      <c r="FJ91" s="915">
        <f t="shared" si="319"/>
        <v>0</v>
      </c>
      <c r="FK91" s="915">
        <f t="shared" si="320"/>
        <v>0</v>
      </c>
      <c r="FL91" s="915">
        <f t="shared" si="321"/>
        <v>0</v>
      </c>
      <c r="FM91" s="915">
        <f t="shared" si="322"/>
        <v>0</v>
      </c>
      <c r="FN91" s="915">
        <f t="shared" si="323"/>
        <v>0</v>
      </c>
      <c r="FO91" s="915">
        <f t="shared" si="324"/>
        <v>0</v>
      </c>
      <c r="FP91" s="915">
        <f t="shared" si="325"/>
        <v>0</v>
      </c>
      <c r="FQ91" s="915">
        <f t="shared" si="326"/>
        <v>0</v>
      </c>
      <c r="FR91" s="915">
        <f t="shared" si="327"/>
        <v>0</v>
      </c>
      <c r="FS91" s="915">
        <f t="shared" si="328"/>
        <v>0</v>
      </c>
      <c r="FT91" s="915">
        <f t="shared" si="329"/>
        <v>0</v>
      </c>
      <c r="FU91" s="915">
        <f t="shared" si="330"/>
        <v>0</v>
      </c>
      <c r="FV91" s="915">
        <f t="shared" si="331"/>
        <v>0</v>
      </c>
      <c r="FW91" s="915">
        <f t="shared" si="332"/>
        <v>0</v>
      </c>
      <c r="FX91" s="915">
        <f t="shared" si="333"/>
        <v>0</v>
      </c>
      <c r="FY91" s="915">
        <f t="shared" si="334"/>
        <v>0</v>
      </c>
      <c r="FZ91" s="915">
        <f t="shared" si="335"/>
        <v>0</v>
      </c>
    </row>
    <row r="92" spans="1:182" x14ac:dyDescent="0.2">
      <c r="A92" s="496">
        <v>85</v>
      </c>
      <c r="B92" s="1419"/>
      <c r="C92" s="1433"/>
      <c r="D92" s="264">
        <v>11</v>
      </c>
      <c r="E92" s="264" t="s">
        <v>30</v>
      </c>
      <c r="F92" s="270" t="s">
        <v>2544</v>
      </c>
      <c r="G92" s="270" t="s">
        <v>2542</v>
      </c>
      <c r="H92" s="272">
        <v>7</v>
      </c>
      <c r="I92" s="268">
        <f t="shared" si="352"/>
        <v>0.42</v>
      </c>
      <c r="J92" s="269">
        <f t="shared" si="353"/>
        <v>7.42</v>
      </c>
      <c r="K92" s="225"/>
      <c r="N92" s="951">
        <f>DC6</f>
        <v>7.42</v>
      </c>
      <c r="O92" s="879" t="str">
        <f>"Surveying/Inspection for " &amp; TabName11</f>
        <v>Surveying/Inspection for Phase 11</v>
      </c>
      <c r="P92" s="950" t="s">
        <v>2122</v>
      </c>
      <c r="W92" s="915">
        <f t="shared" si="176"/>
        <v>0</v>
      </c>
      <c r="X92" s="915">
        <f t="shared" si="177"/>
        <v>0</v>
      </c>
      <c r="Y92" s="915">
        <f t="shared" si="178"/>
        <v>0</v>
      </c>
      <c r="Z92" s="915">
        <f t="shared" si="179"/>
        <v>0</v>
      </c>
      <c r="AA92" s="915">
        <f t="shared" si="180"/>
        <v>0</v>
      </c>
      <c r="AB92" s="915">
        <f t="shared" si="181"/>
        <v>0</v>
      </c>
      <c r="AC92" s="915">
        <f t="shared" si="182"/>
        <v>0</v>
      </c>
      <c r="AD92" s="915">
        <f t="shared" si="183"/>
        <v>0</v>
      </c>
      <c r="AE92" s="915">
        <f t="shared" si="184"/>
        <v>0</v>
      </c>
      <c r="AF92" s="915">
        <f t="shared" si="185"/>
        <v>0</v>
      </c>
      <c r="AG92" s="915">
        <f t="shared" si="186"/>
        <v>0</v>
      </c>
      <c r="AH92" s="915">
        <f t="shared" si="187"/>
        <v>0</v>
      </c>
      <c r="AI92" s="915">
        <f t="shared" si="188"/>
        <v>0</v>
      </c>
      <c r="AJ92" s="915">
        <f t="shared" si="189"/>
        <v>0</v>
      </c>
      <c r="AK92" s="915">
        <f t="shared" si="190"/>
        <v>0</v>
      </c>
      <c r="AL92" s="915">
        <f t="shared" si="191"/>
        <v>0</v>
      </c>
      <c r="AM92" s="915">
        <f t="shared" si="192"/>
        <v>0</v>
      </c>
      <c r="AN92" s="915">
        <f t="shared" si="193"/>
        <v>0</v>
      </c>
      <c r="AO92" s="915">
        <f t="shared" si="194"/>
        <v>0</v>
      </c>
      <c r="AP92" s="915">
        <f t="shared" si="195"/>
        <v>0</v>
      </c>
      <c r="AQ92" s="915">
        <f t="shared" si="196"/>
        <v>0</v>
      </c>
      <c r="AR92" s="915">
        <f t="shared" si="197"/>
        <v>0</v>
      </c>
      <c r="AS92" s="915">
        <f t="shared" si="198"/>
        <v>0</v>
      </c>
      <c r="AT92" s="915">
        <f t="shared" si="199"/>
        <v>0</v>
      </c>
      <c r="AU92" s="915">
        <f t="shared" si="200"/>
        <v>0</v>
      </c>
      <c r="AV92" s="915">
        <f t="shared" si="201"/>
        <v>0</v>
      </c>
      <c r="AW92" s="915">
        <f t="shared" si="202"/>
        <v>0</v>
      </c>
      <c r="AX92" s="915">
        <f t="shared" si="203"/>
        <v>0</v>
      </c>
      <c r="AY92" s="915">
        <f t="shared" si="204"/>
        <v>0</v>
      </c>
      <c r="AZ92" s="915">
        <f t="shared" si="205"/>
        <v>0</v>
      </c>
      <c r="BA92" s="915">
        <f t="shared" si="206"/>
        <v>0</v>
      </c>
      <c r="BB92" s="915">
        <f t="shared" si="207"/>
        <v>0</v>
      </c>
      <c r="BC92" s="915">
        <f t="shared" si="354"/>
        <v>0</v>
      </c>
      <c r="BD92" s="915">
        <f t="shared" si="355"/>
        <v>0</v>
      </c>
      <c r="BE92" s="915">
        <f t="shared" si="356"/>
        <v>0</v>
      </c>
      <c r="BF92" s="915">
        <f t="shared" si="357"/>
        <v>0</v>
      </c>
      <c r="BG92" s="915">
        <f t="shared" si="358"/>
        <v>0</v>
      </c>
      <c r="BH92" s="915">
        <f t="shared" si="359"/>
        <v>0</v>
      </c>
      <c r="BI92" s="915">
        <f t="shared" si="360"/>
        <v>0</v>
      </c>
      <c r="BJ92" s="915">
        <f t="shared" si="361"/>
        <v>0</v>
      </c>
      <c r="BK92" s="915">
        <f t="shared" si="216"/>
        <v>0</v>
      </c>
      <c r="BL92" s="915">
        <f t="shared" si="217"/>
        <v>0</v>
      </c>
      <c r="BM92" s="915">
        <f t="shared" si="218"/>
        <v>0</v>
      </c>
      <c r="BN92" s="915">
        <f t="shared" si="219"/>
        <v>0</v>
      </c>
      <c r="BO92" s="915">
        <f t="shared" si="220"/>
        <v>0</v>
      </c>
      <c r="BP92" s="915">
        <f t="shared" si="221"/>
        <v>0</v>
      </c>
      <c r="BQ92" s="915">
        <f t="shared" si="222"/>
        <v>0</v>
      </c>
      <c r="BR92" s="915">
        <f t="shared" si="223"/>
        <v>0</v>
      </c>
      <c r="BS92" s="915">
        <f t="shared" si="344"/>
        <v>0</v>
      </c>
      <c r="BT92" s="915">
        <f t="shared" si="345"/>
        <v>0</v>
      </c>
      <c r="BU92" s="915">
        <f t="shared" si="346"/>
        <v>0</v>
      </c>
      <c r="BV92" s="915">
        <f t="shared" si="347"/>
        <v>0</v>
      </c>
      <c r="BW92" s="915">
        <f t="shared" si="348"/>
        <v>0</v>
      </c>
      <c r="BX92" s="915">
        <f t="shared" si="349"/>
        <v>0</v>
      </c>
      <c r="BY92" s="915">
        <f t="shared" si="350"/>
        <v>0</v>
      </c>
      <c r="BZ92" s="915">
        <f t="shared" si="351"/>
        <v>0</v>
      </c>
      <c r="CA92" s="915">
        <f>IF(AND($D92=$R$15,$E92=$T$8),$J92,0)</f>
        <v>0</v>
      </c>
      <c r="CB92" s="915">
        <f>IF(AND($D92=$R$15,$E92=$T$9),$J92,0)</f>
        <v>0</v>
      </c>
      <c r="CC92" s="915">
        <f>IF(AND($D92=$R$15,$E92=$T$10),$J92,0)</f>
        <v>0</v>
      </c>
      <c r="CD92" s="915">
        <f>IF(AND($D92=$R$15,$E92=$T$11),$J92,0)</f>
        <v>0</v>
      </c>
      <c r="CE92" s="915">
        <f>IF(AND($D92=$R$15,$E92=$T$12),$J92,0)</f>
        <v>0</v>
      </c>
      <c r="CF92" s="915">
        <f>IF(AND($D92=$R$15,$E92=$T$13),$J92,0)</f>
        <v>0</v>
      </c>
      <c r="CG92" s="915">
        <f>IF(AND($D92=$R$15,$E92=$T$14),$J92,0)</f>
        <v>0</v>
      </c>
      <c r="CH92" s="915">
        <f>IF(AND($D92=$R$15,$E92=$T$15),$J92,0)</f>
        <v>0</v>
      </c>
      <c r="CI92" s="915">
        <f t="shared" si="336"/>
        <v>0</v>
      </c>
      <c r="CJ92" s="915">
        <f t="shared" si="337"/>
        <v>0</v>
      </c>
      <c r="CK92" s="915">
        <f t="shared" si="338"/>
        <v>0</v>
      </c>
      <c r="CL92" s="915">
        <f t="shared" si="339"/>
        <v>0</v>
      </c>
      <c r="CM92" s="915">
        <f t="shared" si="340"/>
        <v>0</v>
      </c>
      <c r="CN92" s="915">
        <f t="shared" si="341"/>
        <v>0</v>
      </c>
      <c r="CO92" s="915">
        <f t="shared" si="342"/>
        <v>0</v>
      </c>
      <c r="CP92" s="915">
        <f t="shared" si="343"/>
        <v>0</v>
      </c>
      <c r="CQ92" s="915">
        <f t="shared" si="248"/>
        <v>0</v>
      </c>
      <c r="CR92" s="915">
        <f t="shared" si="249"/>
        <v>0</v>
      </c>
      <c r="CS92" s="915">
        <f t="shared" si="250"/>
        <v>0</v>
      </c>
      <c r="CT92" s="915">
        <f t="shared" si="251"/>
        <v>0</v>
      </c>
      <c r="CU92" s="915">
        <f t="shared" si="252"/>
        <v>0</v>
      </c>
      <c r="CV92" s="915">
        <f t="shared" si="253"/>
        <v>0</v>
      </c>
      <c r="CW92" s="915">
        <f t="shared" si="254"/>
        <v>0</v>
      </c>
      <c r="CX92" s="915">
        <f t="shared" si="255"/>
        <v>0</v>
      </c>
      <c r="CY92" s="915">
        <f t="shared" si="256"/>
        <v>0</v>
      </c>
      <c r="CZ92" s="915">
        <f t="shared" si="257"/>
        <v>0</v>
      </c>
      <c r="DA92" s="915">
        <f t="shared" si="258"/>
        <v>0</v>
      </c>
      <c r="DB92" s="915">
        <f t="shared" si="259"/>
        <v>0</v>
      </c>
      <c r="DC92" s="915">
        <f t="shared" si="260"/>
        <v>7.42</v>
      </c>
      <c r="DD92" s="915">
        <f t="shared" si="261"/>
        <v>0</v>
      </c>
      <c r="DE92" s="915">
        <f t="shared" si="262"/>
        <v>0</v>
      </c>
      <c r="DF92" s="915">
        <f t="shared" si="263"/>
        <v>0</v>
      </c>
      <c r="DG92" s="915">
        <f t="shared" si="264"/>
        <v>0</v>
      </c>
      <c r="DH92" s="915">
        <f t="shared" si="265"/>
        <v>0</v>
      </c>
      <c r="DI92" s="915">
        <f t="shared" si="266"/>
        <v>0</v>
      </c>
      <c r="DJ92" s="915">
        <f t="shared" si="267"/>
        <v>0</v>
      </c>
      <c r="DK92" s="915">
        <f t="shared" si="268"/>
        <v>0</v>
      </c>
      <c r="DL92" s="915">
        <f t="shared" si="269"/>
        <v>0</v>
      </c>
      <c r="DM92" s="915">
        <f t="shared" si="270"/>
        <v>0</v>
      </c>
      <c r="DN92" s="915">
        <f t="shared" si="271"/>
        <v>0</v>
      </c>
      <c r="DO92" s="915">
        <f t="shared" si="272"/>
        <v>0</v>
      </c>
      <c r="DP92" s="915">
        <f t="shared" si="273"/>
        <v>0</v>
      </c>
      <c r="DQ92" s="915">
        <f t="shared" si="274"/>
        <v>0</v>
      </c>
      <c r="DR92" s="915">
        <f t="shared" si="275"/>
        <v>0</v>
      </c>
      <c r="DS92" s="915">
        <f t="shared" si="276"/>
        <v>0</v>
      </c>
      <c r="DT92" s="915">
        <f t="shared" si="277"/>
        <v>0</v>
      </c>
      <c r="DU92" s="915">
        <f t="shared" si="278"/>
        <v>0</v>
      </c>
      <c r="DV92" s="915">
        <f t="shared" si="279"/>
        <v>0</v>
      </c>
      <c r="DW92" s="915">
        <f t="shared" si="280"/>
        <v>0</v>
      </c>
      <c r="DX92" s="915">
        <f t="shared" si="281"/>
        <v>0</v>
      </c>
      <c r="DY92" s="915">
        <f t="shared" si="282"/>
        <v>0</v>
      </c>
      <c r="DZ92" s="915">
        <f t="shared" si="283"/>
        <v>0</v>
      </c>
      <c r="EA92" s="915">
        <f t="shared" si="284"/>
        <v>0</v>
      </c>
      <c r="EB92" s="915">
        <f t="shared" si="285"/>
        <v>0</v>
      </c>
      <c r="EC92" s="915">
        <f t="shared" si="286"/>
        <v>0</v>
      </c>
      <c r="ED92" s="915">
        <f t="shared" si="287"/>
        <v>0</v>
      </c>
      <c r="EE92" s="915">
        <f t="shared" si="288"/>
        <v>0</v>
      </c>
      <c r="EF92" s="915">
        <f t="shared" si="289"/>
        <v>0</v>
      </c>
      <c r="EG92" s="915">
        <f t="shared" si="290"/>
        <v>0</v>
      </c>
      <c r="EH92" s="915">
        <f t="shared" si="291"/>
        <v>0</v>
      </c>
      <c r="EI92" s="915">
        <f t="shared" si="292"/>
        <v>0</v>
      </c>
      <c r="EJ92" s="915">
        <f t="shared" si="293"/>
        <v>0</v>
      </c>
      <c r="EK92" s="915">
        <f t="shared" si="294"/>
        <v>0</v>
      </c>
      <c r="EL92" s="915">
        <f t="shared" si="295"/>
        <v>0</v>
      </c>
      <c r="EM92" s="915">
        <f t="shared" si="296"/>
        <v>0</v>
      </c>
      <c r="EN92" s="915">
        <f t="shared" si="297"/>
        <v>0</v>
      </c>
      <c r="EO92" s="915">
        <f t="shared" si="298"/>
        <v>0</v>
      </c>
      <c r="EP92" s="915">
        <f t="shared" si="299"/>
        <v>0</v>
      </c>
      <c r="EQ92" s="915">
        <f t="shared" si="300"/>
        <v>0</v>
      </c>
      <c r="ER92" s="915">
        <f t="shared" si="301"/>
        <v>0</v>
      </c>
      <c r="ES92" s="915">
        <f t="shared" si="302"/>
        <v>0</v>
      </c>
      <c r="ET92" s="915">
        <f t="shared" si="303"/>
        <v>0</v>
      </c>
      <c r="EU92" s="915">
        <f t="shared" si="304"/>
        <v>0</v>
      </c>
      <c r="EV92" s="915">
        <f t="shared" si="305"/>
        <v>0</v>
      </c>
      <c r="EW92" s="915">
        <f t="shared" si="306"/>
        <v>0</v>
      </c>
      <c r="EX92" s="915">
        <f t="shared" si="307"/>
        <v>0</v>
      </c>
      <c r="EY92" s="915">
        <f t="shared" si="308"/>
        <v>0</v>
      </c>
      <c r="EZ92" s="915">
        <f t="shared" si="309"/>
        <v>0</v>
      </c>
      <c r="FA92" s="915">
        <f t="shared" si="310"/>
        <v>0</v>
      </c>
      <c r="FB92" s="915">
        <f t="shared" si="311"/>
        <v>0</v>
      </c>
      <c r="FC92" s="915">
        <f t="shared" si="312"/>
        <v>0</v>
      </c>
      <c r="FD92" s="915">
        <f t="shared" si="313"/>
        <v>0</v>
      </c>
      <c r="FE92" s="915">
        <f t="shared" si="314"/>
        <v>0</v>
      </c>
      <c r="FF92" s="915">
        <f t="shared" si="315"/>
        <v>0</v>
      </c>
      <c r="FG92" s="915">
        <f t="shared" si="316"/>
        <v>0</v>
      </c>
      <c r="FH92" s="915">
        <f t="shared" si="317"/>
        <v>0</v>
      </c>
      <c r="FI92" s="915">
        <f t="shared" si="318"/>
        <v>0</v>
      </c>
      <c r="FJ92" s="915">
        <f t="shared" si="319"/>
        <v>0</v>
      </c>
      <c r="FK92" s="915">
        <f t="shared" si="320"/>
        <v>0</v>
      </c>
      <c r="FL92" s="915">
        <f t="shared" si="321"/>
        <v>0</v>
      </c>
      <c r="FM92" s="915">
        <f t="shared" si="322"/>
        <v>0</v>
      </c>
      <c r="FN92" s="915">
        <f t="shared" si="323"/>
        <v>0</v>
      </c>
      <c r="FO92" s="915">
        <f t="shared" si="324"/>
        <v>0</v>
      </c>
      <c r="FP92" s="915">
        <f t="shared" si="325"/>
        <v>0</v>
      </c>
      <c r="FQ92" s="915">
        <f t="shared" si="326"/>
        <v>0</v>
      </c>
      <c r="FR92" s="915">
        <f t="shared" si="327"/>
        <v>0</v>
      </c>
      <c r="FS92" s="915">
        <f t="shared" si="328"/>
        <v>0</v>
      </c>
      <c r="FT92" s="915">
        <f t="shared" si="329"/>
        <v>0</v>
      </c>
      <c r="FU92" s="915">
        <f t="shared" si="330"/>
        <v>0</v>
      </c>
      <c r="FV92" s="915">
        <f t="shared" si="331"/>
        <v>0</v>
      </c>
      <c r="FW92" s="915">
        <f t="shared" si="332"/>
        <v>0</v>
      </c>
      <c r="FX92" s="915">
        <f t="shared" si="333"/>
        <v>0</v>
      </c>
      <c r="FY92" s="915">
        <f t="shared" si="334"/>
        <v>0</v>
      </c>
      <c r="FZ92" s="915">
        <f t="shared" si="335"/>
        <v>0</v>
      </c>
    </row>
    <row r="93" spans="1:182" x14ac:dyDescent="0.2">
      <c r="A93" s="497">
        <v>86</v>
      </c>
      <c r="B93" s="1423"/>
      <c r="C93" s="1424"/>
      <c r="D93" s="138">
        <v>11</v>
      </c>
      <c r="E93" s="138" t="s">
        <v>170</v>
      </c>
      <c r="F93" s="139" t="s">
        <v>2544</v>
      </c>
      <c r="G93" s="139" t="s">
        <v>2542</v>
      </c>
      <c r="H93" s="100">
        <v>7</v>
      </c>
      <c r="I93" s="119">
        <f t="shared" si="352"/>
        <v>0.42</v>
      </c>
      <c r="J93" s="90">
        <f t="shared" si="353"/>
        <v>7.42</v>
      </c>
      <c r="K93" s="225"/>
      <c r="N93" s="951">
        <f>DD6</f>
        <v>7.42</v>
      </c>
      <c r="O93" s="879" t="str">
        <f>"Other subcontractor for " &amp; TabName11</f>
        <v>Other subcontractor for Phase 11</v>
      </c>
      <c r="P93" s="949" t="s">
        <v>2123</v>
      </c>
      <c r="W93" s="915">
        <f t="shared" si="176"/>
        <v>0</v>
      </c>
      <c r="X93" s="915">
        <f t="shared" si="177"/>
        <v>0</v>
      </c>
      <c r="Y93" s="915">
        <f t="shared" si="178"/>
        <v>0</v>
      </c>
      <c r="Z93" s="915">
        <f t="shared" si="179"/>
        <v>0</v>
      </c>
      <c r="AA93" s="915">
        <f t="shared" si="180"/>
        <v>0</v>
      </c>
      <c r="AB93" s="915">
        <f t="shared" si="181"/>
        <v>0</v>
      </c>
      <c r="AC93" s="915">
        <f t="shared" si="182"/>
        <v>0</v>
      </c>
      <c r="AD93" s="915">
        <f t="shared" si="183"/>
        <v>0</v>
      </c>
      <c r="AE93" s="915">
        <f t="shared" si="184"/>
        <v>0</v>
      </c>
      <c r="AF93" s="915">
        <f t="shared" si="185"/>
        <v>0</v>
      </c>
      <c r="AG93" s="915">
        <f t="shared" si="186"/>
        <v>0</v>
      </c>
      <c r="AH93" s="915">
        <f t="shared" si="187"/>
        <v>0</v>
      </c>
      <c r="AI93" s="915">
        <f t="shared" si="188"/>
        <v>0</v>
      </c>
      <c r="AJ93" s="915">
        <f t="shared" si="189"/>
        <v>0</v>
      </c>
      <c r="AK93" s="915">
        <f t="shared" si="190"/>
        <v>0</v>
      </c>
      <c r="AL93" s="915">
        <f t="shared" si="191"/>
        <v>0</v>
      </c>
      <c r="AM93" s="915">
        <f t="shared" si="192"/>
        <v>0</v>
      </c>
      <c r="AN93" s="915">
        <f t="shared" si="193"/>
        <v>0</v>
      </c>
      <c r="AO93" s="915">
        <f t="shared" si="194"/>
        <v>0</v>
      </c>
      <c r="AP93" s="915">
        <f t="shared" si="195"/>
        <v>0</v>
      </c>
      <c r="AQ93" s="915">
        <f t="shared" si="196"/>
        <v>0</v>
      </c>
      <c r="AR93" s="915">
        <f t="shared" si="197"/>
        <v>0</v>
      </c>
      <c r="AS93" s="915">
        <f t="shared" si="198"/>
        <v>0</v>
      </c>
      <c r="AT93" s="915">
        <f t="shared" si="199"/>
        <v>0</v>
      </c>
      <c r="AU93" s="915">
        <f t="shared" si="200"/>
        <v>0</v>
      </c>
      <c r="AV93" s="915">
        <f t="shared" si="201"/>
        <v>0</v>
      </c>
      <c r="AW93" s="915">
        <f t="shared" si="202"/>
        <v>0</v>
      </c>
      <c r="AX93" s="915">
        <f t="shared" si="203"/>
        <v>0</v>
      </c>
      <c r="AY93" s="915">
        <f t="shared" si="204"/>
        <v>0</v>
      </c>
      <c r="AZ93" s="915">
        <f t="shared" si="205"/>
        <v>0</v>
      </c>
      <c r="BA93" s="915">
        <f t="shared" si="206"/>
        <v>0</v>
      </c>
      <c r="BB93" s="915">
        <f t="shared" si="207"/>
        <v>0</v>
      </c>
      <c r="BC93" s="915">
        <f t="shared" si="354"/>
        <v>0</v>
      </c>
      <c r="BD93" s="915">
        <f t="shared" si="355"/>
        <v>0</v>
      </c>
      <c r="BE93" s="915">
        <f t="shared" si="356"/>
        <v>0</v>
      </c>
      <c r="BF93" s="915">
        <f t="shared" si="357"/>
        <v>0</v>
      </c>
      <c r="BG93" s="915">
        <f t="shared" si="358"/>
        <v>0</v>
      </c>
      <c r="BH93" s="915">
        <f t="shared" si="359"/>
        <v>0</v>
      </c>
      <c r="BI93" s="915">
        <f t="shared" si="360"/>
        <v>0</v>
      </c>
      <c r="BJ93" s="915">
        <f t="shared" si="361"/>
        <v>0</v>
      </c>
      <c r="BK93" s="915">
        <f t="shared" si="216"/>
        <v>0</v>
      </c>
      <c r="BL93" s="915">
        <f t="shared" si="217"/>
        <v>0</v>
      </c>
      <c r="BM93" s="915">
        <f t="shared" si="218"/>
        <v>0</v>
      </c>
      <c r="BN93" s="915">
        <f t="shared" si="219"/>
        <v>0</v>
      </c>
      <c r="BO93" s="915">
        <f t="shared" si="220"/>
        <v>0</v>
      </c>
      <c r="BP93" s="915">
        <f t="shared" si="221"/>
        <v>0</v>
      </c>
      <c r="BQ93" s="915">
        <f t="shared" si="222"/>
        <v>0</v>
      </c>
      <c r="BR93" s="915">
        <f t="shared" si="223"/>
        <v>0</v>
      </c>
      <c r="BS93" s="915">
        <f t="shared" si="344"/>
        <v>0</v>
      </c>
      <c r="BT93" s="915">
        <f t="shared" si="345"/>
        <v>0</v>
      </c>
      <c r="BU93" s="915">
        <f t="shared" si="346"/>
        <v>0</v>
      </c>
      <c r="BV93" s="915">
        <f t="shared" si="347"/>
        <v>0</v>
      </c>
      <c r="BW93" s="915">
        <f t="shared" si="348"/>
        <v>0</v>
      </c>
      <c r="BX93" s="915">
        <f t="shared" si="349"/>
        <v>0</v>
      </c>
      <c r="BY93" s="915">
        <f t="shared" si="350"/>
        <v>0</v>
      </c>
      <c r="BZ93" s="915">
        <f t="shared" si="351"/>
        <v>0</v>
      </c>
      <c r="CA93" s="915">
        <f t="shared" ref="CA93:CA109" si="362">IF(AND($D93=$R$15,$E93=$T$8),$J93,0)</f>
        <v>0</v>
      </c>
      <c r="CB93" s="915">
        <f t="shared" ref="CB93:CB109" si="363">IF(AND($D93=$R$15,$E93=$T$9),$J93,0)</f>
        <v>0</v>
      </c>
      <c r="CC93" s="915">
        <f t="shared" ref="CC93:CC109" si="364">IF(AND($D93=$R$15,$E93=$T$10),$J93,0)</f>
        <v>0</v>
      </c>
      <c r="CD93" s="915">
        <f t="shared" ref="CD93:CD109" si="365">IF(AND($D93=$R$15,$E93=$T$11),$J93,0)</f>
        <v>0</v>
      </c>
      <c r="CE93" s="915">
        <f t="shared" ref="CE93:CE109" si="366">IF(AND($D93=$R$15,$E93=$T$12),$J93,0)</f>
        <v>0</v>
      </c>
      <c r="CF93" s="915">
        <f t="shared" ref="CF93:CF109" si="367">IF(AND($D93=$R$15,$E93=$T$13),$J93,0)</f>
        <v>0</v>
      </c>
      <c r="CG93" s="915">
        <f t="shared" ref="CG93:CG109" si="368">IF(AND($D93=$R$15,$E93=$T$14),$J93,0)</f>
        <v>0</v>
      </c>
      <c r="CH93" s="915">
        <f t="shared" ref="CH93:CH109" si="369">IF(AND($D93=$R$15,$E93=$T$15),$J93,0)</f>
        <v>0</v>
      </c>
      <c r="CI93" s="915">
        <f t="shared" si="336"/>
        <v>0</v>
      </c>
      <c r="CJ93" s="915">
        <f t="shared" si="337"/>
        <v>0</v>
      </c>
      <c r="CK93" s="915">
        <f t="shared" si="338"/>
        <v>0</v>
      </c>
      <c r="CL93" s="915">
        <f t="shared" si="339"/>
        <v>0</v>
      </c>
      <c r="CM93" s="915">
        <f t="shared" si="340"/>
        <v>0</v>
      </c>
      <c r="CN93" s="915">
        <f t="shared" si="341"/>
        <v>0</v>
      </c>
      <c r="CO93" s="915">
        <f t="shared" si="342"/>
        <v>0</v>
      </c>
      <c r="CP93" s="915">
        <f t="shared" si="343"/>
        <v>0</v>
      </c>
      <c r="CQ93" s="915">
        <f>IF(AND($D93=$R$17,$E93=$T$8),$J93,0)</f>
        <v>0</v>
      </c>
      <c r="CR93" s="915">
        <f>IF(AND($D93=$R$17,$E93=$T$9),$J93,0)</f>
        <v>0</v>
      </c>
      <c r="CS93" s="915">
        <f>IF(AND($D93=$R$17,$E93=$T$10),$J93,0)</f>
        <v>0</v>
      </c>
      <c r="CT93" s="915">
        <f>IF(AND($D93=$R$17,$E93=$T$11),$J93,0)</f>
        <v>0</v>
      </c>
      <c r="CU93" s="915">
        <f>IF(AND($D93=$R$17,$E93=$T$12),$J93,0)</f>
        <v>0</v>
      </c>
      <c r="CV93" s="915">
        <f>IF(AND($D93=$R$17,$E93=$T$13),$J93,0)</f>
        <v>0</v>
      </c>
      <c r="CW93" s="915">
        <f>IF(AND($D93=$R$17,$E93=$T$14),$J93,0)</f>
        <v>0</v>
      </c>
      <c r="CX93" s="915">
        <f>IF(AND($D93=$R$17,$E93=$T$15),$J93,0)</f>
        <v>0</v>
      </c>
      <c r="CY93" s="915">
        <f t="shared" si="256"/>
        <v>0</v>
      </c>
      <c r="CZ93" s="915">
        <f t="shared" si="257"/>
        <v>0</v>
      </c>
      <c r="DA93" s="915">
        <f t="shared" si="258"/>
        <v>0</v>
      </c>
      <c r="DB93" s="915">
        <f t="shared" si="259"/>
        <v>0</v>
      </c>
      <c r="DC93" s="915">
        <f t="shared" si="260"/>
        <v>0</v>
      </c>
      <c r="DD93" s="915">
        <f t="shared" si="261"/>
        <v>7.42</v>
      </c>
      <c r="DE93" s="915">
        <f t="shared" si="262"/>
        <v>0</v>
      </c>
      <c r="DF93" s="915">
        <f t="shared" si="263"/>
        <v>0</v>
      </c>
      <c r="DG93" s="915">
        <f t="shared" si="264"/>
        <v>0</v>
      </c>
      <c r="DH93" s="915">
        <f t="shared" si="265"/>
        <v>0</v>
      </c>
      <c r="DI93" s="915">
        <f t="shared" si="266"/>
        <v>0</v>
      </c>
      <c r="DJ93" s="915">
        <f t="shared" si="267"/>
        <v>0</v>
      </c>
      <c r="DK93" s="915">
        <f t="shared" si="268"/>
        <v>0</v>
      </c>
      <c r="DL93" s="915">
        <f t="shared" si="269"/>
        <v>0</v>
      </c>
      <c r="DM93" s="915">
        <f t="shared" si="270"/>
        <v>0</v>
      </c>
      <c r="DN93" s="915">
        <f t="shared" si="271"/>
        <v>0</v>
      </c>
      <c r="DO93" s="915">
        <f t="shared" si="272"/>
        <v>0</v>
      </c>
      <c r="DP93" s="915">
        <f t="shared" si="273"/>
        <v>0</v>
      </c>
      <c r="DQ93" s="915">
        <f t="shared" si="274"/>
        <v>0</v>
      </c>
      <c r="DR93" s="915">
        <f t="shared" si="275"/>
        <v>0</v>
      </c>
      <c r="DS93" s="915">
        <f t="shared" si="276"/>
        <v>0</v>
      </c>
      <c r="DT93" s="915">
        <f t="shared" si="277"/>
        <v>0</v>
      </c>
      <c r="DU93" s="915">
        <f t="shared" si="278"/>
        <v>0</v>
      </c>
      <c r="DV93" s="915">
        <f t="shared" si="279"/>
        <v>0</v>
      </c>
      <c r="DW93" s="915">
        <f t="shared" si="280"/>
        <v>0</v>
      </c>
      <c r="DX93" s="915">
        <f t="shared" si="281"/>
        <v>0</v>
      </c>
      <c r="DY93" s="915">
        <f t="shared" si="282"/>
        <v>0</v>
      </c>
      <c r="DZ93" s="915">
        <f t="shared" si="283"/>
        <v>0</v>
      </c>
      <c r="EA93" s="915">
        <f t="shared" si="284"/>
        <v>0</v>
      </c>
      <c r="EB93" s="915">
        <f t="shared" si="285"/>
        <v>0</v>
      </c>
      <c r="EC93" s="915">
        <f t="shared" si="286"/>
        <v>0</v>
      </c>
      <c r="ED93" s="915">
        <f t="shared" si="287"/>
        <v>0</v>
      </c>
      <c r="EE93" s="915">
        <f t="shared" si="288"/>
        <v>0</v>
      </c>
      <c r="EF93" s="915">
        <f t="shared" si="289"/>
        <v>0</v>
      </c>
      <c r="EG93" s="915">
        <f t="shared" si="290"/>
        <v>0</v>
      </c>
      <c r="EH93" s="915">
        <f t="shared" si="291"/>
        <v>0</v>
      </c>
      <c r="EI93" s="915">
        <f t="shared" si="292"/>
        <v>0</v>
      </c>
      <c r="EJ93" s="915">
        <f t="shared" si="293"/>
        <v>0</v>
      </c>
      <c r="EK93" s="915">
        <f t="shared" si="294"/>
        <v>0</v>
      </c>
      <c r="EL93" s="915">
        <f t="shared" si="295"/>
        <v>0</v>
      </c>
      <c r="EM93" s="915">
        <f t="shared" si="296"/>
        <v>0</v>
      </c>
      <c r="EN93" s="915">
        <f t="shared" si="297"/>
        <v>0</v>
      </c>
      <c r="EO93" s="915">
        <f t="shared" si="298"/>
        <v>0</v>
      </c>
      <c r="EP93" s="915">
        <f t="shared" si="299"/>
        <v>0</v>
      </c>
      <c r="EQ93" s="915">
        <f t="shared" si="300"/>
        <v>0</v>
      </c>
      <c r="ER93" s="915">
        <f t="shared" si="301"/>
        <v>0</v>
      </c>
      <c r="ES93" s="915">
        <f t="shared" si="302"/>
        <v>0</v>
      </c>
      <c r="ET93" s="915">
        <f t="shared" si="303"/>
        <v>0</v>
      </c>
      <c r="EU93" s="915">
        <f t="shared" si="304"/>
        <v>0</v>
      </c>
      <c r="EV93" s="915">
        <f t="shared" si="305"/>
        <v>0</v>
      </c>
      <c r="EW93" s="915">
        <f t="shared" si="306"/>
        <v>0</v>
      </c>
      <c r="EX93" s="915">
        <f t="shared" si="307"/>
        <v>0</v>
      </c>
      <c r="EY93" s="915">
        <f t="shared" si="308"/>
        <v>0</v>
      </c>
      <c r="EZ93" s="915">
        <f t="shared" si="309"/>
        <v>0</v>
      </c>
      <c r="FA93" s="915">
        <f t="shared" si="310"/>
        <v>0</v>
      </c>
      <c r="FB93" s="915">
        <f t="shared" si="311"/>
        <v>0</v>
      </c>
      <c r="FC93" s="915">
        <f t="shared" si="312"/>
        <v>0</v>
      </c>
      <c r="FD93" s="915">
        <f t="shared" si="313"/>
        <v>0</v>
      </c>
      <c r="FE93" s="915">
        <f t="shared" si="314"/>
        <v>0</v>
      </c>
      <c r="FF93" s="915">
        <f t="shared" si="315"/>
        <v>0</v>
      </c>
      <c r="FG93" s="915">
        <f t="shared" si="316"/>
        <v>0</v>
      </c>
      <c r="FH93" s="915">
        <f t="shared" si="317"/>
        <v>0</v>
      </c>
      <c r="FI93" s="915">
        <f t="shared" si="318"/>
        <v>0</v>
      </c>
      <c r="FJ93" s="915">
        <f t="shared" si="319"/>
        <v>0</v>
      </c>
      <c r="FK93" s="915">
        <f t="shared" si="320"/>
        <v>0</v>
      </c>
      <c r="FL93" s="915">
        <f t="shared" si="321"/>
        <v>0</v>
      </c>
      <c r="FM93" s="915">
        <f t="shared" si="322"/>
        <v>0</v>
      </c>
      <c r="FN93" s="915">
        <f t="shared" si="323"/>
        <v>0</v>
      </c>
      <c r="FO93" s="915">
        <f t="shared" si="324"/>
        <v>0</v>
      </c>
      <c r="FP93" s="915">
        <f t="shared" si="325"/>
        <v>0</v>
      </c>
      <c r="FQ93" s="915">
        <f t="shared" si="326"/>
        <v>0</v>
      </c>
      <c r="FR93" s="915">
        <f t="shared" si="327"/>
        <v>0</v>
      </c>
      <c r="FS93" s="915">
        <f t="shared" si="328"/>
        <v>0</v>
      </c>
      <c r="FT93" s="915">
        <f t="shared" si="329"/>
        <v>0</v>
      </c>
      <c r="FU93" s="915">
        <f t="shared" si="330"/>
        <v>0</v>
      </c>
      <c r="FV93" s="915">
        <f t="shared" si="331"/>
        <v>0</v>
      </c>
      <c r="FW93" s="915">
        <f t="shared" si="332"/>
        <v>0</v>
      </c>
      <c r="FX93" s="915">
        <f t="shared" si="333"/>
        <v>0</v>
      </c>
      <c r="FY93" s="915">
        <f t="shared" si="334"/>
        <v>0</v>
      </c>
      <c r="FZ93" s="915">
        <f t="shared" si="335"/>
        <v>0</v>
      </c>
    </row>
    <row r="94" spans="1:182" x14ac:dyDescent="0.2">
      <c r="A94" s="496">
        <v>87</v>
      </c>
      <c r="B94" s="1419"/>
      <c r="C94" s="1433"/>
      <c r="D94" s="264">
        <v>11</v>
      </c>
      <c r="E94" s="264" t="s">
        <v>48</v>
      </c>
      <c r="F94" s="270" t="s">
        <v>2544</v>
      </c>
      <c r="G94" s="270" t="s">
        <v>2542</v>
      </c>
      <c r="H94" s="272">
        <v>7</v>
      </c>
      <c r="I94" s="268">
        <f t="shared" si="352"/>
        <v>0.42</v>
      </c>
      <c r="J94" s="269">
        <f t="shared" si="353"/>
        <v>7.42</v>
      </c>
      <c r="K94" s="225"/>
      <c r="N94" s="951">
        <f>DE6</f>
        <v>7.42</v>
      </c>
      <c r="O94" s="915" t="str">
        <f>"Miscellaneous for "&amp;TabName11</f>
        <v>Miscellaneous for Phase 11</v>
      </c>
      <c r="P94" s="949" t="s">
        <v>2124</v>
      </c>
      <c r="W94" s="915">
        <f t="shared" si="176"/>
        <v>0</v>
      </c>
      <c r="X94" s="915">
        <f t="shared" si="177"/>
        <v>0</v>
      </c>
      <c r="Y94" s="915">
        <f t="shared" si="178"/>
        <v>0</v>
      </c>
      <c r="Z94" s="915">
        <f t="shared" si="179"/>
        <v>0</v>
      </c>
      <c r="AA94" s="915">
        <f t="shared" si="180"/>
        <v>0</v>
      </c>
      <c r="AB94" s="915">
        <f t="shared" si="181"/>
        <v>0</v>
      </c>
      <c r="AC94" s="915">
        <f t="shared" si="182"/>
        <v>0</v>
      </c>
      <c r="AD94" s="915">
        <f t="shared" si="183"/>
        <v>0</v>
      </c>
      <c r="AE94" s="915">
        <f t="shared" si="184"/>
        <v>0</v>
      </c>
      <c r="AF94" s="915">
        <f t="shared" si="185"/>
        <v>0</v>
      </c>
      <c r="AG94" s="915">
        <f t="shared" si="186"/>
        <v>0</v>
      </c>
      <c r="AH94" s="915">
        <f t="shared" si="187"/>
        <v>0</v>
      </c>
      <c r="AI94" s="915">
        <f t="shared" si="188"/>
        <v>0</v>
      </c>
      <c r="AJ94" s="915">
        <f t="shared" si="189"/>
        <v>0</v>
      </c>
      <c r="AK94" s="915">
        <f t="shared" si="190"/>
        <v>0</v>
      </c>
      <c r="AL94" s="915">
        <f t="shared" si="191"/>
        <v>0</v>
      </c>
      <c r="AM94" s="915">
        <f t="shared" si="192"/>
        <v>0</v>
      </c>
      <c r="AN94" s="915">
        <f t="shared" si="193"/>
        <v>0</v>
      </c>
      <c r="AO94" s="915">
        <f t="shared" si="194"/>
        <v>0</v>
      </c>
      <c r="AP94" s="915">
        <f t="shared" si="195"/>
        <v>0</v>
      </c>
      <c r="AQ94" s="915">
        <f t="shared" si="196"/>
        <v>0</v>
      </c>
      <c r="AR94" s="915">
        <f t="shared" si="197"/>
        <v>0</v>
      </c>
      <c r="AS94" s="915">
        <f t="shared" si="198"/>
        <v>0</v>
      </c>
      <c r="AT94" s="915">
        <f t="shared" si="199"/>
        <v>0</v>
      </c>
      <c r="AU94" s="915">
        <f t="shared" si="200"/>
        <v>0</v>
      </c>
      <c r="AV94" s="915">
        <f t="shared" si="201"/>
        <v>0</v>
      </c>
      <c r="AW94" s="915">
        <f t="shared" si="202"/>
        <v>0</v>
      </c>
      <c r="AX94" s="915">
        <f t="shared" si="203"/>
        <v>0</v>
      </c>
      <c r="AY94" s="915">
        <f t="shared" si="204"/>
        <v>0</v>
      </c>
      <c r="AZ94" s="915">
        <f t="shared" si="205"/>
        <v>0</v>
      </c>
      <c r="BA94" s="915">
        <f t="shared" si="206"/>
        <v>0</v>
      </c>
      <c r="BB94" s="915">
        <f t="shared" si="207"/>
        <v>0</v>
      </c>
      <c r="BC94" s="915">
        <f t="shared" si="354"/>
        <v>0</v>
      </c>
      <c r="BD94" s="915">
        <f t="shared" si="355"/>
        <v>0</v>
      </c>
      <c r="BE94" s="915">
        <f t="shared" si="356"/>
        <v>0</v>
      </c>
      <c r="BF94" s="915">
        <f t="shared" si="357"/>
        <v>0</v>
      </c>
      <c r="BG94" s="915">
        <f t="shared" si="358"/>
        <v>0</v>
      </c>
      <c r="BH94" s="915">
        <f t="shared" si="359"/>
        <v>0</v>
      </c>
      <c r="BI94" s="915">
        <f t="shared" si="360"/>
        <v>0</v>
      </c>
      <c r="BJ94" s="915">
        <f t="shared" si="361"/>
        <v>0</v>
      </c>
      <c r="BK94" s="915">
        <f t="shared" si="216"/>
        <v>0</v>
      </c>
      <c r="BL94" s="915">
        <f t="shared" si="217"/>
        <v>0</v>
      </c>
      <c r="BM94" s="915">
        <f t="shared" si="218"/>
        <v>0</v>
      </c>
      <c r="BN94" s="915">
        <f t="shared" si="219"/>
        <v>0</v>
      </c>
      <c r="BO94" s="915">
        <f t="shared" si="220"/>
        <v>0</v>
      </c>
      <c r="BP94" s="915">
        <f t="shared" si="221"/>
        <v>0</v>
      </c>
      <c r="BQ94" s="915">
        <f t="shared" si="222"/>
        <v>0</v>
      </c>
      <c r="BR94" s="915">
        <f t="shared" si="223"/>
        <v>0</v>
      </c>
      <c r="BS94" s="915">
        <f t="shared" si="344"/>
        <v>0</v>
      </c>
      <c r="BT94" s="915">
        <f t="shared" si="345"/>
        <v>0</v>
      </c>
      <c r="BU94" s="915">
        <f t="shared" si="346"/>
        <v>0</v>
      </c>
      <c r="BV94" s="915">
        <f t="shared" si="347"/>
        <v>0</v>
      </c>
      <c r="BW94" s="915">
        <f t="shared" si="348"/>
        <v>0</v>
      </c>
      <c r="BX94" s="915">
        <f t="shared" si="349"/>
        <v>0</v>
      </c>
      <c r="BY94" s="915">
        <f t="shared" si="350"/>
        <v>0</v>
      </c>
      <c r="BZ94" s="915">
        <f t="shared" si="351"/>
        <v>0</v>
      </c>
      <c r="CA94" s="915">
        <f t="shared" si="362"/>
        <v>0</v>
      </c>
      <c r="CB94" s="915">
        <f t="shared" si="363"/>
        <v>0</v>
      </c>
      <c r="CC94" s="915">
        <f t="shared" si="364"/>
        <v>0</v>
      </c>
      <c r="CD94" s="915">
        <f t="shared" si="365"/>
        <v>0</v>
      </c>
      <c r="CE94" s="915">
        <f t="shared" si="366"/>
        <v>0</v>
      </c>
      <c r="CF94" s="915">
        <f t="shared" si="367"/>
        <v>0</v>
      </c>
      <c r="CG94" s="915">
        <f t="shared" si="368"/>
        <v>0</v>
      </c>
      <c r="CH94" s="915">
        <f t="shared" si="369"/>
        <v>0</v>
      </c>
      <c r="CI94" s="915">
        <f t="shared" si="336"/>
        <v>0</v>
      </c>
      <c r="CJ94" s="915">
        <f t="shared" si="337"/>
        <v>0</v>
      </c>
      <c r="CK94" s="915">
        <f t="shared" si="338"/>
        <v>0</v>
      </c>
      <c r="CL94" s="915">
        <f t="shared" si="339"/>
        <v>0</v>
      </c>
      <c r="CM94" s="915">
        <f t="shared" si="340"/>
        <v>0</v>
      </c>
      <c r="CN94" s="915">
        <f t="shared" si="341"/>
        <v>0</v>
      </c>
      <c r="CO94" s="915">
        <f t="shared" si="342"/>
        <v>0</v>
      </c>
      <c r="CP94" s="915">
        <f t="shared" si="343"/>
        <v>0</v>
      </c>
      <c r="CQ94" s="915">
        <f t="shared" ref="CQ94:CQ157" si="370">IF(AND($D94=$R$17,$E94=$T$8),$J94,0)</f>
        <v>0</v>
      </c>
      <c r="CR94" s="915">
        <f t="shared" ref="CR94:CR157" si="371">IF(AND($D94=$R$17,$E94=$T$9),$J94,0)</f>
        <v>0</v>
      </c>
      <c r="CS94" s="915">
        <f t="shared" ref="CS94:CS157" si="372">IF(AND($D94=$R$17,$E94=$T$10),$J94,0)</f>
        <v>0</v>
      </c>
      <c r="CT94" s="915">
        <f t="shared" ref="CT94:CT157" si="373">IF(AND($D94=$R$17,$E94=$T$11),$J94,0)</f>
        <v>0</v>
      </c>
      <c r="CU94" s="915">
        <f t="shared" ref="CU94:CU157" si="374">IF(AND($D94=$R$17,$E94=$T$12),$J94,0)</f>
        <v>0</v>
      </c>
      <c r="CV94" s="915">
        <f t="shared" ref="CV94:CV157" si="375">IF(AND($D94=$R$17,$E94=$T$13),$J94,0)</f>
        <v>0</v>
      </c>
      <c r="CW94" s="915">
        <f t="shared" ref="CW94:CW157" si="376">IF(AND($D94=$R$17,$E94=$T$14),$J94,0)</f>
        <v>0</v>
      </c>
      <c r="CX94" s="915">
        <f t="shared" ref="CX94:CX157" si="377">IF(AND($D94=$R$17,$E94=$T$15),$J94,0)</f>
        <v>0</v>
      </c>
      <c r="CY94" s="915">
        <f t="shared" si="256"/>
        <v>0</v>
      </c>
      <c r="CZ94" s="915">
        <f t="shared" si="257"/>
        <v>0</v>
      </c>
      <c r="DA94" s="915">
        <f t="shared" si="258"/>
        <v>0</v>
      </c>
      <c r="DB94" s="915">
        <f t="shared" si="259"/>
        <v>0</v>
      </c>
      <c r="DC94" s="915">
        <f t="shared" si="260"/>
        <v>0</v>
      </c>
      <c r="DD94" s="915">
        <f t="shared" si="261"/>
        <v>0</v>
      </c>
      <c r="DE94" s="915">
        <f t="shared" si="262"/>
        <v>7.42</v>
      </c>
      <c r="DF94" s="915">
        <f t="shared" si="263"/>
        <v>0</v>
      </c>
      <c r="DG94" s="915">
        <f t="shared" si="264"/>
        <v>0</v>
      </c>
      <c r="DH94" s="915">
        <f t="shared" si="265"/>
        <v>0</v>
      </c>
      <c r="DI94" s="915">
        <f t="shared" si="266"/>
        <v>0</v>
      </c>
      <c r="DJ94" s="915">
        <f t="shared" si="267"/>
        <v>0</v>
      </c>
      <c r="DK94" s="915">
        <f t="shared" si="268"/>
        <v>0</v>
      </c>
      <c r="DL94" s="915">
        <f t="shared" si="269"/>
        <v>0</v>
      </c>
      <c r="DM94" s="915">
        <f t="shared" si="270"/>
        <v>0</v>
      </c>
      <c r="DN94" s="915">
        <f t="shared" si="271"/>
        <v>0</v>
      </c>
      <c r="DO94" s="915">
        <f t="shared" si="272"/>
        <v>0</v>
      </c>
      <c r="DP94" s="915">
        <f t="shared" si="273"/>
        <v>0</v>
      </c>
      <c r="DQ94" s="915">
        <f t="shared" si="274"/>
        <v>0</v>
      </c>
      <c r="DR94" s="915">
        <f t="shared" si="275"/>
        <v>0</v>
      </c>
      <c r="DS94" s="915">
        <f t="shared" si="276"/>
        <v>0</v>
      </c>
      <c r="DT94" s="915">
        <f t="shared" si="277"/>
        <v>0</v>
      </c>
      <c r="DU94" s="915">
        <f t="shared" si="278"/>
        <v>0</v>
      </c>
      <c r="DV94" s="915">
        <f t="shared" si="279"/>
        <v>0</v>
      </c>
      <c r="DW94" s="915">
        <f t="shared" si="280"/>
        <v>0</v>
      </c>
      <c r="DX94" s="915">
        <f t="shared" si="281"/>
        <v>0</v>
      </c>
      <c r="DY94" s="915">
        <f t="shared" si="282"/>
        <v>0</v>
      </c>
      <c r="DZ94" s="915">
        <f t="shared" si="283"/>
        <v>0</v>
      </c>
      <c r="EA94" s="915">
        <f t="shared" si="284"/>
        <v>0</v>
      </c>
      <c r="EB94" s="915">
        <f t="shared" si="285"/>
        <v>0</v>
      </c>
      <c r="EC94" s="915">
        <f t="shared" si="286"/>
        <v>0</v>
      </c>
      <c r="ED94" s="915">
        <f t="shared" si="287"/>
        <v>0</v>
      </c>
      <c r="EE94" s="915">
        <f t="shared" si="288"/>
        <v>0</v>
      </c>
      <c r="EF94" s="915">
        <f t="shared" si="289"/>
        <v>0</v>
      </c>
      <c r="EG94" s="915">
        <f t="shared" si="290"/>
        <v>0</v>
      </c>
      <c r="EH94" s="915">
        <f t="shared" si="291"/>
        <v>0</v>
      </c>
      <c r="EI94" s="915">
        <f t="shared" si="292"/>
        <v>0</v>
      </c>
      <c r="EJ94" s="915">
        <f t="shared" si="293"/>
        <v>0</v>
      </c>
      <c r="EK94" s="915">
        <f t="shared" si="294"/>
        <v>0</v>
      </c>
      <c r="EL94" s="915">
        <f t="shared" si="295"/>
        <v>0</v>
      </c>
      <c r="EM94" s="915">
        <f t="shared" si="296"/>
        <v>0</v>
      </c>
      <c r="EN94" s="915">
        <f t="shared" si="297"/>
        <v>0</v>
      </c>
      <c r="EO94" s="915">
        <f t="shared" si="298"/>
        <v>0</v>
      </c>
      <c r="EP94" s="915">
        <f t="shared" si="299"/>
        <v>0</v>
      </c>
      <c r="EQ94" s="915">
        <f t="shared" si="300"/>
        <v>0</v>
      </c>
      <c r="ER94" s="915">
        <f t="shared" si="301"/>
        <v>0</v>
      </c>
      <c r="ES94" s="915">
        <f t="shared" si="302"/>
        <v>0</v>
      </c>
      <c r="ET94" s="915">
        <f t="shared" si="303"/>
        <v>0</v>
      </c>
      <c r="EU94" s="915">
        <f t="shared" si="304"/>
        <v>0</v>
      </c>
      <c r="EV94" s="915">
        <f t="shared" si="305"/>
        <v>0</v>
      </c>
      <c r="EW94" s="915">
        <f t="shared" si="306"/>
        <v>0</v>
      </c>
      <c r="EX94" s="915">
        <f t="shared" si="307"/>
        <v>0</v>
      </c>
      <c r="EY94" s="915">
        <f t="shared" si="308"/>
        <v>0</v>
      </c>
      <c r="EZ94" s="915">
        <f t="shared" si="309"/>
        <v>0</v>
      </c>
      <c r="FA94" s="915">
        <f t="shared" si="310"/>
        <v>0</v>
      </c>
      <c r="FB94" s="915">
        <f t="shared" si="311"/>
        <v>0</v>
      </c>
      <c r="FC94" s="915">
        <f t="shared" si="312"/>
        <v>0</v>
      </c>
      <c r="FD94" s="915">
        <f t="shared" si="313"/>
        <v>0</v>
      </c>
      <c r="FE94" s="915">
        <f t="shared" si="314"/>
        <v>0</v>
      </c>
      <c r="FF94" s="915">
        <f t="shared" si="315"/>
        <v>0</v>
      </c>
      <c r="FG94" s="915">
        <f t="shared" si="316"/>
        <v>0</v>
      </c>
      <c r="FH94" s="915">
        <f t="shared" si="317"/>
        <v>0</v>
      </c>
      <c r="FI94" s="915">
        <f t="shared" si="318"/>
        <v>0</v>
      </c>
      <c r="FJ94" s="915">
        <f t="shared" si="319"/>
        <v>0</v>
      </c>
      <c r="FK94" s="915">
        <f t="shared" si="320"/>
        <v>0</v>
      </c>
      <c r="FL94" s="915">
        <f t="shared" si="321"/>
        <v>0</v>
      </c>
      <c r="FM94" s="915">
        <f t="shared" si="322"/>
        <v>0</v>
      </c>
      <c r="FN94" s="915">
        <f t="shared" si="323"/>
        <v>0</v>
      </c>
      <c r="FO94" s="915">
        <f t="shared" si="324"/>
        <v>0</v>
      </c>
      <c r="FP94" s="915">
        <f t="shared" si="325"/>
        <v>0</v>
      </c>
      <c r="FQ94" s="915">
        <f t="shared" si="326"/>
        <v>0</v>
      </c>
      <c r="FR94" s="915">
        <f t="shared" si="327"/>
        <v>0</v>
      </c>
      <c r="FS94" s="915">
        <f t="shared" si="328"/>
        <v>0</v>
      </c>
      <c r="FT94" s="915">
        <f t="shared" si="329"/>
        <v>0</v>
      </c>
      <c r="FU94" s="915">
        <f t="shared" si="330"/>
        <v>0</v>
      </c>
      <c r="FV94" s="915">
        <f t="shared" si="331"/>
        <v>0</v>
      </c>
      <c r="FW94" s="915">
        <f t="shared" si="332"/>
        <v>0</v>
      </c>
      <c r="FX94" s="915">
        <f t="shared" si="333"/>
        <v>0</v>
      </c>
      <c r="FY94" s="915">
        <f t="shared" si="334"/>
        <v>0</v>
      </c>
      <c r="FZ94" s="915">
        <f t="shared" si="335"/>
        <v>0</v>
      </c>
    </row>
    <row r="95" spans="1:182" x14ac:dyDescent="0.2">
      <c r="A95" s="497">
        <v>88</v>
      </c>
      <c r="B95" s="1423"/>
      <c r="C95" s="1424"/>
      <c r="D95" s="138">
        <v>11</v>
      </c>
      <c r="E95" s="138" t="s">
        <v>27</v>
      </c>
      <c r="F95" s="139" t="s">
        <v>2544</v>
      </c>
      <c r="G95" s="139" t="s">
        <v>2542</v>
      </c>
      <c r="H95" s="100">
        <v>7</v>
      </c>
      <c r="I95" s="119">
        <f t="shared" si="352"/>
        <v>0.42</v>
      </c>
      <c r="J95" s="90">
        <f t="shared" si="353"/>
        <v>7.42</v>
      </c>
      <c r="K95" s="225"/>
      <c r="N95" s="951">
        <f>DF6</f>
        <v>7.42</v>
      </c>
      <c r="O95" s="879" t="str">
        <f>"Contractor Labor for " &amp; TabName11</f>
        <v>Contractor Labor for Phase 11</v>
      </c>
      <c r="P95" s="950" t="s">
        <v>2125</v>
      </c>
      <c r="W95" s="915">
        <f t="shared" si="176"/>
        <v>0</v>
      </c>
      <c r="X95" s="915">
        <f t="shared" si="177"/>
        <v>0</v>
      </c>
      <c r="Y95" s="915">
        <f t="shared" si="178"/>
        <v>0</v>
      </c>
      <c r="Z95" s="915">
        <f t="shared" si="179"/>
        <v>0</v>
      </c>
      <c r="AA95" s="915">
        <f t="shared" si="180"/>
        <v>0</v>
      </c>
      <c r="AB95" s="915">
        <f t="shared" si="181"/>
        <v>0</v>
      </c>
      <c r="AC95" s="915">
        <f t="shared" si="182"/>
        <v>0</v>
      </c>
      <c r="AD95" s="915">
        <f t="shared" si="183"/>
        <v>0</v>
      </c>
      <c r="AE95" s="915">
        <f t="shared" si="184"/>
        <v>0</v>
      </c>
      <c r="AF95" s="915">
        <f t="shared" si="185"/>
        <v>0</v>
      </c>
      <c r="AG95" s="915">
        <f t="shared" si="186"/>
        <v>0</v>
      </c>
      <c r="AH95" s="915">
        <f t="shared" si="187"/>
        <v>0</v>
      </c>
      <c r="AI95" s="915">
        <f t="shared" si="188"/>
        <v>0</v>
      </c>
      <c r="AJ95" s="915">
        <f t="shared" si="189"/>
        <v>0</v>
      </c>
      <c r="AK95" s="915">
        <f t="shared" si="190"/>
        <v>0</v>
      </c>
      <c r="AL95" s="915">
        <f t="shared" si="191"/>
        <v>0</v>
      </c>
      <c r="AM95" s="915">
        <f t="shared" si="192"/>
        <v>0</v>
      </c>
      <c r="AN95" s="915">
        <f t="shared" si="193"/>
        <v>0</v>
      </c>
      <c r="AO95" s="915">
        <f t="shared" si="194"/>
        <v>0</v>
      </c>
      <c r="AP95" s="915">
        <f t="shared" si="195"/>
        <v>0</v>
      </c>
      <c r="AQ95" s="915">
        <f t="shared" si="196"/>
        <v>0</v>
      </c>
      <c r="AR95" s="915">
        <f t="shared" si="197"/>
        <v>0</v>
      </c>
      <c r="AS95" s="915">
        <f t="shared" si="198"/>
        <v>0</v>
      </c>
      <c r="AT95" s="915">
        <f t="shared" si="199"/>
        <v>0</v>
      </c>
      <c r="AU95" s="915">
        <f t="shared" si="200"/>
        <v>0</v>
      </c>
      <c r="AV95" s="915">
        <f t="shared" si="201"/>
        <v>0</v>
      </c>
      <c r="AW95" s="915">
        <f t="shared" si="202"/>
        <v>0</v>
      </c>
      <c r="AX95" s="915">
        <f t="shared" si="203"/>
        <v>0</v>
      </c>
      <c r="AY95" s="915">
        <f t="shared" si="204"/>
        <v>0</v>
      </c>
      <c r="AZ95" s="915">
        <f t="shared" si="205"/>
        <v>0</v>
      </c>
      <c r="BA95" s="915">
        <f t="shared" si="206"/>
        <v>0</v>
      </c>
      <c r="BB95" s="915">
        <f t="shared" si="207"/>
        <v>0</v>
      </c>
      <c r="BC95" s="915">
        <f t="shared" si="354"/>
        <v>0</v>
      </c>
      <c r="BD95" s="915">
        <f t="shared" si="355"/>
        <v>0</v>
      </c>
      <c r="BE95" s="915">
        <f t="shared" si="356"/>
        <v>0</v>
      </c>
      <c r="BF95" s="915">
        <f t="shared" si="357"/>
        <v>0</v>
      </c>
      <c r="BG95" s="915">
        <f t="shared" si="358"/>
        <v>0</v>
      </c>
      <c r="BH95" s="915">
        <f t="shared" si="359"/>
        <v>0</v>
      </c>
      <c r="BI95" s="915">
        <f t="shared" si="360"/>
        <v>0</v>
      </c>
      <c r="BJ95" s="915">
        <f t="shared" si="361"/>
        <v>0</v>
      </c>
      <c r="BK95" s="915">
        <f t="shared" si="216"/>
        <v>0</v>
      </c>
      <c r="BL95" s="915">
        <f t="shared" si="217"/>
        <v>0</v>
      </c>
      <c r="BM95" s="915">
        <f t="shared" si="218"/>
        <v>0</v>
      </c>
      <c r="BN95" s="915">
        <f t="shared" si="219"/>
        <v>0</v>
      </c>
      <c r="BO95" s="915">
        <f t="shared" si="220"/>
        <v>0</v>
      </c>
      <c r="BP95" s="915">
        <f t="shared" si="221"/>
        <v>0</v>
      </c>
      <c r="BQ95" s="915">
        <f t="shared" si="222"/>
        <v>0</v>
      </c>
      <c r="BR95" s="915">
        <f t="shared" si="223"/>
        <v>0</v>
      </c>
      <c r="BS95" s="915">
        <f>IF(AND($D95=$R$14,$E95=$T$8),$J95,0)</f>
        <v>0</v>
      </c>
      <c r="BT95" s="915">
        <f>IF(AND($D95=$R$14,$E95=$T$9),$J95,0)</f>
        <v>0</v>
      </c>
      <c r="BU95" s="915">
        <f>IF(AND($D95=$R$14,$E95=$T$10),$J95,0)</f>
        <v>0</v>
      </c>
      <c r="BV95" s="915">
        <f>IF(AND($D95=$R$14,$E95=$T$11),$J95,0)</f>
        <v>0</v>
      </c>
      <c r="BW95" s="915">
        <f>IF(AND($D95=$R$14,$E95=$T$12),$J95,0)</f>
        <v>0</v>
      </c>
      <c r="BX95" s="915">
        <f>IF(AND($D95=$R$14,$E95=$T$13),$J95,0)</f>
        <v>0</v>
      </c>
      <c r="BY95" s="915">
        <f>IF(AND($D95=$R$14,$E95=$T$14),$J95,0)</f>
        <v>0</v>
      </c>
      <c r="BZ95" s="915">
        <f>IF(AND($D95=$R$14,$E95=$T$15),$J95,0)</f>
        <v>0</v>
      </c>
      <c r="CA95" s="915">
        <f t="shared" si="362"/>
        <v>0</v>
      </c>
      <c r="CB95" s="915">
        <f t="shared" si="363"/>
        <v>0</v>
      </c>
      <c r="CC95" s="915">
        <f t="shared" si="364"/>
        <v>0</v>
      </c>
      <c r="CD95" s="915">
        <f t="shared" si="365"/>
        <v>0</v>
      </c>
      <c r="CE95" s="915">
        <f t="shared" si="366"/>
        <v>0</v>
      </c>
      <c r="CF95" s="915">
        <f t="shared" si="367"/>
        <v>0</v>
      </c>
      <c r="CG95" s="915">
        <f t="shared" si="368"/>
        <v>0</v>
      </c>
      <c r="CH95" s="915">
        <f t="shared" si="369"/>
        <v>0</v>
      </c>
      <c r="CI95" s="915">
        <f t="shared" si="336"/>
        <v>0</v>
      </c>
      <c r="CJ95" s="915">
        <f t="shared" si="337"/>
        <v>0</v>
      </c>
      <c r="CK95" s="915">
        <f t="shared" si="338"/>
        <v>0</v>
      </c>
      <c r="CL95" s="915">
        <f t="shared" si="339"/>
        <v>0</v>
      </c>
      <c r="CM95" s="915">
        <f t="shared" si="340"/>
        <v>0</v>
      </c>
      <c r="CN95" s="915">
        <f t="shared" si="341"/>
        <v>0</v>
      </c>
      <c r="CO95" s="915">
        <f t="shared" si="342"/>
        <v>0</v>
      </c>
      <c r="CP95" s="915">
        <f t="shared" si="343"/>
        <v>0</v>
      </c>
      <c r="CQ95" s="915">
        <f t="shared" si="370"/>
        <v>0</v>
      </c>
      <c r="CR95" s="915">
        <f t="shared" si="371"/>
        <v>0</v>
      </c>
      <c r="CS95" s="915">
        <f t="shared" si="372"/>
        <v>0</v>
      </c>
      <c r="CT95" s="915">
        <f t="shared" si="373"/>
        <v>0</v>
      </c>
      <c r="CU95" s="915">
        <f t="shared" si="374"/>
        <v>0</v>
      </c>
      <c r="CV95" s="915">
        <f t="shared" si="375"/>
        <v>0</v>
      </c>
      <c r="CW95" s="915">
        <f t="shared" si="376"/>
        <v>0</v>
      </c>
      <c r="CX95" s="915">
        <f t="shared" si="377"/>
        <v>0</v>
      </c>
      <c r="CY95" s="915">
        <f t="shared" si="256"/>
        <v>0</v>
      </c>
      <c r="CZ95" s="915">
        <f t="shared" si="257"/>
        <v>0</v>
      </c>
      <c r="DA95" s="915">
        <f t="shared" si="258"/>
        <v>0</v>
      </c>
      <c r="DB95" s="915">
        <f t="shared" si="259"/>
        <v>0</v>
      </c>
      <c r="DC95" s="915">
        <f t="shared" si="260"/>
        <v>0</v>
      </c>
      <c r="DD95" s="915">
        <f t="shared" si="261"/>
        <v>0</v>
      </c>
      <c r="DE95" s="915">
        <f t="shared" si="262"/>
        <v>0</v>
      </c>
      <c r="DF95" s="915">
        <f t="shared" si="263"/>
        <v>7.42</v>
      </c>
      <c r="DG95" s="915">
        <f t="shared" si="264"/>
        <v>0</v>
      </c>
      <c r="DH95" s="915">
        <f t="shared" si="265"/>
        <v>0</v>
      </c>
      <c r="DI95" s="915">
        <f t="shared" si="266"/>
        <v>0</v>
      </c>
      <c r="DJ95" s="915">
        <f t="shared" si="267"/>
        <v>0</v>
      </c>
      <c r="DK95" s="915">
        <f t="shared" si="268"/>
        <v>0</v>
      </c>
      <c r="DL95" s="915">
        <f t="shared" si="269"/>
        <v>0</v>
      </c>
      <c r="DM95" s="915">
        <f t="shared" si="270"/>
        <v>0</v>
      </c>
      <c r="DN95" s="915">
        <f t="shared" si="271"/>
        <v>0</v>
      </c>
      <c r="DO95" s="915">
        <f t="shared" si="272"/>
        <v>0</v>
      </c>
      <c r="DP95" s="915">
        <f t="shared" si="273"/>
        <v>0</v>
      </c>
      <c r="DQ95" s="915">
        <f t="shared" si="274"/>
        <v>0</v>
      </c>
      <c r="DR95" s="915">
        <f t="shared" si="275"/>
        <v>0</v>
      </c>
      <c r="DS95" s="915">
        <f t="shared" si="276"/>
        <v>0</v>
      </c>
      <c r="DT95" s="915">
        <f t="shared" si="277"/>
        <v>0</v>
      </c>
      <c r="DU95" s="915">
        <f t="shared" si="278"/>
        <v>0</v>
      </c>
      <c r="DV95" s="915">
        <f t="shared" si="279"/>
        <v>0</v>
      </c>
      <c r="DW95" s="915">
        <f t="shared" si="280"/>
        <v>0</v>
      </c>
      <c r="DX95" s="915">
        <f t="shared" si="281"/>
        <v>0</v>
      </c>
      <c r="DY95" s="915">
        <f t="shared" si="282"/>
        <v>0</v>
      </c>
      <c r="DZ95" s="915">
        <f t="shared" si="283"/>
        <v>0</v>
      </c>
      <c r="EA95" s="915">
        <f t="shared" si="284"/>
        <v>0</v>
      </c>
      <c r="EB95" s="915">
        <f t="shared" si="285"/>
        <v>0</v>
      </c>
      <c r="EC95" s="915">
        <f t="shared" si="286"/>
        <v>0</v>
      </c>
      <c r="ED95" s="915">
        <f t="shared" si="287"/>
        <v>0</v>
      </c>
      <c r="EE95" s="915">
        <f t="shared" si="288"/>
        <v>0</v>
      </c>
      <c r="EF95" s="915">
        <f t="shared" si="289"/>
        <v>0</v>
      </c>
      <c r="EG95" s="915">
        <f t="shared" si="290"/>
        <v>0</v>
      </c>
      <c r="EH95" s="915">
        <f t="shared" si="291"/>
        <v>0</v>
      </c>
      <c r="EI95" s="915">
        <f t="shared" si="292"/>
        <v>0</v>
      </c>
      <c r="EJ95" s="915">
        <f t="shared" si="293"/>
        <v>0</v>
      </c>
      <c r="EK95" s="915">
        <f t="shared" si="294"/>
        <v>0</v>
      </c>
      <c r="EL95" s="915">
        <f t="shared" si="295"/>
        <v>0</v>
      </c>
      <c r="EM95" s="915">
        <f t="shared" si="296"/>
        <v>0</v>
      </c>
      <c r="EN95" s="915">
        <f t="shared" si="297"/>
        <v>0</v>
      </c>
      <c r="EO95" s="915">
        <f t="shared" si="298"/>
        <v>0</v>
      </c>
      <c r="EP95" s="915">
        <f t="shared" si="299"/>
        <v>0</v>
      </c>
      <c r="EQ95" s="915">
        <f t="shared" si="300"/>
        <v>0</v>
      </c>
      <c r="ER95" s="915">
        <f t="shared" si="301"/>
        <v>0</v>
      </c>
      <c r="ES95" s="915">
        <f t="shared" si="302"/>
        <v>0</v>
      </c>
      <c r="ET95" s="915">
        <f t="shared" si="303"/>
        <v>0</v>
      </c>
      <c r="EU95" s="915">
        <f t="shared" si="304"/>
        <v>0</v>
      </c>
      <c r="EV95" s="915">
        <f t="shared" si="305"/>
        <v>0</v>
      </c>
      <c r="EW95" s="915">
        <f t="shared" si="306"/>
        <v>0</v>
      </c>
      <c r="EX95" s="915">
        <f t="shared" si="307"/>
        <v>0</v>
      </c>
      <c r="EY95" s="915">
        <f t="shared" si="308"/>
        <v>0</v>
      </c>
      <c r="EZ95" s="915">
        <f t="shared" si="309"/>
        <v>0</v>
      </c>
      <c r="FA95" s="915">
        <f t="shared" si="310"/>
        <v>0</v>
      </c>
      <c r="FB95" s="915">
        <f t="shared" si="311"/>
        <v>0</v>
      </c>
      <c r="FC95" s="915">
        <f t="shared" si="312"/>
        <v>0</v>
      </c>
      <c r="FD95" s="915">
        <f t="shared" si="313"/>
        <v>0</v>
      </c>
      <c r="FE95" s="915">
        <f t="shared" si="314"/>
        <v>0</v>
      </c>
      <c r="FF95" s="915">
        <f t="shared" si="315"/>
        <v>0</v>
      </c>
      <c r="FG95" s="915">
        <f t="shared" si="316"/>
        <v>0</v>
      </c>
      <c r="FH95" s="915">
        <f t="shared" si="317"/>
        <v>0</v>
      </c>
      <c r="FI95" s="915">
        <f t="shared" si="318"/>
        <v>0</v>
      </c>
      <c r="FJ95" s="915">
        <f t="shared" si="319"/>
        <v>0</v>
      </c>
      <c r="FK95" s="915">
        <f t="shared" si="320"/>
        <v>0</v>
      </c>
      <c r="FL95" s="915">
        <f t="shared" si="321"/>
        <v>0</v>
      </c>
      <c r="FM95" s="915">
        <f t="shared" si="322"/>
        <v>0</v>
      </c>
      <c r="FN95" s="915">
        <f t="shared" si="323"/>
        <v>0</v>
      </c>
      <c r="FO95" s="915">
        <f t="shared" si="324"/>
        <v>0</v>
      </c>
      <c r="FP95" s="915">
        <f t="shared" si="325"/>
        <v>0</v>
      </c>
      <c r="FQ95" s="915">
        <f t="shared" si="326"/>
        <v>0</v>
      </c>
      <c r="FR95" s="915">
        <f t="shared" si="327"/>
        <v>0</v>
      </c>
      <c r="FS95" s="915">
        <f t="shared" si="328"/>
        <v>0</v>
      </c>
      <c r="FT95" s="915">
        <f t="shared" si="329"/>
        <v>0</v>
      </c>
      <c r="FU95" s="915">
        <f t="shared" si="330"/>
        <v>0</v>
      </c>
      <c r="FV95" s="915">
        <f t="shared" si="331"/>
        <v>0</v>
      </c>
      <c r="FW95" s="915">
        <f t="shared" si="332"/>
        <v>0</v>
      </c>
      <c r="FX95" s="915">
        <f t="shared" si="333"/>
        <v>0</v>
      </c>
      <c r="FY95" s="915">
        <f t="shared" si="334"/>
        <v>0</v>
      </c>
      <c r="FZ95" s="915">
        <f t="shared" si="335"/>
        <v>0</v>
      </c>
    </row>
    <row r="96" spans="1:182" x14ac:dyDescent="0.2">
      <c r="A96" s="496">
        <v>89</v>
      </c>
      <c r="B96" s="1419"/>
      <c r="C96" s="1433"/>
      <c r="D96" s="264">
        <v>12</v>
      </c>
      <c r="E96" s="264" t="s">
        <v>193</v>
      </c>
      <c r="F96" s="270" t="s">
        <v>2544</v>
      </c>
      <c r="G96" s="270" t="s">
        <v>2542</v>
      </c>
      <c r="H96" s="272">
        <v>7</v>
      </c>
      <c r="I96" s="268">
        <f t="shared" si="352"/>
        <v>0.42</v>
      </c>
      <c r="J96" s="269">
        <f t="shared" si="353"/>
        <v>7.42</v>
      </c>
      <c r="K96" s="225"/>
      <c r="N96" s="951">
        <f>DG6</f>
        <v>7.42</v>
      </c>
      <c r="O96" s="879" t="str">
        <f>"Boring/Monitoring Wells for "&amp;TabName12</f>
        <v>Boring/Monitoring Wells for Phase 12</v>
      </c>
      <c r="P96" s="949" t="s">
        <v>2126</v>
      </c>
      <c r="W96" s="915">
        <f t="shared" si="176"/>
        <v>0</v>
      </c>
      <c r="X96" s="915">
        <f t="shared" si="177"/>
        <v>0</v>
      </c>
      <c r="Y96" s="915">
        <f t="shared" si="178"/>
        <v>0</v>
      </c>
      <c r="Z96" s="915">
        <f t="shared" si="179"/>
        <v>0</v>
      </c>
      <c r="AA96" s="915">
        <f t="shared" si="180"/>
        <v>0</v>
      </c>
      <c r="AB96" s="915">
        <f t="shared" si="181"/>
        <v>0</v>
      </c>
      <c r="AC96" s="915">
        <f t="shared" si="182"/>
        <v>0</v>
      </c>
      <c r="AD96" s="915">
        <f t="shared" si="183"/>
        <v>0</v>
      </c>
      <c r="AE96" s="915">
        <f t="shared" si="184"/>
        <v>0</v>
      </c>
      <c r="AF96" s="915">
        <f t="shared" si="185"/>
        <v>0</v>
      </c>
      <c r="AG96" s="915">
        <f t="shared" si="186"/>
        <v>0</v>
      </c>
      <c r="AH96" s="915">
        <f t="shared" si="187"/>
        <v>0</v>
      </c>
      <c r="AI96" s="915">
        <f t="shared" si="188"/>
        <v>0</v>
      </c>
      <c r="AJ96" s="915">
        <f t="shared" si="189"/>
        <v>0</v>
      </c>
      <c r="AK96" s="915">
        <f t="shared" si="190"/>
        <v>0</v>
      </c>
      <c r="AL96" s="915">
        <f t="shared" si="191"/>
        <v>0</v>
      </c>
      <c r="AM96" s="915">
        <f t="shared" si="192"/>
        <v>0</v>
      </c>
      <c r="AN96" s="915">
        <f t="shared" si="193"/>
        <v>0</v>
      </c>
      <c r="AO96" s="915">
        <f t="shared" si="194"/>
        <v>0</v>
      </c>
      <c r="AP96" s="915">
        <f t="shared" si="195"/>
        <v>0</v>
      </c>
      <c r="AQ96" s="915">
        <f t="shared" si="196"/>
        <v>0</v>
      </c>
      <c r="AR96" s="915">
        <f t="shared" si="197"/>
        <v>0</v>
      </c>
      <c r="AS96" s="915">
        <f t="shared" si="198"/>
        <v>0</v>
      </c>
      <c r="AT96" s="915">
        <f t="shared" si="199"/>
        <v>0</v>
      </c>
      <c r="AU96" s="915">
        <f t="shared" si="200"/>
        <v>0</v>
      </c>
      <c r="AV96" s="915">
        <f t="shared" si="201"/>
        <v>0</v>
      </c>
      <c r="AW96" s="915">
        <f t="shared" si="202"/>
        <v>0</v>
      </c>
      <c r="AX96" s="915">
        <f t="shared" si="203"/>
        <v>0</v>
      </c>
      <c r="AY96" s="915">
        <f t="shared" si="204"/>
        <v>0</v>
      </c>
      <c r="AZ96" s="915">
        <f t="shared" si="205"/>
        <v>0</v>
      </c>
      <c r="BA96" s="915">
        <f t="shared" si="206"/>
        <v>0</v>
      </c>
      <c r="BB96" s="915">
        <f t="shared" si="207"/>
        <v>0</v>
      </c>
      <c r="BC96" s="915">
        <f t="shared" si="354"/>
        <v>0</v>
      </c>
      <c r="BD96" s="915">
        <f t="shared" si="355"/>
        <v>0</v>
      </c>
      <c r="BE96" s="915">
        <f t="shared" si="356"/>
        <v>0</v>
      </c>
      <c r="BF96" s="915">
        <f t="shared" si="357"/>
        <v>0</v>
      </c>
      <c r="BG96" s="915">
        <f t="shared" si="358"/>
        <v>0</v>
      </c>
      <c r="BH96" s="915">
        <f t="shared" si="359"/>
        <v>0</v>
      </c>
      <c r="BI96" s="915">
        <f t="shared" si="360"/>
        <v>0</v>
      </c>
      <c r="BJ96" s="915">
        <f t="shared" si="361"/>
        <v>0</v>
      </c>
      <c r="BK96" s="915">
        <f t="shared" si="216"/>
        <v>0</v>
      </c>
      <c r="BL96" s="915">
        <f t="shared" si="217"/>
        <v>0</v>
      </c>
      <c r="BM96" s="915">
        <f t="shared" si="218"/>
        <v>0</v>
      </c>
      <c r="BN96" s="915">
        <f t="shared" si="219"/>
        <v>0</v>
      </c>
      <c r="BO96" s="915">
        <f t="shared" si="220"/>
        <v>0</v>
      </c>
      <c r="BP96" s="915">
        <f t="shared" si="221"/>
        <v>0</v>
      </c>
      <c r="BQ96" s="915">
        <f t="shared" si="222"/>
        <v>0</v>
      </c>
      <c r="BR96" s="915">
        <f t="shared" si="223"/>
        <v>0</v>
      </c>
      <c r="BS96" s="915">
        <f t="shared" ref="BS96:BS128" si="378">IF(AND($D96=$R$14,$E96=$T$8),$J96,0)</f>
        <v>0</v>
      </c>
      <c r="BT96" s="915">
        <f t="shared" ref="BT96:BT128" si="379">IF(AND($D96=$R$14,$E96=$T$9),$J96,0)</f>
        <v>0</v>
      </c>
      <c r="BU96" s="915">
        <f t="shared" ref="BU96:BU128" si="380">IF(AND($D96=$R$14,$E96=$T$10),$J96,0)</f>
        <v>0</v>
      </c>
      <c r="BV96" s="915">
        <f t="shared" ref="BV96:BV128" si="381">IF(AND($D96=$R$14,$E96=$T$11),$J96,0)</f>
        <v>0</v>
      </c>
      <c r="BW96" s="915">
        <f t="shared" ref="BW96:BW128" si="382">IF(AND($D96=$R$14,$E96=$T$12),$J96,0)</f>
        <v>0</v>
      </c>
      <c r="BX96" s="915">
        <f t="shared" ref="BX96:BX128" si="383">IF(AND($D96=$R$14,$E96=$T$13),$J96,0)</f>
        <v>0</v>
      </c>
      <c r="BY96" s="915">
        <f t="shared" ref="BY96:BY128" si="384">IF(AND($D96=$R$14,$E96=$T$14),$J96,0)</f>
        <v>0</v>
      </c>
      <c r="BZ96" s="915">
        <f t="shared" ref="BZ96:BZ128" si="385">IF(AND($D96=$R$14,$E96=$T$15),$J96,0)</f>
        <v>0</v>
      </c>
      <c r="CA96" s="915">
        <f t="shared" si="362"/>
        <v>0</v>
      </c>
      <c r="CB96" s="915">
        <f t="shared" si="363"/>
        <v>0</v>
      </c>
      <c r="CC96" s="915">
        <f t="shared" si="364"/>
        <v>0</v>
      </c>
      <c r="CD96" s="915">
        <f t="shared" si="365"/>
        <v>0</v>
      </c>
      <c r="CE96" s="915">
        <f t="shared" si="366"/>
        <v>0</v>
      </c>
      <c r="CF96" s="915">
        <f t="shared" si="367"/>
        <v>0</v>
      </c>
      <c r="CG96" s="915">
        <f t="shared" si="368"/>
        <v>0</v>
      </c>
      <c r="CH96" s="915">
        <f t="shared" si="369"/>
        <v>0</v>
      </c>
      <c r="CI96" s="915">
        <f t="shared" si="336"/>
        <v>0</v>
      </c>
      <c r="CJ96" s="915">
        <f t="shared" si="337"/>
        <v>0</v>
      </c>
      <c r="CK96" s="915">
        <f t="shared" si="338"/>
        <v>0</v>
      </c>
      <c r="CL96" s="915">
        <f t="shared" si="339"/>
        <v>0</v>
      </c>
      <c r="CM96" s="915">
        <f t="shared" si="340"/>
        <v>0</v>
      </c>
      <c r="CN96" s="915">
        <f t="shared" si="341"/>
        <v>0</v>
      </c>
      <c r="CO96" s="915">
        <f t="shared" si="342"/>
        <v>0</v>
      </c>
      <c r="CP96" s="915">
        <f t="shared" si="343"/>
        <v>0</v>
      </c>
      <c r="CQ96" s="915">
        <f t="shared" si="370"/>
        <v>0</v>
      </c>
      <c r="CR96" s="915">
        <f t="shared" si="371"/>
        <v>0</v>
      </c>
      <c r="CS96" s="915">
        <f t="shared" si="372"/>
        <v>0</v>
      </c>
      <c r="CT96" s="915">
        <f t="shared" si="373"/>
        <v>0</v>
      </c>
      <c r="CU96" s="915">
        <f t="shared" si="374"/>
        <v>0</v>
      </c>
      <c r="CV96" s="915">
        <f t="shared" si="375"/>
        <v>0</v>
      </c>
      <c r="CW96" s="915">
        <f t="shared" si="376"/>
        <v>0</v>
      </c>
      <c r="CX96" s="915">
        <f t="shared" si="377"/>
        <v>0</v>
      </c>
      <c r="CY96" s="915">
        <f t="shared" si="256"/>
        <v>0</v>
      </c>
      <c r="CZ96" s="915">
        <f t="shared" si="257"/>
        <v>0</v>
      </c>
      <c r="DA96" s="915">
        <f t="shared" si="258"/>
        <v>0</v>
      </c>
      <c r="DB96" s="915">
        <f t="shared" si="259"/>
        <v>0</v>
      </c>
      <c r="DC96" s="915">
        <f t="shared" si="260"/>
        <v>0</v>
      </c>
      <c r="DD96" s="915">
        <f t="shared" si="261"/>
        <v>0</v>
      </c>
      <c r="DE96" s="915">
        <f t="shared" si="262"/>
        <v>0</v>
      </c>
      <c r="DF96" s="915">
        <f t="shared" si="263"/>
        <v>0</v>
      </c>
      <c r="DG96" s="915">
        <f t="shared" si="264"/>
        <v>7.42</v>
      </c>
      <c r="DH96" s="915">
        <f t="shared" si="265"/>
        <v>0</v>
      </c>
      <c r="DI96" s="915">
        <f t="shared" si="266"/>
        <v>0</v>
      </c>
      <c r="DJ96" s="915">
        <f t="shared" si="267"/>
        <v>0</v>
      </c>
      <c r="DK96" s="915">
        <f t="shared" si="268"/>
        <v>0</v>
      </c>
      <c r="DL96" s="915">
        <f t="shared" si="269"/>
        <v>0</v>
      </c>
      <c r="DM96" s="915">
        <f t="shared" si="270"/>
        <v>0</v>
      </c>
      <c r="DN96" s="915">
        <f t="shared" si="271"/>
        <v>0</v>
      </c>
      <c r="DO96" s="915">
        <f t="shared" si="272"/>
        <v>0</v>
      </c>
      <c r="DP96" s="915">
        <f t="shared" si="273"/>
        <v>0</v>
      </c>
      <c r="DQ96" s="915">
        <f t="shared" si="274"/>
        <v>0</v>
      </c>
      <c r="DR96" s="915">
        <f t="shared" si="275"/>
        <v>0</v>
      </c>
      <c r="DS96" s="915">
        <f t="shared" si="276"/>
        <v>0</v>
      </c>
      <c r="DT96" s="915">
        <f t="shared" si="277"/>
        <v>0</v>
      </c>
      <c r="DU96" s="915">
        <f t="shared" si="278"/>
        <v>0</v>
      </c>
      <c r="DV96" s="915">
        <f t="shared" si="279"/>
        <v>0</v>
      </c>
      <c r="DW96" s="915">
        <f t="shared" si="280"/>
        <v>0</v>
      </c>
      <c r="DX96" s="915">
        <f t="shared" si="281"/>
        <v>0</v>
      </c>
      <c r="DY96" s="915">
        <f t="shared" si="282"/>
        <v>0</v>
      </c>
      <c r="DZ96" s="915">
        <f t="shared" si="283"/>
        <v>0</v>
      </c>
      <c r="EA96" s="915">
        <f t="shared" si="284"/>
        <v>0</v>
      </c>
      <c r="EB96" s="915">
        <f t="shared" si="285"/>
        <v>0</v>
      </c>
      <c r="EC96" s="915">
        <f t="shared" si="286"/>
        <v>0</v>
      </c>
      <c r="ED96" s="915">
        <f t="shared" si="287"/>
        <v>0</v>
      </c>
      <c r="EE96" s="915">
        <f t="shared" si="288"/>
        <v>0</v>
      </c>
      <c r="EF96" s="915">
        <f t="shared" si="289"/>
        <v>0</v>
      </c>
      <c r="EG96" s="915">
        <f t="shared" si="290"/>
        <v>0</v>
      </c>
      <c r="EH96" s="915">
        <f t="shared" si="291"/>
        <v>0</v>
      </c>
      <c r="EI96" s="915">
        <f t="shared" si="292"/>
        <v>0</v>
      </c>
      <c r="EJ96" s="915">
        <f t="shared" si="293"/>
        <v>0</v>
      </c>
      <c r="EK96" s="915">
        <f t="shared" si="294"/>
        <v>0</v>
      </c>
      <c r="EL96" s="915">
        <f t="shared" si="295"/>
        <v>0</v>
      </c>
      <c r="EM96" s="915">
        <f t="shared" si="296"/>
        <v>0</v>
      </c>
      <c r="EN96" s="915">
        <f t="shared" si="297"/>
        <v>0</v>
      </c>
      <c r="EO96" s="915">
        <f t="shared" si="298"/>
        <v>0</v>
      </c>
      <c r="EP96" s="915">
        <f t="shared" si="299"/>
        <v>0</v>
      </c>
      <c r="EQ96" s="915">
        <f t="shared" si="300"/>
        <v>0</v>
      </c>
      <c r="ER96" s="915">
        <f t="shared" si="301"/>
        <v>0</v>
      </c>
      <c r="ES96" s="915">
        <f t="shared" si="302"/>
        <v>0</v>
      </c>
      <c r="ET96" s="915">
        <f t="shared" si="303"/>
        <v>0</v>
      </c>
      <c r="EU96" s="915">
        <f t="shared" si="304"/>
        <v>0</v>
      </c>
      <c r="EV96" s="915">
        <f t="shared" si="305"/>
        <v>0</v>
      </c>
      <c r="EW96" s="915">
        <f t="shared" si="306"/>
        <v>0</v>
      </c>
      <c r="EX96" s="915">
        <f t="shared" si="307"/>
        <v>0</v>
      </c>
      <c r="EY96" s="915">
        <f t="shared" si="308"/>
        <v>0</v>
      </c>
      <c r="EZ96" s="915">
        <f t="shared" si="309"/>
        <v>0</v>
      </c>
      <c r="FA96" s="915">
        <f t="shared" si="310"/>
        <v>0</v>
      </c>
      <c r="FB96" s="915">
        <f t="shared" si="311"/>
        <v>0</v>
      </c>
      <c r="FC96" s="915">
        <f t="shared" si="312"/>
        <v>0</v>
      </c>
      <c r="FD96" s="915">
        <f t="shared" si="313"/>
        <v>0</v>
      </c>
      <c r="FE96" s="915">
        <f t="shared" si="314"/>
        <v>0</v>
      </c>
      <c r="FF96" s="915">
        <f t="shared" si="315"/>
        <v>0</v>
      </c>
      <c r="FG96" s="915">
        <f t="shared" si="316"/>
        <v>0</v>
      </c>
      <c r="FH96" s="915">
        <f t="shared" si="317"/>
        <v>0</v>
      </c>
      <c r="FI96" s="915">
        <f t="shared" si="318"/>
        <v>0</v>
      </c>
      <c r="FJ96" s="915">
        <f t="shared" si="319"/>
        <v>0</v>
      </c>
      <c r="FK96" s="915">
        <f t="shared" si="320"/>
        <v>0</v>
      </c>
      <c r="FL96" s="915">
        <f t="shared" si="321"/>
        <v>0</v>
      </c>
      <c r="FM96" s="915">
        <f t="shared" si="322"/>
        <v>0</v>
      </c>
      <c r="FN96" s="915">
        <f t="shared" si="323"/>
        <v>0</v>
      </c>
      <c r="FO96" s="915">
        <f t="shared" si="324"/>
        <v>0</v>
      </c>
      <c r="FP96" s="915">
        <f t="shared" si="325"/>
        <v>0</v>
      </c>
      <c r="FQ96" s="915">
        <f t="shared" si="326"/>
        <v>0</v>
      </c>
      <c r="FR96" s="915">
        <f t="shared" si="327"/>
        <v>0</v>
      </c>
      <c r="FS96" s="915">
        <f t="shared" si="328"/>
        <v>0</v>
      </c>
      <c r="FT96" s="915">
        <f t="shared" si="329"/>
        <v>0</v>
      </c>
      <c r="FU96" s="915">
        <f t="shared" si="330"/>
        <v>0</v>
      </c>
      <c r="FV96" s="915">
        <f t="shared" si="331"/>
        <v>0</v>
      </c>
      <c r="FW96" s="915">
        <f t="shared" si="332"/>
        <v>0</v>
      </c>
      <c r="FX96" s="915">
        <f t="shared" si="333"/>
        <v>0</v>
      </c>
      <c r="FY96" s="915">
        <f t="shared" si="334"/>
        <v>0</v>
      </c>
      <c r="FZ96" s="915">
        <f t="shared" si="335"/>
        <v>0</v>
      </c>
    </row>
    <row r="97" spans="1:182" x14ac:dyDescent="0.2">
      <c r="A97" s="497">
        <v>90</v>
      </c>
      <c r="B97" s="1423"/>
      <c r="C97" s="1424"/>
      <c r="D97" s="138">
        <v>12</v>
      </c>
      <c r="E97" s="138" t="s">
        <v>26</v>
      </c>
      <c r="F97" s="139" t="s">
        <v>2544</v>
      </c>
      <c r="G97" s="139" t="s">
        <v>2542</v>
      </c>
      <c r="H97" s="100">
        <v>7</v>
      </c>
      <c r="I97" s="119">
        <f t="shared" si="352"/>
        <v>0.42</v>
      </c>
      <c r="J97" s="90">
        <f t="shared" si="353"/>
        <v>7.42</v>
      </c>
      <c r="K97" s="225"/>
      <c r="N97" s="951">
        <f>DH6</f>
        <v>7.42</v>
      </c>
      <c r="O97" s="879" t="str">
        <f>"Remediation for " &amp;TabName12</f>
        <v>Remediation for Phase 12</v>
      </c>
      <c r="P97" s="950" t="s">
        <v>2127</v>
      </c>
      <c r="W97" s="915">
        <f t="shared" si="176"/>
        <v>0</v>
      </c>
      <c r="X97" s="915">
        <f t="shared" si="177"/>
        <v>0</v>
      </c>
      <c r="Y97" s="915">
        <f t="shared" si="178"/>
        <v>0</v>
      </c>
      <c r="Z97" s="915">
        <f t="shared" si="179"/>
        <v>0</v>
      </c>
      <c r="AA97" s="915">
        <f t="shared" si="180"/>
        <v>0</v>
      </c>
      <c r="AB97" s="915">
        <f t="shared" si="181"/>
        <v>0</v>
      </c>
      <c r="AC97" s="915">
        <f t="shared" si="182"/>
        <v>0</v>
      </c>
      <c r="AD97" s="915">
        <f t="shared" si="183"/>
        <v>0</v>
      </c>
      <c r="AE97" s="915">
        <f t="shared" si="184"/>
        <v>0</v>
      </c>
      <c r="AF97" s="915">
        <f t="shared" si="185"/>
        <v>0</v>
      </c>
      <c r="AG97" s="915">
        <f t="shared" si="186"/>
        <v>0</v>
      </c>
      <c r="AH97" s="915">
        <f t="shared" si="187"/>
        <v>0</v>
      </c>
      <c r="AI97" s="915">
        <f t="shared" si="188"/>
        <v>0</v>
      </c>
      <c r="AJ97" s="915">
        <f t="shared" si="189"/>
        <v>0</v>
      </c>
      <c r="AK97" s="915">
        <f t="shared" si="190"/>
        <v>0</v>
      </c>
      <c r="AL97" s="915">
        <f t="shared" si="191"/>
        <v>0</v>
      </c>
      <c r="AM97" s="915">
        <f t="shared" si="192"/>
        <v>0</v>
      </c>
      <c r="AN97" s="915">
        <f t="shared" si="193"/>
        <v>0</v>
      </c>
      <c r="AO97" s="915">
        <f t="shared" si="194"/>
        <v>0</v>
      </c>
      <c r="AP97" s="915">
        <f t="shared" si="195"/>
        <v>0</v>
      </c>
      <c r="AQ97" s="915">
        <f t="shared" si="196"/>
        <v>0</v>
      </c>
      <c r="AR97" s="915">
        <f t="shared" si="197"/>
        <v>0</v>
      </c>
      <c r="AS97" s="915">
        <f t="shared" si="198"/>
        <v>0</v>
      </c>
      <c r="AT97" s="915">
        <f t="shared" si="199"/>
        <v>0</v>
      </c>
      <c r="AU97" s="915">
        <f t="shared" si="200"/>
        <v>0</v>
      </c>
      <c r="AV97" s="915">
        <f t="shared" si="201"/>
        <v>0</v>
      </c>
      <c r="AW97" s="915">
        <f t="shared" si="202"/>
        <v>0</v>
      </c>
      <c r="AX97" s="915">
        <f t="shared" si="203"/>
        <v>0</v>
      </c>
      <c r="AY97" s="915">
        <f t="shared" si="204"/>
        <v>0</v>
      </c>
      <c r="AZ97" s="915">
        <f t="shared" si="205"/>
        <v>0</v>
      </c>
      <c r="BA97" s="915">
        <f t="shared" si="206"/>
        <v>0</v>
      </c>
      <c r="BB97" s="915">
        <f t="shared" si="207"/>
        <v>0</v>
      </c>
      <c r="BC97" s="915">
        <f t="shared" si="354"/>
        <v>0</v>
      </c>
      <c r="BD97" s="915">
        <f t="shared" si="355"/>
        <v>0</v>
      </c>
      <c r="BE97" s="915">
        <f t="shared" si="356"/>
        <v>0</v>
      </c>
      <c r="BF97" s="915">
        <f t="shared" si="357"/>
        <v>0</v>
      </c>
      <c r="BG97" s="915">
        <f t="shared" si="358"/>
        <v>0</v>
      </c>
      <c r="BH97" s="915">
        <f t="shared" si="359"/>
        <v>0</v>
      </c>
      <c r="BI97" s="915">
        <f t="shared" si="360"/>
        <v>0</v>
      </c>
      <c r="BJ97" s="915">
        <f t="shared" si="361"/>
        <v>0</v>
      </c>
      <c r="BK97" s="915">
        <f t="shared" si="216"/>
        <v>0</v>
      </c>
      <c r="BL97" s="915">
        <f t="shared" si="217"/>
        <v>0</v>
      </c>
      <c r="BM97" s="915">
        <f t="shared" si="218"/>
        <v>0</v>
      </c>
      <c r="BN97" s="915">
        <f t="shared" si="219"/>
        <v>0</v>
      </c>
      <c r="BO97" s="915">
        <f t="shared" si="220"/>
        <v>0</v>
      </c>
      <c r="BP97" s="915">
        <f t="shared" si="221"/>
        <v>0</v>
      </c>
      <c r="BQ97" s="915">
        <f t="shared" si="222"/>
        <v>0</v>
      </c>
      <c r="BR97" s="915">
        <f t="shared" si="223"/>
        <v>0</v>
      </c>
      <c r="BS97" s="915">
        <f t="shared" si="378"/>
        <v>0</v>
      </c>
      <c r="BT97" s="915">
        <f t="shared" si="379"/>
        <v>0</v>
      </c>
      <c r="BU97" s="915">
        <f t="shared" si="380"/>
        <v>0</v>
      </c>
      <c r="BV97" s="915">
        <f t="shared" si="381"/>
        <v>0</v>
      </c>
      <c r="BW97" s="915">
        <f t="shared" si="382"/>
        <v>0</v>
      </c>
      <c r="BX97" s="915">
        <f t="shared" si="383"/>
        <v>0</v>
      </c>
      <c r="BY97" s="915">
        <f t="shared" si="384"/>
        <v>0</v>
      </c>
      <c r="BZ97" s="915">
        <f t="shared" si="385"/>
        <v>0</v>
      </c>
      <c r="CA97" s="915">
        <f t="shared" si="362"/>
        <v>0</v>
      </c>
      <c r="CB97" s="915">
        <f t="shared" si="363"/>
        <v>0</v>
      </c>
      <c r="CC97" s="915">
        <f t="shared" si="364"/>
        <v>0</v>
      </c>
      <c r="CD97" s="915">
        <f t="shared" si="365"/>
        <v>0</v>
      </c>
      <c r="CE97" s="915">
        <f t="shared" si="366"/>
        <v>0</v>
      </c>
      <c r="CF97" s="915">
        <f t="shared" si="367"/>
        <v>0</v>
      </c>
      <c r="CG97" s="915">
        <f t="shared" si="368"/>
        <v>0</v>
      </c>
      <c r="CH97" s="915">
        <f t="shared" si="369"/>
        <v>0</v>
      </c>
      <c r="CI97" s="915">
        <f t="shared" si="336"/>
        <v>0</v>
      </c>
      <c r="CJ97" s="915">
        <f t="shared" si="337"/>
        <v>0</v>
      </c>
      <c r="CK97" s="915">
        <f t="shared" si="338"/>
        <v>0</v>
      </c>
      <c r="CL97" s="915">
        <f t="shared" si="339"/>
        <v>0</v>
      </c>
      <c r="CM97" s="915">
        <f t="shared" si="340"/>
        <v>0</v>
      </c>
      <c r="CN97" s="915">
        <f t="shared" si="341"/>
        <v>0</v>
      </c>
      <c r="CO97" s="915">
        <f t="shared" si="342"/>
        <v>0</v>
      </c>
      <c r="CP97" s="915">
        <f t="shared" si="343"/>
        <v>0</v>
      </c>
      <c r="CQ97" s="915">
        <f t="shared" si="370"/>
        <v>0</v>
      </c>
      <c r="CR97" s="915">
        <f t="shared" si="371"/>
        <v>0</v>
      </c>
      <c r="CS97" s="915">
        <f t="shared" si="372"/>
        <v>0</v>
      </c>
      <c r="CT97" s="915">
        <f t="shared" si="373"/>
        <v>0</v>
      </c>
      <c r="CU97" s="915">
        <f t="shared" si="374"/>
        <v>0</v>
      </c>
      <c r="CV97" s="915">
        <f t="shared" si="375"/>
        <v>0</v>
      </c>
      <c r="CW97" s="915">
        <f t="shared" si="376"/>
        <v>0</v>
      </c>
      <c r="CX97" s="915">
        <f t="shared" si="377"/>
        <v>0</v>
      </c>
      <c r="CY97" s="915">
        <f t="shared" si="256"/>
        <v>0</v>
      </c>
      <c r="CZ97" s="915">
        <f t="shared" si="257"/>
        <v>0</v>
      </c>
      <c r="DA97" s="915">
        <f t="shared" si="258"/>
        <v>0</v>
      </c>
      <c r="DB97" s="915">
        <f t="shared" si="259"/>
        <v>0</v>
      </c>
      <c r="DC97" s="915">
        <f t="shared" si="260"/>
        <v>0</v>
      </c>
      <c r="DD97" s="915">
        <f t="shared" si="261"/>
        <v>0</v>
      </c>
      <c r="DE97" s="915">
        <f t="shared" si="262"/>
        <v>0</v>
      </c>
      <c r="DF97" s="915">
        <f t="shared" si="263"/>
        <v>0</v>
      </c>
      <c r="DG97" s="915">
        <f t="shared" si="264"/>
        <v>0</v>
      </c>
      <c r="DH97" s="915">
        <f t="shared" si="265"/>
        <v>7.42</v>
      </c>
      <c r="DI97" s="915">
        <f t="shared" si="266"/>
        <v>0</v>
      </c>
      <c r="DJ97" s="915">
        <f t="shared" si="267"/>
        <v>0</v>
      </c>
      <c r="DK97" s="915">
        <f t="shared" si="268"/>
        <v>0</v>
      </c>
      <c r="DL97" s="915">
        <f t="shared" si="269"/>
        <v>0</v>
      </c>
      <c r="DM97" s="915">
        <f t="shared" si="270"/>
        <v>0</v>
      </c>
      <c r="DN97" s="915">
        <f t="shared" si="271"/>
        <v>0</v>
      </c>
      <c r="DO97" s="915">
        <f t="shared" si="272"/>
        <v>0</v>
      </c>
      <c r="DP97" s="915">
        <f t="shared" si="273"/>
        <v>0</v>
      </c>
      <c r="DQ97" s="915">
        <f t="shared" si="274"/>
        <v>0</v>
      </c>
      <c r="DR97" s="915">
        <f t="shared" si="275"/>
        <v>0</v>
      </c>
      <c r="DS97" s="915">
        <f t="shared" si="276"/>
        <v>0</v>
      </c>
      <c r="DT97" s="915">
        <f t="shared" si="277"/>
        <v>0</v>
      </c>
      <c r="DU97" s="915">
        <f t="shared" si="278"/>
        <v>0</v>
      </c>
      <c r="DV97" s="915">
        <f t="shared" si="279"/>
        <v>0</v>
      </c>
      <c r="DW97" s="915">
        <f t="shared" si="280"/>
        <v>0</v>
      </c>
      <c r="DX97" s="915">
        <f t="shared" si="281"/>
        <v>0</v>
      </c>
      <c r="DY97" s="915">
        <f t="shared" si="282"/>
        <v>0</v>
      </c>
      <c r="DZ97" s="915">
        <f t="shared" si="283"/>
        <v>0</v>
      </c>
      <c r="EA97" s="915">
        <f t="shared" si="284"/>
        <v>0</v>
      </c>
      <c r="EB97" s="915">
        <f t="shared" si="285"/>
        <v>0</v>
      </c>
      <c r="EC97" s="915">
        <f t="shared" si="286"/>
        <v>0</v>
      </c>
      <c r="ED97" s="915">
        <f t="shared" si="287"/>
        <v>0</v>
      </c>
      <c r="EE97" s="915">
        <f t="shared" si="288"/>
        <v>0</v>
      </c>
      <c r="EF97" s="915">
        <f t="shared" si="289"/>
        <v>0</v>
      </c>
      <c r="EG97" s="915">
        <f t="shared" si="290"/>
        <v>0</v>
      </c>
      <c r="EH97" s="915">
        <f t="shared" si="291"/>
        <v>0</v>
      </c>
      <c r="EI97" s="915">
        <f t="shared" si="292"/>
        <v>0</v>
      </c>
      <c r="EJ97" s="915">
        <f t="shared" si="293"/>
        <v>0</v>
      </c>
      <c r="EK97" s="915">
        <f t="shared" si="294"/>
        <v>0</v>
      </c>
      <c r="EL97" s="915">
        <f t="shared" si="295"/>
        <v>0</v>
      </c>
      <c r="EM97" s="915">
        <f t="shared" si="296"/>
        <v>0</v>
      </c>
      <c r="EN97" s="915">
        <f t="shared" si="297"/>
        <v>0</v>
      </c>
      <c r="EO97" s="915">
        <f t="shared" si="298"/>
        <v>0</v>
      </c>
      <c r="EP97" s="915">
        <f t="shared" si="299"/>
        <v>0</v>
      </c>
      <c r="EQ97" s="915">
        <f t="shared" si="300"/>
        <v>0</v>
      </c>
      <c r="ER97" s="915">
        <f t="shared" si="301"/>
        <v>0</v>
      </c>
      <c r="ES97" s="915">
        <f t="shared" si="302"/>
        <v>0</v>
      </c>
      <c r="ET97" s="915">
        <f t="shared" si="303"/>
        <v>0</v>
      </c>
      <c r="EU97" s="915">
        <f t="shared" si="304"/>
        <v>0</v>
      </c>
      <c r="EV97" s="915">
        <f t="shared" si="305"/>
        <v>0</v>
      </c>
      <c r="EW97" s="915">
        <f t="shared" si="306"/>
        <v>0</v>
      </c>
      <c r="EX97" s="915">
        <f t="shared" si="307"/>
        <v>0</v>
      </c>
      <c r="EY97" s="915">
        <f t="shared" si="308"/>
        <v>0</v>
      </c>
      <c r="EZ97" s="915">
        <f t="shared" si="309"/>
        <v>0</v>
      </c>
      <c r="FA97" s="915">
        <f t="shared" si="310"/>
        <v>0</v>
      </c>
      <c r="FB97" s="915">
        <f t="shared" si="311"/>
        <v>0</v>
      </c>
      <c r="FC97" s="915">
        <f t="shared" si="312"/>
        <v>0</v>
      </c>
      <c r="FD97" s="915">
        <f t="shared" si="313"/>
        <v>0</v>
      </c>
      <c r="FE97" s="915">
        <f t="shared" si="314"/>
        <v>0</v>
      </c>
      <c r="FF97" s="915">
        <f t="shared" si="315"/>
        <v>0</v>
      </c>
      <c r="FG97" s="915">
        <f t="shared" si="316"/>
        <v>0</v>
      </c>
      <c r="FH97" s="915">
        <f t="shared" si="317"/>
        <v>0</v>
      </c>
      <c r="FI97" s="915">
        <f t="shared" si="318"/>
        <v>0</v>
      </c>
      <c r="FJ97" s="915">
        <f t="shared" si="319"/>
        <v>0</v>
      </c>
      <c r="FK97" s="915">
        <f t="shared" si="320"/>
        <v>0</v>
      </c>
      <c r="FL97" s="915">
        <f t="shared" si="321"/>
        <v>0</v>
      </c>
      <c r="FM97" s="915">
        <f t="shared" si="322"/>
        <v>0</v>
      </c>
      <c r="FN97" s="915">
        <f t="shared" si="323"/>
        <v>0</v>
      </c>
      <c r="FO97" s="915">
        <f t="shared" si="324"/>
        <v>0</v>
      </c>
      <c r="FP97" s="915">
        <f t="shared" si="325"/>
        <v>0</v>
      </c>
      <c r="FQ97" s="915">
        <f t="shared" si="326"/>
        <v>0</v>
      </c>
      <c r="FR97" s="915">
        <f t="shared" si="327"/>
        <v>0</v>
      </c>
      <c r="FS97" s="915">
        <f t="shared" si="328"/>
        <v>0</v>
      </c>
      <c r="FT97" s="915">
        <f t="shared" si="329"/>
        <v>0</v>
      </c>
      <c r="FU97" s="915">
        <f t="shared" si="330"/>
        <v>0</v>
      </c>
      <c r="FV97" s="915">
        <f t="shared" si="331"/>
        <v>0</v>
      </c>
      <c r="FW97" s="915">
        <f t="shared" si="332"/>
        <v>0</v>
      </c>
      <c r="FX97" s="915">
        <f t="shared" si="333"/>
        <v>0</v>
      </c>
      <c r="FY97" s="915">
        <f t="shared" si="334"/>
        <v>0</v>
      </c>
      <c r="FZ97" s="915">
        <f t="shared" si="335"/>
        <v>0</v>
      </c>
    </row>
    <row r="98" spans="1:182" x14ac:dyDescent="0.2">
      <c r="A98" s="496">
        <v>91</v>
      </c>
      <c r="B98" s="1419"/>
      <c r="C98" s="1433"/>
      <c r="D98" s="264">
        <v>12</v>
      </c>
      <c r="E98" s="264" t="s">
        <v>35</v>
      </c>
      <c r="F98" s="270" t="s">
        <v>2544</v>
      </c>
      <c r="G98" s="270" t="s">
        <v>2542</v>
      </c>
      <c r="H98" s="272">
        <v>7</v>
      </c>
      <c r="I98" s="268">
        <f t="shared" si="352"/>
        <v>0.42</v>
      </c>
      <c r="J98" s="269">
        <f t="shared" si="353"/>
        <v>7.42</v>
      </c>
      <c r="K98" s="225"/>
      <c r="N98" s="951">
        <f>DI6</f>
        <v>7.42</v>
      </c>
      <c r="O98" s="879" t="str">
        <f>"General Construction for " &amp; TabName12</f>
        <v>General Construction for Phase 12</v>
      </c>
      <c r="P98" s="949" t="s">
        <v>2128</v>
      </c>
      <c r="W98" s="915">
        <f t="shared" si="176"/>
        <v>0</v>
      </c>
      <c r="X98" s="915">
        <f t="shared" si="177"/>
        <v>0</v>
      </c>
      <c r="Y98" s="915">
        <f t="shared" si="178"/>
        <v>0</v>
      </c>
      <c r="Z98" s="915">
        <f t="shared" si="179"/>
        <v>0</v>
      </c>
      <c r="AA98" s="915">
        <f t="shared" si="180"/>
        <v>0</v>
      </c>
      <c r="AB98" s="915">
        <f t="shared" si="181"/>
        <v>0</v>
      </c>
      <c r="AC98" s="915">
        <f t="shared" si="182"/>
        <v>0</v>
      </c>
      <c r="AD98" s="915">
        <f t="shared" si="183"/>
        <v>0</v>
      </c>
      <c r="AE98" s="915">
        <f t="shared" si="184"/>
        <v>0</v>
      </c>
      <c r="AF98" s="915">
        <f t="shared" si="185"/>
        <v>0</v>
      </c>
      <c r="AG98" s="915">
        <f t="shared" si="186"/>
        <v>0</v>
      </c>
      <c r="AH98" s="915">
        <f t="shared" si="187"/>
        <v>0</v>
      </c>
      <c r="AI98" s="915">
        <f t="shared" si="188"/>
        <v>0</v>
      </c>
      <c r="AJ98" s="915">
        <f t="shared" si="189"/>
        <v>0</v>
      </c>
      <c r="AK98" s="915">
        <f t="shared" si="190"/>
        <v>0</v>
      </c>
      <c r="AL98" s="915">
        <f t="shared" si="191"/>
        <v>0</v>
      </c>
      <c r="AM98" s="915">
        <f t="shared" si="192"/>
        <v>0</v>
      </c>
      <c r="AN98" s="915">
        <f t="shared" si="193"/>
        <v>0</v>
      </c>
      <c r="AO98" s="915">
        <f t="shared" si="194"/>
        <v>0</v>
      </c>
      <c r="AP98" s="915">
        <f t="shared" si="195"/>
        <v>0</v>
      </c>
      <c r="AQ98" s="915">
        <f t="shared" si="196"/>
        <v>0</v>
      </c>
      <c r="AR98" s="915">
        <f t="shared" si="197"/>
        <v>0</v>
      </c>
      <c r="AS98" s="915">
        <f t="shared" si="198"/>
        <v>0</v>
      </c>
      <c r="AT98" s="915">
        <f t="shared" si="199"/>
        <v>0</v>
      </c>
      <c r="AU98" s="915">
        <f t="shared" si="200"/>
        <v>0</v>
      </c>
      <c r="AV98" s="915">
        <f t="shared" si="201"/>
        <v>0</v>
      </c>
      <c r="AW98" s="915">
        <f t="shared" si="202"/>
        <v>0</v>
      </c>
      <c r="AX98" s="915">
        <f t="shared" si="203"/>
        <v>0</v>
      </c>
      <c r="AY98" s="915">
        <f t="shared" si="204"/>
        <v>0</v>
      </c>
      <c r="AZ98" s="915">
        <f t="shared" si="205"/>
        <v>0</v>
      </c>
      <c r="BA98" s="915">
        <f t="shared" si="206"/>
        <v>0</v>
      </c>
      <c r="BB98" s="915">
        <f t="shared" si="207"/>
        <v>0</v>
      </c>
      <c r="BC98" s="915">
        <f t="shared" si="354"/>
        <v>0</v>
      </c>
      <c r="BD98" s="915">
        <f t="shared" si="355"/>
        <v>0</v>
      </c>
      <c r="BE98" s="915">
        <f t="shared" si="356"/>
        <v>0</v>
      </c>
      <c r="BF98" s="915">
        <f t="shared" si="357"/>
        <v>0</v>
      </c>
      <c r="BG98" s="915">
        <f t="shared" si="358"/>
        <v>0</v>
      </c>
      <c r="BH98" s="915">
        <f t="shared" si="359"/>
        <v>0</v>
      </c>
      <c r="BI98" s="915">
        <f t="shared" si="360"/>
        <v>0</v>
      </c>
      <c r="BJ98" s="915">
        <f t="shared" si="361"/>
        <v>0</v>
      </c>
      <c r="BK98" s="915">
        <f t="shared" si="216"/>
        <v>0</v>
      </c>
      <c r="BL98" s="915">
        <f t="shared" si="217"/>
        <v>0</v>
      </c>
      <c r="BM98" s="915">
        <f t="shared" si="218"/>
        <v>0</v>
      </c>
      <c r="BN98" s="915">
        <f t="shared" si="219"/>
        <v>0</v>
      </c>
      <c r="BO98" s="915">
        <f t="shared" si="220"/>
        <v>0</v>
      </c>
      <c r="BP98" s="915">
        <f t="shared" si="221"/>
        <v>0</v>
      </c>
      <c r="BQ98" s="915">
        <f t="shared" si="222"/>
        <v>0</v>
      </c>
      <c r="BR98" s="915">
        <f t="shared" si="223"/>
        <v>0</v>
      </c>
      <c r="BS98" s="915">
        <f t="shared" si="378"/>
        <v>0</v>
      </c>
      <c r="BT98" s="915">
        <f t="shared" si="379"/>
        <v>0</v>
      </c>
      <c r="BU98" s="915">
        <f t="shared" si="380"/>
        <v>0</v>
      </c>
      <c r="BV98" s="915">
        <f t="shared" si="381"/>
        <v>0</v>
      </c>
      <c r="BW98" s="915">
        <f t="shared" si="382"/>
        <v>0</v>
      </c>
      <c r="BX98" s="915">
        <f t="shared" si="383"/>
        <v>0</v>
      </c>
      <c r="BY98" s="915">
        <f t="shared" si="384"/>
        <v>0</v>
      </c>
      <c r="BZ98" s="915">
        <f t="shared" si="385"/>
        <v>0</v>
      </c>
      <c r="CA98" s="915">
        <f t="shared" si="362"/>
        <v>0</v>
      </c>
      <c r="CB98" s="915">
        <f t="shared" si="363"/>
        <v>0</v>
      </c>
      <c r="CC98" s="915">
        <f t="shared" si="364"/>
        <v>0</v>
      </c>
      <c r="CD98" s="915">
        <f t="shared" si="365"/>
        <v>0</v>
      </c>
      <c r="CE98" s="915">
        <f t="shared" si="366"/>
        <v>0</v>
      </c>
      <c r="CF98" s="915">
        <f t="shared" si="367"/>
        <v>0</v>
      </c>
      <c r="CG98" s="915">
        <f t="shared" si="368"/>
        <v>0</v>
      </c>
      <c r="CH98" s="915">
        <f t="shared" si="369"/>
        <v>0</v>
      </c>
      <c r="CI98" s="915">
        <f t="shared" si="336"/>
        <v>0</v>
      </c>
      <c r="CJ98" s="915">
        <f t="shared" si="337"/>
        <v>0</v>
      </c>
      <c r="CK98" s="915">
        <f t="shared" si="338"/>
        <v>0</v>
      </c>
      <c r="CL98" s="915">
        <f t="shared" si="339"/>
        <v>0</v>
      </c>
      <c r="CM98" s="915">
        <f t="shared" si="340"/>
        <v>0</v>
      </c>
      <c r="CN98" s="915">
        <f t="shared" si="341"/>
        <v>0</v>
      </c>
      <c r="CO98" s="915">
        <f t="shared" si="342"/>
        <v>0</v>
      </c>
      <c r="CP98" s="915">
        <f t="shared" si="343"/>
        <v>0</v>
      </c>
      <c r="CQ98" s="915">
        <f t="shared" si="370"/>
        <v>0</v>
      </c>
      <c r="CR98" s="915">
        <f t="shared" si="371"/>
        <v>0</v>
      </c>
      <c r="CS98" s="915">
        <f t="shared" si="372"/>
        <v>0</v>
      </c>
      <c r="CT98" s="915">
        <f t="shared" si="373"/>
        <v>0</v>
      </c>
      <c r="CU98" s="915">
        <f t="shared" si="374"/>
        <v>0</v>
      </c>
      <c r="CV98" s="915">
        <f t="shared" si="375"/>
        <v>0</v>
      </c>
      <c r="CW98" s="915">
        <f t="shared" si="376"/>
        <v>0</v>
      </c>
      <c r="CX98" s="915">
        <f t="shared" si="377"/>
        <v>0</v>
      </c>
      <c r="CY98" s="915">
        <f t="shared" si="256"/>
        <v>0</v>
      </c>
      <c r="CZ98" s="915">
        <f t="shared" si="257"/>
        <v>0</v>
      </c>
      <c r="DA98" s="915">
        <f t="shared" si="258"/>
        <v>0</v>
      </c>
      <c r="DB98" s="915">
        <f t="shared" si="259"/>
        <v>0</v>
      </c>
      <c r="DC98" s="915">
        <f t="shared" si="260"/>
        <v>0</v>
      </c>
      <c r="DD98" s="915">
        <f t="shared" si="261"/>
        <v>0</v>
      </c>
      <c r="DE98" s="915">
        <f t="shared" si="262"/>
        <v>0</v>
      </c>
      <c r="DF98" s="915">
        <f t="shared" si="263"/>
        <v>0</v>
      </c>
      <c r="DG98" s="915">
        <f t="shared" si="264"/>
        <v>0</v>
      </c>
      <c r="DH98" s="915">
        <f t="shared" si="265"/>
        <v>0</v>
      </c>
      <c r="DI98" s="915">
        <f t="shared" si="266"/>
        <v>7.42</v>
      </c>
      <c r="DJ98" s="915">
        <f t="shared" si="267"/>
        <v>0</v>
      </c>
      <c r="DK98" s="915">
        <f t="shared" si="268"/>
        <v>0</v>
      </c>
      <c r="DL98" s="915">
        <f t="shared" si="269"/>
        <v>0</v>
      </c>
      <c r="DM98" s="915">
        <f t="shared" si="270"/>
        <v>0</v>
      </c>
      <c r="DN98" s="915">
        <f t="shared" si="271"/>
        <v>0</v>
      </c>
      <c r="DO98" s="915">
        <f t="shared" si="272"/>
        <v>0</v>
      </c>
      <c r="DP98" s="915">
        <f t="shared" si="273"/>
        <v>0</v>
      </c>
      <c r="DQ98" s="915">
        <f t="shared" si="274"/>
        <v>0</v>
      </c>
      <c r="DR98" s="915">
        <f t="shared" si="275"/>
        <v>0</v>
      </c>
      <c r="DS98" s="915">
        <f t="shared" si="276"/>
        <v>0</v>
      </c>
      <c r="DT98" s="915">
        <f t="shared" si="277"/>
        <v>0</v>
      </c>
      <c r="DU98" s="915">
        <f t="shared" si="278"/>
        <v>0</v>
      </c>
      <c r="DV98" s="915">
        <f t="shared" si="279"/>
        <v>0</v>
      </c>
      <c r="DW98" s="915">
        <f t="shared" si="280"/>
        <v>0</v>
      </c>
      <c r="DX98" s="915">
        <f t="shared" si="281"/>
        <v>0</v>
      </c>
      <c r="DY98" s="915">
        <f t="shared" si="282"/>
        <v>0</v>
      </c>
      <c r="DZ98" s="915">
        <f t="shared" si="283"/>
        <v>0</v>
      </c>
      <c r="EA98" s="915">
        <f t="shared" si="284"/>
        <v>0</v>
      </c>
      <c r="EB98" s="915">
        <f t="shared" si="285"/>
        <v>0</v>
      </c>
      <c r="EC98" s="915">
        <f t="shared" si="286"/>
        <v>0</v>
      </c>
      <c r="ED98" s="915">
        <f t="shared" si="287"/>
        <v>0</v>
      </c>
      <c r="EE98" s="915">
        <f t="shared" si="288"/>
        <v>0</v>
      </c>
      <c r="EF98" s="915">
        <f t="shared" si="289"/>
        <v>0</v>
      </c>
      <c r="EG98" s="915">
        <f t="shared" si="290"/>
        <v>0</v>
      </c>
      <c r="EH98" s="915">
        <f t="shared" si="291"/>
        <v>0</v>
      </c>
      <c r="EI98" s="915">
        <f t="shared" si="292"/>
        <v>0</v>
      </c>
      <c r="EJ98" s="915">
        <f t="shared" si="293"/>
        <v>0</v>
      </c>
      <c r="EK98" s="915">
        <f t="shared" si="294"/>
        <v>0</v>
      </c>
      <c r="EL98" s="915">
        <f t="shared" si="295"/>
        <v>0</v>
      </c>
      <c r="EM98" s="915">
        <f t="shared" si="296"/>
        <v>0</v>
      </c>
      <c r="EN98" s="915">
        <f t="shared" si="297"/>
        <v>0</v>
      </c>
      <c r="EO98" s="915">
        <f t="shared" si="298"/>
        <v>0</v>
      </c>
      <c r="EP98" s="915">
        <f t="shared" si="299"/>
        <v>0</v>
      </c>
      <c r="EQ98" s="915">
        <f t="shared" si="300"/>
        <v>0</v>
      </c>
      <c r="ER98" s="915">
        <f t="shared" si="301"/>
        <v>0</v>
      </c>
      <c r="ES98" s="915">
        <f t="shared" si="302"/>
        <v>0</v>
      </c>
      <c r="ET98" s="915">
        <f t="shared" si="303"/>
        <v>0</v>
      </c>
      <c r="EU98" s="915">
        <f t="shared" si="304"/>
        <v>0</v>
      </c>
      <c r="EV98" s="915">
        <f t="shared" si="305"/>
        <v>0</v>
      </c>
      <c r="EW98" s="915">
        <f t="shared" si="306"/>
        <v>0</v>
      </c>
      <c r="EX98" s="915">
        <f t="shared" si="307"/>
        <v>0</v>
      </c>
      <c r="EY98" s="915">
        <f t="shared" si="308"/>
        <v>0</v>
      </c>
      <c r="EZ98" s="915">
        <f t="shared" si="309"/>
        <v>0</v>
      </c>
      <c r="FA98" s="915">
        <f t="shared" si="310"/>
        <v>0</v>
      </c>
      <c r="FB98" s="915">
        <f t="shared" si="311"/>
        <v>0</v>
      </c>
      <c r="FC98" s="915">
        <f t="shared" si="312"/>
        <v>0</v>
      </c>
      <c r="FD98" s="915">
        <f t="shared" si="313"/>
        <v>0</v>
      </c>
      <c r="FE98" s="915">
        <f t="shared" si="314"/>
        <v>0</v>
      </c>
      <c r="FF98" s="915">
        <f t="shared" si="315"/>
        <v>0</v>
      </c>
      <c r="FG98" s="915">
        <f t="shared" si="316"/>
        <v>0</v>
      </c>
      <c r="FH98" s="915">
        <f t="shared" si="317"/>
        <v>0</v>
      </c>
      <c r="FI98" s="915">
        <f t="shared" si="318"/>
        <v>0</v>
      </c>
      <c r="FJ98" s="915">
        <f t="shared" si="319"/>
        <v>0</v>
      </c>
      <c r="FK98" s="915">
        <f t="shared" si="320"/>
        <v>0</v>
      </c>
      <c r="FL98" s="915">
        <f t="shared" si="321"/>
        <v>0</v>
      </c>
      <c r="FM98" s="915">
        <f t="shared" si="322"/>
        <v>0</v>
      </c>
      <c r="FN98" s="915">
        <f t="shared" si="323"/>
        <v>0</v>
      </c>
      <c r="FO98" s="915">
        <f t="shared" si="324"/>
        <v>0</v>
      </c>
      <c r="FP98" s="915">
        <f t="shared" si="325"/>
        <v>0</v>
      </c>
      <c r="FQ98" s="915">
        <f t="shared" si="326"/>
        <v>0</v>
      </c>
      <c r="FR98" s="915">
        <f t="shared" si="327"/>
        <v>0</v>
      </c>
      <c r="FS98" s="915">
        <f t="shared" si="328"/>
        <v>0</v>
      </c>
      <c r="FT98" s="915">
        <f t="shared" si="329"/>
        <v>0</v>
      </c>
      <c r="FU98" s="915">
        <f t="shared" si="330"/>
        <v>0</v>
      </c>
      <c r="FV98" s="915">
        <f t="shared" si="331"/>
        <v>0</v>
      </c>
      <c r="FW98" s="915">
        <f t="shared" si="332"/>
        <v>0</v>
      </c>
      <c r="FX98" s="915">
        <f t="shared" si="333"/>
        <v>0</v>
      </c>
      <c r="FY98" s="915">
        <f t="shared" si="334"/>
        <v>0</v>
      </c>
      <c r="FZ98" s="915">
        <f t="shared" si="335"/>
        <v>0</v>
      </c>
    </row>
    <row r="99" spans="1:182" x14ac:dyDescent="0.2">
      <c r="A99" s="497">
        <v>92</v>
      </c>
      <c r="B99" s="1423"/>
      <c r="C99" s="1424"/>
      <c r="D99" s="138">
        <v>12</v>
      </c>
      <c r="E99" s="138" t="s">
        <v>52</v>
      </c>
      <c r="F99" s="139" t="s">
        <v>2544</v>
      </c>
      <c r="G99" s="139" t="s">
        <v>2542</v>
      </c>
      <c r="H99" s="100">
        <v>7</v>
      </c>
      <c r="I99" s="119">
        <f t="shared" si="352"/>
        <v>0.42</v>
      </c>
      <c r="J99" s="90">
        <f t="shared" si="353"/>
        <v>7.42</v>
      </c>
      <c r="K99" s="225"/>
      <c r="N99" s="951">
        <f>DJ6</f>
        <v>7.42</v>
      </c>
      <c r="O99" s="915" t="str">
        <f>"Waste Haul for "&amp;TabName12</f>
        <v>Waste Haul for Phase 12</v>
      </c>
      <c r="P99" s="949" t="s">
        <v>2129</v>
      </c>
      <c r="W99" s="915">
        <f t="shared" si="176"/>
        <v>0</v>
      </c>
      <c r="X99" s="915">
        <f t="shared" si="177"/>
        <v>0</v>
      </c>
      <c r="Y99" s="915">
        <f t="shared" si="178"/>
        <v>0</v>
      </c>
      <c r="Z99" s="915">
        <f t="shared" si="179"/>
        <v>0</v>
      </c>
      <c r="AA99" s="915">
        <f t="shared" si="180"/>
        <v>0</v>
      </c>
      <c r="AB99" s="915">
        <f t="shared" si="181"/>
        <v>0</v>
      </c>
      <c r="AC99" s="915">
        <f t="shared" si="182"/>
        <v>0</v>
      </c>
      <c r="AD99" s="915">
        <f t="shared" si="183"/>
        <v>0</v>
      </c>
      <c r="AE99" s="915">
        <f t="shared" si="184"/>
        <v>0</v>
      </c>
      <c r="AF99" s="915">
        <f t="shared" si="185"/>
        <v>0</v>
      </c>
      <c r="AG99" s="915">
        <f t="shared" si="186"/>
        <v>0</v>
      </c>
      <c r="AH99" s="915">
        <f t="shared" si="187"/>
        <v>0</v>
      </c>
      <c r="AI99" s="915">
        <f t="shared" si="188"/>
        <v>0</v>
      </c>
      <c r="AJ99" s="915">
        <f t="shared" si="189"/>
        <v>0</v>
      </c>
      <c r="AK99" s="915">
        <f t="shared" si="190"/>
        <v>0</v>
      </c>
      <c r="AL99" s="915">
        <f t="shared" si="191"/>
        <v>0</v>
      </c>
      <c r="AM99" s="915">
        <f t="shared" si="192"/>
        <v>0</v>
      </c>
      <c r="AN99" s="915">
        <f t="shared" si="193"/>
        <v>0</v>
      </c>
      <c r="AO99" s="915">
        <f t="shared" si="194"/>
        <v>0</v>
      </c>
      <c r="AP99" s="915">
        <f t="shared" si="195"/>
        <v>0</v>
      </c>
      <c r="AQ99" s="915">
        <f t="shared" si="196"/>
        <v>0</v>
      </c>
      <c r="AR99" s="915">
        <f t="shared" si="197"/>
        <v>0</v>
      </c>
      <c r="AS99" s="915">
        <f t="shared" si="198"/>
        <v>0</v>
      </c>
      <c r="AT99" s="915">
        <f t="shared" si="199"/>
        <v>0</v>
      </c>
      <c r="AU99" s="915">
        <f t="shared" si="200"/>
        <v>0</v>
      </c>
      <c r="AV99" s="915">
        <f t="shared" si="201"/>
        <v>0</v>
      </c>
      <c r="AW99" s="915">
        <f t="shared" si="202"/>
        <v>0</v>
      </c>
      <c r="AX99" s="915">
        <f t="shared" si="203"/>
        <v>0</v>
      </c>
      <c r="AY99" s="915">
        <f t="shared" si="204"/>
        <v>0</v>
      </c>
      <c r="AZ99" s="915">
        <f t="shared" si="205"/>
        <v>0</v>
      </c>
      <c r="BA99" s="915">
        <f t="shared" si="206"/>
        <v>0</v>
      </c>
      <c r="BB99" s="915">
        <f t="shared" si="207"/>
        <v>0</v>
      </c>
      <c r="BC99" s="915">
        <f t="shared" si="354"/>
        <v>0</v>
      </c>
      <c r="BD99" s="915">
        <f t="shared" si="355"/>
        <v>0</v>
      </c>
      <c r="BE99" s="915">
        <f t="shared" si="356"/>
        <v>0</v>
      </c>
      <c r="BF99" s="915">
        <f t="shared" si="357"/>
        <v>0</v>
      </c>
      <c r="BG99" s="915">
        <f t="shared" si="358"/>
        <v>0</v>
      </c>
      <c r="BH99" s="915">
        <f t="shared" si="359"/>
        <v>0</v>
      </c>
      <c r="BI99" s="915">
        <f t="shared" si="360"/>
        <v>0</v>
      </c>
      <c r="BJ99" s="915">
        <f t="shared" si="361"/>
        <v>0</v>
      </c>
      <c r="BK99" s="915">
        <f t="shared" si="216"/>
        <v>0</v>
      </c>
      <c r="BL99" s="915">
        <f t="shared" si="217"/>
        <v>0</v>
      </c>
      <c r="BM99" s="915">
        <f t="shared" si="218"/>
        <v>0</v>
      </c>
      <c r="BN99" s="915">
        <f t="shared" si="219"/>
        <v>0</v>
      </c>
      <c r="BO99" s="915">
        <f t="shared" si="220"/>
        <v>0</v>
      </c>
      <c r="BP99" s="915">
        <f t="shared" si="221"/>
        <v>0</v>
      </c>
      <c r="BQ99" s="915">
        <f t="shared" si="222"/>
        <v>0</v>
      </c>
      <c r="BR99" s="915">
        <f t="shared" si="223"/>
        <v>0</v>
      </c>
      <c r="BS99" s="915">
        <f t="shared" si="378"/>
        <v>0</v>
      </c>
      <c r="BT99" s="915">
        <f t="shared" si="379"/>
        <v>0</v>
      </c>
      <c r="BU99" s="915">
        <f t="shared" si="380"/>
        <v>0</v>
      </c>
      <c r="BV99" s="915">
        <f t="shared" si="381"/>
        <v>0</v>
      </c>
      <c r="BW99" s="915">
        <f t="shared" si="382"/>
        <v>0</v>
      </c>
      <c r="BX99" s="915">
        <f t="shared" si="383"/>
        <v>0</v>
      </c>
      <c r="BY99" s="915">
        <f t="shared" si="384"/>
        <v>0</v>
      </c>
      <c r="BZ99" s="915">
        <f t="shared" si="385"/>
        <v>0</v>
      </c>
      <c r="CA99" s="915">
        <f t="shared" si="362"/>
        <v>0</v>
      </c>
      <c r="CB99" s="915">
        <f t="shared" si="363"/>
        <v>0</v>
      </c>
      <c r="CC99" s="915">
        <f t="shared" si="364"/>
        <v>0</v>
      </c>
      <c r="CD99" s="915">
        <f t="shared" si="365"/>
        <v>0</v>
      </c>
      <c r="CE99" s="915">
        <f t="shared" si="366"/>
        <v>0</v>
      </c>
      <c r="CF99" s="915">
        <f t="shared" si="367"/>
        <v>0</v>
      </c>
      <c r="CG99" s="915">
        <f t="shared" si="368"/>
        <v>0</v>
      </c>
      <c r="CH99" s="915">
        <f t="shared" si="369"/>
        <v>0</v>
      </c>
      <c r="CI99" s="915">
        <f t="shared" si="336"/>
        <v>0</v>
      </c>
      <c r="CJ99" s="915">
        <f t="shared" si="337"/>
        <v>0</v>
      </c>
      <c r="CK99" s="915">
        <f t="shared" si="338"/>
        <v>0</v>
      </c>
      <c r="CL99" s="915">
        <f t="shared" si="339"/>
        <v>0</v>
      </c>
      <c r="CM99" s="915">
        <f t="shared" si="340"/>
        <v>0</v>
      </c>
      <c r="CN99" s="915">
        <f t="shared" si="341"/>
        <v>0</v>
      </c>
      <c r="CO99" s="915">
        <f t="shared" si="342"/>
        <v>0</v>
      </c>
      <c r="CP99" s="915">
        <f t="shared" si="343"/>
        <v>0</v>
      </c>
      <c r="CQ99" s="915">
        <f t="shared" si="370"/>
        <v>0</v>
      </c>
      <c r="CR99" s="915">
        <f t="shared" si="371"/>
        <v>0</v>
      </c>
      <c r="CS99" s="915">
        <f t="shared" si="372"/>
        <v>0</v>
      </c>
      <c r="CT99" s="915">
        <f t="shared" si="373"/>
        <v>0</v>
      </c>
      <c r="CU99" s="915">
        <f t="shared" si="374"/>
        <v>0</v>
      </c>
      <c r="CV99" s="915">
        <f t="shared" si="375"/>
        <v>0</v>
      </c>
      <c r="CW99" s="915">
        <f t="shared" si="376"/>
        <v>0</v>
      </c>
      <c r="CX99" s="915">
        <f t="shared" si="377"/>
        <v>0</v>
      </c>
      <c r="CY99" s="915">
        <f t="shared" si="256"/>
        <v>0</v>
      </c>
      <c r="CZ99" s="915">
        <f t="shared" si="257"/>
        <v>0</v>
      </c>
      <c r="DA99" s="915">
        <f t="shared" si="258"/>
        <v>0</v>
      </c>
      <c r="DB99" s="915">
        <f t="shared" si="259"/>
        <v>0</v>
      </c>
      <c r="DC99" s="915">
        <f t="shared" si="260"/>
        <v>0</v>
      </c>
      <c r="DD99" s="915">
        <f t="shared" si="261"/>
        <v>0</v>
      </c>
      <c r="DE99" s="915">
        <f t="shared" si="262"/>
        <v>0</v>
      </c>
      <c r="DF99" s="915">
        <f t="shared" si="263"/>
        <v>0</v>
      </c>
      <c r="DG99" s="915">
        <f t="shared" si="264"/>
        <v>0</v>
      </c>
      <c r="DH99" s="915">
        <f t="shared" si="265"/>
        <v>0</v>
      </c>
      <c r="DI99" s="915">
        <f t="shared" si="266"/>
        <v>0</v>
      </c>
      <c r="DJ99" s="915">
        <f t="shared" si="267"/>
        <v>7.42</v>
      </c>
      <c r="DK99" s="915">
        <f t="shared" si="268"/>
        <v>0</v>
      </c>
      <c r="DL99" s="915">
        <f t="shared" si="269"/>
        <v>0</v>
      </c>
      <c r="DM99" s="915">
        <f t="shared" si="270"/>
        <v>0</v>
      </c>
      <c r="DN99" s="915">
        <f t="shared" si="271"/>
        <v>0</v>
      </c>
      <c r="DO99" s="915">
        <f t="shared" si="272"/>
        <v>0</v>
      </c>
      <c r="DP99" s="915">
        <f t="shared" si="273"/>
        <v>0</v>
      </c>
      <c r="DQ99" s="915">
        <f t="shared" si="274"/>
        <v>0</v>
      </c>
      <c r="DR99" s="915">
        <f t="shared" si="275"/>
        <v>0</v>
      </c>
      <c r="DS99" s="915">
        <f t="shared" si="276"/>
        <v>0</v>
      </c>
      <c r="DT99" s="915">
        <f t="shared" si="277"/>
        <v>0</v>
      </c>
      <c r="DU99" s="915">
        <f t="shared" si="278"/>
        <v>0</v>
      </c>
      <c r="DV99" s="915">
        <f t="shared" si="279"/>
        <v>0</v>
      </c>
      <c r="DW99" s="915">
        <f t="shared" si="280"/>
        <v>0</v>
      </c>
      <c r="DX99" s="915">
        <f t="shared" si="281"/>
        <v>0</v>
      </c>
      <c r="DY99" s="915">
        <f t="shared" si="282"/>
        <v>0</v>
      </c>
      <c r="DZ99" s="915">
        <f t="shared" si="283"/>
        <v>0</v>
      </c>
      <c r="EA99" s="915">
        <f t="shared" si="284"/>
        <v>0</v>
      </c>
      <c r="EB99" s="915">
        <f t="shared" si="285"/>
        <v>0</v>
      </c>
      <c r="EC99" s="915">
        <f t="shared" si="286"/>
        <v>0</v>
      </c>
      <c r="ED99" s="915">
        <f t="shared" si="287"/>
        <v>0</v>
      </c>
      <c r="EE99" s="915">
        <f t="shared" si="288"/>
        <v>0</v>
      </c>
      <c r="EF99" s="915">
        <f t="shared" si="289"/>
        <v>0</v>
      </c>
      <c r="EG99" s="915">
        <f t="shared" si="290"/>
        <v>0</v>
      </c>
      <c r="EH99" s="915">
        <f t="shared" si="291"/>
        <v>0</v>
      </c>
      <c r="EI99" s="915">
        <f t="shared" si="292"/>
        <v>0</v>
      </c>
      <c r="EJ99" s="915">
        <f t="shared" si="293"/>
        <v>0</v>
      </c>
      <c r="EK99" s="915">
        <f t="shared" si="294"/>
        <v>0</v>
      </c>
      <c r="EL99" s="915">
        <f t="shared" si="295"/>
        <v>0</v>
      </c>
      <c r="EM99" s="915">
        <f t="shared" si="296"/>
        <v>0</v>
      </c>
      <c r="EN99" s="915">
        <f t="shared" si="297"/>
        <v>0</v>
      </c>
      <c r="EO99" s="915">
        <f t="shared" si="298"/>
        <v>0</v>
      </c>
      <c r="EP99" s="915">
        <f t="shared" si="299"/>
        <v>0</v>
      </c>
      <c r="EQ99" s="915">
        <f t="shared" si="300"/>
        <v>0</v>
      </c>
      <c r="ER99" s="915">
        <f t="shared" si="301"/>
        <v>0</v>
      </c>
      <c r="ES99" s="915">
        <f t="shared" si="302"/>
        <v>0</v>
      </c>
      <c r="ET99" s="915">
        <f t="shared" si="303"/>
        <v>0</v>
      </c>
      <c r="EU99" s="915">
        <f t="shared" si="304"/>
        <v>0</v>
      </c>
      <c r="EV99" s="915">
        <f t="shared" si="305"/>
        <v>0</v>
      </c>
      <c r="EW99" s="915">
        <f t="shared" si="306"/>
        <v>0</v>
      </c>
      <c r="EX99" s="915">
        <f t="shared" si="307"/>
        <v>0</v>
      </c>
      <c r="EY99" s="915">
        <f t="shared" si="308"/>
        <v>0</v>
      </c>
      <c r="EZ99" s="915">
        <f t="shared" si="309"/>
        <v>0</v>
      </c>
      <c r="FA99" s="915">
        <f t="shared" si="310"/>
        <v>0</v>
      </c>
      <c r="FB99" s="915">
        <f t="shared" si="311"/>
        <v>0</v>
      </c>
      <c r="FC99" s="915">
        <f t="shared" si="312"/>
        <v>0</v>
      </c>
      <c r="FD99" s="915">
        <f t="shared" si="313"/>
        <v>0</v>
      </c>
      <c r="FE99" s="915">
        <f t="shared" si="314"/>
        <v>0</v>
      </c>
      <c r="FF99" s="915">
        <f t="shared" si="315"/>
        <v>0</v>
      </c>
      <c r="FG99" s="915">
        <f t="shared" si="316"/>
        <v>0</v>
      </c>
      <c r="FH99" s="915">
        <f t="shared" si="317"/>
        <v>0</v>
      </c>
      <c r="FI99" s="915">
        <f t="shared" si="318"/>
        <v>0</v>
      </c>
      <c r="FJ99" s="915">
        <f t="shared" si="319"/>
        <v>0</v>
      </c>
      <c r="FK99" s="915">
        <f t="shared" si="320"/>
        <v>0</v>
      </c>
      <c r="FL99" s="915">
        <f t="shared" si="321"/>
        <v>0</v>
      </c>
      <c r="FM99" s="915">
        <f t="shared" si="322"/>
        <v>0</v>
      </c>
      <c r="FN99" s="915">
        <f t="shared" si="323"/>
        <v>0</v>
      </c>
      <c r="FO99" s="915">
        <f t="shared" si="324"/>
        <v>0</v>
      </c>
      <c r="FP99" s="915">
        <f t="shared" si="325"/>
        <v>0</v>
      </c>
      <c r="FQ99" s="915">
        <f t="shared" si="326"/>
        <v>0</v>
      </c>
      <c r="FR99" s="915">
        <f t="shared" si="327"/>
        <v>0</v>
      </c>
      <c r="FS99" s="915">
        <f t="shared" si="328"/>
        <v>0</v>
      </c>
      <c r="FT99" s="915">
        <f t="shared" si="329"/>
        <v>0</v>
      </c>
      <c r="FU99" s="915">
        <f t="shared" si="330"/>
        <v>0</v>
      </c>
      <c r="FV99" s="915">
        <f t="shared" si="331"/>
        <v>0</v>
      </c>
      <c r="FW99" s="915">
        <f t="shared" si="332"/>
        <v>0</v>
      </c>
      <c r="FX99" s="915">
        <f t="shared" si="333"/>
        <v>0</v>
      </c>
      <c r="FY99" s="915">
        <f t="shared" si="334"/>
        <v>0</v>
      </c>
      <c r="FZ99" s="915">
        <f t="shared" si="335"/>
        <v>0</v>
      </c>
    </row>
    <row r="100" spans="1:182" x14ac:dyDescent="0.2">
      <c r="A100" s="496">
        <v>93</v>
      </c>
      <c r="B100" s="1419"/>
      <c r="C100" s="1433"/>
      <c r="D100" s="264">
        <v>12</v>
      </c>
      <c r="E100" s="264" t="s">
        <v>30</v>
      </c>
      <c r="F100" s="270" t="s">
        <v>2544</v>
      </c>
      <c r="G100" s="270" t="s">
        <v>2542</v>
      </c>
      <c r="H100" s="272">
        <v>7</v>
      </c>
      <c r="I100" s="268">
        <f t="shared" si="352"/>
        <v>0.42</v>
      </c>
      <c r="J100" s="269">
        <f t="shared" si="353"/>
        <v>7.42</v>
      </c>
      <c r="K100" s="225"/>
      <c r="N100" s="951">
        <f>DK6</f>
        <v>7.42</v>
      </c>
      <c r="O100" s="879" t="str">
        <f>"Surveying/Inspection for " &amp; TabName12</f>
        <v>Surveying/Inspection for Phase 12</v>
      </c>
      <c r="P100" s="950" t="s">
        <v>2130</v>
      </c>
      <c r="W100" s="915">
        <f t="shared" si="176"/>
        <v>0</v>
      </c>
      <c r="X100" s="915">
        <f t="shared" si="177"/>
        <v>0</v>
      </c>
      <c r="Y100" s="915">
        <f t="shared" si="178"/>
        <v>0</v>
      </c>
      <c r="Z100" s="915">
        <f t="shared" si="179"/>
        <v>0</v>
      </c>
      <c r="AA100" s="915">
        <f t="shared" si="180"/>
        <v>0</v>
      </c>
      <c r="AB100" s="915">
        <f t="shared" si="181"/>
        <v>0</v>
      </c>
      <c r="AC100" s="915">
        <f t="shared" si="182"/>
        <v>0</v>
      </c>
      <c r="AD100" s="915">
        <f t="shared" si="183"/>
        <v>0</v>
      </c>
      <c r="AE100" s="915">
        <f t="shared" si="184"/>
        <v>0</v>
      </c>
      <c r="AF100" s="915">
        <f t="shared" si="185"/>
        <v>0</v>
      </c>
      <c r="AG100" s="915">
        <f t="shared" si="186"/>
        <v>0</v>
      </c>
      <c r="AH100" s="915">
        <f t="shared" si="187"/>
        <v>0</v>
      </c>
      <c r="AI100" s="915">
        <f t="shared" si="188"/>
        <v>0</v>
      </c>
      <c r="AJ100" s="915">
        <f t="shared" si="189"/>
        <v>0</v>
      </c>
      <c r="AK100" s="915">
        <f t="shared" si="190"/>
        <v>0</v>
      </c>
      <c r="AL100" s="915">
        <f t="shared" si="191"/>
        <v>0</v>
      </c>
      <c r="AM100" s="915">
        <f t="shared" si="192"/>
        <v>0</v>
      </c>
      <c r="AN100" s="915">
        <f t="shared" si="193"/>
        <v>0</v>
      </c>
      <c r="AO100" s="915">
        <f t="shared" si="194"/>
        <v>0</v>
      </c>
      <c r="AP100" s="915">
        <f t="shared" si="195"/>
        <v>0</v>
      </c>
      <c r="AQ100" s="915">
        <f t="shared" si="196"/>
        <v>0</v>
      </c>
      <c r="AR100" s="915">
        <f t="shared" si="197"/>
        <v>0</v>
      </c>
      <c r="AS100" s="915">
        <f t="shared" si="198"/>
        <v>0</v>
      </c>
      <c r="AT100" s="915">
        <f t="shared" si="199"/>
        <v>0</v>
      </c>
      <c r="AU100" s="915">
        <f t="shared" si="200"/>
        <v>0</v>
      </c>
      <c r="AV100" s="915">
        <f t="shared" si="201"/>
        <v>0</v>
      </c>
      <c r="AW100" s="915">
        <f t="shared" si="202"/>
        <v>0</v>
      </c>
      <c r="AX100" s="915">
        <f t="shared" si="203"/>
        <v>0</v>
      </c>
      <c r="AY100" s="915">
        <f t="shared" si="204"/>
        <v>0</v>
      </c>
      <c r="AZ100" s="915">
        <f t="shared" si="205"/>
        <v>0</v>
      </c>
      <c r="BA100" s="915">
        <f t="shared" si="206"/>
        <v>0</v>
      </c>
      <c r="BB100" s="915">
        <f t="shared" si="207"/>
        <v>0</v>
      </c>
      <c r="BC100" s="915">
        <f t="shared" si="354"/>
        <v>0</v>
      </c>
      <c r="BD100" s="915">
        <f t="shared" si="355"/>
        <v>0</v>
      </c>
      <c r="BE100" s="915">
        <f t="shared" si="356"/>
        <v>0</v>
      </c>
      <c r="BF100" s="915">
        <f t="shared" si="357"/>
        <v>0</v>
      </c>
      <c r="BG100" s="915">
        <f t="shared" si="358"/>
        <v>0</v>
      </c>
      <c r="BH100" s="915">
        <f t="shared" si="359"/>
        <v>0</v>
      </c>
      <c r="BI100" s="915">
        <f t="shared" si="360"/>
        <v>0</v>
      </c>
      <c r="BJ100" s="915">
        <f t="shared" si="361"/>
        <v>0</v>
      </c>
      <c r="BK100" s="915">
        <f t="shared" si="216"/>
        <v>0</v>
      </c>
      <c r="BL100" s="915">
        <f t="shared" si="217"/>
        <v>0</v>
      </c>
      <c r="BM100" s="915">
        <f t="shared" si="218"/>
        <v>0</v>
      </c>
      <c r="BN100" s="915">
        <f t="shared" si="219"/>
        <v>0</v>
      </c>
      <c r="BO100" s="915">
        <f t="shared" si="220"/>
        <v>0</v>
      </c>
      <c r="BP100" s="915">
        <f t="shared" si="221"/>
        <v>0</v>
      </c>
      <c r="BQ100" s="915">
        <f t="shared" si="222"/>
        <v>0</v>
      </c>
      <c r="BR100" s="915">
        <f t="shared" si="223"/>
        <v>0</v>
      </c>
      <c r="BS100" s="915">
        <f t="shared" si="378"/>
        <v>0</v>
      </c>
      <c r="BT100" s="915">
        <f t="shared" si="379"/>
        <v>0</v>
      </c>
      <c r="BU100" s="915">
        <f t="shared" si="380"/>
        <v>0</v>
      </c>
      <c r="BV100" s="915">
        <f t="shared" si="381"/>
        <v>0</v>
      </c>
      <c r="BW100" s="915">
        <f t="shared" si="382"/>
        <v>0</v>
      </c>
      <c r="BX100" s="915">
        <f t="shared" si="383"/>
        <v>0</v>
      </c>
      <c r="BY100" s="915">
        <f t="shared" si="384"/>
        <v>0</v>
      </c>
      <c r="BZ100" s="915">
        <f t="shared" si="385"/>
        <v>0</v>
      </c>
      <c r="CA100" s="915">
        <f t="shared" si="362"/>
        <v>0</v>
      </c>
      <c r="CB100" s="915">
        <f t="shared" si="363"/>
        <v>0</v>
      </c>
      <c r="CC100" s="915">
        <f t="shared" si="364"/>
        <v>0</v>
      </c>
      <c r="CD100" s="915">
        <f t="shared" si="365"/>
        <v>0</v>
      </c>
      <c r="CE100" s="915">
        <f t="shared" si="366"/>
        <v>0</v>
      </c>
      <c r="CF100" s="915">
        <f t="shared" si="367"/>
        <v>0</v>
      </c>
      <c r="CG100" s="915">
        <f t="shared" si="368"/>
        <v>0</v>
      </c>
      <c r="CH100" s="915">
        <f t="shared" si="369"/>
        <v>0</v>
      </c>
      <c r="CI100" s="915">
        <f t="shared" si="336"/>
        <v>0</v>
      </c>
      <c r="CJ100" s="915">
        <f t="shared" si="337"/>
        <v>0</v>
      </c>
      <c r="CK100" s="915">
        <f t="shared" si="338"/>
        <v>0</v>
      </c>
      <c r="CL100" s="915">
        <f t="shared" si="339"/>
        <v>0</v>
      </c>
      <c r="CM100" s="915">
        <f t="shared" si="340"/>
        <v>0</v>
      </c>
      <c r="CN100" s="915">
        <f t="shared" si="341"/>
        <v>0</v>
      </c>
      <c r="CO100" s="915">
        <f t="shared" si="342"/>
        <v>0</v>
      </c>
      <c r="CP100" s="915">
        <f t="shared" si="343"/>
        <v>0</v>
      </c>
      <c r="CQ100" s="915">
        <f t="shared" si="370"/>
        <v>0</v>
      </c>
      <c r="CR100" s="915">
        <f t="shared" si="371"/>
        <v>0</v>
      </c>
      <c r="CS100" s="915">
        <f t="shared" si="372"/>
        <v>0</v>
      </c>
      <c r="CT100" s="915">
        <f t="shared" si="373"/>
        <v>0</v>
      </c>
      <c r="CU100" s="915">
        <f t="shared" si="374"/>
        <v>0</v>
      </c>
      <c r="CV100" s="915">
        <f t="shared" si="375"/>
        <v>0</v>
      </c>
      <c r="CW100" s="915">
        <f t="shared" si="376"/>
        <v>0</v>
      </c>
      <c r="CX100" s="915">
        <f t="shared" si="377"/>
        <v>0</v>
      </c>
      <c r="CY100" s="915">
        <f t="shared" si="256"/>
        <v>0</v>
      </c>
      <c r="CZ100" s="915">
        <f t="shared" si="257"/>
        <v>0</v>
      </c>
      <c r="DA100" s="915">
        <f t="shared" si="258"/>
        <v>0</v>
      </c>
      <c r="DB100" s="915">
        <f t="shared" si="259"/>
        <v>0</v>
      </c>
      <c r="DC100" s="915">
        <f t="shared" si="260"/>
        <v>0</v>
      </c>
      <c r="DD100" s="915">
        <f t="shared" si="261"/>
        <v>0</v>
      </c>
      <c r="DE100" s="915">
        <f t="shared" si="262"/>
        <v>0</v>
      </c>
      <c r="DF100" s="915">
        <f t="shared" si="263"/>
        <v>0</v>
      </c>
      <c r="DG100" s="915">
        <f t="shared" si="264"/>
        <v>0</v>
      </c>
      <c r="DH100" s="915">
        <f t="shared" si="265"/>
        <v>0</v>
      </c>
      <c r="DI100" s="915">
        <f t="shared" si="266"/>
        <v>0</v>
      </c>
      <c r="DJ100" s="915">
        <f t="shared" si="267"/>
        <v>0</v>
      </c>
      <c r="DK100" s="915">
        <f t="shared" si="268"/>
        <v>7.42</v>
      </c>
      <c r="DL100" s="915">
        <f t="shared" si="269"/>
        <v>0</v>
      </c>
      <c r="DM100" s="915">
        <f t="shared" si="270"/>
        <v>0</v>
      </c>
      <c r="DN100" s="915">
        <f t="shared" si="271"/>
        <v>0</v>
      </c>
      <c r="DO100" s="915">
        <f t="shared" si="272"/>
        <v>0</v>
      </c>
      <c r="DP100" s="915">
        <f t="shared" si="273"/>
        <v>0</v>
      </c>
      <c r="DQ100" s="915">
        <f t="shared" si="274"/>
        <v>0</v>
      </c>
      <c r="DR100" s="915">
        <f t="shared" si="275"/>
        <v>0</v>
      </c>
      <c r="DS100" s="915">
        <f t="shared" si="276"/>
        <v>0</v>
      </c>
      <c r="DT100" s="915">
        <f t="shared" si="277"/>
        <v>0</v>
      </c>
      <c r="DU100" s="915">
        <f t="shared" si="278"/>
        <v>0</v>
      </c>
      <c r="DV100" s="915">
        <f t="shared" si="279"/>
        <v>0</v>
      </c>
      <c r="DW100" s="915">
        <f t="shared" si="280"/>
        <v>0</v>
      </c>
      <c r="DX100" s="915">
        <f t="shared" si="281"/>
        <v>0</v>
      </c>
      <c r="DY100" s="915">
        <f t="shared" si="282"/>
        <v>0</v>
      </c>
      <c r="DZ100" s="915">
        <f t="shared" si="283"/>
        <v>0</v>
      </c>
      <c r="EA100" s="915">
        <f t="shared" si="284"/>
        <v>0</v>
      </c>
      <c r="EB100" s="915">
        <f t="shared" si="285"/>
        <v>0</v>
      </c>
      <c r="EC100" s="915">
        <f t="shared" si="286"/>
        <v>0</v>
      </c>
      <c r="ED100" s="915">
        <f t="shared" si="287"/>
        <v>0</v>
      </c>
      <c r="EE100" s="915">
        <f t="shared" si="288"/>
        <v>0</v>
      </c>
      <c r="EF100" s="915">
        <f t="shared" si="289"/>
        <v>0</v>
      </c>
      <c r="EG100" s="915">
        <f t="shared" si="290"/>
        <v>0</v>
      </c>
      <c r="EH100" s="915">
        <f t="shared" si="291"/>
        <v>0</v>
      </c>
      <c r="EI100" s="915">
        <f t="shared" si="292"/>
        <v>0</v>
      </c>
      <c r="EJ100" s="915">
        <f t="shared" si="293"/>
        <v>0</v>
      </c>
      <c r="EK100" s="915">
        <f t="shared" si="294"/>
        <v>0</v>
      </c>
      <c r="EL100" s="915">
        <f t="shared" si="295"/>
        <v>0</v>
      </c>
      <c r="EM100" s="915">
        <f t="shared" si="296"/>
        <v>0</v>
      </c>
      <c r="EN100" s="915">
        <f t="shared" si="297"/>
        <v>0</v>
      </c>
      <c r="EO100" s="915">
        <f t="shared" si="298"/>
        <v>0</v>
      </c>
      <c r="EP100" s="915">
        <f t="shared" si="299"/>
        <v>0</v>
      </c>
      <c r="EQ100" s="915">
        <f t="shared" si="300"/>
        <v>0</v>
      </c>
      <c r="ER100" s="915">
        <f t="shared" si="301"/>
        <v>0</v>
      </c>
      <c r="ES100" s="915">
        <f t="shared" si="302"/>
        <v>0</v>
      </c>
      <c r="ET100" s="915">
        <f t="shared" si="303"/>
        <v>0</v>
      </c>
      <c r="EU100" s="915">
        <f t="shared" si="304"/>
        <v>0</v>
      </c>
      <c r="EV100" s="915">
        <f t="shared" si="305"/>
        <v>0</v>
      </c>
      <c r="EW100" s="915">
        <f t="shared" si="306"/>
        <v>0</v>
      </c>
      <c r="EX100" s="915">
        <f t="shared" si="307"/>
        <v>0</v>
      </c>
      <c r="EY100" s="915">
        <f t="shared" si="308"/>
        <v>0</v>
      </c>
      <c r="EZ100" s="915">
        <f t="shared" si="309"/>
        <v>0</v>
      </c>
      <c r="FA100" s="915">
        <f t="shared" si="310"/>
        <v>0</v>
      </c>
      <c r="FB100" s="915">
        <f t="shared" si="311"/>
        <v>0</v>
      </c>
      <c r="FC100" s="915">
        <f t="shared" si="312"/>
        <v>0</v>
      </c>
      <c r="FD100" s="915">
        <f t="shared" si="313"/>
        <v>0</v>
      </c>
      <c r="FE100" s="915">
        <f t="shared" si="314"/>
        <v>0</v>
      </c>
      <c r="FF100" s="915">
        <f t="shared" si="315"/>
        <v>0</v>
      </c>
      <c r="FG100" s="915">
        <f t="shared" si="316"/>
        <v>0</v>
      </c>
      <c r="FH100" s="915">
        <f t="shared" si="317"/>
        <v>0</v>
      </c>
      <c r="FI100" s="915">
        <f t="shared" si="318"/>
        <v>0</v>
      </c>
      <c r="FJ100" s="915">
        <f t="shared" si="319"/>
        <v>0</v>
      </c>
      <c r="FK100" s="915">
        <f t="shared" si="320"/>
        <v>0</v>
      </c>
      <c r="FL100" s="915">
        <f t="shared" si="321"/>
        <v>0</v>
      </c>
      <c r="FM100" s="915">
        <f t="shared" si="322"/>
        <v>0</v>
      </c>
      <c r="FN100" s="915">
        <f t="shared" si="323"/>
        <v>0</v>
      </c>
      <c r="FO100" s="915">
        <f t="shared" si="324"/>
        <v>0</v>
      </c>
      <c r="FP100" s="915">
        <f t="shared" si="325"/>
        <v>0</v>
      </c>
      <c r="FQ100" s="915">
        <f t="shared" si="326"/>
        <v>0</v>
      </c>
      <c r="FR100" s="915">
        <f t="shared" si="327"/>
        <v>0</v>
      </c>
      <c r="FS100" s="915">
        <f t="shared" si="328"/>
        <v>0</v>
      </c>
      <c r="FT100" s="915">
        <f t="shared" si="329"/>
        <v>0</v>
      </c>
      <c r="FU100" s="915">
        <f t="shared" si="330"/>
        <v>0</v>
      </c>
      <c r="FV100" s="915">
        <f t="shared" si="331"/>
        <v>0</v>
      </c>
      <c r="FW100" s="915">
        <f t="shared" si="332"/>
        <v>0</v>
      </c>
      <c r="FX100" s="915">
        <f t="shared" si="333"/>
        <v>0</v>
      </c>
      <c r="FY100" s="915">
        <f t="shared" si="334"/>
        <v>0</v>
      </c>
      <c r="FZ100" s="915">
        <f t="shared" si="335"/>
        <v>0</v>
      </c>
    </row>
    <row r="101" spans="1:182" x14ac:dyDescent="0.2">
      <c r="A101" s="497">
        <v>94</v>
      </c>
      <c r="B101" s="1423"/>
      <c r="C101" s="1424"/>
      <c r="D101" s="138">
        <v>12</v>
      </c>
      <c r="E101" s="138" t="s">
        <v>170</v>
      </c>
      <c r="F101" s="139" t="s">
        <v>2544</v>
      </c>
      <c r="G101" s="139" t="s">
        <v>2542</v>
      </c>
      <c r="H101" s="100">
        <v>7</v>
      </c>
      <c r="I101" s="119">
        <f t="shared" si="352"/>
        <v>0.42</v>
      </c>
      <c r="J101" s="90">
        <f t="shared" si="353"/>
        <v>7.42</v>
      </c>
      <c r="K101" s="225"/>
      <c r="N101" s="951">
        <f>DL6</f>
        <v>7.42</v>
      </c>
      <c r="O101" s="879" t="str">
        <f>"Other subcontractor for " &amp; TabName12</f>
        <v>Other subcontractor for Phase 12</v>
      </c>
      <c r="P101" s="949" t="s">
        <v>2131</v>
      </c>
      <c r="W101" s="915">
        <f t="shared" si="176"/>
        <v>0</v>
      </c>
      <c r="X101" s="915">
        <f t="shared" si="177"/>
        <v>0</v>
      </c>
      <c r="Y101" s="915">
        <f t="shared" si="178"/>
        <v>0</v>
      </c>
      <c r="Z101" s="915">
        <f t="shared" si="179"/>
        <v>0</v>
      </c>
      <c r="AA101" s="915">
        <f t="shared" si="180"/>
        <v>0</v>
      </c>
      <c r="AB101" s="915">
        <f t="shared" si="181"/>
        <v>0</v>
      </c>
      <c r="AC101" s="915">
        <f t="shared" si="182"/>
        <v>0</v>
      </c>
      <c r="AD101" s="915">
        <f t="shared" si="183"/>
        <v>0</v>
      </c>
      <c r="AE101" s="915">
        <f t="shared" si="184"/>
        <v>0</v>
      </c>
      <c r="AF101" s="915">
        <f t="shared" si="185"/>
        <v>0</v>
      </c>
      <c r="AG101" s="915">
        <f t="shared" si="186"/>
        <v>0</v>
      </c>
      <c r="AH101" s="915">
        <f t="shared" si="187"/>
        <v>0</v>
      </c>
      <c r="AI101" s="915">
        <f t="shared" si="188"/>
        <v>0</v>
      </c>
      <c r="AJ101" s="915">
        <f t="shared" si="189"/>
        <v>0</v>
      </c>
      <c r="AK101" s="915">
        <f t="shared" si="190"/>
        <v>0</v>
      </c>
      <c r="AL101" s="915">
        <f t="shared" si="191"/>
        <v>0</v>
      </c>
      <c r="AM101" s="915">
        <f t="shared" si="192"/>
        <v>0</v>
      </c>
      <c r="AN101" s="915">
        <f t="shared" si="193"/>
        <v>0</v>
      </c>
      <c r="AO101" s="915">
        <f t="shared" si="194"/>
        <v>0</v>
      </c>
      <c r="AP101" s="915">
        <f t="shared" si="195"/>
        <v>0</v>
      </c>
      <c r="AQ101" s="915">
        <f t="shared" si="196"/>
        <v>0</v>
      </c>
      <c r="AR101" s="915">
        <f t="shared" si="197"/>
        <v>0</v>
      </c>
      <c r="AS101" s="915">
        <f t="shared" si="198"/>
        <v>0</v>
      </c>
      <c r="AT101" s="915">
        <f t="shared" si="199"/>
        <v>0</v>
      </c>
      <c r="AU101" s="915">
        <f t="shared" si="200"/>
        <v>0</v>
      </c>
      <c r="AV101" s="915">
        <f t="shared" si="201"/>
        <v>0</v>
      </c>
      <c r="AW101" s="915">
        <f t="shared" si="202"/>
        <v>0</v>
      </c>
      <c r="AX101" s="915">
        <f t="shared" si="203"/>
        <v>0</v>
      </c>
      <c r="AY101" s="915">
        <f t="shared" si="204"/>
        <v>0</v>
      </c>
      <c r="AZ101" s="915">
        <f t="shared" si="205"/>
        <v>0</v>
      </c>
      <c r="BA101" s="915">
        <f t="shared" si="206"/>
        <v>0</v>
      </c>
      <c r="BB101" s="915">
        <f t="shared" si="207"/>
        <v>0</v>
      </c>
      <c r="BC101" s="915">
        <f t="shared" si="354"/>
        <v>0</v>
      </c>
      <c r="BD101" s="915">
        <f t="shared" si="355"/>
        <v>0</v>
      </c>
      <c r="BE101" s="915">
        <f t="shared" si="356"/>
        <v>0</v>
      </c>
      <c r="BF101" s="915">
        <f t="shared" si="357"/>
        <v>0</v>
      </c>
      <c r="BG101" s="915">
        <f t="shared" si="358"/>
        <v>0</v>
      </c>
      <c r="BH101" s="915">
        <f t="shared" si="359"/>
        <v>0</v>
      </c>
      <c r="BI101" s="915">
        <f t="shared" si="360"/>
        <v>0</v>
      </c>
      <c r="BJ101" s="915">
        <f t="shared" si="361"/>
        <v>0</v>
      </c>
      <c r="BK101" s="915">
        <f t="shared" si="216"/>
        <v>0</v>
      </c>
      <c r="BL101" s="915">
        <f t="shared" si="217"/>
        <v>0</v>
      </c>
      <c r="BM101" s="915">
        <f t="shared" si="218"/>
        <v>0</v>
      </c>
      <c r="BN101" s="915">
        <f t="shared" si="219"/>
        <v>0</v>
      </c>
      <c r="BO101" s="915">
        <f t="shared" si="220"/>
        <v>0</v>
      </c>
      <c r="BP101" s="915">
        <f t="shared" si="221"/>
        <v>0</v>
      </c>
      <c r="BQ101" s="915">
        <f t="shared" si="222"/>
        <v>0</v>
      </c>
      <c r="BR101" s="915">
        <f t="shared" si="223"/>
        <v>0</v>
      </c>
      <c r="BS101" s="915">
        <f t="shared" si="378"/>
        <v>0</v>
      </c>
      <c r="BT101" s="915">
        <f t="shared" si="379"/>
        <v>0</v>
      </c>
      <c r="BU101" s="915">
        <f t="shared" si="380"/>
        <v>0</v>
      </c>
      <c r="BV101" s="915">
        <f t="shared" si="381"/>
        <v>0</v>
      </c>
      <c r="BW101" s="915">
        <f t="shared" si="382"/>
        <v>0</v>
      </c>
      <c r="BX101" s="915">
        <f t="shared" si="383"/>
        <v>0</v>
      </c>
      <c r="BY101" s="915">
        <f t="shared" si="384"/>
        <v>0</v>
      </c>
      <c r="BZ101" s="915">
        <f t="shared" si="385"/>
        <v>0</v>
      </c>
      <c r="CA101" s="915">
        <f t="shared" si="362"/>
        <v>0</v>
      </c>
      <c r="CB101" s="915">
        <f t="shared" si="363"/>
        <v>0</v>
      </c>
      <c r="CC101" s="915">
        <f t="shared" si="364"/>
        <v>0</v>
      </c>
      <c r="CD101" s="915">
        <f t="shared" si="365"/>
        <v>0</v>
      </c>
      <c r="CE101" s="915">
        <f t="shared" si="366"/>
        <v>0</v>
      </c>
      <c r="CF101" s="915">
        <f t="shared" si="367"/>
        <v>0</v>
      </c>
      <c r="CG101" s="915">
        <f t="shared" si="368"/>
        <v>0</v>
      </c>
      <c r="CH101" s="915">
        <f t="shared" si="369"/>
        <v>0</v>
      </c>
      <c r="CI101" s="915">
        <f t="shared" si="336"/>
        <v>0</v>
      </c>
      <c r="CJ101" s="915">
        <f t="shared" si="337"/>
        <v>0</v>
      </c>
      <c r="CK101" s="915">
        <f t="shared" si="338"/>
        <v>0</v>
      </c>
      <c r="CL101" s="915">
        <f t="shared" si="339"/>
        <v>0</v>
      </c>
      <c r="CM101" s="915">
        <f t="shared" si="340"/>
        <v>0</v>
      </c>
      <c r="CN101" s="915">
        <f t="shared" si="341"/>
        <v>0</v>
      </c>
      <c r="CO101" s="915">
        <f t="shared" si="342"/>
        <v>0</v>
      </c>
      <c r="CP101" s="915">
        <f t="shared" si="343"/>
        <v>0</v>
      </c>
      <c r="CQ101" s="915">
        <f t="shared" si="370"/>
        <v>0</v>
      </c>
      <c r="CR101" s="915">
        <f t="shared" si="371"/>
        <v>0</v>
      </c>
      <c r="CS101" s="915">
        <f t="shared" si="372"/>
        <v>0</v>
      </c>
      <c r="CT101" s="915">
        <f t="shared" si="373"/>
        <v>0</v>
      </c>
      <c r="CU101" s="915">
        <f t="shared" si="374"/>
        <v>0</v>
      </c>
      <c r="CV101" s="915">
        <f t="shared" si="375"/>
        <v>0</v>
      </c>
      <c r="CW101" s="915">
        <f t="shared" si="376"/>
        <v>0</v>
      </c>
      <c r="CX101" s="915">
        <f t="shared" si="377"/>
        <v>0</v>
      </c>
      <c r="CY101" s="915">
        <f t="shared" si="256"/>
        <v>0</v>
      </c>
      <c r="CZ101" s="915">
        <f t="shared" si="257"/>
        <v>0</v>
      </c>
      <c r="DA101" s="915">
        <f t="shared" si="258"/>
        <v>0</v>
      </c>
      <c r="DB101" s="915">
        <f t="shared" si="259"/>
        <v>0</v>
      </c>
      <c r="DC101" s="915">
        <f t="shared" si="260"/>
        <v>0</v>
      </c>
      <c r="DD101" s="915">
        <f t="shared" si="261"/>
        <v>0</v>
      </c>
      <c r="DE101" s="915">
        <f t="shared" si="262"/>
        <v>0</v>
      </c>
      <c r="DF101" s="915">
        <f t="shared" si="263"/>
        <v>0</v>
      </c>
      <c r="DG101" s="915">
        <f t="shared" si="264"/>
        <v>0</v>
      </c>
      <c r="DH101" s="915">
        <f t="shared" si="265"/>
        <v>0</v>
      </c>
      <c r="DI101" s="915">
        <f t="shared" si="266"/>
        <v>0</v>
      </c>
      <c r="DJ101" s="915">
        <f t="shared" si="267"/>
        <v>0</v>
      </c>
      <c r="DK101" s="915">
        <f t="shared" si="268"/>
        <v>0</v>
      </c>
      <c r="DL101" s="915">
        <f t="shared" si="269"/>
        <v>7.42</v>
      </c>
      <c r="DM101" s="915">
        <f t="shared" si="270"/>
        <v>0</v>
      </c>
      <c r="DN101" s="915">
        <f t="shared" si="271"/>
        <v>0</v>
      </c>
      <c r="DO101" s="915">
        <f t="shared" si="272"/>
        <v>0</v>
      </c>
      <c r="DP101" s="915">
        <f t="shared" si="273"/>
        <v>0</v>
      </c>
      <c r="DQ101" s="915">
        <f t="shared" si="274"/>
        <v>0</v>
      </c>
      <c r="DR101" s="915">
        <f t="shared" si="275"/>
        <v>0</v>
      </c>
      <c r="DS101" s="915">
        <f t="shared" si="276"/>
        <v>0</v>
      </c>
      <c r="DT101" s="915">
        <f t="shared" si="277"/>
        <v>0</v>
      </c>
      <c r="DU101" s="915">
        <f t="shared" si="278"/>
        <v>0</v>
      </c>
      <c r="DV101" s="915">
        <f t="shared" si="279"/>
        <v>0</v>
      </c>
      <c r="DW101" s="915">
        <f t="shared" si="280"/>
        <v>0</v>
      </c>
      <c r="DX101" s="915">
        <f t="shared" si="281"/>
        <v>0</v>
      </c>
      <c r="DY101" s="915">
        <f t="shared" si="282"/>
        <v>0</v>
      </c>
      <c r="DZ101" s="915">
        <f t="shared" si="283"/>
        <v>0</v>
      </c>
      <c r="EA101" s="915">
        <f t="shared" si="284"/>
        <v>0</v>
      </c>
      <c r="EB101" s="915">
        <f t="shared" si="285"/>
        <v>0</v>
      </c>
      <c r="EC101" s="915">
        <f t="shared" si="286"/>
        <v>0</v>
      </c>
      <c r="ED101" s="915">
        <f t="shared" si="287"/>
        <v>0</v>
      </c>
      <c r="EE101" s="915">
        <f t="shared" si="288"/>
        <v>0</v>
      </c>
      <c r="EF101" s="915">
        <f t="shared" si="289"/>
        <v>0</v>
      </c>
      <c r="EG101" s="915">
        <f t="shared" si="290"/>
        <v>0</v>
      </c>
      <c r="EH101" s="915">
        <f t="shared" si="291"/>
        <v>0</v>
      </c>
      <c r="EI101" s="915">
        <f t="shared" si="292"/>
        <v>0</v>
      </c>
      <c r="EJ101" s="915">
        <f t="shared" si="293"/>
        <v>0</v>
      </c>
      <c r="EK101" s="915">
        <f t="shared" si="294"/>
        <v>0</v>
      </c>
      <c r="EL101" s="915">
        <f t="shared" si="295"/>
        <v>0</v>
      </c>
      <c r="EM101" s="915">
        <f t="shared" si="296"/>
        <v>0</v>
      </c>
      <c r="EN101" s="915">
        <f t="shared" si="297"/>
        <v>0</v>
      </c>
      <c r="EO101" s="915">
        <f t="shared" si="298"/>
        <v>0</v>
      </c>
      <c r="EP101" s="915">
        <f t="shared" si="299"/>
        <v>0</v>
      </c>
      <c r="EQ101" s="915">
        <f t="shared" si="300"/>
        <v>0</v>
      </c>
      <c r="ER101" s="915">
        <f t="shared" si="301"/>
        <v>0</v>
      </c>
      <c r="ES101" s="915">
        <f t="shared" si="302"/>
        <v>0</v>
      </c>
      <c r="ET101" s="915">
        <f t="shared" si="303"/>
        <v>0</v>
      </c>
      <c r="EU101" s="915">
        <f t="shared" si="304"/>
        <v>0</v>
      </c>
      <c r="EV101" s="915">
        <f t="shared" si="305"/>
        <v>0</v>
      </c>
      <c r="EW101" s="915">
        <f t="shared" si="306"/>
        <v>0</v>
      </c>
      <c r="EX101" s="915">
        <f t="shared" si="307"/>
        <v>0</v>
      </c>
      <c r="EY101" s="915">
        <f t="shared" si="308"/>
        <v>0</v>
      </c>
      <c r="EZ101" s="915">
        <f t="shared" si="309"/>
        <v>0</v>
      </c>
      <c r="FA101" s="915">
        <f t="shared" si="310"/>
        <v>0</v>
      </c>
      <c r="FB101" s="915">
        <f t="shared" si="311"/>
        <v>0</v>
      </c>
      <c r="FC101" s="915">
        <f t="shared" si="312"/>
        <v>0</v>
      </c>
      <c r="FD101" s="915">
        <f t="shared" si="313"/>
        <v>0</v>
      </c>
      <c r="FE101" s="915">
        <f t="shared" si="314"/>
        <v>0</v>
      </c>
      <c r="FF101" s="915">
        <f t="shared" si="315"/>
        <v>0</v>
      </c>
      <c r="FG101" s="915">
        <f t="shared" si="316"/>
        <v>0</v>
      </c>
      <c r="FH101" s="915">
        <f t="shared" si="317"/>
        <v>0</v>
      </c>
      <c r="FI101" s="915">
        <f t="shared" si="318"/>
        <v>0</v>
      </c>
      <c r="FJ101" s="915">
        <f t="shared" si="319"/>
        <v>0</v>
      </c>
      <c r="FK101" s="915">
        <f t="shared" si="320"/>
        <v>0</v>
      </c>
      <c r="FL101" s="915">
        <f t="shared" si="321"/>
        <v>0</v>
      </c>
      <c r="FM101" s="915">
        <f t="shared" si="322"/>
        <v>0</v>
      </c>
      <c r="FN101" s="915">
        <f t="shared" si="323"/>
        <v>0</v>
      </c>
      <c r="FO101" s="915">
        <f t="shared" si="324"/>
        <v>0</v>
      </c>
      <c r="FP101" s="915">
        <f t="shared" si="325"/>
        <v>0</v>
      </c>
      <c r="FQ101" s="915">
        <f t="shared" si="326"/>
        <v>0</v>
      </c>
      <c r="FR101" s="915">
        <f t="shared" si="327"/>
        <v>0</v>
      </c>
      <c r="FS101" s="915">
        <f t="shared" si="328"/>
        <v>0</v>
      </c>
      <c r="FT101" s="915">
        <f t="shared" si="329"/>
        <v>0</v>
      </c>
      <c r="FU101" s="915">
        <f t="shared" si="330"/>
        <v>0</v>
      </c>
      <c r="FV101" s="915">
        <f t="shared" si="331"/>
        <v>0</v>
      </c>
      <c r="FW101" s="915">
        <f t="shared" si="332"/>
        <v>0</v>
      </c>
      <c r="FX101" s="915">
        <f t="shared" si="333"/>
        <v>0</v>
      </c>
      <c r="FY101" s="915">
        <f t="shared" si="334"/>
        <v>0</v>
      </c>
      <c r="FZ101" s="915">
        <f t="shared" si="335"/>
        <v>0</v>
      </c>
    </row>
    <row r="102" spans="1:182" x14ac:dyDescent="0.2">
      <c r="A102" s="496">
        <v>95</v>
      </c>
      <c r="B102" s="1419"/>
      <c r="C102" s="1433"/>
      <c r="D102" s="264">
        <v>12</v>
      </c>
      <c r="E102" s="264" t="s">
        <v>48</v>
      </c>
      <c r="F102" s="270" t="s">
        <v>2544</v>
      </c>
      <c r="G102" s="270" t="s">
        <v>2542</v>
      </c>
      <c r="H102" s="272">
        <v>7</v>
      </c>
      <c r="I102" s="268">
        <f t="shared" si="352"/>
        <v>0.42</v>
      </c>
      <c r="J102" s="269">
        <f t="shared" si="353"/>
        <v>7.42</v>
      </c>
      <c r="K102" s="225"/>
      <c r="N102" s="951">
        <f>DM6</f>
        <v>7.42</v>
      </c>
      <c r="O102" s="915" t="str">
        <f>"Miscellaneous for "&amp;TabName12</f>
        <v>Miscellaneous for Phase 12</v>
      </c>
      <c r="P102" s="949" t="s">
        <v>2132</v>
      </c>
      <c r="W102" s="915">
        <f t="shared" si="176"/>
        <v>0</v>
      </c>
      <c r="X102" s="915">
        <f t="shared" si="177"/>
        <v>0</v>
      </c>
      <c r="Y102" s="915">
        <f t="shared" si="178"/>
        <v>0</v>
      </c>
      <c r="Z102" s="915">
        <f t="shared" si="179"/>
        <v>0</v>
      </c>
      <c r="AA102" s="915">
        <f t="shared" si="180"/>
        <v>0</v>
      </c>
      <c r="AB102" s="915">
        <f t="shared" si="181"/>
        <v>0</v>
      </c>
      <c r="AC102" s="915">
        <f t="shared" si="182"/>
        <v>0</v>
      </c>
      <c r="AD102" s="915">
        <f t="shared" si="183"/>
        <v>0</v>
      </c>
      <c r="AE102" s="915">
        <f t="shared" si="184"/>
        <v>0</v>
      </c>
      <c r="AF102" s="915">
        <f t="shared" si="185"/>
        <v>0</v>
      </c>
      <c r="AG102" s="915">
        <f t="shared" si="186"/>
        <v>0</v>
      </c>
      <c r="AH102" s="915">
        <f t="shared" si="187"/>
        <v>0</v>
      </c>
      <c r="AI102" s="915">
        <f t="shared" si="188"/>
        <v>0</v>
      </c>
      <c r="AJ102" s="915">
        <f t="shared" si="189"/>
        <v>0</v>
      </c>
      <c r="AK102" s="915">
        <f t="shared" si="190"/>
        <v>0</v>
      </c>
      <c r="AL102" s="915">
        <f t="shared" si="191"/>
        <v>0</v>
      </c>
      <c r="AM102" s="915">
        <f t="shared" si="192"/>
        <v>0</v>
      </c>
      <c r="AN102" s="915">
        <f t="shared" si="193"/>
        <v>0</v>
      </c>
      <c r="AO102" s="915">
        <f t="shared" si="194"/>
        <v>0</v>
      </c>
      <c r="AP102" s="915">
        <f t="shared" si="195"/>
        <v>0</v>
      </c>
      <c r="AQ102" s="915">
        <f t="shared" si="196"/>
        <v>0</v>
      </c>
      <c r="AR102" s="915">
        <f t="shared" si="197"/>
        <v>0</v>
      </c>
      <c r="AS102" s="915">
        <f t="shared" si="198"/>
        <v>0</v>
      </c>
      <c r="AT102" s="915">
        <f t="shared" si="199"/>
        <v>0</v>
      </c>
      <c r="AU102" s="915">
        <f t="shared" si="200"/>
        <v>0</v>
      </c>
      <c r="AV102" s="915">
        <f t="shared" si="201"/>
        <v>0</v>
      </c>
      <c r="AW102" s="915">
        <f t="shared" si="202"/>
        <v>0</v>
      </c>
      <c r="AX102" s="915">
        <f t="shared" si="203"/>
        <v>0</v>
      </c>
      <c r="AY102" s="915">
        <f t="shared" si="204"/>
        <v>0</v>
      </c>
      <c r="AZ102" s="915">
        <f t="shared" si="205"/>
        <v>0</v>
      </c>
      <c r="BA102" s="915">
        <f t="shared" si="206"/>
        <v>0</v>
      </c>
      <c r="BB102" s="915">
        <f t="shared" si="207"/>
        <v>0</v>
      </c>
      <c r="BC102" s="915">
        <f t="shared" si="354"/>
        <v>0</v>
      </c>
      <c r="BD102" s="915">
        <f t="shared" si="355"/>
        <v>0</v>
      </c>
      <c r="BE102" s="915">
        <f t="shared" si="356"/>
        <v>0</v>
      </c>
      <c r="BF102" s="915">
        <f t="shared" si="357"/>
        <v>0</v>
      </c>
      <c r="BG102" s="915">
        <f t="shared" si="358"/>
        <v>0</v>
      </c>
      <c r="BH102" s="915">
        <f t="shared" si="359"/>
        <v>0</v>
      </c>
      <c r="BI102" s="915">
        <f t="shared" si="360"/>
        <v>0</v>
      </c>
      <c r="BJ102" s="915">
        <f t="shared" si="361"/>
        <v>0</v>
      </c>
      <c r="BK102" s="915">
        <f t="shared" si="216"/>
        <v>0</v>
      </c>
      <c r="BL102" s="915">
        <f t="shared" si="217"/>
        <v>0</v>
      </c>
      <c r="BM102" s="915">
        <f t="shared" si="218"/>
        <v>0</v>
      </c>
      <c r="BN102" s="915">
        <f t="shared" si="219"/>
        <v>0</v>
      </c>
      <c r="BO102" s="915">
        <f t="shared" si="220"/>
        <v>0</v>
      </c>
      <c r="BP102" s="915">
        <f t="shared" si="221"/>
        <v>0</v>
      </c>
      <c r="BQ102" s="915">
        <f t="shared" si="222"/>
        <v>0</v>
      </c>
      <c r="BR102" s="915">
        <f t="shared" si="223"/>
        <v>0</v>
      </c>
      <c r="BS102" s="915">
        <f t="shared" si="378"/>
        <v>0</v>
      </c>
      <c r="BT102" s="915">
        <f t="shared" si="379"/>
        <v>0</v>
      </c>
      <c r="BU102" s="915">
        <f t="shared" si="380"/>
        <v>0</v>
      </c>
      <c r="BV102" s="915">
        <f t="shared" si="381"/>
        <v>0</v>
      </c>
      <c r="BW102" s="915">
        <f t="shared" si="382"/>
        <v>0</v>
      </c>
      <c r="BX102" s="915">
        <f t="shared" si="383"/>
        <v>0</v>
      </c>
      <c r="BY102" s="915">
        <f t="shared" si="384"/>
        <v>0</v>
      </c>
      <c r="BZ102" s="915">
        <f t="shared" si="385"/>
        <v>0</v>
      </c>
      <c r="CA102" s="915">
        <f t="shared" si="362"/>
        <v>0</v>
      </c>
      <c r="CB102" s="915">
        <f t="shared" si="363"/>
        <v>0</v>
      </c>
      <c r="CC102" s="915">
        <f t="shared" si="364"/>
        <v>0</v>
      </c>
      <c r="CD102" s="915">
        <f t="shared" si="365"/>
        <v>0</v>
      </c>
      <c r="CE102" s="915">
        <f t="shared" si="366"/>
        <v>0</v>
      </c>
      <c r="CF102" s="915">
        <f t="shared" si="367"/>
        <v>0</v>
      </c>
      <c r="CG102" s="915">
        <f t="shared" si="368"/>
        <v>0</v>
      </c>
      <c r="CH102" s="915">
        <f t="shared" si="369"/>
        <v>0</v>
      </c>
      <c r="CI102" s="915">
        <f t="shared" si="336"/>
        <v>0</v>
      </c>
      <c r="CJ102" s="915">
        <f t="shared" si="337"/>
        <v>0</v>
      </c>
      <c r="CK102" s="915">
        <f t="shared" si="338"/>
        <v>0</v>
      </c>
      <c r="CL102" s="915">
        <f t="shared" si="339"/>
        <v>0</v>
      </c>
      <c r="CM102" s="915">
        <f t="shared" si="340"/>
        <v>0</v>
      </c>
      <c r="CN102" s="915">
        <f t="shared" si="341"/>
        <v>0</v>
      </c>
      <c r="CO102" s="915">
        <f t="shared" si="342"/>
        <v>0</v>
      </c>
      <c r="CP102" s="915">
        <f t="shared" si="343"/>
        <v>0</v>
      </c>
      <c r="CQ102" s="915">
        <f t="shared" si="370"/>
        <v>0</v>
      </c>
      <c r="CR102" s="915">
        <f t="shared" si="371"/>
        <v>0</v>
      </c>
      <c r="CS102" s="915">
        <f t="shared" si="372"/>
        <v>0</v>
      </c>
      <c r="CT102" s="915">
        <f t="shared" si="373"/>
        <v>0</v>
      </c>
      <c r="CU102" s="915">
        <f t="shared" si="374"/>
        <v>0</v>
      </c>
      <c r="CV102" s="915">
        <f t="shared" si="375"/>
        <v>0</v>
      </c>
      <c r="CW102" s="915">
        <f t="shared" si="376"/>
        <v>0</v>
      </c>
      <c r="CX102" s="915">
        <f t="shared" si="377"/>
        <v>0</v>
      </c>
      <c r="CY102" s="915">
        <f t="shared" si="256"/>
        <v>0</v>
      </c>
      <c r="CZ102" s="915">
        <f t="shared" si="257"/>
        <v>0</v>
      </c>
      <c r="DA102" s="915">
        <f t="shared" si="258"/>
        <v>0</v>
      </c>
      <c r="DB102" s="915">
        <f t="shared" si="259"/>
        <v>0</v>
      </c>
      <c r="DC102" s="915">
        <f t="shared" si="260"/>
        <v>0</v>
      </c>
      <c r="DD102" s="915">
        <f t="shared" si="261"/>
        <v>0</v>
      </c>
      <c r="DE102" s="915">
        <f t="shared" si="262"/>
        <v>0</v>
      </c>
      <c r="DF102" s="915">
        <f t="shared" si="263"/>
        <v>0</v>
      </c>
      <c r="DG102" s="915">
        <f t="shared" si="264"/>
        <v>0</v>
      </c>
      <c r="DH102" s="915">
        <f t="shared" si="265"/>
        <v>0</v>
      </c>
      <c r="DI102" s="915">
        <f t="shared" si="266"/>
        <v>0</v>
      </c>
      <c r="DJ102" s="915">
        <f t="shared" si="267"/>
        <v>0</v>
      </c>
      <c r="DK102" s="915">
        <f t="shared" si="268"/>
        <v>0</v>
      </c>
      <c r="DL102" s="915">
        <f t="shared" si="269"/>
        <v>0</v>
      </c>
      <c r="DM102" s="915">
        <f t="shared" si="270"/>
        <v>7.42</v>
      </c>
      <c r="DN102" s="915">
        <f t="shared" si="271"/>
        <v>0</v>
      </c>
      <c r="DO102" s="915">
        <f t="shared" si="272"/>
        <v>0</v>
      </c>
      <c r="DP102" s="915">
        <f t="shared" si="273"/>
        <v>0</v>
      </c>
      <c r="DQ102" s="915">
        <f t="shared" si="274"/>
        <v>0</v>
      </c>
      <c r="DR102" s="915">
        <f t="shared" si="275"/>
        <v>0</v>
      </c>
      <c r="DS102" s="915">
        <f t="shared" si="276"/>
        <v>0</v>
      </c>
      <c r="DT102" s="915">
        <f t="shared" si="277"/>
        <v>0</v>
      </c>
      <c r="DU102" s="915">
        <f t="shared" si="278"/>
        <v>0</v>
      </c>
      <c r="DV102" s="915">
        <f t="shared" si="279"/>
        <v>0</v>
      </c>
      <c r="DW102" s="915">
        <f t="shared" si="280"/>
        <v>0</v>
      </c>
      <c r="DX102" s="915">
        <f t="shared" si="281"/>
        <v>0</v>
      </c>
      <c r="DY102" s="915">
        <f t="shared" si="282"/>
        <v>0</v>
      </c>
      <c r="DZ102" s="915">
        <f t="shared" si="283"/>
        <v>0</v>
      </c>
      <c r="EA102" s="915">
        <f t="shared" si="284"/>
        <v>0</v>
      </c>
      <c r="EB102" s="915">
        <f t="shared" si="285"/>
        <v>0</v>
      </c>
      <c r="EC102" s="915">
        <f t="shared" si="286"/>
        <v>0</v>
      </c>
      <c r="ED102" s="915">
        <f t="shared" si="287"/>
        <v>0</v>
      </c>
      <c r="EE102" s="915">
        <f t="shared" si="288"/>
        <v>0</v>
      </c>
      <c r="EF102" s="915">
        <f t="shared" si="289"/>
        <v>0</v>
      </c>
      <c r="EG102" s="915">
        <f t="shared" si="290"/>
        <v>0</v>
      </c>
      <c r="EH102" s="915">
        <f t="shared" si="291"/>
        <v>0</v>
      </c>
      <c r="EI102" s="915">
        <f t="shared" si="292"/>
        <v>0</v>
      </c>
      <c r="EJ102" s="915">
        <f t="shared" si="293"/>
        <v>0</v>
      </c>
      <c r="EK102" s="915">
        <f t="shared" si="294"/>
        <v>0</v>
      </c>
      <c r="EL102" s="915">
        <f t="shared" si="295"/>
        <v>0</v>
      </c>
      <c r="EM102" s="915">
        <f t="shared" si="296"/>
        <v>0</v>
      </c>
      <c r="EN102" s="915">
        <f t="shared" si="297"/>
        <v>0</v>
      </c>
      <c r="EO102" s="915">
        <f t="shared" si="298"/>
        <v>0</v>
      </c>
      <c r="EP102" s="915">
        <f t="shared" si="299"/>
        <v>0</v>
      </c>
      <c r="EQ102" s="915">
        <f t="shared" si="300"/>
        <v>0</v>
      </c>
      <c r="ER102" s="915">
        <f t="shared" si="301"/>
        <v>0</v>
      </c>
      <c r="ES102" s="915">
        <f t="shared" si="302"/>
        <v>0</v>
      </c>
      <c r="ET102" s="915">
        <f t="shared" si="303"/>
        <v>0</v>
      </c>
      <c r="EU102" s="915">
        <f t="shared" si="304"/>
        <v>0</v>
      </c>
      <c r="EV102" s="915">
        <f t="shared" si="305"/>
        <v>0</v>
      </c>
      <c r="EW102" s="915">
        <f t="shared" si="306"/>
        <v>0</v>
      </c>
      <c r="EX102" s="915">
        <f t="shared" si="307"/>
        <v>0</v>
      </c>
      <c r="EY102" s="915">
        <f t="shared" si="308"/>
        <v>0</v>
      </c>
      <c r="EZ102" s="915">
        <f t="shared" si="309"/>
        <v>0</v>
      </c>
      <c r="FA102" s="915">
        <f t="shared" si="310"/>
        <v>0</v>
      </c>
      <c r="FB102" s="915">
        <f t="shared" si="311"/>
        <v>0</v>
      </c>
      <c r="FC102" s="915">
        <f t="shared" si="312"/>
        <v>0</v>
      </c>
      <c r="FD102" s="915">
        <f t="shared" si="313"/>
        <v>0</v>
      </c>
      <c r="FE102" s="915">
        <f t="shared" si="314"/>
        <v>0</v>
      </c>
      <c r="FF102" s="915">
        <f t="shared" si="315"/>
        <v>0</v>
      </c>
      <c r="FG102" s="915">
        <f t="shared" si="316"/>
        <v>0</v>
      </c>
      <c r="FH102" s="915">
        <f t="shared" si="317"/>
        <v>0</v>
      </c>
      <c r="FI102" s="915">
        <f t="shared" si="318"/>
        <v>0</v>
      </c>
      <c r="FJ102" s="915">
        <f t="shared" si="319"/>
        <v>0</v>
      </c>
      <c r="FK102" s="915">
        <f t="shared" si="320"/>
        <v>0</v>
      </c>
      <c r="FL102" s="915">
        <f t="shared" si="321"/>
        <v>0</v>
      </c>
      <c r="FM102" s="915">
        <f t="shared" si="322"/>
        <v>0</v>
      </c>
      <c r="FN102" s="915">
        <f t="shared" si="323"/>
        <v>0</v>
      </c>
      <c r="FO102" s="915">
        <f t="shared" si="324"/>
        <v>0</v>
      </c>
      <c r="FP102" s="915">
        <f t="shared" si="325"/>
        <v>0</v>
      </c>
      <c r="FQ102" s="915">
        <f t="shared" si="326"/>
        <v>0</v>
      </c>
      <c r="FR102" s="915">
        <f t="shared" si="327"/>
        <v>0</v>
      </c>
      <c r="FS102" s="915">
        <f t="shared" si="328"/>
        <v>0</v>
      </c>
      <c r="FT102" s="915">
        <f t="shared" si="329"/>
        <v>0</v>
      </c>
      <c r="FU102" s="915">
        <f t="shared" si="330"/>
        <v>0</v>
      </c>
      <c r="FV102" s="915">
        <f t="shared" si="331"/>
        <v>0</v>
      </c>
      <c r="FW102" s="915">
        <f t="shared" si="332"/>
        <v>0</v>
      </c>
      <c r="FX102" s="915">
        <f t="shared" si="333"/>
        <v>0</v>
      </c>
      <c r="FY102" s="915">
        <f t="shared" si="334"/>
        <v>0</v>
      </c>
      <c r="FZ102" s="915">
        <f t="shared" si="335"/>
        <v>0</v>
      </c>
    </row>
    <row r="103" spans="1:182" x14ac:dyDescent="0.2">
      <c r="A103" s="497">
        <v>96</v>
      </c>
      <c r="B103" s="1423"/>
      <c r="C103" s="1424"/>
      <c r="D103" s="138">
        <v>12</v>
      </c>
      <c r="E103" s="138" t="s">
        <v>27</v>
      </c>
      <c r="F103" s="139" t="s">
        <v>2544</v>
      </c>
      <c r="G103" s="139" t="s">
        <v>2542</v>
      </c>
      <c r="H103" s="100">
        <v>7</v>
      </c>
      <c r="I103" s="119">
        <f t="shared" ref="I103:I112" si="386">IF(ISTEXT(K103),0,StateTaxSub*G103*H103)</f>
        <v>0.42</v>
      </c>
      <c r="J103" s="90">
        <f t="shared" ref="J103:J112" si="387">(G103*H103)+I103</f>
        <v>7.42</v>
      </c>
      <c r="K103" s="225"/>
      <c r="N103" s="951">
        <f>DN6</f>
        <v>7.42</v>
      </c>
      <c r="O103" s="879" t="str">
        <f>"Contractor Labor for " &amp; TabName12</f>
        <v>Contractor Labor for Phase 12</v>
      </c>
      <c r="P103" s="950" t="s">
        <v>2133</v>
      </c>
      <c r="W103" s="915">
        <f t="shared" si="176"/>
        <v>0</v>
      </c>
      <c r="X103" s="915">
        <f t="shared" si="177"/>
        <v>0</v>
      </c>
      <c r="Y103" s="915">
        <f t="shared" si="178"/>
        <v>0</v>
      </c>
      <c r="Z103" s="915">
        <f t="shared" si="179"/>
        <v>0</v>
      </c>
      <c r="AA103" s="915">
        <f t="shared" si="180"/>
        <v>0</v>
      </c>
      <c r="AB103" s="915">
        <f t="shared" si="181"/>
        <v>0</v>
      </c>
      <c r="AC103" s="915">
        <f t="shared" si="182"/>
        <v>0</v>
      </c>
      <c r="AD103" s="915">
        <f t="shared" si="183"/>
        <v>0</v>
      </c>
      <c r="AE103" s="915">
        <f t="shared" si="184"/>
        <v>0</v>
      </c>
      <c r="AF103" s="915">
        <f t="shared" si="185"/>
        <v>0</v>
      </c>
      <c r="AG103" s="915">
        <f t="shared" si="186"/>
        <v>0</v>
      </c>
      <c r="AH103" s="915">
        <f t="shared" si="187"/>
        <v>0</v>
      </c>
      <c r="AI103" s="915">
        <f t="shared" si="188"/>
        <v>0</v>
      </c>
      <c r="AJ103" s="915">
        <f t="shared" si="189"/>
        <v>0</v>
      </c>
      <c r="AK103" s="915">
        <f t="shared" si="190"/>
        <v>0</v>
      </c>
      <c r="AL103" s="915">
        <f t="shared" si="191"/>
        <v>0</v>
      </c>
      <c r="AM103" s="915">
        <f t="shared" si="192"/>
        <v>0</v>
      </c>
      <c r="AN103" s="915">
        <f t="shared" si="193"/>
        <v>0</v>
      </c>
      <c r="AO103" s="915">
        <f t="shared" si="194"/>
        <v>0</v>
      </c>
      <c r="AP103" s="915">
        <f t="shared" si="195"/>
        <v>0</v>
      </c>
      <c r="AQ103" s="915">
        <f t="shared" si="196"/>
        <v>0</v>
      </c>
      <c r="AR103" s="915">
        <f t="shared" si="197"/>
        <v>0</v>
      </c>
      <c r="AS103" s="915">
        <f t="shared" si="198"/>
        <v>0</v>
      </c>
      <c r="AT103" s="915">
        <f t="shared" si="199"/>
        <v>0</v>
      </c>
      <c r="AU103" s="915">
        <f t="shared" si="200"/>
        <v>0</v>
      </c>
      <c r="AV103" s="915">
        <f t="shared" si="201"/>
        <v>0</v>
      </c>
      <c r="AW103" s="915">
        <f t="shared" si="202"/>
        <v>0</v>
      </c>
      <c r="AX103" s="915">
        <f t="shared" si="203"/>
        <v>0</v>
      </c>
      <c r="AY103" s="915">
        <f t="shared" si="204"/>
        <v>0</v>
      </c>
      <c r="AZ103" s="915">
        <f t="shared" si="205"/>
        <v>0</v>
      </c>
      <c r="BA103" s="915">
        <f t="shared" si="206"/>
        <v>0</v>
      </c>
      <c r="BB103" s="915">
        <f t="shared" si="207"/>
        <v>0</v>
      </c>
      <c r="BC103" s="915">
        <f t="shared" si="354"/>
        <v>0</v>
      </c>
      <c r="BD103" s="915">
        <f t="shared" si="355"/>
        <v>0</v>
      </c>
      <c r="BE103" s="915">
        <f t="shared" si="356"/>
        <v>0</v>
      </c>
      <c r="BF103" s="915">
        <f t="shared" si="357"/>
        <v>0</v>
      </c>
      <c r="BG103" s="915">
        <f t="shared" si="358"/>
        <v>0</v>
      </c>
      <c r="BH103" s="915">
        <f t="shared" si="359"/>
        <v>0</v>
      </c>
      <c r="BI103" s="915">
        <f t="shared" si="360"/>
        <v>0</v>
      </c>
      <c r="BJ103" s="915">
        <f t="shared" si="361"/>
        <v>0</v>
      </c>
      <c r="BK103" s="915">
        <f t="shared" si="216"/>
        <v>0</v>
      </c>
      <c r="BL103" s="915">
        <f t="shared" si="217"/>
        <v>0</v>
      </c>
      <c r="BM103" s="915">
        <f t="shared" si="218"/>
        <v>0</v>
      </c>
      <c r="BN103" s="915">
        <f t="shared" si="219"/>
        <v>0</v>
      </c>
      <c r="BO103" s="915">
        <f t="shared" si="220"/>
        <v>0</v>
      </c>
      <c r="BP103" s="915">
        <f t="shared" si="221"/>
        <v>0</v>
      </c>
      <c r="BQ103" s="915">
        <f t="shared" si="222"/>
        <v>0</v>
      </c>
      <c r="BR103" s="915">
        <f t="shared" si="223"/>
        <v>0</v>
      </c>
      <c r="BS103" s="915">
        <f t="shared" si="378"/>
        <v>0</v>
      </c>
      <c r="BT103" s="915">
        <f t="shared" si="379"/>
        <v>0</v>
      </c>
      <c r="BU103" s="915">
        <f t="shared" si="380"/>
        <v>0</v>
      </c>
      <c r="BV103" s="915">
        <f t="shared" si="381"/>
        <v>0</v>
      </c>
      <c r="BW103" s="915">
        <f t="shared" si="382"/>
        <v>0</v>
      </c>
      <c r="BX103" s="915">
        <f t="shared" si="383"/>
        <v>0</v>
      </c>
      <c r="BY103" s="915">
        <f t="shared" si="384"/>
        <v>0</v>
      </c>
      <c r="BZ103" s="915">
        <f t="shared" si="385"/>
        <v>0</v>
      </c>
      <c r="CA103" s="915">
        <f t="shared" si="362"/>
        <v>0</v>
      </c>
      <c r="CB103" s="915">
        <f t="shared" si="363"/>
        <v>0</v>
      </c>
      <c r="CC103" s="915">
        <f t="shared" si="364"/>
        <v>0</v>
      </c>
      <c r="CD103" s="915">
        <f t="shared" si="365"/>
        <v>0</v>
      </c>
      <c r="CE103" s="915">
        <f t="shared" si="366"/>
        <v>0</v>
      </c>
      <c r="CF103" s="915">
        <f t="shared" si="367"/>
        <v>0</v>
      </c>
      <c r="CG103" s="915">
        <f t="shared" si="368"/>
        <v>0</v>
      </c>
      <c r="CH103" s="915">
        <f t="shared" si="369"/>
        <v>0</v>
      </c>
      <c r="CI103" s="915">
        <f t="shared" si="336"/>
        <v>0</v>
      </c>
      <c r="CJ103" s="915">
        <f t="shared" si="337"/>
        <v>0</v>
      </c>
      <c r="CK103" s="915">
        <f t="shared" si="338"/>
        <v>0</v>
      </c>
      <c r="CL103" s="915">
        <f t="shared" si="339"/>
        <v>0</v>
      </c>
      <c r="CM103" s="915">
        <f t="shared" si="340"/>
        <v>0</v>
      </c>
      <c r="CN103" s="915">
        <f t="shared" si="341"/>
        <v>0</v>
      </c>
      <c r="CO103" s="915">
        <f t="shared" si="342"/>
        <v>0</v>
      </c>
      <c r="CP103" s="915">
        <f t="shared" si="343"/>
        <v>0</v>
      </c>
      <c r="CQ103" s="915">
        <f t="shared" si="370"/>
        <v>0</v>
      </c>
      <c r="CR103" s="915">
        <f t="shared" si="371"/>
        <v>0</v>
      </c>
      <c r="CS103" s="915">
        <f t="shared" si="372"/>
        <v>0</v>
      </c>
      <c r="CT103" s="915">
        <f t="shared" si="373"/>
        <v>0</v>
      </c>
      <c r="CU103" s="915">
        <f t="shared" si="374"/>
        <v>0</v>
      </c>
      <c r="CV103" s="915">
        <f t="shared" si="375"/>
        <v>0</v>
      </c>
      <c r="CW103" s="915">
        <f t="shared" si="376"/>
        <v>0</v>
      </c>
      <c r="CX103" s="915">
        <f t="shared" si="377"/>
        <v>0</v>
      </c>
      <c r="CY103" s="915">
        <f t="shared" si="256"/>
        <v>0</v>
      </c>
      <c r="CZ103" s="915">
        <f t="shared" si="257"/>
        <v>0</v>
      </c>
      <c r="DA103" s="915">
        <f t="shared" si="258"/>
        <v>0</v>
      </c>
      <c r="DB103" s="915">
        <f t="shared" si="259"/>
        <v>0</v>
      </c>
      <c r="DC103" s="915">
        <f t="shared" si="260"/>
        <v>0</v>
      </c>
      <c r="DD103" s="915">
        <f t="shared" si="261"/>
        <v>0</v>
      </c>
      <c r="DE103" s="915">
        <f t="shared" si="262"/>
        <v>0</v>
      </c>
      <c r="DF103" s="915">
        <f t="shared" si="263"/>
        <v>0</v>
      </c>
      <c r="DG103" s="915">
        <f t="shared" si="264"/>
        <v>0</v>
      </c>
      <c r="DH103" s="915">
        <f t="shared" si="265"/>
        <v>0</v>
      </c>
      <c r="DI103" s="915">
        <f t="shared" si="266"/>
        <v>0</v>
      </c>
      <c r="DJ103" s="915">
        <f t="shared" si="267"/>
        <v>0</v>
      </c>
      <c r="DK103" s="915">
        <f t="shared" si="268"/>
        <v>0</v>
      </c>
      <c r="DL103" s="915">
        <f t="shared" si="269"/>
        <v>0</v>
      </c>
      <c r="DM103" s="915">
        <f t="shared" si="270"/>
        <v>0</v>
      </c>
      <c r="DN103" s="915">
        <f t="shared" si="271"/>
        <v>7.42</v>
      </c>
      <c r="DO103" s="915">
        <f t="shared" si="272"/>
        <v>0</v>
      </c>
      <c r="DP103" s="915">
        <f t="shared" si="273"/>
        <v>0</v>
      </c>
      <c r="DQ103" s="915">
        <f t="shared" si="274"/>
        <v>0</v>
      </c>
      <c r="DR103" s="915">
        <f t="shared" si="275"/>
        <v>0</v>
      </c>
      <c r="DS103" s="915">
        <f t="shared" si="276"/>
        <v>0</v>
      </c>
      <c r="DT103" s="915">
        <f t="shared" si="277"/>
        <v>0</v>
      </c>
      <c r="DU103" s="915">
        <f t="shared" si="278"/>
        <v>0</v>
      </c>
      <c r="DV103" s="915">
        <f t="shared" si="279"/>
        <v>0</v>
      </c>
      <c r="DW103" s="915">
        <f t="shared" si="280"/>
        <v>0</v>
      </c>
      <c r="DX103" s="915">
        <f t="shared" si="281"/>
        <v>0</v>
      </c>
      <c r="DY103" s="915">
        <f t="shared" si="282"/>
        <v>0</v>
      </c>
      <c r="DZ103" s="915">
        <f t="shared" si="283"/>
        <v>0</v>
      </c>
      <c r="EA103" s="915">
        <f t="shared" si="284"/>
        <v>0</v>
      </c>
      <c r="EB103" s="915">
        <f t="shared" si="285"/>
        <v>0</v>
      </c>
      <c r="EC103" s="915">
        <f t="shared" si="286"/>
        <v>0</v>
      </c>
      <c r="ED103" s="915">
        <f t="shared" si="287"/>
        <v>0</v>
      </c>
      <c r="EE103" s="915">
        <f t="shared" si="288"/>
        <v>0</v>
      </c>
      <c r="EF103" s="915">
        <f t="shared" si="289"/>
        <v>0</v>
      </c>
      <c r="EG103" s="915">
        <f t="shared" si="290"/>
        <v>0</v>
      </c>
      <c r="EH103" s="915">
        <f t="shared" si="291"/>
        <v>0</v>
      </c>
      <c r="EI103" s="915">
        <f t="shared" si="292"/>
        <v>0</v>
      </c>
      <c r="EJ103" s="915">
        <f t="shared" si="293"/>
        <v>0</v>
      </c>
      <c r="EK103" s="915">
        <f t="shared" si="294"/>
        <v>0</v>
      </c>
      <c r="EL103" s="915">
        <f t="shared" si="295"/>
        <v>0</v>
      </c>
      <c r="EM103" s="915">
        <f t="shared" si="296"/>
        <v>0</v>
      </c>
      <c r="EN103" s="915">
        <f t="shared" si="297"/>
        <v>0</v>
      </c>
      <c r="EO103" s="915">
        <f t="shared" si="298"/>
        <v>0</v>
      </c>
      <c r="EP103" s="915">
        <f t="shared" si="299"/>
        <v>0</v>
      </c>
      <c r="EQ103" s="915">
        <f t="shared" si="300"/>
        <v>0</v>
      </c>
      <c r="ER103" s="915">
        <f t="shared" si="301"/>
        <v>0</v>
      </c>
      <c r="ES103" s="915">
        <f t="shared" si="302"/>
        <v>0</v>
      </c>
      <c r="ET103" s="915">
        <f t="shared" si="303"/>
        <v>0</v>
      </c>
      <c r="EU103" s="915">
        <f t="shared" si="304"/>
        <v>0</v>
      </c>
      <c r="EV103" s="915">
        <f t="shared" si="305"/>
        <v>0</v>
      </c>
      <c r="EW103" s="915">
        <f t="shared" si="306"/>
        <v>0</v>
      </c>
      <c r="EX103" s="915">
        <f t="shared" si="307"/>
        <v>0</v>
      </c>
      <c r="EY103" s="915">
        <f t="shared" si="308"/>
        <v>0</v>
      </c>
      <c r="EZ103" s="915">
        <f t="shared" si="309"/>
        <v>0</v>
      </c>
      <c r="FA103" s="915">
        <f t="shared" si="310"/>
        <v>0</v>
      </c>
      <c r="FB103" s="915">
        <f t="shared" si="311"/>
        <v>0</v>
      </c>
      <c r="FC103" s="915">
        <f t="shared" si="312"/>
        <v>0</v>
      </c>
      <c r="FD103" s="915">
        <f t="shared" si="313"/>
        <v>0</v>
      </c>
      <c r="FE103" s="915">
        <f t="shared" si="314"/>
        <v>0</v>
      </c>
      <c r="FF103" s="915">
        <f t="shared" si="315"/>
        <v>0</v>
      </c>
      <c r="FG103" s="915">
        <f t="shared" si="316"/>
        <v>0</v>
      </c>
      <c r="FH103" s="915">
        <f t="shared" si="317"/>
        <v>0</v>
      </c>
      <c r="FI103" s="915">
        <f t="shared" si="318"/>
        <v>0</v>
      </c>
      <c r="FJ103" s="915">
        <f t="shared" si="319"/>
        <v>0</v>
      </c>
      <c r="FK103" s="915">
        <f t="shared" si="320"/>
        <v>0</v>
      </c>
      <c r="FL103" s="915">
        <f t="shared" si="321"/>
        <v>0</v>
      </c>
      <c r="FM103" s="915">
        <f t="shared" si="322"/>
        <v>0</v>
      </c>
      <c r="FN103" s="915">
        <f t="shared" si="323"/>
        <v>0</v>
      </c>
      <c r="FO103" s="915">
        <f t="shared" si="324"/>
        <v>0</v>
      </c>
      <c r="FP103" s="915">
        <f t="shared" si="325"/>
        <v>0</v>
      </c>
      <c r="FQ103" s="915">
        <f t="shared" si="326"/>
        <v>0</v>
      </c>
      <c r="FR103" s="915">
        <f t="shared" si="327"/>
        <v>0</v>
      </c>
      <c r="FS103" s="915">
        <f t="shared" si="328"/>
        <v>0</v>
      </c>
      <c r="FT103" s="915">
        <f t="shared" si="329"/>
        <v>0</v>
      </c>
      <c r="FU103" s="915">
        <f t="shared" si="330"/>
        <v>0</v>
      </c>
      <c r="FV103" s="915">
        <f t="shared" si="331"/>
        <v>0</v>
      </c>
      <c r="FW103" s="915">
        <f t="shared" si="332"/>
        <v>0</v>
      </c>
      <c r="FX103" s="915">
        <f t="shared" si="333"/>
        <v>0</v>
      </c>
      <c r="FY103" s="915">
        <f t="shared" si="334"/>
        <v>0</v>
      </c>
      <c r="FZ103" s="915">
        <f t="shared" si="335"/>
        <v>0</v>
      </c>
    </row>
    <row r="104" spans="1:182" x14ac:dyDescent="0.2">
      <c r="A104" s="496">
        <v>97</v>
      </c>
      <c r="B104" s="1419"/>
      <c r="C104" s="1433"/>
      <c r="D104" s="264">
        <v>13</v>
      </c>
      <c r="E104" s="264" t="s">
        <v>193</v>
      </c>
      <c r="F104" s="270" t="s">
        <v>2544</v>
      </c>
      <c r="G104" s="270" t="s">
        <v>2542</v>
      </c>
      <c r="H104" s="272">
        <v>7</v>
      </c>
      <c r="I104" s="268">
        <f t="shared" si="386"/>
        <v>0.42</v>
      </c>
      <c r="J104" s="269">
        <f t="shared" si="387"/>
        <v>7.42</v>
      </c>
      <c r="K104" s="225"/>
      <c r="N104" s="951">
        <f>DO6</f>
        <v>7.42</v>
      </c>
      <c r="O104" s="879" t="str">
        <f>"Boring/Monitoring Wells for "&amp;TabName13</f>
        <v>Boring/Monitoring Wells for Phase 13</v>
      </c>
      <c r="P104" s="949" t="s">
        <v>2151</v>
      </c>
      <c r="W104" s="915">
        <f t="shared" si="176"/>
        <v>0</v>
      </c>
      <c r="X104" s="915">
        <f t="shared" si="177"/>
        <v>0</v>
      </c>
      <c r="Y104" s="915">
        <f t="shared" si="178"/>
        <v>0</v>
      </c>
      <c r="Z104" s="915">
        <f t="shared" si="179"/>
        <v>0</v>
      </c>
      <c r="AA104" s="915">
        <f t="shared" si="180"/>
        <v>0</v>
      </c>
      <c r="AB104" s="915">
        <f t="shared" si="181"/>
        <v>0</v>
      </c>
      <c r="AC104" s="915">
        <f t="shared" si="182"/>
        <v>0</v>
      </c>
      <c r="AD104" s="915">
        <f t="shared" si="183"/>
        <v>0</v>
      </c>
      <c r="AE104" s="915">
        <f t="shared" si="184"/>
        <v>0</v>
      </c>
      <c r="AF104" s="915">
        <f t="shared" si="185"/>
        <v>0</v>
      </c>
      <c r="AG104" s="915">
        <f t="shared" si="186"/>
        <v>0</v>
      </c>
      <c r="AH104" s="915">
        <f t="shared" si="187"/>
        <v>0</v>
      </c>
      <c r="AI104" s="915">
        <f t="shared" si="188"/>
        <v>0</v>
      </c>
      <c r="AJ104" s="915">
        <f t="shared" si="189"/>
        <v>0</v>
      </c>
      <c r="AK104" s="915">
        <f t="shared" si="190"/>
        <v>0</v>
      </c>
      <c r="AL104" s="915">
        <f t="shared" si="191"/>
        <v>0</v>
      </c>
      <c r="AM104" s="915">
        <f t="shared" si="192"/>
        <v>0</v>
      </c>
      <c r="AN104" s="915">
        <f t="shared" si="193"/>
        <v>0</v>
      </c>
      <c r="AO104" s="915">
        <f t="shared" si="194"/>
        <v>0</v>
      </c>
      <c r="AP104" s="915">
        <f t="shared" si="195"/>
        <v>0</v>
      </c>
      <c r="AQ104" s="915">
        <f t="shared" si="196"/>
        <v>0</v>
      </c>
      <c r="AR104" s="915">
        <f t="shared" si="197"/>
        <v>0</v>
      </c>
      <c r="AS104" s="915">
        <f t="shared" si="198"/>
        <v>0</v>
      </c>
      <c r="AT104" s="915">
        <f t="shared" si="199"/>
        <v>0</v>
      </c>
      <c r="AU104" s="915">
        <f t="shared" si="200"/>
        <v>0</v>
      </c>
      <c r="AV104" s="915">
        <f t="shared" si="201"/>
        <v>0</v>
      </c>
      <c r="AW104" s="915">
        <f t="shared" si="202"/>
        <v>0</v>
      </c>
      <c r="AX104" s="915">
        <f t="shared" si="203"/>
        <v>0</v>
      </c>
      <c r="AY104" s="915">
        <f t="shared" si="204"/>
        <v>0</v>
      </c>
      <c r="AZ104" s="915">
        <f t="shared" si="205"/>
        <v>0</v>
      </c>
      <c r="BA104" s="915">
        <f t="shared" si="206"/>
        <v>0</v>
      </c>
      <c r="BB104" s="915">
        <f t="shared" si="207"/>
        <v>0</v>
      </c>
      <c r="BC104" s="915">
        <f>IF(AND($D104=$R$12,$E104=$T$8),$J104,0)</f>
        <v>0</v>
      </c>
      <c r="BD104" s="915">
        <f>IF(AND($D104=$R$12,$E104=$T$9),$J104,0)</f>
        <v>0</v>
      </c>
      <c r="BE104" s="915">
        <f>IF(AND($D104=$R$12,$E104=$T$10),$J104,0)</f>
        <v>0</v>
      </c>
      <c r="BF104" s="915">
        <f>IF(AND($D104=$R$12,$E104=$T$11),$J104,0)</f>
        <v>0</v>
      </c>
      <c r="BG104" s="915">
        <f>IF(AND($D104=$R$12,$E104=$T$12),$J104,0)</f>
        <v>0</v>
      </c>
      <c r="BH104" s="915">
        <f>IF(AND($D104=$R$12,$E104=$T$13),$J104,0)</f>
        <v>0</v>
      </c>
      <c r="BI104" s="915">
        <f>IF(AND($D104=$R$12,$E104=$T$14),$J104,0)</f>
        <v>0</v>
      </c>
      <c r="BJ104" s="915">
        <f>IF(AND($D104=$R$12,$E104=$T$15),$J104,0)</f>
        <v>0</v>
      </c>
      <c r="BK104" s="915">
        <f t="shared" si="216"/>
        <v>0</v>
      </c>
      <c r="BL104" s="915">
        <f t="shared" si="217"/>
        <v>0</v>
      </c>
      <c r="BM104" s="915">
        <f t="shared" si="218"/>
        <v>0</v>
      </c>
      <c r="BN104" s="915">
        <f t="shared" si="219"/>
        <v>0</v>
      </c>
      <c r="BO104" s="915">
        <f t="shared" si="220"/>
        <v>0</v>
      </c>
      <c r="BP104" s="915">
        <f t="shared" si="221"/>
        <v>0</v>
      </c>
      <c r="BQ104" s="915">
        <f t="shared" si="222"/>
        <v>0</v>
      </c>
      <c r="BR104" s="915">
        <f t="shared" si="223"/>
        <v>0</v>
      </c>
      <c r="BS104" s="915">
        <f t="shared" si="378"/>
        <v>0</v>
      </c>
      <c r="BT104" s="915">
        <f t="shared" si="379"/>
        <v>0</v>
      </c>
      <c r="BU104" s="915">
        <f t="shared" si="380"/>
        <v>0</v>
      </c>
      <c r="BV104" s="915">
        <f t="shared" si="381"/>
        <v>0</v>
      </c>
      <c r="BW104" s="915">
        <f t="shared" si="382"/>
        <v>0</v>
      </c>
      <c r="BX104" s="915">
        <f t="shared" si="383"/>
        <v>0</v>
      </c>
      <c r="BY104" s="915">
        <f t="shared" si="384"/>
        <v>0</v>
      </c>
      <c r="BZ104" s="915">
        <f t="shared" si="385"/>
        <v>0</v>
      </c>
      <c r="CA104" s="915">
        <f t="shared" si="362"/>
        <v>0</v>
      </c>
      <c r="CB104" s="915">
        <f t="shared" si="363"/>
        <v>0</v>
      </c>
      <c r="CC104" s="915">
        <f t="shared" si="364"/>
        <v>0</v>
      </c>
      <c r="CD104" s="915">
        <f t="shared" si="365"/>
        <v>0</v>
      </c>
      <c r="CE104" s="915">
        <f t="shared" si="366"/>
        <v>0</v>
      </c>
      <c r="CF104" s="915">
        <f t="shared" si="367"/>
        <v>0</v>
      </c>
      <c r="CG104" s="915">
        <f t="shared" si="368"/>
        <v>0</v>
      </c>
      <c r="CH104" s="915">
        <f t="shared" si="369"/>
        <v>0</v>
      </c>
      <c r="CI104" s="915">
        <f t="shared" si="336"/>
        <v>0</v>
      </c>
      <c r="CJ104" s="915">
        <f t="shared" si="337"/>
        <v>0</v>
      </c>
      <c r="CK104" s="915">
        <f t="shared" si="338"/>
        <v>0</v>
      </c>
      <c r="CL104" s="915">
        <f t="shared" si="339"/>
        <v>0</v>
      </c>
      <c r="CM104" s="915">
        <f t="shared" si="340"/>
        <v>0</v>
      </c>
      <c r="CN104" s="915">
        <f t="shared" si="341"/>
        <v>0</v>
      </c>
      <c r="CO104" s="915">
        <f t="shared" si="342"/>
        <v>0</v>
      </c>
      <c r="CP104" s="915">
        <f t="shared" si="343"/>
        <v>0</v>
      </c>
      <c r="CQ104" s="915">
        <f t="shared" si="370"/>
        <v>0</v>
      </c>
      <c r="CR104" s="915">
        <f t="shared" si="371"/>
        <v>0</v>
      </c>
      <c r="CS104" s="915">
        <f t="shared" si="372"/>
        <v>0</v>
      </c>
      <c r="CT104" s="915">
        <f t="shared" si="373"/>
        <v>0</v>
      </c>
      <c r="CU104" s="915">
        <f t="shared" si="374"/>
        <v>0</v>
      </c>
      <c r="CV104" s="915">
        <f t="shared" si="375"/>
        <v>0</v>
      </c>
      <c r="CW104" s="915">
        <f t="shared" si="376"/>
        <v>0</v>
      </c>
      <c r="CX104" s="915">
        <f t="shared" si="377"/>
        <v>0</v>
      </c>
      <c r="CY104" s="915">
        <f t="shared" si="256"/>
        <v>0</v>
      </c>
      <c r="CZ104" s="915">
        <f t="shared" si="257"/>
        <v>0</v>
      </c>
      <c r="DA104" s="915">
        <f t="shared" si="258"/>
        <v>0</v>
      </c>
      <c r="DB104" s="915">
        <f t="shared" si="259"/>
        <v>0</v>
      </c>
      <c r="DC104" s="915">
        <f t="shared" si="260"/>
        <v>0</v>
      </c>
      <c r="DD104" s="915">
        <f t="shared" si="261"/>
        <v>0</v>
      </c>
      <c r="DE104" s="915">
        <f t="shared" si="262"/>
        <v>0</v>
      </c>
      <c r="DF104" s="915">
        <f t="shared" si="263"/>
        <v>0</v>
      </c>
      <c r="DG104" s="915">
        <f t="shared" si="264"/>
        <v>0</v>
      </c>
      <c r="DH104" s="915">
        <f t="shared" si="265"/>
        <v>0</v>
      </c>
      <c r="DI104" s="915">
        <f t="shared" si="266"/>
        <v>0</v>
      </c>
      <c r="DJ104" s="915">
        <f t="shared" si="267"/>
        <v>0</v>
      </c>
      <c r="DK104" s="915">
        <f t="shared" si="268"/>
        <v>0</v>
      </c>
      <c r="DL104" s="915">
        <f t="shared" si="269"/>
        <v>0</v>
      </c>
      <c r="DM104" s="915">
        <f t="shared" si="270"/>
        <v>0</v>
      </c>
      <c r="DN104" s="915">
        <f t="shared" si="271"/>
        <v>0</v>
      </c>
      <c r="DO104" s="915">
        <f t="shared" si="272"/>
        <v>7.42</v>
      </c>
      <c r="DP104" s="915">
        <f t="shared" si="273"/>
        <v>0</v>
      </c>
      <c r="DQ104" s="915">
        <f t="shared" si="274"/>
        <v>0</v>
      </c>
      <c r="DR104" s="915">
        <f t="shared" si="275"/>
        <v>0</v>
      </c>
      <c r="DS104" s="915">
        <f t="shared" si="276"/>
        <v>0</v>
      </c>
      <c r="DT104" s="915">
        <f t="shared" si="277"/>
        <v>0</v>
      </c>
      <c r="DU104" s="915">
        <f t="shared" si="278"/>
        <v>0</v>
      </c>
      <c r="DV104" s="915">
        <f t="shared" si="279"/>
        <v>0</v>
      </c>
      <c r="DW104" s="915">
        <f t="shared" si="280"/>
        <v>0</v>
      </c>
      <c r="DX104" s="915">
        <f t="shared" si="281"/>
        <v>0</v>
      </c>
      <c r="DY104" s="915">
        <f t="shared" si="282"/>
        <v>0</v>
      </c>
      <c r="DZ104" s="915">
        <f t="shared" si="283"/>
        <v>0</v>
      </c>
      <c r="EA104" s="915">
        <f t="shared" si="284"/>
        <v>0</v>
      </c>
      <c r="EB104" s="915">
        <f t="shared" si="285"/>
        <v>0</v>
      </c>
      <c r="EC104" s="915">
        <f t="shared" si="286"/>
        <v>0</v>
      </c>
      <c r="ED104" s="915">
        <f t="shared" si="287"/>
        <v>0</v>
      </c>
      <c r="EE104" s="915">
        <f t="shared" si="288"/>
        <v>0</v>
      </c>
      <c r="EF104" s="915">
        <f t="shared" si="289"/>
        <v>0</v>
      </c>
      <c r="EG104" s="915">
        <f t="shared" si="290"/>
        <v>0</v>
      </c>
      <c r="EH104" s="915">
        <f t="shared" si="291"/>
        <v>0</v>
      </c>
      <c r="EI104" s="915">
        <f t="shared" si="292"/>
        <v>0</v>
      </c>
      <c r="EJ104" s="915">
        <f t="shared" si="293"/>
        <v>0</v>
      </c>
      <c r="EK104" s="915">
        <f t="shared" si="294"/>
        <v>0</v>
      </c>
      <c r="EL104" s="915">
        <f t="shared" si="295"/>
        <v>0</v>
      </c>
      <c r="EM104" s="915">
        <f t="shared" si="296"/>
        <v>0</v>
      </c>
      <c r="EN104" s="915">
        <f t="shared" si="297"/>
        <v>0</v>
      </c>
      <c r="EO104" s="915">
        <f t="shared" si="298"/>
        <v>0</v>
      </c>
      <c r="EP104" s="915">
        <f t="shared" si="299"/>
        <v>0</v>
      </c>
      <c r="EQ104" s="915">
        <f t="shared" si="300"/>
        <v>0</v>
      </c>
      <c r="ER104" s="915">
        <f t="shared" si="301"/>
        <v>0</v>
      </c>
      <c r="ES104" s="915">
        <f t="shared" si="302"/>
        <v>0</v>
      </c>
      <c r="ET104" s="915">
        <f t="shared" si="303"/>
        <v>0</v>
      </c>
      <c r="EU104" s="915">
        <f t="shared" si="304"/>
        <v>0</v>
      </c>
      <c r="EV104" s="915">
        <f t="shared" si="305"/>
        <v>0</v>
      </c>
      <c r="EW104" s="915">
        <f t="shared" si="306"/>
        <v>0</v>
      </c>
      <c r="EX104" s="915">
        <f t="shared" si="307"/>
        <v>0</v>
      </c>
      <c r="EY104" s="915">
        <f t="shared" si="308"/>
        <v>0</v>
      </c>
      <c r="EZ104" s="915">
        <f t="shared" si="309"/>
        <v>0</v>
      </c>
      <c r="FA104" s="915">
        <f t="shared" si="310"/>
        <v>0</v>
      </c>
      <c r="FB104" s="915">
        <f t="shared" si="311"/>
        <v>0</v>
      </c>
      <c r="FC104" s="915">
        <f t="shared" si="312"/>
        <v>0</v>
      </c>
      <c r="FD104" s="915">
        <f t="shared" si="313"/>
        <v>0</v>
      </c>
      <c r="FE104" s="915">
        <f t="shared" si="314"/>
        <v>0</v>
      </c>
      <c r="FF104" s="915">
        <f t="shared" si="315"/>
        <v>0</v>
      </c>
      <c r="FG104" s="915">
        <f t="shared" si="316"/>
        <v>0</v>
      </c>
      <c r="FH104" s="915">
        <f t="shared" si="317"/>
        <v>0</v>
      </c>
      <c r="FI104" s="915">
        <f t="shared" si="318"/>
        <v>0</v>
      </c>
      <c r="FJ104" s="915">
        <f t="shared" si="319"/>
        <v>0</v>
      </c>
      <c r="FK104" s="915">
        <f t="shared" si="320"/>
        <v>0</v>
      </c>
      <c r="FL104" s="915">
        <f t="shared" si="321"/>
        <v>0</v>
      </c>
      <c r="FM104" s="915">
        <f t="shared" si="322"/>
        <v>0</v>
      </c>
      <c r="FN104" s="915">
        <f t="shared" si="323"/>
        <v>0</v>
      </c>
      <c r="FO104" s="915">
        <f t="shared" si="324"/>
        <v>0</v>
      </c>
      <c r="FP104" s="915">
        <f t="shared" si="325"/>
        <v>0</v>
      </c>
      <c r="FQ104" s="915">
        <f t="shared" si="326"/>
        <v>0</v>
      </c>
      <c r="FR104" s="915">
        <f t="shared" si="327"/>
        <v>0</v>
      </c>
      <c r="FS104" s="915">
        <f t="shared" si="328"/>
        <v>0</v>
      </c>
      <c r="FT104" s="915">
        <f t="shared" si="329"/>
        <v>0</v>
      </c>
      <c r="FU104" s="915">
        <f t="shared" si="330"/>
        <v>0</v>
      </c>
      <c r="FV104" s="915">
        <f t="shared" si="331"/>
        <v>0</v>
      </c>
      <c r="FW104" s="915">
        <f t="shared" si="332"/>
        <v>0</v>
      </c>
      <c r="FX104" s="915">
        <f t="shared" si="333"/>
        <v>0</v>
      </c>
      <c r="FY104" s="915">
        <f t="shared" si="334"/>
        <v>0</v>
      </c>
      <c r="FZ104" s="915">
        <f t="shared" si="335"/>
        <v>0</v>
      </c>
    </row>
    <row r="105" spans="1:182" x14ac:dyDescent="0.2">
      <c r="A105" s="497">
        <v>98</v>
      </c>
      <c r="B105" s="1423"/>
      <c r="C105" s="1424"/>
      <c r="D105" s="138">
        <v>13</v>
      </c>
      <c r="E105" s="138" t="s">
        <v>26</v>
      </c>
      <c r="F105" s="139" t="s">
        <v>2544</v>
      </c>
      <c r="G105" s="139" t="s">
        <v>2542</v>
      </c>
      <c r="H105" s="100">
        <v>7</v>
      </c>
      <c r="I105" s="119">
        <f t="shared" si="386"/>
        <v>0.42</v>
      </c>
      <c r="J105" s="90">
        <f t="shared" si="387"/>
        <v>7.42</v>
      </c>
      <c r="K105" s="225"/>
      <c r="N105" s="951">
        <f>DP6</f>
        <v>7.42</v>
      </c>
      <c r="O105" s="879" t="str">
        <f>"Remediation for " &amp;TabName13</f>
        <v>Remediation for Phase 13</v>
      </c>
      <c r="P105" s="950" t="s">
        <v>2152</v>
      </c>
      <c r="W105" s="915">
        <f t="shared" si="176"/>
        <v>0</v>
      </c>
      <c r="X105" s="915">
        <f t="shared" si="177"/>
        <v>0</v>
      </c>
      <c r="Y105" s="915">
        <f t="shared" si="178"/>
        <v>0</v>
      </c>
      <c r="Z105" s="915">
        <f t="shared" si="179"/>
        <v>0</v>
      </c>
      <c r="AA105" s="915">
        <f t="shared" si="180"/>
        <v>0</v>
      </c>
      <c r="AB105" s="915">
        <f t="shared" si="181"/>
        <v>0</v>
      </c>
      <c r="AC105" s="915">
        <f t="shared" si="182"/>
        <v>0</v>
      </c>
      <c r="AD105" s="915">
        <f t="shared" si="183"/>
        <v>0</v>
      </c>
      <c r="AE105" s="915">
        <f t="shared" si="184"/>
        <v>0</v>
      </c>
      <c r="AF105" s="915">
        <f t="shared" si="185"/>
        <v>0</v>
      </c>
      <c r="AG105" s="915">
        <f t="shared" si="186"/>
        <v>0</v>
      </c>
      <c r="AH105" s="915">
        <f t="shared" si="187"/>
        <v>0</v>
      </c>
      <c r="AI105" s="915">
        <f t="shared" si="188"/>
        <v>0</v>
      </c>
      <c r="AJ105" s="915">
        <f t="shared" si="189"/>
        <v>0</v>
      </c>
      <c r="AK105" s="915">
        <f t="shared" si="190"/>
        <v>0</v>
      </c>
      <c r="AL105" s="915">
        <f t="shared" si="191"/>
        <v>0</v>
      </c>
      <c r="AM105" s="915">
        <f t="shared" si="192"/>
        <v>0</v>
      </c>
      <c r="AN105" s="915">
        <f t="shared" si="193"/>
        <v>0</v>
      </c>
      <c r="AO105" s="915">
        <f t="shared" si="194"/>
        <v>0</v>
      </c>
      <c r="AP105" s="915">
        <f t="shared" si="195"/>
        <v>0</v>
      </c>
      <c r="AQ105" s="915">
        <f t="shared" si="196"/>
        <v>0</v>
      </c>
      <c r="AR105" s="915">
        <f t="shared" si="197"/>
        <v>0</v>
      </c>
      <c r="AS105" s="915">
        <f t="shared" si="198"/>
        <v>0</v>
      </c>
      <c r="AT105" s="915">
        <f t="shared" si="199"/>
        <v>0</v>
      </c>
      <c r="AU105" s="915">
        <f t="shared" si="200"/>
        <v>0</v>
      </c>
      <c r="AV105" s="915">
        <f t="shared" si="201"/>
        <v>0</v>
      </c>
      <c r="AW105" s="915">
        <f t="shared" si="202"/>
        <v>0</v>
      </c>
      <c r="AX105" s="915">
        <f t="shared" si="203"/>
        <v>0</v>
      </c>
      <c r="AY105" s="915">
        <f t="shared" si="204"/>
        <v>0</v>
      </c>
      <c r="AZ105" s="915">
        <f t="shared" si="205"/>
        <v>0</v>
      </c>
      <c r="BA105" s="915">
        <f t="shared" si="206"/>
        <v>0</v>
      </c>
      <c r="BB105" s="915">
        <f t="shared" si="207"/>
        <v>0</v>
      </c>
      <c r="BC105" s="915">
        <f t="shared" ref="BC105:BC120" si="388">IF(AND($D105=$R$12,$E105=$T$8),$J105,0)</f>
        <v>0</v>
      </c>
      <c r="BD105" s="915">
        <f t="shared" ref="BD105:BD120" si="389">IF(AND($D105=$R$12,$E105=$T$9),$J105,0)</f>
        <v>0</v>
      </c>
      <c r="BE105" s="915">
        <f t="shared" ref="BE105:BE120" si="390">IF(AND($D105=$R$12,$E105=$T$10),$J105,0)</f>
        <v>0</v>
      </c>
      <c r="BF105" s="915">
        <f t="shared" ref="BF105:BF120" si="391">IF(AND($D105=$R$12,$E105=$T$11),$J105,0)</f>
        <v>0</v>
      </c>
      <c r="BG105" s="915">
        <f t="shared" ref="BG105:BG120" si="392">IF(AND($D105=$R$12,$E105=$T$12),$J105,0)</f>
        <v>0</v>
      </c>
      <c r="BH105" s="915">
        <f t="shared" ref="BH105:BH120" si="393">IF(AND($D105=$R$12,$E105=$T$13),$J105,0)</f>
        <v>0</v>
      </c>
      <c r="BI105" s="915">
        <f t="shared" ref="BI105:BI120" si="394">IF(AND($D105=$R$12,$E105=$T$14),$J105,0)</f>
        <v>0</v>
      </c>
      <c r="BJ105" s="915">
        <f t="shared" ref="BJ105:BJ120" si="395">IF(AND($D105=$R$12,$E105=$T$15),$J105,0)</f>
        <v>0</v>
      </c>
      <c r="BK105" s="915">
        <f t="shared" si="216"/>
        <v>0</v>
      </c>
      <c r="BL105" s="915">
        <f t="shared" si="217"/>
        <v>0</v>
      </c>
      <c r="BM105" s="915">
        <f t="shared" si="218"/>
        <v>0</v>
      </c>
      <c r="BN105" s="915">
        <f t="shared" si="219"/>
        <v>0</v>
      </c>
      <c r="BO105" s="915">
        <f t="shared" si="220"/>
        <v>0</v>
      </c>
      <c r="BP105" s="915">
        <f t="shared" si="221"/>
        <v>0</v>
      </c>
      <c r="BQ105" s="915">
        <f t="shared" si="222"/>
        <v>0</v>
      </c>
      <c r="BR105" s="915">
        <f t="shared" si="223"/>
        <v>0</v>
      </c>
      <c r="BS105" s="915">
        <f t="shared" si="378"/>
        <v>0</v>
      </c>
      <c r="BT105" s="915">
        <f t="shared" si="379"/>
        <v>0</v>
      </c>
      <c r="BU105" s="915">
        <f t="shared" si="380"/>
        <v>0</v>
      </c>
      <c r="BV105" s="915">
        <f t="shared" si="381"/>
        <v>0</v>
      </c>
      <c r="BW105" s="915">
        <f t="shared" si="382"/>
        <v>0</v>
      </c>
      <c r="BX105" s="915">
        <f t="shared" si="383"/>
        <v>0</v>
      </c>
      <c r="BY105" s="915">
        <f t="shared" si="384"/>
        <v>0</v>
      </c>
      <c r="BZ105" s="915">
        <f t="shared" si="385"/>
        <v>0</v>
      </c>
      <c r="CA105" s="915">
        <f t="shared" si="362"/>
        <v>0</v>
      </c>
      <c r="CB105" s="915">
        <f t="shared" si="363"/>
        <v>0</v>
      </c>
      <c r="CC105" s="915">
        <f t="shared" si="364"/>
        <v>0</v>
      </c>
      <c r="CD105" s="915">
        <f t="shared" si="365"/>
        <v>0</v>
      </c>
      <c r="CE105" s="915">
        <f t="shared" si="366"/>
        <v>0</v>
      </c>
      <c r="CF105" s="915">
        <f t="shared" si="367"/>
        <v>0</v>
      </c>
      <c r="CG105" s="915">
        <f t="shared" si="368"/>
        <v>0</v>
      </c>
      <c r="CH105" s="915">
        <f t="shared" si="369"/>
        <v>0</v>
      </c>
      <c r="CI105" s="915">
        <f t="shared" si="336"/>
        <v>0</v>
      </c>
      <c r="CJ105" s="915">
        <f t="shared" si="337"/>
        <v>0</v>
      </c>
      <c r="CK105" s="915">
        <f t="shared" si="338"/>
        <v>0</v>
      </c>
      <c r="CL105" s="915">
        <f t="shared" si="339"/>
        <v>0</v>
      </c>
      <c r="CM105" s="915">
        <f t="shared" si="340"/>
        <v>0</v>
      </c>
      <c r="CN105" s="915">
        <f t="shared" si="341"/>
        <v>0</v>
      </c>
      <c r="CO105" s="915">
        <f t="shared" si="342"/>
        <v>0</v>
      </c>
      <c r="CP105" s="915">
        <f t="shared" si="343"/>
        <v>0</v>
      </c>
      <c r="CQ105" s="915">
        <f t="shared" si="370"/>
        <v>0</v>
      </c>
      <c r="CR105" s="915">
        <f t="shared" si="371"/>
        <v>0</v>
      </c>
      <c r="CS105" s="915">
        <f t="shared" si="372"/>
        <v>0</v>
      </c>
      <c r="CT105" s="915">
        <f t="shared" si="373"/>
        <v>0</v>
      </c>
      <c r="CU105" s="915">
        <f t="shared" si="374"/>
        <v>0</v>
      </c>
      <c r="CV105" s="915">
        <f t="shared" si="375"/>
        <v>0</v>
      </c>
      <c r="CW105" s="915">
        <f t="shared" si="376"/>
        <v>0</v>
      </c>
      <c r="CX105" s="915">
        <f t="shared" si="377"/>
        <v>0</v>
      </c>
      <c r="CY105" s="915">
        <f t="shared" si="256"/>
        <v>0</v>
      </c>
      <c r="CZ105" s="915">
        <f t="shared" si="257"/>
        <v>0</v>
      </c>
      <c r="DA105" s="915">
        <f t="shared" si="258"/>
        <v>0</v>
      </c>
      <c r="DB105" s="915">
        <f t="shared" si="259"/>
        <v>0</v>
      </c>
      <c r="DC105" s="915">
        <f t="shared" si="260"/>
        <v>0</v>
      </c>
      <c r="DD105" s="915">
        <f t="shared" si="261"/>
        <v>0</v>
      </c>
      <c r="DE105" s="915">
        <f t="shared" si="262"/>
        <v>0</v>
      </c>
      <c r="DF105" s="915">
        <f t="shared" si="263"/>
        <v>0</v>
      </c>
      <c r="DG105" s="915">
        <f t="shared" si="264"/>
        <v>0</v>
      </c>
      <c r="DH105" s="915">
        <f t="shared" si="265"/>
        <v>0</v>
      </c>
      <c r="DI105" s="915">
        <f t="shared" si="266"/>
        <v>0</v>
      </c>
      <c r="DJ105" s="915">
        <f t="shared" si="267"/>
        <v>0</v>
      </c>
      <c r="DK105" s="915">
        <f t="shared" si="268"/>
        <v>0</v>
      </c>
      <c r="DL105" s="915">
        <f t="shared" si="269"/>
        <v>0</v>
      </c>
      <c r="DM105" s="915">
        <f t="shared" si="270"/>
        <v>0</v>
      </c>
      <c r="DN105" s="915">
        <f t="shared" si="271"/>
        <v>0</v>
      </c>
      <c r="DO105" s="915">
        <f t="shared" si="272"/>
        <v>0</v>
      </c>
      <c r="DP105" s="915">
        <f t="shared" si="273"/>
        <v>7.42</v>
      </c>
      <c r="DQ105" s="915">
        <f t="shared" si="274"/>
        <v>0</v>
      </c>
      <c r="DR105" s="915">
        <f t="shared" si="275"/>
        <v>0</v>
      </c>
      <c r="DS105" s="915">
        <f t="shared" si="276"/>
        <v>0</v>
      </c>
      <c r="DT105" s="915">
        <f t="shared" si="277"/>
        <v>0</v>
      </c>
      <c r="DU105" s="915">
        <f t="shared" si="278"/>
        <v>0</v>
      </c>
      <c r="DV105" s="915">
        <f t="shared" si="279"/>
        <v>0</v>
      </c>
      <c r="DW105" s="915">
        <f t="shared" si="280"/>
        <v>0</v>
      </c>
      <c r="DX105" s="915">
        <f t="shared" si="281"/>
        <v>0</v>
      </c>
      <c r="DY105" s="915">
        <f t="shared" si="282"/>
        <v>0</v>
      </c>
      <c r="DZ105" s="915">
        <f t="shared" si="283"/>
        <v>0</v>
      </c>
      <c r="EA105" s="915">
        <f t="shared" si="284"/>
        <v>0</v>
      </c>
      <c r="EB105" s="915">
        <f t="shared" si="285"/>
        <v>0</v>
      </c>
      <c r="EC105" s="915">
        <f t="shared" si="286"/>
        <v>0</v>
      </c>
      <c r="ED105" s="915">
        <f t="shared" si="287"/>
        <v>0</v>
      </c>
      <c r="EE105" s="915">
        <f t="shared" si="288"/>
        <v>0</v>
      </c>
      <c r="EF105" s="915">
        <f t="shared" si="289"/>
        <v>0</v>
      </c>
      <c r="EG105" s="915">
        <f t="shared" si="290"/>
        <v>0</v>
      </c>
      <c r="EH105" s="915">
        <f t="shared" si="291"/>
        <v>0</v>
      </c>
      <c r="EI105" s="915">
        <f t="shared" si="292"/>
        <v>0</v>
      </c>
      <c r="EJ105" s="915">
        <f t="shared" si="293"/>
        <v>0</v>
      </c>
      <c r="EK105" s="915">
        <f t="shared" si="294"/>
        <v>0</v>
      </c>
      <c r="EL105" s="915">
        <f t="shared" si="295"/>
        <v>0</v>
      </c>
      <c r="EM105" s="915">
        <f t="shared" si="296"/>
        <v>0</v>
      </c>
      <c r="EN105" s="915">
        <f t="shared" si="297"/>
        <v>0</v>
      </c>
      <c r="EO105" s="915">
        <f t="shared" si="298"/>
        <v>0</v>
      </c>
      <c r="EP105" s="915">
        <f t="shared" si="299"/>
        <v>0</v>
      </c>
      <c r="EQ105" s="915">
        <f t="shared" si="300"/>
        <v>0</v>
      </c>
      <c r="ER105" s="915">
        <f t="shared" si="301"/>
        <v>0</v>
      </c>
      <c r="ES105" s="915">
        <f t="shared" si="302"/>
        <v>0</v>
      </c>
      <c r="ET105" s="915">
        <f t="shared" si="303"/>
        <v>0</v>
      </c>
      <c r="EU105" s="915">
        <f t="shared" si="304"/>
        <v>0</v>
      </c>
      <c r="EV105" s="915">
        <f t="shared" si="305"/>
        <v>0</v>
      </c>
      <c r="EW105" s="915">
        <f t="shared" si="306"/>
        <v>0</v>
      </c>
      <c r="EX105" s="915">
        <f t="shared" si="307"/>
        <v>0</v>
      </c>
      <c r="EY105" s="915">
        <f t="shared" si="308"/>
        <v>0</v>
      </c>
      <c r="EZ105" s="915">
        <f t="shared" si="309"/>
        <v>0</v>
      </c>
      <c r="FA105" s="915">
        <f t="shared" si="310"/>
        <v>0</v>
      </c>
      <c r="FB105" s="915">
        <f t="shared" si="311"/>
        <v>0</v>
      </c>
      <c r="FC105" s="915">
        <f t="shared" si="312"/>
        <v>0</v>
      </c>
      <c r="FD105" s="915">
        <f t="shared" si="313"/>
        <v>0</v>
      </c>
      <c r="FE105" s="915">
        <f t="shared" si="314"/>
        <v>0</v>
      </c>
      <c r="FF105" s="915">
        <f t="shared" si="315"/>
        <v>0</v>
      </c>
      <c r="FG105" s="915">
        <f t="shared" si="316"/>
        <v>0</v>
      </c>
      <c r="FH105" s="915">
        <f t="shared" si="317"/>
        <v>0</v>
      </c>
      <c r="FI105" s="915">
        <f t="shared" si="318"/>
        <v>0</v>
      </c>
      <c r="FJ105" s="915">
        <f t="shared" si="319"/>
        <v>0</v>
      </c>
      <c r="FK105" s="915">
        <f t="shared" si="320"/>
        <v>0</v>
      </c>
      <c r="FL105" s="915">
        <f t="shared" si="321"/>
        <v>0</v>
      </c>
      <c r="FM105" s="915">
        <f t="shared" si="322"/>
        <v>0</v>
      </c>
      <c r="FN105" s="915">
        <f t="shared" si="323"/>
        <v>0</v>
      </c>
      <c r="FO105" s="915">
        <f t="shared" si="324"/>
        <v>0</v>
      </c>
      <c r="FP105" s="915">
        <f t="shared" si="325"/>
        <v>0</v>
      </c>
      <c r="FQ105" s="915">
        <f t="shared" si="326"/>
        <v>0</v>
      </c>
      <c r="FR105" s="915">
        <f t="shared" si="327"/>
        <v>0</v>
      </c>
      <c r="FS105" s="915">
        <f t="shared" si="328"/>
        <v>0</v>
      </c>
      <c r="FT105" s="915">
        <f t="shared" si="329"/>
        <v>0</v>
      </c>
      <c r="FU105" s="915">
        <f t="shared" si="330"/>
        <v>0</v>
      </c>
      <c r="FV105" s="915">
        <f t="shared" si="331"/>
        <v>0</v>
      </c>
      <c r="FW105" s="915">
        <f t="shared" si="332"/>
        <v>0</v>
      </c>
      <c r="FX105" s="915">
        <f t="shared" si="333"/>
        <v>0</v>
      </c>
      <c r="FY105" s="915">
        <f t="shared" si="334"/>
        <v>0</v>
      </c>
      <c r="FZ105" s="915">
        <f t="shared" si="335"/>
        <v>0</v>
      </c>
    </row>
    <row r="106" spans="1:182" x14ac:dyDescent="0.2">
      <c r="A106" s="496">
        <v>99</v>
      </c>
      <c r="B106" s="1419"/>
      <c r="C106" s="1433"/>
      <c r="D106" s="264">
        <v>13</v>
      </c>
      <c r="E106" s="264" t="s">
        <v>35</v>
      </c>
      <c r="F106" s="270" t="s">
        <v>2544</v>
      </c>
      <c r="G106" s="270" t="s">
        <v>2542</v>
      </c>
      <c r="H106" s="272">
        <v>7</v>
      </c>
      <c r="I106" s="268">
        <f t="shared" si="386"/>
        <v>0.42</v>
      </c>
      <c r="J106" s="269">
        <f t="shared" si="387"/>
        <v>7.42</v>
      </c>
      <c r="K106" s="225"/>
      <c r="N106" s="951">
        <f>DQ6</f>
        <v>7.42</v>
      </c>
      <c r="O106" s="879" t="str">
        <f>"General Construction for " &amp; TabName13</f>
        <v>General Construction for Phase 13</v>
      </c>
      <c r="P106" s="949" t="s">
        <v>2153</v>
      </c>
      <c r="W106" s="915">
        <f t="shared" si="176"/>
        <v>0</v>
      </c>
      <c r="X106" s="915">
        <f t="shared" si="177"/>
        <v>0</v>
      </c>
      <c r="Y106" s="915">
        <f t="shared" si="178"/>
        <v>0</v>
      </c>
      <c r="Z106" s="915">
        <f t="shared" si="179"/>
        <v>0</v>
      </c>
      <c r="AA106" s="915">
        <f t="shared" si="180"/>
        <v>0</v>
      </c>
      <c r="AB106" s="915">
        <f t="shared" si="181"/>
        <v>0</v>
      </c>
      <c r="AC106" s="915">
        <f t="shared" si="182"/>
        <v>0</v>
      </c>
      <c r="AD106" s="915">
        <f t="shared" si="183"/>
        <v>0</v>
      </c>
      <c r="AE106" s="915">
        <f t="shared" si="184"/>
        <v>0</v>
      </c>
      <c r="AF106" s="915">
        <f t="shared" si="185"/>
        <v>0</v>
      </c>
      <c r="AG106" s="915">
        <f t="shared" si="186"/>
        <v>0</v>
      </c>
      <c r="AH106" s="915">
        <f t="shared" si="187"/>
        <v>0</v>
      </c>
      <c r="AI106" s="915">
        <f t="shared" si="188"/>
        <v>0</v>
      </c>
      <c r="AJ106" s="915">
        <f t="shared" si="189"/>
        <v>0</v>
      </c>
      <c r="AK106" s="915">
        <f t="shared" si="190"/>
        <v>0</v>
      </c>
      <c r="AL106" s="915">
        <f t="shared" si="191"/>
        <v>0</v>
      </c>
      <c r="AM106" s="915">
        <f t="shared" si="192"/>
        <v>0</v>
      </c>
      <c r="AN106" s="915">
        <f t="shared" si="193"/>
        <v>0</v>
      </c>
      <c r="AO106" s="915">
        <f t="shared" si="194"/>
        <v>0</v>
      </c>
      <c r="AP106" s="915">
        <f t="shared" si="195"/>
        <v>0</v>
      </c>
      <c r="AQ106" s="915">
        <f t="shared" si="196"/>
        <v>0</v>
      </c>
      <c r="AR106" s="915">
        <f t="shared" si="197"/>
        <v>0</v>
      </c>
      <c r="AS106" s="915">
        <f t="shared" si="198"/>
        <v>0</v>
      </c>
      <c r="AT106" s="915">
        <f t="shared" si="199"/>
        <v>0</v>
      </c>
      <c r="AU106" s="915">
        <f t="shared" si="200"/>
        <v>0</v>
      </c>
      <c r="AV106" s="915">
        <f t="shared" si="201"/>
        <v>0</v>
      </c>
      <c r="AW106" s="915">
        <f t="shared" si="202"/>
        <v>0</v>
      </c>
      <c r="AX106" s="915">
        <f t="shared" si="203"/>
        <v>0</v>
      </c>
      <c r="AY106" s="915">
        <f t="shared" si="204"/>
        <v>0</v>
      </c>
      <c r="AZ106" s="915">
        <f t="shared" si="205"/>
        <v>0</v>
      </c>
      <c r="BA106" s="915">
        <f t="shared" si="206"/>
        <v>0</v>
      </c>
      <c r="BB106" s="915">
        <f t="shared" si="207"/>
        <v>0</v>
      </c>
      <c r="BC106" s="915">
        <f t="shared" si="388"/>
        <v>0</v>
      </c>
      <c r="BD106" s="915">
        <f t="shared" si="389"/>
        <v>0</v>
      </c>
      <c r="BE106" s="915">
        <f t="shared" si="390"/>
        <v>0</v>
      </c>
      <c r="BF106" s="915">
        <f t="shared" si="391"/>
        <v>0</v>
      </c>
      <c r="BG106" s="915">
        <f t="shared" si="392"/>
        <v>0</v>
      </c>
      <c r="BH106" s="915">
        <f t="shared" si="393"/>
        <v>0</v>
      </c>
      <c r="BI106" s="915">
        <f t="shared" si="394"/>
        <v>0</v>
      </c>
      <c r="BJ106" s="915">
        <f t="shared" si="395"/>
        <v>0</v>
      </c>
      <c r="BK106" s="915">
        <f t="shared" si="216"/>
        <v>0</v>
      </c>
      <c r="BL106" s="915">
        <f t="shared" si="217"/>
        <v>0</v>
      </c>
      <c r="BM106" s="915">
        <f t="shared" si="218"/>
        <v>0</v>
      </c>
      <c r="BN106" s="915">
        <f t="shared" si="219"/>
        <v>0</v>
      </c>
      <c r="BO106" s="915">
        <f t="shared" si="220"/>
        <v>0</v>
      </c>
      <c r="BP106" s="915">
        <f t="shared" si="221"/>
        <v>0</v>
      </c>
      <c r="BQ106" s="915">
        <f t="shared" si="222"/>
        <v>0</v>
      </c>
      <c r="BR106" s="915">
        <f t="shared" si="223"/>
        <v>0</v>
      </c>
      <c r="BS106" s="915">
        <f t="shared" si="378"/>
        <v>0</v>
      </c>
      <c r="BT106" s="915">
        <f t="shared" si="379"/>
        <v>0</v>
      </c>
      <c r="BU106" s="915">
        <f t="shared" si="380"/>
        <v>0</v>
      </c>
      <c r="BV106" s="915">
        <f t="shared" si="381"/>
        <v>0</v>
      </c>
      <c r="BW106" s="915">
        <f t="shared" si="382"/>
        <v>0</v>
      </c>
      <c r="BX106" s="915">
        <f t="shared" si="383"/>
        <v>0</v>
      </c>
      <c r="BY106" s="915">
        <f t="shared" si="384"/>
        <v>0</v>
      </c>
      <c r="BZ106" s="915">
        <f t="shared" si="385"/>
        <v>0</v>
      </c>
      <c r="CA106" s="915">
        <f t="shared" si="362"/>
        <v>0</v>
      </c>
      <c r="CB106" s="915">
        <f t="shared" si="363"/>
        <v>0</v>
      </c>
      <c r="CC106" s="915">
        <f t="shared" si="364"/>
        <v>0</v>
      </c>
      <c r="CD106" s="915">
        <f t="shared" si="365"/>
        <v>0</v>
      </c>
      <c r="CE106" s="915">
        <f t="shared" si="366"/>
        <v>0</v>
      </c>
      <c r="CF106" s="915">
        <f t="shared" si="367"/>
        <v>0</v>
      </c>
      <c r="CG106" s="915">
        <f t="shared" si="368"/>
        <v>0</v>
      </c>
      <c r="CH106" s="915">
        <f t="shared" si="369"/>
        <v>0</v>
      </c>
      <c r="CI106" s="915">
        <f t="shared" si="336"/>
        <v>0</v>
      </c>
      <c r="CJ106" s="915">
        <f t="shared" si="337"/>
        <v>0</v>
      </c>
      <c r="CK106" s="915">
        <f t="shared" si="338"/>
        <v>0</v>
      </c>
      <c r="CL106" s="915">
        <f t="shared" si="339"/>
        <v>0</v>
      </c>
      <c r="CM106" s="915">
        <f t="shared" si="340"/>
        <v>0</v>
      </c>
      <c r="CN106" s="915">
        <f t="shared" si="341"/>
        <v>0</v>
      </c>
      <c r="CO106" s="915">
        <f t="shared" si="342"/>
        <v>0</v>
      </c>
      <c r="CP106" s="915">
        <f t="shared" si="343"/>
        <v>0</v>
      </c>
      <c r="CQ106" s="915">
        <f t="shared" si="370"/>
        <v>0</v>
      </c>
      <c r="CR106" s="915">
        <f t="shared" si="371"/>
        <v>0</v>
      </c>
      <c r="CS106" s="915">
        <f t="shared" si="372"/>
        <v>0</v>
      </c>
      <c r="CT106" s="915">
        <f t="shared" si="373"/>
        <v>0</v>
      </c>
      <c r="CU106" s="915">
        <f t="shared" si="374"/>
        <v>0</v>
      </c>
      <c r="CV106" s="915">
        <f t="shared" si="375"/>
        <v>0</v>
      </c>
      <c r="CW106" s="915">
        <f t="shared" si="376"/>
        <v>0</v>
      </c>
      <c r="CX106" s="915">
        <f t="shared" si="377"/>
        <v>0</v>
      </c>
      <c r="CY106" s="915">
        <f t="shared" si="256"/>
        <v>0</v>
      </c>
      <c r="CZ106" s="915">
        <f t="shared" si="257"/>
        <v>0</v>
      </c>
      <c r="DA106" s="915">
        <f t="shared" si="258"/>
        <v>0</v>
      </c>
      <c r="DB106" s="915">
        <f t="shared" si="259"/>
        <v>0</v>
      </c>
      <c r="DC106" s="915">
        <f t="shared" si="260"/>
        <v>0</v>
      </c>
      <c r="DD106" s="915">
        <f t="shared" si="261"/>
        <v>0</v>
      </c>
      <c r="DE106" s="915">
        <f t="shared" si="262"/>
        <v>0</v>
      </c>
      <c r="DF106" s="915">
        <f t="shared" si="263"/>
        <v>0</v>
      </c>
      <c r="DG106" s="915">
        <f t="shared" si="264"/>
        <v>0</v>
      </c>
      <c r="DH106" s="915">
        <f t="shared" si="265"/>
        <v>0</v>
      </c>
      <c r="DI106" s="915">
        <f t="shared" si="266"/>
        <v>0</v>
      </c>
      <c r="DJ106" s="915">
        <f t="shared" si="267"/>
        <v>0</v>
      </c>
      <c r="DK106" s="915">
        <f t="shared" si="268"/>
        <v>0</v>
      </c>
      <c r="DL106" s="915">
        <f t="shared" si="269"/>
        <v>0</v>
      </c>
      <c r="DM106" s="915">
        <f t="shared" si="270"/>
        <v>0</v>
      </c>
      <c r="DN106" s="915">
        <f t="shared" si="271"/>
        <v>0</v>
      </c>
      <c r="DO106" s="915">
        <f t="shared" si="272"/>
        <v>0</v>
      </c>
      <c r="DP106" s="915">
        <f t="shared" si="273"/>
        <v>0</v>
      </c>
      <c r="DQ106" s="915">
        <f t="shared" si="274"/>
        <v>7.42</v>
      </c>
      <c r="DR106" s="915">
        <f t="shared" si="275"/>
        <v>0</v>
      </c>
      <c r="DS106" s="915">
        <f t="shared" si="276"/>
        <v>0</v>
      </c>
      <c r="DT106" s="915">
        <f t="shared" si="277"/>
        <v>0</v>
      </c>
      <c r="DU106" s="915">
        <f t="shared" si="278"/>
        <v>0</v>
      </c>
      <c r="DV106" s="915">
        <f t="shared" si="279"/>
        <v>0</v>
      </c>
      <c r="DW106" s="915">
        <f t="shared" si="280"/>
        <v>0</v>
      </c>
      <c r="DX106" s="915">
        <f t="shared" si="281"/>
        <v>0</v>
      </c>
      <c r="DY106" s="915">
        <f t="shared" si="282"/>
        <v>0</v>
      </c>
      <c r="DZ106" s="915">
        <f t="shared" si="283"/>
        <v>0</v>
      </c>
      <c r="EA106" s="915">
        <f t="shared" si="284"/>
        <v>0</v>
      </c>
      <c r="EB106" s="915">
        <f t="shared" si="285"/>
        <v>0</v>
      </c>
      <c r="EC106" s="915">
        <f t="shared" si="286"/>
        <v>0</v>
      </c>
      <c r="ED106" s="915">
        <f t="shared" si="287"/>
        <v>0</v>
      </c>
      <c r="EE106" s="915">
        <f t="shared" si="288"/>
        <v>0</v>
      </c>
      <c r="EF106" s="915">
        <f t="shared" si="289"/>
        <v>0</v>
      </c>
      <c r="EG106" s="915">
        <f t="shared" si="290"/>
        <v>0</v>
      </c>
      <c r="EH106" s="915">
        <f t="shared" si="291"/>
        <v>0</v>
      </c>
      <c r="EI106" s="915">
        <f t="shared" si="292"/>
        <v>0</v>
      </c>
      <c r="EJ106" s="915">
        <f t="shared" si="293"/>
        <v>0</v>
      </c>
      <c r="EK106" s="915">
        <f t="shared" si="294"/>
        <v>0</v>
      </c>
      <c r="EL106" s="915">
        <f t="shared" si="295"/>
        <v>0</v>
      </c>
      <c r="EM106" s="915">
        <f t="shared" si="296"/>
        <v>0</v>
      </c>
      <c r="EN106" s="915">
        <f t="shared" si="297"/>
        <v>0</v>
      </c>
      <c r="EO106" s="915">
        <f t="shared" si="298"/>
        <v>0</v>
      </c>
      <c r="EP106" s="915">
        <f t="shared" si="299"/>
        <v>0</v>
      </c>
      <c r="EQ106" s="915">
        <f t="shared" si="300"/>
        <v>0</v>
      </c>
      <c r="ER106" s="915">
        <f t="shared" si="301"/>
        <v>0</v>
      </c>
      <c r="ES106" s="915">
        <f t="shared" si="302"/>
        <v>0</v>
      </c>
      <c r="ET106" s="915">
        <f t="shared" si="303"/>
        <v>0</v>
      </c>
      <c r="EU106" s="915">
        <f t="shared" si="304"/>
        <v>0</v>
      </c>
      <c r="EV106" s="915">
        <f t="shared" si="305"/>
        <v>0</v>
      </c>
      <c r="EW106" s="915">
        <f t="shared" si="306"/>
        <v>0</v>
      </c>
      <c r="EX106" s="915">
        <f t="shared" si="307"/>
        <v>0</v>
      </c>
      <c r="EY106" s="915">
        <f t="shared" si="308"/>
        <v>0</v>
      </c>
      <c r="EZ106" s="915">
        <f t="shared" si="309"/>
        <v>0</v>
      </c>
      <c r="FA106" s="915">
        <f t="shared" si="310"/>
        <v>0</v>
      </c>
      <c r="FB106" s="915">
        <f t="shared" si="311"/>
        <v>0</v>
      </c>
      <c r="FC106" s="915">
        <f t="shared" si="312"/>
        <v>0</v>
      </c>
      <c r="FD106" s="915">
        <f t="shared" si="313"/>
        <v>0</v>
      </c>
      <c r="FE106" s="915">
        <f t="shared" si="314"/>
        <v>0</v>
      </c>
      <c r="FF106" s="915">
        <f t="shared" si="315"/>
        <v>0</v>
      </c>
      <c r="FG106" s="915">
        <f t="shared" si="316"/>
        <v>0</v>
      </c>
      <c r="FH106" s="915">
        <f t="shared" si="317"/>
        <v>0</v>
      </c>
      <c r="FI106" s="915">
        <f t="shared" si="318"/>
        <v>0</v>
      </c>
      <c r="FJ106" s="915">
        <f t="shared" si="319"/>
        <v>0</v>
      </c>
      <c r="FK106" s="915">
        <f t="shared" si="320"/>
        <v>0</v>
      </c>
      <c r="FL106" s="915">
        <f t="shared" si="321"/>
        <v>0</v>
      </c>
      <c r="FM106" s="915">
        <f t="shared" si="322"/>
        <v>0</v>
      </c>
      <c r="FN106" s="915">
        <f t="shared" si="323"/>
        <v>0</v>
      </c>
      <c r="FO106" s="915">
        <f t="shared" si="324"/>
        <v>0</v>
      </c>
      <c r="FP106" s="915">
        <f t="shared" si="325"/>
        <v>0</v>
      </c>
      <c r="FQ106" s="915">
        <f t="shared" si="326"/>
        <v>0</v>
      </c>
      <c r="FR106" s="915">
        <f t="shared" si="327"/>
        <v>0</v>
      </c>
      <c r="FS106" s="915">
        <f t="shared" si="328"/>
        <v>0</v>
      </c>
      <c r="FT106" s="915">
        <f t="shared" si="329"/>
        <v>0</v>
      </c>
      <c r="FU106" s="915">
        <f t="shared" si="330"/>
        <v>0</v>
      </c>
      <c r="FV106" s="915">
        <f t="shared" si="331"/>
        <v>0</v>
      </c>
      <c r="FW106" s="915">
        <f t="shared" si="332"/>
        <v>0</v>
      </c>
      <c r="FX106" s="915">
        <f t="shared" si="333"/>
        <v>0</v>
      </c>
      <c r="FY106" s="915">
        <f t="shared" si="334"/>
        <v>0</v>
      </c>
      <c r="FZ106" s="915">
        <f t="shared" si="335"/>
        <v>0</v>
      </c>
    </row>
    <row r="107" spans="1:182" x14ac:dyDescent="0.2">
      <c r="A107" s="497">
        <v>100</v>
      </c>
      <c r="B107" s="1423"/>
      <c r="C107" s="1424"/>
      <c r="D107" s="138">
        <v>13</v>
      </c>
      <c r="E107" s="138" t="s">
        <v>52</v>
      </c>
      <c r="F107" s="139" t="s">
        <v>2544</v>
      </c>
      <c r="G107" s="139" t="s">
        <v>2542</v>
      </c>
      <c r="H107" s="100">
        <v>7</v>
      </c>
      <c r="I107" s="119">
        <f t="shared" si="386"/>
        <v>0.42</v>
      </c>
      <c r="J107" s="90">
        <f t="shared" si="387"/>
        <v>7.42</v>
      </c>
      <c r="K107" s="225"/>
      <c r="N107" s="951">
        <f>DR6</f>
        <v>7.42</v>
      </c>
      <c r="O107" s="915" t="str">
        <f>"Waste Haul for "&amp;TabName13</f>
        <v>Waste Haul for Phase 13</v>
      </c>
      <c r="P107" s="949" t="s">
        <v>2154</v>
      </c>
      <c r="W107" s="915">
        <f t="shared" si="176"/>
        <v>0</v>
      </c>
      <c r="X107" s="915">
        <f t="shared" si="177"/>
        <v>0</v>
      </c>
      <c r="Y107" s="915">
        <f t="shared" si="178"/>
        <v>0</v>
      </c>
      <c r="Z107" s="915">
        <f t="shared" si="179"/>
        <v>0</v>
      </c>
      <c r="AA107" s="915">
        <f t="shared" si="180"/>
        <v>0</v>
      </c>
      <c r="AB107" s="915">
        <f t="shared" si="181"/>
        <v>0</v>
      </c>
      <c r="AC107" s="915">
        <f t="shared" si="182"/>
        <v>0</v>
      </c>
      <c r="AD107" s="915">
        <f t="shared" si="183"/>
        <v>0</v>
      </c>
      <c r="AE107" s="915">
        <f t="shared" si="184"/>
        <v>0</v>
      </c>
      <c r="AF107" s="915">
        <f t="shared" si="185"/>
        <v>0</v>
      </c>
      <c r="AG107" s="915">
        <f t="shared" si="186"/>
        <v>0</v>
      </c>
      <c r="AH107" s="915">
        <f t="shared" si="187"/>
        <v>0</v>
      </c>
      <c r="AI107" s="915">
        <f t="shared" si="188"/>
        <v>0</v>
      </c>
      <c r="AJ107" s="915">
        <f t="shared" si="189"/>
        <v>0</v>
      </c>
      <c r="AK107" s="915">
        <f t="shared" si="190"/>
        <v>0</v>
      </c>
      <c r="AL107" s="915">
        <f t="shared" si="191"/>
        <v>0</v>
      </c>
      <c r="AM107" s="915">
        <f t="shared" si="192"/>
        <v>0</v>
      </c>
      <c r="AN107" s="915">
        <f t="shared" si="193"/>
        <v>0</v>
      </c>
      <c r="AO107" s="915">
        <f t="shared" si="194"/>
        <v>0</v>
      </c>
      <c r="AP107" s="915">
        <f t="shared" si="195"/>
        <v>0</v>
      </c>
      <c r="AQ107" s="915">
        <f t="shared" si="196"/>
        <v>0</v>
      </c>
      <c r="AR107" s="915">
        <f t="shared" si="197"/>
        <v>0</v>
      </c>
      <c r="AS107" s="915">
        <f t="shared" si="198"/>
        <v>0</v>
      </c>
      <c r="AT107" s="915">
        <f t="shared" si="199"/>
        <v>0</v>
      </c>
      <c r="AU107" s="915">
        <f t="shared" si="200"/>
        <v>0</v>
      </c>
      <c r="AV107" s="915">
        <f t="shared" si="201"/>
        <v>0</v>
      </c>
      <c r="AW107" s="915">
        <f t="shared" si="202"/>
        <v>0</v>
      </c>
      <c r="AX107" s="915">
        <f t="shared" si="203"/>
        <v>0</v>
      </c>
      <c r="AY107" s="915">
        <f t="shared" si="204"/>
        <v>0</v>
      </c>
      <c r="AZ107" s="915">
        <f t="shared" si="205"/>
        <v>0</v>
      </c>
      <c r="BA107" s="915">
        <f t="shared" si="206"/>
        <v>0</v>
      </c>
      <c r="BB107" s="915">
        <f t="shared" si="207"/>
        <v>0</v>
      </c>
      <c r="BC107" s="915">
        <f t="shared" si="388"/>
        <v>0</v>
      </c>
      <c r="BD107" s="915">
        <f t="shared" si="389"/>
        <v>0</v>
      </c>
      <c r="BE107" s="915">
        <f t="shared" si="390"/>
        <v>0</v>
      </c>
      <c r="BF107" s="915">
        <f t="shared" si="391"/>
        <v>0</v>
      </c>
      <c r="BG107" s="915">
        <f t="shared" si="392"/>
        <v>0</v>
      </c>
      <c r="BH107" s="915">
        <f t="shared" si="393"/>
        <v>0</v>
      </c>
      <c r="BI107" s="915">
        <f t="shared" si="394"/>
        <v>0</v>
      </c>
      <c r="BJ107" s="915">
        <f t="shared" si="395"/>
        <v>0</v>
      </c>
      <c r="BK107" s="915">
        <f t="shared" si="216"/>
        <v>0</v>
      </c>
      <c r="BL107" s="915">
        <f t="shared" si="217"/>
        <v>0</v>
      </c>
      <c r="BM107" s="915">
        <f t="shared" si="218"/>
        <v>0</v>
      </c>
      <c r="BN107" s="915">
        <f t="shared" si="219"/>
        <v>0</v>
      </c>
      <c r="BO107" s="915">
        <f t="shared" si="220"/>
        <v>0</v>
      </c>
      <c r="BP107" s="915">
        <f t="shared" si="221"/>
        <v>0</v>
      </c>
      <c r="BQ107" s="915">
        <f t="shared" si="222"/>
        <v>0</v>
      </c>
      <c r="BR107" s="915">
        <f t="shared" si="223"/>
        <v>0</v>
      </c>
      <c r="BS107" s="915">
        <f t="shared" si="378"/>
        <v>0</v>
      </c>
      <c r="BT107" s="915">
        <f t="shared" si="379"/>
        <v>0</v>
      </c>
      <c r="BU107" s="915">
        <f t="shared" si="380"/>
        <v>0</v>
      </c>
      <c r="BV107" s="915">
        <f t="shared" si="381"/>
        <v>0</v>
      </c>
      <c r="BW107" s="915">
        <f t="shared" si="382"/>
        <v>0</v>
      </c>
      <c r="BX107" s="915">
        <f t="shared" si="383"/>
        <v>0</v>
      </c>
      <c r="BY107" s="915">
        <f t="shared" si="384"/>
        <v>0</v>
      </c>
      <c r="BZ107" s="915">
        <f t="shared" si="385"/>
        <v>0</v>
      </c>
      <c r="CA107" s="915">
        <f t="shared" si="362"/>
        <v>0</v>
      </c>
      <c r="CB107" s="915">
        <f t="shared" si="363"/>
        <v>0</v>
      </c>
      <c r="CC107" s="915">
        <f t="shared" si="364"/>
        <v>0</v>
      </c>
      <c r="CD107" s="915">
        <f t="shared" si="365"/>
        <v>0</v>
      </c>
      <c r="CE107" s="915">
        <f t="shared" si="366"/>
        <v>0</v>
      </c>
      <c r="CF107" s="915">
        <f t="shared" si="367"/>
        <v>0</v>
      </c>
      <c r="CG107" s="915">
        <f t="shared" si="368"/>
        <v>0</v>
      </c>
      <c r="CH107" s="915">
        <f t="shared" si="369"/>
        <v>0</v>
      </c>
      <c r="CI107" s="915">
        <f t="shared" si="336"/>
        <v>0</v>
      </c>
      <c r="CJ107" s="915">
        <f t="shared" si="337"/>
        <v>0</v>
      </c>
      <c r="CK107" s="915">
        <f t="shared" si="338"/>
        <v>0</v>
      </c>
      <c r="CL107" s="915">
        <f t="shared" si="339"/>
        <v>0</v>
      </c>
      <c r="CM107" s="915">
        <f t="shared" si="340"/>
        <v>0</v>
      </c>
      <c r="CN107" s="915">
        <f t="shared" si="341"/>
        <v>0</v>
      </c>
      <c r="CO107" s="915">
        <f t="shared" si="342"/>
        <v>0</v>
      </c>
      <c r="CP107" s="915">
        <f t="shared" si="343"/>
        <v>0</v>
      </c>
      <c r="CQ107" s="915">
        <f t="shared" si="370"/>
        <v>0</v>
      </c>
      <c r="CR107" s="915">
        <f t="shared" si="371"/>
        <v>0</v>
      </c>
      <c r="CS107" s="915">
        <f t="shared" si="372"/>
        <v>0</v>
      </c>
      <c r="CT107" s="915">
        <f t="shared" si="373"/>
        <v>0</v>
      </c>
      <c r="CU107" s="915">
        <f t="shared" si="374"/>
        <v>0</v>
      </c>
      <c r="CV107" s="915">
        <f t="shared" si="375"/>
        <v>0</v>
      </c>
      <c r="CW107" s="915">
        <f t="shared" si="376"/>
        <v>0</v>
      </c>
      <c r="CX107" s="915">
        <f t="shared" si="377"/>
        <v>0</v>
      </c>
      <c r="CY107" s="915">
        <f t="shared" si="256"/>
        <v>0</v>
      </c>
      <c r="CZ107" s="915">
        <f t="shared" si="257"/>
        <v>0</v>
      </c>
      <c r="DA107" s="915">
        <f t="shared" si="258"/>
        <v>0</v>
      </c>
      <c r="DB107" s="915">
        <f t="shared" si="259"/>
        <v>0</v>
      </c>
      <c r="DC107" s="915">
        <f t="shared" si="260"/>
        <v>0</v>
      </c>
      <c r="DD107" s="915">
        <f t="shared" si="261"/>
        <v>0</v>
      </c>
      <c r="DE107" s="915">
        <f t="shared" si="262"/>
        <v>0</v>
      </c>
      <c r="DF107" s="915">
        <f t="shared" si="263"/>
        <v>0</v>
      </c>
      <c r="DG107" s="915">
        <f t="shared" si="264"/>
        <v>0</v>
      </c>
      <c r="DH107" s="915">
        <f t="shared" si="265"/>
        <v>0</v>
      </c>
      <c r="DI107" s="915">
        <f t="shared" si="266"/>
        <v>0</v>
      </c>
      <c r="DJ107" s="915">
        <f t="shared" si="267"/>
        <v>0</v>
      </c>
      <c r="DK107" s="915">
        <f t="shared" si="268"/>
        <v>0</v>
      </c>
      <c r="DL107" s="915">
        <f t="shared" si="269"/>
        <v>0</v>
      </c>
      <c r="DM107" s="915">
        <f t="shared" si="270"/>
        <v>0</v>
      </c>
      <c r="DN107" s="915">
        <f t="shared" si="271"/>
        <v>0</v>
      </c>
      <c r="DO107" s="915">
        <f t="shared" si="272"/>
        <v>0</v>
      </c>
      <c r="DP107" s="915">
        <f t="shared" si="273"/>
        <v>0</v>
      </c>
      <c r="DQ107" s="915">
        <f t="shared" si="274"/>
        <v>0</v>
      </c>
      <c r="DR107" s="915">
        <f t="shared" si="275"/>
        <v>7.42</v>
      </c>
      <c r="DS107" s="915">
        <f t="shared" si="276"/>
        <v>0</v>
      </c>
      <c r="DT107" s="915">
        <f t="shared" si="277"/>
        <v>0</v>
      </c>
      <c r="DU107" s="915">
        <f t="shared" si="278"/>
        <v>0</v>
      </c>
      <c r="DV107" s="915">
        <f t="shared" si="279"/>
        <v>0</v>
      </c>
      <c r="DW107" s="915">
        <f t="shared" si="280"/>
        <v>0</v>
      </c>
      <c r="DX107" s="915">
        <f t="shared" si="281"/>
        <v>0</v>
      </c>
      <c r="DY107" s="915">
        <f t="shared" si="282"/>
        <v>0</v>
      </c>
      <c r="DZ107" s="915">
        <f t="shared" si="283"/>
        <v>0</v>
      </c>
      <c r="EA107" s="915">
        <f t="shared" si="284"/>
        <v>0</v>
      </c>
      <c r="EB107" s="915">
        <f t="shared" si="285"/>
        <v>0</v>
      </c>
      <c r="EC107" s="915">
        <f t="shared" si="286"/>
        <v>0</v>
      </c>
      <c r="ED107" s="915">
        <f t="shared" si="287"/>
        <v>0</v>
      </c>
      <c r="EE107" s="915">
        <f t="shared" si="288"/>
        <v>0</v>
      </c>
      <c r="EF107" s="915">
        <f t="shared" si="289"/>
        <v>0</v>
      </c>
      <c r="EG107" s="915">
        <f t="shared" si="290"/>
        <v>0</v>
      </c>
      <c r="EH107" s="915">
        <f t="shared" si="291"/>
        <v>0</v>
      </c>
      <c r="EI107" s="915">
        <f t="shared" si="292"/>
        <v>0</v>
      </c>
      <c r="EJ107" s="915">
        <f t="shared" si="293"/>
        <v>0</v>
      </c>
      <c r="EK107" s="915">
        <f t="shared" si="294"/>
        <v>0</v>
      </c>
      <c r="EL107" s="915">
        <f t="shared" si="295"/>
        <v>0</v>
      </c>
      <c r="EM107" s="915">
        <f t="shared" si="296"/>
        <v>0</v>
      </c>
      <c r="EN107" s="915">
        <f t="shared" si="297"/>
        <v>0</v>
      </c>
      <c r="EO107" s="915">
        <f t="shared" si="298"/>
        <v>0</v>
      </c>
      <c r="EP107" s="915">
        <f t="shared" si="299"/>
        <v>0</v>
      </c>
      <c r="EQ107" s="915">
        <f t="shared" si="300"/>
        <v>0</v>
      </c>
      <c r="ER107" s="915">
        <f t="shared" si="301"/>
        <v>0</v>
      </c>
      <c r="ES107" s="915">
        <f t="shared" si="302"/>
        <v>0</v>
      </c>
      <c r="ET107" s="915">
        <f t="shared" si="303"/>
        <v>0</v>
      </c>
      <c r="EU107" s="915">
        <f t="shared" si="304"/>
        <v>0</v>
      </c>
      <c r="EV107" s="915">
        <f t="shared" si="305"/>
        <v>0</v>
      </c>
      <c r="EW107" s="915">
        <f t="shared" si="306"/>
        <v>0</v>
      </c>
      <c r="EX107" s="915">
        <f t="shared" si="307"/>
        <v>0</v>
      </c>
      <c r="EY107" s="915">
        <f t="shared" si="308"/>
        <v>0</v>
      </c>
      <c r="EZ107" s="915">
        <f t="shared" si="309"/>
        <v>0</v>
      </c>
      <c r="FA107" s="915">
        <f t="shared" si="310"/>
        <v>0</v>
      </c>
      <c r="FB107" s="915">
        <f t="shared" si="311"/>
        <v>0</v>
      </c>
      <c r="FC107" s="915">
        <f t="shared" si="312"/>
        <v>0</v>
      </c>
      <c r="FD107" s="915">
        <f t="shared" si="313"/>
        <v>0</v>
      </c>
      <c r="FE107" s="915">
        <f t="shared" si="314"/>
        <v>0</v>
      </c>
      <c r="FF107" s="915">
        <f t="shared" si="315"/>
        <v>0</v>
      </c>
      <c r="FG107" s="915">
        <f t="shared" si="316"/>
        <v>0</v>
      </c>
      <c r="FH107" s="915">
        <f t="shared" si="317"/>
        <v>0</v>
      </c>
      <c r="FI107" s="915">
        <f t="shared" si="318"/>
        <v>0</v>
      </c>
      <c r="FJ107" s="915">
        <f t="shared" si="319"/>
        <v>0</v>
      </c>
      <c r="FK107" s="915">
        <f t="shared" si="320"/>
        <v>0</v>
      </c>
      <c r="FL107" s="915">
        <f t="shared" si="321"/>
        <v>0</v>
      </c>
      <c r="FM107" s="915">
        <f t="shared" si="322"/>
        <v>0</v>
      </c>
      <c r="FN107" s="915">
        <f t="shared" si="323"/>
        <v>0</v>
      </c>
      <c r="FO107" s="915">
        <f t="shared" si="324"/>
        <v>0</v>
      </c>
      <c r="FP107" s="915">
        <f t="shared" si="325"/>
        <v>0</v>
      </c>
      <c r="FQ107" s="915">
        <f t="shared" si="326"/>
        <v>0</v>
      </c>
      <c r="FR107" s="915">
        <f t="shared" si="327"/>
        <v>0</v>
      </c>
      <c r="FS107" s="915">
        <f t="shared" si="328"/>
        <v>0</v>
      </c>
      <c r="FT107" s="915">
        <f t="shared" si="329"/>
        <v>0</v>
      </c>
      <c r="FU107" s="915">
        <f t="shared" si="330"/>
        <v>0</v>
      </c>
      <c r="FV107" s="915">
        <f t="shared" si="331"/>
        <v>0</v>
      </c>
      <c r="FW107" s="915">
        <f t="shared" si="332"/>
        <v>0</v>
      </c>
      <c r="FX107" s="915">
        <f t="shared" si="333"/>
        <v>0</v>
      </c>
      <c r="FY107" s="915">
        <f t="shared" si="334"/>
        <v>0</v>
      </c>
      <c r="FZ107" s="915">
        <f t="shared" si="335"/>
        <v>0</v>
      </c>
    </row>
    <row r="108" spans="1:182" x14ac:dyDescent="0.2">
      <c r="A108" s="496">
        <v>101</v>
      </c>
      <c r="B108" s="1419"/>
      <c r="C108" s="1433"/>
      <c r="D108" s="264">
        <v>13</v>
      </c>
      <c r="E108" s="264" t="s">
        <v>30</v>
      </c>
      <c r="F108" s="270" t="s">
        <v>2544</v>
      </c>
      <c r="G108" s="270" t="s">
        <v>2542</v>
      </c>
      <c r="H108" s="272">
        <v>7</v>
      </c>
      <c r="I108" s="268">
        <f t="shared" si="386"/>
        <v>0.42</v>
      </c>
      <c r="J108" s="269">
        <f t="shared" si="387"/>
        <v>7.42</v>
      </c>
      <c r="K108" s="225"/>
      <c r="N108" s="951">
        <f>DS6</f>
        <v>7.42</v>
      </c>
      <c r="O108" s="879" t="str">
        <f>"Surveying/Inspection for " &amp; TabName13</f>
        <v>Surveying/Inspection for Phase 13</v>
      </c>
      <c r="P108" s="950" t="s">
        <v>2155</v>
      </c>
      <c r="W108" s="915">
        <f t="shared" si="176"/>
        <v>0</v>
      </c>
      <c r="X108" s="915">
        <f t="shared" si="177"/>
        <v>0</v>
      </c>
      <c r="Y108" s="915">
        <f t="shared" si="178"/>
        <v>0</v>
      </c>
      <c r="Z108" s="915">
        <f t="shared" si="179"/>
        <v>0</v>
      </c>
      <c r="AA108" s="915">
        <f t="shared" si="180"/>
        <v>0</v>
      </c>
      <c r="AB108" s="915">
        <f t="shared" si="181"/>
        <v>0</v>
      </c>
      <c r="AC108" s="915">
        <f t="shared" si="182"/>
        <v>0</v>
      </c>
      <c r="AD108" s="915">
        <f t="shared" si="183"/>
        <v>0</v>
      </c>
      <c r="AE108" s="915">
        <f t="shared" si="184"/>
        <v>0</v>
      </c>
      <c r="AF108" s="915">
        <f t="shared" si="185"/>
        <v>0</v>
      </c>
      <c r="AG108" s="915">
        <f t="shared" si="186"/>
        <v>0</v>
      </c>
      <c r="AH108" s="915">
        <f t="shared" si="187"/>
        <v>0</v>
      </c>
      <c r="AI108" s="915">
        <f t="shared" si="188"/>
        <v>0</v>
      </c>
      <c r="AJ108" s="915">
        <f t="shared" si="189"/>
        <v>0</v>
      </c>
      <c r="AK108" s="915">
        <f t="shared" si="190"/>
        <v>0</v>
      </c>
      <c r="AL108" s="915">
        <f t="shared" si="191"/>
        <v>0</v>
      </c>
      <c r="AM108" s="915">
        <f t="shared" si="192"/>
        <v>0</v>
      </c>
      <c r="AN108" s="915">
        <f t="shared" si="193"/>
        <v>0</v>
      </c>
      <c r="AO108" s="915">
        <f t="shared" si="194"/>
        <v>0</v>
      </c>
      <c r="AP108" s="915">
        <f t="shared" si="195"/>
        <v>0</v>
      </c>
      <c r="AQ108" s="915">
        <f t="shared" si="196"/>
        <v>0</v>
      </c>
      <c r="AR108" s="915">
        <f t="shared" si="197"/>
        <v>0</v>
      </c>
      <c r="AS108" s="915">
        <f t="shared" si="198"/>
        <v>0</v>
      </c>
      <c r="AT108" s="915">
        <f t="shared" si="199"/>
        <v>0</v>
      </c>
      <c r="AU108" s="915">
        <f t="shared" si="200"/>
        <v>0</v>
      </c>
      <c r="AV108" s="915">
        <f t="shared" si="201"/>
        <v>0</v>
      </c>
      <c r="AW108" s="915">
        <f t="shared" si="202"/>
        <v>0</v>
      </c>
      <c r="AX108" s="915">
        <f t="shared" si="203"/>
        <v>0</v>
      </c>
      <c r="AY108" s="915">
        <f t="shared" si="204"/>
        <v>0</v>
      </c>
      <c r="AZ108" s="915">
        <f t="shared" si="205"/>
        <v>0</v>
      </c>
      <c r="BA108" s="915">
        <f t="shared" si="206"/>
        <v>0</v>
      </c>
      <c r="BB108" s="915">
        <f t="shared" si="207"/>
        <v>0</v>
      </c>
      <c r="BC108" s="915">
        <f t="shared" si="388"/>
        <v>0</v>
      </c>
      <c r="BD108" s="915">
        <f t="shared" si="389"/>
        <v>0</v>
      </c>
      <c r="BE108" s="915">
        <f t="shared" si="390"/>
        <v>0</v>
      </c>
      <c r="BF108" s="915">
        <f t="shared" si="391"/>
        <v>0</v>
      </c>
      <c r="BG108" s="915">
        <f t="shared" si="392"/>
        <v>0</v>
      </c>
      <c r="BH108" s="915">
        <f t="shared" si="393"/>
        <v>0</v>
      </c>
      <c r="BI108" s="915">
        <f t="shared" si="394"/>
        <v>0</v>
      </c>
      <c r="BJ108" s="915">
        <f t="shared" si="395"/>
        <v>0</v>
      </c>
      <c r="BK108" s="915">
        <f t="shared" si="216"/>
        <v>0</v>
      </c>
      <c r="BL108" s="915">
        <f t="shared" si="217"/>
        <v>0</v>
      </c>
      <c r="BM108" s="915">
        <f t="shared" si="218"/>
        <v>0</v>
      </c>
      <c r="BN108" s="915">
        <f t="shared" si="219"/>
        <v>0</v>
      </c>
      <c r="BO108" s="915">
        <f t="shared" si="220"/>
        <v>0</v>
      </c>
      <c r="BP108" s="915">
        <f t="shared" si="221"/>
        <v>0</v>
      </c>
      <c r="BQ108" s="915">
        <f t="shared" si="222"/>
        <v>0</v>
      </c>
      <c r="BR108" s="915">
        <f t="shared" si="223"/>
        <v>0</v>
      </c>
      <c r="BS108" s="915">
        <f t="shared" si="378"/>
        <v>0</v>
      </c>
      <c r="BT108" s="915">
        <f t="shared" si="379"/>
        <v>0</v>
      </c>
      <c r="BU108" s="915">
        <f t="shared" si="380"/>
        <v>0</v>
      </c>
      <c r="BV108" s="915">
        <f t="shared" si="381"/>
        <v>0</v>
      </c>
      <c r="BW108" s="915">
        <f t="shared" si="382"/>
        <v>0</v>
      </c>
      <c r="BX108" s="915">
        <f t="shared" si="383"/>
        <v>0</v>
      </c>
      <c r="BY108" s="915">
        <f t="shared" si="384"/>
        <v>0</v>
      </c>
      <c r="BZ108" s="915">
        <f t="shared" si="385"/>
        <v>0</v>
      </c>
      <c r="CA108" s="915">
        <f t="shared" si="362"/>
        <v>0</v>
      </c>
      <c r="CB108" s="915">
        <f t="shared" si="363"/>
        <v>0</v>
      </c>
      <c r="CC108" s="915">
        <f t="shared" si="364"/>
        <v>0</v>
      </c>
      <c r="CD108" s="915">
        <f t="shared" si="365"/>
        <v>0</v>
      </c>
      <c r="CE108" s="915">
        <f t="shared" si="366"/>
        <v>0</v>
      </c>
      <c r="CF108" s="915">
        <f t="shared" si="367"/>
        <v>0</v>
      </c>
      <c r="CG108" s="915">
        <f t="shared" si="368"/>
        <v>0</v>
      </c>
      <c r="CH108" s="915">
        <f t="shared" si="369"/>
        <v>0</v>
      </c>
      <c r="CI108" s="915">
        <f t="shared" si="336"/>
        <v>0</v>
      </c>
      <c r="CJ108" s="915">
        <f t="shared" si="337"/>
        <v>0</v>
      </c>
      <c r="CK108" s="915">
        <f t="shared" si="338"/>
        <v>0</v>
      </c>
      <c r="CL108" s="915">
        <f t="shared" si="339"/>
        <v>0</v>
      </c>
      <c r="CM108" s="915">
        <f t="shared" si="340"/>
        <v>0</v>
      </c>
      <c r="CN108" s="915">
        <f t="shared" si="341"/>
        <v>0</v>
      </c>
      <c r="CO108" s="915">
        <f t="shared" si="342"/>
        <v>0</v>
      </c>
      <c r="CP108" s="915">
        <f t="shared" si="343"/>
        <v>0</v>
      </c>
      <c r="CQ108" s="915">
        <f t="shared" si="370"/>
        <v>0</v>
      </c>
      <c r="CR108" s="915">
        <f t="shared" si="371"/>
        <v>0</v>
      </c>
      <c r="CS108" s="915">
        <f t="shared" si="372"/>
        <v>0</v>
      </c>
      <c r="CT108" s="915">
        <f t="shared" si="373"/>
        <v>0</v>
      </c>
      <c r="CU108" s="915">
        <f t="shared" si="374"/>
        <v>0</v>
      </c>
      <c r="CV108" s="915">
        <f t="shared" si="375"/>
        <v>0</v>
      </c>
      <c r="CW108" s="915">
        <f t="shared" si="376"/>
        <v>0</v>
      </c>
      <c r="CX108" s="915">
        <f t="shared" si="377"/>
        <v>0</v>
      </c>
      <c r="CY108" s="915">
        <f t="shared" si="256"/>
        <v>0</v>
      </c>
      <c r="CZ108" s="915">
        <f t="shared" si="257"/>
        <v>0</v>
      </c>
      <c r="DA108" s="915">
        <f t="shared" si="258"/>
        <v>0</v>
      </c>
      <c r="DB108" s="915">
        <f t="shared" si="259"/>
        <v>0</v>
      </c>
      <c r="DC108" s="915">
        <f t="shared" si="260"/>
        <v>0</v>
      </c>
      <c r="DD108" s="915">
        <f t="shared" si="261"/>
        <v>0</v>
      </c>
      <c r="DE108" s="915">
        <f t="shared" si="262"/>
        <v>0</v>
      </c>
      <c r="DF108" s="915">
        <f t="shared" si="263"/>
        <v>0</v>
      </c>
      <c r="DG108" s="915">
        <f t="shared" si="264"/>
        <v>0</v>
      </c>
      <c r="DH108" s="915">
        <f t="shared" si="265"/>
        <v>0</v>
      </c>
      <c r="DI108" s="915">
        <f t="shared" si="266"/>
        <v>0</v>
      </c>
      <c r="DJ108" s="915">
        <f t="shared" si="267"/>
        <v>0</v>
      </c>
      <c r="DK108" s="915">
        <f t="shared" si="268"/>
        <v>0</v>
      </c>
      <c r="DL108" s="915">
        <f t="shared" si="269"/>
        <v>0</v>
      </c>
      <c r="DM108" s="915">
        <f t="shared" si="270"/>
        <v>0</v>
      </c>
      <c r="DN108" s="915">
        <f t="shared" si="271"/>
        <v>0</v>
      </c>
      <c r="DO108" s="915">
        <f t="shared" si="272"/>
        <v>0</v>
      </c>
      <c r="DP108" s="915">
        <f t="shared" si="273"/>
        <v>0</v>
      </c>
      <c r="DQ108" s="915">
        <f t="shared" si="274"/>
        <v>0</v>
      </c>
      <c r="DR108" s="915">
        <f t="shared" si="275"/>
        <v>0</v>
      </c>
      <c r="DS108" s="915">
        <f t="shared" si="276"/>
        <v>7.42</v>
      </c>
      <c r="DT108" s="915">
        <f t="shared" si="277"/>
        <v>0</v>
      </c>
      <c r="DU108" s="915">
        <f t="shared" si="278"/>
        <v>0</v>
      </c>
      <c r="DV108" s="915">
        <f t="shared" si="279"/>
        <v>0</v>
      </c>
      <c r="DW108" s="915">
        <f t="shared" si="280"/>
        <v>0</v>
      </c>
      <c r="DX108" s="915">
        <f t="shared" si="281"/>
        <v>0</v>
      </c>
      <c r="DY108" s="915">
        <f t="shared" si="282"/>
        <v>0</v>
      </c>
      <c r="DZ108" s="915">
        <f t="shared" si="283"/>
        <v>0</v>
      </c>
      <c r="EA108" s="915">
        <f t="shared" si="284"/>
        <v>0</v>
      </c>
      <c r="EB108" s="915">
        <f t="shared" si="285"/>
        <v>0</v>
      </c>
      <c r="EC108" s="915">
        <f t="shared" si="286"/>
        <v>0</v>
      </c>
      <c r="ED108" s="915">
        <f t="shared" si="287"/>
        <v>0</v>
      </c>
      <c r="EE108" s="915">
        <f t="shared" si="288"/>
        <v>0</v>
      </c>
      <c r="EF108" s="915">
        <f t="shared" si="289"/>
        <v>0</v>
      </c>
      <c r="EG108" s="915">
        <f t="shared" si="290"/>
        <v>0</v>
      </c>
      <c r="EH108" s="915">
        <f t="shared" si="291"/>
        <v>0</v>
      </c>
      <c r="EI108" s="915">
        <f t="shared" si="292"/>
        <v>0</v>
      </c>
      <c r="EJ108" s="915">
        <f t="shared" si="293"/>
        <v>0</v>
      </c>
      <c r="EK108" s="915">
        <f t="shared" si="294"/>
        <v>0</v>
      </c>
      <c r="EL108" s="915">
        <f t="shared" si="295"/>
        <v>0</v>
      </c>
      <c r="EM108" s="915">
        <f t="shared" si="296"/>
        <v>0</v>
      </c>
      <c r="EN108" s="915">
        <f t="shared" si="297"/>
        <v>0</v>
      </c>
      <c r="EO108" s="915">
        <f t="shared" si="298"/>
        <v>0</v>
      </c>
      <c r="EP108" s="915">
        <f t="shared" si="299"/>
        <v>0</v>
      </c>
      <c r="EQ108" s="915">
        <f t="shared" si="300"/>
        <v>0</v>
      </c>
      <c r="ER108" s="915">
        <f t="shared" si="301"/>
        <v>0</v>
      </c>
      <c r="ES108" s="915">
        <f t="shared" si="302"/>
        <v>0</v>
      </c>
      <c r="ET108" s="915">
        <f t="shared" si="303"/>
        <v>0</v>
      </c>
      <c r="EU108" s="915">
        <f t="shared" si="304"/>
        <v>0</v>
      </c>
      <c r="EV108" s="915">
        <f t="shared" si="305"/>
        <v>0</v>
      </c>
      <c r="EW108" s="915">
        <f t="shared" si="306"/>
        <v>0</v>
      </c>
      <c r="EX108" s="915">
        <f t="shared" si="307"/>
        <v>0</v>
      </c>
      <c r="EY108" s="915">
        <f t="shared" si="308"/>
        <v>0</v>
      </c>
      <c r="EZ108" s="915">
        <f t="shared" si="309"/>
        <v>0</v>
      </c>
      <c r="FA108" s="915">
        <f t="shared" si="310"/>
        <v>0</v>
      </c>
      <c r="FB108" s="915">
        <f t="shared" si="311"/>
        <v>0</v>
      </c>
      <c r="FC108" s="915">
        <f t="shared" si="312"/>
        <v>0</v>
      </c>
      <c r="FD108" s="915">
        <f t="shared" si="313"/>
        <v>0</v>
      </c>
      <c r="FE108" s="915">
        <f t="shared" si="314"/>
        <v>0</v>
      </c>
      <c r="FF108" s="915">
        <f t="shared" si="315"/>
        <v>0</v>
      </c>
      <c r="FG108" s="915">
        <f t="shared" si="316"/>
        <v>0</v>
      </c>
      <c r="FH108" s="915">
        <f t="shared" si="317"/>
        <v>0</v>
      </c>
      <c r="FI108" s="915">
        <f t="shared" si="318"/>
        <v>0</v>
      </c>
      <c r="FJ108" s="915">
        <f t="shared" si="319"/>
        <v>0</v>
      </c>
      <c r="FK108" s="915">
        <f t="shared" si="320"/>
        <v>0</v>
      </c>
      <c r="FL108" s="915">
        <f t="shared" si="321"/>
        <v>0</v>
      </c>
      <c r="FM108" s="915">
        <f t="shared" si="322"/>
        <v>0</v>
      </c>
      <c r="FN108" s="915">
        <f t="shared" si="323"/>
        <v>0</v>
      </c>
      <c r="FO108" s="915">
        <f t="shared" si="324"/>
        <v>0</v>
      </c>
      <c r="FP108" s="915">
        <f t="shared" si="325"/>
        <v>0</v>
      </c>
      <c r="FQ108" s="915">
        <f t="shared" si="326"/>
        <v>0</v>
      </c>
      <c r="FR108" s="915">
        <f t="shared" si="327"/>
        <v>0</v>
      </c>
      <c r="FS108" s="915">
        <f t="shared" si="328"/>
        <v>0</v>
      </c>
      <c r="FT108" s="915">
        <f t="shared" si="329"/>
        <v>0</v>
      </c>
      <c r="FU108" s="915">
        <f t="shared" si="330"/>
        <v>0</v>
      </c>
      <c r="FV108" s="915">
        <f t="shared" si="331"/>
        <v>0</v>
      </c>
      <c r="FW108" s="915">
        <f t="shared" si="332"/>
        <v>0</v>
      </c>
      <c r="FX108" s="915">
        <f t="shared" si="333"/>
        <v>0</v>
      </c>
      <c r="FY108" s="915">
        <f t="shared" si="334"/>
        <v>0</v>
      </c>
      <c r="FZ108" s="915">
        <f t="shared" si="335"/>
        <v>0</v>
      </c>
    </row>
    <row r="109" spans="1:182" x14ac:dyDescent="0.2">
      <c r="A109" s="497">
        <v>102</v>
      </c>
      <c r="B109" s="1423"/>
      <c r="C109" s="1424"/>
      <c r="D109" s="138">
        <v>13</v>
      </c>
      <c r="E109" s="138" t="s">
        <v>170</v>
      </c>
      <c r="F109" s="139" t="s">
        <v>2544</v>
      </c>
      <c r="G109" s="139" t="s">
        <v>2542</v>
      </c>
      <c r="H109" s="100">
        <v>7</v>
      </c>
      <c r="I109" s="119">
        <f t="shared" si="386"/>
        <v>0.42</v>
      </c>
      <c r="J109" s="90">
        <f t="shared" si="387"/>
        <v>7.42</v>
      </c>
      <c r="K109" s="225"/>
      <c r="N109" s="951">
        <f>DT6</f>
        <v>7.42</v>
      </c>
      <c r="O109" s="879" t="str">
        <f>"Other subcontractor for " &amp; TabName13</f>
        <v>Other subcontractor for Phase 13</v>
      </c>
      <c r="P109" s="949" t="s">
        <v>2156</v>
      </c>
      <c r="W109" s="915">
        <f t="shared" si="176"/>
        <v>0</v>
      </c>
      <c r="X109" s="915">
        <f t="shared" si="177"/>
        <v>0</v>
      </c>
      <c r="Y109" s="915">
        <f t="shared" si="178"/>
        <v>0</v>
      </c>
      <c r="Z109" s="915">
        <f t="shared" si="179"/>
        <v>0</v>
      </c>
      <c r="AA109" s="915">
        <f t="shared" si="180"/>
        <v>0</v>
      </c>
      <c r="AB109" s="915">
        <f t="shared" si="181"/>
        <v>0</v>
      </c>
      <c r="AC109" s="915">
        <f t="shared" si="182"/>
        <v>0</v>
      </c>
      <c r="AD109" s="915">
        <f t="shared" si="183"/>
        <v>0</v>
      </c>
      <c r="AE109" s="915">
        <f t="shared" si="184"/>
        <v>0</v>
      </c>
      <c r="AF109" s="915">
        <f t="shared" si="185"/>
        <v>0</v>
      </c>
      <c r="AG109" s="915">
        <f t="shared" si="186"/>
        <v>0</v>
      </c>
      <c r="AH109" s="915">
        <f t="shared" si="187"/>
        <v>0</v>
      </c>
      <c r="AI109" s="915">
        <f t="shared" si="188"/>
        <v>0</v>
      </c>
      <c r="AJ109" s="915">
        <f t="shared" si="189"/>
        <v>0</v>
      </c>
      <c r="AK109" s="915">
        <f t="shared" si="190"/>
        <v>0</v>
      </c>
      <c r="AL109" s="915">
        <f t="shared" si="191"/>
        <v>0</v>
      </c>
      <c r="AM109" s="915">
        <f t="shared" si="192"/>
        <v>0</v>
      </c>
      <c r="AN109" s="915">
        <f t="shared" si="193"/>
        <v>0</v>
      </c>
      <c r="AO109" s="915">
        <f t="shared" si="194"/>
        <v>0</v>
      </c>
      <c r="AP109" s="915">
        <f t="shared" si="195"/>
        <v>0</v>
      </c>
      <c r="AQ109" s="915">
        <f t="shared" si="196"/>
        <v>0</v>
      </c>
      <c r="AR109" s="915">
        <f t="shared" si="197"/>
        <v>0</v>
      </c>
      <c r="AS109" s="915">
        <f t="shared" si="198"/>
        <v>0</v>
      </c>
      <c r="AT109" s="915">
        <f t="shared" si="199"/>
        <v>0</v>
      </c>
      <c r="AU109" s="915">
        <f t="shared" si="200"/>
        <v>0</v>
      </c>
      <c r="AV109" s="915">
        <f t="shared" si="201"/>
        <v>0</v>
      </c>
      <c r="AW109" s="915">
        <f t="shared" si="202"/>
        <v>0</v>
      </c>
      <c r="AX109" s="915">
        <f t="shared" si="203"/>
        <v>0</v>
      </c>
      <c r="AY109" s="915">
        <f t="shared" si="204"/>
        <v>0</v>
      </c>
      <c r="AZ109" s="915">
        <f t="shared" si="205"/>
        <v>0</v>
      </c>
      <c r="BA109" s="915">
        <f t="shared" si="206"/>
        <v>0</v>
      </c>
      <c r="BB109" s="915">
        <f t="shared" si="207"/>
        <v>0</v>
      </c>
      <c r="BC109" s="915">
        <f t="shared" si="388"/>
        <v>0</v>
      </c>
      <c r="BD109" s="915">
        <f t="shared" si="389"/>
        <v>0</v>
      </c>
      <c r="BE109" s="915">
        <f t="shared" si="390"/>
        <v>0</v>
      </c>
      <c r="BF109" s="915">
        <f t="shared" si="391"/>
        <v>0</v>
      </c>
      <c r="BG109" s="915">
        <f t="shared" si="392"/>
        <v>0</v>
      </c>
      <c r="BH109" s="915">
        <f t="shared" si="393"/>
        <v>0</v>
      </c>
      <c r="BI109" s="915">
        <f t="shared" si="394"/>
        <v>0</v>
      </c>
      <c r="BJ109" s="915">
        <f t="shared" si="395"/>
        <v>0</v>
      </c>
      <c r="BK109" s="915">
        <f t="shared" si="216"/>
        <v>0</v>
      </c>
      <c r="BL109" s="915">
        <f t="shared" si="217"/>
        <v>0</v>
      </c>
      <c r="BM109" s="915">
        <f t="shared" si="218"/>
        <v>0</v>
      </c>
      <c r="BN109" s="915">
        <f t="shared" si="219"/>
        <v>0</v>
      </c>
      <c r="BO109" s="915">
        <f t="shared" si="220"/>
        <v>0</v>
      </c>
      <c r="BP109" s="915">
        <f t="shared" si="221"/>
        <v>0</v>
      </c>
      <c r="BQ109" s="915">
        <f t="shared" si="222"/>
        <v>0</v>
      </c>
      <c r="BR109" s="915">
        <f t="shared" si="223"/>
        <v>0</v>
      </c>
      <c r="BS109" s="915">
        <f t="shared" si="378"/>
        <v>0</v>
      </c>
      <c r="BT109" s="915">
        <f t="shared" si="379"/>
        <v>0</v>
      </c>
      <c r="BU109" s="915">
        <f t="shared" si="380"/>
        <v>0</v>
      </c>
      <c r="BV109" s="915">
        <f t="shared" si="381"/>
        <v>0</v>
      </c>
      <c r="BW109" s="915">
        <f t="shared" si="382"/>
        <v>0</v>
      </c>
      <c r="BX109" s="915">
        <f t="shared" si="383"/>
        <v>0</v>
      </c>
      <c r="BY109" s="915">
        <f t="shared" si="384"/>
        <v>0</v>
      </c>
      <c r="BZ109" s="915">
        <f t="shared" si="385"/>
        <v>0</v>
      </c>
      <c r="CA109" s="915">
        <f t="shared" si="362"/>
        <v>0</v>
      </c>
      <c r="CB109" s="915">
        <f t="shared" si="363"/>
        <v>0</v>
      </c>
      <c r="CC109" s="915">
        <f t="shared" si="364"/>
        <v>0</v>
      </c>
      <c r="CD109" s="915">
        <f t="shared" si="365"/>
        <v>0</v>
      </c>
      <c r="CE109" s="915">
        <f t="shared" si="366"/>
        <v>0</v>
      </c>
      <c r="CF109" s="915">
        <f t="shared" si="367"/>
        <v>0</v>
      </c>
      <c r="CG109" s="915">
        <f t="shared" si="368"/>
        <v>0</v>
      </c>
      <c r="CH109" s="915">
        <f t="shared" si="369"/>
        <v>0</v>
      </c>
      <c r="CI109" s="915">
        <f t="shared" si="336"/>
        <v>0</v>
      </c>
      <c r="CJ109" s="915">
        <f t="shared" si="337"/>
        <v>0</v>
      </c>
      <c r="CK109" s="915">
        <f t="shared" si="338"/>
        <v>0</v>
      </c>
      <c r="CL109" s="915">
        <f t="shared" si="339"/>
        <v>0</v>
      </c>
      <c r="CM109" s="915">
        <f t="shared" si="340"/>
        <v>0</v>
      </c>
      <c r="CN109" s="915">
        <f t="shared" si="341"/>
        <v>0</v>
      </c>
      <c r="CO109" s="915">
        <f t="shared" si="342"/>
        <v>0</v>
      </c>
      <c r="CP109" s="915">
        <f t="shared" si="343"/>
        <v>0</v>
      </c>
      <c r="CQ109" s="915">
        <f t="shared" si="370"/>
        <v>0</v>
      </c>
      <c r="CR109" s="915">
        <f t="shared" si="371"/>
        <v>0</v>
      </c>
      <c r="CS109" s="915">
        <f t="shared" si="372"/>
        <v>0</v>
      </c>
      <c r="CT109" s="915">
        <f t="shared" si="373"/>
        <v>0</v>
      </c>
      <c r="CU109" s="915">
        <f t="shared" si="374"/>
        <v>0</v>
      </c>
      <c r="CV109" s="915">
        <f t="shared" si="375"/>
        <v>0</v>
      </c>
      <c r="CW109" s="915">
        <f t="shared" si="376"/>
        <v>0</v>
      </c>
      <c r="CX109" s="915">
        <f t="shared" si="377"/>
        <v>0</v>
      </c>
      <c r="CY109" s="915">
        <f t="shared" si="256"/>
        <v>0</v>
      </c>
      <c r="CZ109" s="915">
        <f t="shared" si="257"/>
        <v>0</v>
      </c>
      <c r="DA109" s="915">
        <f t="shared" si="258"/>
        <v>0</v>
      </c>
      <c r="DB109" s="915">
        <f t="shared" si="259"/>
        <v>0</v>
      </c>
      <c r="DC109" s="915">
        <f t="shared" si="260"/>
        <v>0</v>
      </c>
      <c r="DD109" s="915">
        <f t="shared" si="261"/>
        <v>0</v>
      </c>
      <c r="DE109" s="915">
        <f t="shared" si="262"/>
        <v>0</v>
      </c>
      <c r="DF109" s="915">
        <f t="shared" si="263"/>
        <v>0</v>
      </c>
      <c r="DG109" s="915">
        <f t="shared" si="264"/>
        <v>0</v>
      </c>
      <c r="DH109" s="915">
        <f t="shared" si="265"/>
        <v>0</v>
      </c>
      <c r="DI109" s="915">
        <f t="shared" si="266"/>
        <v>0</v>
      </c>
      <c r="DJ109" s="915">
        <f t="shared" si="267"/>
        <v>0</v>
      </c>
      <c r="DK109" s="915">
        <f t="shared" si="268"/>
        <v>0</v>
      </c>
      <c r="DL109" s="915">
        <f t="shared" si="269"/>
        <v>0</v>
      </c>
      <c r="DM109" s="915">
        <f t="shared" si="270"/>
        <v>0</v>
      </c>
      <c r="DN109" s="915">
        <f t="shared" si="271"/>
        <v>0</v>
      </c>
      <c r="DO109" s="915">
        <f t="shared" si="272"/>
        <v>0</v>
      </c>
      <c r="DP109" s="915">
        <f t="shared" si="273"/>
        <v>0</v>
      </c>
      <c r="DQ109" s="915">
        <f t="shared" si="274"/>
        <v>0</v>
      </c>
      <c r="DR109" s="915">
        <f t="shared" si="275"/>
        <v>0</v>
      </c>
      <c r="DS109" s="915">
        <f t="shared" si="276"/>
        <v>0</v>
      </c>
      <c r="DT109" s="915">
        <f t="shared" si="277"/>
        <v>7.42</v>
      </c>
      <c r="DU109" s="915">
        <f t="shared" si="278"/>
        <v>0</v>
      </c>
      <c r="DV109" s="915">
        <f t="shared" si="279"/>
        <v>0</v>
      </c>
      <c r="DW109" s="915">
        <f t="shared" si="280"/>
        <v>0</v>
      </c>
      <c r="DX109" s="915">
        <f t="shared" si="281"/>
        <v>0</v>
      </c>
      <c r="DY109" s="915">
        <f t="shared" si="282"/>
        <v>0</v>
      </c>
      <c r="DZ109" s="915">
        <f t="shared" si="283"/>
        <v>0</v>
      </c>
      <c r="EA109" s="915">
        <f t="shared" si="284"/>
        <v>0</v>
      </c>
      <c r="EB109" s="915">
        <f t="shared" si="285"/>
        <v>0</v>
      </c>
      <c r="EC109" s="915">
        <f t="shared" si="286"/>
        <v>0</v>
      </c>
      <c r="ED109" s="915">
        <f t="shared" si="287"/>
        <v>0</v>
      </c>
      <c r="EE109" s="915">
        <f t="shared" si="288"/>
        <v>0</v>
      </c>
      <c r="EF109" s="915">
        <f t="shared" si="289"/>
        <v>0</v>
      </c>
      <c r="EG109" s="915">
        <f t="shared" si="290"/>
        <v>0</v>
      </c>
      <c r="EH109" s="915">
        <f t="shared" si="291"/>
        <v>0</v>
      </c>
      <c r="EI109" s="915">
        <f t="shared" si="292"/>
        <v>0</v>
      </c>
      <c r="EJ109" s="915">
        <f t="shared" si="293"/>
        <v>0</v>
      </c>
      <c r="EK109" s="915">
        <f t="shared" si="294"/>
        <v>0</v>
      </c>
      <c r="EL109" s="915">
        <f t="shared" si="295"/>
        <v>0</v>
      </c>
      <c r="EM109" s="915">
        <f t="shared" si="296"/>
        <v>0</v>
      </c>
      <c r="EN109" s="915">
        <f t="shared" si="297"/>
        <v>0</v>
      </c>
      <c r="EO109" s="915">
        <f t="shared" si="298"/>
        <v>0</v>
      </c>
      <c r="EP109" s="915">
        <f t="shared" si="299"/>
        <v>0</v>
      </c>
      <c r="EQ109" s="915">
        <f t="shared" si="300"/>
        <v>0</v>
      </c>
      <c r="ER109" s="915">
        <f t="shared" si="301"/>
        <v>0</v>
      </c>
      <c r="ES109" s="915">
        <f t="shared" si="302"/>
        <v>0</v>
      </c>
      <c r="ET109" s="915">
        <f t="shared" si="303"/>
        <v>0</v>
      </c>
      <c r="EU109" s="915">
        <f t="shared" si="304"/>
        <v>0</v>
      </c>
      <c r="EV109" s="915">
        <f t="shared" si="305"/>
        <v>0</v>
      </c>
      <c r="EW109" s="915">
        <f t="shared" si="306"/>
        <v>0</v>
      </c>
      <c r="EX109" s="915">
        <f t="shared" si="307"/>
        <v>0</v>
      </c>
      <c r="EY109" s="915">
        <f t="shared" si="308"/>
        <v>0</v>
      </c>
      <c r="EZ109" s="915">
        <f t="shared" si="309"/>
        <v>0</v>
      </c>
      <c r="FA109" s="915">
        <f t="shared" si="310"/>
        <v>0</v>
      </c>
      <c r="FB109" s="915">
        <f t="shared" si="311"/>
        <v>0</v>
      </c>
      <c r="FC109" s="915">
        <f t="shared" si="312"/>
        <v>0</v>
      </c>
      <c r="FD109" s="915">
        <f t="shared" si="313"/>
        <v>0</v>
      </c>
      <c r="FE109" s="915">
        <f t="shared" si="314"/>
        <v>0</v>
      </c>
      <c r="FF109" s="915">
        <f t="shared" si="315"/>
        <v>0</v>
      </c>
      <c r="FG109" s="915">
        <f t="shared" si="316"/>
        <v>0</v>
      </c>
      <c r="FH109" s="915">
        <f t="shared" si="317"/>
        <v>0</v>
      </c>
      <c r="FI109" s="915">
        <f t="shared" si="318"/>
        <v>0</v>
      </c>
      <c r="FJ109" s="915">
        <f t="shared" si="319"/>
        <v>0</v>
      </c>
      <c r="FK109" s="915">
        <f t="shared" si="320"/>
        <v>0</v>
      </c>
      <c r="FL109" s="915">
        <f t="shared" si="321"/>
        <v>0</v>
      </c>
      <c r="FM109" s="915">
        <f t="shared" si="322"/>
        <v>0</v>
      </c>
      <c r="FN109" s="915">
        <f t="shared" si="323"/>
        <v>0</v>
      </c>
      <c r="FO109" s="915">
        <f t="shared" si="324"/>
        <v>0</v>
      </c>
      <c r="FP109" s="915">
        <f t="shared" si="325"/>
        <v>0</v>
      </c>
      <c r="FQ109" s="915">
        <f t="shared" si="326"/>
        <v>0</v>
      </c>
      <c r="FR109" s="915">
        <f t="shared" si="327"/>
        <v>0</v>
      </c>
      <c r="FS109" s="915">
        <f t="shared" si="328"/>
        <v>0</v>
      </c>
      <c r="FT109" s="915">
        <f t="shared" si="329"/>
        <v>0</v>
      </c>
      <c r="FU109" s="915">
        <f t="shared" si="330"/>
        <v>0</v>
      </c>
      <c r="FV109" s="915">
        <f t="shared" si="331"/>
        <v>0</v>
      </c>
      <c r="FW109" s="915">
        <f t="shared" si="332"/>
        <v>0</v>
      </c>
      <c r="FX109" s="915">
        <f t="shared" si="333"/>
        <v>0</v>
      </c>
      <c r="FY109" s="915">
        <f t="shared" si="334"/>
        <v>0</v>
      </c>
      <c r="FZ109" s="915">
        <f t="shared" si="335"/>
        <v>0</v>
      </c>
    </row>
    <row r="110" spans="1:182" x14ac:dyDescent="0.2">
      <c r="A110" s="496">
        <v>103</v>
      </c>
      <c r="B110" s="1419"/>
      <c r="C110" s="1433"/>
      <c r="D110" s="264">
        <v>13</v>
      </c>
      <c r="E110" s="264" t="s">
        <v>48</v>
      </c>
      <c r="F110" s="270" t="s">
        <v>2544</v>
      </c>
      <c r="G110" s="270" t="s">
        <v>2542</v>
      </c>
      <c r="H110" s="272">
        <v>7</v>
      </c>
      <c r="I110" s="268">
        <f t="shared" si="386"/>
        <v>0.42</v>
      </c>
      <c r="J110" s="269">
        <f t="shared" si="387"/>
        <v>7.42</v>
      </c>
      <c r="K110" s="225"/>
      <c r="N110" s="951">
        <f>DU6</f>
        <v>7.42</v>
      </c>
      <c r="O110" s="915" t="str">
        <f>"Miscellaneous for "&amp;TabName13</f>
        <v>Miscellaneous for Phase 13</v>
      </c>
      <c r="P110" s="949" t="s">
        <v>2157</v>
      </c>
      <c r="W110" s="915">
        <f t="shared" si="176"/>
        <v>0</v>
      </c>
      <c r="X110" s="915">
        <f t="shared" si="177"/>
        <v>0</v>
      </c>
      <c r="Y110" s="915">
        <f t="shared" si="178"/>
        <v>0</v>
      </c>
      <c r="Z110" s="915">
        <f t="shared" si="179"/>
        <v>0</v>
      </c>
      <c r="AA110" s="915">
        <f t="shared" si="180"/>
        <v>0</v>
      </c>
      <c r="AB110" s="915">
        <f t="shared" si="181"/>
        <v>0</v>
      </c>
      <c r="AC110" s="915">
        <f t="shared" si="182"/>
        <v>0</v>
      </c>
      <c r="AD110" s="915">
        <f t="shared" si="183"/>
        <v>0</v>
      </c>
      <c r="AE110" s="915">
        <f t="shared" si="184"/>
        <v>0</v>
      </c>
      <c r="AF110" s="915">
        <f t="shared" si="185"/>
        <v>0</v>
      </c>
      <c r="AG110" s="915">
        <f t="shared" si="186"/>
        <v>0</v>
      </c>
      <c r="AH110" s="915">
        <f t="shared" si="187"/>
        <v>0</v>
      </c>
      <c r="AI110" s="915">
        <f t="shared" si="188"/>
        <v>0</v>
      </c>
      <c r="AJ110" s="915">
        <f t="shared" si="189"/>
        <v>0</v>
      </c>
      <c r="AK110" s="915">
        <f t="shared" si="190"/>
        <v>0</v>
      </c>
      <c r="AL110" s="915">
        <f t="shared" si="191"/>
        <v>0</v>
      </c>
      <c r="AM110" s="915">
        <f t="shared" si="192"/>
        <v>0</v>
      </c>
      <c r="AN110" s="915">
        <f t="shared" si="193"/>
        <v>0</v>
      </c>
      <c r="AO110" s="915">
        <f t="shared" si="194"/>
        <v>0</v>
      </c>
      <c r="AP110" s="915">
        <f t="shared" si="195"/>
        <v>0</v>
      </c>
      <c r="AQ110" s="915">
        <f t="shared" si="196"/>
        <v>0</v>
      </c>
      <c r="AR110" s="915">
        <f t="shared" si="197"/>
        <v>0</v>
      </c>
      <c r="AS110" s="915">
        <f t="shared" si="198"/>
        <v>0</v>
      </c>
      <c r="AT110" s="915">
        <f t="shared" si="199"/>
        <v>0</v>
      </c>
      <c r="AU110" s="915">
        <f t="shared" si="200"/>
        <v>0</v>
      </c>
      <c r="AV110" s="915">
        <f t="shared" si="201"/>
        <v>0</v>
      </c>
      <c r="AW110" s="915">
        <f t="shared" si="202"/>
        <v>0</v>
      </c>
      <c r="AX110" s="915">
        <f t="shared" si="203"/>
        <v>0</v>
      </c>
      <c r="AY110" s="915">
        <f t="shared" si="204"/>
        <v>0</v>
      </c>
      <c r="AZ110" s="915">
        <f t="shared" si="205"/>
        <v>0</v>
      </c>
      <c r="BA110" s="915">
        <f t="shared" si="206"/>
        <v>0</v>
      </c>
      <c r="BB110" s="915">
        <f t="shared" si="207"/>
        <v>0</v>
      </c>
      <c r="BC110" s="915">
        <f t="shared" si="388"/>
        <v>0</v>
      </c>
      <c r="BD110" s="915">
        <f t="shared" si="389"/>
        <v>0</v>
      </c>
      <c r="BE110" s="915">
        <f t="shared" si="390"/>
        <v>0</v>
      </c>
      <c r="BF110" s="915">
        <f t="shared" si="391"/>
        <v>0</v>
      </c>
      <c r="BG110" s="915">
        <f t="shared" si="392"/>
        <v>0</v>
      </c>
      <c r="BH110" s="915">
        <f t="shared" si="393"/>
        <v>0</v>
      </c>
      <c r="BI110" s="915">
        <f t="shared" si="394"/>
        <v>0</v>
      </c>
      <c r="BJ110" s="915">
        <f t="shared" si="395"/>
        <v>0</v>
      </c>
      <c r="BK110" s="915">
        <f t="shared" si="216"/>
        <v>0</v>
      </c>
      <c r="BL110" s="915">
        <f t="shared" si="217"/>
        <v>0</v>
      </c>
      <c r="BM110" s="915">
        <f t="shared" si="218"/>
        <v>0</v>
      </c>
      <c r="BN110" s="915">
        <f t="shared" si="219"/>
        <v>0</v>
      </c>
      <c r="BO110" s="915">
        <f t="shared" si="220"/>
        <v>0</v>
      </c>
      <c r="BP110" s="915">
        <f t="shared" si="221"/>
        <v>0</v>
      </c>
      <c r="BQ110" s="915">
        <f t="shared" si="222"/>
        <v>0</v>
      </c>
      <c r="BR110" s="915">
        <f t="shared" si="223"/>
        <v>0</v>
      </c>
      <c r="BS110" s="915">
        <f t="shared" si="378"/>
        <v>0</v>
      </c>
      <c r="BT110" s="915">
        <f t="shared" si="379"/>
        <v>0</v>
      </c>
      <c r="BU110" s="915">
        <f t="shared" si="380"/>
        <v>0</v>
      </c>
      <c r="BV110" s="915">
        <f t="shared" si="381"/>
        <v>0</v>
      </c>
      <c r="BW110" s="915">
        <f t="shared" si="382"/>
        <v>0</v>
      </c>
      <c r="BX110" s="915">
        <f t="shared" si="383"/>
        <v>0</v>
      </c>
      <c r="BY110" s="915">
        <f t="shared" si="384"/>
        <v>0</v>
      </c>
      <c r="BZ110" s="915">
        <f t="shared" si="385"/>
        <v>0</v>
      </c>
      <c r="CA110" s="915">
        <f>IF(AND($D110=$R$15,$E110=$T$8),$J110,0)</f>
        <v>0</v>
      </c>
      <c r="CB110" s="915">
        <f>IF(AND($D110=$R$15,$E110=$T$9),$J110,0)</f>
        <v>0</v>
      </c>
      <c r="CC110" s="915">
        <f>IF(AND($D110=$R$15,$E110=$T$10),$J110,0)</f>
        <v>0</v>
      </c>
      <c r="CD110" s="915">
        <f>IF(AND($D110=$R$15,$E110=$T$11),$J110,0)</f>
        <v>0</v>
      </c>
      <c r="CE110" s="915">
        <f>IF(AND($D110=$R$15,$E110=$T$12),$J110,0)</f>
        <v>0</v>
      </c>
      <c r="CF110" s="915">
        <f>IF(AND($D110=$R$15,$E110=$T$13),$J110,0)</f>
        <v>0</v>
      </c>
      <c r="CG110" s="915">
        <f>IF(AND($D110=$R$15,$E110=$T$14),$J110,0)</f>
        <v>0</v>
      </c>
      <c r="CH110" s="915">
        <f>IF(AND($D110=$R$15,$E110=$T$15),$J110,0)</f>
        <v>0</v>
      </c>
      <c r="CI110" s="915">
        <f t="shared" si="336"/>
        <v>0</v>
      </c>
      <c r="CJ110" s="915">
        <f t="shared" si="337"/>
        <v>0</v>
      </c>
      <c r="CK110" s="915">
        <f t="shared" si="338"/>
        <v>0</v>
      </c>
      <c r="CL110" s="915">
        <f t="shared" si="339"/>
        <v>0</v>
      </c>
      <c r="CM110" s="915">
        <f t="shared" si="340"/>
        <v>0</v>
      </c>
      <c r="CN110" s="915">
        <f t="shared" si="341"/>
        <v>0</v>
      </c>
      <c r="CO110" s="915">
        <f t="shared" si="342"/>
        <v>0</v>
      </c>
      <c r="CP110" s="915">
        <f t="shared" si="343"/>
        <v>0</v>
      </c>
      <c r="CQ110" s="915">
        <f t="shared" si="370"/>
        <v>0</v>
      </c>
      <c r="CR110" s="915">
        <f t="shared" si="371"/>
        <v>0</v>
      </c>
      <c r="CS110" s="915">
        <f t="shared" si="372"/>
        <v>0</v>
      </c>
      <c r="CT110" s="915">
        <f t="shared" si="373"/>
        <v>0</v>
      </c>
      <c r="CU110" s="915">
        <f t="shared" si="374"/>
        <v>0</v>
      </c>
      <c r="CV110" s="915">
        <f t="shared" si="375"/>
        <v>0</v>
      </c>
      <c r="CW110" s="915">
        <f t="shared" si="376"/>
        <v>0</v>
      </c>
      <c r="CX110" s="915">
        <f t="shared" si="377"/>
        <v>0</v>
      </c>
      <c r="CY110" s="915">
        <f t="shared" si="256"/>
        <v>0</v>
      </c>
      <c r="CZ110" s="915">
        <f t="shared" si="257"/>
        <v>0</v>
      </c>
      <c r="DA110" s="915">
        <f t="shared" si="258"/>
        <v>0</v>
      </c>
      <c r="DB110" s="915">
        <f t="shared" si="259"/>
        <v>0</v>
      </c>
      <c r="DC110" s="915">
        <f t="shared" si="260"/>
        <v>0</v>
      </c>
      <c r="DD110" s="915">
        <f t="shared" si="261"/>
        <v>0</v>
      </c>
      <c r="DE110" s="915">
        <f t="shared" si="262"/>
        <v>0</v>
      </c>
      <c r="DF110" s="915">
        <f t="shared" si="263"/>
        <v>0</v>
      </c>
      <c r="DG110" s="915">
        <f t="shared" si="264"/>
        <v>0</v>
      </c>
      <c r="DH110" s="915">
        <f t="shared" si="265"/>
        <v>0</v>
      </c>
      <c r="DI110" s="915">
        <f t="shared" si="266"/>
        <v>0</v>
      </c>
      <c r="DJ110" s="915">
        <f t="shared" si="267"/>
        <v>0</v>
      </c>
      <c r="DK110" s="915">
        <f t="shared" si="268"/>
        <v>0</v>
      </c>
      <c r="DL110" s="915">
        <f t="shared" si="269"/>
        <v>0</v>
      </c>
      <c r="DM110" s="915">
        <f t="shared" si="270"/>
        <v>0</v>
      </c>
      <c r="DN110" s="915">
        <f t="shared" si="271"/>
        <v>0</v>
      </c>
      <c r="DO110" s="915">
        <f t="shared" si="272"/>
        <v>0</v>
      </c>
      <c r="DP110" s="915">
        <f t="shared" si="273"/>
        <v>0</v>
      </c>
      <c r="DQ110" s="915">
        <f t="shared" si="274"/>
        <v>0</v>
      </c>
      <c r="DR110" s="915">
        <f t="shared" si="275"/>
        <v>0</v>
      </c>
      <c r="DS110" s="915">
        <f t="shared" si="276"/>
        <v>0</v>
      </c>
      <c r="DT110" s="915">
        <f t="shared" si="277"/>
        <v>0</v>
      </c>
      <c r="DU110" s="915">
        <f t="shared" si="278"/>
        <v>7.42</v>
      </c>
      <c r="DV110" s="915">
        <f t="shared" si="279"/>
        <v>0</v>
      </c>
      <c r="DW110" s="915">
        <f t="shared" si="280"/>
        <v>0</v>
      </c>
      <c r="DX110" s="915">
        <f t="shared" si="281"/>
        <v>0</v>
      </c>
      <c r="DY110" s="915">
        <f t="shared" si="282"/>
        <v>0</v>
      </c>
      <c r="DZ110" s="915">
        <f t="shared" si="283"/>
        <v>0</v>
      </c>
      <c r="EA110" s="915">
        <f t="shared" si="284"/>
        <v>0</v>
      </c>
      <c r="EB110" s="915">
        <f t="shared" si="285"/>
        <v>0</v>
      </c>
      <c r="EC110" s="915">
        <f t="shared" si="286"/>
        <v>0</v>
      </c>
      <c r="ED110" s="915">
        <f t="shared" si="287"/>
        <v>0</v>
      </c>
      <c r="EE110" s="915">
        <f t="shared" si="288"/>
        <v>0</v>
      </c>
      <c r="EF110" s="915">
        <f t="shared" si="289"/>
        <v>0</v>
      </c>
      <c r="EG110" s="915">
        <f t="shared" si="290"/>
        <v>0</v>
      </c>
      <c r="EH110" s="915">
        <f t="shared" si="291"/>
        <v>0</v>
      </c>
      <c r="EI110" s="915">
        <f t="shared" si="292"/>
        <v>0</v>
      </c>
      <c r="EJ110" s="915">
        <f t="shared" si="293"/>
        <v>0</v>
      </c>
      <c r="EK110" s="915">
        <f t="shared" si="294"/>
        <v>0</v>
      </c>
      <c r="EL110" s="915">
        <f t="shared" si="295"/>
        <v>0</v>
      </c>
      <c r="EM110" s="915">
        <f t="shared" si="296"/>
        <v>0</v>
      </c>
      <c r="EN110" s="915">
        <f t="shared" si="297"/>
        <v>0</v>
      </c>
      <c r="EO110" s="915">
        <f t="shared" si="298"/>
        <v>0</v>
      </c>
      <c r="EP110" s="915">
        <f t="shared" si="299"/>
        <v>0</v>
      </c>
      <c r="EQ110" s="915">
        <f t="shared" si="300"/>
        <v>0</v>
      </c>
      <c r="ER110" s="915">
        <f t="shared" si="301"/>
        <v>0</v>
      </c>
      <c r="ES110" s="915">
        <f t="shared" si="302"/>
        <v>0</v>
      </c>
      <c r="ET110" s="915">
        <f t="shared" si="303"/>
        <v>0</v>
      </c>
      <c r="EU110" s="915">
        <f t="shared" si="304"/>
        <v>0</v>
      </c>
      <c r="EV110" s="915">
        <f t="shared" si="305"/>
        <v>0</v>
      </c>
      <c r="EW110" s="915">
        <f t="shared" si="306"/>
        <v>0</v>
      </c>
      <c r="EX110" s="915">
        <f t="shared" si="307"/>
        <v>0</v>
      </c>
      <c r="EY110" s="915">
        <f t="shared" si="308"/>
        <v>0</v>
      </c>
      <c r="EZ110" s="915">
        <f t="shared" si="309"/>
        <v>0</v>
      </c>
      <c r="FA110" s="915">
        <f t="shared" si="310"/>
        <v>0</v>
      </c>
      <c r="FB110" s="915">
        <f t="shared" si="311"/>
        <v>0</v>
      </c>
      <c r="FC110" s="915">
        <f t="shared" si="312"/>
        <v>0</v>
      </c>
      <c r="FD110" s="915">
        <f t="shared" si="313"/>
        <v>0</v>
      </c>
      <c r="FE110" s="915">
        <f t="shared" si="314"/>
        <v>0</v>
      </c>
      <c r="FF110" s="915">
        <f t="shared" si="315"/>
        <v>0</v>
      </c>
      <c r="FG110" s="915">
        <f t="shared" si="316"/>
        <v>0</v>
      </c>
      <c r="FH110" s="915">
        <f t="shared" si="317"/>
        <v>0</v>
      </c>
      <c r="FI110" s="915">
        <f t="shared" si="318"/>
        <v>0</v>
      </c>
      <c r="FJ110" s="915">
        <f t="shared" si="319"/>
        <v>0</v>
      </c>
      <c r="FK110" s="915">
        <f t="shared" si="320"/>
        <v>0</v>
      </c>
      <c r="FL110" s="915">
        <f t="shared" si="321"/>
        <v>0</v>
      </c>
      <c r="FM110" s="915">
        <f t="shared" si="322"/>
        <v>0</v>
      </c>
      <c r="FN110" s="915">
        <f t="shared" si="323"/>
        <v>0</v>
      </c>
      <c r="FO110" s="915">
        <f t="shared" si="324"/>
        <v>0</v>
      </c>
      <c r="FP110" s="915">
        <f t="shared" si="325"/>
        <v>0</v>
      </c>
      <c r="FQ110" s="915">
        <f t="shared" si="326"/>
        <v>0</v>
      </c>
      <c r="FR110" s="915">
        <f t="shared" si="327"/>
        <v>0</v>
      </c>
      <c r="FS110" s="915">
        <f t="shared" si="328"/>
        <v>0</v>
      </c>
      <c r="FT110" s="915">
        <f t="shared" si="329"/>
        <v>0</v>
      </c>
      <c r="FU110" s="915">
        <f t="shared" si="330"/>
        <v>0</v>
      </c>
      <c r="FV110" s="915">
        <f t="shared" si="331"/>
        <v>0</v>
      </c>
      <c r="FW110" s="915">
        <f t="shared" si="332"/>
        <v>0</v>
      </c>
      <c r="FX110" s="915">
        <f t="shared" si="333"/>
        <v>0</v>
      </c>
      <c r="FY110" s="915">
        <f t="shared" si="334"/>
        <v>0</v>
      </c>
      <c r="FZ110" s="915">
        <f t="shared" si="335"/>
        <v>0</v>
      </c>
    </row>
    <row r="111" spans="1:182" x14ac:dyDescent="0.2">
      <c r="A111" s="497">
        <v>104</v>
      </c>
      <c r="B111" s="1423"/>
      <c r="C111" s="1424"/>
      <c r="D111" s="138">
        <v>13</v>
      </c>
      <c r="E111" s="138" t="s">
        <v>27</v>
      </c>
      <c r="F111" s="139" t="s">
        <v>2544</v>
      </c>
      <c r="G111" s="139" t="s">
        <v>2542</v>
      </c>
      <c r="H111" s="100">
        <v>7</v>
      </c>
      <c r="I111" s="119">
        <f t="shared" si="386"/>
        <v>0.42</v>
      </c>
      <c r="J111" s="90">
        <f t="shared" si="387"/>
        <v>7.42</v>
      </c>
      <c r="K111" s="225"/>
      <c r="N111" s="951">
        <f>DV6</f>
        <v>7.42</v>
      </c>
      <c r="O111" s="879" t="str">
        <f>"Contractor Labor for " &amp; TabName13</f>
        <v>Contractor Labor for Phase 13</v>
      </c>
      <c r="P111" s="950" t="s">
        <v>2158</v>
      </c>
      <c r="W111" s="915">
        <f t="shared" si="176"/>
        <v>0</v>
      </c>
      <c r="X111" s="915">
        <f t="shared" si="177"/>
        <v>0</v>
      </c>
      <c r="Y111" s="915">
        <f t="shared" si="178"/>
        <v>0</v>
      </c>
      <c r="Z111" s="915">
        <f t="shared" si="179"/>
        <v>0</v>
      </c>
      <c r="AA111" s="915">
        <f t="shared" si="180"/>
        <v>0</v>
      </c>
      <c r="AB111" s="915">
        <f t="shared" si="181"/>
        <v>0</v>
      </c>
      <c r="AC111" s="915">
        <f t="shared" si="182"/>
        <v>0</v>
      </c>
      <c r="AD111" s="915">
        <f t="shared" si="183"/>
        <v>0</v>
      </c>
      <c r="AE111" s="915">
        <f t="shared" si="184"/>
        <v>0</v>
      </c>
      <c r="AF111" s="915">
        <f t="shared" si="185"/>
        <v>0</v>
      </c>
      <c r="AG111" s="915">
        <f t="shared" si="186"/>
        <v>0</v>
      </c>
      <c r="AH111" s="915">
        <f t="shared" si="187"/>
        <v>0</v>
      </c>
      <c r="AI111" s="915">
        <f t="shared" si="188"/>
        <v>0</v>
      </c>
      <c r="AJ111" s="915">
        <f t="shared" si="189"/>
        <v>0</v>
      </c>
      <c r="AK111" s="915">
        <f t="shared" si="190"/>
        <v>0</v>
      </c>
      <c r="AL111" s="915">
        <f t="shared" si="191"/>
        <v>0</v>
      </c>
      <c r="AM111" s="915">
        <f t="shared" si="192"/>
        <v>0</v>
      </c>
      <c r="AN111" s="915">
        <f t="shared" si="193"/>
        <v>0</v>
      </c>
      <c r="AO111" s="915">
        <f t="shared" si="194"/>
        <v>0</v>
      </c>
      <c r="AP111" s="915">
        <f t="shared" si="195"/>
        <v>0</v>
      </c>
      <c r="AQ111" s="915">
        <f t="shared" si="196"/>
        <v>0</v>
      </c>
      <c r="AR111" s="915">
        <f t="shared" si="197"/>
        <v>0</v>
      </c>
      <c r="AS111" s="915">
        <f t="shared" si="198"/>
        <v>0</v>
      </c>
      <c r="AT111" s="915">
        <f t="shared" si="199"/>
        <v>0</v>
      </c>
      <c r="AU111" s="915">
        <f t="shared" si="200"/>
        <v>0</v>
      </c>
      <c r="AV111" s="915">
        <f t="shared" si="201"/>
        <v>0</v>
      </c>
      <c r="AW111" s="915">
        <f t="shared" si="202"/>
        <v>0</v>
      </c>
      <c r="AX111" s="915">
        <f t="shared" si="203"/>
        <v>0</v>
      </c>
      <c r="AY111" s="915">
        <f t="shared" si="204"/>
        <v>0</v>
      </c>
      <c r="AZ111" s="915">
        <f t="shared" si="205"/>
        <v>0</v>
      </c>
      <c r="BA111" s="915">
        <f t="shared" si="206"/>
        <v>0</v>
      </c>
      <c r="BB111" s="915">
        <f t="shared" si="207"/>
        <v>0</v>
      </c>
      <c r="BC111" s="915">
        <f t="shared" si="388"/>
        <v>0</v>
      </c>
      <c r="BD111" s="915">
        <f t="shared" si="389"/>
        <v>0</v>
      </c>
      <c r="BE111" s="915">
        <f t="shared" si="390"/>
        <v>0</v>
      </c>
      <c r="BF111" s="915">
        <f t="shared" si="391"/>
        <v>0</v>
      </c>
      <c r="BG111" s="915">
        <f t="shared" si="392"/>
        <v>0</v>
      </c>
      <c r="BH111" s="915">
        <f t="shared" si="393"/>
        <v>0</v>
      </c>
      <c r="BI111" s="915">
        <f t="shared" si="394"/>
        <v>0</v>
      </c>
      <c r="BJ111" s="915">
        <f t="shared" si="395"/>
        <v>0</v>
      </c>
      <c r="BK111" s="915">
        <f t="shared" si="216"/>
        <v>0</v>
      </c>
      <c r="BL111" s="915">
        <f t="shared" si="217"/>
        <v>0</v>
      </c>
      <c r="BM111" s="915">
        <f t="shared" si="218"/>
        <v>0</v>
      </c>
      <c r="BN111" s="915">
        <f t="shared" si="219"/>
        <v>0</v>
      </c>
      <c r="BO111" s="915">
        <f t="shared" si="220"/>
        <v>0</v>
      </c>
      <c r="BP111" s="915">
        <f t="shared" si="221"/>
        <v>0</v>
      </c>
      <c r="BQ111" s="915">
        <f t="shared" si="222"/>
        <v>0</v>
      </c>
      <c r="BR111" s="915">
        <f t="shared" si="223"/>
        <v>0</v>
      </c>
      <c r="BS111" s="915">
        <f t="shared" si="378"/>
        <v>0</v>
      </c>
      <c r="BT111" s="915">
        <f t="shared" si="379"/>
        <v>0</v>
      </c>
      <c r="BU111" s="915">
        <f t="shared" si="380"/>
        <v>0</v>
      </c>
      <c r="BV111" s="915">
        <f t="shared" si="381"/>
        <v>0</v>
      </c>
      <c r="BW111" s="915">
        <f t="shared" si="382"/>
        <v>0</v>
      </c>
      <c r="BX111" s="915">
        <f t="shared" si="383"/>
        <v>0</v>
      </c>
      <c r="BY111" s="915">
        <f t="shared" si="384"/>
        <v>0</v>
      </c>
      <c r="BZ111" s="915">
        <f t="shared" si="385"/>
        <v>0</v>
      </c>
      <c r="CA111" s="915">
        <f t="shared" ref="CA111:CA118" si="396">IF(AND($D111=$R$15,$E111=$T$8),$J111,0)</f>
        <v>0</v>
      </c>
      <c r="CB111" s="915">
        <f t="shared" ref="CB111:CB118" si="397">IF(AND($D111=$R$15,$E111=$T$9),$J111,0)</f>
        <v>0</v>
      </c>
      <c r="CC111" s="915">
        <f t="shared" ref="CC111:CC118" si="398">IF(AND($D111=$R$15,$E111=$T$10),$J111,0)</f>
        <v>0</v>
      </c>
      <c r="CD111" s="915">
        <f t="shared" ref="CD111:CD118" si="399">IF(AND($D111=$R$15,$E111=$T$11),$J111,0)</f>
        <v>0</v>
      </c>
      <c r="CE111" s="915">
        <f t="shared" ref="CE111:CE118" si="400">IF(AND($D111=$R$15,$E111=$T$12),$J111,0)</f>
        <v>0</v>
      </c>
      <c r="CF111" s="915">
        <f t="shared" ref="CF111:CF118" si="401">IF(AND($D111=$R$15,$E111=$T$13),$J111,0)</f>
        <v>0</v>
      </c>
      <c r="CG111" s="915">
        <f t="shared" ref="CG111:CG118" si="402">IF(AND($D111=$R$15,$E111=$T$14),$J111,0)</f>
        <v>0</v>
      </c>
      <c r="CH111" s="915">
        <f t="shared" ref="CH111:CH118" si="403">IF(AND($D111=$R$15,$E111=$T$15),$J111,0)</f>
        <v>0</v>
      </c>
      <c r="CI111" s="915">
        <f t="shared" si="336"/>
        <v>0</v>
      </c>
      <c r="CJ111" s="915">
        <f t="shared" si="337"/>
        <v>0</v>
      </c>
      <c r="CK111" s="915">
        <f t="shared" si="338"/>
        <v>0</v>
      </c>
      <c r="CL111" s="915">
        <f t="shared" si="339"/>
        <v>0</v>
      </c>
      <c r="CM111" s="915">
        <f t="shared" si="340"/>
        <v>0</v>
      </c>
      <c r="CN111" s="915">
        <f t="shared" si="341"/>
        <v>0</v>
      </c>
      <c r="CO111" s="915">
        <f t="shared" si="342"/>
        <v>0</v>
      </c>
      <c r="CP111" s="915">
        <f t="shared" si="343"/>
        <v>0</v>
      </c>
      <c r="CQ111" s="915">
        <f t="shared" si="370"/>
        <v>0</v>
      </c>
      <c r="CR111" s="915">
        <f t="shared" si="371"/>
        <v>0</v>
      </c>
      <c r="CS111" s="915">
        <f t="shared" si="372"/>
        <v>0</v>
      </c>
      <c r="CT111" s="915">
        <f t="shared" si="373"/>
        <v>0</v>
      </c>
      <c r="CU111" s="915">
        <f t="shared" si="374"/>
        <v>0</v>
      </c>
      <c r="CV111" s="915">
        <f t="shared" si="375"/>
        <v>0</v>
      </c>
      <c r="CW111" s="915">
        <f t="shared" si="376"/>
        <v>0</v>
      </c>
      <c r="CX111" s="915">
        <f t="shared" si="377"/>
        <v>0</v>
      </c>
      <c r="CY111" s="915">
        <f t="shared" si="256"/>
        <v>0</v>
      </c>
      <c r="CZ111" s="915">
        <f t="shared" si="257"/>
        <v>0</v>
      </c>
      <c r="DA111" s="915">
        <f t="shared" si="258"/>
        <v>0</v>
      </c>
      <c r="DB111" s="915">
        <f t="shared" si="259"/>
        <v>0</v>
      </c>
      <c r="DC111" s="915">
        <f t="shared" si="260"/>
        <v>0</v>
      </c>
      <c r="DD111" s="915">
        <f t="shared" si="261"/>
        <v>0</v>
      </c>
      <c r="DE111" s="915">
        <f t="shared" si="262"/>
        <v>0</v>
      </c>
      <c r="DF111" s="915">
        <f t="shared" si="263"/>
        <v>0</v>
      </c>
      <c r="DG111" s="915">
        <f t="shared" si="264"/>
        <v>0</v>
      </c>
      <c r="DH111" s="915">
        <f t="shared" si="265"/>
        <v>0</v>
      </c>
      <c r="DI111" s="915">
        <f t="shared" si="266"/>
        <v>0</v>
      </c>
      <c r="DJ111" s="915">
        <f t="shared" si="267"/>
        <v>0</v>
      </c>
      <c r="DK111" s="915">
        <f t="shared" si="268"/>
        <v>0</v>
      </c>
      <c r="DL111" s="915">
        <f t="shared" si="269"/>
        <v>0</v>
      </c>
      <c r="DM111" s="915">
        <f t="shared" si="270"/>
        <v>0</v>
      </c>
      <c r="DN111" s="915">
        <f t="shared" si="271"/>
        <v>0</v>
      </c>
      <c r="DO111" s="915">
        <f t="shared" si="272"/>
        <v>0</v>
      </c>
      <c r="DP111" s="915">
        <f t="shared" si="273"/>
        <v>0</v>
      </c>
      <c r="DQ111" s="915">
        <f t="shared" si="274"/>
        <v>0</v>
      </c>
      <c r="DR111" s="915">
        <f t="shared" si="275"/>
        <v>0</v>
      </c>
      <c r="DS111" s="915">
        <f t="shared" si="276"/>
        <v>0</v>
      </c>
      <c r="DT111" s="915">
        <f t="shared" si="277"/>
        <v>0</v>
      </c>
      <c r="DU111" s="915">
        <f t="shared" si="278"/>
        <v>0</v>
      </c>
      <c r="DV111" s="915">
        <f t="shared" si="279"/>
        <v>7.42</v>
      </c>
      <c r="DW111" s="915">
        <f t="shared" si="280"/>
        <v>0</v>
      </c>
      <c r="DX111" s="915">
        <f t="shared" si="281"/>
        <v>0</v>
      </c>
      <c r="DY111" s="915">
        <f t="shared" si="282"/>
        <v>0</v>
      </c>
      <c r="DZ111" s="915">
        <f t="shared" si="283"/>
        <v>0</v>
      </c>
      <c r="EA111" s="915">
        <f t="shared" si="284"/>
        <v>0</v>
      </c>
      <c r="EB111" s="915">
        <f t="shared" si="285"/>
        <v>0</v>
      </c>
      <c r="EC111" s="915">
        <f t="shared" si="286"/>
        <v>0</v>
      </c>
      <c r="ED111" s="915">
        <f t="shared" si="287"/>
        <v>0</v>
      </c>
      <c r="EE111" s="915">
        <f t="shared" si="288"/>
        <v>0</v>
      </c>
      <c r="EF111" s="915">
        <f t="shared" si="289"/>
        <v>0</v>
      </c>
      <c r="EG111" s="915">
        <f t="shared" si="290"/>
        <v>0</v>
      </c>
      <c r="EH111" s="915">
        <f t="shared" si="291"/>
        <v>0</v>
      </c>
      <c r="EI111" s="915">
        <f t="shared" si="292"/>
        <v>0</v>
      </c>
      <c r="EJ111" s="915">
        <f t="shared" si="293"/>
        <v>0</v>
      </c>
      <c r="EK111" s="915">
        <f t="shared" si="294"/>
        <v>0</v>
      </c>
      <c r="EL111" s="915">
        <f t="shared" si="295"/>
        <v>0</v>
      </c>
      <c r="EM111" s="915">
        <f t="shared" si="296"/>
        <v>0</v>
      </c>
      <c r="EN111" s="915">
        <f t="shared" si="297"/>
        <v>0</v>
      </c>
      <c r="EO111" s="915">
        <f t="shared" si="298"/>
        <v>0</v>
      </c>
      <c r="EP111" s="915">
        <f t="shared" si="299"/>
        <v>0</v>
      </c>
      <c r="EQ111" s="915">
        <f t="shared" si="300"/>
        <v>0</v>
      </c>
      <c r="ER111" s="915">
        <f t="shared" si="301"/>
        <v>0</v>
      </c>
      <c r="ES111" s="915">
        <f t="shared" si="302"/>
        <v>0</v>
      </c>
      <c r="ET111" s="915">
        <f t="shared" si="303"/>
        <v>0</v>
      </c>
      <c r="EU111" s="915">
        <f t="shared" si="304"/>
        <v>0</v>
      </c>
      <c r="EV111" s="915">
        <f t="shared" si="305"/>
        <v>0</v>
      </c>
      <c r="EW111" s="915">
        <f t="shared" si="306"/>
        <v>0</v>
      </c>
      <c r="EX111" s="915">
        <f t="shared" si="307"/>
        <v>0</v>
      </c>
      <c r="EY111" s="915">
        <f t="shared" si="308"/>
        <v>0</v>
      </c>
      <c r="EZ111" s="915">
        <f t="shared" si="309"/>
        <v>0</v>
      </c>
      <c r="FA111" s="915">
        <f t="shared" si="310"/>
        <v>0</v>
      </c>
      <c r="FB111" s="915">
        <f t="shared" si="311"/>
        <v>0</v>
      </c>
      <c r="FC111" s="915">
        <f t="shared" si="312"/>
        <v>0</v>
      </c>
      <c r="FD111" s="915">
        <f t="shared" si="313"/>
        <v>0</v>
      </c>
      <c r="FE111" s="915">
        <f t="shared" si="314"/>
        <v>0</v>
      </c>
      <c r="FF111" s="915">
        <f t="shared" si="315"/>
        <v>0</v>
      </c>
      <c r="FG111" s="915">
        <f t="shared" si="316"/>
        <v>0</v>
      </c>
      <c r="FH111" s="915">
        <f t="shared" si="317"/>
        <v>0</v>
      </c>
      <c r="FI111" s="915">
        <f t="shared" si="318"/>
        <v>0</v>
      </c>
      <c r="FJ111" s="915">
        <f t="shared" si="319"/>
        <v>0</v>
      </c>
      <c r="FK111" s="915">
        <f t="shared" si="320"/>
        <v>0</v>
      </c>
      <c r="FL111" s="915">
        <f t="shared" si="321"/>
        <v>0</v>
      </c>
      <c r="FM111" s="915">
        <f t="shared" si="322"/>
        <v>0</v>
      </c>
      <c r="FN111" s="915">
        <f t="shared" si="323"/>
        <v>0</v>
      </c>
      <c r="FO111" s="915">
        <f t="shared" si="324"/>
        <v>0</v>
      </c>
      <c r="FP111" s="915">
        <f t="shared" si="325"/>
        <v>0</v>
      </c>
      <c r="FQ111" s="915">
        <f t="shared" si="326"/>
        <v>0</v>
      </c>
      <c r="FR111" s="915">
        <f t="shared" si="327"/>
        <v>0</v>
      </c>
      <c r="FS111" s="915">
        <f t="shared" si="328"/>
        <v>0</v>
      </c>
      <c r="FT111" s="915">
        <f t="shared" si="329"/>
        <v>0</v>
      </c>
      <c r="FU111" s="915">
        <f t="shared" si="330"/>
        <v>0</v>
      </c>
      <c r="FV111" s="915">
        <f t="shared" si="331"/>
        <v>0</v>
      </c>
      <c r="FW111" s="915">
        <f t="shared" si="332"/>
        <v>0</v>
      </c>
      <c r="FX111" s="915">
        <f t="shared" si="333"/>
        <v>0</v>
      </c>
      <c r="FY111" s="915">
        <f t="shared" si="334"/>
        <v>0</v>
      </c>
      <c r="FZ111" s="915">
        <f t="shared" si="335"/>
        <v>0</v>
      </c>
    </row>
    <row r="112" spans="1:182" x14ac:dyDescent="0.2">
      <c r="A112" s="496">
        <v>105</v>
      </c>
      <c r="B112" s="1419"/>
      <c r="C112" s="1433"/>
      <c r="D112" s="264">
        <v>14</v>
      </c>
      <c r="E112" s="264" t="s">
        <v>193</v>
      </c>
      <c r="F112" s="270" t="s">
        <v>2544</v>
      </c>
      <c r="G112" s="270" t="s">
        <v>2542</v>
      </c>
      <c r="H112" s="272">
        <v>7</v>
      </c>
      <c r="I112" s="268">
        <f t="shared" si="386"/>
        <v>0.42</v>
      </c>
      <c r="J112" s="269">
        <f t="shared" si="387"/>
        <v>7.42</v>
      </c>
      <c r="K112" s="225"/>
      <c r="N112" s="951">
        <f>DW6</f>
        <v>7.42</v>
      </c>
      <c r="O112" s="879" t="str">
        <f>"Boring/Monitoring Wells for "&amp;TabName14</f>
        <v>Boring/Monitoring Wells for Phase 14</v>
      </c>
      <c r="P112" s="949" t="s">
        <v>2159</v>
      </c>
      <c r="W112" s="915">
        <f t="shared" si="176"/>
        <v>0</v>
      </c>
      <c r="X112" s="915">
        <f t="shared" si="177"/>
        <v>0</v>
      </c>
      <c r="Y112" s="915">
        <f t="shared" si="178"/>
        <v>0</v>
      </c>
      <c r="Z112" s="915">
        <f t="shared" si="179"/>
        <v>0</v>
      </c>
      <c r="AA112" s="915">
        <f t="shared" si="180"/>
        <v>0</v>
      </c>
      <c r="AB112" s="915">
        <f t="shared" si="181"/>
        <v>0</v>
      </c>
      <c r="AC112" s="915">
        <f t="shared" si="182"/>
        <v>0</v>
      </c>
      <c r="AD112" s="915">
        <f t="shared" si="183"/>
        <v>0</v>
      </c>
      <c r="AE112" s="915">
        <f t="shared" si="184"/>
        <v>0</v>
      </c>
      <c r="AF112" s="915">
        <f t="shared" si="185"/>
        <v>0</v>
      </c>
      <c r="AG112" s="915">
        <f t="shared" si="186"/>
        <v>0</v>
      </c>
      <c r="AH112" s="915">
        <f t="shared" si="187"/>
        <v>0</v>
      </c>
      <c r="AI112" s="915">
        <f t="shared" si="188"/>
        <v>0</v>
      </c>
      <c r="AJ112" s="915">
        <f t="shared" si="189"/>
        <v>0</v>
      </c>
      <c r="AK112" s="915">
        <f t="shared" si="190"/>
        <v>0</v>
      </c>
      <c r="AL112" s="915">
        <f t="shared" si="191"/>
        <v>0</v>
      </c>
      <c r="AM112" s="915">
        <f t="shared" si="192"/>
        <v>0</v>
      </c>
      <c r="AN112" s="915">
        <f t="shared" si="193"/>
        <v>0</v>
      </c>
      <c r="AO112" s="915">
        <f t="shared" si="194"/>
        <v>0</v>
      </c>
      <c r="AP112" s="915">
        <f t="shared" si="195"/>
        <v>0</v>
      </c>
      <c r="AQ112" s="915">
        <f t="shared" si="196"/>
        <v>0</v>
      </c>
      <c r="AR112" s="915">
        <f t="shared" si="197"/>
        <v>0</v>
      </c>
      <c r="AS112" s="915">
        <f t="shared" si="198"/>
        <v>0</v>
      </c>
      <c r="AT112" s="915">
        <f t="shared" si="199"/>
        <v>0</v>
      </c>
      <c r="AU112" s="915">
        <f t="shared" si="200"/>
        <v>0</v>
      </c>
      <c r="AV112" s="915">
        <f t="shared" si="201"/>
        <v>0</v>
      </c>
      <c r="AW112" s="915">
        <f t="shared" si="202"/>
        <v>0</v>
      </c>
      <c r="AX112" s="915">
        <f t="shared" si="203"/>
        <v>0</v>
      </c>
      <c r="AY112" s="915">
        <f t="shared" si="204"/>
        <v>0</v>
      </c>
      <c r="AZ112" s="915">
        <f t="shared" si="205"/>
        <v>0</v>
      </c>
      <c r="BA112" s="915">
        <f t="shared" si="206"/>
        <v>0</v>
      </c>
      <c r="BB112" s="915">
        <f t="shared" si="207"/>
        <v>0</v>
      </c>
      <c r="BC112" s="915">
        <f t="shared" si="388"/>
        <v>0</v>
      </c>
      <c r="BD112" s="915">
        <f t="shared" si="389"/>
        <v>0</v>
      </c>
      <c r="BE112" s="915">
        <f t="shared" si="390"/>
        <v>0</v>
      </c>
      <c r="BF112" s="915">
        <f t="shared" si="391"/>
        <v>0</v>
      </c>
      <c r="BG112" s="915">
        <f t="shared" si="392"/>
        <v>0</v>
      </c>
      <c r="BH112" s="915">
        <f t="shared" si="393"/>
        <v>0</v>
      </c>
      <c r="BI112" s="915">
        <f t="shared" si="394"/>
        <v>0</v>
      </c>
      <c r="BJ112" s="915">
        <f t="shared" si="395"/>
        <v>0</v>
      </c>
      <c r="BK112" s="915">
        <f t="shared" si="216"/>
        <v>0</v>
      </c>
      <c r="BL112" s="915">
        <f t="shared" si="217"/>
        <v>0</v>
      </c>
      <c r="BM112" s="915">
        <f t="shared" si="218"/>
        <v>0</v>
      </c>
      <c r="BN112" s="915">
        <f t="shared" si="219"/>
        <v>0</v>
      </c>
      <c r="BO112" s="915">
        <f t="shared" si="220"/>
        <v>0</v>
      </c>
      <c r="BP112" s="915">
        <f t="shared" si="221"/>
        <v>0</v>
      </c>
      <c r="BQ112" s="915">
        <f t="shared" si="222"/>
        <v>0</v>
      </c>
      <c r="BR112" s="915">
        <f t="shared" si="223"/>
        <v>0</v>
      </c>
      <c r="BS112" s="915">
        <f t="shared" si="378"/>
        <v>0</v>
      </c>
      <c r="BT112" s="915">
        <f t="shared" si="379"/>
        <v>0</v>
      </c>
      <c r="BU112" s="915">
        <f t="shared" si="380"/>
        <v>0</v>
      </c>
      <c r="BV112" s="915">
        <f t="shared" si="381"/>
        <v>0</v>
      </c>
      <c r="BW112" s="915">
        <f t="shared" si="382"/>
        <v>0</v>
      </c>
      <c r="BX112" s="915">
        <f t="shared" si="383"/>
        <v>0</v>
      </c>
      <c r="BY112" s="915">
        <f t="shared" si="384"/>
        <v>0</v>
      </c>
      <c r="BZ112" s="915">
        <f t="shared" si="385"/>
        <v>0</v>
      </c>
      <c r="CA112" s="915">
        <f t="shared" si="396"/>
        <v>0</v>
      </c>
      <c r="CB112" s="915">
        <f t="shared" si="397"/>
        <v>0</v>
      </c>
      <c r="CC112" s="915">
        <f t="shared" si="398"/>
        <v>0</v>
      </c>
      <c r="CD112" s="915">
        <f t="shared" si="399"/>
        <v>0</v>
      </c>
      <c r="CE112" s="915">
        <f t="shared" si="400"/>
        <v>0</v>
      </c>
      <c r="CF112" s="915">
        <f t="shared" si="401"/>
        <v>0</v>
      </c>
      <c r="CG112" s="915">
        <f t="shared" si="402"/>
        <v>0</v>
      </c>
      <c r="CH112" s="915">
        <f t="shared" si="403"/>
        <v>0</v>
      </c>
      <c r="CI112" s="915">
        <f t="shared" si="336"/>
        <v>0</v>
      </c>
      <c r="CJ112" s="915">
        <f t="shared" si="337"/>
        <v>0</v>
      </c>
      <c r="CK112" s="915">
        <f t="shared" si="338"/>
        <v>0</v>
      </c>
      <c r="CL112" s="915">
        <f t="shared" si="339"/>
        <v>0</v>
      </c>
      <c r="CM112" s="915">
        <f t="shared" si="340"/>
        <v>0</v>
      </c>
      <c r="CN112" s="915">
        <f t="shared" si="341"/>
        <v>0</v>
      </c>
      <c r="CO112" s="915">
        <f t="shared" si="342"/>
        <v>0</v>
      </c>
      <c r="CP112" s="915">
        <f t="shared" si="343"/>
        <v>0</v>
      </c>
      <c r="CQ112" s="915">
        <f t="shared" si="370"/>
        <v>0</v>
      </c>
      <c r="CR112" s="915">
        <f t="shared" si="371"/>
        <v>0</v>
      </c>
      <c r="CS112" s="915">
        <f t="shared" si="372"/>
        <v>0</v>
      </c>
      <c r="CT112" s="915">
        <f t="shared" si="373"/>
        <v>0</v>
      </c>
      <c r="CU112" s="915">
        <f t="shared" si="374"/>
        <v>0</v>
      </c>
      <c r="CV112" s="915">
        <f t="shared" si="375"/>
        <v>0</v>
      </c>
      <c r="CW112" s="915">
        <f t="shared" si="376"/>
        <v>0</v>
      </c>
      <c r="CX112" s="915">
        <f t="shared" si="377"/>
        <v>0</v>
      </c>
      <c r="CY112" s="915">
        <f t="shared" si="256"/>
        <v>0</v>
      </c>
      <c r="CZ112" s="915">
        <f t="shared" si="257"/>
        <v>0</v>
      </c>
      <c r="DA112" s="915">
        <f t="shared" si="258"/>
        <v>0</v>
      </c>
      <c r="DB112" s="915">
        <f t="shared" si="259"/>
        <v>0</v>
      </c>
      <c r="DC112" s="915">
        <f t="shared" si="260"/>
        <v>0</v>
      </c>
      <c r="DD112" s="915">
        <f t="shared" si="261"/>
        <v>0</v>
      </c>
      <c r="DE112" s="915">
        <f t="shared" si="262"/>
        <v>0</v>
      </c>
      <c r="DF112" s="915">
        <f t="shared" si="263"/>
        <v>0</v>
      </c>
      <c r="DG112" s="915">
        <f t="shared" si="264"/>
        <v>0</v>
      </c>
      <c r="DH112" s="915">
        <f t="shared" si="265"/>
        <v>0</v>
      </c>
      <c r="DI112" s="915">
        <f t="shared" si="266"/>
        <v>0</v>
      </c>
      <c r="DJ112" s="915">
        <f t="shared" si="267"/>
        <v>0</v>
      </c>
      <c r="DK112" s="915">
        <f t="shared" si="268"/>
        <v>0</v>
      </c>
      <c r="DL112" s="915">
        <f t="shared" si="269"/>
        <v>0</v>
      </c>
      <c r="DM112" s="915">
        <f t="shared" si="270"/>
        <v>0</v>
      </c>
      <c r="DN112" s="915">
        <f t="shared" si="271"/>
        <v>0</v>
      </c>
      <c r="DO112" s="915">
        <f>IF(AND($D112=$R$20,$E112=$T$8),$J112,0)</f>
        <v>0</v>
      </c>
      <c r="DP112" s="915">
        <f>IF(AND($D112=$R$20,$E112=$T$9),$J112,0)</f>
        <v>0</v>
      </c>
      <c r="DQ112" s="915">
        <f>IF(AND($D112=$R$20,$E112=$T$10),$J112,0)</f>
        <v>0</v>
      </c>
      <c r="DR112" s="915">
        <f>IF(AND($D112=$R$20,$E112=$T$11),$J112,0)</f>
        <v>0</v>
      </c>
      <c r="DS112" s="915">
        <f>IF(AND($D112=$R$20,$E112=$T$12),$J112,0)</f>
        <v>0</v>
      </c>
      <c r="DT112" s="915">
        <f>IF(AND($D112=$R$20,$E112=$T$13),$J112,0)</f>
        <v>0</v>
      </c>
      <c r="DU112" s="915">
        <f>IF(AND($D112=$R$20,$E112=$T$14),$J112,0)</f>
        <v>0</v>
      </c>
      <c r="DV112" s="915">
        <f>IF(AND($D112=$R$20,$E112=$T$15),$J112,0)</f>
        <v>0</v>
      </c>
      <c r="DW112" s="915">
        <f>IF(AND($D112=$R$21,$E112=$T$8),$J112,0)</f>
        <v>7.42</v>
      </c>
      <c r="DX112" s="915">
        <f>IF(AND($D112=$R$21,$E112=$T$9),$J112,0)</f>
        <v>0</v>
      </c>
      <c r="DY112" s="915">
        <f>IF(AND($D112=$R$21,$E112=$T$10),$J112,0)</f>
        <v>0</v>
      </c>
      <c r="DZ112" s="915">
        <f>IF(AND($D112=$R$21,$E112=$T$11),$J112,0)</f>
        <v>0</v>
      </c>
      <c r="EA112" s="915">
        <f>IF(AND($D112=$R$21,$E112=$T$12),$J112,0)</f>
        <v>0</v>
      </c>
      <c r="EB112" s="915">
        <f>IF(AND($D112=$R$21,$E112=$T$13),$J112,0)</f>
        <v>0</v>
      </c>
      <c r="EC112" s="915">
        <f>IF(AND($D112=$R$21,$E112=$T$14),$J112,0)</f>
        <v>0</v>
      </c>
      <c r="ED112" s="915">
        <f>IF(AND($D112=$R$21,$E112=$T$15),$J112,0)</f>
        <v>0</v>
      </c>
      <c r="EE112" s="915">
        <f t="shared" si="288"/>
        <v>0</v>
      </c>
      <c r="EF112" s="915">
        <f t="shared" si="289"/>
        <v>0</v>
      </c>
      <c r="EG112" s="915">
        <f t="shared" si="290"/>
        <v>0</v>
      </c>
      <c r="EH112" s="915">
        <f t="shared" si="291"/>
        <v>0</v>
      </c>
      <c r="EI112" s="915">
        <f t="shared" si="292"/>
        <v>0</v>
      </c>
      <c r="EJ112" s="915">
        <f t="shared" si="293"/>
        <v>0</v>
      </c>
      <c r="EK112" s="915">
        <f t="shared" si="294"/>
        <v>0</v>
      </c>
      <c r="EL112" s="915">
        <f t="shared" si="295"/>
        <v>0</v>
      </c>
      <c r="EM112" s="915">
        <f t="shared" si="296"/>
        <v>0</v>
      </c>
      <c r="EN112" s="915">
        <f t="shared" si="297"/>
        <v>0</v>
      </c>
      <c r="EO112" s="915">
        <f t="shared" si="298"/>
        <v>0</v>
      </c>
      <c r="EP112" s="915">
        <f t="shared" si="299"/>
        <v>0</v>
      </c>
      <c r="EQ112" s="915">
        <f t="shared" si="300"/>
        <v>0</v>
      </c>
      <c r="ER112" s="915">
        <f t="shared" si="301"/>
        <v>0</v>
      </c>
      <c r="ES112" s="915">
        <f t="shared" si="302"/>
        <v>0</v>
      </c>
      <c r="ET112" s="915">
        <f t="shared" si="303"/>
        <v>0</v>
      </c>
      <c r="EU112" s="915">
        <f t="shared" si="304"/>
        <v>0</v>
      </c>
      <c r="EV112" s="915">
        <f t="shared" si="305"/>
        <v>0</v>
      </c>
      <c r="EW112" s="915">
        <f t="shared" si="306"/>
        <v>0</v>
      </c>
      <c r="EX112" s="915">
        <f t="shared" si="307"/>
        <v>0</v>
      </c>
      <c r="EY112" s="915">
        <f t="shared" si="308"/>
        <v>0</v>
      </c>
      <c r="EZ112" s="915">
        <f t="shared" si="309"/>
        <v>0</v>
      </c>
      <c r="FA112" s="915">
        <f t="shared" si="310"/>
        <v>0</v>
      </c>
      <c r="FB112" s="915">
        <f t="shared" si="311"/>
        <v>0</v>
      </c>
      <c r="FC112" s="915">
        <f t="shared" si="312"/>
        <v>0</v>
      </c>
      <c r="FD112" s="915">
        <f t="shared" si="313"/>
        <v>0</v>
      </c>
      <c r="FE112" s="915">
        <f t="shared" si="314"/>
        <v>0</v>
      </c>
      <c r="FF112" s="915">
        <f t="shared" si="315"/>
        <v>0</v>
      </c>
      <c r="FG112" s="915">
        <f t="shared" si="316"/>
        <v>0</v>
      </c>
      <c r="FH112" s="915">
        <f t="shared" si="317"/>
        <v>0</v>
      </c>
      <c r="FI112" s="915">
        <f t="shared" si="318"/>
        <v>0</v>
      </c>
      <c r="FJ112" s="915">
        <f t="shared" si="319"/>
        <v>0</v>
      </c>
      <c r="FK112" s="915">
        <f t="shared" si="320"/>
        <v>0</v>
      </c>
      <c r="FL112" s="915">
        <f t="shared" si="321"/>
        <v>0</v>
      </c>
      <c r="FM112" s="915">
        <f t="shared" si="322"/>
        <v>0</v>
      </c>
      <c r="FN112" s="915">
        <f t="shared" si="323"/>
        <v>0</v>
      </c>
      <c r="FO112" s="915">
        <f t="shared" si="324"/>
        <v>0</v>
      </c>
      <c r="FP112" s="915">
        <f t="shared" si="325"/>
        <v>0</v>
      </c>
      <c r="FQ112" s="915">
        <f t="shared" si="326"/>
        <v>0</v>
      </c>
      <c r="FR112" s="915">
        <f t="shared" si="327"/>
        <v>0</v>
      </c>
      <c r="FS112" s="915">
        <f t="shared" si="328"/>
        <v>0</v>
      </c>
      <c r="FT112" s="915">
        <f t="shared" si="329"/>
        <v>0</v>
      </c>
      <c r="FU112" s="915">
        <f t="shared" si="330"/>
        <v>0</v>
      </c>
      <c r="FV112" s="915">
        <f t="shared" si="331"/>
        <v>0</v>
      </c>
      <c r="FW112" s="915">
        <f t="shared" si="332"/>
        <v>0</v>
      </c>
      <c r="FX112" s="915">
        <f t="shared" si="333"/>
        <v>0</v>
      </c>
      <c r="FY112" s="915">
        <f t="shared" si="334"/>
        <v>0</v>
      </c>
      <c r="FZ112" s="915">
        <f t="shared" si="335"/>
        <v>0</v>
      </c>
    </row>
    <row r="113" spans="1:182" x14ac:dyDescent="0.2">
      <c r="A113" s="497">
        <v>106</v>
      </c>
      <c r="B113" s="1423"/>
      <c r="C113" s="1424"/>
      <c r="D113" s="138">
        <v>14</v>
      </c>
      <c r="E113" s="138" t="s">
        <v>26</v>
      </c>
      <c r="F113" s="139" t="s">
        <v>2544</v>
      </c>
      <c r="G113" s="139" t="s">
        <v>2542</v>
      </c>
      <c r="H113" s="100">
        <v>7</v>
      </c>
      <c r="I113" s="119">
        <f t="shared" ref="I113:I142" si="404">IF(ISTEXT(K113),0,StateTaxSub*G113*H113)</f>
        <v>0.42</v>
      </c>
      <c r="J113" s="90">
        <f t="shared" ref="J113:J142" si="405">(G113*H113)+I113</f>
        <v>7.42</v>
      </c>
      <c r="K113" s="225"/>
      <c r="N113" s="951">
        <f>DX6</f>
        <v>7.42</v>
      </c>
      <c r="O113" s="879" t="str">
        <f>"Remediation for " &amp;TabName14</f>
        <v>Remediation for Phase 14</v>
      </c>
      <c r="P113" s="950" t="s">
        <v>2160</v>
      </c>
      <c r="W113" s="915">
        <f t="shared" si="176"/>
        <v>0</v>
      </c>
      <c r="X113" s="915">
        <f t="shared" si="177"/>
        <v>0</v>
      </c>
      <c r="Y113" s="915">
        <f t="shared" si="178"/>
        <v>0</v>
      </c>
      <c r="Z113" s="915">
        <f t="shared" si="179"/>
        <v>0</v>
      </c>
      <c r="AA113" s="915">
        <f t="shared" si="180"/>
        <v>0</v>
      </c>
      <c r="AB113" s="915">
        <f t="shared" si="181"/>
        <v>0</v>
      </c>
      <c r="AC113" s="915">
        <f t="shared" si="182"/>
        <v>0</v>
      </c>
      <c r="AD113" s="915">
        <f t="shared" si="183"/>
        <v>0</v>
      </c>
      <c r="AE113" s="915">
        <f t="shared" si="184"/>
        <v>0</v>
      </c>
      <c r="AF113" s="915">
        <f t="shared" si="185"/>
        <v>0</v>
      </c>
      <c r="AG113" s="915">
        <f t="shared" si="186"/>
        <v>0</v>
      </c>
      <c r="AH113" s="915">
        <f t="shared" si="187"/>
        <v>0</v>
      </c>
      <c r="AI113" s="915">
        <f t="shared" si="188"/>
        <v>0</v>
      </c>
      <c r="AJ113" s="915">
        <f t="shared" si="189"/>
        <v>0</v>
      </c>
      <c r="AK113" s="915">
        <f t="shared" si="190"/>
        <v>0</v>
      </c>
      <c r="AL113" s="915">
        <f t="shared" si="191"/>
        <v>0</v>
      </c>
      <c r="AM113" s="915">
        <f t="shared" si="192"/>
        <v>0</v>
      </c>
      <c r="AN113" s="915">
        <f t="shared" si="193"/>
        <v>0</v>
      </c>
      <c r="AO113" s="915">
        <f t="shared" si="194"/>
        <v>0</v>
      </c>
      <c r="AP113" s="915">
        <f t="shared" si="195"/>
        <v>0</v>
      </c>
      <c r="AQ113" s="915">
        <f t="shared" si="196"/>
        <v>0</v>
      </c>
      <c r="AR113" s="915">
        <f t="shared" si="197"/>
        <v>0</v>
      </c>
      <c r="AS113" s="915">
        <f t="shared" si="198"/>
        <v>0</v>
      </c>
      <c r="AT113" s="915">
        <f t="shared" si="199"/>
        <v>0</v>
      </c>
      <c r="AU113" s="915">
        <f t="shared" si="200"/>
        <v>0</v>
      </c>
      <c r="AV113" s="915">
        <f t="shared" si="201"/>
        <v>0</v>
      </c>
      <c r="AW113" s="915">
        <f t="shared" si="202"/>
        <v>0</v>
      </c>
      <c r="AX113" s="915">
        <f t="shared" si="203"/>
        <v>0</v>
      </c>
      <c r="AY113" s="915">
        <f t="shared" si="204"/>
        <v>0</v>
      </c>
      <c r="AZ113" s="915">
        <f t="shared" si="205"/>
        <v>0</v>
      </c>
      <c r="BA113" s="915">
        <f t="shared" si="206"/>
        <v>0</v>
      </c>
      <c r="BB113" s="915">
        <f t="shared" si="207"/>
        <v>0</v>
      </c>
      <c r="BC113" s="915">
        <f t="shared" si="388"/>
        <v>0</v>
      </c>
      <c r="BD113" s="915">
        <f t="shared" si="389"/>
        <v>0</v>
      </c>
      <c r="BE113" s="915">
        <f t="shared" si="390"/>
        <v>0</v>
      </c>
      <c r="BF113" s="915">
        <f t="shared" si="391"/>
        <v>0</v>
      </c>
      <c r="BG113" s="915">
        <f t="shared" si="392"/>
        <v>0</v>
      </c>
      <c r="BH113" s="915">
        <f t="shared" si="393"/>
        <v>0</v>
      </c>
      <c r="BI113" s="915">
        <f t="shared" si="394"/>
        <v>0</v>
      </c>
      <c r="BJ113" s="915">
        <f t="shared" si="395"/>
        <v>0</v>
      </c>
      <c r="BK113" s="915">
        <f t="shared" si="216"/>
        <v>0</v>
      </c>
      <c r="BL113" s="915">
        <f t="shared" si="217"/>
        <v>0</v>
      </c>
      <c r="BM113" s="915">
        <f t="shared" si="218"/>
        <v>0</v>
      </c>
      <c r="BN113" s="915">
        <f t="shared" si="219"/>
        <v>0</v>
      </c>
      <c r="BO113" s="915">
        <f t="shared" si="220"/>
        <v>0</v>
      </c>
      <c r="BP113" s="915">
        <f t="shared" si="221"/>
        <v>0</v>
      </c>
      <c r="BQ113" s="915">
        <f t="shared" si="222"/>
        <v>0</v>
      </c>
      <c r="BR113" s="915">
        <f t="shared" si="223"/>
        <v>0</v>
      </c>
      <c r="BS113" s="915">
        <f t="shared" si="378"/>
        <v>0</v>
      </c>
      <c r="BT113" s="915">
        <f t="shared" si="379"/>
        <v>0</v>
      </c>
      <c r="BU113" s="915">
        <f t="shared" si="380"/>
        <v>0</v>
      </c>
      <c r="BV113" s="915">
        <f t="shared" si="381"/>
        <v>0</v>
      </c>
      <c r="BW113" s="915">
        <f t="shared" si="382"/>
        <v>0</v>
      </c>
      <c r="BX113" s="915">
        <f t="shared" si="383"/>
        <v>0</v>
      </c>
      <c r="BY113" s="915">
        <f t="shared" si="384"/>
        <v>0</v>
      </c>
      <c r="BZ113" s="915">
        <f t="shared" si="385"/>
        <v>0</v>
      </c>
      <c r="CA113" s="915">
        <f t="shared" si="396"/>
        <v>0</v>
      </c>
      <c r="CB113" s="915">
        <f t="shared" si="397"/>
        <v>0</v>
      </c>
      <c r="CC113" s="915">
        <f t="shared" si="398"/>
        <v>0</v>
      </c>
      <c r="CD113" s="915">
        <f t="shared" si="399"/>
        <v>0</v>
      </c>
      <c r="CE113" s="915">
        <f t="shared" si="400"/>
        <v>0</v>
      </c>
      <c r="CF113" s="915">
        <f t="shared" si="401"/>
        <v>0</v>
      </c>
      <c r="CG113" s="915">
        <f t="shared" si="402"/>
        <v>0</v>
      </c>
      <c r="CH113" s="915">
        <f t="shared" si="403"/>
        <v>0</v>
      </c>
      <c r="CI113" s="915">
        <f t="shared" si="336"/>
        <v>0</v>
      </c>
      <c r="CJ113" s="915">
        <f t="shared" si="337"/>
        <v>0</v>
      </c>
      <c r="CK113" s="915">
        <f t="shared" si="338"/>
        <v>0</v>
      </c>
      <c r="CL113" s="915">
        <f t="shared" si="339"/>
        <v>0</v>
      </c>
      <c r="CM113" s="915">
        <f t="shared" si="340"/>
        <v>0</v>
      </c>
      <c r="CN113" s="915">
        <f t="shared" si="341"/>
        <v>0</v>
      </c>
      <c r="CO113" s="915">
        <f t="shared" si="342"/>
        <v>0</v>
      </c>
      <c r="CP113" s="915">
        <f t="shared" si="343"/>
        <v>0</v>
      </c>
      <c r="CQ113" s="915">
        <f t="shared" si="370"/>
        <v>0</v>
      </c>
      <c r="CR113" s="915">
        <f t="shared" si="371"/>
        <v>0</v>
      </c>
      <c r="CS113" s="915">
        <f t="shared" si="372"/>
        <v>0</v>
      </c>
      <c r="CT113" s="915">
        <f t="shared" si="373"/>
        <v>0</v>
      </c>
      <c r="CU113" s="915">
        <f t="shared" si="374"/>
        <v>0</v>
      </c>
      <c r="CV113" s="915">
        <f t="shared" si="375"/>
        <v>0</v>
      </c>
      <c r="CW113" s="915">
        <f t="shared" si="376"/>
        <v>0</v>
      </c>
      <c r="CX113" s="915">
        <f t="shared" si="377"/>
        <v>0</v>
      </c>
      <c r="CY113" s="915">
        <f t="shared" si="256"/>
        <v>0</v>
      </c>
      <c r="CZ113" s="915">
        <f t="shared" si="257"/>
        <v>0</v>
      </c>
      <c r="DA113" s="915">
        <f t="shared" si="258"/>
        <v>0</v>
      </c>
      <c r="DB113" s="915">
        <f t="shared" si="259"/>
        <v>0</v>
      </c>
      <c r="DC113" s="915">
        <f t="shared" si="260"/>
        <v>0</v>
      </c>
      <c r="DD113" s="915">
        <f t="shared" si="261"/>
        <v>0</v>
      </c>
      <c r="DE113" s="915">
        <f t="shared" si="262"/>
        <v>0</v>
      </c>
      <c r="DF113" s="915">
        <f t="shared" si="263"/>
        <v>0</v>
      </c>
      <c r="DG113" s="915">
        <f t="shared" si="264"/>
        <v>0</v>
      </c>
      <c r="DH113" s="915">
        <f t="shared" si="265"/>
        <v>0</v>
      </c>
      <c r="DI113" s="915">
        <f t="shared" si="266"/>
        <v>0</v>
      </c>
      <c r="DJ113" s="915">
        <f t="shared" si="267"/>
        <v>0</v>
      </c>
      <c r="DK113" s="915">
        <f t="shared" si="268"/>
        <v>0</v>
      </c>
      <c r="DL113" s="915">
        <f t="shared" si="269"/>
        <v>0</v>
      </c>
      <c r="DM113" s="915">
        <f t="shared" si="270"/>
        <v>0</v>
      </c>
      <c r="DN113" s="915">
        <f t="shared" si="271"/>
        <v>0</v>
      </c>
      <c r="DO113" s="915">
        <f t="shared" ref="DO113:DO119" si="406">IF(AND($D113=$R$20,$E113=$T$8),$J113,0)</f>
        <v>0</v>
      </c>
      <c r="DP113" s="915">
        <f t="shared" ref="DP113:DP119" si="407">IF(AND($D113=$R$20,$E113=$T$9),$J113,0)</f>
        <v>0</v>
      </c>
      <c r="DQ113" s="915">
        <f t="shared" ref="DQ113:DQ119" si="408">IF(AND($D113=$R$20,$E113=$T$10),$J113,0)</f>
        <v>0</v>
      </c>
      <c r="DR113" s="915">
        <f t="shared" ref="DR113:DR119" si="409">IF(AND($D113=$R$20,$E113=$T$11),$J113,0)</f>
        <v>0</v>
      </c>
      <c r="DS113" s="915">
        <f t="shared" ref="DS113:DS119" si="410">IF(AND($D113=$R$20,$E113=$T$12),$J113,0)</f>
        <v>0</v>
      </c>
      <c r="DT113" s="915">
        <f t="shared" ref="DT113:DT119" si="411">IF(AND($D113=$R$20,$E113=$T$13),$J113,0)</f>
        <v>0</v>
      </c>
      <c r="DU113" s="915">
        <f t="shared" ref="DU113:DU119" si="412">IF(AND($D113=$R$20,$E113=$T$14),$J113,0)</f>
        <v>0</v>
      </c>
      <c r="DV113" s="915">
        <f t="shared" ref="DV113:DV119" si="413">IF(AND($D113=$R$20,$E113=$T$15),$J113,0)</f>
        <v>0</v>
      </c>
      <c r="DW113" s="915">
        <f t="shared" ref="DW113:DW119" si="414">IF(AND($D113=$R$21,$E113=$T$8),$J113,0)</f>
        <v>0</v>
      </c>
      <c r="DX113" s="915">
        <f t="shared" ref="DX113:DX119" si="415">IF(AND($D113=$R$21,$E113=$T$9),$J113,0)</f>
        <v>7.42</v>
      </c>
      <c r="DY113" s="915">
        <f t="shared" ref="DY113:DY119" si="416">IF(AND($D113=$R$21,$E113=$T$10),$J113,0)</f>
        <v>0</v>
      </c>
      <c r="DZ113" s="915">
        <f t="shared" ref="DZ113:DZ119" si="417">IF(AND($D113=$R$21,$E113=$T$11),$J113,0)</f>
        <v>0</v>
      </c>
      <c r="EA113" s="915">
        <f t="shared" ref="EA113:EA119" si="418">IF(AND($D113=$R$21,$E113=$T$12),$J113,0)</f>
        <v>0</v>
      </c>
      <c r="EB113" s="915">
        <f t="shared" ref="EB113:EB119" si="419">IF(AND($D113=$R$21,$E113=$T$13),$J113,0)</f>
        <v>0</v>
      </c>
      <c r="EC113" s="915">
        <f t="shared" ref="EC113:EC119" si="420">IF(AND($D113=$R$21,$E113=$T$14),$J113,0)</f>
        <v>0</v>
      </c>
      <c r="ED113" s="915">
        <f t="shared" ref="ED113:ED119" si="421">IF(AND($D113=$R$21,$E113=$T$15),$J113,0)</f>
        <v>0</v>
      </c>
      <c r="EE113" s="915">
        <f t="shared" si="288"/>
        <v>0</v>
      </c>
      <c r="EF113" s="915">
        <f t="shared" si="289"/>
        <v>0</v>
      </c>
      <c r="EG113" s="915">
        <f t="shared" si="290"/>
        <v>0</v>
      </c>
      <c r="EH113" s="915">
        <f t="shared" si="291"/>
        <v>0</v>
      </c>
      <c r="EI113" s="915">
        <f t="shared" si="292"/>
        <v>0</v>
      </c>
      <c r="EJ113" s="915">
        <f t="shared" si="293"/>
        <v>0</v>
      </c>
      <c r="EK113" s="915">
        <f t="shared" si="294"/>
        <v>0</v>
      </c>
      <c r="EL113" s="915">
        <f t="shared" si="295"/>
        <v>0</v>
      </c>
      <c r="EM113" s="915">
        <f t="shared" si="296"/>
        <v>0</v>
      </c>
      <c r="EN113" s="915">
        <f t="shared" si="297"/>
        <v>0</v>
      </c>
      <c r="EO113" s="915">
        <f t="shared" si="298"/>
        <v>0</v>
      </c>
      <c r="EP113" s="915">
        <f t="shared" si="299"/>
        <v>0</v>
      </c>
      <c r="EQ113" s="915">
        <f t="shared" si="300"/>
        <v>0</v>
      </c>
      <c r="ER113" s="915">
        <f t="shared" si="301"/>
        <v>0</v>
      </c>
      <c r="ES113" s="915">
        <f t="shared" si="302"/>
        <v>0</v>
      </c>
      <c r="ET113" s="915">
        <f t="shared" si="303"/>
        <v>0</v>
      </c>
      <c r="EU113" s="915">
        <f t="shared" si="304"/>
        <v>0</v>
      </c>
      <c r="EV113" s="915">
        <f t="shared" si="305"/>
        <v>0</v>
      </c>
      <c r="EW113" s="915">
        <f t="shared" si="306"/>
        <v>0</v>
      </c>
      <c r="EX113" s="915">
        <f t="shared" si="307"/>
        <v>0</v>
      </c>
      <c r="EY113" s="915">
        <f t="shared" si="308"/>
        <v>0</v>
      </c>
      <c r="EZ113" s="915">
        <f t="shared" si="309"/>
        <v>0</v>
      </c>
      <c r="FA113" s="915">
        <f t="shared" si="310"/>
        <v>0</v>
      </c>
      <c r="FB113" s="915">
        <f t="shared" si="311"/>
        <v>0</v>
      </c>
      <c r="FC113" s="915">
        <f t="shared" si="312"/>
        <v>0</v>
      </c>
      <c r="FD113" s="915">
        <f t="shared" si="313"/>
        <v>0</v>
      </c>
      <c r="FE113" s="915">
        <f t="shared" si="314"/>
        <v>0</v>
      </c>
      <c r="FF113" s="915">
        <f t="shared" si="315"/>
        <v>0</v>
      </c>
      <c r="FG113" s="915">
        <f t="shared" si="316"/>
        <v>0</v>
      </c>
      <c r="FH113" s="915">
        <f t="shared" si="317"/>
        <v>0</v>
      </c>
      <c r="FI113" s="915">
        <f t="shared" si="318"/>
        <v>0</v>
      </c>
      <c r="FJ113" s="915">
        <f t="shared" si="319"/>
        <v>0</v>
      </c>
      <c r="FK113" s="915">
        <f t="shared" si="320"/>
        <v>0</v>
      </c>
      <c r="FL113" s="915">
        <f t="shared" si="321"/>
        <v>0</v>
      </c>
      <c r="FM113" s="915">
        <f t="shared" si="322"/>
        <v>0</v>
      </c>
      <c r="FN113" s="915">
        <f t="shared" si="323"/>
        <v>0</v>
      </c>
      <c r="FO113" s="915">
        <f t="shared" si="324"/>
        <v>0</v>
      </c>
      <c r="FP113" s="915">
        <f t="shared" si="325"/>
        <v>0</v>
      </c>
      <c r="FQ113" s="915">
        <f t="shared" si="326"/>
        <v>0</v>
      </c>
      <c r="FR113" s="915">
        <f t="shared" si="327"/>
        <v>0</v>
      </c>
      <c r="FS113" s="915">
        <f t="shared" si="328"/>
        <v>0</v>
      </c>
      <c r="FT113" s="915">
        <f t="shared" si="329"/>
        <v>0</v>
      </c>
      <c r="FU113" s="915">
        <f t="shared" si="330"/>
        <v>0</v>
      </c>
      <c r="FV113" s="915">
        <f t="shared" si="331"/>
        <v>0</v>
      </c>
      <c r="FW113" s="915">
        <f t="shared" si="332"/>
        <v>0</v>
      </c>
      <c r="FX113" s="915">
        <f t="shared" si="333"/>
        <v>0</v>
      </c>
      <c r="FY113" s="915">
        <f t="shared" si="334"/>
        <v>0</v>
      </c>
      <c r="FZ113" s="915">
        <f t="shared" si="335"/>
        <v>0</v>
      </c>
    </row>
    <row r="114" spans="1:182" x14ac:dyDescent="0.2">
      <c r="A114" s="496">
        <v>107</v>
      </c>
      <c r="B114" s="1419"/>
      <c r="C114" s="1433"/>
      <c r="D114" s="264">
        <v>14</v>
      </c>
      <c r="E114" s="264" t="s">
        <v>35</v>
      </c>
      <c r="F114" s="270" t="s">
        <v>2544</v>
      </c>
      <c r="G114" s="270" t="s">
        <v>2542</v>
      </c>
      <c r="H114" s="272">
        <v>7</v>
      </c>
      <c r="I114" s="268">
        <f t="shared" si="404"/>
        <v>0.42</v>
      </c>
      <c r="J114" s="269">
        <f t="shared" si="405"/>
        <v>7.42</v>
      </c>
      <c r="K114" s="225"/>
      <c r="N114" s="951">
        <f>DY6</f>
        <v>7.42</v>
      </c>
      <c r="O114" s="879" t="str">
        <f>"General Construction for " &amp; TabName14</f>
        <v>General Construction for Phase 14</v>
      </c>
      <c r="P114" s="949" t="s">
        <v>2161</v>
      </c>
      <c r="W114" s="915">
        <f t="shared" si="176"/>
        <v>0</v>
      </c>
      <c r="X114" s="915">
        <f t="shared" si="177"/>
        <v>0</v>
      </c>
      <c r="Y114" s="915">
        <f t="shared" si="178"/>
        <v>0</v>
      </c>
      <c r="Z114" s="915">
        <f t="shared" si="179"/>
        <v>0</v>
      </c>
      <c r="AA114" s="915">
        <f t="shared" si="180"/>
        <v>0</v>
      </c>
      <c r="AB114" s="915">
        <f t="shared" si="181"/>
        <v>0</v>
      </c>
      <c r="AC114" s="915">
        <f t="shared" si="182"/>
        <v>0</v>
      </c>
      <c r="AD114" s="915">
        <f t="shared" si="183"/>
        <v>0</v>
      </c>
      <c r="AE114" s="915">
        <f t="shared" si="184"/>
        <v>0</v>
      </c>
      <c r="AF114" s="915">
        <f t="shared" si="185"/>
        <v>0</v>
      </c>
      <c r="AG114" s="915">
        <f t="shared" si="186"/>
        <v>0</v>
      </c>
      <c r="AH114" s="915">
        <f t="shared" si="187"/>
        <v>0</v>
      </c>
      <c r="AI114" s="915">
        <f t="shared" si="188"/>
        <v>0</v>
      </c>
      <c r="AJ114" s="915">
        <f t="shared" si="189"/>
        <v>0</v>
      </c>
      <c r="AK114" s="915">
        <f t="shared" si="190"/>
        <v>0</v>
      </c>
      <c r="AL114" s="915">
        <f t="shared" si="191"/>
        <v>0</v>
      </c>
      <c r="AM114" s="915">
        <f t="shared" si="192"/>
        <v>0</v>
      </c>
      <c r="AN114" s="915">
        <f t="shared" si="193"/>
        <v>0</v>
      </c>
      <c r="AO114" s="915">
        <f t="shared" si="194"/>
        <v>0</v>
      </c>
      <c r="AP114" s="915">
        <f t="shared" si="195"/>
        <v>0</v>
      </c>
      <c r="AQ114" s="915">
        <f t="shared" si="196"/>
        <v>0</v>
      </c>
      <c r="AR114" s="915">
        <f t="shared" si="197"/>
        <v>0</v>
      </c>
      <c r="AS114" s="915">
        <f t="shared" si="198"/>
        <v>0</v>
      </c>
      <c r="AT114" s="915">
        <f t="shared" si="199"/>
        <v>0</v>
      </c>
      <c r="AU114" s="915">
        <f t="shared" si="200"/>
        <v>0</v>
      </c>
      <c r="AV114" s="915">
        <f t="shared" si="201"/>
        <v>0</v>
      </c>
      <c r="AW114" s="915">
        <f t="shared" si="202"/>
        <v>0</v>
      </c>
      <c r="AX114" s="915">
        <f t="shared" si="203"/>
        <v>0</v>
      </c>
      <c r="AY114" s="915">
        <f t="shared" si="204"/>
        <v>0</v>
      </c>
      <c r="AZ114" s="915">
        <f t="shared" si="205"/>
        <v>0</v>
      </c>
      <c r="BA114" s="915">
        <f t="shared" si="206"/>
        <v>0</v>
      </c>
      <c r="BB114" s="915">
        <f t="shared" si="207"/>
        <v>0</v>
      </c>
      <c r="BC114" s="915">
        <f t="shared" si="388"/>
        <v>0</v>
      </c>
      <c r="BD114" s="915">
        <f t="shared" si="389"/>
        <v>0</v>
      </c>
      <c r="BE114" s="915">
        <f t="shared" si="390"/>
        <v>0</v>
      </c>
      <c r="BF114" s="915">
        <f t="shared" si="391"/>
        <v>0</v>
      </c>
      <c r="BG114" s="915">
        <f t="shared" si="392"/>
        <v>0</v>
      </c>
      <c r="BH114" s="915">
        <f t="shared" si="393"/>
        <v>0</v>
      </c>
      <c r="BI114" s="915">
        <f t="shared" si="394"/>
        <v>0</v>
      </c>
      <c r="BJ114" s="915">
        <f t="shared" si="395"/>
        <v>0</v>
      </c>
      <c r="BK114" s="915">
        <f t="shared" si="216"/>
        <v>0</v>
      </c>
      <c r="BL114" s="915">
        <f t="shared" si="217"/>
        <v>0</v>
      </c>
      <c r="BM114" s="915">
        <f t="shared" si="218"/>
        <v>0</v>
      </c>
      <c r="BN114" s="915">
        <f t="shared" si="219"/>
        <v>0</v>
      </c>
      <c r="BO114" s="915">
        <f t="shared" si="220"/>
        <v>0</v>
      </c>
      <c r="BP114" s="915">
        <f t="shared" si="221"/>
        <v>0</v>
      </c>
      <c r="BQ114" s="915">
        <f t="shared" si="222"/>
        <v>0</v>
      </c>
      <c r="BR114" s="915">
        <f t="shared" si="223"/>
        <v>0</v>
      </c>
      <c r="BS114" s="915">
        <f t="shared" si="378"/>
        <v>0</v>
      </c>
      <c r="BT114" s="915">
        <f t="shared" si="379"/>
        <v>0</v>
      </c>
      <c r="BU114" s="915">
        <f t="shared" si="380"/>
        <v>0</v>
      </c>
      <c r="BV114" s="915">
        <f t="shared" si="381"/>
        <v>0</v>
      </c>
      <c r="BW114" s="915">
        <f t="shared" si="382"/>
        <v>0</v>
      </c>
      <c r="BX114" s="915">
        <f t="shared" si="383"/>
        <v>0</v>
      </c>
      <c r="BY114" s="915">
        <f t="shared" si="384"/>
        <v>0</v>
      </c>
      <c r="BZ114" s="915">
        <f t="shared" si="385"/>
        <v>0</v>
      </c>
      <c r="CA114" s="915">
        <f t="shared" si="396"/>
        <v>0</v>
      </c>
      <c r="CB114" s="915">
        <f t="shared" si="397"/>
        <v>0</v>
      </c>
      <c r="CC114" s="915">
        <f t="shared" si="398"/>
        <v>0</v>
      </c>
      <c r="CD114" s="915">
        <f t="shared" si="399"/>
        <v>0</v>
      </c>
      <c r="CE114" s="915">
        <f t="shared" si="400"/>
        <v>0</v>
      </c>
      <c r="CF114" s="915">
        <f t="shared" si="401"/>
        <v>0</v>
      </c>
      <c r="CG114" s="915">
        <f t="shared" si="402"/>
        <v>0</v>
      </c>
      <c r="CH114" s="915">
        <f t="shared" si="403"/>
        <v>0</v>
      </c>
      <c r="CI114" s="915">
        <f t="shared" si="336"/>
        <v>0</v>
      </c>
      <c r="CJ114" s="915">
        <f t="shared" si="337"/>
        <v>0</v>
      </c>
      <c r="CK114" s="915">
        <f t="shared" si="338"/>
        <v>0</v>
      </c>
      <c r="CL114" s="915">
        <f t="shared" si="339"/>
        <v>0</v>
      </c>
      <c r="CM114" s="915">
        <f t="shared" si="340"/>
        <v>0</v>
      </c>
      <c r="CN114" s="915">
        <f t="shared" si="341"/>
        <v>0</v>
      </c>
      <c r="CO114" s="915">
        <f t="shared" si="342"/>
        <v>0</v>
      </c>
      <c r="CP114" s="915">
        <f t="shared" si="343"/>
        <v>0</v>
      </c>
      <c r="CQ114" s="915">
        <f t="shared" si="370"/>
        <v>0</v>
      </c>
      <c r="CR114" s="915">
        <f t="shared" si="371"/>
        <v>0</v>
      </c>
      <c r="CS114" s="915">
        <f t="shared" si="372"/>
        <v>0</v>
      </c>
      <c r="CT114" s="915">
        <f t="shared" si="373"/>
        <v>0</v>
      </c>
      <c r="CU114" s="915">
        <f t="shared" si="374"/>
        <v>0</v>
      </c>
      <c r="CV114" s="915">
        <f t="shared" si="375"/>
        <v>0</v>
      </c>
      <c r="CW114" s="915">
        <f t="shared" si="376"/>
        <v>0</v>
      </c>
      <c r="CX114" s="915">
        <f t="shared" si="377"/>
        <v>0</v>
      </c>
      <c r="CY114" s="915">
        <f t="shared" si="256"/>
        <v>0</v>
      </c>
      <c r="CZ114" s="915">
        <f t="shared" si="257"/>
        <v>0</v>
      </c>
      <c r="DA114" s="915">
        <f t="shared" si="258"/>
        <v>0</v>
      </c>
      <c r="DB114" s="915">
        <f t="shared" si="259"/>
        <v>0</v>
      </c>
      <c r="DC114" s="915">
        <f t="shared" si="260"/>
        <v>0</v>
      </c>
      <c r="DD114" s="915">
        <f t="shared" si="261"/>
        <v>0</v>
      </c>
      <c r="DE114" s="915">
        <f t="shared" si="262"/>
        <v>0</v>
      </c>
      <c r="DF114" s="915">
        <f t="shared" si="263"/>
        <v>0</v>
      </c>
      <c r="DG114" s="915">
        <f t="shared" si="264"/>
        <v>0</v>
      </c>
      <c r="DH114" s="915">
        <f t="shared" si="265"/>
        <v>0</v>
      </c>
      <c r="DI114" s="915">
        <f t="shared" si="266"/>
        <v>0</v>
      </c>
      <c r="DJ114" s="915">
        <f t="shared" si="267"/>
        <v>0</v>
      </c>
      <c r="DK114" s="915">
        <f t="shared" si="268"/>
        <v>0</v>
      </c>
      <c r="DL114" s="915">
        <f t="shared" si="269"/>
        <v>0</v>
      </c>
      <c r="DM114" s="915">
        <f t="shared" si="270"/>
        <v>0</v>
      </c>
      <c r="DN114" s="915">
        <f t="shared" si="271"/>
        <v>0</v>
      </c>
      <c r="DO114" s="915">
        <f t="shared" si="406"/>
        <v>0</v>
      </c>
      <c r="DP114" s="915">
        <f t="shared" si="407"/>
        <v>0</v>
      </c>
      <c r="DQ114" s="915">
        <f t="shared" si="408"/>
        <v>0</v>
      </c>
      <c r="DR114" s="915">
        <f t="shared" si="409"/>
        <v>0</v>
      </c>
      <c r="DS114" s="915">
        <f t="shared" si="410"/>
        <v>0</v>
      </c>
      <c r="DT114" s="915">
        <f t="shared" si="411"/>
        <v>0</v>
      </c>
      <c r="DU114" s="915">
        <f t="shared" si="412"/>
        <v>0</v>
      </c>
      <c r="DV114" s="915">
        <f t="shared" si="413"/>
        <v>0</v>
      </c>
      <c r="DW114" s="915">
        <f t="shared" si="414"/>
        <v>0</v>
      </c>
      <c r="DX114" s="915">
        <f t="shared" si="415"/>
        <v>0</v>
      </c>
      <c r="DY114" s="915">
        <f t="shared" si="416"/>
        <v>7.42</v>
      </c>
      <c r="DZ114" s="915">
        <f t="shared" si="417"/>
        <v>0</v>
      </c>
      <c r="EA114" s="915">
        <f t="shared" si="418"/>
        <v>0</v>
      </c>
      <c r="EB114" s="915">
        <f t="shared" si="419"/>
        <v>0</v>
      </c>
      <c r="EC114" s="915">
        <f t="shared" si="420"/>
        <v>0</v>
      </c>
      <c r="ED114" s="915">
        <f t="shared" si="421"/>
        <v>0</v>
      </c>
      <c r="EE114" s="915">
        <f t="shared" si="288"/>
        <v>0</v>
      </c>
      <c r="EF114" s="915">
        <f t="shared" si="289"/>
        <v>0</v>
      </c>
      <c r="EG114" s="915">
        <f t="shared" si="290"/>
        <v>0</v>
      </c>
      <c r="EH114" s="915">
        <f t="shared" si="291"/>
        <v>0</v>
      </c>
      <c r="EI114" s="915">
        <f t="shared" si="292"/>
        <v>0</v>
      </c>
      <c r="EJ114" s="915">
        <f t="shared" si="293"/>
        <v>0</v>
      </c>
      <c r="EK114" s="915">
        <f t="shared" si="294"/>
        <v>0</v>
      </c>
      <c r="EL114" s="915">
        <f t="shared" si="295"/>
        <v>0</v>
      </c>
      <c r="EM114" s="915">
        <f t="shared" si="296"/>
        <v>0</v>
      </c>
      <c r="EN114" s="915">
        <f t="shared" si="297"/>
        <v>0</v>
      </c>
      <c r="EO114" s="915">
        <f t="shared" si="298"/>
        <v>0</v>
      </c>
      <c r="EP114" s="915">
        <f t="shared" si="299"/>
        <v>0</v>
      </c>
      <c r="EQ114" s="915">
        <f t="shared" si="300"/>
        <v>0</v>
      </c>
      <c r="ER114" s="915">
        <f t="shared" si="301"/>
        <v>0</v>
      </c>
      <c r="ES114" s="915">
        <f t="shared" si="302"/>
        <v>0</v>
      </c>
      <c r="ET114" s="915">
        <f t="shared" si="303"/>
        <v>0</v>
      </c>
      <c r="EU114" s="915">
        <f t="shared" si="304"/>
        <v>0</v>
      </c>
      <c r="EV114" s="915">
        <f t="shared" si="305"/>
        <v>0</v>
      </c>
      <c r="EW114" s="915">
        <f t="shared" si="306"/>
        <v>0</v>
      </c>
      <c r="EX114" s="915">
        <f t="shared" si="307"/>
        <v>0</v>
      </c>
      <c r="EY114" s="915">
        <f t="shared" si="308"/>
        <v>0</v>
      </c>
      <c r="EZ114" s="915">
        <f t="shared" si="309"/>
        <v>0</v>
      </c>
      <c r="FA114" s="915">
        <f t="shared" si="310"/>
        <v>0</v>
      </c>
      <c r="FB114" s="915">
        <f t="shared" si="311"/>
        <v>0</v>
      </c>
      <c r="FC114" s="915">
        <f t="shared" si="312"/>
        <v>0</v>
      </c>
      <c r="FD114" s="915">
        <f t="shared" si="313"/>
        <v>0</v>
      </c>
      <c r="FE114" s="915">
        <f t="shared" si="314"/>
        <v>0</v>
      </c>
      <c r="FF114" s="915">
        <f t="shared" si="315"/>
        <v>0</v>
      </c>
      <c r="FG114" s="915">
        <f t="shared" si="316"/>
        <v>0</v>
      </c>
      <c r="FH114" s="915">
        <f t="shared" si="317"/>
        <v>0</v>
      </c>
      <c r="FI114" s="915">
        <f t="shared" si="318"/>
        <v>0</v>
      </c>
      <c r="FJ114" s="915">
        <f t="shared" si="319"/>
        <v>0</v>
      </c>
      <c r="FK114" s="915">
        <f t="shared" si="320"/>
        <v>0</v>
      </c>
      <c r="FL114" s="915">
        <f t="shared" si="321"/>
        <v>0</v>
      </c>
      <c r="FM114" s="915">
        <f t="shared" si="322"/>
        <v>0</v>
      </c>
      <c r="FN114" s="915">
        <f t="shared" si="323"/>
        <v>0</v>
      </c>
      <c r="FO114" s="915">
        <f t="shared" si="324"/>
        <v>0</v>
      </c>
      <c r="FP114" s="915">
        <f t="shared" si="325"/>
        <v>0</v>
      </c>
      <c r="FQ114" s="915">
        <f t="shared" si="326"/>
        <v>0</v>
      </c>
      <c r="FR114" s="915">
        <f t="shared" si="327"/>
        <v>0</v>
      </c>
      <c r="FS114" s="915">
        <f t="shared" si="328"/>
        <v>0</v>
      </c>
      <c r="FT114" s="915">
        <f t="shared" si="329"/>
        <v>0</v>
      </c>
      <c r="FU114" s="915">
        <f t="shared" si="330"/>
        <v>0</v>
      </c>
      <c r="FV114" s="915">
        <f t="shared" si="331"/>
        <v>0</v>
      </c>
      <c r="FW114" s="915">
        <f t="shared" si="332"/>
        <v>0</v>
      </c>
      <c r="FX114" s="915">
        <f t="shared" si="333"/>
        <v>0</v>
      </c>
      <c r="FY114" s="915">
        <f t="shared" si="334"/>
        <v>0</v>
      </c>
      <c r="FZ114" s="915">
        <f t="shared" si="335"/>
        <v>0</v>
      </c>
    </row>
    <row r="115" spans="1:182" x14ac:dyDescent="0.2">
      <c r="A115" s="497">
        <v>108</v>
      </c>
      <c r="B115" s="1423"/>
      <c r="C115" s="1424"/>
      <c r="D115" s="138">
        <v>14</v>
      </c>
      <c r="E115" s="138" t="s">
        <v>52</v>
      </c>
      <c r="F115" s="139" t="s">
        <v>2544</v>
      </c>
      <c r="G115" s="139" t="s">
        <v>2542</v>
      </c>
      <c r="H115" s="100">
        <v>7</v>
      </c>
      <c r="I115" s="119">
        <f t="shared" si="404"/>
        <v>0.42</v>
      </c>
      <c r="J115" s="90">
        <f t="shared" si="405"/>
        <v>7.42</v>
      </c>
      <c r="K115" s="225"/>
      <c r="N115" s="951">
        <f>DZ6</f>
        <v>7.42</v>
      </c>
      <c r="O115" s="915" t="str">
        <f>"Waste Haul for "&amp;TabName14</f>
        <v>Waste Haul for Phase 14</v>
      </c>
      <c r="P115" s="949" t="s">
        <v>2162</v>
      </c>
      <c r="W115" s="915">
        <f t="shared" si="176"/>
        <v>0</v>
      </c>
      <c r="X115" s="915">
        <f t="shared" si="177"/>
        <v>0</v>
      </c>
      <c r="Y115" s="915">
        <f t="shared" si="178"/>
        <v>0</v>
      </c>
      <c r="Z115" s="915">
        <f t="shared" si="179"/>
        <v>0</v>
      </c>
      <c r="AA115" s="915">
        <f t="shared" si="180"/>
        <v>0</v>
      </c>
      <c r="AB115" s="915">
        <f t="shared" si="181"/>
        <v>0</v>
      </c>
      <c r="AC115" s="915">
        <f t="shared" si="182"/>
        <v>0</v>
      </c>
      <c r="AD115" s="915">
        <f t="shared" si="183"/>
        <v>0</v>
      </c>
      <c r="AE115" s="915">
        <f t="shared" si="184"/>
        <v>0</v>
      </c>
      <c r="AF115" s="915">
        <f t="shared" si="185"/>
        <v>0</v>
      </c>
      <c r="AG115" s="915">
        <f t="shared" si="186"/>
        <v>0</v>
      </c>
      <c r="AH115" s="915">
        <f t="shared" si="187"/>
        <v>0</v>
      </c>
      <c r="AI115" s="915">
        <f t="shared" si="188"/>
        <v>0</v>
      </c>
      <c r="AJ115" s="915">
        <f t="shared" si="189"/>
        <v>0</v>
      </c>
      <c r="AK115" s="915">
        <f t="shared" si="190"/>
        <v>0</v>
      </c>
      <c r="AL115" s="915">
        <f t="shared" si="191"/>
        <v>0</v>
      </c>
      <c r="AM115" s="915">
        <f t="shared" si="192"/>
        <v>0</v>
      </c>
      <c r="AN115" s="915">
        <f t="shared" si="193"/>
        <v>0</v>
      </c>
      <c r="AO115" s="915">
        <f t="shared" si="194"/>
        <v>0</v>
      </c>
      <c r="AP115" s="915">
        <f t="shared" si="195"/>
        <v>0</v>
      </c>
      <c r="AQ115" s="915">
        <f t="shared" si="196"/>
        <v>0</v>
      </c>
      <c r="AR115" s="915">
        <f t="shared" si="197"/>
        <v>0</v>
      </c>
      <c r="AS115" s="915">
        <f t="shared" si="198"/>
        <v>0</v>
      </c>
      <c r="AT115" s="915">
        <f t="shared" si="199"/>
        <v>0</v>
      </c>
      <c r="AU115" s="915">
        <f t="shared" si="200"/>
        <v>0</v>
      </c>
      <c r="AV115" s="915">
        <f t="shared" si="201"/>
        <v>0</v>
      </c>
      <c r="AW115" s="915">
        <f t="shared" si="202"/>
        <v>0</v>
      </c>
      <c r="AX115" s="915">
        <f t="shared" si="203"/>
        <v>0</v>
      </c>
      <c r="AY115" s="915">
        <f t="shared" si="204"/>
        <v>0</v>
      </c>
      <c r="AZ115" s="915">
        <f t="shared" si="205"/>
        <v>0</v>
      </c>
      <c r="BA115" s="915">
        <f t="shared" si="206"/>
        <v>0</v>
      </c>
      <c r="BB115" s="915">
        <f t="shared" si="207"/>
        <v>0</v>
      </c>
      <c r="BC115" s="915">
        <f t="shared" si="388"/>
        <v>0</v>
      </c>
      <c r="BD115" s="915">
        <f t="shared" si="389"/>
        <v>0</v>
      </c>
      <c r="BE115" s="915">
        <f t="shared" si="390"/>
        <v>0</v>
      </c>
      <c r="BF115" s="915">
        <f t="shared" si="391"/>
        <v>0</v>
      </c>
      <c r="BG115" s="915">
        <f t="shared" si="392"/>
        <v>0</v>
      </c>
      <c r="BH115" s="915">
        <f t="shared" si="393"/>
        <v>0</v>
      </c>
      <c r="BI115" s="915">
        <f t="shared" si="394"/>
        <v>0</v>
      </c>
      <c r="BJ115" s="915">
        <f t="shared" si="395"/>
        <v>0</v>
      </c>
      <c r="BK115" s="915">
        <f t="shared" si="216"/>
        <v>0</v>
      </c>
      <c r="BL115" s="915">
        <f t="shared" si="217"/>
        <v>0</v>
      </c>
      <c r="BM115" s="915">
        <f t="shared" si="218"/>
        <v>0</v>
      </c>
      <c r="BN115" s="915">
        <f t="shared" si="219"/>
        <v>0</v>
      </c>
      <c r="BO115" s="915">
        <f t="shared" si="220"/>
        <v>0</v>
      </c>
      <c r="BP115" s="915">
        <f t="shared" si="221"/>
        <v>0</v>
      </c>
      <c r="BQ115" s="915">
        <f t="shared" si="222"/>
        <v>0</v>
      </c>
      <c r="BR115" s="915">
        <f t="shared" si="223"/>
        <v>0</v>
      </c>
      <c r="BS115" s="915">
        <f t="shared" si="378"/>
        <v>0</v>
      </c>
      <c r="BT115" s="915">
        <f t="shared" si="379"/>
        <v>0</v>
      </c>
      <c r="BU115" s="915">
        <f t="shared" si="380"/>
        <v>0</v>
      </c>
      <c r="BV115" s="915">
        <f t="shared" si="381"/>
        <v>0</v>
      </c>
      <c r="BW115" s="915">
        <f t="shared" si="382"/>
        <v>0</v>
      </c>
      <c r="BX115" s="915">
        <f t="shared" si="383"/>
        <v>0</v>
      </c>
      <c r="BY115" s="915">
        <f t="shared" si="384"/>
        <v>0</v>
      </c>
      <c r="BZ115" s="915">
        <f t="shared" si="385"/>
        <v>0</v>
      </c>
      <c r="CA115" s="915">
        <f t="shared" si="396"/>
        <v>0</v>
      </c>
      <c r="CB115" s="915">
        <f t="shared" si="397"/>
        <v>0</v>
      </c>
      <c r="CC115" s="915">
        <f t="shared" si="398"/>
        <v>0</v>
      </c>
      <c r="CD115" s="915">
        <f t="shared" si="399"/>
        <v>0</v>
      </c>
      <c r="CE115" s="915">
        <f t="shared" si="400"/>
        <v>0</v>
      </c>
      <c r="CF115" s="915">
        <f t="shared" si="401"/>
        <v>0</v>
      </c>
      <c r="CG115" s="915">
        <f t="shared" si="402"/>
        <v>0</v>
      </c>
      <c r="CH115" s="915">
        <f t="shared" si="403"/>
        <v>0</v>
      </c>
      <c r="CI115" s="915">
        <f t="shared" si="336"/>
        <v>0</v>
      </c>
      <c r="CJ115" s="915">
        <f t="shared" si="337"/>
        <v>0</v>
      </c>
      <c r="CK115" s="915">
        <f t="shared" si="338"/>
        <v>0</v>
      </c>
      <c r="CL115" s="915">
        <f t="shared" si="339"/>
        <v>0</v>
      </c>
      <c r="CM115" s="915">
        <f t="shared" si="340"/>
        <v>0</v>
      </c>
      <c r="CN115" s="915">
        <f t="shared" si="341"/>
        <v>0</v>
      </c>
      <c r="CO115" s="915">
        <f t="shared" si="342"/>
        <v>0</v>
      </c>
      <c r="CP115" s="915">
        <f t="shared" si="343"/>
        <v>0</v>
      </c>
      <c r="CQ115" s="915">
        <f t="shared" si="370"/>
        <v>0</v>
      </c>
      <c r="CR115" s="915">
        <f t="shared" si="371"/>
        <v>0</v>
      </c>
      <c r="CS115" s="915">
        <f t="shared" si="372"/>
        <v>0</v>
      </c>
      <c r="CT115" s="915">
        <f t="shared" si="373"/>
        <v>0</v>
      </c>
      <c r="CU115" s="915">
        <f t="shared" si="374"/>
        <v>0</v>
      </c>
      <c r="CV115" s="915">
        <f t="shared" si="375"/>
        <v>0</v>
      </c>
      <c r="CW115" s="915">
        <f t="shared" si="376"/>
        <v>0</v>
      </c>
      <c r="CX115" s="915">
        <f t="shared" si="377"/>
        <v>0</v>
      </c>
      <c r="CY115" s="915">
        <f t="shared" si="256"/>
        <v>0</v>
      </c>
      <c r="CZ115" s="915">
        <f t="shared" si="257"/>
        <v>0</v>
      </c>
      <c r="DA115" s="915">
        <f t="shared" si="258"/>
        <v>0</v>
      </c>
      <c r="DB115" s="915">
        <f t="shared" si="259"/>
        <v>0</v>
      </c>
      <c r="DC115" s="915">
        <f t="shared" si="260"/>
        <v>0</v>
      </c>
      <c r="DD115" s="915">
        <f t="shared" si="261"/>
        <v>0</v>
      </c>
      <c r="DE115" s="915">
        <f t="shared" si="262"/>
        <v>0</v>
      </c>
      <c r="DF115" s="915">
        <f t="shared" si="263"/>
        <v>0</v>
      </c>
      <c r="DG115" s="915">
        <f t="shared" si="264"/>
        <v>0</v>
      </c>
      <c r="DH115" s="915">
        <f t="shared" si="265"/>
        <v>0</v>
      </c>
      <c r="DI115" s="915">
        <f t="shared" si="266"/>
        <v>0</v>
      </c>
      <c r="DJ115" s="915">
        <f t="shared" si="267"/>
        <v>0</v>
      </c>
      <c r="DK115" s="915">
        <f t="shared" si="268"/>
        <v>0</v>
      </c>
      <c r="DL115" s="915">
        <f t="shared" si="269"/>
        <v>0</v>
      </c>
      <c r="DM115" s="915">
        <f t="shared" si="270"/>
        <v>0</v>
      </c>
      <c r="DN115" s="915">
        <f t="shared" si="271"/>
        <v>0</v>
      </c>
      <c r="DO115" s="915">
        <f t="shared" si="406"/>
        <v>0</v>
      </c>
      <c r="DP115" s="915">
        <f t="shared" si="407"/>
        <v>0</v>
      </c>
      <c r="DQ115" s="915">
        <f t="shared" si="408"/>
        <v>0</v>
      </c>
      <c r="DR115" s="915">
        <f t="shared" si="409"/>
        <v>0</v>
      </c>
      <c r="DS115" s="915">
        <f t="shared" si="410"/>
        <v>0</v>
      </c>
      <c r="DT115" s="915">
        <f t="shared" si="411"/>
        <v>0</v>
      </c>
      <c r="DU115" s="915">
        <f t="shared" si="412"/>
        <v>0</v>
      </c>
      <c r="DV115" s="915">
        <f t="shared" si="413"/>
        <v>0</v>
      </c>
      <c r="DW115" s="915">
        <f t="shared" si="414"/>
        <v>0</v>
      </c>
      <c r="DX115" s="915">
        <f t="shared" si="415"/>
        <v>0</v>
      </c>
      <c r="DY115" s="915">
        <f t="shared" si="416"/>
        <v>0</v>
      </c>
      <c r="DZ115" s="915">
        <f t="shared" si="417"/>
        <v>7.42</v>
      </c>
      <c r="EA115" s="915">
        <f t="shared" si="418"/>
        <v>0</v>
      </c>
      <c r="EB115" s="915">
        <f t="shared" si="419"/>
        <v>0</v>
      </c>
      <c r="EC115" s="915">
        <f t="shared" si="420"/>
        <v>0</v>
      </c>
      <c r="ED115" s="915">
        <f t="shared" si="421"/>
        <v>0</v>
      </c>
      <c r="EE115" s="915">
        <f t="shared" si="288"/>
        <v>0</v>
      </c>
      <c r="EF115" s="915">
        <f t="shared" si="289"/>
        <v>0</v>
      </c>
      <c r="EG115" s="915">
        <f t="shared" si="290"/>
        <v>0</v>
      </c>
      <c r="EH115" s="915">
        <f t="shared" si="291"/>
        <v>0</v>
      </c>
      <c r="EI115" s="915">
        <f t="shared" si="292"/>
        <v>0</v>
      </c>
      <c r="EJ115" s="915">
        <f t="shared" si="293"/>
        <v>0</v>
      </c>
      <c r="EK115" s="915">
        <f t="shared" si="294"/>
        <v>0</v>
      </c>
      <c r="EL115" s="915">
        <f t="shared" si="295"/>
        <v>0</v>
      </c>
      <c r="EM115" s="915">
        <f t="shared" si="296"/>
        <v>0</v>
      </c>
      <c r="EN115" s="915">
        <f t="shared" si="297"/>
        <v>0</v>
      </c>
      <c r="EO115" s="915">
        <f t="shared" si="298"/>
        <v>0</v>
      </c>
      <c r="EP115" s="915">
        <f t="shared" si="299"/>
        <v>0</v>
      </c>
      <c r="EQ115" s="915">
        <f t="shared" si="300"/>
        <v>0</v>
      </c>
      <c r="ER115" s="915">
        <f t="shared" si="301"/>
        <v>0</v>
      </c>
      <c r="ES115" s="915">
        <f t="shared" si="302"/>
        <v>0</v>
      </c>
      <c r="ET115" s="915">
        <f t="shared" si="303"/>
        <v>0</v>
      </c>
      <c r="EU115" s="915">
        <f t="shared" si="304"/>
        <v>0</v>
      </c>
      <c r="EV115" s="915">
        <f t="shared" si="305"/>
        <v>0</v>
      </c>
      <c r="EW115" s="915">
        <f t="shared" si="306"/>
        <v>0</v>
      </c>
      <c r="EX115" s="915">
        <f t="shared" si="307"/>
        <v>0</v>
      </c>
      <c r="EY115" s="915">
        <f t="shared" si="308"/>
        <v>0</v>
      </c>
      <c r="EZ115" s="915">
        <f t="shared" si="309"/>
        <v>0</v>
      </c>
      <c r="FA115" s="915">
        <f t="shared" si="310"/>
        <v>0</v>
      </c>
      <c r="FB115" s="915">
        <f t="shared" si="311"/>
        <v>0</v>
      </c>
      <c r="FC115" s="915">
        <f t="shared" si="312"/>
        <v>0</v>
      </c>
      <c r="FD115" s="915">
        <f t="shared" si="313"/>
        <v>0</v>
      </c>
      <c r="FE115" s="915">
        <f t="shared" si="314"/>
        <v>0</v>
      </c>
      <c r="FF115" s="915">
        <f t="shared" si="315"/>
        <v>0</v>
      </c>
      <c r="FG115" s="915">
        <f t="shared" si="316"/>
        <v>0</v>
      </c>
      <c r="FH115" s="915">
        <f t="shared" si="317"/>
        <v>0</v>
      </c>
      <c r="FI115" s="915">
        <f t="shared" si="318"/>
        <v>0</v>
      </c>
      <c r="FJ115" s="915">
        <f t="shared" si="319"/>
        <v>0</v>
      </c>
      <c r="FK115" s="915">
        <f t="shared" si="320"/>
        <v>0</v>
      </c>
      <c r="FL115" s="915">
        <f t="shared" si="321"/>
        <v>0</v>
      </c>
      <c r="FM115" s="915">
        <f t="shared" si="322"/>
        <v>0</v>
      </c>
      <c r="FN115" s="915">
        <f t="shared" si="323"/>
        <v>0</v>
      </c>
      <c r="FO115" s="915">
        <f t="shared" si="324"/>
        <v>0</v>
      </c>
      <c r="FP115" s="915">
        <f t="shared" si="325"/>
        <v>0</v>
      </c>
      <c r="FQ115" s="915">
        <f t="shared" si="326"/>
        <v>0</v>
      </c>
      <c r="FR115" s="915">
        <f t="shared" si="327"/>
        <v>0</v>
      </c>
      <c r="FS115" s="915">
        <f t="shared" si="328"/>
        <v>0</v>
      </c>
      <c r="FT115" s="915">
        <f t="shared" si="329"/>
        <v>0</v>
      </c>
      <c r="FU115" s="915">
        <f t="shared" si="330"/>
        <v>0</v>
      </c>
      <c r="FV115" s="915">
        <f t="shared" si="331"/>
        <v>0</v>
      </c>
      <c r="FW115" s="915">
        <f t="shared" si="332"/>
        <v>0</v>
      </c>
      <c r="FX115" s="915">
        <f t="shared" si="333"/>
        <v>0</v>
      </c>
      <c r="FY115" s="915">
        <f t="shared" si="334"/>
        <v>0</v>
      </c>
      <c r="FZ115" s="915">
        <f t="shared" si="335"/>
        <v>0</v>
      </c>
    </row>
    <row r="116" spans="1:182" x14ac:dyDescent="0.2">
      <c r="A116" s="496">
        <v>109</v>
      </c>
      <c r="B116" s="1419"/>
      <c r="C116" s="1433"/>
      <c r="D116" s="264">
        <v>14</v>
      </c>
      <c r="E116" s="264" t="s">
        <v>30</v>
      </c>
      <c r="F116" s="270" t="s">
        <v>2544</v>
      </c>
      <c r="G116" s="270" t="s">
        <v>2542</v>
      </c>
      <c r="H116" s="272">
        <v>7</v>
      </c>
      <c r="I116" s="268">
        <f t="shared" si="404"/>
        <v>0.42</v>
      </c>
      <c r="J116" s="269">
        <f t="shared" si="405"/>
        <v>7.42</v>
      </c>
      <c r="K116" s="225"/>
      <c r="N116" s="951">
        <f>EA6</f>
        <v>7.42</v>
      </c>
      <c r="O116" s="879" t="str">
        <f>"Surveying/Inspection for " &amp; TabName14</f>
        <v>Surveying/Inspection for Phase 14</v>
      </c>
      <c r="P116" s="950" t="s">
        <v>2163</v>
      </c>
      <c r="W116" s="915">
        <f t="shared" si="176"/>
        <v>0</v>
      </c>
      <c r="X116" s="915">
        <f t="shared" si="177"/>
        <v>0</v>
      </c>
      <c r="Y116" s="915">
        <f t="shared" si="178"/>
        <v>0</v>
      </c>
      <c r="Z116" s="915">
        <f t="shared" si="179"/>
        <v>0</v>
      </c>
      <c r="AA116" s="915">
        <f t="shared" si="180"/>
        <v>0</v>
      </c>
      <c r="AB116" s="915">
        <f t="shared" si="181"/>
        <v>0</v>
      </c>
      <c r="AC116" s="915">
        <f t="shared" si="182"/>
        <v>0</v>
      </c>
      <c r="AD116" s="915">
        <f t="shared" si="183"/>
        <v>0</v>
      </c>
      <c r="AE116" s="915">
        <f t="shared" si="184"/>
        <v>0</v>
      </c>
      <c r="AF116" s="915">
        <f t="shared" si="185"/>
        <v>0</v>
      </c>
      <c r="AG116" s="915">
        <f t="shared" si="186"/>
        <v>0</v>
      </c>
      <c r="AH116" s="915">
        <f t="shared" si="187"/>
        <v>0</v>
      </c>
      <c r="AI116" s="915">
        <f t="shared" si="188"/>
        <v>0</v>
      </c>
      <c r="AJ116" s="915">
        <f t="shared" si="189"/>
        <v>0</v>
      </c>
      <c r="AK116" s="915">
        <f t="shared" si="190"/>
        <v>0</v>
      </c>
      <c r="AL116" s="915">
        <f t="shared" si="191"/>
        <v>0</v>
      </c>
      <c r="AM116" s="915">
        <f t="shared" si="192"/>
        <v>0</v>
      </c>
      <c r="AN116" s="915">
        <f t="shared" si="193"/>
        <v>0</v>
      </c>
      <c r="AO116" s="915">
        <f t="shared" si="194"/>
        <v>0</v>
      </c>
      <c r="AP116" s="915">
        <f t="shared" si="195"/>
        <v>0</v>
      </c>
      <c r="AQ116" s="915">
        <f t="shared" si="196"/>
        <v>0</v>
      </c>
      <c r="AR116" s="915">
        <f t="shared" si="197"/>
        <v>0</v>
      </c>
      <c r="AS116" s="915">
        <f t="shared" si="198"/>
        <v>0</v>
      </c>
      <c r="AT116" s="915">
        <f t="shared" si="199"/>
        <v>0</v>
      </c>
      <c r="AU116" s="915">
        <f t="shared" si="200"/>
        <v>0</v>
      </c>
      <c r="AV116" s="915">
        <f t="shared" si="201"/>
        <v>0</v>
      </c>
      <c r="AW116" s="915">
        <f t="shared" si="202"/>
        <v>0</v>
      </c>
      <c r="AX116" s="915">
        <f t="shared" si="203"/>
        <v>0</v>
      </c>
      <c r="AY116" s="915">
        <f t="shared" si="204"/>
        <v>0</v>
      </c>
      <c r="AZ116" s="915">
        <f t="shared" si="205"/>
        <v>0</v>
      </c>
      <c r="BA116" s="915">
        <f t="shared" si="206"/>
        <v>0</v>
      </c>
      <c r="BB116" s="915">
        <f t="shared" si="207"/>
        <v>0</v>
      </c>
      <c r="BC116" s="915">
        <f t="shared" si="388"/>
        <v>0</v>
      </c>
      <c r="BD116" s="915">
        <f t="shared" si="389"/>
        <v>0</v>
      </c>
      <c r="BE116" s="915">
        <f t="shared" si="390"/>
        <v>0</v>
      </c>
      <c r="BF116" s="915">
        <f t="shared" si="391"/>
        <v>0</v>
      </c>
      <c r="BG116" s="915">
        <f t="shared" si="392"/>
        <v>0</v>
      </c>
      <c r="BH116" s="915">
        <f t="shared" si="393"/>
        <v>0</v>
      </c>
      <c r="BI116" s="915">
        <f t="shared" si="394"/>
        <v>0</v>
      </c>
      <c r="BJ116" s="915">
        <f t="shared" si="395"/>
        <v>0</v>
      </c>
      <c r="BK116" s="915">
        <f t="shared" si="216"/>
        <v>0</v>
      </c>
      <c r="BL116" s="915">
        <f t="shared" si="217"/>
        <v>0</v>
      </c>
      <c r="BM116" s="915">
        <f t="shared" si="218"/>
        <v>0</v>
      </c>
      <c r="BN116" s="915">
        <f t="shared" si="219"/>
        <v>0</v>
      </c>
      <c r="BO116" s="915">
        <f t="shared" si="220"/>
        <v>0</v>
      </c>
      <c r="BP116" s="915">
        <f t="shared" si="221"/>
        <v>0</v>
      </c>
      <c r="BQ116" s="915">
        <f t="shared" si="222"/>
        <v>0</v>
      </c>
      <c r="BR116" s="915">
        <f t="shared" si="223"/>
        <v>0</v>
      </c>
      <c r="BS116" s="915">
        <f t="shared" si="378"/>
        <v>0</v>
      </c>
      <c r="BT116" s="915">
        <f t="shared" si="379"/>
        <v>0</v>
      </c>
      <c r="BU116" s="915">
        <f t="shared" si="380"/>
        <v>0</v>
      </c>
      <c r="BV116" s="915">
        <f t="shared" si="381"/>
        <v>0</v>
      </c>
      <c r="BW116" s="915">
        <f t="shared" si="382"/>
        <v>0</v>
      </c>
      <c r="BX116" s="915">
        <f t="shared" si="383"/>
        <v>0</v>
      </c>
      <c r="BY116" s="915">
        <f t="shared" si="384"/>
        <v>0</v>
      </c>
      <c r="BZ116" s="915">
        <f t="shared" si="385"/>
        <v>0</v>
      </c>
      <c r="CA116" s="915">
        <f t="shared" si="396"/>
        <v>0</v>
      </c>
      <c r="CB116" s="915">
        <f t="shared" si="397"/>
        <v>0</v>
      </c>
      <c r="CC116" s="915">
        <f t="shared" si="398"/>
        <v>0</v>
      </c>
      <c r="CD116" s="915">
        <f t="shared" si="399"/>
        <v>0</v>
      </c>
      <c r="CE116" s="915">
        <f t="shared" si="400"/>
        <v>0</v>
      </c>
      <c r="CF116" s="915">
        <f t="shared" si="401"/>
        <v>0</v>
      </c>
      <c r="CG116" s="915">
        <f t="shared" si="402"/>
        <v>0</v>
      </c>
      <c r="CH116" s="915">
        <f t="shared" si="403"/>
        <v>0</v>
      </c>
      <c r="CI116" s="915">
        <f t="shared" si="336"/>
        <v>0</v>
      </c>
      <c r="CJ116" s="915">
        <f t="shared" si="337"/>
        <v>0</v>
      </c>
      <c r="CK116" s="915">
        <f t="shared" si="338"/>
        <v>0</v>
      </c>
      <c r="CL116" s="915">
        <f t="shared" si="339"/>
        <v>0</v>
      </c>
      <c r="CM116" s="915">
        <f t="shared" si="340"/>
        <v>0</v>
      </c>
      <c r="CN116" s="915">
        <f t="shared" si="341"/>
        <v>0</v>
      </c>
      <c r="CO116" s="915">
        <f t="shared" si="342"/>
        <v>0</v>
      </c>
      <c r="CP116" s="915">
        <f t="shared" si="343"/>
        <v>0</v>
      </c>
      <c r="CQ116" s="915">
        <f t="shared" si="370"/>
        <v>0</v>
      </c>
      <c r="CR116" s="915">
        <f t="shared" si="371"/>
        <v>0</v>
      </c>
      <c r="CS116" s="915">
        <f t="shared" si="372"/>
        <v>0</v>
      </c>
      <c r="CT116" s="915">
        <f t="shared" si="373"/>
        <v>0</v>
      </c>
      <c r="CU116" s="915">
        <f t="shared" si="374"/>
        <v>0</v>
      </c>
      <c r="CV116" s="915">
        <f t="shared" si="375"/>
        <v>0</v>
      </c>
      <c r="CW116" s="915">
        <f t="shared" si="376"/>
        <v>0</v>
      </c>
      <c r="CX116" s="915">
        <f t="shared" si="377"/>
        <v>0</v>
      </c>
      <c r="CY116" s="915">
        <f t="shared" si="256"/>
        <v>0</v>
      </c>
      <c r="CZ116" s="915">
        <f t="shared" si="257"/>
        <v>0</v>
      </c>
      <c r="DA116" s="915">
        <f t="shared" si="258"/>
        <v>0</v>
      </c>
      <c r="DB116" s="915">
        <f t="shared" si="259"/>
        <v>0</v>
      </c>
      <c r="DC116" s="915">
        <f t="shared" si="260"/>
        <v>0</v>
      </c>
      <c r="DD116" s="915">
        <f t="shared" si="261"/>
        <v>0</v>
      </c>
      <c r="DE116" s="915">
        <f t="shared" si="262"/>
        <v>0</v>
      </c>
      <c r="DF116" s="915">
        <f t="shared" si="263"/>
        <v>0</v>
      </c>
      <c r="DG116" s="915">
        <f t="shared" si="264"/>
        <v>0</v>
      </c>
      <c r="DH116" s="915">
        <f t="shared" si="265"/>
        <v>0</v>
      </c>
      <c r="DI116" s="915">
        <f t="shared" si="266"/>
        <v>0</v>
      </c>
      <c r="DJ116" s="915">
        <f t="shared" si="267"/>
        <v>0</v>
      </c>
      <c r="DK116" s="915">
        <f t="shared" si="268"/>
        <v>0</v>
      </c>
      <c r="DL116" s="915">
        <f t="shared" si="269"/>
        <v>0</v>
      </c>
      <c r="DM116" s="915">
        <f t="shared" si="270"/>
        <v>0</v>
      </c>
      <c r="DN116" s="915">
        <f t="shared" si="271"/>
        <v>0</v>
      </c>
      <c r="DO116" s="915">
        <f t="shared" si="406"/>
        <v>0</v>
      </c>
      <c r="DP116" s="915">
        <f t="shared" si="407"/>
        <v>0</v>
      </c>
      <c r="DQ116" s="915">
        <f t="shared" si="408"/>
        <v>0</v>
      </c>
      <c r="DR116" s="915">
        <f t="shared" si="409"/>
        <v>0</v>
      </c>
      <c r="DS116" s="915">
        <f t="shared" si="410"/>
        <v>0</v>
      </c>
      <c r="DT116" s="915">
        <f t="shared" si="411"/>
        <v>0</v>
      </c>
      <c r="DU116" s="915">
        <f t="shared" si="412"/>
        <v>0</v>
      </c>
      <c r="DV116" s="915">
        <f t="shared" si="413"/>
        <v>0</v>
      </c>
      <c r="DW116" s="915">
        <f t="shared" si="414"/>
        <v>0</v>
      </c>
      <c r="DX116" s="915">
        <f t="shared" si="415"/>
        <v>0</v>
      </c>
      <c r="DY116" s="915">
        <f t="shared" si="416"/>
        <v>0</v>
      </c>
      <c r="DZ116" s="915">
        <f t="shared" si="417"/>
        <v>0</v>
      </c>
      <c r="EA116" s="915">
        <f t="shared" si="418"/>
        <v>7.42</v>
      </c>
      <c r="EB116" s="915">
        <f t="shared" si="419"/>
        <v>0</v>
      </c>
      <c r="EC116" s="915">
        <f t="shared" si="420"/>
        <v>0</v>
      </c>
      <c r="ED116" s="915">
        <f t="shared" si="421"/>
        <v>0</v>
      </c>
      <c r="EE116" s="915">
        <f t="shared" si="288"/>
        <v>0</v>
      </c>
      <c r="EF116" s="915">
        <f t="shared" si="289"/>
        <v>0</v>
      </c>
      <c r="EG116" s="915">
        <f t="shared" si="290"/>
        <v>0</v>
      </c>
      <c r="EH116" s="915">
        <f t="shared" si="291"/>
        <v>0</v>
      </c>
      <c r="EI116" s="915">
        <f t="shared" si="292"/>
        <v>0</v>
      </c>
      <c r="EJ116" s="915">
        <f t="shared" si="293"/>
        <v>0</v>
      </c>
      <c r="EK116" s="915">
        <f t="shared" si="294"/>
        <v>0</v>
      </c>
      <c r="EL116" s="915">
        <f t="shared" si="295"/>
        <v>0</v>
      </c>
      <c r="EM116" s="915">
        <f t="shared" si="296"/>
        <v>0</v>
      </c>
      <c r="EN116" s="915">
        <f t="shared" si="297"/>
        <v>0</v>
      </c>
      <c r="EO116" s="915">
        <f t="shared" si="298"/>
        <v>0</v>
      </c>
      <c r="EP116" s="915">
        <f t="shared" si="299"/>
        <v>0</v>
      </c>
      <c r="EQ116" s="915">
        <f t="shared" si="300"/>
        <v>0</v>
      </c>
      <c r="ER116" s="915">
        <f t="shared" si="301"/>
        <v>0</v>
      </c>
      <c r="ES116" s="915">
        <f t="shared" si="302"/>
        <v>0</v>
      </c>
      <c r="ET116" s="915">
        <f t="shared" si="303"/>
        <v>0</v>
      </c>
      <c r="EU116" s="915">
        <f t="shared" si="304"/>
        <v>0</v>
      </c>
      <c r="EV116" s="915">
        <f t="shared" si="305"/>
        <v>0</v>
      </c>
      <c r="EW116" s="915">
        <f t="shared" si="306"/>
        <v>0</v>
      </c>
      <c r="EX116" s="915">
        <f t="shared" si="307"/>
        <v>0</v>
      </c>
      <c r="EY116" s="915">
        <f t="shared" si="308"/>
        <v>0</v>
      </c>
      <c r="EZ116" s="915">
        <f t="shared" si="309"/>
        <v>0</v>
      </c>
      <c r="FA116" s="915">
        <f t="shared" si="310"/>
        <v>0</v>
      </c>
      <c r="FB116" s="915">
        <f t="shared" si="311"/>
        <v>0</v>
      </c>
      <c r="FC116" s="915">
        <f t="shared" si="312"/>
        <v>0</v>
      </c>
      <c r="FD116" s="915">
        <f t="shared" si="313"/>
        <v>0</v>
      </c>
      <c r="FE116" s="915">
        <f t="shared" si="314"/>
        <v>0</v>
      </c>
      <c r="FF116" s="915">
        <f t="shared" si="315"/>
        <v>0</v>
      </c>
      <c r="FG116" s="915">
        <f t="shared" si="316"/>
        <v>0</v>
      </c>
      <c r="FH116" s="915">
        <f t="shared" si="317"/>
        <v>0</v>
      </c>
      <c r="FI116" s="915">
        <f t="shared" si="318"/>
        <v>0</v>
      </c>
      <c r="FJ116" s="915">
        <f t="shared" si="319"/>
        <v>0</v>
      </c>
      <c r="FK116" s="915">
        <f t="shared" si="320"/>
        <v>0</v>
      </c>
      <c r="FL116" s="915">
        <f t="shared" si="321"/>
        <v>0</v>
      </c>
      <c r="FM116" s="915">
        <f t="shared" si="322"/>
        <v>0</v>
      </c>
      <c r="FN116" s="915">
        <f t="shared" si="323"/>
        <v>0</v>
      </c>
      <c r="FO116" s="915">
        <f t="shared" si="324"/>
        <v>0</v>
      </c>
      <c r="FP116" s="915">
        <f t="shared" si="325"/>
        <v>0</v>
      </c>
      <c r="FQ116" s="915">
        <f t="shared" si="326"/>
        <v>0</v>
      </c>
      <c r="FR116" s="915">
        <f t="shared" si="327"/>
        <v>0</v>
      </c>
      <c r="FS116" s="915">
        <f t="shared" si="328"/>
        <v>0</v>
      </c>
      <c r="FT116" s="915">
        <f t="shared" si="329"/>
        <v>0</v>
      </c>
      <c r="FU116" s="915">
        <f t="shared" si="330"/>
        <v>0</v>
      </c>
      <c r="FV116" s="915">
        <f t="shared" si="331"/>
        <v>0</v>
      </c>
      <c r="FW116" s="915">
        <f t="shared" si="332"/>
        <v>0</v>
      </c>
      <c r="FX116" s="915">
        <f t="shared" si="333"/>
        <v>0</v>
      </c>
      <c r="FY116" s="915">
        <f t="shared" si="334"/>
        <v>0</v>
      </c>
      <c r="FZ116" s="915">
        <f t="shared" si="335"/>
        <v>0</v>
      </c>
    </row>
    <row r="117" spans="1:182" x14ac:dyDescent="0.2">
      <c r="A117" s="497">
        <v>110</v>
      </c>
      <c r="B117" s="1423"/>
      <c r="C117" s="1424"/>
      <c r="D117" s="138">
        <v>14</v>
      </c>
      <c r="E117" s="138" t="s">
        <v>170</v>
      </c>
      <c r="F117" s="139" t="s">
        <v>2544</v>
      </c>
      <c r="G117" s="139" t="s">
        <v>2542</v>
      </c>
      <c r="H117" s="100">
        <v>7</v>
      </c>
      <c r="I117" s="119">
        <f t="shared" si="404"/>
        <v>0.42</v>
      </c>
      <c r="J117" s="90">
        <f t="shared" si="405"/>
        <v>7.42</v>
      </c>
      <c r="K117" s="225"/>
      <c r="N117" s="951">
        <f>EB6</f>
        <v>7.42</v>
      </c>
      <c r="O117" s="879" t="str">
        <f>"Other subcontractor for " &amp; TabName14</f>
        <v>Other subcontractor for Phase 14</v>
      </c>
      <c r="P117" s="949" t="s">
        <v>2164</v>
      </c>
      <c r="W117" s="915">
        <f t="shared" si="176"/>
        <v>0</v>
      </c>
      <c r="X117" s="915">
        <f t="shared" si="177"/>
        <v>0</v>
      </c>
      <c r="Y117" s="915">
        <f t="shared" si="178"/>
        <v>0</v>
      </c>
      <c r="Z117" s="915">
        <f t="shared" si="179"/>
        <v>0</v>
      </c>
      <c r="AA117" s="915">
        <f t="shared" si="180"/>
        <v>0</v>
      </c>
      <c r="AB117" s="915">
        <f t="shared" si="181"/>
        <v>0</v>
      </c>
      <c r="AC117" s="915">
        <f t="shared" si="182"/>
        <v>0</v>
      </c>
      <c r="AD117" s="915">
        <f t="shared" si="183"/>
        <v>0</v>
      </c>
      <c r="AE117" s="915">
        <f t="shared" si="184"/>
        <v>0</v>
      </c>
      <c r="AF117" s="915">
        <f t="shared" si="185"/>
        <v>0</v>
      </c>
      <c r="AG117" s="915">
        <f t="shared" si="186"/>
        <v>0</v>
      </c>
      <c r="AH117" s="915">
        <f t="shared" si="187"/>
        <v>0</v>
      </c>
      <c r="AI117" s="915">
        <f t="shared" si="188"/>
        <v>0</v>
      </c>
      <c r="AJ117" s="915">
        <f t="shared" si="189"/>
        <v>0</v>
      </c>
      <c r="AK117" s="915">
        <f t="shared" si="190"/>
        <v>0</v>
      </c>
      <c r="AL117" s="915">
        <f t="shared" si="191"/>
        <v>0</v>
      </c>
      <c r="AM117" s="915">
        <f t="shared" si="192"/>
        <v>0</v>
      </c>
      <c r="AN117" s="915">
        <f t="shared" si="193"/>
        <v>0</v>
      </c>
      <c r="AO117" s="915">
        <f t="shared" si="194"/>
        <v>0</v>
      </c>
      <c r="AP117" s="915">
        <f t="shared" si="195"/>
        <v>0</v>
      </c>
      <c r="AQ117" s="915">
        <f t="shared" si="196"/>
        <v>0</v>
      </c>
      <c r="AR117" s="915">
        <f t="shared" si="197"/>
        <v>0</v>
      </c>
      <c r="AS117" s="915">
        <f t="shared" si="198"/>
        <v>0</v>
      </c>
      <c r="AT117" s="915">
        <f t="shared" si="199"/>
        <v>0</v>
      </c>
      <c r="AU117" s="915">
        <f t="shared" si="200"/>
        <v>0</v>
      </c>
      <c r="AV117" s="915">
        <f t="shared" si="201"/>
        <v>0</v>
      </c>
      <c r="AW117" s="915">
        <f t="shared" si="202"/>
        <v>0</v>
      </c>
      <c r="AX117" s="915">
        <f t="shared" si="203"/>
        <v>0</v>
      </c>
      <c r="AY117" s="915">
        <f t="shared" si="204"/>
        <v>0</v>
      </c>
      <c r="AZ117" s="915">
        <f t="shared" si="205"/>
        <v>0</v>
      </c>
      <c r="BA117" s="915">
        <f t="shared" si="206"/>
        <v>0</v>
      </c>
      <c r="BB117" s="915">
        <f t="shared" si="207"/>
        <v>0</v>
      </c>
      <c r="BC117" s="915">
        <f t="shared" si="388"/>
        <v>0</v>
      </c>
      <c r="BD117" s="915">
        <f t="shared" si="389"/>
        <v>0</v>
      </c>
      <c r="BE117" s="915">
        <f t="shared" si="390"/>
        <v>0</v>
      </c>
      <c r="BF117" s="915">
        <f t="shared" si="391"/>
        <v>0</v>
      </c>
      <c r="BG117" s="915">
        <f t="shared" si="392"/>
        <v>0</v>
      </c>
      <c r="BH117" s="915">
        <f t="shared" si="393"/>
        <v>0</v>
      </c>
      <c r="BI117" s="915">
        <f t="shared" si="394"/>
        <v>0</v>
      </c>
      <c r="BJ117" s="915">
        <f t="shared" si="395"/>
        <v>0</v>
      </c>
      <c r="BK117" s="915">
        <f t="shared" si="216"/>
        <v>0</v>
      </c>
      <c r="BL117" s="915">
        <f t="shared" si="217"/>
        <v>0</v>
      </c>
      <c r="BM117" s="915">
        <f t="shared" si="218"/>
        <v>0</v>
      </c>
      <c r="BN117" s="915">
        <f t="shared" si="219"/>
        <v>0</v>
      </c>
      <c r="BO117" s="915">
        <f t="shared" si="220"/>
        <v>0</v>
      </c>
      <c r="BP117" s="915">
        <f t="shared" si="221"/>
        <v>0</v>
      </c>
      <c r="BQ117" s="915">
        <f t="shared" si="222"/>
        <v>0</v>
      </c>
      <c r="BR117" s="915">
        <f t="shared" si="223"/>
        <v>0</v>
      </c>
      <c r="BS117" s="915">
        <f t="shared" si="378"/>
        <v>0</v>
      </c>
      <c r="BT117" s="915">
        <f t="shared" si="379"/>
        <v>0</v>
      </c>
      <c r="BU117" s="915">
        <f t="shared" si="380"/>
        <v>0</v>
      </c>
      <c r="BV117" s="915">
        <f t="shared" si="381"/>
        <v>0</v>
      </c>
      <c r="BW117" s="915">
        <f t="shared" si="382"/>
        <v>0</v>
      </c>
      <c r="BX117" s="915">
        <f t="shared" si="383"/>
        <v>0</v>
      </c>
      <c r="BY117" s="915">
        <f t="shared" si="384"/>
        <v>0</v>
      </c>
      <c r="BZ117" s="915">
        <f t="shared" si="385"/>
        <v>0</v>
      </c>
      <c r="CA117" s="915">
        <f t="shared" si="396"/>
        <v>0</v>
      </c>
      <c r="CB117" s="915">
        <f t="shared" si="397"/>
        <v>0</v>
      </c>
      <c r="CC117" s="915">
        <f t="shared" si="398"/>
        <v>0</v>
      </c>
      <c r="CD117" s="915">
        <f t="shared" si="399"/>
        <v>0</v>
      </c>
      <c r="CE117" s="915">
        <f t="shared" si="400"/>
        <v>0</v>
      </c>
      <c r="CF117" s="915">
        <f t="shared" si="401"/>
        <v>0</v>
      </c>
      <c r="CG117" s="915">
        <f t="shared" si="402"/>
        <v>0</v>
      </c>
      <c r="CH117" s="915">
        <f t="shared" si="403"/>
        <v>0</v>
      </c>
      <c r="CI117" s="915">
        <f t="shared" si="336"/>
        <v>0</v>
      </c>
      <c r="CJ117" s="915">
        <f t="shared" si="337"/>
        <v>0</v>
      </c>
      <c r="CK117" s="915">
        <f t="shared" si="338"/>
        <v>0</v>
      </c>
      <c r="CL117" s="915">
        <f t="shared" si="339"/>
        <v>0</v>
      </c>
      <c r="CM117" s="915">
        <f t="shared" si="340"/>
        <v>0</v>
      </c>
      <c r="CN117" s="915">
        <f t="shared" si="341"/>
        <v>0</v>
      </c>
      <c r="CO117" s="915">
        <f t="shared" si="342"/>
        <v>0</v>
      </c>
      <c r="CP117" s="915">
        <f t="shared" si="343"/>
        <v>0</v>
      </c>
      <c r="CQ117" s="915">
        <f t="shared" si="370"/>
        <v>0</v>
      </c>
      <c r="CR117" s="915">
        <f t="shared" si="371"/>
        <v>0</v>
      </c>
      <c r="CS117" s="915">
        <f t="shared" si="372"/>
        <v>0</v>
      </c>
      <c r="CT117" s="915">
        <f t="shared" si="373"/>
        <v>0</v>
      </c>
      <c r="CU117" s="915">
        <f t="shared" si="374"/>
        <v>0</v>
      </c>
      <c r="CV117" s="915">
        <f t="shared" si="375"/>
        <v>0</v>
      </c>
      <c r="CW117" s="915">
        <f t="shared" si="376"/>
        <v>0</v>
      </c>
      <c r="CX117" s="915">
        <f t="shared" si="377"/>
        <v>0</v>
      </c>
      <c r="CY117" s="915">
        <f t="shared" si="256"/>
        <v>0</v>
      </c>
      <c r="CZ117" s="915">
        <f t="shared" si="257"/>
        <v>0</v>
      </c>
      <c r="DA117" s="915">
        <f t="shared" si="258"/>
        <v>0</v>
      </c>
      <c r="DB117" s="915">
        <f t="shared" si="259"/>
        <v>0</v>
      </c>
      <c r="DC117" s="915">
        <f t="shared" si="260"/>
        <v>0</v>
      </c>
      <c r="DD117" s="915">
        <f t="shared" si="261"/>
        <v>0</v>
      </c>
      <c r="DE117" s="915">
        <f t="shared" si="262"/>
        <v>0</v>
      </c>
      <c r="DF117" s="915">
        <f t="shared" si="263"/>
        <v>0</v>
      </c>
      <c r="DG117" s="915">
        <f t="shared" si="264"/>
        <v>0</v>
      </c>
      <c r="DH117" s="915">
        <f t="shared" si="265"/>
        <v>0</v>
      </c>
      <c r="DI117" s="915">
        <f t="shared" si="266"/>
        <v>0</v>
      </c>
      <c r="DJ117" s="915">
        <f t="shared" si="267"/>
        <v>0</v>
      </c>
      <c r="DK117" s="915">
        <f t="shared" si="268"/>
        <v>0</v>
      </c>
      <c r="DL117" s="915">
        <f t="shared" si="269"/>
        <v>0</v>
      </c>
      <c r="DM117" s="915">
        <f t="shared" si="270"/>
        <v>0</v>
      </c>
      <c r="DN117" s="915">
        <f t="shared" si="271"/>
        <v>0</v>
      </c>
      <c r="DO117" s="915">
        <f t="shared" si="406"/>
        <v>0</v>
      </c>
      <c r="DP117" s="915">
        <f t="shared" si="407"/>
        <v>0</v>
      </c>
      <c r="DQ117" s="915">
        <f t="shared" si="408"/>
        <v>0</v>
      </c>
      <c r="DR117" s="915">
        <f t="shared" si="409"/>
        <v>0</v>
      </c>
      <c r="DS117" s="915">
        <f t="shared" si="410"/>
        <v>0</v>
      </c>
      <c r="DT117" s="915">
        <f t="shared" si="411"/>
        <v>0</v>
      </c>
      <c r="DU117" s="915">
        <f t="shared" si="412"/>
        <v>0</v>
      </c>
      <c r="DV117" s="915">
        <f t="shared" si="413"/>
        <v>0</v>
      </c>
      <c r="DW117" s="915">
        <f t="shared" si="414"/>
        <v>0</v>
      </c>
      <c r="DX117" s="915">
        <f t="shared" si="415"/>
        <v>0</v>
      </c>
      <c r="DY117" s="915">
        <f t="shared" si="416"/>
        <v>0</v>
      </c>
      <c r="DZ117" s="915">
        <f t="shared" si="417"/>
        <v>0</v>
      </c>
      <c r="EA117" s="915">
        <f t="shared" si="418"/>
        <v>0</v>
      </c>
      <c r="EB117" s="915">
        <f t="shared" si="419"/>
        <v>7.42</v>
      </c>
      <c r="EC117" s="915">
        <f t="shared" si="420"/>
        <v>0</v>
      </c>
      <c r="ED117" s="915">
        <f t="shared" si="421"/>
        <v>0</v>
      </c>
      <c r="EE117" s="915">
        <f t="shared" si="288"/>
        <v>0</v>
      </c>
      <c r="EF117" s="915">
        <f t="shared" si="289"/>
        <v>0</v>
      </c>
      <c r="EG117" s="915">
        <f t="shared" si="290"/>
        <v>0</v>
      </c>
      <c r="EH117" s="915">
        <f t="shared" si="291"/>
        <v>0</v>
      </c>
      <c r="EI117" s="915">
        <f t="shared" si="292"/>
        <v>0</v>
      </c>
      <c r="EJ117" s="915">
        <f t="shared" si="293"/>
        <v>0</v>
      </c>
      <c r="EK117" s="915">
        <f t="shared" si="294"/>
        <v>0</v>
      </c>
      <c r="EL117" s="915">
        <f t="shared" si="295"/>
        <v>0</v>
      </c>
      <c r="EM117" s="915">
        <f t="shared" si="296"/>
        <v>0</v>
      </c>
      <c r="EN117" s="915">
        <f t="shared" si="297"/>
        <v>0</v>
      </c>
      <c r="EO117" s="915">
        <f t="shared" si="298"/>
        <v>0</v>
      </c>
      <c r="EP117" s="915">
        <f t="shared" si="299"/>
        <v>0</v>
      </c>
      <c r="EQ117" s="915">
        <f t="shared" si="300"/>
        <v>0</v>
      </c>
      <c r="ER117" s="915">
        <f t="shared" si="301"/>
        <v>0</v>
      </c>
      <c r="ES117" s="915">
        <f t="shared" si="302"/>
        <v>0</v>
      </c>
      <c r="ET117" s="915">
        <f t="shared" si="303"/>
        <v>0</v>
      </c>
      <c r="EU117" s="915">
        <f t="shared" si="304"/>
        <v>0</v>
      </c>
      <c r="EV117" s="915">
        <f t="shared" si="305"/>
        <v>0</v>
      </c>
      <c r="EW117" s="915">
        <f t="shared" si="306"/>
        <v>0</v>
      </c>
      <c r="EX117" s="915">
        <f t="shared" si="307"/>
        <v>0</v>
      </c>
      <c r="EY117" s="915">
        <f t="shared" si="308"/>
        <v>0</v>
      </c>
      <c r="EZ117" s="915">
        <f t="shared" si="309"/>
        <v>0</v>
      </c>
      <c r="FA117" s="915">
        <f t="shared" si="310"/>
        <v>0</v>
      </c>
      <c r="FB117" s="915">
        <f t="shared" si="311"/>
        <v>0</v>
      </c>
      <c r="FC117" s="915">
        <f t="shared" si="312"/>
        <v>0</v>
      </c>
      <c r="FD117" s="915">
        <f t="shared" si="313"/>
        <v>0</v>
      </c>
      <c r="FE117" s="915">
        <f t="shared" si="314"/>
        <v>0</v>
      </c>
      <c r="FF117" s="915">
        <f t="shared" si="315"/>
        <v>0</v>
      </c>
      <c r="FG117" s="915">
        <f t="shared" si="316"/>
        <v>0</v>
      </c>
      <c r="FH117" s="915">
        <f t="shared" si="317"/>
        <v>0</v>
      </c>
      <c r="FI117" s="915">
        <f t="shared" si="318"/>
        <v>0</v>
      </c>
      <c r="FJ117" s="915">
        <f t="shared" si="319"/>
        <v>0</v>
      </c>
      <c r="FK117" s="915">
        <f t="shared" si="320"/>
        <v>0</v>
      </c>
      <c r="FL117" s="915">
        <f t="shared" si="321"/>
        <v>0</v>
      </c>
      <c r="FM117" s="915">
        <f t="shared" si="322"/>
        <v>0</v>
      </c>
      <c r="FN117" s="915">
        <f t="shared" si="323"/>
        <v>0</v>
      </c>
      <c r="FO117" s="915">
        <f t="shared" si="324"/>
        <v>0</v>
      </c>
      <c r="FP117" s="915">
        <f t="shared" si="325"/>
        <v>0</v>
      </c>
      <c r="FQ117" s="915">
        <f t="shared" si="326"/>
        <v>0</v>
      </c>
      <c r="FR117" s="915">
        <f t="shared" si="327"/>
        <v>0</v>
      </c>
      <c r="FS117" s="915">
        <f t="shared" si="328"/>
        <v>0</v>
      </c>
      <c r="FT117" s="915">
        <f t="shared" si="329"/>
        <v>0</v>
      </c>
      <c r="FU117" s="915">
        <f t="shared" si="330"/>
        <v>0</v>
      </c>
      <c r="FV117" s="915">
        <f t="shared" si="331"/>
        <v>0</v>
      </c>
      <c r="FW117" s="915">
        <f t="shared" si="332"/>
        <v>0</v>
      </c>
      <c r="FX117" s="915">
        <f t="shared" si="333"/>
        <v>0</v>
      </c>
      <c r="FY117" s="915">
        <f t="shared" si="334"/>
        <v>0</v>
      </c>
      <c r="FZ117" s="915">
        <f t="shared" si="335"/>
        <v>0</v>
      </c>
    </row>
    <row r="118" spans="1:182" x14ac:dyDescent="0.2">
      <c r="A118" s="496">
        <v>111</v>
      </c>
      <c r="B118" s="1419"/>
      <c r="C118" s="1433"/>
      <c r="D118" s="264">
        <v>14</v>
      </c>
      <c r="E118" s="264" t="s">
        <v>48</v>
      </c>
      <c r="F118" s="270" t="s">
        <v>2544</v>
      </c>
      <c r="G118" s="270" t="s">
        <v>2542</v>
      </c>
      <c r="H118" s="272">
        <v>7</v>
      </c>
      <c r="I118" s="268">
        <f t="shared" si="404"/>
        <v>0.42</v>
      </c>
      <c r="J118" s="269">
        <f t="shared" si="405"/>
        <v>7.42</v>
      </c>
      <c r="K118" s="225"/>
      <c r="N118" s="951">
        <f>EC6</f>
        <v>7.42</v>
      </c>
      <c r="O118" s="915" t="str">
        <f>"Miscellaneous for "&amp;TabName14</f>
        <v>Miscellaneous for Phase 14</v>
      </c>
      <c r="P118" s="949" t="s">
        <v>2165</v>
      </c>
      <c r="W118" s="915">
        <f t="shared" si="176"/>
        <v>0</v>
      </c>
      <c r="X118" s="915">
        <f t="shared" si="177"/>
        <v>0</v>
      </c>
      <c r="Y118" s="915">
        <f t="shared" si="178"/>
        <v>0</v>
      </c>
      <c r="Z118" s="915">
        <f t="shared" si="179"/>
        <v>0</v>
      </c>
      <c r="AA118" s="915">
        <f t="shared" si="180"/>
        <v>0</v>
      </c>
      <c r="AB118" s="915">
        <f t="shared" si="181"/>
        <v>0</v>
      </c>
      <c r="AC118" s="915">
        <f t="shared" si="182"/>
        <v>0</v>
      </c>
      <c r="AD118" s="915">
        <f t="shared" si="183"/>
        <v>0</v>
      </c>
      <c r="AE118" s="915">
        <f t="shared" si="184"/>
        <v>0</v>
      </c>
      <c r="AF118" s="915">
        <f t="shared" si="185"/>
        <v>0</v>
      </c>
      <c r="AG118" s="915">
        <f t="shared" si="186"/>
        <v>0</v>
      </c>
      <c r="AH118" s="915">
        <f t="shared" si="187"/>
        <v>0</v>
      </c>
      <c r="AI118" s="915">
        <f t="shared" si="188"/>
        <v>0</v>
      </c>
      <c r="AJ118" s="915">
        <f t="shared" si="189"/>
        <v>0</v>
      </c>
      <c r="AK118" s="915">
        <f t="shared" si="190"/>
        <v>0</v>
      </c>
      <c r="AL118" s="915">
        <f t="shared" si="191"/>
        <v>0</v>
      </c>
      <c r="AM118" s="915">
        <f t="shared" si="192"/>
        <v>0</v>
      </c>
      <c r="AN118" s="915">
        <f t="shared" si="193"/>
        <v>0</v>
      </c>
      <c r="AO118" s="915">
        <f t="shared" si="194"/>
        <v>0</v>
      </c>
      <c r="AP118" s="915">
        <f t="shared" si="195"/>
        <v>0</v>
      </c>
      <c r="AQ118" s="915">
        <f t="shared" si="196"/>
        <v>0</v>
      </c>
      <c r="AR118" s="915">
        <f t="shared" si="197"/>
        <v>0</v>
      </c>
      <c r="AS118" s="915">
        <f t="shared" si="198"/>
        <v>0</v>
      </c>
      <c r="AT118" s="915">
        <f t="shared" si="199"/>
        <v>0</v>
      </c>
      <c r="AU118" s="915">
        <f t="shared" si="200"/>
        <v>0</v>
      </c>
      <c r="AV118" s="915">
        <f t="shared" si="201"/>
        <v>0</v>
      </c>
      <c r="AW118" s="915">
        <f t="shared" si="202"/>
        <v>0</v>
      </c>
      <c r="AX118" s="915">
        <f t="shared" si="203"/>
        <v>0</v>
      </c>
      <c r="AY118" s="915">
        <f t="shared" si="204"/>
        <v>0</v>
      </c>
      <c r="AZ118" s="915">
        <f t="shared" si="205"/>
        <v>0</v>
      </c>
      <c r="BA118" s="915">
        <f t="shared" si="206"/>
        <v>0</v>
      </c>
      <c r="BB118" s="915">
        <f t="shared" si="207"/>
        <v>0</v>
      </c>
      <c r="BC118" s="915">
        <f t="shared" si="388"/>
        <v>0</v>
      </c>
      <c r="BD118" s="915">
        <f t="shared" si="389"/>
        <v>0</v>
      </c>
      <c r="BE118" s="915">
        <f t="shared" si="390"/>
        <v>0</v>
      </c>
      <c r="BF118" s="915">
        <f t="shared" si="391"/>
        <v>0</v>
      </c>
      <c r="BG118" s="915">
        <f t="shared" si="392"/>
        <v>0</v>
      </c>
      <c r="BH118" s="915">
        <f t="shared" si="393"/>
        <v>0</v>
      </c>
      <c r="BI118" s="915">
        <f t="shared" si="394"/>
        <v>0</v>
      </c>
      <c r="BJ118" s="915">
        <f t="shared" si="395"/>
        <v>0</v>
      </c>
      <c r="BK118" s="915">
        <f t="shared" si="216"/>
        <v>0</v>
      </c>
      <c r="BL118" s="915">
        <f t="shared" si="217"/>
        <v>0</v>
      </c>
      <c r="BM118" s="915">
        <f t="shared" si="218"/>
        <v>0</v>
      </c>
      <c r="BN118" s="915">
        <f t="shared" si="219"/>
        <v>0</v>
      </c>
      <c r="BO118" s="915">
        <f t="shared" si="220"/>
        <v>0</v>
      </c>
      <c r="BP118" s="915">
        <f t="shared" si="221"/>
        <v>0</v>
      </c>
      <c r="BQ118" s="915">
        <f t="shared" si="222"/>
        <v>0</v>
      </c>
      <c r="BR118" s="915">
        <f t="shared" si="223"/>
        <v>0</v>
      </c>
      <c r="BS118" s="915">
        <f t="shared" si="378"/>
        <v>0</v>
      </c>
      <c r="BT118" s="915">
        <f t="shared" si="379"/>
        <v>0</v>
      </c>
      <c r="BU118" s="915">
        <f t="shared" si="380"/>
        <v>0</v>
      </c>
      <c r="BV118" s="915">
        <f t="shared" si="381"/>
        <v>0</v>
      </c>
      <c r="BW118" s="915">
        <f t="shared" si="382"/>
        <v>0</v>
      </c>
      <c r="BX118" s="915">
        <f t="shared" si="383"/>
        <v>0</v>
      </c>
      <c r="BY118" s="915">
        <f t="shared" si="384"/>
        <v>0</v>
      </c>
      <c r="BZ118" s="915">
        <f t="shared" si="385"/>
        <v>0</v>
      </c>
      <c r="CA118" s="915">
        <f t="shared" si="396"/>
        <v>0</v>
      </c>
      <c r="CB118" s="915">
        <f t="shared" si="397"/>
        <v>0</v>
      </c>
      <c r="CC118" s="915">
        <f t="shared" si="398"/>
        <v>0</v>
      </c>
      <c r="CD118" s="915">
        <f t="shared" si="399"/>
        <v>0</v>
      </c>
      <c r="CE118" s="915">
        <f t="shared" si="400"/>
        <v>0</v>
      </c>
      <c r="CF118" s="915">
        <f t="shared" si="401"/>
        <v>0</v>
      </c>
      <c r="CG118" s="915">
        <f t="shared" si="402"/>
        <v>0</v>
      </c>
      <c r="CH118" s="915">
        <f t="shared" si="403"/>
        <v>0</v>
      </c>
      <c r="CI118" s="915">
        <f t="shared" si="336"/>
        <v>0</v>
      </c>
      <c r="CJ118" s="915">
        <f t="shared" si="337"/>
        <v>0</v>
      </c>
      <c r="CK118" s="915">
        <f t="shared" si="338"/>
        <v>0</v>
      </c>
      <c r="CL118" s="915">
        <f t="shared" si="339"/>
        <v>0</v>
      </c>
      <c r="CM118" s="915">
        <f t="shared" si="340"/>
        <v>0</v>
      </c>
      <c r="CN118" s="915">
        <f t="shared" si="341"/>
        <v>0</v>
      </c>
      <c r="CO118" s="915">
        <f t="shared" si="342"/>
        <v>0</v>
      </c>
      <c r="CP118" s="915">
        <f t="shared" si="343"/>
        <v>0</v>
      </c>
      <c r="CQ118" s="915">
        <f t="shared" si="370"/>
        <v>0</v>
      </c>
      <c r="CR118" s="915">
        <f t="shared" si="371"/>
        <v>0</v>
      </c>
      <c r="CS118" s="915">
        <f t="shared" si="372"/>
        <v>0</v>
      </c>
      <c r="CT118" s="915">
        <f t="shared" si="373"/>
        <v>0</v>
      </c>
      <c r="CU118" s="915">
        <f t="shared" si="374"/>
        <v>0</v>
      </c>
      <c r="CV118" s="915">
        <f t="shared" si="375"/>
        <v>0</v>
      </c>
      <c r="CW118" s="915">
        <f t="shared" si="376"/>
        <v>0</v>
      </c>
      <c r="CX118" s="915">
        <f t="shared" si="377"/>
        <v>0</v>
      </c>
      <c r="CY118" s="915">
        <f t="shared" si="256"/>
        <v>0</v>
      </c>
      <c r="CZ118" s="915">
        <f t="shared" si="257"/>
        <v>0</v>
      </c>
      <c r="DA118" s="915">
        <f t="shared" si="258"/>
        <v>0</v>
      </c>
      <c r="DB118" s="915">
        <f t="shared" si="259"/>
        <v>0</v>
      </c>
      <c r="DC118" s="915">
        <f t="shared" si="260"/>
        <v>0</v>
      </c>
      <c r="DD118" s="915">
        <f t="shared" si="261"/>
        <v>0</v>
      </c>
      <c r="DE118" s="915">
        <f t="shared" si="262"/>
        <v>0</v>
      </c>
      <c r="DF118" s="915">
        <f t="shared" si="263"/>
        <v>0</v>
      </c>
      <c r="DG118" s="915">
        <f t="shared" si="264"/>
        <v>0</v>
      </c>
      <c r="DH118" s="915">
        <f t="shared" si="265"/>
        <v>0</v>
      </c>
      <c r="DI118" s="915">
        <f t="shared" si="266"/>
        <v>0</v>
      </c>
      <c r="DJ118" s="915">
        <f t="shared" si="267"/>
        <v>0</v>
      </c>
      <c r="DK118" s="915">
        <f t="shared" si="268"/>
        <v>0</v>
      </c>
      <c r="DL118" s="915">
        <f t="shared" si="269"/>
        <v>0</v>
      </c>
      <c r="DM118" s="915">
        <f t="shared" si="270"/>
        <v>0</v>
      </c>
      <c r="DN118" s="915">
        <f t="shared" si="271"/>
        <v>0</v>
      </c>
      <c r="DO118" s="915">
        <f t="shared" si="406"/>
        <v>0</v>
      </c>
      <c r="DP118" s="915">
        <f t="shared" si="407"/>
        <v>0</v>
      </c>
      <c r="DQ118" s="915">
        <f t="shared" si="408"/>
        <v>0</v>
      </c>
      <c r="DR118" s="915">
        <f t="shared" si="409"/>
        <v>0</v>
      </c>
      <c r="DS118" s="915">
        <f t="shared" si="410"/>
        <v>0</v>
      </c>
      <c r="DT118" s="915">
        <f t="shared" si="411"/>
        <v>0</v>
      </c>
      <c r="DU118" s="915">
        <f t="shared" si="412"/>
        <v>0</v>
      </c>
      <c r="DV118" s="915">
        <f t="shared" si="413"/>
        <v>0</v>
      </c>
      <c r="DW118" s="915">
        <f t="shared" si="414"/>
        <v>0</v>
      </c>
      <c r="DX118" s="915">
        <f t="shared" si="415"/>
        <v>0</v>
      </c>
      <c r="DY118" s="915">
        <f t="shared" si="416"/>
        <v>0</v>
      </c>
      <c r="DZ118" s="915">
        <f t="shared" si="417"/>
        <v>0</v>
      </c>
      <c r="EA118" s="915">
        <f t="shared" si="418"/>
        <v>0</v>
      </c>
      <c r="EB118" s="915">
        <f t="shared" si="419"/>
        <v>0</v>
      </c>
      <c r="EC118" s="915">
        <f t="shared" si="420"/>
        <v>7.42</v>
      </c>
      <c r="ED118" s="915">
        <f t="shared" si="421"/>
        <v>0</v>
      </c>
      <c r="EE118" s="915">
        <f t="shared" si="288"/>
        <v>0</v>
      </c>
      <c r="EF118" s="915">
        <f t="shared" si="289"/>
        <v>0</v>
      </c>
      <c r="EG118" s="915">
        <f t="shared" si="290"/>
        <v>0</v>
      </c>
      <c r="EH118" s="915">
        <f t="shared" si="291"/>
        <v>0</v>
      </c>
      <c r="EI118" s="915">
        <f t="shared" si="292"/>
        <v>0</v>
      </c>
      <c r="EJ118" s="915">
        <f t="shared" si="293"/>
        <v>0</v>
      </c>
      <c r="EK118" s="915">
        <f t="shared" si="294"/>
        <v>0</v>
      </c>
      <c r="EL118" s="915">
        <f t="shared" si="295"/>
        <v>0</v>
      </c>
      <c r="EM118" s="915">
        <f t="shared" si="296"/>
        <v>0</v>
      </c>
      <c r="EN118" s="915">
        <f t="shared" si="297"/>
        <v>0</v>
      </c>
      <c r="EO118" s="915">
        <f t="shared" si="298"/>
        <v>0</v>
      </c>
      <c r="EP118" s="915">
        <f t="shared" si="299"/>
        <v>0</v>
      </c>
      <c r="EQ118" s="915">
        <f t="shared" si="300"/>
        <v>0</v>
      </c>
      <c r="ER118" s="915">
        <f t="shared" si="301"/>
        <v>0</v>
      </c>
      <c r="ES118" s="915">
        <f t="shared" si="302"/>
        <v>0</v>
      </c>
      <c r="ET118" s="915">
        <f t="shared" si="303"/>
        <v>0</v>
      </c>
      <c r="EU118" s="915">
        <f t="shared" si="304"/>
        <v>0</v>
      </c>
      <c r="EV118" s="915">
        <f t="shared" si="305"/>
        <v>0</v>
      </c>
      <c r="EW118" s="915">
        <f t="shared" si="306"/>
        <v>0</v>
      </c>
      <c r="EX118" s="915">
        <f t="shared" si="307"/>
        <v>0</v>
      </c>
      <c r="EY118" s="915">
        <f t="shared" si="308"/>
        <v>0</v>
      </c>
      <c r="EZ118" s="915">
        <f t="shared" si="309"/>
        <v>0</v>
      </c>
      <c r="FA118" s="915">
        <f t="shared" si="310"/>
        <v>0</v>
      </c>
      <c r="FB118" s="915">
        <f t="shared" si="311"/>
        <v>0</v>
      </c>
      <c r="FC118" s="915">
        <f t="shared" si="312"/>
        <v>0</v>
      </c>
      <c r="FD118" s="915">
        <f t="shared" si="313"/>
        <v>0</v>
      </c>
      <c r="FE118" s="915">
        <f t="shared" si="314"/>
        <v>0</v>
      </c>
      <c r="FF118" s="915">
        <f t="shared" si="315"/>
        <v>0</v>
      </c>
      <c r="FG118" s="915">
        <f t="shared" si="316"/>
        <v>0</v>
      </c>
      <c r="FH118" s="915">
        <f t="shared" si="317"/>
        <v>0</v>
      </c>
      <c r="FI118" s="915">
        <f t="shared" si="318"/>
        <v>0</v>
      </c>
      <c r="FJ118" s="915">
        <f t="shared" si="319"/>
        <v>0</v>
      </c>
      <c r="FK118" s="915">
        <f t="shared" si="320"/>
        <v>0</v>
      </c>
      <c r="FL118" s="915">
        <f t="shared" si="321"/>
        <v>0</v>
      </c>
      <c r="FM118" s="915">
        <f t="shared" si="322"/>
        <v>0</v>
      </c>
      <c r="FN118" s="915">
        <f t="shared" si="323"/>
        <v>0</v>
      </c>
      <c r="FO118" s="915">
        <f t="shared" si="324"/>
        <v>0</v>
      </c>
      <c r="FP118" s="915">
        <f t="shared" si="325"/>
        <v>0</v>
      </c>
      <c r="FQ118" s="915">
        <f t="shared" si="326"/>
        <v>0</v>
      </c>
      <c r="FR118" s="915">
        <f t="shared" si="327"/>
        <v>0</v>
      </c>
      <c r="FS118" s="915">
        <f t="shared" si="328"/>
        <v>0</v>
      </c>
      <c r="FT118" s="915">
        <f t="shared" si="329"/>
        <v>0</v>
      </c>
      <c r="FU118" s="915">
        <f t="shared" si="330"/>
        <v>0</v>
      </c>
      <c r="FV118" s="915">
        <f t="shared" si="331"/>
        <v>0</v>
      </c>
      <c r="FW118" s="915">
        <f t="shared" si="332"/>
        <v>0</v>
      </c>
      <c r="FX118" s="915">
        <f t="shared" si="333"/>
        <v>0</v>
      </c>
      <c r="FY118" s="915">
        <f t="shared" si="334"/>
        <v>0</v>
      </c>
      <c r="FZ118" s="915">
        <f t="shared" si="335"/>
        <v>0</v>
      </c>
    </row>
    <row r="119" spans="1:182" x14ac:dyDescent="0.2">
      <c r="A119" s="497">
        <v>112</v>
      </c>
      <c r="B119" s="1423"/>
      <c r="C119" s="1424"/>
      <c r="D119" s="138">
        <v>14</v>
      </c>
      <c r="E119" s="138" t="s">
        <v>27</v>
      </c>
      <c r="F119" s="139" t="s">
        <v>2544</v>
      </c>
      <c r="G119" s="139" t="s">
        <v>2542</v>
      </c>
      <c r="H119" s="100">
        <v>7</v>
      </c>
      <c r="I119" s="119">
        <f t="shared" si="404"/>
        <v>0.42</v>
      </c>
      <c r="J119" s="90">
        <f t="shared" si="405"/>
        <v>7.42</v>
      </c>
      <c r="K119" s="225"/>
      <c r="N119" s="951">
        <f>ED6</f>
        <v>7.42</v>
      </c>
      <c r="O119" s="879" t="str">
        <f>"Contractor Labor for " &amp; TabName14</f>
        <v>Contractor Labor for Phase 14</v>
      </c>
      <c r="P119" s="950" t="s">
        <v>2166</v>
      </c>
      <c r="W119" s="915">
        <f t="shared" si="176"/>
        <v>0</v>
      </c>
      <c r="X119" s="915">
        <f t="shared" si="177"/>
        <v>0</v>
      </c>
      <c r="Y119" s="915">
        <f t="shared" si="178"/>
        <v>0</v>
      </c>
      <c r="Z119" s="915">
        <f t="shared" si="179"/>
        <v>0</v>
      </c>
      <c r="AA119" s="915">
        <f t="shared" si="180"/>
        <v>0</v>
      </c>
      <c r="AB119" s="915">
        <f t="shared" si="181"/>
        <v>0</v>
      </c>
      <c r="AC119" s="915">
        <f t="shared" si="182"/>
        <v>0</v>
      </c>
      <c r="AD119" s="915">
        <f t="shared" si="183"/>
        <v>0</v>
      </c>
      <c r="AE119" s="915">
        <f t="shared" si="184"/>
        <v>0</v>
      </c>
      <c r="AF119" s="915">
        <f t="shared" si="185"/>
        <v>0</v>
      </c>
      <c r="AG119" s="915">
        <f t="shared" si="186"/>
        <v>0</v>
      </c>
      <c r="AH119" s="915">
        <f t="shared" si="187"/>
        <v>0</v>
      </c>
      <c r="AI119" s="915">
        <f t="shared" si="188"/>
        <v>0</v>
      </c>
      <c r="AJ119" s="915">
        <f t="shared" si="189"/>
        <v>0</v>
      </c>
      <c r="AK119" s="915">
        <f t="shared" si="190"/>
        <v>0</v>
      </c>
      <c r="AL119" s="915">
        <f t="shared" si="191"/>
        <v>0</v>
      </c>
      <c r="AM119" s="915">
        <f t="shared" si="192"/>
        <v>0</v>
      </c>
      <c r="AN119" s="915">
        <f t="shared" si="193"/>
        <v>0</v>
      </c>
      <c r="AO119" s="915">
        <f t="shared" si="194"/>
        <v>0</v>
      </c>
      <c r="AP119" s="915">
        <f t="shared" si="195"/>
        <v>0</v>
      </c>
      <c r="AQ119" s="915">
        <f t="shared" si="196"/>
        <v>0</v>
      </c>
      <c r="AR119" s="915">
        <f t="shared" si="197"/>
        <v>0</v>
      </c>
      <c r="AS119" s="915">
        <f t="shared" si="198"/>
        <v>0</v>
      </c>
      <c r="AT119" s="915">
        <f t="shared" si="199"/>
        <v>0</v>
      </c>
      <c r="AU119" s="915">
        <f t="shared" si="200"/>
        <v>0</v>
      </c>
      <c r="AV119" s="915">
        <f t="shared" si="201"/>
        <v>0</v>
      </c>
      <c r="AW119" s="915">
        <f t="shared" si="202"/>
        <v>0</v>
      </c>
      <c r="AX119" s="915">
        <f t="shared" si="203"/>
        <v>0</v>
      </c>
      <c r="AY119" s="915">
        <f t="shared" si="204"/>
        <v>0</v>
      </c>
      <c r="AZ119" s="915">
        <f t="shared" si="205"/>
        <v>0</v>
      </c>
      <c r="BA119" s="915">
        <f t="shared" si="206"/>
        <v>0</v>
      </c>
      <c r="BB119" s="915">
        <f t="shared" si="207"/>
        <v>0</v>
      </c>
      <c r="BC119" s="915">
        <f t="shared" si="388"/>
        <v>0</v>
      </c>
      <c r="BD119" s="915">
        <f t="shared" si="389"/>
        <v>0</v>
      </c>
      <c r="BE119" s="915">
        <f t="shared" si="390"/>
        <v>0</v>
      </c>
      <c r="BF119" s="915">
        <f t="shared" si="391"/>
        <v>0</v>
      </c>
      <c r="BG119" s="915">
        <f t="shared" si="392"/>
        <v>0</v>
      </c>
      <c r="BH119" s="915">
        <f t="shared" si="393"/>
        <v>0</v>
      </c>
      <c r="BI119" s="915">
        <f t="shared" si="394"/>
        <v>0</v>
      </c>
      <c r="BJ119" s="915">
        <f t="shared" si="395"/>
        <v>0</v>
      </c>
      <c r="BK119" s="915">
        <f t="shared" si="216"/>
        <v>0</v>
      </c>
      <c r="BL119" s="915">
        <f t="shared" si="217"/>
        <v>0</v>
      </c>
      <c r="BM119" s="915">
        <f t="shared" si="218"/>
        <v>0</v>
      </c>
      <c r="BN119" s="915">
        <f t="shared" si="219"/>
        <v>0</v>
      </c>
      <c r="BO119" s="915">
        <f t="shared" si="220"/>
        <v>0</v>
      </c>
      <c r="BP119" s="915">
        <f t="shared" si="221"/>
        <v>0</v>
      </c>
      <c r="BQ119" s="915">
        <f t="shared" si="222"/>
        <v>0</v>
      </c>
      <c r="BR119" s="915">
        <f t="shared" si="223"/>
        <v>0</v>
      </c>
      <c r="BS119" s="915">
        <f t="shared" si="378"/>
        <v>0</v>
      </c>
      <c r="BT119" s="915">
        <f t="shared" si="379"/>
        <v>0</v>
      </c>
      <c r="BU119" s="915">
        <f t="shared" si="380"/>
        <v>0</v>
      </c>
      <c r="BV119" s="915">
        <f t="shared" si="381"/>
        <v>0</v>
      </c>
      <c r="BW119" s="915">
        <f t="shared" si="382"/>
        <v>0</v>
      </c>
      <c r="BX119" s="915">
        <f t="shared" si="383"/>
        <v>0</v>
      </c>
      <c r="BY119" s="915">
        <f t="shared" si="384"/>
        <v>0</v>
      </c>
      <c r="BZ119" s="915">
        <f t="shared" si="385"/>
        <v>0</v>
      </c>
      <c r="CA119" s="915">
        <f>IF(AND($D119=$R$15,$E119=$T$8),$J119,0)</f>
        <v>0</v>
      </c>
      <c r="CB119" s="915">
        <f>IF(AND($D119=$R$15,$E119=$T$9),$J119,0)</f>
        <v>0</v>
      </c>
      <c r="CC119" s="915">
        <f>IF(AND($D119=$R$15,$E119=$T$10),$J119,0)</f>
        <v>0</v>
      </c>
      <c r="CD119" s="915">
        <f>IF(AND($D119=$R$15,$E119=$T$11),$J119,0)</f>
        <v>0</v>
      </c>
      <c r="CE119" s="915">
        <f>IF(AND($D119=$R$15,$E119=$T$12),$J119,0)</f>
        <v>0</v>
      </c>
      <c r="CF119" s="915">
        <f>IF(AND($D119=$R$15,$E119=$T$13),$J119,0)</f>
        <v>0</v>
      </c>
      <c r="CG119" s="915">
        <f>IF(AND($D119=$R$15,$E119=$T$14),$J119,0)</f>
        <v>0</v>
      </c>
      <c r="CH119" s="915">
        <f>IF(AND($D119=$R$15,$E119=$T$15),$J119,0)</f>
        <v>0</v>
      </c>
      <c r="CI119" s="915">
        <f t="shared" si="336"/>
        <v>0</v>
      </c>
      <c r="CJ119" s="915">
        <f t="shared" si="337"/>
        <v>0</v>
      </c>
      <c r="CK119" s="915">
        <f t="shared" si="338"/>
        <v>0</v>
      </c>
      <c r="CL119" s="915">
        <f t="shared" si="339"/>
        <v>0</v>
      </c>
      <c r="CM119" s="915">
        <f t="shared" si="340"/>
        <v>0</v>
      </c>
      <c r="CN119" s="915">
        <f t="shared" si="341"/>
        <v>0</v>
      </c>
      <c r="CO119" s="915">
        <f t="shared" si="342"/>
        <v>0</v>
      </c>
      <c r="CP119" s="915">
        <f t="shared" si="343"/>
        <v>0</v>
      </c>
      <c r="CQ119" s="915">
        <f t="shared" si="370"/>
        <v>0</v>
      </c>
      <c r="CR119" s="915">
        <f t="shared" si="371"/>
        <v>0</v>
      </c>
      <c r="CS119" s="915">
        <f t="shared" si="372"/>
        <v>0</v>
      </c>
      <c r="CT119" s="915">
        <f t="shared" si="373"/>
        <v>0</v>
      </c>
      <c r="CU119" s="915">
        <f t="shared" si="374"/>
        <v>0</v>
      </c>
      <c r="CV119" s="915">
        <f t="shared" si="375"/>
        <v>0</v>
      </c>
      <c r="CW119" s="915">
        <f t="shared" si="376"/>
        <v>0</v>
      </c>
      <c r="CX119" s="915">
        <f t="shared" si="377"/>
        <v>0</v>
      </c>
      <c r="CY119" s="915">
        <f t="shared" si="256"/>
        <v>0</v>
      </c>
      <c r="CZ119" s="915">
        <f t="shared" si="257"/>
        <v>0</v>
      </c>
      <c r="DA119" s="915">
        <f t="shared" si="258"/>
        <v>0</v>
      </c>
      <c r="DB119" s="915">
        <f t="shared" si="259"/>
        <v>0</v>
      </c>
      <c r="DC119" s="915">
        <f t="shared" si="260"/>
        <v>0</v>
      </c>
      <c r="DD119" s="915">
        <f t="shared" si="261"/>
        <v>0</v>
      </c>
      <c r="DE119" s="915">
        <f t="shared" si="262"/>
        <v>0</v>
      </c>
      <c r="DF119" s="915">
        <f t="shared" si="263"/>
        <v>0</v>
      </c>
      <c r="DG119" s="915">
        <f t="shared" si="264"/>
        <v>0</v>
      </c>
      <c r="DH119" s="915">
        <f t="shared" si="265"/>
        <v>0</v>
      </c>
      <c r="DI119" s="915">
        <f t="shared" si="266"/>
        <v>0</v>
      </c>
      <c r="DJ119" s="915">
        <f t="shared" si="267"/>
        <v>0</v>
      </c>
      <c r="DK119" s="915">
        <f t="shared" si="268"/>
        <v>0</v>
      </c>
      <c r="DL119" s="915">
        <f t="shared" si="269"/>
        <v>0</v>
      </c>
      <c r="DM119" s="915">
        <f t="shared" si="270"/>
        <v>0</v>
      </c>
      <c r="DN119" s="915">
        <f t="shared" si="271"/>
        <v>0</v>
      </c>
      <c r="DO119" s="915">
        <f t="shared" si="406"/>
        <v>0</v>
      </c>
      <c r="DP119" s="915">
        <f t="shared" si="407"/>
        <v>0</v>
      </c>
      <c r="DQ119" s="915">
        <f t="shared" si="408"/>
        <v>0</v>
      </c>
      <c r="DR119" s="915">
        <f t="shared" si="409"/>
        <v>0</v>
      </c>
      <c r="DS119" s="915">
        <f t="shared" si="410"/>
        <v>0</v>
      </c>
      <c r="DT119" s="915">
        <f t="shared" si="411"/>
        <v>0</v>
      </c>
      <c r="DU119" s="915">
        <f t="shared" si="412"/>
        <v>0</v>
      </c>
      <c r="DV119" s="915">
        <f t="shared" si="413"/>
        <v>0</v>
      </c>
      <c r="DW119" s="915">
        <f t="shared" si="414"/>
        <v>0</v>
      </c>
      <c r="DX119" s="915">
        <f t="shared" si="415"/>
        <v>0</v>
      </c>
      <c r="DY119" s="915">
        <f t="shared" si="416"/>
        <v>0</v>
      </c>
      <c r="DZ119" s="915">
        <f t="shared" si="417"/>
        <v>0</v>
      </c>
      <c r="EA119" s="915">
        <f t="shared" si="418"/>
        <v>0</v>
      </c>
      <c r="EB119" s="915">
        <f t="shared" si="419"/>
        <v>0</v>
      </c>
      <c r="EC119" s="915">
        <f t="shared" si="420"/>
        <v>0</v>
      </c>
      <c r="ED119" s="915">
        <f t="shared" si="421"/>
        <v>7.42</v>
      </c>
      <c r="EE119" s="915">
        <f t="shared" si="288"/>
        <v>0</v>
      </c>
      <c r="EF119" s="915">
        <f t="shared" si="289"/>
        <v>0</v>
      </c>
      <c r="EG119" s="915">
        <f t="shared" si="290"/>
        <v>0</v>
      </c>
      <c r="EH119" s="915">
        <f t="shared" si="291"/>
        <v>0</v>
      </c>
      <c r="EI119" s="915">
        <f t="shared" si="292"/>
        <v>0</v>
      </c>
      <c r="EJ119" s="915">
        <f t="shared" si="293"/>
        <v>0</v>
      </c>
      <c r="EK119" s="915">
        <f t="shared" si="294"/>
        <v>0</v>
      </c>
      <c r="EL119" s="915">
        <f t="shared" si="295"/>
        <v>0</v>
      </c>
      <c r="EM119" s="915">
        <f t="shared" si="296"/>
        <v>0</v>
      </c>
      <c r="EN119" s="915">
        <f t="shared" si="297"/>
        <v>0</v>
      </c>
      <c r="EO119" s="915">
        <f t="shared" si="298"/>
        <v>0</v>
      </c>
      <c r="EP119" s="915">
        <f t="shared" si="299"/>
        <v>0</v>
      </c>
      <c r="EQ119" s="915">
        <f t="shared" si="300"/>
        <v>0</v>
      </c>
      <c r="ER119" s="915">
        <f t="shared" si="301"/>
        <v>0</v>
      </c>
      <c r="ES119" s="915">
        <f t="shared" si="302"/>
        <v>0</v>
      </c>
      <c r="ET119" s="915">
        <f t="shared" si="303"/>
        <v>0</v>
      </c>
      <c r="EU119" s="915">
        <f t="shared" si="304"/>
        <v>0</v>
      </c>
      <c r="EV119" s="915">
        <f t="shared" si="305"/>
        <v>0</v>
      </c>
      <c r="EW119" s="915">
        <f t="shared" si="306"/>
        <v>0</v>
      </c>
      <c r="EX119" s="915">
        <f t="shared" si="307"/>
        <v>0</v>
      </c>
      <c r="EY119" s="915">
        <f t="shared" si="308"/>
        <v>0</v>
      </c>
      <c r="EZ119" s="915">
        <f t="shared" si="309"/>
        <v>0</v>
      </c>
      <c r="FA119" s="915">
        <f t="shared" si="310"/>
        <v>0</v>
      </c>
      <c r="FB119" s="915">
        <f t="shared" si="311"/>
        <v>0</v>
      </c>
      <c r="FC119" s="915">
        <f t="shared" si="312"/>
        <v>0</v>
      </c>
      <c r="FD119" s="915">
        <f t="shared" si="313"/>
        <v>0</v>
      </c>
      <c r="FE119" s="915">
        <f t="shared" si="314"/>
        <v>0</v>
      </c>
      <c r="FF119" s="915">
        <f t="shared" si="315"/>
        <v>0</v>
      </c>
      <c r="FG119" s="915">
        <f t="shared" si="316"/>
        <v>0</v>
      </c>
      <c r="FH119" s="915">
        <f t="shared" si="317"/>
        <v>0</v>
      </c>
      <c r="FI119" s="915">
        <f t="shared" si="318"/>
        <v>0</v>
      </c>
      <c r="FJ119" s="915">
        <f t="shared" si="319"/>
        <v>0</v>
      </c>
      <c r="FK119" s="915">
        <f t="shared" si="320"/>
        <v>0</v>
      </c>
      <c r="FL119" s="915">
        <f t="shared" si="321"/>
        <v>0</v>
      </c>
      <c r="FM119" s="915">
        <f t="shared" si="322"/>
        <v>0</v>
      </c>
      <c r="FN119" s="915">
        <f t="shared" si="323"/>
        <v>0</v>
      </c>
      <c r="FO119" s="915">
        <f t="shared" si="324"/>
        <v>0</v>
      </c>
      <c r="FP119" s="915">
        <f t="shared" si="325"/>
        <v>0</v>
      </c>
      <c r="FQ119" s="915">
        <f t="shared" si="326"/>
        <v>0</v>
      </c>
      <c r="FR119" s="915">
        <f t="shared" si="327"/>
        <v>0</v>
      </c>
      <c r="FS119" s="915">
        <f t="shared" si="328"/>
        <v>0</v>
      </c>
      <c r="FT119" s="915">
        <f t="shared" si="329"/>
        <v>0</v>
      </c>
      <c r="FU119" s="915">
        <f t="shared" si="330"/>
        <v>0</v>
      </c>
      <c r="FV119" s="915">
        <f t="shared" si="331"/>
        <v>0</v>
      </c>
      <c r="FW119" s="915">
        <f t="shared" si="332"/>
        <v>0</v>
      </c>
      <c r="FX119" s="915">
        <f t="shared" si="333"/>
        <v>0</v>
      </c>
      <c r="FY119" s="915">
        <f t="shared" si="334"/>
        <v>0</v>
      </c>
      <c r="FZ119" s="915">
        <f t="shared" si="335"/>
        <v>0</v>
      </c>
    </row>
    <row r="120" spans="1:182" x14ac:dyDescent="0.2">
      <c r="A120" s="496">
        <v>113</v>
      </c>
      <c r="B120" s="1419"/>
      <c r="C120" s="1433"/>
      <c r="D120" s="264">
        <v>15</v>
      </c>
      <c r="E120" s="264" t="s">
        <v>193</v>
      </c>
      <c r="F120" s="270" t="s">
        <v>2544</v>
      </c>
      <c r="G120" s="270" t="s">
        <v>2542</v>
      </c>
      <c r="H120" s="272">
        <v>7</v>
      </c>
      <c r="I120" s="268">
        <f t="shared" si="404"/>
        <v>0.42</v>
      </c>
      <c r="J120" s="269">
        <f t="shared" si="405"/>
        <v>7.42</v>
      </c>
      <c r="K120" s="225"/>
      <c r="N120" s="951">
        <f>EE6</f>
        <v>7.42</v>
      </c>
      <c r="O120" s="879" t="str">
        <f>"Boring/Monitoring Wells for "&amp;TabName15</f>
        <v>Boring/Monitoring Wells for Phase 15</v>
      </c>
      <c r="P120" s="949" t="s">
        <v>2191</v>
      </c>
      <c r="W120" s="915">
        <f t="shared" si="176"/>
        <v>0</v>
      </c>
      <c r="X120" s="915">
        <f t="shared" si="177"/>
        <v>0</v>
      </c>
      <c r="Y120" s="915">
        <f t="shared" si="178"/>
        <v>0</v>
      </c>
      <c r="Z120" s="915">
        <f t="shared" si="179"/>
        <v>0</v>
      </c>
      <c r="AA120" s="915">
        <f t="shared" si="180"/>
        <v>0</v>
      </c>
      <c r="AB120" s="915">
        <f t="shared" si="181"/>
        <v>0</v>
      </c>
      <c r="AC120" s="915">
        <f t="shared" si="182"/>
        <v>0</v>
      </c>
      <c r="AD120" s="915">
        <f t="shared" si="183"/>
        <v>0</v>
      </c>
      <c r="AE120" s="915">
        <f t="shared" si="184"/>
        <v>0</v>
      </c>
      <c r="AF120" s="915">
        <f t="shared" si="185"/>
        <v>0</v>
      </c>
      <c r="AG120" s="915">
        <f t="shared" si="186"/>
        <v>0</v>
      </c>
      <c r="AH120" s="915">
        <f t="shared" si="187"/>
        <v>0</v>
      </c>
      <c r="AI120" s="915">
        <f t="shared" si="188"/>
        <v>0</v>
      </c>
      <c r="AJ120" s="915">
        <f t="shared" si="189"/>
        <v>0</v>
      </c>
      <c r="AK120" s="915">
        <f t="shared" si="190"/>
        <v>0</v>
      </c>
      <c r="AL120" s="915">
        <f t="shared" si="191"/>
        <v>0</v>
      </c>
      <c r="AM120" s="915">
        <f t="shared" si="192"/>
        <v>0</v>
      </c>
      <c r="AN120" s="915">
        <f t="shared" si="193"/>
        <v>0</v>
      </c>
      <c r="AO120" s="915">
        <f t="shared" si="194"/>
        <v>0</v>
      </c>
      <c r="AP120" s="915">
        <f t="shared" si="195"/>
        <v>0</v>
      </c>
      <c r="AQ120" s="915">
        <f t="shared" si="196"/>
        <v>0</v>
      </c>
      <c r="AR120" s="915">
        <f t="shared" si="197"/>
        <v>0</v>
      </c>
      <c r="AS120" s="915">
        <f t="shared" si="198"/>
        <v>0</v>
      </c>
      <c r="AT120" s="915">
        <f t="shared" si="199"/>
        <v>0</v>
      </c>
      <c r="AU120" s="915">
        <f t="shared" si="200"/>
        <v>0</v>
      </c>
      <c r="AV120" s="915">
        <f t="shared" si="201"/>
        <v>0</v>
      </c>
      <c r="AW120" s="915">
        <f t="shared" si="202"/>
        <v>0</v>
      </c>
      <c r="AX120" s="915">
        <f t="shared" si="203"/>
        <v>0</v>
      </c>
      <c r="AY120" s="915">
        <f t="shared" si="204"/>
        <v>0</v>
      </c>
      <c r="AZ120" s="915">
        <f t="shared" si="205"/>
        <v>0</v>
      </c>
      <c r="BA120" s="915">
        <f t="shared" si="206"/>
        <v>0</v>
      </c>
      <c r="BB120" s="915">
        <f t="shared" si="207"/>
        <v>0</v>
      </c>
      <c r="BC120" s="915">
        <f t="shared" si="388"/>
        <v>0</v>
      </c>
      <c r="BD120" s="915">
        <f t="shared" si="389"/>
        <v>0</v>
      </c>
      <c r="BE120" s="915">
        <f t="shared" si="390"/>
        <v>0</v>
      </c>
      <c r="BF120" s="915">
        <f t="shared" si="391"/>
        <v>0</v>
      </c>
      <c r="BG120" s="915">
        <f t="shared" si="392"/>
        <v>0</v>
      </c>
      <c r="BH120" s="915">
        <f t="shared" si="393"/>
        <v>0</v>
      </c>
      <c r="BI120" s="915">
        <f t="shared" si="394"/>
        <v>0</v>
      </c>
      <c r="BJ120" s="915">
        <f t="shared" si="395"/>
        <v>0</v>
      </c>
      <c r="BK120" s="915">
        <f t="shared" si="216"/>
        <v>0</v>
      </c>
      <c r="BL120" s="915">
        <f t="shared" si="217"/>
        <v>0</v>
      </c>
      <c r="BM120" s="915">
        <f t="shared" si="218"/>
        <v>0</v>
      </c>
      <c r="BN120" s="915">
        <f t="shared" si="219"/>
        <v>0</v>
      </c>
      <c r="BO120" s="915">
        <f t="shared" si="220"/>
        <v>0</v>
      </c>
      <c r="BP120" s="915">
        <f t="shared" si="221"/>
        <v>0</v>
      </c>
      <c r="BQ120" s="915">
        <f t="shared" si="222"/>
        <v>0</v>
      </c>
      <c r="BR120" s="915">
        <f t="shared" si="223"/>
        <v>0</v>
      </c>
      <c r="BS120" s="915">
        <f t="shared" si="378"/>
        <v>0</v>
      </c>
      <c r="BT120" s="915">
        <f t="shared" si="379"/>
        <v>0</v>
      </c>
      <c r="BU120" s="915">
        <f t="shared" si="380"/>
        <v>0</v>
      </c>
      <c r="BV120" s="915">
        <f t="shared" si="381"/>
        <v>0</v>
      </c>
      <c r="BW120" s="915">
        <f t="shared" si="382"/>
        <v>0</v>
      </c>
      <c r="BX120" s="915">
        <f t="shared" si="383"/>
        <v>0</v>
      </c>
      <c r="BY120" s="915">
        <f t="shared" si="384"/>
        <v>0</v>
      </c>
      <c r="BZ120" s="915">
        <f t="shared" si="385"/>
        <v>0</v>
      </c>
      <c r="CA120" s="915">
        <f t="shared" ref="CA120:CA131" si="422">IF(AND($D120=$R$15,$E120=$T$8),$J120,0)</f>
        <v>0</v>
      </c>
      <c r="CB120" s="915">
        <f t="shared" ref="CB120:CB131" si="423">IF(AND($D120=$R$15,$E120=$T$9),$J120,0)</f>
        <v>0</v>
      </c>
      <c r="CC120" s="915">
        <f t="shared" ref="CC120:CC131" si="424">IF(AND($D120=$R$15,$E120=$T$10),$J120,0)</f>
        <v>0</v>
      </c>
      <c r="CD120" s="915">
        <f t="shared" ref="CD120:CD131" si="425">IF(AND($D120=$R$15,$E120=$T$11),$J120,0)</f>
        <v>0</v>
      </c>
      <c r="CE120" s="915">
        <f t="shared" ref="CE120:CE131" si="426">IF(AND($D120=$R$15,$E120=$T$12),$J120,0)</f>
        <v>0</v>
      </c>
      <c r="CF120" s="915">
        <f t="shared" ref="CF120:CF131" si="427">IF(AND($D120=$R$15,$E120=$T$13),$J120,0)</f>
        <v>0</v>
      </c>
      <c r="CG120" s="915">
        <f t="shared" ref="CG120:CG131" si="428">IF(AND($D120=$R$15,$E120=$T$14),$J120,0)</f>
        <v>0</v>
      </c>
      <c r="CH120" s="915">
        <f t="shared" ref="CH120:CH131" si="429">IF(AND($D120=$R$15,$E120=$T$15),$J120,0)</f>
        <v>0</v>
      </c>
      <c r="CI120" s="915">
        <f t="shared" si="336"/>
        <v>0</v>
      </c>
      <c r="CJ120" s="915">
        <f t="shared" si="337"/>
        <v>0</v>
      </c>
      <c r="CK120" s="915">
        <f t="shared" si="338"/>
        <v>0</v>
      </c>
      <c r="CL120" s="915">
        <f t="shared" si="339"/>
        <v>0</v>
      </c>
      <c r="CM120" s="915">
        <f t="shared" si="340"/>
        <v>0</v>
      </c>
      <c r="CN120" s="915">
        <f t="shared" si="341"/>
        <v>0</v>
      </c>
      <c r="CO120" s="915">
        <f t="shared" si="342"/>
        <v>0</v>
      </c>
      <c r="CP120" s="915">
        <f t="shared" si="343"/>
        <v>0</v>
      </c>
      <c r="CQ120" s="915">
        <f t="shared" si="370"/>
        <v>0</v>
      </c>
      <c r="CR120" s="915">
        <f t="shared" si="371"/>
        <v>0</v>
      </c>
      <c r="CS120" s="915">
        <f t="shared" si="372"/>
        <v>0</v>
      </c>
      <c r="CT120" s="915">
        <f t="shared" si="373"/>
        <v>0</v>
      </c>
      <c r="CU120" s="915">
        <f t="shared" si="374"/>
        <v>0</v>
      </c>
      <c r="CV120" s="915">
        <f t="shared" si="375"/>
        <v>0</v>
      </c>
      <c r="CW120" s="915">
        <f t="shared" si="376"/>
        <v>0</v>
      </c>
      <c r="CX120" s="915">
        <f t="shared" si="377"/>
        <v>0</v>
      </c>
      <c r="CY120" s="915">
        <f t="shared" si="256"/>
        <v>0</v>
      </c>
      <c r="CZ120" s="915">
        <f t="shared" si="257"/>
        <v>0</v>
      </c>
      <c r="DA120" s="915">
        <f t="shared" si="258"/>
        <v>0</v>
      </c>
      <c r="DB120" s="915">
        <f t="shared" si="259"/>
        <v>0</v>
      </c>
      <c r="DC120" s="915">
        <f t="shared" si="260"/>
        <v>0</v>
      </c>
      <c r="DD120" s="915">
        <f t="shared" si="261"/>
        <v>0</v>
      </c>
      <c r="DE120" s="915">
        <f t="shared" si="262"/>
        <v>0</v>
      </c>
      <c r="DF120" s="915">
        <f t="shared" si="263"/>
        <v>0</v>
      </c>
      <c r="DG120" s="915">
        <f t="shared" si="264"/>
        <v>0</v>
      </c>
      <c r="DH120" s="915">
        <f t="shared" si="265"/>
        <v>0</v>
      </c>
      <c r="DI120" s="915">
        <f t="shared" si="266"/>
        <v>0</v>
      </c>
      <c r="DJ120" s="915">
        <f t="shared" si="267"/>
        <v>0</v>
      </c>
      <c r="DK120" s="915">
        <f t="shared" si="268"/>
        <v>0</v>
      </c>
      <c r="DL120" s="915">
        <f t="shared" si="269"/>
        <v>0</v>
      </c>
      <c r="DM120" s="915">
        <f t="shared" si="270"/>
        <v>0</v>
      </c>
      <c r="DN120" s="915">
        <f t="shared" si="271"/>
        <v>0</v>
      </c>
      <c r="DO120" s="915">
        <f>IF(AND($D120=$R$20,$E120=$T$8),$J120,0)</f>
        <v>0</v>
      </c>
      <c r="DP120" s="915">
        <f>IF(AND($D120=$R$20,$E120=$T$9),$J120,0)</f>
        <v>0</v>
      </c>
      <c r="DQ120" s="915">
        <f>IF(AND($D120=$R$20,$E120=$T$10),$J120,0)</f>
        <v>0</v>
      </c>
      <c r="DR120" s="915">
        <f>IF(AND($D120=$R$20,$E120=$T$11),$J120,0)</f>
        <v>0</v>
      </c>
      <c r="DS120" s="915">
        <f>IF(AND($D120=$R$20,$E120=$T$12),$J120,0)</f>
        <v>0</v>
      </c>
      <c r="DT120" s="915">
        <f>IF(AND($D120=$R$20,$E120=$T$13),$J120,0)</f>
        <v>0</v>
      </c>
      <c r="DU120" s="915">
        <f>IF(AND($D120=$R$20,$E120=$T$14),$J120,0)</f>
        <v>0</v>
      </c>
      <c r="DV120" s="915">
        <f>IF(AND($D120=$R$20,$E120=$T$15),$J120,0)</f>
        <v>0</v>
      </c>
      <c r="DW120" s="915">
        <f>IF(AND($D120=$R$21,$E120=$T$8),$J120,0)</f>
        <v>0</v>
      </c>
      <c r="DX120" s="915">
        <f>IF(AND($D120=$R$21,$E120=$T$9),$J120,0)</f>
        <v>0</v>
      </c>
      <c r="DY120" s="915">
        <f>IF(AND($D120=$R$21,$E120=$T$10),$J120,0)</f>
        <v>0</v>
      </c>
      <c r="DZ120" s="915">
        <f>IF(AND($D120=$R$21,$E120=$T$11),$J120,0)</f>
        <v>0</v>
      </c>
      <c r="EA120" s="915">
        <f>IF(AND($D120=$R$21,$E120=$T$12),$J120,0)</f>
        <v>0</v>
      </c>
      <c r="EB120" s="915">
        <f>IF(AND($D120=$R$21,$E120=$T$13),$J120,0)</f>
        <v>0</v>
      </c>
      <c r="EC120" s="915">
        <f>IF(AND($D120=$R$21,$E120=$T$14),$J120,0)</f>
        <v>0</v>
      </c>
      <c r="ED120" s="915">
        <f>IF(AND($D120=$R$21,$E120=$T$15),$J120,0)</f>
        <v>0</v>
      </c>
      <c r="EE120" s="915">
        <f t="shared" si="288"/>
        <v>7.42</v>
      </c>
      <c r="EF120" s="915">
        <f t="shared" si="289"/>
        <v>0</v>
      </c>
      <c r="EG120" s="915">
        <f t="shared" si="290"/>
        <v>0</v>
      </c>
      <c r="EH120" s="915">
        <f t="shared" si="291"/>
        <v>0</v>
      </c>
      <c r="EI120" s="915">
        <f t="shared" si="292"/>
        <v>0</v>
      </c>
      <c r="EJ120" s="915">
        <f t="shared" si="293"/>
        <v>0</v>
      </c>
      <c r="EK120" s="915">
        <f t="shared" si="294"/>
        <v>0</v>
      </c>
      <c r="EL120" s="915">
        <f t="shared" si="295"/>
        <v>0</v>
      </c>
      <c r="EM120" s="915">
        <f t="shared" si="296"/>
        <v>0</v>
      </c>
      <c r="EN120" s="915">
        <f t="shared" si="297"/>
        <v>0</v>
      </c>
      <c r="EO120" s="915">
        <f t="shared" si="298"/>
        <v>0</v>
      </c>
      <c r="EP120" s="915">
        <f t="shared" si="299"/>
        <v>0</v>
      </c>
      <c r="EQ120" s="915">
        <f t="shared" si="300"/>
        <v>0</v>
      </c>
      <c r="ER120" s="915">
        <f t="shared" si="301"/>
        <v>0</v>
      </c>
      <c r="ES120" s="915">
        <f t="shared" si="302"/>
        <v>0</v>
      </c>
      <c r="ET120" s="915">
        <f t="shared" si="303"/>
        <v>0</v>
      </c>
      <c r="EU120" s="915">
        <f t="shared" si="304"/>
        <v>0</v>
      </c>
      <c r="EV120" s="915">
        <f t="shared" si="305"/>
        <v>0</v>
      </c>
      <c r="EW120" s="915">
        <f t="shared" si="306"/>
        <v>0</v>
      </c>
      <c r="EX120" s="915">
        <f t="shared" si="307"/>
        <v>0</v>
      </c>
      <c r="EY120" s="915">
        <f t="shared" si="308"/>
        <v>0</v>
      </c>
      <c r="EZ120" s="915">
        <f t="shared" si="309"/>
        <v>0</v>
      </c>
      <c r="FA120" s="915">
        <f t="shared" si="310"/>
        <v>0</v>
      </c>
      <c r="FB120" s="915">
        <f t="shared" si="311"/>
        <v>0</v>
      </c>
      <c r="FC120" s="915">
        <f t="shared" si="312"/>
        <v>0</v>
      </c>
      <c r="FD120" s="915">
        <f t="shared" si="313"/>
        <v>0</v>
      </c>
      <c r="FE120" s="915">
        <f t="shared" si="314"/>
        <v>0</v>
      </c>
      <c r="FF120" s="915">
        <f t="shared" si="315"/>
        <v>0</v>
      </c>
      <c r="FG120" s="915">
        <f t="shared" si="316"/>
        <v>0</v>
      </c>
      <c r="FH120" s="915">
        <f t="shared" si="317"/>
        <v>0</v>
      </c>
      <c r="FI120" s="915">
        <f t="shared" si="318"/>
        <v>0</v>
      </c>
      <c r="FJ120" s="915">
        <f t="shared" si="319"/>
        <v>0</v>
      </c>
      <c r="FK120" s="915">
        <f t="shared" si="320"/>
        <v>0</v>
      </c>
      <c r="FL120" s="915">
        <f t="shared" si="321"/>
        <v>0</v>
      </c>
      <c r="FM120" s="915">
        <f t="shared" si="322"/>
        <v>0</v>
      </c>
      <c r="FN120" s="915">
        <f t="shared" si="323"/>
        <v>0</v>
      </c>
      <c r="FO120" s="915">
        <f t="shared" si="324"/>
        <v>0</v>
      </c>
      <c r="FP120" s="915">
        <f t="shared" si="325"/>
        <v>0</v>
      </c>
      <c r="FQ120" s="915">
        <f t="shared" si="326"/>
        <v>0</v>
      </c>
      <c r="FR120" s="915">
        <f t="shared" si="327"/>
        <v>0</v>
      </c>
      <c r="FS120" s="915">
        <f t="shared" si="328"/>
        <v>0</v>
      </c>
      <c r="FT120" s="915">
        <f t="shared" si="329"/>
        <v>0</v>
      </c>
      <c r="FU120" s="915">
        <f t="shared" si="330"/>
        <v>0</v>
      </c>
      <c r="FV120" s="915">
        <f t="shared" si="331"/>
        <v>0</v>
      </c>
      <c r="FW120" s="915">
        <f t="shared" si="332"/>
        <v>0</v>
      </c>
      <c r="FX120" s="915">
        <f t="shared" si="333"/>
        <v>0</v>
      </c>
      <c r="FY120" s="915">
        <f t="shared" si="334"/>
        <v>0</v>
      </c>
      <c r="FZ120" s="915">
        <f t="shared" si="335"/>
        <v>0</v>
      </c>
    </row>
    <row r="121" spans="1:182" x14ac:dyDescent="0.2">
      <c r="A121" s="497">
        <v>114</v>
      </c>
      <c r="B121" s="1423"/>
      <c r="C121" s="1424"/>
      <c r="D121" s="138">
        <v>15</v>
      </c>
      <c r="E121" s="138" t="s">
        <v>26</v>
      </c>
      <c r="F121" s="139" t="s">
        <v>2544</v>
      </c>
      <c r="G121" s="139" t="s">
        <v>2542</v>
      </c>
      <c r="H121" s="100">
        <v>7</v>
      </c>
      <c r="I121" s="119">
        <f t="shared" si="404"/>
        <v>0.42</v>
      </c>
      <c r="J121" s="90">
        <f t="shared" si="405"/>
        <v>7.42</v>
      </c>
      <c r="K121" s="225"/>
      <c r="N121" s="951">
        <f>EF6</f>
        <v>7.42</v>
      </c>
      <c r="O121" s="879" t="str">
        <f>"Remediation for " &amp;TabName15</f>
        <v>Remediation for Phase 15</v>
      </c>
      <c r="P121" s="950" t="s">
        <v>2192</v>
      </c>
      <c r="W121" s="915">
        <f t="shared" si="176"/>
        <v>0</v>
      </c>
      <c r="X121" s="915">
        <f t="shared" si="177"/>
        <v>0</v>
      </c>
      <c r="Y121" s="915">
        <f t="shared" si="178"/>
        <v>0</v>
      </c>
      <c r="Z121" s="915">
        <f t="shared" si="179"/>
        <v>0</v>
      </c>
      <c r="AA121" s="915">
        <f t="shared" si="180"/>
        <v>0</v>
      </c>
      <c r="AB121" s="915">
        <f t="shared" si="181"/>
        <v>0</v>
      </c>
      <c r="AC121" s="915">
        <f t="shared" si="182"/>
        <v>0</v>
      </c>
      <c r="AD121" s="915">
        <f t="shared" si="183"/>
        <v>0</v>
      </c>
      <c r="AE121" s="915">
        <f t="shared" si="184"/>
        <v>0</v>
      </c>
      <c r="AF121" s="915">
        <f t="shared" si="185"/>
        <v>0</v>
      </c>
      <c r="AG121" s="915">
        <f t="shared" si="186"/>
        <v>0</v>
      </c>
      <c r="AH121" s="915">
        <f t="shared" si="187"/>
        <v>0</v>
      </c>
      <c r="AI121" s="915">
        <f t="shared" si="188"/>
        <v>0</v>
      </c>
      <c r="AJ121" s="915">
        <f t="shared" si="189"/>
        <v>0</v>
      </c>
      <c r="AK121" s="915">
        <f t="shared" si="190"/>
        <v>0</v>
      </c>
      <c r="AL121" s="915">
        <f t="shared" si="191"/>
        <v>0</v>
      </c>
      <c r="AM121" s="915">
        <f t="shared" si="192"/>
        <v>0</v>
      </c>
      <c r="AN121" s="915">
        <f t="shared" si="193"/>
        <v>0</v>
      </c>
      <c r="AO121" s="915">
        <f t="shared" si="194"/>
        <v>0</v>
      </c>
      <c r="AP121" s="915">
        <f t="shared" si="195"/>
        <v>0</v>
      </c>
      <c r="AQ121" s="915">
        <f t="shared" si="196"/>
        <v>0</v>
      </c>
      <c r="AR121" s="915">
        <f t="shared" si="197"/>
        <v>0</v>
      </c>
      <c r="AS121" s="915">
        <f t="shared" si="198"/>
        <v>0</v>
      </c>
      <c r="AT121" s="915">
        <f t="shared" si="199"/>
        <v>0</v>
      </c>
      <c r="AU121" s="915">
        <f t="shared" si="200"/>
        <v>0</v>
      </c>
      <c r="AV121" s="915">
        <f t="shared" si="201"/>
        <v>0</v>
      </c>
      <c r="AW121" s="915">
        <f t="shared" si="202"/>
        <v>0</v>
      </c>
      <c r="AX121" s="915">
        <f t="shared" si="203"/>
        <v>0</v>
      </c>
      <c r="AY121" s="915">
        <f t="shared" si="204"/>
        <v>0</v>
      </c>
      <c r="AZ121" s="915">
        <f t="shared" si="205"/>
        <v>0</v>
      </c>
      <c r="BA121" s="915">
        <f t="shared" si="206"/>
        <v>0</v>
      </c>
      <c r="BB121" s="915">
        <f t="shared" si="207"/>
        <v>0</v>
      </c>
      <c r="BC121" s="915">
        <f>IF(AND($D121=$R$12,$E121=$T$8),$J121,0)</f>
        <v>0</v>
      </c>
      <c r="BD121" s="915">
        <f>IF(AND($D121=$R$12,$E121=$T$9),$J121,0)</f>
        <v>0</v>
      </c>
      <c r="BE121" s="915">
        <f>IF(AND($D121=$R$12,$E121=$T$10),$J121,0)</f>
        <v>0</v>
      </c>
      <c r="BF121" s="915">
        <f>IF(AND($D121=$R$12,$E121=$T$11),$J121,0)</f>
        <v>0</v>
      </c>
      <c r="BG121" s="915">
        <f>IF(AND($D121=$R$12,$E121=$T$12),$J121,0)</f>
        <v>0</v>
      </c>
      <c r="BH121" s="915">
        <f>IF(AND($D121=$R$12,$E121=$T$13),$J121,0)</f>
        <v>0</v>
      </c>
      <c r="BI121" s="915">
        <f>IF(AND($D121=$R$12,$E121=$T$14),$J121,0)</f>
        <v>0</v>
      </c>
      <c r="BJ121" s="915">
        <f>IF(AND($D121=$R$12,$E121=$T$15),$J121,0)</f>
        <v>0</v>
      </c>
      <c r="BK121" s="915">
        <f t="shared" si="216"/>
        <v>0</v>
      </c>
      <c r="BL121" s="915">
        <f t="shared" si="217"/>
        <v>0</v>
      </c>
      <c r="BM121" s="915">
        <f t="shared" si="218"/>
        <v>0</v>
      </c>
      <c r="BN121" s="915">
        <f t="shared" si="219"/>
        <v>0</v>
      </c>
      <c r="BO121" s="915">
        <f t="shared" si="220"/>
        <v>0</v>
      </c>
      <c r="BP121" s="915">
        <f t="shared" si="221"/>
        <v>0</v>
      </c>
      <c r="BQ121" s="915">
        <f t="shared" si="222"/>
        <v>0</v>
      </c>
      <c r="BR121" s="915">
        <f t="shared" si="223"/>
        <v>0</v>
      </c>
      <c r="BS121" s="915">
        <f t="shared" si="378"/>
        <v>0</v>
      </c>
      <c r="BT121" s="915">
        <f t="shared" si="379"/>
        <v>0</v>
      </c>
      <c r="BU121" s="915">
        <f t="shared" si="380"/>
        <v>0</v>
      </c>
      <c r="BV121" s="915">
        <f t="shared" si="381"/>
        <v>0</v>
      </c>
      <c r="BW121" s="915">
        <f t="shared" si="382"/>
        <v>0</v>
      </c>
      <c r="BX121" s="915">
        <f t="shared" si="383"/>
        <v>0</v>
      </c>
      <c r="BY121" s="915">
        <f t="shared" si="384"/>
        <v>0</v>
      </c>
      <c r="BZ121" s="915">
        <f t="shared" si="385"/>
        <v>0</v>
      </c>
      <c r="CA121" s="915">
        <f t="shared" si="422"/>
        <v>0</v>
      </c>
      <c r="CB121" s="915">
        <f t="shared" si="423"/>
        <v>0</v>
      </c>
      <c r="CC121" s="915">
        <f t="shared" si="424"/>
        <v>0</v>
      </c>
      <c r="CD121" s="915">
        <f t="shared" si="425"/>
        <v>0</v>
      </c>
      <c r="CE121" s="915">
        <f t="shared" si="426"/>
        <v>0</v>
      </c>
      <c r="CF121" s="915">
        <f t="shared" si="427"/>
        <v>0</v>
      </c>
      <c r="CG121" s="915">
        <f t="shared" si="428"/>
        <v>0</v>
      </c>
      <c r="CH121" s="915">
        <f t="shared" si="429"/>
        <v>0</v>
      </c>
      <c r="CI121" s="915">
        <f t="shared" si="336"/>
        <v>0</v>
      </c>
      <c r="CJ121" s="915">
        <f t="shared" si="337"/>
        <v>0</v>
      </c>
      <c r="CK121" s="915">
        <f t="shared" si="338"/>
        <v>0</v>
      </c>
      <c r="CL121" s="915">
        <f t="shared" si="339"/>
        <v>0</v>
      </c>
      <c r="CM121" s="915">
        <f t="shared" si="340"/>
        <v>0</v>
      </c>
      <c r="CN121" s="915">
        <f t="shared" si="341"/>
        <v>0</v>
      </c>
      <c r="CO121" s="915">
        <f t="shared" si="342"/>
        <v>0</v>
      </c>
      <c r="CP121" s="915">
        <f t="shared" si="343"/>
        <v>0</v>
      </c>
      <c r="CQ121" s="915">
        <f t="shared" si="370"/>
        <v>0</v>
      </c>
      <c r="CR121" s="915">
        <f t="shared" si="371"/>
        <v>0</v>
      </c>
      <c r="CS121" s="915">
        <f t="shared" si="372"/>
        <v>0</v>
      </c>
      <c r="CT121" s="915">
        <f t="shared" si="373"/>
        <v>0</v>
      </c>
      <c r="CU121" s="915">
        <f t="shared" si="374"/>
        <v>0</v>
      </c>
      <c r="CV121" s="915">
        <f t="shared" si="375"/>
        <v>0</v>
      </c>
      <c r="CW121" s="915">
        <f t="shared" si="376"/>
        <v>0</v>
      </c>
      <c r="CX121" s="915">
        <f t="shared" si="377"/>
        <v>0</v>
      </c>
      <c r="CY121" s="915">
        <f t="shared" si="256"/>
        <v>0</v>
      </c>
      <c r="CZ121" s="915">
        <f t="shared" si="257"/>
        <v>0</v>
      </c>
      <c r="DA121" s="915">
        <f t="shared" si="258"/>
        <v>0</v>
      </c>
      <c r="DB121" s="915">
        <f t="shared" si="259"/>
        <v>0</v>
      </c>
      <c r="DC121" s="915">
        <f t="shared" si="260"/>
        <v>0</v>
      </c>
      <c r="DD121" s="915">
        <f t="shared" si="261"/>
        <v>0</v>
      </c>
      <c r="DE121" s="915">
        <f t="shared" si="262"/>
        <v>0</v>
      </c>
      <c r="DF121" s="915">
        <f t="shared" si="263"/>
        <v>0</v>
      </c>
      <c r="DG121" s="915">
        <f t="shared" si="264"/>
        <v>0</v>
      </c>
      <c r="DH121" s="915">
        <f t="shared" si="265"/>
        <v>0</v>
      </c>
      <c r="DI121" s="915">
        <f t="shared" si="266"/>
        <v>0</v>
      </c>
      <c r="DJ121" s="915">
        <f t="shared" si="267"/>
        <v>0</v>
      </c>
      <c r="DK121" s="915">
        <f t="shared" si="268"/>
        <v>0</v>
      </c>
      <c r="DL121" s="915">
        <f t="shared" si="269"/>
        <v>0</v>
      </c>
      <c r="DM121" s="915">
        <f t="shared" si="270"/>
        <v>0</v>
      </c>
      <c r="DN121" s="915">
        <f t="shared" si="271"/>
        <v>0</v>
      </c>
      <c r="DO121" s="915">
        <f t="shared" ref="DO121:DO141" si="430">IF(AND($D121=$R$20,$E121=$T$8),$J121,0)</f>
        <v>0</v>
      </c>
      <c r="DP121" s="915">
        <f t="shared" ref="DP121:DP141" si="431">IF(AND($D121=$R$20,$E121=$T$9),$J121,0)</f>
        <v>0</v>
      </c>
      <c r="DQ121" s="915">
        <f t="shared" ref="DQ121:DQ141" si="432">IF(AND($D121=$R$20,$E121=$T$10),$J121,0)</f>
        <v>0</v>
      </c>
      <c r="DR121" s="915">
        <f t="shared" ref="DR121:DR141" si="433">IF(AND($D121=$R$20,$E121=$T$11),$J121,0)</f>
        <v>0</v>
      </c>
      <c r="DS121" s="915">
        <f t="shared" ref="DS121:DS141" si="434">IF(AND($D121=$R$20,$E121=$T$12),$J121,0)</f>
        <v>0</v>
      </c>
      <c r="DT121" s="915">
        <f t="shared" ref="DT121:DT141" si="435">IF(AND($D121=$R$20,$E121=$T$13),$J121,0)</f>
        <v>0</v>
      </c>
      <c r="DU121" s="915">
        <f t="shared" ref="DU121:DU141" si="436">IF(AND($D121=$R$20,$E121=$T$14),$J121,0)</f>
        <v>0</v>
      </c>
      <c r="DV121" s="915">
        <f t="shared" ref="DV121:DV141" si="437">IF(AND($D121=$R$20,$E121=$T$15),$J121,0)</f>
        <v>0</v>
      </c>
      <c r="DW121" s="915">
        <f t="shared" ref="DW121:DW141" si="438">IF(AND($D121=$R$21,$E121=$T$8),$J121,0)</f>
        <v>0</v>
      </c>
      <c r="DX121" s="915">
        <f t="shared" ref="DX121:DX141" si="439">IF(AND($D121=$R$21,$E121=$T$9),$J121,0)</f>
        <v>0</v>
      </c>
      <c r="DY121" s="915">
        <f t="shared" ref="DY121:DY141" si="440">IF(AND($D121=$R$21,$E121=$T$10),$J121,0)</f>
        <v>0</v>
      </c>
      <c r="DZ121" s="915">
        <f t="shared" ref="DZ121:DZ141" si="441">IF(AND($D121=$R$21,$E121=$T$11),$J121,0)</f>
        <v>0</v>
      </c>
      <c r="EA121" s="915">
        <f t="shared" ref="EA121:EA141" si="442">IF(AND($D121=$R$21,$E121=$T$12),$J121,0)</f>
        <v>0</v>
      </c>
      <c r="EB121" s="915">
        <f t="shared" ref="EB121:EB141" si="443">IF(AND($D121=$R$21,$E121=$T$13),$J121,0)</f>
        <v>0</v>
      </c>
      <c r="EC121" s="915">
        <f t="shared" ref="EC121:EC141" si="444">IF(AND($D121=$R$21,$E121=$T$14),$J121,0)</f>
        <v>0</v>
      </c>
      <c r="ED121" s="915">
        <f t="shared" ref="ED121:ED141" si="445">IF(AND($D121=$R$21,$E121=$T$15),$J121,0)</f>
        <v>0</v>
      </c>
      <c r="EE121" s="915">
        <f t="shared" si="288"/>
        <v>0</v>
      </c>
      <c r="EF121" s="915">
        <f t="shared" si="289"/>
        <v>7.42</v>
      </c>
      <c r="EG121" s="915">
        <f t="shared" si="290"/>
        <v>0</v>
      </c>
      <c r="EH121" s="915">
        <f t="shared" si="291"/>
        <v>0</v>
      </c>
      <c r="EI121" s="915">
        <f t="shared" si="292"/>
        <v>0</v>
      </c>
      <c r="EJ121" s="915">
        <f t="shared" si="293"/>
        <v>0</v>
      </c>
      <c r="EK121" s="915">
        <f t="shared" si="294"/>
        <v>0</v>
      </c>
      <c r="EL121" s="915">
        <f t="shared" si="295"/>
        <v>0</v>
      </c>
      <c r="EM121" s="915">
        <f t="shared" si="296"/>
        <v>0</v>
      </c>
      <c r="EN121" s="915">
        <f t="shared" si="297"/>
        <v>0</v>
      </c>
      <c r="EO121" s="915">
        <f t="shared" si="298"/>
        <v>0</v>
      </c>
      <c r="EP121" s="915">
        <f t="shared" si="299"/>
        <v>0</v>
      </c>
      <c r="EQ121" s="915">
        <f t="shared" si="300"/>
        <v>0</v>
      </c>
      <c r="ER121" s="915">
        <f t="shared" si="301"/>
        <v>0</v>
      </c>
      <c r="ES121" s="915">
        <f t="shared" si="302"/>
        <v>0</v>
      </c>
      <c r="ET121" s="915">
        <f t="shared" si="303"/>
        <v>0</v>
      </c>
      <c r="EU121" s="915">
        <f t="shared" si="304"/>
        <v>0</v>
      </c>
      <c r="EV121" s="915">
        <f t="shared" si="305"/>
        <v>0</v>
      </c>
      <c r="EW121" s="915">
        <f t="shared" si="306"/>
        <v>0</v>
      </c>
      <c r="EX121" s="915">
        <f t="shared" si="307"/>
        <v>0</v>
      </c>
      <c r="EY121" s="915">
        <f t="shared" si="308"/>
        <v>0</v>
      </c>
      <c r="EZ121" s="915">
        <f t="shared" si="309"/>
        <v>0</v>
      </c>
      <c r="FA121" s="915">
        <f t="shared" si="310"/>
        <v>0</v>
      </c>
      <c r="FB121" s="915">
        <f t="shared" si="311"/>
        <v>0</v>
      </c>
      <c r="FC121" s="915">
        <f t="shared" si="312"/>
        <v>0</v>
      </c>
      <c r="FD121" s="915">
        <f t="shared" si="313"/>
        <v>0</v>
      </c>
      <c r="FE121" s="915">
        <f t="shared" si="314"/>
        <v>0</v>
      </c>
      <c r="FF121" s="915">
        <f t="shared" si="315"/>
        <v>0</v>
      </c>
      <c r="FG121" s="915">
        <f t="shared" si="316"/>
        <v>0</v>
      </c>
      <c r="FH121" s="915">
        <f t="shared" si="317"/>
        <v>0</v>
      </c>
      <c r="FI121" s="915">
        <f t="shared" si="318"/>
        <v>0</v>
      </c>
      <c r="FJ121" s="915">
        <f t="shared" si="319"/>
        <v>0</v>
      </c>
      <c r="FK121" s="915">
        <f t="shared" si="320"/>
        <v>0</v>
      </c>
      <c r="FL121" s="915">
        <f t="shared" si="321"/>
        <v>0</v>
      </c>
      <c r="FM121" s="915">
        <f t="shared" si="322"/>
        <v>0</v>
      </c>
      <c r="FN121" s="915">
        <f t="shared" si="323"/>
        <v>0</v>
      </c>
      <c r="FO121" s="915">
        <f t="shared" si="324"/>
        <v>0</v>
      </c>
      <c r="FP121" s="915">
        <f t="shared" si="325"/>
        <v>0</v>
      </c>
      <c r="FQ121" s="915">
        <f t="shared" si="326"/>
        <v>0</v>
      </c>
      <c r="FR121" s="915">
        <f t="shared" si="327"/>
        <v>0</v>
      </c>
      <c r="FS121" s="915">
        <f t="shared" si="328"/>
        <v>0</v>
      </c>
      <c r="FT121" s="915">
        <f t="shared" si="329"/>
        <v>0</v>
      </c>
      <c r="FU121" s="915">
        <f t="shared" si="330"/>
        <v>0</v>
      </c>
      <c r="FV121" s="915">
        <f t="shared" si="331"/>
        <v>0</v>
      </c>
      <c r="FW121" s="915">
        <f t="shared" si="332"/>
        <v>0</v>
      </c>
      <c r="FX121" s="915">
        <f t="shared" si="333"/>
        <v>0</v>
      </c>
      <c r="FY121" s="915">
        <f t="shared" si="334"/>
        <v>0</v>
      </c>
      <c r="FZ121" s="915">
        <f t="shared" si="335"/>
        <v>0</v>
      </c>
    </row>
    <row r="122" spans="1:182" x14ac:dyDescent="0.2">
      <c r="A122" s="496">
        <v>115</v>
      </c>
      <c r="B122" s="1419"/>
      <c r="C122" s="1433"/>
      <c r="D122" s="264">
        <v>15</v>
      </c>
      <c r="E122" s="264" t="s">
        <v>35</v>
      </c>
      <c r="F122" s="270" t="s">
        <v>2544</v>
      </c>
      <c r="G122" s="270" t="s">
        <v>2542</v>
      </c>
      <c r="H122" s="272">
        <v>7</v>
      </c>
      <c r="I122" s="268">
        <f t="shared" si="404"/>
        <v>0.42</v>
      </c>
      <c r="J122" s="269">
        <f t="shared" si="405"/>
        <v>7.42</v>
      </c>
      <c r="K122" s="225"/>
      <c r="N122" s="951">
        <f>EG6</f>
        <v>7.42</v>
      </c>
      <c r="O122" s="879" t="str">
        <f>"General Construction for " &amp; TabName15</f>
        <v>General Construction for Phase 15</v>
      </c>
      <c r="P122" s="949" t="s">
        <v>2193</v>
      </c>
      <c r="W122" s="915">
        <f t="shared" si="176"/>
        <v>0</v>
      </c>
      <c r="X122" s="915">
        <f t="shared" si="177"/>
        <v>0</v>
      </c>
      <c r="Y122" s="915">
        <f t="shared" si="178"/>
        <v>0</v>
      </c>
      <c r="Z122" s="915">
        <f t="shared" si="179"/>
        <v>0</v>
      </c>
      <c r="AA122" s="915">
        <f t="shared" si="180"/>
        <v>0</v>
      </c>
      <c r="AB122" s="915">
        <f t="shared" si="181"/>
        <v>0</v>
      </c>
      <c r="AC122" s="915">
        <f t="shared" si="182"/>
        <v>0</v>
      </c>
      <c r="AD122" s="915">
        <f t="shared" si="183"/>
        <v>0</v>
      </c>
      <c r="AE122" s="915">
        <f t="shared" si="184"/>
        <v>0</v>
      </c>
      <c r="AF122" s="915">
        <f t="shared" si="185"/>
        <v>0</v>
      </c>
      <c r="AG122" s="915">
        <f t="shared" si="186"/>
        <v>0</v>
      </c>
      <c r="AH122" s="915">
        <f t="shared" si="187"/>
        <v>0</v>
      </c>
      <c r="AI122" s="915">
        <f t="shared" si="188"/>
        <v>0</v>
      </c>
      <c r="AJ122" s="915">
        <f t="shared" si="189"/>
        <v>0</v>
      </c>
      <c r="AK122" s="915">
        <f t="shared" si="190"/>
        <v>0</v>
      </c>
      <c r="AL122" s="915">
        <f t="shared" si="191"/>
        <v>0</v>
      </c>
      <c r="AM122" s="915">
        <f t="shared" si="192"/>
        <v>0</v>
      </c>
      <c r="AN122" s="915">
        <f t="shared" si="193"/>
        <v>0</v>
      </c>
      <c r="AO122" s="915">
        <f t="shared" si="194"/>
        <v>0</v>
      </c>
      <c r="AP122" s="915">
        <f t="shared" si="195"/>
        <v>0</v>
      </c>
      <c r="AQ122" s="915">
        <f t="shared" si="196"/>
        <v>0</v>
      </c>
      <c r="AR122" s="915">
        <f t="shared" si="197"/>
        <v>0</v>
      </c>
      <c r="AS122" s="915">
        <f t="shared" si="198"/>
        <v>0</v>
      </c>
      <c r="AT122" s="915">
        <f t="shared" si="199"/>
        <v>0</v>
      </c>
      <c r="AU122" s="915">
        <f t="shared" si="200"/>
        <v>0</v>
      </c>
      <c r="AV122" s="915">
        <f t="shared" si="201"/>
        <v>0</v>
      </c>
      <c r="AW122" s="915">
        <f t="shared" si="202"/>
        <v>0</v>
      </c>
      <c r="AX122" s="915">
        <f t="shared" si="203"/>
        <v>0</v>
      </c>
      <c r="AY122" s="915">
        <f t="shared" si="204"/>
        <v>0</v>
      </c>
      <c r="AZ122" s="915">
        <f t="shared" si="205"/>
        <v>0</v>
      </c>
      <c r="BA122" s="915">
        <f t="shared" si="206"/>
        <v>0</v>
      </c>
      <c r="BB122" s="915">
        <f t="shared" si="207"/>
        <v>0</v>
      </c>
      <c r="BC122" s="915">
        <f t="shared" ref="BC122:BC134" si="446">IF(AND($D122=$R$12,$E122=$T$8),$J122,0)</f>
        <v>0</v>
      </c>
      <c r="BD122" s="915">
        <f t="shared" ref="BD122:BD134" si="447">IF(AND($D122=$R$12,$E122=$T$9),$J122,0)</f>
        <v>0</v>
      </c>
      <c r="BE122" s="915">
        <f t="shared" ref="BE122:BE134" si="448">IF(AND($D122=$R$12,$E122=$T$10),$J122,0)</f>
        <v>0</v>
      </c>
      <c r="BF122" s="915">
        <f t="shared" ref="BF122:BF134" si="449">IF(AND($D122=$R$12,$E122=$T$11),$J122,0)</f>
        <v>0</v>
      </c>
      <c r="BG122" s="915">
        <f t="shared" ref="BG122:BG134" si="450">IF(AND($D122=$R$12,$E122=$T$12),$J122,0)</f>
        <v>0</v>
      </c>
      <c r="BH122" s="915">
        <f t="shared" ref="BH122:BH134" si="451">IF(AND($D122=$R$12,$E122=$T$13),$J122,0)</f>
        <v>0</v>
      </c>
      <c r="BI122" s="915">
        <f t="shared" ref="BI122:BI134" si="452">IF(AND($D122=$R$12,$E122=$T$14),$J122,0)</f>
        <v>0</v>
      </c>
      <c r="BJ122" s="915">
        <f t="shared" ref="BJ122:BJ134" si="453">IF(AND($D122=$R$12,$E122=$T$15),$J122,0)</f>
        <v>0</v>
      </c>
      <c r="BK122" s="915">
        <f t="shared" si="216"/>
        <v>0</v>
      </c>
      <c r="BL122" s="915">
        <f t="shared" si="217"/>
        <v>0</v>
      </c>
      <c r="BM122" s="915">
        <f t="shared" si="218"/>
        <v>0</v>
      </c>
      <c r="BN122" s="915">
        <f t="shared" si="219"/>
        <v>0</v>
      </c>
      <c r="BO122" s="915">
        <f t="shared" si="220"/>
        <v>0</v>
      </c>
      <c r="BP122" s="915">
        <f t="shared" si="221"/>
        <v>0</v>
      </c>
      <c r="BQ122" s="915">
        <f t="shared" si="222"/>
        <v>0</v>
      </c>
      <c r="BR122" s="915">
        <f t="shared" si="223"/>
        <v>0</v>
      </c>
      <c r="BS122" s="915">
        <f t="shared" si="378"/>
        <v>0</v>
      </c>
      <c r="BT122" s="915">
        <f t="shared" si="379"/>
        <v>0</v>
      </c>
      <c r="BU122" s="915">
        <f t="shared" si="380"/>
        <v>0</v>
      </c>
      <c r="BV122" s="915">
        <f t="shared" si="381"/>
        <v>0</v>
      </c>
      <c r="BW122" s="915">
        <f t="shared" si="382"/>
        <v>0</v>
      </c>
      <c r="BX122" s="915">
        <f t="shared" si="383"/>
        <v>0</v>
      </c>
      <c r="BY122" s="915">
        <f t="shared" si="384"/>
        <v>0</v>
      </c>
      <c r="BZ122" s="915">
        <f t="shared" si="385"/>
        <v>0</v>
      </c>
      <c r="CA122" s="915">
        <f t="shared" si="422"/>
        <v>0</v>
      </c>
      <c r="CB122" s="915">
        <f t="shared" si="423"/>
        <v>0</v>
      </c>
      <c r="CC122" s="915">
        <f t="shared" si="424"/>
        <v>0</v>
      </c>
      <c r="CD122" s="915">
        <f t="shared" si="425"/>
        <v>0</v>
      </c>
      <c r="CE122" s="915">
        <f t="shared" si="426"/>
        <v>0</v>
      </c>
      <c r="CF122" s="915">
        <f t="shared" si="427"/>
        <v>0</v>
      </c>
      <c r="CG122" s="915">
        <f t="shared" si="428"/>
        <v>0</v>
      </c>
      <c r="CH122" s="915">
        <f t="shared" si="429"/>
        <v>0</v>
      </c>
      <c r="CI122" s="915">
        <f t="shared" si="336"/>
        <v>0</v>
      </c>
      <c r="CJ122" s="915">
        <f t="shared" si="337"/>
        <v>0</v>
      </c>
      <c r="CK122" s="915">
        <f t="shared" si="338"/>
        <v>0</v>
      </c>
      <c r="CL122" s="915">
        <f t="shared" si="339"/>
        <v>0</v>
      </c>
      <c r="CM122" s="915">
        <f t="shared" si="340"/>
        <v>0</v>
      </c>
      <c r="CN122" s="915">
        <f t="shared" si="341"/>
        <v>0</v>
      </c>
      <c r="CO122" s="915">
        <f t="shared" si="342"/>
        <v>0</v>
      </c>
      <c r="CP122" s="915">
        <f t="shared" si="343"/>
        <v>0</v>
      </c>
      <c r="CQ122" s="915">
        <f t="shared" si="370"/>
        <v>0</v>
      </c>
      <c r="CR122" s="915">
        <f t="shared" si="371"/>
        <v>0</v>
      </c>
      <c r="CS122" s="915">
        <f t="shared" si="372"/>
        <v>0</v>
      </c>
      <c r="CT122" s="915">
        <f t="shared" si="373"/>
        <v>0</v>
      </c>
      <c r="CU122" s="915">
        <f t="shared" si="374"/>
        <v>0</v>
      </c>
      <c r="CV122" s="915">
        <f t="shared" si="375"/>
        <v>0</v>
      </c>
      <c r="CW122" s="915">
        <f t="shared" si="376"/>
        <v>0</v>
      </c>
      <c r="CX122" s="915">
        <f t="shared" si="377"/>
        <v>0</v>
      </c>
      <c r="CY122" s="915">
        <f t="shared" si="256"/>
        <v>0</v>
      </c>
      <c r="CZ122" s="915">
        <f t="shared" si="257"/>
        <v>0</v>
      </c>
      <c r="DA122" s="915">
        <f t="shared" si="258"/>
        <v>0</v>
      </c>
      <c r="DB122" s="915">
        <f t="shared" si="259"/>
        <v>0</v>
      </c>
      <c r="DC122" s="915">
        <f t="shared" si="260"/>
        <v>0</v>
      </c>
      <c r="DD122" s="915">
        <f t="shared" si="261"/>
        <v>0</v>
      </c>
      <c r="DE122" s="915">
        <f t="shared" si="262"/>
        <v>0</v>
      </c>
      <c r="DF122" s="915">
        <f t="shared" si="263"/>
        <v>0</v>
      </c>
      <c r="DG122" s="915">
        <f t="shared" si="264"/>
        <v>0</v>
      </c>
      <c r="DH122" s="915">
        <f t="shared" si="265"/>
        <v>0</v>
      </c>
      <c r="DI122" s="915">
        <f t="shared" si="266"/>
        <v>0</v>
      </c>
      <c r="DJ122" s="915">
        <f t="shared" si="267"/>
        <v>0</v>
      </c>
      <c r="DK122" s="915">
        <f t="shared" si="268"/>
        <v>0</v>
      </c>
      <c r="DL122" s="915">
        <f t="shared" si="269"/>
        <v>0</v>
      </c>
      <c r="DM122" s="915">
        <f t="shared" si="270"/>
        <v>0</v>
      </c>
      <c r="DN122" s="915">
        <f t="shared" si="271"/>
        <v>0</v>
      </c>
      <c r="DO122" s="915">
        <f t="shared" si="430"/>
        <v>0</v>
      </c>
      <c r="DP122" s="915">
        <f t="shared" si="431"/>
        <v>0</v>
      </c>
      <c r="DQ122" s="915">
        <f t="shared" si="432"/>
        <v>0</v>
      </c>
      <c r="DR122" s="915">
        <f t="shared" si="433"/>
        <v>0</v>
      </c>
      <c r="DS122" s="915">
        <f t="shared" si="434"/>
        <v>0</v>
      </c>
      <c r="DT122" s="915">
        <f t="shared" si="435"/>
        <v>0</v>
      </c>
      <c r="DU122" s="915">
        <f t="shared" si="436"/>
        <v>0</v>
      </c>
      <c r="DV122" s="915">
        <f t="shared" si="437"/>
        <v>0</v>
      </c>
      <c r="DW122" s="915">
        <f t="shared" si="438"/>
        <v>0</v>
      </c>
      <c r="DX122" s="915">
        <f t="shared" si="439"/>
        <v>0</v>
      </c>
      <c r="DY122" s="915">
        <f t="shared" si="440"/>
        <v>0</v>
      </c>
      <c r="DZ122" s="915">
        <f t="shared" si="441"/>
        <v>0</v>
      </c>
      <c r="EA122" s="915">
        <f t="shared" si="442"/>
        <v>0</v>
      </c>
      <c r="EB122" s="915">
        <f t="shared" si="443"/>
        <v>0</v>
      </c>
      <c r="EC122" s="915">
        <f t="shared" si="444"/>
        <v>0</v>
      </c>
      <c r="ED122" s="915">
        <f t="shared" si="445"/>
        <v>0</v>
      </c>
      <c r="EE122" s="915">
        <f t="shared" si="288"/>
        <v>0</v>
      </c>
      <c r="EF122" s="915">
        <f t="shared" si="289"/>
        <v>0</v>
      </c>
      <c r="EG122" s="915">
        <f t="shared" si="290"/>
        <v>7.42</v>
      </c>
      <c r="EH122" s="915">
        <f t="shared" si="291"/>
        <v>0</v>
      </c>
      <c r="EI122" s="915">
        <f t="shared" si="292"/>
        <v>0</v>
      </c>
      <c r="EJ122" s="915">
        <f t="shared" si="293"/>
        <v>0</v>
      </c>
      <c r="EK122" s="915">
        <f t="shared" si="294"/>
        <v>0</v>
      </c>
      <c r="EL122" s="915">
        <f t="shared" si="295"/>
        <v>0</v>
      </c>
      <c r="EM122" s="915">
        <f t="shared" si="296"/>
        <v>0</v>
      </c>
      <c r="EN122" s="915">
        <f t="shared" si="297"/>
        <v>0</v>
      </c>
      <c r="EO122" s="915">
        <f t="shared" si="298"/>
        <v>0</v>
      </c>
      <c r="EP122" s="915">
        <f t="shared" si="299"/>
        <v>0</v>
      </c>
      <c r="EQ122" s="915">
        <f t="shared" si="300"/>
        <v>0</v>
      </c>
      <c r="ER122" s="915">
        <f t="shared" si="301"/>
        <v>0</v>
      </c>
      <c r="ES122" s="915">
        <f t="shared" si="302"/>
        <v>0</v>
      </c>
      <c r="ET122" s="915">
        <f t="shared" si="303"/>
        <v>0</v>
      </c>
      <c r="EU122" s="915">
        <f t="shared" si="304"/>
        <v>0</v>
      </c>
      <c r="EV122" s="915">
        <f t="shared" si="305"/>
        <v>0</v>
      </c>
      <c r="EW122" s="915">
        <f t="shared" si="306"/>
        <v>0</v>
      </c>
      <c r="EX122" s="915">
        <f t="shared" si="307"/>
        <v>0</v>
      </c>
      <c r="EY122" s="915">
        <f t="shared" si="308"/>
        <v>0</v>
      </c>
      <c r="EZ122" s="915">
        <f t="shared" si="309"/>
        <v>0</v>
      </c>
      <c r="FA122" s="915">
        <f t="shared" si="310"/>
        <v>0</v>
      </c>
      <c r="FB122" s="915">
        <f t="shared" si="311"/>
        <v>0</v>
      </c>
      <c r="FC122" s="915">
        <f t="shared" si="312"/>
        <v>0</v>
      </c>
      <c r="FD122" s="915">
        <f t="shared" si="313"/>
        <v>0</v>
      </c>
      <c r="FE122" s="915">
        <f t="shared" si="314"/>
        <v>0</v>
      </c>
      <c r="FF122" s="915">
        <f t="shared" si="315"/>
        <v>0</v>
      </c>
      <c r="FG122" s="915">
        <f t="shared" si="316"/>
        <v>0</v>
      </c>
      <c r="FH122" s="915">
        <f t="shared" si="317"/>
        <v>0</v>
      </c>
      <c r="FI122" s="915">
        <f t="shared" si="318"/>
        <v>0</v>
      </c>
      <c r="FJ122" s="915">
        <f t="shared" si="319"/>
        <v>0</v>
      </c>
      <c r="FK122" s="915">
        <f t="shared" si="320"/>
        <v>0</v>
      </c>
      <c r="FL122" s="915">
        <f t="shared" si="321"/>
        <v>0</v>
      </c>
      <c r="FM122" s="915">
        <f t="shared" si="322"/>
        <v>0</v>
      </c>
      <c r="FN122" s="915">
        <f t="shared" si="323"/>
        <v>0</v>
      </c>
      <c r="FO122" s="915">
        <f t="shared" si="324"/>
        <v>0</v>
      </c>
      <c r="FP122" s="915">
        <f t="shared" si="325"/>
        <v>0</v>
      </c>
      <c r="FQ122" s="915">
        <f t="shared" si="326"/>
        <v>0</v>
      </c>
      <c r="FR122" s="915">
        <f t="shared" si="327"/>
        <v>0</v>
      </c>
      <c r="FS122" s="915">
        <f t="shared" si="328"/>
        <v>0</v>
      </c>
      <c r="FT122" s="915">
        <f t="shared" si="329"/>
        <v>0</v>
      </c>
      <c r="FU122" s="915">
        <f t="shared" si="330"/>
        <v>0</v>
      </c>
      <c r="FV122" s="915">
        <f t="shared" si="331"/>
        <v>0</v>
      </c>
      <c r="FW122" s="915">
        <f t="shared" si="332"/>
        <v>0</v>
      </c>
      <c r="FX122" s="915">
        <f t="shared" si="333"/>
        <v>0</v>
      </c>
      <c r="FY122" s="915">
        <f t="shared" si="334"/>
        <v>0</v>
      </c>
      <c r="FZ122" s="915">
        <f t="shared" si="335"/>
        <v>0</v>
      </c>
    </row>
    <row r="123" spans="1:182" x14ac:dyDescent="0.2">
      <c r="A123" s="497">
        <v>116</v>
      </c>
      <c r="B123" s="1423"/>
      <c r="C123" s="1424"/>
      <c r="D123" s="138">
        <v>15</v>
      </c>
      <c r="E123" s="138" t="s">
        <v>52</v>
      </c>
      <c r="F123" s="139" t="s">
        <v>2544</v>
      </c>
      <c r="G123" s="139" t="s">
        <v>2542</v>
      </c>
      <c r="H123" s="100">
        <v>7</v>
      </c>
      <c r="I123" s="119">
        <f t="shared" si="404"/>
        <v>0.42</v>
      </c>
      <c r="J123" s="90">
        <f t="shared" si="405"/>
        <v>7.42</v>
      </c>
      <c r="K123" s="225"/>
      <c r="N123" s="951">
        <f>EH6</f>
        <v>7.42</v>
      </c>
      <c r="O123" s="915" t="str">
        <f>"Waste Haul for "&amp;TabName15</f>
        <v>Waste Haul for Phase 15</v>
      </c>
      <c r="P123" s="949" t="s">
        <v>2194</v>
      </c>
      <c r="W123" s="915">
        <f t="shared" si="176"/>
        <v>0</v>
      </c>
      <c r="X123" s="915">
        <f t="shared" si="177"/>
        <v>0</v>
      </c>
      <c r="Y123" s="915">
        <f t="shared" si="178"/>
        <v>0</v>
      </c>
      <c r="Z123" s="915">
        <f t="shared" si="179"/>
        <v>0</v>
      </c>
      <c r="AA123" s="915">
        <f t="shared" si="180"/>
        <v>0</v>
      </c>
      <c r="AB123" s="915">
        <f t="shared" si="181"/>
        <v>0</v>
      </c>
      <c r="AC123" s="915">
        <f t="shared" si="182"/>
        <v>0</v>
      </c>
      <c r="AD123" s="915">
        <f t="shared" si="183"/>
        <v>0</v>
      </c>
      <c r="AE123" s="915">
        <f t="shared" si="184"/>
        <v>0</v>
      </c>
      <c r="AF123" s="915">
        <f t="shared" si="185"/>
        <v>0</v>
      </c>
      <c r="AG123" s="915">
        <f t="shared" si="186"/>
        <v>0</v>
      </c>
      <c r="AH123" s="915">
        <f t="shared" si="187"/>
        <v>0</v>
      </c>
      <c r="AI123" s="915">
        <f t="shared" si="188"/>
        <v>0</v>
      </c>
      <c r="AJ123" s="915">
        <f t="shared" si="189"/>
        <v>0</v>
      </c>
      <c r="AK123" s="915">
        <f t="shared" si="190"/>
        <v>0</v>
      </c>
      <c r="AL123" s="915">
        <f t="shared" si="191"/>
        <v>0</v>
      </c>
      <c r="AM123" s="915">
        <f t="shared" si="192"/>
        <v>0</v>
      </c>
      <c r="AN123" s="915">
        <f t="shared" si="193"/>
        <v>0</v>
      </c>
      <c r="AO123" s="915">
        <f t="shared" si="194"/>
        <v>0</v>
      </c>
      <c r="AP123" s="915">
        <f t="shared" si="195"/>
        <v>0</v>
      </c>
      <c r="AQ123" s="915">
        <f t="shared" si="196"/>
        <v>0</v>
      </c>
      <c r="AR123" s="915">
        <f t="shared" si="197"/>
        <v>0</v>
      </c>
      <c r="AS123" s="915">
        <f t="shared" si="198"/>
        <v>0</v>
      </c>
      <c r="AT123" s="915">
        <f t="shared" si="199"/>
        <v>0</v>
      </c>
      <c r="AU123" s="915">
        <f t="shared" si="200"/>
        <v>0</v>
      </c>
      <c r="AV123" s="915">
        <f t="shared" si="201"/>
        <v>0</v>
      </c>
      <c r="AW123" s="915">
        <f t="shared" si="202"/>
        <v>0</v>
      </c>
      <c r="AX123" s="915">
        <f t="shared" si="203"/>
        <v>0</v>
      </c>
      <c r="AY123" s="915">
        <f t="shared" si="204"/>
        <v>0</v>
      </c>
      <c r="AZ123" s="915">
        <f t="shared" si="205"/>
        <v>0</v>
      </c>
      <c r="BA123" s="915">
        <f t="shared" si="206"/>
        <v>0</v>
      </c>
      <c r="BB123" s="915">
        <f t="shared" si="207"/>
        <v>0</v>
      </c>
      <c r="BC123" s="915">
        <f t="shared" si="446"/>
        <v>0</v>
      </c>
      <c r="BD123" s="915">
        <f t="shared" si="447"/>
        <v>0</v>
      </c>
      <c r="BE123" s="915">
        <f t="shared" si="448"/>
        <v>0</v>
      </c>
      <c r="BF123" s="915">
        <f t="shared" si="449"/>
        <v>0</v>
      </c>
      <c r="BG123" s="915">
        <f t="shared" si="450"/>
        <v>0</v>
      </c>
      <c r="BH123" s="915">
        <f t="shared" si="451"/>
        <v>0</v>
      </c>
      <c r="BI123" s="915">
        <f t="shared" si="452"/>
        <v>0</v>
      </c>
      <c r="BJ123" s="915">
        <f t="shared" si="453"/>
        <v>0</v>
      </c>
      <c r="BK123" s="915">
        <f t="shared" si="216"/>
        <v>0</v>
      </c>
      <c r="BL123" s="915">
        <f t="shared" si="217"/>
        <v>0</v>
      </c>
      <c r="BM123" s="915">
        <f t="shared" si="218"/>
        <v>0</v>
      </c>
      <c r="BN123" s="915">
        <f t="shared" si="219"/>
        <v>0</v>
      </c>
      <c r="BO123" s="915">
        <f t="shared" si="220"/>
        <v>0</v>
      </c>
      <c r="BP123" s="915">
        <f t="shared" si="221"/>
        <v>0</v>
      </c>
      <c r="BQ123" s="915">
        <f t="shared" si="222"/>
        <v>0</v>
      </c>
      <c r="BR123" s="915">
        <f t="shared" si="223"/>
        <v>0</v>
      </c>
      <c r="BS123" s="915">
        <f t="shared" si="378"/>
        <v>0</v>
      </c>
      <c r="BT123" s="915">
        <f t="shared" si="379"/>
        <v>0</v>
      </c>
      <c r="BU123" s="915">
        <f t="shared" si="380"/>
        <v>0</v>
      </c>
      <c r="BV123" s="915">
        <f t="shared" si="381"/>
        <v>0</v>
      </c>
      <c r="BW123" s="915">
        <f t="shared" si="382"/>
        <v>0</v>
      </c>
      <c r="BX123" s="915">
        <f t="shared" si="383"/>
        <v>0</v>
      </c>
      <c r="BY123" s="915">
        <f t="shared" si="384"/>
        <v>0</v>
      </c>
      <c r="BZ123" s="915">
        <f t="shared" si="385"/>
        <v>0</v>
      </c>
      <c r="CA123" s="915">
        <f t="shared" si="422"/>
        <v>0</v>
      </c>
      <c r="CB123" s="915">
        <f t="shared" si="423"/>
        <v>0</v>
      </c>
      <c r="CC123" s="915">
        <f t="shared" si="424"/>
        <v>0</v>
      </c>
      <c r="CD123" s="915">
        <f t="shared" si="425"/>
        <v>0</v>
      </c>
      <c r="CE123" s="915">
        <f t="shared" si="426"/>
        <v>0</v>
      </c>
      <c r="CF123" s="915">
        <f t="shared" si="427"/>
        <v>0</v>
      </c>
      <c r="CG123" s="915">
        <f t="shared" si="428"/>
        <v>0</v>
      </c>
      <c r="CH123" s="915">
        <f t="shared" si="429"/>
        <v>0</v>
      </c>
      <c r="CI123" s="915">
        <f t="shared" si="336"/>
        <v>0</v>
      </c>
      <c r="CJ123" s="915">
        <f t="shared" si="337"/>
        <v>0</v>
      </c>
      <c r="CK123" s="915">
        <f t="shared" si="338"/>
        <v>0</v>
      </c>
      <c r="CL123" s="915">
        <f t="shared" si="339"/>
        <v>0</v>
      </c>
      <c r="CM123" s="915">
        <f t="shared" si="340"/>
        <v>0</v>
      </c>
      <c r="CN123" s="915">
        <f t="shared" si="341"/>
        <v>0</v>
      </c>
      <c r="CO123" s="915">
        <f t="shared" si="342"/>
        <v>0</v>
      </c>
      <c r="CP123" s="915">
        <f t="shared" si="343"/>
        <v>0</v>
      </c>
      <c r="CQ123" s="915">
        <f t="shared" si="370"/>
        <v>0</v>
      </c>
      <c r="CR123" s="915">
        <f t="shared" si="371"/>
        <v>0</v>
      </c>
      <c r="CS123" s="915">
        <f t="shared" si="372"/>
        <v>0</v>
      </c>
      <c r="CT123" s="915">
        <f t="shared" si="373"/>
        <v>0</v>
      </c>
      <c r="CU123" s="915">
        <f t="shared" si="374"/>
        <v>0</v>
      </c>
      <c r="CV123" s="915">
        <f t="shared" si="375"/>
        <v>0</v>
      </c>
      <c r="CW123" s="915">
        <f t="shared" si="376"/>
        <v>0</v>
      </c>
      <c r="CX123" s="915">
        <f t="shared" si="377"/>
        <v>0</v>
      </c>
      <c r="CY123" s="915">
        <f t="shared" si="256"/>
        <v>0</v>
      </c>
      <c r="CZ123" s="915">
        <f t="shared" si="257"/>
        <v>0</v>
      </c>
      <c r="DA123" s="915">
        <f t="shared" si="258"/>
        <v>0</v>
      </c>
      <c r="DB123" s="915">
        <f t="shared" si="259"/>
        <v>0</v>
      </c>
      <c r="DC123" s="915">
        <f t="shared" si="260"/>
        <v>0</v>
      </c>
      <c r="DD123" s="915">
        <f t="shared" si="261"/>
        <v>0</v>
      </c>
      <c r="DE123" s="915">
        <f t="shared" si="262"/>
        <v>0</v>
      </c>
      <c r="DF123" s="915">
        <f t="shared" si="263"/>
        <v>0</v>
      </c>
      <c r="DG123" s="915">
        <f t="shared" si="264"/>
        <v>0</v>
      </c>
      <c r="DH123" s="915">
        <f t="shared" si="265"/>
        <v>0</v>
      </c>
      <c r="DI123" s="915">
        <f t="shared" si="266"/>
        <v>0</v>
      </c>
      <c r="DJ123" s="915">
        <f t="shared" si="267"/>
        <v>0</v>
      </c>
      <c r="DK123" s="915">
        <f t="shared" si="268"/>
        <v>0</v>
      </c>
      <c r="DL123" s="915">
        <f t="shared" si="269"/>
        <v>0</v>
      </c>
      <c r="DM123" s="915">
        <f t="shared" si="270"/>
        <v>0</v>
      </c>
      <c r="DN123" s="915">
        <f t="shared" si="271"/>
        <v>0</v>
      </c>
      <c r="DO123" s="915">
        <f t="shared" si="430"/>
        <v>0</v>
      </c>
      <c r="DP123" s="915">
        <f t="shared" si="431"/>
        <v>0</v>
      </c>
      <c r="DQ123" s="915">
        <f t="shared" si="432"/>
        <v>0</v>
      </c>
      <c r="DR123" s="915">
        <f t="shared" si="433"/>
        <v>0</v>
      </c>
      <c r="DS123" s="915">
        <f t="shared" si="434"/>
        <v>0</v>
      </c>
      <c r="DT123" s="915">
        <f t="shared" si="435"/>
        <v>0</v>
      </c>
      <c r="DU123" s="915">
        <f t="shared" si="436"/>
        <v>0</v>
      </c>
      <c r="DV123" s="915">
        <f t="shared" si="437"/>
        <v>0</v>
      </c>
      <c r="DW123" s="915">
        <f t="shared" si="438"/>
        <v>0</v>
      </c>
      <c r="DX123" s="915">
        <f t="shared" si="439"/>
        <v>0</v>
      </c>
      <c r="DY123" s="915">
        <f t="shared" si="440"/>
        <v>0</v>
      </c>
      <c r="DZ123" s="915">
        <f t="shared" si="441"/>
        <v>0</v>
      </c>
      <c r="EA123" s="915">
        <f t="shared" si="442"/>
        <v>0</v>
      </c>
      <c r="EB123" s="915">
        <f t="shared" si="443"/>
        <v>0</v>
      </c>
      <c r="EC123" s="915">
        <f t="shared" si="444"/>
        <v>0</v>
      </c>
      <c r="ED123" s="915">
        <f t="shared" si="445"/>
        <v>0</v>
      </c>
      <c r="EE123" s="915">
        <f t="shared" si="288"/>
        <v>0</v>
      </c>
      <c r="EF123" s="915">
        <f t="shared" si="289"/>
        <v>0</v>
      </c>
      <c r="EG123" s="915">
        <f t="shared" si="290"/>
        <v>0</v>
      </c>
      <c r="EH123" s="915">
        <f t="shared" si="291"/>
        <v>7.42</v>
      </c>
      <c r="EI123" s="915">
        <f t="shared" si="292"/>
        <v>0</v>
      </c>
      <c r="EJ123" s="915">
        <f t="shared" si="293"/>
        <v>0</v>
      </c>
      <c r="EK123" s="915">
        <f t="shared" si="294"/>
        <v>0</v>
      </c>
      <c r="EL123" s="915">
        <f t="shared" si="295"/>
        <v>0</v>
      </c>
      <c r="EM123" s="915">
        <f t="shared" si="296"/>
        <v>0</v>
      </c>
      <c r="EN123" s="915">
        <f t="shared" si="297"/>
        <v>0</v>
      </c>
      <c r="EO123" s="915">
        <f t="shared" si="298"/>
        <v>0</v>
      </c>
      <c r="EP123" s="915">
        <f t="shared" si="299"/>
        <v>0</v>
      </c>
      <c r="EQ123" s="915">
        <f t="shared" si="300"/>
        <v>0</v>
      </c>
      <c r="ER123" s="915">
        <f t="shared" si="301"/>
        <v>0</v>
      </c>
      <c r="ES123" s="915">
        <f t="shared" si="302"/>
        <v>0</v>
      </c>
      <c r="ET123" s="915">
        <f t="shared" si="303"/>
        <v>0</v>
      </c>
      <c r="EU123" s="915">
        <f t="shared" si="304"/>
        <v>0</v>
      </c>
      <c r="EV123" s="915">
        <f t="shared" si="305"/>
        <v>0</v>
      </c>
      <c r="EW123" s="915">
        <f t="shared" si="306"/>
        <v>0</v>
      </c>
      <c r="EX123" s="915">
        <f t="shared" si="307"/>
        <v>0</v>
      </c>
      <c r="EY123" s="915">
        <f t="shared" si="308"/>
        <v>0</v>
      </c>
      <c r="EZ123" s="915">
        <f t="shared" si="309"/>
        <v>0</v>
      </c>
      <c r="FA123" s="915">
        <f t="shared" si="310"/>
        <v>0</v>
      </c>
      <c r="FB123" s="915">
        <f t="shared" si="311"/>
        <v>0</v>
      </c>
      <c r="FC123" s="915">
        <f t="shared" si="312"/>
        <v>0</v>
      </c>
      <c r="FD123" s="915">
        <f t="shared" si="313"/>
        <v>0</v>
      </c>
      <c r="FE123" s="915">
        <f t="shared" si="314"/>
        <v>0</v>
      </c>
      <c r="FF123" s="915">
        <f t="shared" si="315"/>
        <v>0</v>
      </c>
      <c r="FG123" s="915">
        <f t="shared" si="316"/>
        <v>0</v>
      </c>
      <c r="FH123" s="915">
        <f t="shared" si="317"/>
        <v>0</v>
      </c>
      <c r="FI123" s="915">
        <f t="shared" si="318"/>
        <v>0</v>
      </c>
      <c r="FJ123" s="915">
        <f t="shared" si="319"/>
        <v>0</v>
      </c>
      <c r="FK123" s="915">
        <f t="shared" si="320"/>
        <v>0</v>
      </c>
      <c r="FL123" s="915">
        <f t="shared" si="321"/>
        <v>0</v>
      </c>
      <c r="FM123" s="915">
        <f t="shared" si="322"/>
        <v>0</v>
      </c>
      <c r="FN123" s="915">
        <f t="shared" si="323"/>
        <v>0</v>
      </c>
      <c r="FO123" s="915">
        <f t="shared" si="324"/>
        <v>0</v>
      </c>
      <c r="FP123" s="915">
        <f t="shared" si="325"/>
        <v>0</v>
      </c>
      <c r="FQ123" s="915">
        <f t="shared" si="326"/>
        <v>0</v>
      </c>
      <c r="FR123" s="915">
        <f t="shared" si="327"/>
        <v>0</v>
      </c>
      <c r="FS123" s="915">
        <f t="shared" si="328"/>
        <v>0</v>
      </c>
      <c r="FT123" s="915">
        <f t="shared" si="329"/>
        <v>0</v>
      </c>
      <c r="FU123" s="915">
        <f t="shared" si="330"/>
        <v>0</v>
      </c>
      <c r="FV123" s="915">
        <f t="shared" si="331"/>
        <v>0</v>
      </c>
      <c r="FW123" s="915">
        <f t="shared" si="332"/>
        <v>0</v>
      </c>
      <c r="FX123" s="915">
        <f t="shared" si="333"/>
        <v>0</v>
      </c>
      <c r="FY123" s="915">
        <f t="shared" si="334"/>
        <v>0</v>
      </c>
      <c r="FZ123" s="915">
        <f t="shared" si="335"/>
        <v>0</v>
      </c>
    </row>
    <row r="124" spans="1:182" x14ac:dyDescent="0.2">
      <c r="A124" s="496">
        <v>117</v>
      </c>
      <c r="B124" s="1419"/>
      <c r="C124" s="1433"/>
      <c r="D124" s="264">
        <v>15</v>
      </c>
      <c r="E124" s="264" t="s">
        <v>30</v>
      </c>
      <c r="F124" s="270" t="s">
        <v>2544</v>
      </c>
      <c r="G124" s="270" t="s">
        <v>2542</v>
      </c>
      <c r="H124" s="272">
        <v>7</v>
      </c>
      <c r="I124" s="268">
        <f t="shared" si="404"/>
        <v>0.42</v>
      </c>
      <c r="J124" s="269">
        <f t="shared" si="405"/>
        <v>7.42</v>
      </c>
      <c r="K124" s="225"/>
      <c r="N124" s="951">
        <f>EI6</f>
        <v>7.42</v>
      </c>
      <c r="O124" s="879" t="str">
        <f>"Surveying/Inspection for " &amp; TabName15</f>
        <v>Surveying/Inspection for Phase 15</v>
      </c>
      <c r="P124" s="950" t="s">
        <v>2163</v>
      </c>
      <c r="W124" s="915">
        <f t="shared" si="176"/>
        <v>0</v>
      </c>
      <c r="X124" s="915">
        <f t="shared" si="177"/>
        <v>0</v>
      </c>
      <c r="Y124" s="915">
        <f t="shared" si="178"/>
        <v>0</v>
      </c>
      <c r="Z124" s="915">
        <f t="shared" si="179"/>
        <v>0</v>
      </c>
      <c r="AA124" s="915">
        <f t="shared" si="180"/>
        <v>0</v>
      </c>
      <c r="AB124" s="915">
        <f t="shared" si="181"/>
        <v>0</v>
      </c>
      <c r="AC124" s="915">
        <f t="shared" si="182"/>
        <v>0</v>
      </c>
      <c r="AD124" s="915">
        <f t="shared" si="183"/>
        <v>0</v>
      </c>
      <c r="AE124" s="915">
        <f t="shared" si="184"/>
        <v>0</v>
      </c>
      <c r="AF124" s="915">
        <f t="shared" si="185"/>
        <v>0</v>
      </c>
      <c r="AG124" s="915">
        <f t="shared" si="186"/>
        <v>0</v>
      </c>
      <c r="AH124" s="915">
        <f t="shared" si="187"/>
        <v>0</v>
      </c>
      <c r="AI124" s="915">
        <f t="shared" si="188"/>
        <v>0</v>
      </c>
      <c r="AJ124" s="915">
        <f t="shared" si="189"/>
        <v>0</v>
      </c>
      <c r="AK124" s="915">
        <f t="shared" si="190"/>
        <v>0</v>
      </c>
      <c r="AL124" s="915">
        <f t="shared" si="191"/>
        <v>0</v>
      </c>
      <c r="AM124" s="915">
        <f t="shared" si="192"/>
        <v>0</v>
      </c>
      <c r="AN124" s="915">
        <f t="shared" si="193"/>
        <v>0</v>
      </c>
      <c r="AO124" s="915">
        <f t="shared" si="194"/>
        <v>0</v>
      </c>
      <c r="AP124" s="915">
        <f t="shared" si="195"/>
        <v>0</v>
      </c>
      <c r="AQ124" s="915">
        <f t="shared" si="196"/>
        <v>0</v>
      </c>
      <c r="AR124" s="915">
        <f t="shared" si="197"/>
        <v>0</v>
      </c>
      <c r="AS124" s="915">
        <f t="shared" si="198"/>
        <v>0</v>
      </c>
      <c r="AT124" s="915">
        <f t="shared" si="199"/>
        <v>0</v>
      </c>
      <c r="AU124" s="915">
        <f t="shared" si="200"/>
        <v>0</v>
      </c>
      <c r="AV124" s="915">
        <f t="shared" si="201"/>
        <v>0</v>
      </c>
      <c r="AW124" s="915">
        <f t="shared" si="202"/>
        <v>0</v>
      </c>
      <c r="AX124" s="915">
        <f t="shared" si="203"/>
        <v>0</v>
      </c>
      <c r="AY124" s="915">
        <f t="shared" si="204"/>
        <v>0</v>
      </c>
      <c r="AZ124" s="915">
        <f t="shared" si="205"/>
        <v>0</v>
      </c>
      <c r="BA124" s="915">
        <f t="shared" si="206"/>
        <v>0</v>
      </c>
      <c r="BB124" s="915">
        <f t="shared" si="207"/>
        <v>0</v>
      </c>
      <c r="BC124" s="915">
        <f t="shared" si="446"/>
        <v>0</v>
      </c>
      <c r="BD124" s="915">
        <f t="shared" si="447"/>
        <v>0</v>
      </c>
      <c r="BE124" s="915">
        <f t="shared" si="448"/>
        <v>0</v>
      </c>
      <c r="BF124" s="915">
        <f t="shared" si="449"/>
        <v>0</v>
      </c>
      <c r="BG124" s="915">
        <f t="shared" si="450"/>
        <v>0</v>
      </c>
      <c r="BH124" s="915">
        <f t="shared" si="451"/>
        <v>0</v>
      </c>
      <c r="BI124" s="915">
        <f t="shared" si="452"/>
        <v>0</v>
      </c>
      <c r="BJ124" s="915">
        <f t="shared" si="453"/>
        <v>0</v>
      </c>
      <c r="BK124" s="915">
        <f t="shared" si="216"/>
        <v>0</v>
      </c>
      <c r="BL124" s="915">
        <f t="shared" si="217"/>
        <v>0</v>
      </c>
      <c r="BM124" s="915">
        <f t="shared" si="218"/>
        <v>0</v>
      </c>
      <c r="BN124" s="915">
        <f t="shared" si="219"/>
        <v>0</v>
      </c>
      <c r="BO124" s="915">
        <f t="shared" si="220"/>
        <v>0</v>
      </c>
      <c r="BP124" s="915">
        <f t="shared" si="221"/>
        <v>0</v>
      </c>
      <c r="BQ124" s="915">
        <f t="shared" si="222"/>
        <v>0</v>
      </c>
      <c r="BR124" s="915">
        <f t="shared" si="223"/>
        <v>0</v>
      </c>
      <c r="BS124" s="915">
        <f t="shared" si="378"/>
        <v>0</v>
      </c>
      <c r="BT124" s="915">
        <f t="shared" si="379"/>
        <v>0</v>
      </c>
      <c r="BU124" s="915">
        <f t="shared" si="380"/>
        <v>0</v>
      </c>
      <c r="BV124" s="915">
        <f t="shared" si="381"/>
        <v>0</v>
      </c>
      <c r="BW124" s="915">
        <f t="shared" si="382"/>
        <v>0</v>
      </c>
      <c r="BX124" s="915">
        <f t="shared" si="383"/>
        <v>0</v>
      </c>
      <c r="BY124" s="915">
        <f t="shared" si="384"/>
        <v>0</v>
      </c>
      <c r="BZ124" s="915">
        <f t="shared" si="385"/>
        <v>0</v>
      </c>
      <c r="CA124" s="915">
        <f t="shared" si="422"/>
        <v>0</v>
      </c>
      <c r="CB124" s="915">
        <f t="shared" si="423"/>
        <v>0</v>
      </c>
      <c r="CC124" s="915">
        <f t="shared" si="424"/>
        <v>0</v>
      </c>
      <c r="CD124" s="915">
        <f t="shared" si="425"/>
        <v>0</v>
      </c>
      <c r="CE124" s="915">
        <f t="shared" si="426"/>
        <v>0</v>
      </c>
      <c r="CF124" s="915">
        <f t="shared" si="427"/>
        <v>0</v>
      </c>
      <c r="CG124" s="915">
        <f t="shared" si="428"/>
        <v>0</v>
      </c>
      <c r="CH124" s="915">
        <f t="shared" si="429"/>
        <v>0</v>
      </c>
      <c r="CI124" s="915">
        <f t="shared" si="336"/>
        <v>0</v>
      </c>
      <c r="CJ124" s="915">
        <f t="shared" si="337"/>
        <v>0</v>
      </c>
      <c r="CK124" s="915">
        <f t="shared" si="338"/>
        <v>0</v>
      </c>
      <c r="CL124" s="915">
        <f t="shared" si="339"/>
        <v>0</v>
      </c>
      <c r="CM124" s="915">
        <f t="shared" si="340"/>
        <v>0</v>
      </c>
      <c r="CN124" s="915">
        <f t="shared" si="341"/>
        <v>0</v>
      </c>
      <c r="CO124" s="915">
        <f t="shared" si="342"/>
        <v>0</v>
      </c>
      <c r="CP124" s="915">
        <f t="shared" si="343"/>
        <v>0</v>
      </c>
      <c r="CQ124" s="915">
        <f t="shared" si="370"/>
        <v>0</v>
      </c>
      <c r="CR124" s="915">
        <f t="shared" si="371"/>
        <v>0</v>
      </c>
      <c r="CS124" s="915">
        <f t="shared" si="372"/>
        <v>0</v>
      </c>
      <c r="CT124" s="915">
        <f t="shared" si="373"/>
        <v>0</v>
      </c>
      <c r="CU124" s="915">
        <f t="shared" si="374"/>
        <v>0</v>
      </c>
      <c r="CV124" s="915">
        <f t="shared" si="375"/>
        <v>0</v>
      </c>
      <c r="CW124" s="915">
        <f t="shared" si="376"/>
        <v>0</v>
      </c>
      <c r="CX124" s="915">
        <f t="shared" si="377"/>
        <v>0</v>
      </c>
      <c r="CY124" s="915">
        <f t="shared" si="256"/>
        <v>0</v>
      </c>
      <c r="CZ124" s="915">
        <f t="shared" si="257"/>
        <v>0</v>
      </c>
      <c r="DA124" s="915">
        <f t="shared" si="258"/>
        <v>0</v>
      </c>
      <c r="DB124" s="915">
        <f t="shared" si="259"/>
        <v>0</v>
      </c>
      <c r="DC124" s="915">
        <f t="shared" si="260"/>
        <v>0</v>
      </c>
      <c r="DD124" s="915">
        <f t="shared" si="261"/>
        <v>0</v>
      </c>
      <c r="DE124" s="915">
        <f t="shared" si="262"/>
        <v>0</v>
      </c>
      <c r="DF124" s="915">
        <f t="shared" si="263"/>
        <v>0</v>
      </c>
      <c r="DG124" s="915">
        <f t="shared" si="264"/>
        <v>0</v>
      </c>
      <c r="DH124" s="915">
        <f t="shared" si="265"/>
        <v>0</v>
      </c>
      <c r="DI124" s="915">
        <f t="shared" si="266"/>
        <v>0</v>
      </c>
      <c r="DJ124" s="915">
        <f t="shared" si="267"/>
        <v>0</v>
      </c>
      <c r="DK124" s="915">
        <f t="shared" si="268"/>
        <v>0</v>
      </c>
      <c r="DL124" s="915">
        <f t="shared" si="269"/>
        <v>0</v>
      </c>
      <c r="DM124" s="915">
        <f t="shared" si="270"/>
        <v>0</v>
      </c>
      <c r="DN124" s="915">
        <f t="shared" si="271"/>
        <v>0</v>
      </c>
      <c r="DO124" s="915">
        <f t="shared" si="430"/>
        <v>0</v>
      </c>
      <c r="DP124" s="915">
        <f t="shared" si="431"/>
        <v>0</v>
      </c>
      <c r="DQ124" s="915">
        <f t="shared" si="432"/>
        <v>0</v>
      </c>
      <c r="DR124" s="915">
        <f t="shared" si="433"/>
        <v>0</v>
      </c>
      <c r="DS124" s="915">
        <f t="shared" si="434"/>
        <v>0</v>
      </c>
      <c r="DT124" s="915">
        <f t="shared" si="435"/>
        <v>0</v>
      </c>
      <c r="DU124" s="915">
        <f t="shared" si="436"/>
        <v>0</v>
      </c>
      <c r="DV124" s="915">
        <f t="shared" si="437"/>
        <v>0</v>
      </c>
      <c r="DW124" s="915">
        <f t="shared" si="438"/>
        <v>0</v>
      </c>
      <c r="DX124" s="915">
        <f t="shared" si="439"/>
        <v>0</v>
      </c>
      <c r="DY124" s="915">
        <f t="shared" si="440"/>
        <v>0</v>
      </c>
      <c r="DZ124" s="915">
        <f t="shared" si="441"/>
        <v>0</v>
      </c>
      <c r="EA124" s="915">
        <f t="shared" si="442"/>
        <v>0</v>
      </c>
      <c r="EB124" s="915">
        <f t="shared" si="443"/>
        <v>0</v>
      </c>
      <c r="EC124" s="915">
        <f t="shared" si="444"/>
        <v>0</v>
      </c>
      <c r="ED124" s="915">
        <f t="shared" si="445"/>
        <v>0</v>
      </c>
      <c r="EE124" s="915">
        <f t="shared" si="288"/>
        <v>0</v>
      </c>
      <c r="EF124" s="915">
        <f t="shared" si="289"/>
        <v>0</v>
      </c>
      <c r="EG124" s="915">
        <f t="shared" si="290"/>
        <v>0</v>
      </c>
      <c r="EH124" s="915">
        <f t="shared" si="291"/>
        <v>0</v>
      </c>
      <c r="EI124" s="915">
        <f t="shared" si="292"/>
        <v>7.42</v>
      </c>
      <c r="EJ124" s="915">
        <f t="shared" si="293"/>
        <v>0</v>
      </c>
      <c r="EK124" s="915">
        <f t="shared" si="294"/>
        <v>0</v>
      </c>
      <c r="EL124" s="915">
        <f t="shared" si="295"/>
        <v>0</v>
      </c>
      <c r="EM124" s="915">
        <f t="shared" si="296"/>
        <v>0</v>
      </c>
      <c r="EN124" s="915">
        <f t="shared" si="297"/>
        <v>0</v>
      </c>
      <c r="EO124" s="915">
        <f t="shared" si="298"/>
        <v>0</v>
      </c>
      <c r="EP124" s="915">
        <f t="shared" si="299"/>
        <v>0</v>
      </c>
      <c r="EQ124" s="915">
        <f t="shared" si="300"/>
        <v>0</v>
      </c>
      <c r="ER124" s="915">
        <f t="shared" si="301"/>
        <v>0</v>
      </c>
      <c r="ES124" s="915">
        <f t="shared" si="302"/>
        <v>0</v>
      </c>
      <c r="ET124" s="915">
        <f t="shared" si="303"/>
        <v>0</v>
      </c>
      <c r="EU124" s="915">
        <f t="shared" si="304"/>
        <v>0</v>
      </c>
      <c r="EV124" s="915">
        <f t="shared" si="305"/>
        <v>0</v>
      </c>
      <c r="EW124" s="915">
        <f t="shared" si="306"/>
        <v>0</v>
      </c>
      <c r="EX124" s="915">
        <f t="shared" si="307"/>
        <v>0</v>
      </c>
      <c r="EY124" s="915">
        <f t="shared" si="308"/>
        <v>0</v>
      </c>
      <c r="EZ124" s="915">
        <f t="shared" si="309"/>
        <v>0</v>
      </c>
      <c r="FA124" s="915">
        <f t="shared" si="310"/>
        <v>0</v>
      </c>
      <c r="FB124" s="915">
        <f t="shared" si="311"/>
        <v>0</v>
      </c>
      <c r="FC124" s="915">
        <f t="shared" si="312"/>
        <v>0</v>
      </c>
      <c r="FD124" s="915">
        <f t="shared" si="313"/>
        <v>0</v>
      </c>
      <c r="FE124" s="915">
        <f t="shared" si="314"/>
        <v>0</v>
      </c>
      <c r="FF124" s="915">
        <f t="shared" si="315"/>
        <v>0</v>
      </c>
      <c r="FG124" s="915">
        <f t="shared" si="316"/>
        <v>0</v>
      </c>
      <c r="FH124" s="915">
        <f t="shared" si="317"/>
        <v>0</v>
      </c>
      <c r="FI124" s="915">
        <f t="shared" si="318"/>
        <v>0</v>
      </c>
      <c r="FJ124" s="915">
        <f t="shared" si="319"/>
        <v>0</v>
      </c>
      <c r="FK124" s="915">
        <f t="shared" si="320"/>
        <v>0</v>
      </c>
      <c r="FL124" s="915">
        <f t="shared" si="321"/>
        <v>0</v>
      </c>
      <c r="FM124" s="915">
        <f t="shared" si="322"/>
        <v>0</v>
      </c>
      <c r="FN124" s="915">
        <f t="shared" si="323"/>
        <v>0</v>
      </c>
      <c r="FO124" s="915">
        <f t="shared" si="324"/>
        <v>0</v>
      </c>
      <c r="FP124" s="915">
        <f t="shared" si="325"/>
        <v>0</v>
      </c>
      <c r="FQ124" s="915">
        <f t="shared" si="326"/>
        <v>0</v>
      </c>
      <c r="FR124" s="915">
        <f t="shared" si="327"/>
        <v>0</v>
      </c>
      <c r="FS124" s="915">
        <f t="shared" si="328"/>
        <v>0</v>
      </c>
      <c r="FT124" s="915">
        <f t="shared" si="329"/>
        <v>0</v>
      </c>
      <c r="FU124" s="915">
        <f t="shared" si="330"/>
        <v>0</v>
      </c>
      <c r="FV124" s="915">
        <f t="shared" si="331"/>
        <v>0</v>
      </c>
      <c r="FW124" s="915">
        <f t="shared" si="332"/>
        <v>0</v>
      </c>
      <c r="FX124" s="915">
        <f t="shared" si="333"/>
        <v>0</v>
      </c>
      <c r="FY124" s="915">
        <f t="shared" si="334"/>
        <v>0</v>
      </c>
      <c r="FZ124" s="915">
        <f t="shared" si="335"/>
        <v>0</v>
      </c>
    </row>
    <row r="125" spans="1:182" x14ac:dyDescent="0.2">
      <c r="A125" s="497">
        <v>118</v>
      </c>
      <c r="B125" s="1423"/>
      <c r="C125" s="1424"/>
      <c r="D125" s="138">
        <v>15</v>
      </c>
      <c r="E125" s="138" t="s">
        <v>170</v>
      </c>
      <c r="F125" s="139" t="s">
        <v>2544</v>
      </c>
      <c r="G125" s="139" t="s">
        <v>2542</v>
      </c>
      <c r="H125" s="100">
        <v>7</v>
      </c>
      <c r="I125" s="119">
        <f t="shared" si="404"/>
        <v>0.42</v>
      </c>
      <c r="J125" s="90">
        <f t="shared" si="405"/>
        <v>7.42</v>
      </c>
      <c r="K125" s="225"/>
      <c r="N125" s="951">
        <f>EJ6</f>
        <v>7.42</v>
      </c>
      <c r="O125" s="879" t="str">
        <f>"Other subcontractor for " &amp; TabName15</f>
        <v>Other subcontractor for Phase 15</v>
      </c>
      <c r="P125" s="949" t="s">
        <v>2195</v>
      </c>
      <c r="W125" s="915">
        <f t="shared" si="176"/>
        <v>0</v>
      </c>
      <c r="X125" s="915">
        <f t="shared" si="177"/>
        <v>0</v>
      </c>
      <c r="Y125" s="915">
        <f t="shared" si="178"/>
        <v>0</v>
      </c>
      <c r="Z125" s="915">
        <f t="shared" si="179"/>
        <v>0</v>
      </c>
      <c r="AA125" s="915">
        <f t="shared" si="180"/>
        <v>0</v>
      </c>
      <c r="AB125" s="915">
        <f t="shared" si="181"/>
        <v>0</v>
      </c>
      <c r="AC125" s="915">
        <f t="shared" si="182"/>
        <v>0</v>
      </c>
      <c r="AD125" s="915">
        <f t="shared" si="183"/>
        <v>0</v>
      </c>
      <c r="AE125" s="915">
        <f t="shared" si="184"/>
        <v>0</v>
      </c>
      <c r="AF125" s="915">
        <f t="shared" si="185"/>
        <v>0</v>
      </c>
      <c r="AG125" s="915">
        <f t="shared" si="186"/>
        <v>0</v>
      </c>
      <c r="AH125" s="915">
        <f t="shared" si="187"/>
        <v>0</v>
      </c>
      <c r="AI125" s="915">
        <f t="shared" si="188"/>
        <v>0</v>
      </c>
      <c r="AJ125" s="915">
        <f t="shared" si="189"/>
        <v>0</v>
      </c>
      <c r="AK125" s="915">
        <f t="shared" si="190"/>
        <v>0</v>
      </c>
      <c r="AL125" s="915">
        <f t="shared" si="191"/>
        <v>0</v>
      </c>
      <c r="AM125" s="915">
        <f t="shared" si="192"/>
        <v>0</v>
      </c>
      <c r="AN125" s="915">
        <f t="shared" si="193"/>
        <v>0</v>
      </c>
      <c r="AO125" s="915">
        <f t="shared" si="194"/>
        <v>0</v>
      </c>
      <c r="AP125" s="915">
        <f t="shared" si="195"/>
        <v>0</v>
      </c>
      <c r="AQ125" s="915">
        <f t="shared" si="196"/>
        <v>0</v>
      </c>
      <c r="AR125" s="915">
        <f t="shared" si="197"/>
        <v>0</v>
      </c>
      <c r="AS125" s="915">
        <f t="shared" si="198"/>
        <v>0</v>
      </c>
      <c r="AT125" s="915">
        <f t="shared" si="199"/>
        <v>0</v>
      </c>
      <c r="AU125" s="915">
        <f t="shared" si="200"/>
        <v>0</v>
      </c>
      <c r="AV125" s="915">
        <f t="shared" si="201"/>
        <v>0</v>
      </c>
      <c r="AW125" s="915">
        <f t="shared" si="202"/>
        <v>0</v>
      </c>
      <c r="AX125" s="915">
        <f t="shared" si="203"/>
        <v>0</v>
      </c>
      <c r="AY125" s="915">
        <f t="shared" si="204"/>
        <v>0</v>
      </c>
      <c r="AZ125" s="915">
        <f t="shared" si="205"/>
        <v>0</v>
      </c>
      <c r="BA125" s="915">
        <f t="shared" si="206"/>
        <v>0</v>
      </c>
      <c r="BB125" s="915">
        <f t="shared" si="207"/>
        <v>0</v>
      </c>
      <c r="BC125" s="915">
        <f t="shared" si="446"/>
        <v>0</v>
      </c>
      <c r="BD125" s="915">
        <f t="shared" si="447"/>
        <v>0</v>
      </c>
      <c r="BE125" s="915">
        <f t="shared" si="448"/>
        <v>0</v>
      </c>
      <c r="BF125" s="915">
        <f t="shared" si="449"/>
        <v>0</v>
      </c>
      <c r="BG125" s="915">
        <f t="shared" si="450"/>
        <v>0</v>
      </c>
      <c r="BH125" s="915">
        <f t="shared" si="451"/>
        <v>0</v>
      </c>
      <c r="BI125" s="915">
        <f t="shared" si="452"/>
        <v>0</v>
      </c>
      <c r="BJ125" s="915">
        <f t="shared" si="453"/>
        <v>0</v>
      </c>
      <c r="BK125" s="915">
        <f t="shared" si="216"/>
        <v>0</v>
      </c>
      <c r="BL125" s="915">
        <f t="shared" si="217"/>
        <v>0</v>
      </c>
      <c r="BM125" s="915">
        <f t="shared" si="218"/>
        <v>0</v>
      </c>
      <c r="BN125" s="915">
        <f t="shared" si="219"/>
        <v>0</v>
      </c>
      <c r="BO125" s="915">
        <f t="shared" si="220"/>
        <v>0</v>
      </c>
      <c r="BP125" s="915">
        <f t="shared" si="221"/>
        <v>0</v>
      </c>
      <c r="BQ125" s="915">
        <f t="shared" si="222"/>
        <v>0</v>
      </c>
      <c r="BR125" s="915">
        <f t="shared" si="223"/>
        <v>0</v>
      </c>
      <c r="BS125" s="915">
        <f t="shared" si="378"/>
        <v>0</v>
      </c>
      <c r="BT125" s="915">
        <f t="shared" si="379"/>
        <v>0</v>
      </c>
      <c r="BU125" s="915">
        <f t="shared" si="380"/>
        <v>0</v>
      </c>
      <c r="BV125" s="915">
        <f t="shared" si="381"/>
        <v>0</v>
      </c>
      <c r="BW125" s="915">
        <f t="shared" si="382"/>
        <v>0</v>
      </c>
      <c r="BX125" s="915">
        <f t="shared" si="383"/>
        <v>0</v>
      </c>
      <c r="BY125" s="915">
        <f t="shared" si="384"/>
        <v>0</v>
      </c>
      <c r="BZ125" s="915">
        <f t="shared" si="385"/>
        <v>0</v>
      </c>
      <c r="CA125" s="915">
        <f t="shared" si="422"/>
        <v>0</v>
      </c>
      <c r="CB125" s="915">
        <f t="shared" si="423"/>
        <v>0</v>
      </c>
      <c r="CC125" s="915">
        <f t="shared" si="424"/>
        <v>0</v>
      </c>
      <c r="CD125" s="915">
        <f t="shared" si="425"/>
        <v>0</v>
      </c>
      <c r="CE125" s="915">
        <f t="shared" si="426"/>
        <v>0</v>
      </c>
      <c r="CF125" s="915">
        <f t="shared" si="427"/>
        <v>0</v>
      </c>
      <c r="CG125" s="915">
        <f t="shared" si="428"/>
        <v>0</v>
      </c>
      <c r="CH125" s="915">
        <f t="shared" si="429"/>
        <v>0</v>
      </c>
      <c r="CI125" s="915">
        <f t="shared" si="336"/>
        <v>0</v>
      </c>
      <c r="CJ125" s="915">
        <f t="shared" si="337"/>
        <v>0</v>
      </c>
      <c r="CK125" s="915">
        <f t="shared" si="338"/>
        <v>0</v>
      </c>
      <c r="CL125" s="915">
        <f t="shared" si="339"/>
        <v>0</v>
      </c>
      <c r="CM125" s="915">
        <f t="shared" si="340"/>
        <v>0</v>
      </c>
      <c r="CN125" s="915">
        <f t="shared" si="341"/>
        <v>0</v>
      </c>
      <c r="CO125" s="915">
        <f t="shared" si="342"/>
        <v>0</v>
      </c>
      <c r="CP125" s="915">
        <f t="shared" si="343"/>
        <v>0</v>
      </c>
      <c r="CQ125" s="915">
        <f t="shared" si="370"/>
        <v>0</v>
      </c>
      <c r="CR125" s="915">
        <f t="shared" si="371"/>
        <v>0</v>
      </c>
      <c r="CS125" s="915">
        <f t="shared" si="372"/>
        <v>0</v>
      </c>
      <c r="CT125" s="915">
        <f t="shared" si="373"/>
        <v>0</v>
      </c>
      <c r="CU125" s="915">
        <f t="shared" si="374"/>
        <v>0</v>
      </c>
      <c r="CV125" s="915">
        <f t="shared" si="375"/>
        <v>0</v>
      </c>
      <c r="CW125" s="915">
        <f t="shared" si="376"/>
        <v>0</v>
      </c>
      <c r="CX125" s="915">
        <f t="shared" si="377"/>
        <v>0</v>
      </c>
      <c r="CY125" s="915">
        <f t="shared" si="256"/>
        <v>0</v>
      </c>
      <c r="CZ125" s="915">
        <f t="shared" si="257"/>
        <v>0</v>
      </c>
      <c r="DA125" s="915">
        <f t="shared" si="258"/>
        <v>0</v>
      </c>
      <c r="DB125" s="915">
        <f t="shared" si="259"/>
        <v>0</v>
      </c>
      <c r="DC125" s="915">
        <f t="shared" si="260"/>
        <v>0</v>
      </c>
      <c r="DD125" s="915">
        <f t="shared" si="261"/>
        <v>0</v>
      </c>
      <c r="DE125" s="915">
        <f t="shared" si="262"/>
        <v>0</v>
      </c>
      <c r="DF125" s="915">
        <f t="shared" si="263"/>
        <v>0</v>
      </c>
      <c r="DG125" s="915">
        <f t="shared" si="264"/>
        <v>0</v>
      </c>
      <c r="DH125" s="915">
        <f t="shared" si="265"/>
        <v>0</v>
      </c>
      <c r="DI125" s="915">
        <f t="shared" si="266"/>
        <v>0</v>
      </c>
      <c r="DJ125" s="915">
        <f t="shared" si="267"/>
        <v>0</v>
      </c>
      <c r="DK125" s="915">
        <f t="shared" si="268"/>
        <v>0</v>
      </c>
      <c r="DL125" s="915">
        <f t="shared" si="269"/>
        <v>0</v>
      </c>
      <c r="DM125" s="915">
        <f t="shared" si="270"/>
        <v>0</v>
      </c>
      <c r="DN125" s="915">
        <f t="shared" si="271"/>
        <v>0</v>
      </c>
      <c r="DO125" s="915">
        <f t="shared" si="430"/>
        <v>0</v>
      </c>
      <c r="DP125" s="915">
        <f t="shared" si="431"/>
        <v>0</v>
      </c>
      <c r="DQ125" s="915">
        <f t="shared" si="432"/>
        <v>0</v>
      </c>
      <c r="DR125" s="915">
        <f t="shared" si="433"/>
        <v>0</v>
      </c>
      <c r="DS125" s="915">
        <f t="shared" si="434"/>
        <v>0</v>
      </c>
      <c r="DT125" s="915">
        <f t="shared" si="435"/>
        <v>0</v>
      </c>
      <c r="DU125" s="915">
        <f t="shared" si="436"/>
        <v>0</v>
      </c>
      <c r="DV125" s="915">
        <f t="shared" si="437"/>
        <v>0</v>
      </c>
      <c r="DW125" s="915">
        <f t="shared" si="438"/>
        <v>0</v>
      </c>
      <c r="DX125" s="915">
        <f t="shared" si="439"/>
        <v>0</v>
      </c>
      <c r="DY125" s="915">
        <f t="shared" si="440"/>
        <v>0</v>
      </c>
      <c r="DZ125" s="915">
        <f t="shared" si="441"/>
        <v>0</v>
      </c>
      <c r="EA125" s="915">
        <f t="shared" si="442"/>
        <v>0</v>
      </c>
      <c r="EB125" s="915">
        <f t="shared" si="443"/>
        <v>0</v>
      </c>
      <c r="EC125" s="915">
        <f t="shared" si="444"/>
        <v>0</v>
      </c>
      <c r="ED125" s="915">
        <f t="shared" si="445"/>
        <v>0</v>
      </c>
      <c r="EE125" s="915">
        <f t="shared" si="288"/>
        <v>0</v>
      </c>
      <c r="EF125" s="915">
        <f t="shared" si="289"/>
        <v>0</v>
      </c>
      <c r="EG125" s="915">
        <f t="shared" si="290"/>
        <v>0</v>
      </c>
      <c r="EH125" s="915">
        <f t="shared" si="291"/>
        <v>0</v>
      </c>
      <c r="EI125" s="915">
        <f t="shared" si="292"/>
        <v>0</v>
      </c>
      <c r="EJ125" s="915">
        <f t="shared" si="293"/>
        <v>7.42</v>
      </c>
      <c r="EK125" s="915">
        <f t="shared" si="294"/>
        <v>0</v>
      </c>
      <c r="EL125" s="915">
        <f t="shared" si="295"/>
        <v>0</v>
      </c>
      <c r="EM125" s="915">
        <f t="shared" si="296"/>
        <v>0</v>
      </c>
      <c r="EN125" s="915">
        <f t="shared" si="297"/>
        <v>0</v>
      </c>
      <c r="EO125" s="915">
        <f t="shared" si="298"/>
        <v>0</v>
      </c>
      <c r="EP125" s="915">
        <f t="shared" si="299"/>
        <v>0</v>
      </c>
      <c r="EQ125" s="915">
        <f t="shared" si="300"/>
        <v>0</v>
      </c>
      <c r="ER125" s="915">
        <f t="shared" si="301"/>
        <v>0</v>
      </c>
      <c r="ES125" s="915">
        <f t="shared" si="302"/>
        <v>0</v>
      </c>
      <c r="ET125" s="915">
        <f t="shared" si="303"/>
        <v>0</v>
      </c>
      <c r="EU125" s="915">
        <f t="shared" si="304"/>
        <v>0</v>
      </c>
      <c r="EV125" s="915">
        <f t="shared" si="305"/>
        <v>0</v>
      </c>
      <c r="EW125" s="915">
        <f t="shared" si="306"/>
        <v>0</v>
      </c>
      <c r="EX125" s="915">
        <f t="shared" si="307"/>
        <v>0</v>
      </c>
      <c r="EY125" s="915">
        <f t="shared" si="308"/>
        <v>0</v>
      </c>
      <c r="EZ125" s="915">
        <f t="shared" si="309"/>
        <v>0</v>
      </c>
      <c r="FA125" s="915">
        <f t="shared" si="310"/>
        <v>0</v>
      </c>
      <c r="FB125" s="915">
        <f t="shared" si="311"/>
        <v>0</v>
      </c>
      <c r="FC125" s="915">
        <f t="shared" si="312"/>
        <v>0</v>
      </c>
      <c r="FD125" s="915">
        <f t="shared" si="313"/>
        <v>0</v>
      </c>
      <c r="FE125" s="915">
        <f t="shared" si="314"/>
        <v>0</v>
      </c>
      <c r="FF125" s="915">
        <f t="shared" si="315"/>
        <v>0</v>
      </c>
      <c r="FG125" s="915">
        <f t="shared" si="316"/>
        <v>0</v>
      </c>
      <c r="FH125" s="915">
        <f t="shared" si="317"/>
        <v>0</v>
      </c>
      <c r="FI125" s="915">
        <f t="shared" si="318"/>
        <v>0</v>
      </c>
      <c r="FJ125" s="915">
        <f t="shared" si="319"/>
        <v>0</v>
      </c>
      <c r="FK125" s="915">
        <f t="shared" si="320"/>
        <v>0</v>
      </c>
      <c r="FL125" s="915">
        <f t="shared" si="321"/>
        <v>0</v>
      </c>
      <c r="FM125" s="915">
        <f t="shared" si="322"/>
        <v>0</v>
      </c>
      <c r="FN125" s="915">
        <f t="shared" si="323"/>
        <v>0</v>
      </c>
      <c r="FO125" s="915">
        <f t="shared" si="324"/>
        <v>0</v>
      </c>
      <c r="FP125" s="915">
        <f t="shared" si="325"/>
        <v>0</v>
      </c>
      <c r="FQ125" s="915">
        <f t="shared" si="326"/>
        <v>0</v>
      </c>
      <c r="FR125" s="915">
        <f t="shared" si="327"/>
        <v>0</v>
      </c>
      <c r="FS125" s="915">
        <f t="shared" si="328"/>
        <v>0</v>
      </c>
      <c r="FT125" s="915">
        <f t="shared" si="329"/>
        <v>0</v>
      </c>
      <c r="FU125" s="915">
        <f t="shared" si="330"/>
        <v>0</v>
      </c>
      <c r="FV125" s="915">
        <f t="shared" si="331"/>
        <v>0</v>
      </c>
      <c r="FW125" s="915">
        <f t="shared" si="332"/>
        <v>0</v>
      </c>
      <c r="FX125" s="915">
        <f t="shared" si="333"/>
        <v>0</v>
      </c>
      <c r="FY125" s="915">
        <f t="shared" si="334"/>
        <v>0</v>
      </c>
      <c r="FZ125" s="915">
        <f t="shared" si="335"/>
        <v>0</v>
      </c>
    </row>
    <row r="126" spans="1:182" x14ac:dyDescent="0.2">
      <c r="A126" s="496">
        <v>119</v>
      </c>
      <c r="B126" s="1419"/>
      <c r="C126" s="1433"/>
      <c r="D126" s="264">
        <v>15</v>
      </c>
      <c r="E126" s="264" t="s">
        <v>48</v>
      </c>
      <c r="F126" s="270" t="s">
        <v>2544</v>
      </c>
      <c r="G126" s="270" t="s">
        <v>2542</v>
      </c>
      <c r="H126" s="272">
        <v>7</v>
      </c>
      <c r="I126" s="268">
        <f t="shared" si="404"/>
        <v>0.42</v>
      </c>
      <c r="J126" s="269">
        <f t="shared" si="405"/>
        <v>7.42</v>
      </c>
      <c r="K126" s="225"/>
      <c r="N126" s="951">
        <f>EK6</f>
        <v>7.42</v>
      </c>
      <c r="O126" s="915" t="str">
        <f>"Miscellaneous for "&amp;TabName15</f>
        <v>Miscellaneous for Phase 15</v>
      </c>
      <c r="P126" s="949" t="s">
        <v>2196</v>
      </c>
      <c r="W126" s="915">
        <f t="shared" si="176"/>
        <v>0</v>
      </c>
      <c r="X126" s="915">
        <f t="shared" si="177"/>
        <v>0</v>
      </c>
      <c r="Y126" s="915">
        <f t="shared" si="178"/>
        <v>0</v>
      </c>
      <c r="Z126" s="915">
        <f t="shared" si="179"/>
        <v>0</v>
      </c>
      <c r="AA126" s="915">
        <f t="shared" si="180"/>
        <v>0</v>
      </c>
      <c r="AB126" s="915">
        <f t="shared" si="181"/>
        <v>0</v>
      </c>
      <c r="AC126" s="915">
        <f t="shared" si="182"/>
        <v>0</v>
      </c>
      <c r="AD126" s="915">
        <f t="shared" si="183"/>
        <v>0</v>
      </c>
      <c r="AE126" s="915">
        <f t="shared" si="184"/>
        <v>0</v>
      </c>
      <c r="AF126" s="915">
        <f t="shared" si="185"/>
        <v>0</v>
      </c>
      <c r="AG126" s="915">
        <f t="shared" si="186"/>
        <v>0</v>
      </c>
      <c r="AH126" s="915">
        <f t="shared" si="187"/>
        <v>0</v>
      </c>
      <c r="AI126" s="915">
        <f t="shared" si="188"/>
        <v>0</v>
      </c>
      <c r="AJ126" s="915">
        <f t="shared" si="189"/>
        <v>0</v>
      </c>
      <c r="AK126" s="915">
        <f t="shared" si="190"/>
        <v>0</v>
      </c>
      <c r="AL126" s="915">
        <f t="shared" si="191"/>
        <v>0</v>
      </c>
      <c r="AM126" s="915">
        <f t="shared" si="192"/>
        <v>0</v>
      </c>
      <c r="AN126" s="915">
        <f t="shared" si="193"/>
        <v>0</v>
      </c>
      <c r="AO126" s="915">
        <f t="shared" si="194"/>
        <v>0</v>
      </c>
      <c r="AP126" s="915">
        <f t="shared" si="195"/>
        <v>0</v>
      </c>
      <c r="AQ126" s="915">
        <f t="shared" si="196"/>
        <v>0</v>
      </c>
      <c r="AR126" s="915">
        <f t="shared" si="197"/>
        <v>0</v>
      </c>
      <c r="AS126" s="915">
        <f t="shared" si="198"/>
        <v>0</v>
      </c>
      <c r="AT126" s="915">
        <f t="shared" si="199"/>
        <v>0</v>
      </c>
      <c r="AU126" s="915">
        <f t="shared" si="200"/>
        <v>0</v>
      </c>
      <c r="AV126" s="915">
        <f t="shared" si="201"/>
        <v>0</v>
      </c>
      <c r="AW126" s="915">
        <f t="shared" si="202"/>
        <v>0</v>
      </c>
      <c r="AX126" s="915">
        <f t="shared" si="203"/>
        <v>0</v>
      </c>
      <c r="AY126" s="915">
        <f t="shared" si="204"/>
        <v>0</v>
      </c>
      <c r="AZ126" s="915">
        <f t="shared" si="205"/>
        <v>0</v>
      </c>
      <c r="BA126" s="915">
        <f t="shared" si="206"/>
        <v>0</v>
      </c>
      <c r="BB126" s="915">
        <f t="shared" si="207"/>
        <v>0</v>
      </c>
      <c r="BC126" s="915">
        <f t="shared" si="446"/>
        <v>0</v>
      </c>
      <c r="BD126" s="915">
        <f t="shared" si="447"/>
        <v>0</v>
      </c>
      <c r="BE126" s="915">
        <f t="shared" si="448"/>
        <v>0</v>
      </c>
      <c r="BF126" s="915">
        <f t="shared" si="449"/>
        <v>0</v>
      </c>
      <c r="BG126" s="915">
        <f t="shared" si="450"/>
        <v>0</v>
      </c>
      <c r="BH126" s="915">
        <f t="shared" si="451"/>
        <v>0</v>
      </c>
      <c r="BI126" s="915">
        <f t="shared" si="452"/>
        <v>0</v>
      </c>
      <c r="BJ126" s="915">
        <f t="shared" si="453"/>
        <v>0</v>
      </c>
      <c r="BK126" s="915">
        <f t="shared" si="216"/>
        <v>0</v>
      </c>
      <c r="BL126" s="915">
        <f t="shared" si="217"/>
        <v>0</v>
      </c>
      <c r="BM126" s="915">
        <f t="shared" si="218"/>
        <v>0</v>
      </c>
      <c r="BN126" s="915">
        <f t="shared" si="219"/>
        <v>0</v>
      </c>
      <c r="BO126" s="915">
        <f t="shared" si="220"/>
        <v>0</v>
      </c>
      <c r="BP126" s="915">
        <f t="shared" si="221"/>
        <v>0</v>
      </c>
      <c r="BQ126" s="915">
        <f t="shared" si="222"/>
        <v>0</v>
      </c>
      <c r="BR126" s="915">
        <f t="shared" si="223"/>
        <v>0</v>
      </c>
      <c r="BS126" s="915">
        <f t="shared" si="378"/>
        <v>0</v>
      </c>
      <c r="BT126" s="915">
        <f t="shared" si="379"/>
        <v>0</v>
      </c>
      <c r="BU126" s="915">
        <f t="shared" si="380"/>
        <v>0</v>
      </c>
      <c r="BV126" s="915">
        <f t="shared" si="381"/>
        <v>0</v>
      </c>
      <c r="BW126" s="915">
        <f t="shared" si="382"/>
        <v>0</v>
      </c>
      <c r="BX126" s="915">
        <f t="shared" si="383"/>
        <v>0</v>
      </c>
      <c r="BY126" s="915">
        <f t="shared" si="384"/>
        <v>0</v>
      </c>
      <c r="BZ126" s="915">
        <f t="shared" si="385"/>
        <v>0</v>
      </c>
      <c r="CA126" s="915">
        <f t="shared" si="422"/>
        <v>0</v>
      </c>
      <c r="CB126" s="915">
        <f t="shared" si="423"/>
        <v>0</v>
      </c>
      <c r="CC126" s="915">
        <f t="shared" si="424"/>
        <v>0</v>
      </c>
      <c r="CD126" s="915">
        <f t="shared" si="425"/>
        <v>0</v>
      </c>
      <c r="CE126" s="915">
        <f t="shared" si="426"/>
        <v>0</v>
      </c>
      <c r="CF126" s="915">
        <f t="shared" si="427"/>
        <v>0</v>
      </c>
      <c r="CG126" s="915">
        <f t="shared" si="428"/>
        <v>0</v>
      </c>
      <c r="CH126" s="915">
        <f t="shared" si="429"/>
        <v>0</v>
      </c>
      <c r="CI126" s="915">
        <f t="shared" si="336"/>
        <v>0</v>
      </c>
      <c r="CJ126" s="915">
        <f t="shared" si="337"/>
        <v>0</v>
      </c>
      <c r="CK126" s="915">
        <f t="shared" si="338"/>
        <v>0</v>
      </c>
      <c r="CL126" s="915">
        <f t="shared" si="339"/>
        <v>0</v>
      </c>
      <c r="CM126" s="915">
        <f t="shared" si="340"/>
        <v>0</v>
      </c>
      <c r="CN126" s="915">
        <f t="shared" si="341"/>
        <v>0</v>
      </c>
      <c r="CO126" s="915">
        <f t="shared" si="342"/>
        <v>0</v>
      </c>
      <c r="CP126" s="915">
        <f t="shared" si="343"/>
        <v>0</v>
      </c>
      <c r="CQ126" s="915">
        <f t="shared" si="370"/>
        <v>0</v>
      </c>
      <c r="CR126" s="915">
        <f t="shared" si="371"/>
        <v>0</v>
      </c>
      <c r="CS126" s="915">
        <f t="shared" si="372"/>
        <v>0</v>
      </c>
      <c r="CT126" s="915">
        <f t="shared" si="373"/>
        <v>0</v>
      </c>
      <c r="CU126" s="915">
        <f t="shared" si="374"/>
        <v>0</v>
      </c>
      <c r="CV126" s="915">
        <f t="shared" si="375"/>
        <v>0</v>
      </c>
      <c r="CW126" s="915">
        <f t="shared" si="376"/>
        <v>0</v>
      </c>
      <c r="CX126" s="915">
        <f t="shared" si="377"/>
        <v>0</v>
      </c>
      <c r="CY126" s="915">
        <f t="shared" si="256"/>
        <v>0</v>
      </c>
      <c r="CZ126" s="915">
        <f t="shared" si="257"/>
        <v>0</v>
      </c>
      <c r="DA126" s="915">
        <f t="shared" si="258"/>
        <v>0</v>
      </c>
      <c r="DB126" s="915">
        <f t="shared" si="259"/>
        <v>0</v>
      </c>
      <c r="DC126" s="915">
        <f t="shared" si="260"/>
        <v>0</v>
      </c>
      <c r="DD126" s="915">
        <f t="shared" si="261"/>
        <v>0</v>
      </c>
      <c r="DE126" s="915">
        <f t="shared" si="262"/>
        <v>0</v>
      </c>
      <c r="DF126" s="915">
        <f t="shared" si="263"/>
        <v>0</v>
      </c>
      <c r="DG126" s="915">
        <f t="shared" si="264"/>
        <v>0</v>
      </c>
      <c r="DH126" s="915">
        <f t="shared" si="265"/>
        <v>0</v>
      </c>
      <c r="DI126" s="915">
        <f t="shared" si="266"/>
        <v>0</v>
      </c>
      <c r="DJ126" s="915">
        <f t="shared" si="267"/>
        <v>0</v>
      </c>
      <c r="DK126" s="915">
        <f t="shared" si="268"/>
        <v>0</v>
      </c>
      <c r="DL126" s="915">
        <f t="shared" si="269"/>
        <v>0</v>
      </c>
      <c r="DM126" s="915">
        <f t="shared" si="270"/>
        <v>0</v>
      </c>
      <c r="DN126" s="915">
        <f t="shared" si="271"/>
        <v>0</v>
      </c>
      <c r="DO126" s="915">
        <f t="shared" si="430"/>
        <v>0</v>
      </c>
      <c r="DP126" s="915">
        <f t="shared" si="431"/>
        <v>0</v>
      </c>
      <c r="DQ126" s="915">
        <f t="shared" si="432"/>
        <v>0</v>
      </c>
      <c r="DR126" s="915">
        <f t="shared" si="433"/>
        <v>0</v>
      </c>
      <c r="DS126" s="915">
        <f t="shared" si="434"/>
        <v>0</v>
      </c>
      <c r="DT126" s="915">
        <f t="shared" si="435"/>
        <v>0</v>
      </c>
      <c r="DU126" s="915">
        <f t="shared" si="436"/>
        <v>0</v>
      </c>
      <c r="DV126" s="915">
        <f t="shared" si="437"/>
        <v>0</v>
      </c>
      <c r="DW126" s="915">
        <f t="shared" si="438"/>
        <v>0</v>
      </c>
      <c r="DX126" s="915">
        <f t="shared" si="439"/>
        <v>0</v>
      </c>
      <c r="DY126" s="915">
        <f t="shared" si="440"/>
        <v>0</v>
      </c>
      <c r="DZ126" s="915">
        <f t="shared" si="441"/>
        <v>0</v>
      </c>
      <c r="EA126" s="915">
        <f t="shared" si="442"/>
        <v>0</v>
      </c>
      <c r="EB126" s="915">
        <f t="shared" si="443"/>
        <v>0</v>
      </c>
      <c r="EC126" s="915">
        <f t="shared" si="444"/>
        <v>0</v>
      </c>
      <c r="ED126" s="915">
        <f t="shared" si="445"/>
        <v>0</v>
      </c>
      <c r="EE126" s="915">
        <f t="shared" si="288"/>
        <v>0</v>
      </c>
      <c r="EF126" s="915">
        <f t="shared" si="289"/>
        <v>0</v>
      </c>
      <c r="EG126" s="915">
        <f t="shared" si="290"/>
        <v>0</v>
      </c>
      <c r="EH126" s="915">
        <f t="shared" si="291"/>
        <v>0</v>
      </c>
      <c r="EI126" s="915">
        <f t="shared" si="292"/>
        <v>0</v>
      </c>
      <c r="EJ126" s="915">
        <f t="shared" si="293"/>
        <v>0</v>
      </c>
      <c r="EK126" s="915">
        <f t="shared" si="294"/>
        <v>7.42</v>
      </c>
      <c r="EL126" s="915">
        <f t="shared" si="295"/>
        <v>0</v>
      </c>
      <c r="EM126" s="915">
        <f t="shared" si="296"/>
        <v>0</v>
      </c>
      <c r="EN126" s="915">
        <f t="shared" si="297"/>
        <v>0</v>
      </c>
      <c r="EO126" s="915">
        <f t="shared" si="298"/>
        <v>0</v>
      </c>
      <c r="EP126" s="915">
        <f t="shared" si="299"/>
        <v>0</v>
      </c>
      <c r="EQ126" s="915">
        <f t="shared" si="300"/>
        <v>0</v>
      </c>
      <c r="ER126" s="915">
        <f t="shared" si="301"/>
        <v>0</v>
      </c>
      <c r="ES126" s="915">
        <f t="shared" si="302"/>
        <v>0</v>
      </c>
      <c r="ET126" s="915">
        <f t="shared" si="303"/>
        <v>0</v>
      </c>
      <c r="EU126" s="915">
        <f t="shared" si="304"/>
        <v>0</v>
      </c>
      <c r="EV126" s="915">
        <f t="shared" si="305"/>
        <v>0</v>
      </c>
      <c r="EW126" s="915">
        <f t="shared" si="306"/>
        <v>0</v>
      </c>
      <c r="EX126" s="915">
        <f t="shared" si="307"/>
        <v>0</v>
      </c>
      <c r="EY126" s="915">
        <f t="shared" si="308"/>
        <v>0</v>
      </c>
      <c r="EZ126" s="915">
        <f t="shared" si="309"/>
        <v>0</v>
      </c>
      <c r="FA126" s="915">
        <f t="shared" si="310"/>
        <v>0</v>
      </c>
      <c r="FB126" s="915">
        <f t="shared" si="311"/>
        <v>0</v>
      </c>
      <c r="FC126" s="915">
        <f t="shared" si="312"/>
        <v>0</v>
      </c>
      <c r="FD126" s="915">
        <f t="shared" si="313"/>
        <v>0</v>
      </c>
      <c r="FE126" s="915">
        <f t="shared" si="314"/>
        <v>0</v>
      </c>
      <c r="FF126" s="915">
        <f t="shared" si="315"/>
        <v>0</v>
      </c>
      <c r="FG126" s="915">
        <f t="shared" si="316"/>
        <v>0</v>
      </c>
      <c r="FH126" s="915">
        <f t="shared" si="317"/>
        <v>0</v>
      </c>
      <c r="FI126" s="915">
        <f t="shared" si="318"/>
        <v>0</v>
      </c>
      <c r="FJ126" s="915">
        <f t="shared" si="319"/>
        <v>0</v>
      </c>
      <c r="FK126" s="915">
        <f t="shared" si="320"/>
        <v>0</v>
      </c>
      <c r="FL126" s="915">
        <f t="shared" si="321"/>
        <v>0</v>
      </c>
      <c r="FM126" s="915">
        <f t="shared" si="322"/>
        <v>0</v>
      </c>
      <c r="FN126" s="915">
        <f t="shared" si="323"/>
        <v>0</v>
      </c>
      <c r="FO126" s="915">
        <f t="shared" si="324"/>
        <v>0</v>
      </c>
      <c r="FP126" s="915">
        <f t="shared" si="325"/>
        <v>0</v>
      </c>
      <c r="FQ126" s="915">
        <f t="shared" si="326"/>
        <v>0</v>
      </c>
      <c r="FR126" s="915">
        <f t="shared" si="327"/>
        <v>0</v>
      </c>
      <c r="FS126" s="915">
        <f t="shared" si="328"/>
        <v>0</v>
      </c>
      <c r="FT126" s="915">
        <f t="shared" si="329"/>
        <v>0</v>
      </c>
      <c r="FU126" s="915">
        <f t="shared" si="330"/>
        <v>0</v>
      </c>
      <c r="FV126" s="915">
        <f t="shared" si="331"/>
        <v>0</v>
      </c>
      <c r="FW126" s="915">
        <f t="shared" si="332"/>
        <v>0</v>
      </c>
      <c r="FX126" s="915">
        <f t="shared" si="333"/>
        <v>0</v>
      </c>
      <c r="FY126" s="915">
        <f t="shared" si="334"/>
        <v>0</v>
      </c>
      <c r="FZ126" s="915">
        <f t="shared" si="335"/>
        <v>0</v>
      </c>
    </row>
    <row r="127" spans="1:182" x14ac:dyDescent="0.2">
      <c r="A127" s="497">
        <v>120</v>
      </c>
      <c r="B127" s="1423"/>
      <c r="C127" s="1424"/>
      <c r="D127" s="138">
        <v>15</v>
      </c>
      <c r="E127" s="138" t="s">
        <v>27</v>
      </c>
      <c r="F127" s="139" t="s">
        <v>2544</v>
      </c>
      <c r="G127" s="139" t="s">
        <v>2542</v>
      </c>
      <c r="H127" s="100">
        <v>7</v>
      </c>
      <c r="I127" s="119">
        <f t="shared" si="404"/>
        <v>0.42</v>
      </c>
      <c r="J127" s="90">
        <f t="shared" si="405"/>
        <v>7.42</v>
      </c>
      <c r="K127" s="225"/>
      <c r="N127" s="951">
        <f>EL6</f>
        <v>7.42</v>
      </c>
      <c r="O127" s="879" t="str">
        <f>"Contractor Labor for " &amp; TabName15</f>
        <v>Contractor Labor for Phase 15</v>
      </c>
      <c r="P127" s="950" t="s">
        <v>2197</v>
      </c>
      <c r="W127" s="915">
        <f t="shared" si="176"/>
        <v>0</v>
      </c>
      <c r="X127" s="915">
        <f t="shared" si="177"/>
        <v>0</v>
      </c>
      <c r="Y127" s="915">
        <f t="shared" si="178"/>
        <v>0</v>
      </c>
      <c r="Z127" s="915">
        <f t="shared" si="179"/>
        <v>0</v>
      </c>
      <c r="AA127" s="915">
        <f t="shared" si="180"/>
        <v>0</v>
      </c>
      <c r="AB127" s="915">
        <f t="shared" si="181"/>
        <v>0</v>
      </c>
      <c r="AC127" s="915">
        <f t="shared" si="182"/>
        <v>0</v>
      </c>
      <c r="AD127" s="915">
        <f t="shared" si="183"/>
        <v>0</v>
      </c>
      <c r="AE127" s="915">
        <f t="shared" si="184"/>
        <v>0</v>
      </c>
      <c r="AF127" s="915">
        <f t="shared" si="185"/>
        <v>0</v>
      </c>
      <c r="AG127" s="915">
        <f t="shared" si="186"/>
        <v>0</v>
      </c>
      <c r="AH127" s="915">
        <f t="shared" si="187"/>
        <v>0</v>
      </c>
      <c r="AI127" s="915">
        <f t="shared" si="188"/>
        <v>0</v>
      </c>
      <c r="AJ127" s="915">
        <f t="shared" si="189"/>
        <v>0</v>
      </c>
      <c r="AK127" s="915">
        <f t="shared" si="190"/>
        <v>0</v>
      </c>
      <c r="AL127" s="915">
        <f t="shared" si="191"/>
        <v>0</v>
      </c>
      <c r="AM127" s="915">
        <f t="shared" si="192"/>
        <v>0</v>
      </c>
      <c r="AN127" s="915">
        <f t="shared" si="193"/>
        <v>0</v>
      </c>
      <c r="AO127" s="915">
        <f t="shared" si="194"/>
        <v>0</v>
      </c>
      <c r="AP127" s="915">
        <f t="shared" si="195"/>
        <v>0</v>
      </c>
      <c r="AQ127" s="915">
        <f t="shared" si="196"/>
        <v>0</v>
      </c>
      <c r="AR127" s="915">
        <f t="shared" si="197"/>
        <v>0</v>
      </c>
      <c r="AS127" s="915">
        <f t="shared" si="198"/>
        <v>0</v>
      </c>
      <c r="AT127" s="915">
        <f t="shared" si="199"/>
        <v>0</v>
      </c>
      <c r="AU127" s="915">
        <f t="shared" si="200"/>
        <v>0</v>
      </c>
      <c r="AV127" s="915">
        <f t="shared" si="201"/>
        <v>0</v>
      </c>
      <c r="AW127" s="915">
        <f t="shared" si="202"/>
        <v>0</v>
      </c>
      <c r="AX127" s="915">
        <f t="shared" si="203"/>
        <v>0</v>
      </c>
      <c r="AY127" s="915">
        <f t="shared" si="204"/>
        <v>0</v>
      </c>
      <c r="AZ127" s="915">
        <f t="shared" si="205"/>
        <v>0</v>
      </c>
      <c r="BA127" s="915">
        <f t="shared" si="206"/>
        <v>0</v>
      </c>
      <c r="BB127" s="915">
        <f t="shared" si="207"/>
        <v>0</v>
      </c>
      <c r="BC127" s="915">
        <f t="shared" si="446"/>
        <v>0</v>
      </c>
      <c r="BD127" s="915">
        <f t="shared" si="447"/>
        <v>0</v>
      </c>
      <c r="BE127" s="915">
        <f t="shared" si="448"/>
        <v>0</v>
      </c>
      <c r="BF127" s="915">
        <f t="shared" si="449"/>
        <v>0</v>
      </c>
      <c r="BG127" s="915">
        <f t="shared" si="450"/>
        <v>0</v>
      </c>
      <c r="BH127" s="915">
        <f t="shared" si="451"/>
        <v>0</v>
      </c>
      <c r="BI127" s="915">
        <f t="shared" si="452"/>
        <v>0</v>
      </c>
      <c r="BJ127" s="915">
        <f t="shared" si="453"/>
        <v>0</v>
      </c>
      <c r="BK127" s="915">
        <f t="shared" si="216"/>
        <v>0</v>
      </c>
      <c r="BL127" s="915">
        <f t="shared" si="217"/>
        <v>0</v>
      </c>
      <c r="BM127" s="915">
        <f t="shared" si="218"/>
        <v>0</v>
      </c>
      <c r="BN127" s="915">
        <f t="shared" si="219"/>
        <v>0</v>
      </c>
      <c r="BO127" s="915">
        <f t="shared" si="220"/>
        <v>0</v>
      </c>
      <c r="BP127" s="915">
        <f t="shared" si="221"/>
        <v>0</v>
      </c>
      <c r="BQ127" s="915">
        <f t="shared" si="222"/>
        <v>0</v>
      </c>
      <c r="BR127" s="915">
        <f t="shared" si="223"/>
        <v>0</v>
      </c>
      <c r="BS127" s="915">
        <f t="shared" si="378"/>
        <v>0</v>
      </c>
      <c r="BT127" s="915">
        <f t="shared" si="379"/>
        <v>0</v>
      </c>
      <c r="BU127" s="915">
        <f t="shared" si="380"/>
        <v>0</v>
      </c>
      <c r="BV127" s="915">
        <f t="shared" si="381"/>
        <v>0</v>
      </c>
      <c r="BW127" s="915">
        <f t="shared" si="382"/>
        <v>0</v>
      </c>
      <c r="BX127" s="915">
        <f t="shared" si="383"/>
        <v>0</v>
      </c>
      <c r="BY127" s="915">
        <f t="shared" si="384"/>
        <v>0</v>
      </c>
      <c r="BZ127" s="915">
        <f t="shared" si="385"/>
        <v>0</v>
      </c>
      <c r="CA127" s="915">
        <f t="shared" si="422"/>
        <v>0</v>
      </c>
      <c r="CB127" s="915">
        <f t="shared" si="423"/>
        <v>0</v>
      </c>
      <c r="CC127" s="915">
        <f t="shared" si="424"/>
        <v>0</v>
      </c>
      <c r="CD127" s="915">
        <f t="shared" si="425"/>
        <v>0</v>
      </c>
      <c r="CE127" s="915">
        <f t="shared" si="426"/>
        <v>0</v>
      </c>
      <c r="CF127" s="915">
        <f t="shared" si="427"/>
        <v>0</v>
      </c>
      <c r="CG127" s="915">
        <f t="shared" si="428"/>
        <v>0</v>
      </c>
      <c r="CH127" s="915">
        <f t="shared" si="429"/>
        <v>0</v>
      </c>
      <c r="CI127" s="915">
        <f t="shared" si="336"/>
        <v>0</v>
      </c>
      <c r="CJ127" s="915">
        <f t="shared" si="337"/>
        <v>0</v>
      </c>
      <c r="CK127" s="915">
        <f t="shared" si="338"/>
        <v>0</v>
      </c>
      <c r="CL127" s="915">
        <f t="shared" si="339"/>
        <v>0</v>
      </c>
      <c r="CM127" s="915">
        <f t="shared" si="340"/>
        <v>0</v>
      </c>
      <c r="CN127" s="915">
        <f t="shared" si="341"/>
        <v>0</v>
      </c>
      <c r="CO127" s="915">
        <f t="shared" si="342"/>
        <v>0</v>
      </c>
      <c r="CP127" s="915">
        <f t="shared" si="343"/>
        <v>0</v>
      </c>
      <c r="CQ127" s="915">
        <f t="shared" si="370"/>
        <v>0</v>
      </c>
      <c r="CR127" s="915">
        <f t="shared" si="371"/>
        <v>0</v>
      </c>
      <c r="CS127" s="915">
        <f t="shared" si="372"/>
        <v>0</v>
      </c>
      <c r="CT127" s="915">
        <f t="shared" si="373"/>
        <v>0</v>
      </c>
      <c r="CU127" s="915">
        <f t="shared" si="374"/>
        <v>0</v>
      </c>
      <c r="CV127" s="915">
        <f t="shared" si="375"/>
        <v>0</v>
      </c>
      <c r="CW127" s="915">
        <f t="shared" si="376"/>
        <v>0</v>
      </c>
      <c r="CX127" s="915">
        <f t="shared" si="377"/>
        <v>0</v>
      </c>
      <c r="CY127" s="915">
        <f t="shared" si="256"/>
        <v>0</v>
      </c>
      <c r="CZ127" s="915">
        <f t="shared" si="257"/>
        <v>0</v>
      </c>
      <c r="DA127" s="915">
        <f t="shared" si="258"/>
        <v>0</v>
      </c>
      <c r="DB127" s="915">
        <f t="shared" si="259"/>
        <v>0</v>
      </c>
      <c r="DC127" s="915">
        <f t="shared" si="260"/>
        <v>0</v>
      </c>
      <c r="DD127" s="915">
        <f t="shared" si="261"/>
        <v>0</v>
      </c>
      <c r="DE127" s="915">
        <f t="shared" si="262"/>
        <v>0</v>
      </c>
      <c r="DF127" s="915">
        <f t="shared" si="263"/>
        <v>0</v>
      </c>
      <c r="DG127" s="915">
        <f t="shared" si="264"/>
        <v>0</v>
      </c>
      <c r="DH127" s="915">
        <f t="shared" si="265"/>
        <v>0</v>
      </c>
      <c r="DI127" s="915">
        <f t="shared" si="266"/>
        <v>0</v>
      </c>
      <c r="DJ127" s="915">
        <f t="shared" si="267"/>
        <v>0</v>
      </c>
      <c r="DK127" s="915">
        <f t="shared" si="268"/>
        <v>0</v>
      </c>
      <c r="DL127" s="915">
        <f t="shared" si="269"/>
        <v>0</v>
      </c>
      <c r="DM127" s="915">
        <f t="shared" si="270"/>
        <v>0</v>
      </c>
      <c r="DN127" s="915">
        <f t="shared" si="271"/>
        <v>0</v>
      </c>
      <c r="DO127" s="915">
        <f t="shared" si="430"/>
        <v>0</v>
      </c>
      <c r="DP127" s="915">
        <f t="shared" si="431"/>
        <v>0</v>
      </c>
      <c r="DQ127" s="915">
        <f t="shared" si="432"/>
        <v>0</v>
      </c>
      <c r="DR127" s="915">
        <f t="shared" si="433"/>
        <v>0</v>
      </c>
      <c r="DS127" s="915">
        <f t="shared" si="434"/>
        <v>0</v>
      </c>
      <c r="DT127" s="915">
        <f t="shared" si="435"/>
        <v>0</v>
      </c>
      <c r="DU127" s="915">
        <f t="shared" si="436"/>
        <v>0</v>
      </c>
      <c r="DV127" s="915">
        <f t="shared" si="437"/>
        <v>0</v>
      </c>
      <c r="DW127" s="915">
        <f t="shared" si="438"/>
        <v>0</v>
      </c>
      <c r="DX127" s="915">
        <f t="shared" si="439"/>
        <v>0</v>
      </c>
      <c r="DY127" s="915">
        <f t="shared" si="440"/>
        <v>0</v>
      </c>
      <c r="DZ127" s="915">
        <f t="shared" si="441"/>
        <v>0</v>
      </c>
      <c r="EA127" s="915">
        <f t="shared" si="442"/>
        <v>0</v>
      </c>
      <c r="EB127" s="915">
        <f t="shared" si="443"/>
        <v>0</v>
      </c>
      <c r="EC127" s="915">
        <f t="shared" si="444"/>
        <v>0</v>
      </c>
      <c r="ED127" s="915">
        <f t="shared" si="445"/>
        <v>0</v>
      </c>
      <c r="EE127" s="915">
        <f t="shared" si="288"/>
        <v>0</v>
      </c>
      <c r="EF127" s="915">
        <f t="shared" si="289"/>
        <v>0</v>
      </c>
      <c r="EG127" s="915">
        <f t="shared" si="290"/>
        <v>0</v>
      </c>
      <c r="EH127" s="915">
        <f t="shared" si="291"/>
        <v>0</v>
      </c>
      <c r="EI127" s="915">
        <f t="shared" si="292"/>
        <v>0</v>
      </c>
      <c r="EJ127" s="915">
        <f t="shared" si="293"/>
        <v>0</v>
      </c>
      <c r="EK127" s="915">
        <f t="shared" si="294"/>
        <v>0</v>
      </c>
      <c r="EL127" s="915">
        <f t="shared" si="295"/>
        <v>7.42</v>
      </c>
      <c r="EM127" s="915">
        <f t="shared" si="296"/>
        <v>0</v>
      </c>
      <c r="EN127" s="915">
        <f t="shared" si="297"/>
        <v>0</v>
      </c>
      <c r="EO127" s="915">
        <f t="shared" si="298"/>
        <v>0</v>
      </c>
      <c r="EP127" s="915">
        <f t="shared" si="299"/>
        <v>0</v>
      </c>
      <c r="EQ127" s="915">
        <f t="shared" si="300"/>
        <v>0</v>
      </c>
      <c r="ER127" s="915">
        <f t="shared" si="301"/>
        <v>0</v>
      </c>
      <c r="ES127" s="915">
        <f t="shared" si="302"/>
        <v>0</v>
      </c>
      <c r="ET127" s="915">
        <f t="shared" si="303"/>
        <v>0</v>
      </c>
      <c r="EU127" s="915">
        <f t="shared" si="304"/>
        <v>0</v>
      </c>
      <c r="EV127" s="915">
        <f t="shared" si="305"/>
        <v>0</v>
      </c>
      <c r="EW127" s="915">
        <f t="shared" si="306"/>
        <v>0</v>
      </c>
      <c r="EX127" s="915">
        <f t="shared" si="307"/>
        <v>0</v>
      </c>
      <c r="EY127" s="915">
        <f t="shared" si="308"/>
        <v>0</v>
      </c>
      <c r="EZ127" s="915">
        <f t="shared" si="309"/>
        <v>0</v>
      </c>
      <c r="FA127" s="915">
        <f t="shared" si="310"/>
        <v>0</v>
      </c>
      <c r="FB127" s="915">
        <f t="shared" si="311"/>
        <v>0</v>
      </c>
      <c r="FC127" s="915">
        <f t="shared" si="312"/>
        <v>0</v>
      </c>
      <c r="FD127" s="915">
        <f t="shared" si="313"/>
        <v>0</v>
      </c>
      <c r="FE127" s="915">
        <f t="shared" si="314"/>
        <v>0</v>
      </c>
      <c r="FF127" s="915">
        <f t="shared" si="315"/>
        <v>0</v>
      </c>
      <c r="FG127" s="915">
        <f t="shared" si="316"/>
        <v>0</v>
      </c>
      <c r="FH127" s="915">
        <f t="shared" si="317"/>
        <v>0</v>
      </c>
      <c r="FI127" s="915">
        <f t="shared" si="318"/>
        <v>0</v>
      </c>
      <c r="FJ127" s="915">
        <f t="shared" si="319"/>
        <v>0</v>
      </c>
      <c r="FK127" s="915">
        <f t="shared" si="320"/>
        <v>0</v>
      </c>
      <c r="FL127" s="915">
        <f t="shared" si="321"/>
        <v>0</v>
      </c>
      <c r="FM127" s="915">
        <f t="shared" si="322"/>
        <v>0</v>
      </c>
      <c r="FN127" s="915">
        <f t="shared" si="323"/>
        <v>0</v>
      </c>
      <c r="FO127" s="915">
        <f t="shared" si="324"/>
        <v>0</v>
      </c>
      <c r="FP127" s="915">
        <f t="shared" si="325"/>
        <v>0</v>
      </c>
      <c r="FQ127" s="915">
        <f t="shared" si="326"/>
        <v>0</v>
      </c>
      <c r="FR127" s="915">
        <f t="shared" si="327"/>
        <v>0</v>
      </c>
      <c r="FS127" s="915">
        <f t="shared" si="328"/>
        <v>0</v>
      </c>
      <c r="FT127" s="915">
        <f t="shared" si="329"/>
        <v>0</v>
      </c>
      <c r="FU127" s="915">
        <f t="shared" si="330"/>
        <v>0</v>
      </c>
      <c r="FV127" s="915">
        <f t="shared" si="331"/>
        <v>0</v>
      </c>
      <c r="FW127" s="915">
        <f t="shared" si="332"/>
        <v>0</v>
      </c>
      <c r="FX127" s="915">
        <f t="shared" si="333"/>
        <v>0</v>
      </c>
      <c r="FY127" s="915">
        <f t="shared" si="334"/>
        <v>0</v>
      </c>
      <c r="FZ127" s="915">
        <f t="shared" si="335"/>
        <v>0</v>
      </c>
    </row>
    <row r="128" spans="1:182" x14ac:dyDescent="0.2">
      <c r="A128" s="496">
        <v>121</v>
      </c>
      <c r="B128" s="1419"/>
      <c r="C128" s="1433"/>
      <c r="D128" s="264">
        <v>16</v>
      </c>
      <c r="E128" s="264" t="s">
        <v>193</v>
      </c>
      <c r="F128" s="270" t="s">
        <v>2544</v>
      </c>
      <c r="G128" s="270" t="s">
        <v>2542</v>
      </c>
      <c r="H128" s="272">
        <v>7</v>
      </c>
      <c r="I128" s="268">
        <f t="shared" si="404"/>
        <v>0.42</v>
      </c>
      <c r="J128" s="269">
        <f t="shared" si="405"/>
        <v>7.42</v>
      </c>
      <c r="K128" s="225"/>
      <c r="N128" s="951">
        <f>EM6</f>
        <v>7.42</v>
      </c>
      <c r="O128" s="879" t="str">
        <f>"Boring/Monitoring Wells for "&amp;TabName16</f>
        <v>Boring/Monitoring Wells for Phase 16</v>
      </c>
      <c r="P128" s="949" t="s">
        <v>2183</v>
      </c>
      <c r="W128" s="915">
        <f t="shared" si="176"/>
        <v>0</v>
      </c>
      <c r="X128" s="915">
        <f t="shared" si="177"/>
        <v>0</v>
      </c>
      <c r="Y128" s="915">
        <f t="shared" si="178"/>
        <v>0</v>
      </c>
      <c r="Z128" s="915">
        <f t="shared" si="179"/>
        <v>0</v>
      </c>
      <c r="AA128" s="915">
        <f t="shared" si="180"/>
        <v>0</v>
      </c>
      <c r="AB128" s="915">
        <f t="shared" si="181"/>
        <v>0</v>
      </c>
      <c r="AC128" s="915">
        <f t="shared" si="182"/>
        <v>0</v>
      </c>
      <c r="AD128" s="915">
        <f t="shared" si="183"/>
        <v>0</v>
      </c>
      <c r="AE128" s="915">
        <f t="shared" si="184"/>
        <v>0</v>
      </c>
      <c r="AF128" s="915">
        <f t="shared" si="185"/>
        <v>0</v>
      </c>
      <c r="AG128" s="915">
        <f t="shared" si="186"/>
        <v>0</v>
      </c>
      <c r="AH128" s="915">
        <f t="shared" si="187"/>
        <v>0</v>
      </c>
      <c r="AI128" s="915">
        <f t="shared" si="188"/>
        <v>0</v>
      </c>
      <c r="AJ128" s="915">
        <f t="shared" si="189"/>
        <v>0</v>
      </c>
      <c r="AK128" s="915">
        <f t="shared" si="190"/>
        <v>0</v>
      </c>
      <c r="AL128" s="915">
        <f t="shared" si="191"/>
        <v>0</v>
      </c>
      <c r="AM128" s="915">
        <f t="shared" si="192"/>
        <v>0</v>
      </c>
      <c r="AN128" s="915">
        <f t="shared" si="193"/>
        <v>0</v>
      </c>
      <c r="AO128" s="915">
        <f t="shared" si="194"/>
        <v>0</v>
      </c>
      <c r="AP128" s="915">
        <f t="shared" si="195"/>
        <v>0</v>
      </c>
      <c r="AQ128" s="915">
        <f t="shared" si="196"/>
        <v>0</v>
      </c>
      <c r="AR128" s="915">
        <f t="shared" si="197"/>
        <v>0</v>
      </c>
      <c r="AS128" s="915">
        <f t="shared" si="198"/>
        <v>0</v>
      </c>
      <c r="AT128" s="915">
        <f t="shared" si="199"/>
        <v>0</v>
      </c>
      <c r="AU128" s="915">
        <f t="shared" si="200"/>
        <v>0</v>
      </c>
      <c r="AV128" s="915">
        <f t="shared" si="201"/>
        <v>0</v>
      </c>
      <c r="AW128" s="915">
        <f t="shared" si="202"/>
        <v>0</v>
      </c>
      <c r="AX128" s="915">
        <f t="shared" si="203"/>
        <v>0</v>
      </c>
      <c r="AY128" s="915">
        <f t="shared" si="204"/>
        <v>0</v>
      </c>
      <c r="AZ128" s="915">
        <f t="shared" si="205"/>
        <v>0</v>
      </c>
      <c r="BA128" s="915">
        <f t="shared" si="206"/>
        <v>0</v>
      </c>
      <c r="BB128" s="915">
        <f t="shared" si="207"/>
        <v>0</v>
      </c>
      <c r="BC128" s="915">
        <f t="shared" si="446"/>
        <v>0</v>
      </c>
      <c r="BD128" s="915">
        <f t="shared" si="447"/>
        <v>0</v>
      </c>
      <c r="BE128" s="915">
        <f t="shared" si="448"/>
        <v>0</v>
      </c>
      <c r="BF128" s="915">
        <f t="shared" si="449"/>
        <v>0</v>
      </c>
      <c r="BG128" s="915">
        <f t="shared" si="450"/>
        <v>0</v>
      </c>
      <c r="BH128" s="915">
        <f t="shared" si="451"/>
        <v>0</v>
      </c>
      <c r="BI128" s="915">
        <f t="shared" si="452"/>
        <v>0</v>
      </c>
      <c r="BJ128" s="915">
        <f t="shared" si="453"/>
        <v>0</v>
      </c>
      <c r="BK128" s="915">
        <f t="shared" si="216"/>
        <v>0</v>
      </c>
      <c r="BL128" s="915">
        <f t="shared" si="217"/>
        <v>0</v>
      </c>
      <c r="BM128" s="915">
        <f t="shared" si="218"/>
        <v>0</v>
      </c>
      <c r="BN128" s="915">
        <f t="shared" si="219"/>
        <v>0</v>
      </c>
      <c r="BO128" s="915">
        <f t="shared" si="220"/>
        <v>0</v>
      </c>
      <c r="BP128" s="915">
        <f t="shared" si="221"/>
        <v>0</v>
      </c>
      <c r="BQ128" s="915">
        <f t="shared" si="222"/>
        <v>0</v>
      </c>
      <c r="BR128" s="915">
        <f t="shared" si="223"/>
        <v>0</v>
      </c>
      <c r="BS128" s="915">
        <f t="shared" si="378"/>
        <v>0</v>
      </c>
      <c r="BT128" s="915">
        <f t="shared" si="379"/>
        <v>0</v>
      </c>
      <c r="BU128" s="915">
        <f t="shared" si="380"/>
        <v>0</v>
      </c>
      <c r="BV128" s="915">
        <f t="shared" si="381"/>
        <v>0</v>
      </c>
      <c r="BW128" s="915">
        <f t="shared" si="382"/>
        <v>0</v>
      </c>
      <c r="BX128" s="915">
        <f t="shared" si="383"/>
        <v>0</v>
      </c>
      <c r="BY128" s="915">
        <f t="shared" si="384"/>
        <v>0</v>
      </c>
      <c r="BZ128" s="915">
        <f t="shared" si="385"/>
        <v>0</v>
      </c>
      <c r="CA128" s="915">
        <f t="shared" si="422"/>
        <v>0</v>
      </c>
      <c r="CB128" s="915">
        <f t="shared" si="423"/>
        <v>0</v>
      </c>
      <c r="CC128" s="915">
        <f t="shared" si="424"/>
        <v>0</v>
      </c>
      <c r="CD128" s="915">
        <f t="shared" si="425"/>
        <v>0</v>
      </c>
      <c r="CE128" s="915">
        <f t="shared" si="426"/>
        <v>0</v>
      </c>
      <c r="CF128" s="915">
        <f t="shared" si="427"/>
        <v>0</v>
      </c>
      <c r="CG128" s="915">
        <f t="shared" si="428"/>
        <v>0</v>
      </c>
      <c r="CH128" s="915">
        <f t="shared" si="429"/>
        <v>0</v>
      </c>
      <c r="CI128" s="915">
        <f t="shared" si="336"/>
        <v>0</v>
      </c>
      <c r="CJ128" s="915">
        <f t="shared" si="337"/>
        <v>0</v>
      </c>
      <c r="CK128" s="915">
        <f t="shared" si="338"/>
        <v>0</v>
      </c>
      <c r="CL128" s="915">
        <f t="shared" si="339"/>
        <v>0</v>
      </c>
      <c r="CM128" s="915">
        <f t="shared" si="340"/>
        <v>0</v>
      </c>
      <c r="CN128" s="915">
        <f t="shared" si="341"/>
        <v>0</v>
      </c>
      <c r="CO128" s="915">
        <f t="shared" si="342"/>
        <v>0</v>
      </c>
      <c r="CP128" s="915">
        <f t="shared" si="343"/>
        <v>0</v>
      </c>
      <c r="CQ128" s="915">
        <f t="shared" si="370"/>
        <v>0</v>
      </c>
      <c r="CR128" s="915">
        <f t="shared" si="371"/>
        <v>0</v>
      </c>
      <c r="CS128" s="915">
        <f t="shared" si="372"/>
        <v>0</v>
      </c>
      <c r="CT128" s="915">
        <f t="shared" si="373"/>
        <v>0</v>
      </c>
      <c r="CU128" s="915">
        <f t="shared" si="374"/>
        <v>0</v>
      </c>
      <c r="CV128" s="915">
        <f t="shared" si="375"/>
        <v>0</v>
      </c>
      <c r="CW128" s="915">
        <f t="shared" si="376"/>
        <v>0</v>
      </c>
      <c r="CX128" s="915">
        <f t="shared" si="377"/>
        <v>0</v>
      </c>
      <c r="CY128" s="915">
        <f t="shared" si="256"/>
        <v>0</v>
      </c>
      <c r="CZ128" s="915">
        <f t="shared" si="257"/>
        <v>0</v>
      </c>
      <c r="DA128" s="915">
        <f t="shared" si="258"/>
        <v>0</v>
      </c>
      <c r="DB128" s="915">
        <f t="shared" si="259"/>
        <v>0</v>
      </c>
      <c r="DC128" s="915">
        <f t="shared" si="260"/>
        <v>0</v>
      </c>
      <c r="DD128" s="915">
        <f t="shared" si="261"/>
        <v>0</v>
      </c>
      <c r="DE128" s="915">
        <f t="shared" si="262"/>
        <v>0</v>
      </c>
      <c r="DF128" s="915">
        <f t="shared" si="263"/>
        <v>0</v>
      </c>
      <c r="DG128" s="915">
        <f t="shared" si="264"/>
        <v>0</v>
      </c>
      <c r="DH128" s="915">
        <f t="shared" si="265"/>
        <v>0</v>
      </c>
      <c r="DI128" s="915">
        <f t="shared" si="266"/>
        <v>0</v>
      </c>
      <c r="DJ128" s="915">
        <f t="shared" si="267"/>
        <v>0</v>
      </c>
      <c r="DK128" s="915">
        <f t="shared" si="268"/>
        <v>0</v>
      </c>
      <c r="DL128" s="915">
        <f t="shared" si="269"/>
        <v>0</v>
      </c>
      <c r="DM128" s="915">
        <f t="shared" si="270"/>
        <v>0</v>
      </c>
      <c r="DN128" s="915">
        <f t="shared" si="271"/>
        <v>0</v>
      </c>
      <c r="DO128" s="915">
        <f t="shared" si="430"/>
        <v>0</v>
      </c>
      <c r="DP128" s="915">
        <f t="shared" si="431"/>
        <v>0</v>
      </c>
      <c r="DQ128" s="915">
        <f t="shared" si="432"/>
        <v>0</v>
      </c>
      <c r="DR128" s="915">
        <f t="shared" si="433"/>
        <v>0</v>
      </c>
      <c r="DS128" s="915">
        <f t="shared" si="434"/>
        <v>0</v>
      </c>
      <c r="DT128" s="915">
        <f t="shared" si="435"/>
        <v>0</v>
      </c>
      <c r="DU128" s="915">
        <f t="shared" si="436"/>
        <v>0</v>
      </c>
      <c r="DV128" s="915">
        <f t="shared" si="437"/>
        <v>0</v>
      </c>
      <c r="DW128" s="915">
        <f t="shared" si="438"/>
        <v>0</v>
      </c>
      <c r="DX128" s="915">
        <f t="shared" si="439"/>
        <v>0</v>
      </c>
      <c r="DY128" s="915">
        <f t="shared" si="440"/>
        <v>0</v>
      </c>
      <c r="DZ128" s="915">
        <f t="shared" si="441"/>
        <v>0</v>
      </c>
      <c r="EA128" s="915">
        <f t="shared" si="442"/>
        <v>0</v>
      </c>
      <c r="EB128" s="915">
        <f t="shared" si="443"/>
        <v>0</v>
      </c>
      <c r="EC128" s="915">
        <f t="shared" si="444"/>
        <v>0</v>
      </c>
      <c r="ED128" s="915">
        <f t="shared" si="445"/>
        <v>0</v>
      </c>
      <c r="EE128" s="915">
        <f t="shared" si="288"/>
        <v>0</v>
      </c>
      <c r="EF128" s="915">
        <f t="shared" si="289"/>
        <v>0</v>
      </c>
      <c r="EG128" s="915">
        <f t="shared" si="290"/>
        <v>0</v>
      </c>
      <c r="EH128" s="915">
        <f t="shared" si="291"/>
        <v>0</v>
      </c>
      <c r="EI128" s="915">
        <f t="shared" si="292"/>
        <v>0</v>
      </c>
      <c r="EJ128" s="915">
        <f t="shared" si="293"/>
        <v>0</v>
      </c>
      <c r="EK128" s="915">
        <f t="shared" si="294"/>
        <v>0</v>
      </c>
      <c r="EL128" s="915">
        <f t="shared" si="295"/>
        <v>0</v>
      </c>
      <c r="EM128" s="915">
        <f t="shared" si="296"/>
        <v>7.42</v>
      </c>
      <c r="EN128" s="915">
        <f t="shared" si="297"/>
        <v>0</v>
      </c>
      <c r="EO128" s="915">
        <f t="shared" si="298"/>
        <v>0</v>
      </c>
      <c r="EP128" s="915">
        <f t="shared" si="299"/>
        <v>0</v>
      </c>
      <c r="EQ128" s="915">
        <f t="shared" si="300"/>
        <v>0</v>
      </c>
      <c r="ER128" s="915">
        <f t="shared" si="301"/>
        <v>0</v>
      </c>
      <c r="ES128" s="915">
        <f t="shared" si="302"/>
        <v>0</v>
      </c>
      <c r="ET128" s="915">
        <f t="shared" si="303"/>
        <v>0</v>
      </c>
      <c r="EU128" s="915">
        <f t="shared" si="304"/>
        <v>0</v>
      </c>
      <c r="EV128" s="915">
        <f t="shared" si="305"/>
        <v>0</v>
      </c>
      <c r="EW128" s="915">
        <f t="shared" si="306"/>
        <v>0</v>
      </c>
      <c r="EX128" s="915">
        <f t="shared" si="307"/>
        <v>0</v>
      </c>
      <c r="EY128" s="915">
        <f t="shared" si="308"/>
        <v>0</v>
      </c>
      <c r="EZ128" s="915">
        <f t="shared" si="309"/>
        <v>0</v>
      </c>
      <c r="FA128" s="915">
        <f t="shared" si="310"/>
        <v>0</v>
      </c>
      <c r="FB128" s="915">
        <f t="shared" si="311"/>
        <v>0</v>
      </c>
      <c r="FC128" s="915">
        <f t="shared" si="312"/>
        <v>0</v>
      </c>
      <c r="FD128" s="915">
        <f t="shared" si="313"/>
        <v>0</v>
      </c>
      <c r="FE128" s="915">
        <f t="shared" si="314"/>
        <v>0</v>
      </c>
      <c r="FF128" s="915">
        <f t="shared" si="315"/>
        <v>0</v>
      </c>
      <c r="FG128" s="915">
        <f t="shared" si="316"/>
        <v>0</v>
      </c>
      <c r="FH128" s="915">
        <f t="shared" si="317"/>
        <v>0</v>
      </c>
      <c r="FI128" s="915">
        <f t="shared" si="318"/>
        <v>0</v>
      </c>
      <c r="FJ128" s="915">
        <f t="shared" si="319"/>
        <v>0</v>
      </c>
      <c r="FK128" s="915">
        <f t="shared" si="320"/>
        <v>0</v>
      </c>
      <c r="FL128" s="915">
        <f t="shared" si="321"/>
        <v>0</v>
      </c>
      <c r="FM128" s="915">
        <f t="shared" si="322"/>
        <v>0</v>
      </c>
      <c r="FN128" s="915">
        <f t="shared" si="323"/>
        <v>0</v>
      </c>
      <c r="FO128" s="915">
        <f t="shared" si="324"/>
        <v>0</v>
      </c>
      <c r="FP128" s="915">
        <f t="shared" si="325"/>
        <v>0</v>
      </c>
      <c r="FQ128" s="915">
        <f t="shared" si="326"/>
        <v>0</v>
      </c>
      <c r="FR128" s="915">
        <f t="shared" si="327"/>
        <v>0</v>
      </c>
      <c r="FS128" s="915">
        <f t="shared" si="328"/>
        <v>0</v>
      </c>
      <c r="FT128" s="915">
        <f t="shared" si="329"/>
        <v>0</v>
      </c>
      <c r="FU128" s="915">
        <f t="shared" si="330"/>
        <v>0</v>
      </c>
      <c r="FV128" s="915">
        <f t="shared" si="331"/>
        <v>0</v>
      </c>
      <c r="FW128" s="915">
        <f t="shared" si="332"/>
        <v>0</v>
      </c>
      <c r="FX128" s="915">
        <f t="shared" si="333"/>
        <v>0</v>
      </c>
      <c r="FY128" s="915">
        <f t="shared" si="334"/>
        <v>0</v>
      </c>
      <c r="FZ128" s="915">
        <f t="shared" si="335"/>
        <v>0</v>
      </c>
    </row>
    <row r="129" spans="1:182" x14ac:dyDescent="0.2">
      <c r="A129" s="497">
        <v>122</v>
      </c>
      <c r="B129" s="1423"/>
      <c r="C129" s="1424"/>
      <c r="D129" s="138">
        <v>16</v>
      </c>
      <c r="E129" s="138" t="s">
        <v>26</v>
      </c>
      <c r="F129" s="139" t="s">
        <v>2544</v>
      </c>
      <c r="G129" s="139" t="s">
        <v>2542</v>
      </c>
      <c r="H129" s="100">
        <v>7</v>
      </c>
      <c r="I129" s="119">
        <f t="shared" si="404"/>
        <v>0.42</v>
      </c>
      <c r="J129" s="90">
        <f t="shared" si="405"/>
        <v>7.42</v>
      </c>
      <c r="K129" s="225"/>
      <c r="N129" s="951">
        <f>EN6</f>
        <v>7.42</v>
      </c>
      <c r="O129" s="879" t="str">
        <f>"Remediation for " &amp;TabName16</f>
        <v>Remediation for Phase 16</v>
      </c>
      <c r="P129" s="950" t="s">
        <v>2184</v>
      </c>
      <c r="W129" s="915">
        <f t="shared" si="176"/>
        <v>0</v>
      </c>
      <c r="X129" s="915">
        <f t="shared" si="177"/>
        <v>0</v>
      </c>
      <c r="Y129" s="915">
        <f t="shared" si="178"/>
        <v>0</v>
      </c>
      <c r="Z129" s="915">
        <f t="shared" si="179"/>
        <v>0</v>
      </c>
      <c r="AA129" s="915">
        <f t="shared" si="180"/>
        <v>0</v>
      </c>
      <c r="AB129" s="915">
        <f t="shared" si="181"/>
        <v>0</v>
      </c>
      <c r="AC129" s="915">
        <f t="shared" si="182"/>
        <v>0</v>
      </c>
      <c r="AD129" s="915">
        <f t="shared" si="183"/>
        <v>0</v>
      </c>
      <c r="AE129" s="915">
        <f t="shared" si="184"/>
        <v>0</v>
      </c>
      <c r="AF129" s="915">
        <f t="shared" si="185"/>
        <v>0</v>
      </c>
      <c r="AG129" s="915">
        <f t="shared" si="186"/>
        <v>0</v>
      </c>
      <c r="AH129" s="915">
        <f t="shared" si="187"/>
        <v>0</v>
      </c>
      <c r="AI129" s="915">
        <f t="shared" si="188"/>
        <v>0</v>
      </c>
      <c r="AJ129" s="915">
        <f t="shared" si="189"/>
        <v>0</v>
      </c>
      <c r="AK129" s="915">
        <f t="shared" si="190"/>
        <v>0</v>
      </c>
      <c r="AL129" s="915">
        <f t="shared" si="191"/>
        <v>0</v>
      </c>
      <c r="AM129" s="915">
        <f t="shared" si="192"/>
        <v>0</v>
      </c>
      <c r="AN129" s="915">
        <f t="shared" si="193"/>
        <v>0</v>
      </c>
      <c r="AO129" s="915">
        <f t="shared" si="194"/>
        <v>0</v>
      </c>
      <c r="AP129" s="915">
        <f t="shared" si="195"/>
        <v>0</v>
      </c>
      <c r="AQ129" s="915">
        <f t="shared" si="196"/>
        <v>0</v>
      </c>
      <c r="AR129" s="915">
        <f t="shared" si="197"/>
        <v>0</v>
      </c>
      <c r="AS129" s="915">
        <f t="shared" si="198"/>
        <v>0</v>
      </c>
      <c r="AT129" s="915">
        <f t="shared" si="199"/>
        <v>0</v>
      </c>
      <c r="AU129" s="915">
        <f t="shared" si="200"/>
        <v>0</v>
      </c>
      <c r="AV129" s="915">
        <f t="shared" si="201"/>
        <v>0</v>
      </c>
      <c r="AW129" s="915">
        <f t="shared" si="202"/>
        <v>0</v>
      </c>
      <c r="AX129" s="915">
        <f t="shared" si="203"/>
        <v>0</v>
      </c>
      <c r="AY129" s="915">
        <f t="shared" si="204"/>
        <v>0</v>
      </c>
      <c r="AZ129" s="915">
        <f t="shared" si="205"/>
        <v>0</v>
      </c>
      <c r="BA129" s="915">
        <f t="shared" si="206"/>
        <v>0</v>
      </c>
      <c r="BB129" s="915">
        <f t="shared" si="207"/>
        <v>0</v>
      </c>
      <c r="BC129" s="915">
        <f t="shared" si="446"/>
        <v>0</v>
      </c>
      <c r="BD129" s="915">
        <f t="shared" si="447"/>
        <v>0</v>
      </c>
      <c r="BE129" s="915">
        <f t="shared" si="448"/>
        <v>0</v>
      </c>
      <c r="BF129" s="915">
        <f t="shared" si="449"/>
        <v>0</v>
      </c>
      <c r="BG129" s="915">
        <f t="shared" si="450"/>
        <v>0</v>
      </c>
      <c r="BH129" s="915">
        <f t="shared" si="451"/>
        <v>0</v>
      </c>
      <c r="BI129" s="915">
        <f t="shared" si="452"/>
        <v>0</v>
      </c>
      <c r="BJ129" s="915">
        <f t="shared" si="453"/>
        <v>0</v>
      </c>
      <c r="BK129" s="915">
        <f t="shared" si="216"/>
        <v>0</v>
      </c>
      <c r="BL129" s="915">
        <f t="shared" si="217"/>
        <v>0</v>
      </c>
      <c r="BM129" s="915">
        <f t="shared" si="218"/>
        <v>0</v>
      </c>
      <c r="BN129" s="915">
        <f t="shared" si="219"/>
        <v>0</v>
      </c>
      <c r="BO129" s="915">
        <f t="shared" si="220"/>
        <v>0</v>
      </c>
      <c r="BP129" s="915">
        <f t="shared" si="221"/>
        <v>0</v>
      </c>
      <c r="BQ129" s="915">
        <f t="shared" si="222"/>
        <v>0</v>
      </c>
      <c r="BR129" s="915">
        <f t="shared" si="223"/>
        <v>0</v>
      </c>
      <c r="BS129" s="915">
        <f>IF(AND($D129=$R$14,$E129=$T$8),$J129,0)</f>
        <v>0</v>
      </c>
      <c r="BT129" s="915">
        <f>IF(AND($D129=$R$14,$E129=$T$9),$J129,0)</f>
        <v>0</v>
      </c>
      <c r="BU129" s="915">
        <f>IF(AND($D129=$R$14,$E129=$T$10),$J129,0)</f>
        <v>0</v>
      </c>
      <c r="BV129" s="915">
        <f>IF(AND($D129=$R$14,$E129=$T$11),$J129,0)</f>
        <v>0</v>
      </c>
      <c r="BW129" s="915">
        <f>IF(AND($D129=$R$14,$E129=$T$12),$J129,0)</f>
        <v>0</v>
      </c>
      <c r="BX129" s="915">
        <f>IF(AND($D129=$R$14,$E129=$T$13),$J129,0)</f>
        <v>0</v>
      </c>
      <c r="BY129" s="915">
        <f>IF(AND($D129=$R$14,$E129=$T$14),$J129,0)</f>
        <v>0</v>
      </c>
      <c r="BZ129" s="915">
        <f>IF(AND($D129=$R$14,$E129=$T$15),$J129,0)</f>
        <v>0</v>
      </c>
      <c r="CA129" s="915">
        <f t="shared" si="422"/>
        <v>0</v>
      </c>
      <c r="CB129" s="915">
        <f t="shared" si="423"/>
        <v>0</v>
      </c>
      <c r="CC129" s="915">
        <f t="shared" si="424"/>
        <v>0</v>
      </c>
      <c r="CD129" s="915">
        <f t="shared" si="425"/>
        <v>0</v>
      </c>
      <c r="CE129" s="915">
        <f t="shared" si="426"/>
        <v>0</v>
      </c>
      <c r="CF129" s="915">
        <f t="shared" si="427"/>
        <v>0</v>
      </c>
      <c r="CG129" s="915">
        <f t="shared" si="428"/>
        <v>0</v>
      </c>
      <c r="CH129" s="915">
        <f t="shared" si="429"/>
        <v>0</v>
      </c>
      <c r="CI129" s="915">
        <f t="shared" si="336"/>
        <v>0</v>
      </c>
      <c r="CJ129" s="915">
        <f t="shared" si="337"/>
        <v>0</v>
      </c>
      <c r="CK129" s="915">
        <f t="shared" si="338"/>
        <v>0</v>
      </c>
      <c r="CL129" s="915">
        <f t="shared" si="339"/>
        <v>0</v>
      </c>
      <c r="CM129" s="915">
        <f t="shared" si="340"/>
        <v>0</v>
      </c>
      <c r="CN129" s="915">
        <f t="shared" si="341"/>
        <v>0</v>
      </c>
      <c r="CO129" s="915">
        <f t="shared" si="342"/>
        <v>0</v>
      </c>
      <c r="CP129" s="915">
        <f t="shared" si="343"/>
        <v>0</v>
      </c>
      <c r="CQ129" s="915">
        <f t="shared" si="370"/>
        <v>0</v>
      </c>
      <c r="CR129" s="915">
        <f t="shared" si="371"/>
        <v>0</v>
      </c>
      <c r="CS129" s="915">
        <f t="shared" si="372"/>
        <v>0</v>
      </c>
      <c r="CT129" s="915">
        <f t="shared" si="373"/>
        <v>0</v>
      </c>
      <c r="CU129" s="915">
        <f t="shared" si="374"/>
        <v>0</v>
      </c>
      <c r="CV129" s="915">
        <f t="shared" si="375"/>
        <v>0</v>
      </c>
      <c r="CW129" s="915">
        <f t="shared" si="376"/>
        <v>0</v>
      </c>
      <c r="CX129" s="915">
        <f t="shared" si="377"/>
        <v>0</v>
      </c>
      <c r="CY129" s="915">
        <f t="shared" si="256"/>
        <v>0</v>
      </c>
      <c r="CZ129" s="915">
        <f t="shared" si="257"/>
        <v>0</v>
      </c>
      <c r="DA129" s="915">
        <f t="shared" si="258"/>
        <v>0</v>
      </c>
      <c r="DB129" s="915">
        <f t="shared" si="259"/>
        <v>0</v>
      </c>
      <c r="DC129" s="915">
        <f t="shared" si="260"/>
        <v>0</v>
      </c>
      <c r="DD129" s="915">
        <f t="shared" si="261"/>
        <v>0</v>
      </c>
      <c r="DE129" s="915">
        <f t="shared" si="262"/>
        <v>0</v>
      </c>
      <c r="DF129" s="915">
        <f t="shared" si="263"/>
        <v>0</v>
      </c>
      <c r="DG129" s="915">
        <f t="shared" si="264"/>
        <v>0</v>
      </c>
      <c r="DH129" s="915">
        <f t="shared" si="265"/>
        <v>0</v>
      </c>
      <c r="DI129" s="915">
        <f t="shared" si="266"/>
        <v>0</v>
      </c>
      <c r="DJ129" s="915">
        <f t="shared" si="267"/>
        <v>0</v>
      </c>
      <c r="DK129" s="915">
        <f t="shared" si="268"/>
        <v>0</v>
      </c>
      <c r="DL129" s="915">
        <f t="shared" si="269"/>
        <v>0</v>
      </c>
      <c r="DM129" s="915">
        <f t="shared" si="270"/>
        <v>0</v>
      </c>
      <c r="DN129" s="915">
        <f t="shared" si="271"/>
        <v>0</v>
      </c>
      <c r="DO129" s="915">
        <f t="shared" si="430"/>
        <v>0</v>
      </c>
      <c r="DP129" s="915">
        <f t="shared" si="431"/>
        <v>0</v>
      </c>
      <c r="DQ129" s="915">
        <f t="shared" si="432"/>
        <v>0</v>
      </c>
      <c r="DR129" s="915">
        <f t="shared" si="433"/>
        <v>0</v>
      </c>
      <c r="DS129" s="915">
        <f t="shared" si="434"/>
        <v>0</v>
      </c>
      <c r="DT129" s="915">
        <f t="shared" si="435"/>
        <v>0</v>
      </c>
      <c r="DU129" s="915">
        <f t="shared" si="436"/>
        <v>0</v>
      </c>
      <c r="DV129" s="915">
        <f t="shared" si="437"/>
        <v>0</v>
      </c>
      <c r="DW129" s="915">
        <f t="shared" si="438"/>
        <v>0</v>
      </c>
      <c r="DX129" s="915">
        <f t="shared" si="439"/>
        <v>0</v>
      </c>
      <c r="DY129" s="915">
        <f t="shared" si="440"/>
        <v>0</v>
      </c>
      <c r="DZ129" s="915">
        <f t="shared" si="441"/>
        <v>0</v>
      </c>
      <c r="EA129" s="915">
        <f t="shared" si="442"/>
        <v>0</v>
      </c>
      <c r="EB129" s="915">
        <f t="shared" si="443"/>
        <v>0</v>
      </c>
      <c r="EC129" s="915">
        <f t="shared" si="444"/>
        <v>0</v>
      </c>
      <c r="ED129" s="915">
        <f t="shared" si="445"/>
        <v>0</v>
      </c>
      <c r="EE129" s="915">
        <f t="shared" si="288"/>
        <v>0</v>
      </c>
      <c r="EF129" s="915">
        <f t="shared" si="289"/>
        <v>0</v>
      </c>
      <c r="EG129" s="915">
        <f t="shared" si="290"/>
        <v>0</v>
      </c>
      <c r="EH129" s="915">
        <f t="shared" si="291"/>
        <v>0</v>
      </c>
      <c r="EI129" s="915">
        <f t="shared" si="292"/>
        <v>0</v>
      </c>
      <c r="EJ129" s="915">
        <f t="shared" si="293"/>
        <v>0</v>
      </c>
      <c r="EK129" s="915">
        <f t="shared" si="294"/>
        <v>0</v>
      </c>
      <c r="EL129" s="915">
        <f t="shared" si="295"/>
        <v>0</v>
      </c>
      <c r="EM129" s="915">
        <f t="shared" si="296"/>
        <v>0</v>
      </c>
      <c r="EN129" s="915">
        <f t="shared" si="297"/>
        <v>7.42</v>
      </c>
      <c r="EO129" s="915">
        <f t="shared" si="298"/>
        <v>0</v>
      </c>
      <c r="EP129" s="915">
        <f t="shared" si="299"/>
        <v>0</v>
      </c>
      <c r="EQ129" s="915">
        <f t="shared" si="300"/>
        <v>0</v>
      </c>
      <c r="ER129" s="915">
        <f t="shared" si="301"/>
        <v>0</v>
      </c>
      <c r="ES129" s="915">
        <f t="shared" si="302"/>
        <v>0</v>
      </c>
      <c r="ET129" s="915">
        <f t="shared" si="303"/>
        <v>0</v>
      </c>
      <c r="EU129" s="915">
        <f t="shared" si="304"/>
        <v>0</v>
      </c>
      <c r="EV129" s="915">
        <f t="shared" si="305"/>
        <v>0</v>
      </c>
      <c r="EW129" s="915">
        <f t="shared" si="306"/>
        <v>0</v>
      </c>
      <c r="EX129" s="915">
        <f t="shared" si="307"/>
        <v>0</v>
      </c>
      <c r="EY129" s="915">
        <f t="shared" si="308"/>
        <v>0</v>
      </c>
      <c r="EZ129" s="915">
        <f t="shared" si="309"/>
        <v>0</v>
      </c>
      <c r="FA129" s="915">
        <f t="shared" si="310"/>
        <v>0</v>
      </c>
      <c r="FB129" s="915">
        <f t="shared" si="311"/>
        <v>0</v>
      </c>
      <c r="FC129" s="915">
        <f t="shared" si="312"/>
        <v>0</v>
      </c>
      <c r="FD129" s="915">
        <f t="shared" si="313"/>
        <v>0</v>
      </c>
      <c r="FE129" s="915">
        <f t="shared" si="314"/>
        <v>0</v>
      </c>
      <c r="FF129" s="915">
        <f t="shared" si="315"/>
        <v>0</v>
      </c>
      <c r="FG129" s="915">
        <f t="shared" si="316"/>
        <v>0</v>
      </c>
      <c r="FH129" s="915">
        <f t="shared" si="317"/>
        <v>0</v>
      </c>
      <c r="FI129" s="915">
        <f t="shared" si="318"/>
        <v>0</v>
      </c>
      <c r="FJ129" s="915">
        <f t="shared" si="319"/>
        <v>0</v>
      </c>
      <c r="FK129" s="915">
        <f t="shared" si="320"/>
        <v>0</v>
      </c>
      <c r="FL129" s="915">
        <f t="shared" si="321"/>
        <v>0</v>
      </c>
      <c r="FM129" s="915">
        <f t="shared" si="322"/>
        <v>0</v>
      </c>
      <c r="FN129" s="915">
        <f t="shared" si="323"/>
        <v>0</v>
      </c>
      <c r="FO129" s="915">
        <f t="shared" si="324"/>
        <v>0</v>
      </c>
      <c r="FP129" s="915">
        <f t="shared" si="325"/>
        <v>0</v>
      </c>
      <c r="FQ129" s="915">
        <f t="shared" si="326"/>
        <v>0</v>
      </c>
      <c r="FR129" s="915">
        <f t="shared" si="327"/>
        <v>0</v>
      </c>
      <c r="FS129" s="915">
        <f t="shared" si="328"/>
        <v>0</v>
      </c>
      <c r="FT129" s="915">
        <f t="shared" si="329"/>
        <v>0</v>
      </c>
      <c r="FU129" s="915">
        <f t="shared" si="330"/>
        <v>0</v>
      </c>
      <c r="FV129" s="915">
        <f t="shared" si="331"/>
        <v>0</v>
      </c>
      <c r="FW129" s="915">
        <f t="shared" si="332"/>
        <v>0</v>
      </c>
      <c r="FX129" s="915">
        <f t="shared" si="333"/>
        <v>0</v>
      </c>
      <c r="FY129" s="915">
        <f t="shared" si="334"/>
        <v>0</v>
      </c>
      <c r="FZ129" s="915">
        <f t="shared" si="335"/>
        <v>0</v>
      </c>
    </row>
    <row r="130" spans="1:182" x14ac:dyDescent="0.2">
      <c r="A130" s="496">
        <v>123</v>
      </c>
      <c r="B130" s="1419"/>
      <c r="C130" s="1433"/>
      <c r="D130" s="264">
        <v>16</v>
      </c>
      <c r="E130" s="264" t="s">
        <v>35</v>
      </c>
      <c r="F130" s="270" t="s">
        <v>2544</v>
      </c>
      <c r="G130" s="270" t="s">
        <v>2542</v>
      </c>
      <c r="H130" s="272">
        <v>7</v>
      </c>
      <c r="I130" s="268">
        <f t="shared" si="404"/>
        <v>0.42</v>
      </c>
      <c r="J130" s="269">
        <f t="shared" si="405"/>
        <v>7.42</v>
      </c>
      <c r="K130" s="225"/>
      <c r="N130" s="951">
        <f>EO6</f>
        <v>7.42</v>
      </c>
      <c r="O130" s="879" t="str">
        <f>"General Construction for " &amp; TabName16</f>
        <v>General Construction for Phase 16</v>
      </c>
      <c r="P130" s="949" t="s">
        <v>2185</v>
      </c>
      <c r="W130" s="915">
        <f t="shared" si="176"/>
        <v>0</v>
      </c>
      <c r="X130" s="915">
        <f t="shared" si="177"/>
        <v>0</v>
      </c>
      <c r="Y130" s="915">
        <f t="shared" si="178"/>
        <v>0</v>
      </c>
      <c r="Z130" s="915">
        <f t="shared" si="179"/>
        <v>0</v>
      </c>
      <c r="AA130" s="915">
        <f t="shared" si="180"/>
        <v>0</v>
      </c>
      <c r="AB130" s="915">
        <f t="shared" si="181"/>
        <v>0</v>
      </c>
      <c r="AC130" s="915">
        <f t="shared" si="182"/>
        <v>0</v>
      </c>
      <c r="AD130" s="915">
        <f t="shared" si="183"/>
        <v>0</v>
      </c>
      <c r="AE130" s="915">
        <f t="shared" si="184"/>
        <v>0</v>
      </c>
      <c r="AF130" s="915">
        <f t="shared" si="185"/>
        <v>0</v>
      </c>
      <c r="AG130" s="915">
        <f t="shared" si="186"/>
        <v>0</v>
      </c>
      <c r="AH130" s="915">
        <f t="shared" si="187"/>
        <v>0</v>
      </c>
      <c r="AI130" s="915">
        <f t="shared" si="188"/>
        <v>0</v>
      </c>
      <c r="AJ130" s="915">
        <f t="shared" si="189"/>
        <v>0</v>
      </c>
      <c r="AK130" s="915">
        <f t="shared" si="190"/>
        <v>0</v>
      </c>
      <c r="AL130" s="915">
        <f t="shared" si="191"/>
        <v>0</v>
      </c>
      <c r="AM130" s="915">
        <f t="shared" si="192"/>
        <v>0</v>
      </c>
      <c r="AN130" s="915">
        <f t="shared" si="193"/>
        <v>0</v>
      </c>
      <c r="AO130" s="915">
        <f t="shared" si="194"/>
        <v>0</v>
      </c>
      <c r="AP130" s="915">
        <f t="shared" si="195"/>
        <v>0</v>
      </c>
      <c r="AQ130" s="915">
        <f t="shared" si="196"/>
        <v>0</v>
      </c>
      <c r="AR130" s="915">
        <f t="shared" si="197"/>
        <v>0</v>
      </c>
      <c r="AS130" s="915">
        <f t="shared" si="198"/>
        <v>0</v>
      </c>
      <c r="AT130" s="915">
        <f t="shared" si="199"/>
        <v>0</v>
      </c>
      <c r="AU130" s="915">
        <f t="shared" si="200"/>
        <v>0</v>
      </c>
      <c r="AV130" s="915">
        <f t="shared" si="201"/>
        <v>0</v>
      </c>
      <c r="AW130" s="915">
        <f t="shared" si="202"/>
        <v>0</v>
      </c>
      <c r="AX130" s="915">
        <f t="shared" si="203"/>
        <v>0</v>
      </c>
      <c r="AY130" s="915">
        <f t="shared" si="204"/>
        <v>0</v>
      </c>
      <c r="AZ130" s="915">
        <f t="shared" si="205"/>
        <v>0</v>
      </c>
      <c r="BA130" s="915">
        <f t="shared" si="206"/>
        <v>0</v>
      </c>
      <c r="BB130" s="915">
        <f t="shared" si="207"/>
        <v>0</v>
      </c>
      <c r="BC130" s="915">
        <f t="shared" si="446"/>
        <v>0</v>
      </c>
      <c r="BD130" s="915">
        <f t="shared" si="447"/>
        <v>0</v>
      </c>
      <c r="BE130" s="915">
        <f t="shared" si="448"/>
        <v>0</v>
      </c>
      <c r="BF130" s="915">
        <f t="shared" si="449"/>
        <v>0</v>
      </c>
      <c r="BG130" s="915">
        <f t="shared" si="450"/>
        <v>0</v>
      </c>
      <c r="BH130" s="915">
        <f t="shared" si="451"/>
        <v>0</v>
      </c>
      <c r="BI130" s="915">
        <f t="shared" si="452"/>
        <v>0</v>
      </c>
      <c r="BJ130" s="915">
        <f t="shared" si="453"/>
        <v>0</v>
      </c>
      <c r="BK130" s="915">
        <f t="shared" si="216"/>
        <v>0</v>
      </c>
      <c r="BL130" s="915">
        <f t="shared" si="217"/>
        <v>0</v>
      </c>
      <c r="BM130" s="915">
        <f t="shared" si="218"/>
        <v>0</v>
      </c>
      <c r="BN130" s="915">
        <f t="shared" si="219"/>
        <v>0</v>
      </c>
      <c r="BO130" s="915">
        <f t="shared" si="220"/>
        <v>0</v>
      </c>
      <c r="BP130" s="915">
        <f t="shared" si="221"/>
        <v>0</v>
      </c>
      <c r="BQ130" s="915">
        <f t="shared" si="222"/>
        <v>0</v>
      </c>
      <c r="BR130" s="915">
        <f t="shared" si="223"/>
        <v>0</v>
      </c>
      <c r="BS130" s="915">
        <f t="shared" ref="BS130:BS142" si="454">IF(AND($D130=$R$14,$E130=$T$8),$J130,0)</f>
        <v>0</v>
      </c>
      <c r="BT130" s="915">
        <f t="shared" ref="BT130:BT142" si="455">IF(AND($D130=$R$14,$E130=$T$9),$J130,0)</f>
        <v>0</v>
      </c>
      <c r="BU130" s="915">
        <f t="shared" ref="BU130:BU142" si="456">IF(AND($D130=$R$14,$E130=$T$10),$J130,0)</f>
        <v>0</v>
      </c>
      <c r="BV130" s="915">
        <f t="shared" ref="BV130:BV142" si="457">IF(AND($D130=$R$14,$E130=$T$11),$J130,0)</f>
        <v>0</v>
      </c>
      <c r="BW130" s="915">
        <f t="shared" ref="BW130:BW142" si="458">IF(AND($D130=$R$14,$E130=$T$12),$J130,0)</f>
        <v>0</v>
      </c>
      <c r="BX130" s="915">
        <f t="shared" ref="BX130:BX142" si="459">IF(AND($D130=$R$14,$E130=$T$13),$J130,0)</f>
        <v>0</v>
      </c>
      <c r="BY130" s="915">
        <f t="shared" ref="BY130:BY142" si="460">IF(AND($D130=$R$14,$E130=$T$14),$J130,0)</f>
        <v>0</v>
      </c>
      <c r="BZ130" s="915">
        <f t="shared" ref="BZ130:BZ142" si="461">IF(AND($D130=$R$14,$E130=$T$15),$J130,0)</f>
        <v>0</v>
      </c>
      <c r="CA130" s="915">
        <f t="shared" si="422"/>
        <v>0</v>
      </c>
      <c r="CB130" s="915">
        <f t="shared" si="423"/>
        <v>0</v>
      </c>
      <c r="CC130" s="915">
        <f t="shared" si="424"/>
        <v>0</v>
      </c>
      <c r="CD130" s="915">
        <f t="shared" si="425"/>
        <v>0</v>
      </c>
      <c r="CE130" s="915">
        <f t="shared" si="426"/>
        <v>0</v>
      </c>
      <c r="CF130" s="915">
        <f t="shared" si="427"/>
        <v>0</v>
      </c>
      <c r="CG130" s="915">
        <f t="shared" si="428"/>
        <v>0</v>
      </c>
      <c r="CH130" s="915">
        <f t="shared" si="429"/>
        <v>0</v>
      </c>
      <c r="CI130" s="915">
        <f t="shared" si="336"/>
        <v>0</v>
      </c>
      <c r="CJ130" s="915">
        <f t="shared" si="337"/>
        <v>0</v>
      </c>
      <c r="CK130" s="915">
        <f t="shared" si="338"/>
        <v>0</v>
      </c>
      <c r="CL130" s="915">
        <f t="shared" si="339"/>
        <v>0</v>
      </c>
      <c r="CM130" s="915">
        <f t="shared" si="340"/>
        <v>0</v>
      </c>
      <c r="CN130" s="915">
        <f t="shared" si="341"/>
        <v>0</v>
      </c>
      <c r="CO130" s="915">
        <f t="shared" si="342"/>
        <v>0</v>
      </c>
      <c r="CP130" s="915">
        <f t="shared" si="343"/>
        <v>0</v>
      </c>
      <c r="CQ130" s="915">
        <f t="shared" si="370"/>
        <v>0</v>
      </c>
      <c r="CR130" s="915">
        <f t="shared" si="371"/>
        <v>0</v>
      </c>
      <c r="CS130" s="915">
        <f t="shared" si="372"/>
        <v>0</v>
      </c>
      <c r="CT130" s="915">
        <f t="shared" si="373"/>
        <v>0</v>
      </c>
      <c r="CU130" s="915">
        <f t="shared" si="374"/>
        <v>0</v>
      </c>
      <c r="CV130" s="915">
        <f t="shared" si="375"/>
        <v>0</v>
      </c>
      <c r="CW130" s="915">
        <f t="shared" si="376"/>
        <v>0</v>
      </c>
      <c r="CX130" s="915">
        <f t="shared" si="377"/>
        <v>0</v>
      </c>
      <c r="CY130" s="915">
        <f t="shared" si="256"/>
        <v>0</v>
      </c>
      <c r="CZ130" s="915">
        <f t="shared" si="257"/>
        <v>0</v>
      </c>
      <c r="DA130" s="915">
        <f t="shared" si="258"/>
        <v>0</v>
      </c>
      <c r="DB130" s="915">
        <f t="shared" si="259"/>
        <v>0</v>
      </c>
      <c r="DC130" s="915">
        <f t="shared" si="260"/>
        <v>0</v>
      </c>
      <c r="DD130" s="915">
        <f t="shared" si="261"/>
        <v>0</v>
      </c>
      <c r="DE130" s="915">
        <f t="shared" si="262"/>
        <v>0</v>
      </c>
      <c r="DF130" s="915">
        <f t="shared" si="263"/>
        <v>0</v>
      </c>
      <c r="DG130" s="915">
        <f t="shared" si="264"/>
        <v>0</v>
      </c>
      <c r="DH130" s="915">
        <f t="shared" si="265"/>
        <v>0</v>
      </c>
      <c r="DI130" s="915">
        <f t="shared" si="266"/>
        <v>0</v>
      </c>
      <c r="DJ130" s="915">
        <f t="shared" si="267"/>
        <v>0</v>
      </c>
      <c r="DK130" s="915">
        <f t="shared" si="268"/>
        <v>0</v>
      </c>
      <c r="DL130" s="915">
        <f t="shared" si="269"/>
        <v>0</v>
      </c>
      <c r="DM130" s="915">
        <f t="shared" si="270"/>
        <v>0</v>
      </c>
      <c r="DN130" s="915">
        <f t="shared" si="271"/>
        <v>0</v>
      </c>
      <c r="DO130" s="915">
        <f t="shared" si="430"/>
        <v>0</v>
      </c>
      <c r="DP130" s="915">
        <f t="shared" si="431"/>
        <v>0</v>
      </c>
      <c r="DQ130" s="915">
        <f t="shared" si="432"/>
        <v>0</v>
      </c>
      <c r="DR130" s="915">
        <f t="shared" si="433"/>
        <v>0</v>
      </c>
      <c r="DS130" s="915">
        <f t="shared" si="434"/>
        <v>0</v>
      </c>
      <c r="DT130" s="915">
        <f t="shared" si="435"/>
        <v>0</v>
      </c>
      <c r="DU130" s="915">
        <f t="shared" si="436"/>
        <v>0</v>
      </c>
      <c r="DV130" s="915">
        <f t="shared" si="437"/>
        <v>0</v>
      </c>
      <c r="DW130" s="915">
        <f t="shared" si="438"/>
        <v>0</v>
      </c>
      <c r="DX130" s="915">
        <f t="shared" si="439"/>
        <v>0</v>
      </c>
      <c r="DY130" s="915">
        <f t="shared" si="440"/>
        <v>0</v>
      </c>
      <c r="DZ130" s="915">
        <f t="shared" si="441"/>
        <v>0</v>
      </c>
      <c r="EA130" s="915">
        <f t="shared" si="442"/>
        <v>0</v>
      </c>
      <c r="EB130" s="915">
        <f t="shared" si="443"/>
        <v>0</v>
      </c>
      <c r="EC130" s="915">
        <f t="shared" si="444"/>
        <v>0</v>
      </c>
      <c r="ED130" s="915">
        <f t="shared" si="445"/>
        <v>0</v>
      </c>
      <c r="EE130" s="915">
        <f t="shared" si="288"/>
        <v>0</v>
      </c>
      <c r="EF130" s="915">
        <f t="shared" si="289"/>
        <v>0</v>
      </c>
      <c r="EG130" s="915">
        <f t="shared" si="290"/>
        <v>0</v>
      </c>
      <c r="EH130" s="915">
        <f t="shared" si="291"/>
        <v>0</v>
      </c>
      <c r="EI130" s="915">
        <f t="shared" si="292"/>
        <v>0</v>
      </c>
      <c r="EJ130" s="915">
        <f t="shared" si="293"/>
        <v>0</v>
      </c>
      <c r="EK130" s="915">
        <f t="shared" si="294"/>
        <v>0</v>
      </c>
      <c r="EL130" s="915">
        <f t="shared" si="295"/>
        <v>0</v>
      </c>
      <c r="EM130" s="915">
        <f t="shared" si="296"/>
        <v>0</v>
      </c>
      <c r="EN130" s="915">
        <f t="shared" si="297"/>
        <v>0</v>
      </c>
      <c r="EO130" s="915">
        <f t="shared" si="298"/>
        <v>7.42</v>
      </c>
      <c r="EP130" s="915">
        <f t="shared" si="299"/>
        <v>0</v>
      </c>
      <c r="EQ130" s="915">
        <f t="shared" si="300"/>
        <v>0</v>
      </c>
      <c r="ER130" s="915">
        <f t="shared" si="301"/>
        <v>0</v>
      </c>
      <c r="ES130" s="915">
        <f t="shared" si="302"/>
        <v>0</v>
      </c>
      <c r="ET130" s="915">
        <f t="shared" si="303"/>
        <v>0</v>
      </c>
      <c r="EU130" s="915">
        <f t="shared" si="304"/>
        <v>0</v>
      </c>
      <c r="EV130" s="915">
        <f t="shared" si="305"/>
        <v>0</v>
      </c>
      <c r="EW130" s="915">
        <f t="shared" si="306"/>
        <v>0</v>
      </c>
      <c r="EX130" s="915">
        <f t="shared" si="307"/>
        <v>0</v>
      </c>
      <c r="EY130" s="915">
        <f t="shared" si="308"/>
        <v>0</v>
      </c>
      <c r="EZ130" s="915">
        <f t="shared" si="309"/>
        <v>0</v>
      </c>
      <c r="FA130" s="915">
        <f t="shared" si="310"/>
        <v>0</v>
      </c>
      <c r="FB130" s="915">
        <f t="shared" si="311"/>
        <v>0</v>
      </c>
      <c r="FC130" s="915">
        <f t="shared" si="312"/>
        <v>0</v>
      </c>
      <c r="FD130" s="915">
        <f t="shared" si="313"/>
        <v>0</v>
      </c>
      <c r="FE130" s="915">
        <f t="shared" si="314"/>
        <v>0</v>
      </c>
      <c r="FF130" s="915">
        <f t="shared" si="315"/>
        <v>0</v>
      </c>
      <c r="FG130" s="915">
        <f t="shared" si="316"/>
        <v>0</v>
      </c>
      <c r="FH130" s="915">
        <f t="shared" si="317"/>
        <v>0</v>
      </c>
      <c r="FI130" s="915">
        <f t="shared" si="318"/>
        <v>0</v>
      </c>
      <c r="FJ130" s="915">
        <f t="shared" si="319"/>
        <v>0</v>
      </c>
      <c r="FK130" s="915">
        <f t="shared" si="320"/>
        <v>0</v>
      </c>
      <c r="FL130" s="915">
        <f t="shared" si="321"/>
        <v>0</v>
      </c>
      <c r="FM130" s="915">
        <f t="shared" si="322"/>
        <v>0</v>
      </c>
      <c r="FN130" s="915">
        <f t="shared" si="323"/>
        <v>0</v>
      </c>
      <c r="FO130" s="915">
        <f t="shared" si="324"/>
        <v>0</v>
      </c>
      <c r="FP130" s="915">
        <f t="shared" si="325"/>
        <v>0</v>
      </c>
      <c r="FQ130" s="915">
        <f t="shared" si="326"/>
        <v>0</v>
      </c>
      <c r="FR130" s="915">
        <f t="shared" si="327"/>
        <v>0</v>
      </c>
      <c r="FS130" s="915">
        <f t="shared" si="328"/>
        <v>0</v>
      </c>
      <c r="FT130" s="915">
        <f t="shared" si="329"/>
        <v>0</v>
      </c>
      <c r="FU130" s="915">
        <f t="shared" si="330"/>
        <v>0</v>
      </c>
      <c r="FV130" s="915">
        <f t="shared" si="331"/>
        <v>0</v>
      </c>
      <c r="FW130" s="915">
        <f t="shared" si="332"/>
        <v>0</v>
      </c>
      <c r="FX130" s="915">
        <f t="shared" si="333"/>
        <v>0</v>
      </c>
      <c r="FY130" s="915">
        <f t="shared" si="334"/>
        <v>0</v>
      </c>
      <c r="FZ130" s="915">
        <f t="shared" si="335"/>
        <v>0</v>
      </c>
    </row>
    <row r="131" spans="1:182" x14ac:dyDescent="0.2">
      <c r="A131" s="497">
        <v>124</v>
      </c>
      <c r="B131" s="1423"/>
      <c r="C131" s="1424"/>
      <c r="D131" s="138">
        <v>16</v>
      </c>
      <c r="E131" s="138" t="s">
        <v>52</v>
      </c>
      <c r="F131" s="139" t="s">
        <v>2544</v>
      </c>
      <c r="G131" s="139" t="s">
        <v>2542</v>
      </c>
      <c r="H131" s="100">
        <v>7</v>
      </c>
      <c r="I131" s="119">
        <f t="shared" si="404"/>
        <v>0.42</v>
      </c>
      <c r="J131" s="90">
        <f t="shared" si="405"/>
        <v>7.42</v>
      </c>
      <c r="K131" s="225"/>
      <c r="N131" s="951">
        <f>EP6</f>
        <v>7.42</v>
      </c>
      <c r="O131" s="915" t="str">
        <f>"Waste Haul for "&amp;TabName16</f>
        <v>Waste Haul for Phase 16</v>
      </c>
      <c r="P131" s="949" t="s">
        <v>2186</v>
      </c>
      <c r="W131" s="915">
        <f t="shared" si="176"/>
        <v>0</v>
      </c>
      <c r="X131" s="915">
        <f t="shared" si="177"/>
        <v>0</v>
      </c>
      <c r="Y131" s="915">
        <f t="shared" si="178"/>
        <v>0</v>
      </c>
      <c r="Z131" s="915">
        <f t="shared" si="179"/>
        <v>0</v>
      </c>
      <c r="AA131" s="915">
        <f t="shared" si="180"/>
        <v>0</v>
      </c>
      <c r="AB131" s="915">
        <f t="shared" si="181"/>
        <v>0</v>
      </c>
      <c r="AC131" s="915">
        <f t="shared" si="182"/>
        <v>0</v>
      </c>
      <c r="AD131" s="915">
        <f t="shared" si="183"/>
        <v>0</v>
      </c>
      <c r="AE131" s="915">
        <f t="shared" si="184"/>
        <v>0</v>
      </c>
      <c r="AF131" s="915">
        <f t="shared" si="185"/>
        <v>0</v>
      </c>
      <c r="AG131" s="915">
        <f t="shared" si="186"/>
        <v>0</v>
      </c>
      <c r="AH131" s="915">
        <f t="shared" si="187"/>
        <v>0</v>
      </c>
      <c r="AI131" s="915">
        <f t="shared" si="188"/>
        <v>0</v>
      </c>
      <c r="AJ131" s="915">
        <f t="shared" si="189"/>
        <v>0</v>
      </c>
      <c r="AK131" s="915">
        <f t="shared" si="190"/>
        <v>0</v>
      </c>
      <c r="AL131" s="915">
        <f t="shared" si="191"/>
        <v>0</v>
      </c>
      <c r="AM131" s="915">
        <f t="shared" si="192"/>
        <v>0</v>
      </c>
      <c r="AN131" s="915">
        <f t="shared" si="193"/>
        <v>0</v>
      </c>
      <c r="AO131" s="915">
        <f t="shared" si="194"/>
        <v>0</v>
      </c>
      <c r="AP131" s="915">
        <f t="shared" si="195"/>
        <v>0</v>
      </c>
      <c r="AQ131" s="915">
        <f t="shared" si="196"/>
        <v>0</v>
      </c>
      <c r="AR131" s="915">
        <f t="shared" si="197"/>
        <v>0</v>
      </c>
      <c r="AS131" s="915">
        <f t="shared" si="198"/>
        <v>0</v>
      </c>
      <c r="AT131" s="915">
        <f t="shared" si="199"/>
        <v>0</v>
      </c>
      <c r="AU131" s="915">
        <f t="shared" si="200"/>
        <v>0</v>
      </c>
      <c r="AV131" s="915">
        <f t="shared" si="201"/>
        <v>0</v>
      </c>
      <c r="AW131" s="915">
        <f t="shared" si="202"/>
        <v>0</v>
      </c>
      <c r="AX131" s="915">
        <f t="shared" si="203"/>
        <v>0</v>
      </c>
      <c r="AY131" s="915">
        <f t="shared" si="204"/>
        <v>0</v>
      </c>
      <c r="AZ131" s="915">
        <f t="shared" si="205"/>
        <v>0</v>
      </c>
      <c r="BA131" s="915">
        <f t="shared" si="206"/>
        <v>0</v>
      </c>
      <c r="BB131" s="915">
        <f t="shared" si="207"/>
        <v>0</v>
      </c>
      <c r="BC131" s="915">
        <f t="shared" si="446"/>
        <v>0</v>
      </c>
      <c r="BD131" s="915">
        <f t="shared" si="447"/>
        <v>0</v>
      </c>
      <c r="BE131" s="915">
        <f t="shared" si="448"/>
        <v>0</v>
      </c>
      <c r="BF131" s="915">
        <f t="shared" si="449"/>
        <v>0</v>
      </c>
      <c r="BG131" s="915">
        <f t="shared" si="450"/>
        <v>0</v>
      </c>
      <c r="BH131" s="915">
        <f t="shared" si="451"/>
        <v>0</v>
      </c>
      <c r="BI131" s="915">
        <f t="shared" si="452"/>
        <v>0</v>
      </c>
      <c r="BJ131" s="915">
        <f t="shared" si="453"/>
        <v>0</v>
      </c>
      <c r="BK131" s="915">
        <f t="shared" si="216"/>
        <v>0</v>
      </c>
      <c r="BL131" s="915">
        <f t="shared" si="217"/>
        <v>0</v>
      </c>
      <c r="BM131" s="915">
        <f t="shared" si="218"/>
        <v>0</v>
      </c>
      <c r="BN131" s="915">
        <f t="shared" si="219"/>
        <v>0</v>
      </c>
      <c r="BO131" s="915">
        <f t="shared" si="220"/>
        <v>0</v>
      </c>
      <c r="BP131" s="915">
        <f t="shared" si="221"/>
        <v>0</v>
      </c>
      <c r="BQ131" s="915">
        <f t="shared" si="222"/>
        <v>0</v>
      </c>
      <c r="BR131" s="915">
        <f t="shared" si="223"/>
        <v>0</v>
      </c>
      <c r="BS131" s="915">
        <f t="shared" si="454"/>
        <v>0</v>
      </c>
      <c r="BT131" s="915">
        <f t="shared" si="455"/>
        <v>0</v>
      </c>
      <c r="BU131" s="915">
        <f t="shared" si="456"/>
        <v>0</v>
      </c>
      <c r="BV131" s="915">
        <f t="shared" si="457"/>
        <v>0</v>
      </c>
      <c r="BW131" s="915">
        <f t="shared" si="458"/>
        <v>0</v>
      </c>
      <c r="BX131" s="915">
        <f t="shared" si="459"/>
        <v>0</v>
      </c>
      <c r="BY131" s="915">
        <f t="shared" si="460"/>
        <v>0</v>
      </c>
      <c r="BZ131" s="915">
        <f t="shared" si="461"/>
        <v>0</v>
      </c>
      <c r="CA131" s="915">
        <f t="shared" si="422"/>
        <v>0</v>
      </c>
      <c r="CB131" s="915">
        <f t="shared" si="423"/>
        <v>0</v>
      </c>
      <c r="CC131" s="915">
        <f t="shared" si="424"/>
        <v>0</v>
      </c>
      <c r="CD131" s="915">
        <f t="shared" si="425"/>
        <v>0</v>
      </c>
      <c r="CE131" s="915">
        <f t="shared" si="426"/>
        <v>0</v>
      </c>
      <c r="CF131" s="915">
        <f t="shared" si="427"/>
        <v>0</v>
      </c>
      <c r="CG131" s="915">
        <f t="shared" si="428"/>
        <v>0</v>
      </c>
      <c r="CH131" s="915">
        <f t="shared" si="429"/>
        <v>0</v>
      </c>
      <c r="CI131" s="915">
        <f t="shared" si="336"/>
        <v>0</v>
      </c>
      <c r="CJ131" s="915">
        <f t="shared" si="337"/>
        <v>0</v>
      </c>
      <c r="CK131" s="915">
        <f t="shared" si="338"/>
        <v>0</v>
      </c>
      <c r="CL131" s="915">
        <f t="shared" si="339"/>
        <v>0</v>
      </c>
      <c r="CM131" s="915">
        <f t="shared" si="340"/>
        <v>0</v>
      </c>
      <c r="CN131" s="915">
        <f t="shared" si="341"/>
        <v>0</v>
      </c>
      <c r="CO131" s="915">
        <f t="shared" si="342"/>
        <v>0</v>
      </c>
      <c r="CP131" s="915">
        <f t="shared" si="343"/>
        <v>0</v>
      </c>
      <c r="CQ131" s="915">
        <f t="shared" si="370"/>
        <v>0</v>
      </c>
      <c r="CR131" s="915">
        <f t="shared" si="371"/>
        <v>0</v>
      </c>
      <c r="CS131" s="915">
        <f t="shared" si="372"/>
        <v>0</v>
      </c>
      <c r="CT131" s="915">
        <f t="shared" si="373"/>
        <v>0</v>
      </c>
      <c r="CU131" s="915">
        <f t="shared" si="374"/>
        <v>0</v>
      </c>
      <c r="CV131" s="915">
        <f t="shared" si="375"/>
        <v>0</v>
      </c>
      <c r="CW131" s="915">
        <f t="shared" si="376"/>
        <v>0</v>
      </c>
      <c r="CX131" s="915">
        <f t="shared" si="377"/>
        <v>0</v>
      </c>
      <c r="CY131" s="915">
        <f t="shared" si="256"/>
        <v>0</v>
      </c>
      <c r="CZ131" s="915">
        <f t="shared" si="257"/>
        <v>0</v>
      </c>
      <c r="DA131" s="915">
        <f t="shared" si="258"/>
        <v>0</v>
      </c>
      <c r="DB131" s="915">
        <f t="shared" si="259"/>
        <v>0</v>
      </c>
      <c r="DC131" s="915">
        <f t="shared" si="260"/>
        <v>0</v>
      </c>
      <c r="DD131" s="915">
        <f t="shared" si="261"/>
        <v>0</v>
      </c>
      <c r="DE131" s="915">
        <f t="shared" si="262"/>
        <v>0</v>
      </c>
      <c r="DF131" s="915">
        <f t="shared" si="263"/>
        <v>0</v>
      </c>
      <c r="DG131" s="915">
        <f t="shared" si="264"/>
        <v>0</v>
      </c>
      <c r="DH131" s="915">
        <f t="shared" si="265"/>
        <v>0</v>
      </c>
      <c r="DI131" s="915">
        <f t="shared" si="266"/>
        <v>0</v>
      </c>
      <c r="DJ131" s="915">
        <f t="shared" si="267"/>
        <v>0</v>
      </c>
      <c r="DK131" s="915">
        <f t="shared" si="268"/>
        <v>0</v>
      </c>
      <c r="DL131" s="915">
        <f t="shared" si="269"/>
        <v>0</v>
      </c>
      <c r="DM131" s="915">
        <f t="shared" si="270"/>
        <v>0</v>
      </c>
      <c r="DN131" s="915">
        <f t="shared" si="271"/>
        <v>0</v>
      </c>
      <c r="DO131" s="915">
        <f t="shared" si="430"/>
        <v>0</v>
      </c>
      <c r="DP131" s="915">
        <f t="shared" si="431"/>
        <v>0</v>
      </c>
      <c r="DQ131" s="915">
        <f t="shared" si="432"/>
        <v>0</v>
      </c>
      <c r="DR131" s="915">
        <f t="shared" si="433"/>
        <v>0</v>
      </c>
      <c r="DS131" s="915">
        <f t="shared" si="434"/>
        <v>0</v>
      </c>
      <c r="DT131" s="915">
        <f t="shared" si="435"/>
        <v>0</v>
      </c>
      <c r="DU131" s="915">
        <f t="shared" si="436"/>
        <v>0</v>
      </c>
      <c r="DV131" s="915">
        <f t="shared" si="437"/>
        <v>0</v>
      </c>
      <c r="DW131" s="915">
        <f t="shared" si="438"/>
        <v>0</v>
      </c>
      <c r="DX131" s="915">
        <f t="shared" si="439"/>
        <v>0</v>
      </c>
      <c r="DY131" s="915">
        <f t="shared" si="440"/>
        <v>0</v>
      </c>
      <c r="DZ131" s="915">
        <f t="shared" si="441"/>
        <v>0</v>
      </c>
      <c r="EA131" s="915">
        <f t="shared" si="442"/>
        <v>0</v>
      </c>
      <c r="EB131" s="915">
        <f t="shared" si="443"/>
        <v>0</v>
      </c>
      <c r="EC131" s="915">
        <f t="shared" si="444"/>
        <v>0</v>
      </c>
      <c r="ED131" s="915">
        <f t="shared" si="445"/>
        <v>0</v>
      </c>
      <c r="EE131" s="915">
        <f t="shared" si="288"/>
        <v>0</v>
      </c>
      <c r="EF131" s="915">
        <f t="shared" si="289"/>
        <v>0</v>
      </c>
      <c r="EG131" s="915">
        <f t="shared" si="290"/>
        <v>0</v>
      </c>
      <c r="EH131" s="915">
        <f t="shared" si="291"/>
        <v>0</v>
      </c>
      <c r="EI131" s="915">
        <f t="shared" si="292"/>
        <v>0</v>
      </c>
      <c r="EJ131" s="915">
        <f t="shared" si="293"/>
        <v>0</v>
      </c>
      <c r="EK131" s="915">
        <f t="shared" si="294"/>
        <v>0</v>
      </c>
      <c r="EL131" s="915">
        <f t="shared" si="295"/>
        <v>0</v>
      </c>
      <c r="EM131" s="915">
        <f t="shared" si="296"/>
        <v>0</v>
      </c>
      <c r="EN131" s="915">
        <f t="shared" si="297"/>
        <v>0</v>
      </c>
      <c r="EO131" s="915">
        <f t="shared" si="298"/>
        <v>0</v>
      </c>
      <c r="EP131" s="915">
        <f t="shared" si="299"/>
        <v>7.42</v>
      </c>
      <c r="EQ131" s="915">
        <f t="shared" si="300"/>
        <v>0</v>
      </c>
      <c r="ER131" s="915">
        <f t="shared" si="301"/>
        <v>0</v>
      </c>
      <c r="ES131" s="915">
        <f t="shared" si="302"/>
        <v>0</v>
      </c>
      <c r="ET131" s="915">
        <f t="shared" si="303"/>
        <v>0</v>
      </c>
      <c r="EU131" s="915">
        <f t="shared" si="304"/>
        <v>0</v>
      </c>
      <c r="EV131" s="915">
        <f t="shared" si="305"/>
        <v>0</v>
      </c>
      <c r="EW131" s="915">
        <f t="shared" si="306"/>
        <v>0</v>
      </c>
      <c r="EX131" s="915">
        <f t="shared" si="307"/>
        <v>0</v>
      </c>
      <c r="EY131" s="915">
        <f t="shared" si="308"/>
        <v>0</v>
      </c>
      <c r="EZ131" s="915">
        <f t="shared" si="309"/>
        <v>0</v>
      </c>
      <c r="FA131" s="915">
        <f t="shared" si="310"/>
        <v>0</v>
      </c>
      <c r="FB131" s="915">
        <f t="shared" si="311"/>
        <v>0</v>
      </c>
      <c r="FC131" s="915">
        <f t="shared" si="312"/>
        <v>0</v>
      </c>
      <c r="FD131" s="915">
        <f t="shared" si="313"/>
        <v>0</v>
      </c>
      <c r="FE131" s="915">
        <f t="shared" si="314"/>
        <v>0</v>
      </c>
      <c r="FF131" s="915">
        <f t="shared" si="315"/>
        <v>0</v>
      </c>
      <c r="FG131" s="915">
        <f t="shared" si="316"/>
        <v>0</v>
      </c>
      <c r="FH131" s="915">
        <f t="shared" si="317"/>
        <v>0</v>
      </c>
      <c r="FI131" s="915">
        <f t="shared" si="318"/>
        <v>0</v>
      </c>
      <c r="FJ131" s="915">
        <f t="shared" si="319"/>
        <v>0</v>
      </c>
      <c r="FK131" s="915">
        <f t="shared" si="320"/>
        <v>0</v>
      </c>
      <c r="FL131" s="915">
        <f t="shared" si="321"/>
        <v>0</v>
      </c>
      <c r="FM131" s="915">
        <f t="shared" si="322"/>
        <v>0</v>
      </c>
      <c r="FN131" s="915">
        <f t="shared" si="323"/>
        <v>0</v>
      </c>
      <c r="FO131" s="915">
        <f t="shared" si="324"/>
        <v>0</v>
      </c>
      <c r="FP131" s="915">
        <f t="shared" si="325"/>
        <v>0</v>
      </c>
      <c r="FQ131" s="915">
        <f t="shared" si="326"/>
        <v>0</v>
      </c>
      <c r="FR131" s="915">
        <f t="shared" si="327"/>
        <v>0</v>
      </c>
      <c r="FS131" s="915">
        <f t="shared" si="328"/>
        <v>0</v>
      </c>
      <c r="FT131" s="915">
        <f t="shared" si="329"/>
        <v>0</v>
      </c>
      <c r="FU131" s="915">
        <f t="shared" si="330"/>
        <v>0</v>
      </c>
      <c r="FV131" s="915">
        <f t="shared" si="331"/>
        <v>0</v>
      </c>
      <c r="FW131" s="915">
        <f t="shared" si="332"/>
        <v>0</v>
      </c>
      <c r="FX131" s="915">
        <f t="shared" si="333"/>
        <v>0</v>
      </c>
      <c r="FY131" s="915">
        <f t="shared" si="334"/>
        <v>0</v>
      </c>
      <c r="FZ131" s="915">
        <f t="shared" si="335"/>
        <v>0</v>
      </c>
    </row>
    <row r="132" spans="1:182" x14ac:dyDescent="0.2">
      <c r="A132" s="496">
        <v>125</v>
      </c>
      <c r="B132" s="1419"/>
      <c r="C132" s="1433"/>
      <c r="D132" s="264">
        <v>16</v>
      </c>
      <c r="E132" s="264" t="s">
        <v>30</v>
      </c>
      <c r="F132" s="270" t="s">
        <v>2544</v>
      </c>
      <c r="G132" s="270" t="s">
        <v>2542</v>
      </c>
      <c r="H132" s="272">
        <v>7</v>
      </c>
      <c r="I132" s="268">
        <f t="shared" si="404"/>
        <v>0.42</v>
      </c>
      <c r="J132" s="269">
        <f t="shared" si="405"/>
        <v>7.42</v>
      </c>
      <c r="K132" s="225"/>
      <c r="N132" s="951">
        <f>EQ6</f>
        <v>7.42</v>
      </c>
      <c r="O132" s="879" t="str">
        <f>"Surveying/Inspection for " &amp; TabName16</f>
        <v>Surveying/Inspection for Phase 16</v>
      </c>
      <c r="P132" s="950" t="s">
        <v>2187</v>
      </c>
      <c r="W132" s="915">
        <f t="shared" si="176"/>
        <v>0</v>
      </c>
      <c r="X132" s="915">
        <f t="shared" si="177"/>
        <v>0</v>
      </c>
      <c r="Y132" s="915">
        <f t="shared" si="178"/>
        <v>0</v>
      </c>
      <c r="Z132" s="915">
        <f t="shared" si="179"/>
        <v>0</v>
      </c>
      <c r="AA132" s="915">
        <f t="shared" si="180"/>
        <v>0</v>
      </c>
      <c r="AB132" s="915">
        <f t="shared" si="181"/>
        <v>0</v>
      </c>
      <c r="AC132" s="915">
        <f t="shared" si="182"/>
        <v>0</v>
      </c>
      <c r="AD132" s="915">
        <f t="shared" si="183"/>
        <v>0</v>
      </c>
      <c r="AE132" s="915">
        <f t="shared" si="184"/>
        <v>0</v>
      </c>
      <c r="AF132" s="915">
        <f t="shared" si="185"/>
        <v>0</v>
      </c>
      <c r="AG132" s="915">
        <f t="shared" si="186"/>
        <v>0</v>
      </c>
      <c r="AH132" s="915">
        <f t="shared" si="187"/>
        <v>0</v>
      </c>
      <c r="AI132" s="915">
        <f t="shared" si="188"/>
        <v>0</v>
      </c>
      <c r="AJ132" s="915">
        <f t="shared" si="189"/>
        <v>0</v>
      </c>
      <c r="AK132" s="915">
        <f t="shared" si="190"/>
        <v>0</v>
      </c>
      <c r="AL132" s="915">
        <f t="shared" si="191"/>
        <v>0</v>
      </c>
      <c r="AM132" s="915">
        <f t="shared" si="192"/>
        <v>0</v>
      </c>
      <c r="AN132" s="915">
        <f t="shared" si="193"/>
        <v>0</v>
      </c>
      <c r="AO132" s="915">
        <f t="shared" si="194"/>
        <v>0</v>
      </c>
      <c r="AP132" s="915">
        <f t="shared" si="195"/>
        <v>0</v>
      </c>
      <c r="AQ132" s="915">
        <f t="shared" si="196"/>
        <v>0</v>
      </c>
      <c r="AR132" s="915">
        <f t="shared" si="197"/>
        <v>0</v>
      </c>
      <c r="AS132" s="915">
        <f t="shared" si="198"/>
        <v>0</v>
      </c>
      <c r="AT132" s="915">
        <f t="shared" si="199"/>
        <v>0</v>
      </c>
      <c r="AU132" s="915">
        <f t="shared" si="200"/>
        <v>0</v>
      </c>
      <c r="AV132" s="915">
        <f t="shared" si="201"/>
        <v>0</v>
      </c>
      <c r="AW132" s="915">
        <f t="shared" si="202"/>
        <v>0</v>
      </c>
      <c r="AX132" s="915">
        <f t="shared" si="203"/>
        <v>0</v>
      </c>
      <c r="AY132" s="915">
        <f t="shared" si="204"/>
        <v>0</v>
      </c>
      <c r="AZ132" s="915">
        <f t="shared" si="205"/>
        <v>0</v>
      </c>
      <c r="BA132" s="915">
        <f t="shared" si="206"/>
        <v>0</v>
      </c>
      <c r="BB132" s="915">
        <f t="shared" si="207"/>
        <v>0</v>
      </c>
      <c r="BC132" s="915">
        <f t="shared" si="446"/>
        <v>0</v>
      </c>
      <c r="BD132" s="915">
        <f t="shared" si="447"/>
        <v>0</v>
      </c>
      <c r="BE132" s="915">
        <f t="shared" si="448"/>
        <v>0</v>
      </c>
      <c r="BF132" s="915">
        <f t="shared" si="449"/>
        <v>0</v>
      </c>
      <c r="BG132" s="915">
        <f t="shared" si="450"/>
        <v>0</v>
      </c>
      <c r="BH132" s="915">
        <f t="shared" si="451"/>
        <v>0</v>
      </c>
      <c r="BI132" s="915">
        <f t="shared" si="452"/>
        <v>0</v>
      </c>
      <c r="BJ132" s="915">
        <f t="shared" si="453"/>
        <v>0</v>
      </c>
      <c r="BK132" s="915">
        <f t="shared" si="216"/>
        <v>0</v>
      </c>
      <c r="BL132" s="915">
        <f t="shared" si="217"/>
        <v>0</v>
      </c>
      <c r="BM132" s="915">
        <f t="shared" si="218"/>
        <v>0</v>
      </c>
      <c r="BN132" s="915">
        <f t="shared" si="219"/>
        <v>0</v>
      </c>
      <c r="BO132" s="915">
        <f t="shared" si="220"/>
        <v>0</v>
      </c>
      <c r="BP132" s="915">
        <f t="shared" si="221"/>
        <v>0</v>
      </c>
      <c r="BQ132" s="915">
        <f t="shared" si="222"/>
        <v>0</v>
      </c>
      <c r="BR132" s="915">
        <f t="shared" si="223"/>
        <v>0</v>
      </c>
      <c r="BS132" s="915">
        <f t="shared" si="454"/>
        <v>0</v>
      </c>
      <c r="BT132" s="915">
        <f t="shared" si="455"/>
        <v>0</v>
      </c>
      <c r="BU132" s="915">
        <f t="shared" si="456"/>
        <v>0</v>
      </c>
      <c r="BV132" s="915">
        <f t="shared" si="457"/>
        <v>0</v>
      </c>
      <c r="BW132" s="915">
        <f t="shared" si="458"/>
        <v>0</v>
      </c>
      <c r="BX132" s="915">
        <f t="shared" si="459"/>
        <v>0</v>
      </c>
      <c r="BY132" s="915">
        <f t="shared" si="460"/>
        <v>0</v>
      </c>
      <c r="BZ132" s="915">
        <f t="shared" si="461"/>
        <v>0</v>
      </c>
      <c r="CA132" s="915">
        <f>IF(AND($D132=$R$15,$E132=$T$8),$J132,0)</f>
        <v>0</v>
      </c>
      <c r="CB132" s="915">
        <f>IF(AND($D132=$R$15,$E132=$T$9),$J132,0)</f>
        <v>0</v>
      </c>
      <c r="CC132" s="915">
        <f>IF(AND($D132=$R$15,$E132=$T$10),$J132,0)</f>
        <v>0</v>
      </c>
      <c r="CD132" s="915">
        <f>IF(AND($D132=$R$15,$E132=$T$11),$J132,0)</f>
        <v>0</v>
      </c>
      <c r="CE132" s="915">
        <f>IF(AND($D132=$R$15,$E132=$T$12),$J132,0)</f>
        <v>0</v>
      </c>
      <c r="CF132" s="915">
        <f>IF(AND($D132=$R$15,$E132=$T$13),$J132,0)</f>
        <v>0</v>
      </c>
      <c r="CG132" s="915">
        <f>IF(AND($D132=$R$15,$E132=$T$14),$J132,0)</f>
        <v>0</v>
      </c>
      <c r="CH132" s="915">
        <f>IF(AND($D132=$R$15,$E132=$T$15),$J132,0)</f>
        <v>0</v>
      </c>
      <c r="CI132" s="915">
        <f t="shared" si="336"/>
        <v>0</v>
      </c>
      <c r="CJ132" s="915">
        <f t="shared" si="337"/>
        <v>0</v>
      </c>
      <c r="CK132" s="915">
        <f t="shared" si="338"/>
        <v>0</v>
      </c>
      <c r="CL132" s="915">
        <f t="shared" si="339"/>
        <v>0</v>
      </c>
      <c r="CM132" s="915">
        <f t="shared" si="340"/>
        <v>0</v>
      </c>
      <c r="CN132" s="915">
        <f t="shared" si="341"/>
        <v>0</v>
      </c>
      <c r="CO132" s="915">
        <f t="shared" si="342"/>
        <v>0</v>
      </c>
      <c r="CP132" s="915">
        <f t="shared" si="343"/>
        <v>0</v>
      </c>
      <c r="CQ132" s="915">
        <f t="shared" si="370"/>
        <v>0</v>
      </c>
      <c r="CR132" s="915">
        <f t="shared" si="371"/>
        <v>0</v>
      </c>
      <c r="CS132" s="915">
        <f t="shared" si="372"/>
        <v>0</v>
      </c>
      <c r="CT132" s="915">
        <f t="shared" si="373"/>
        <v>0</v>
      </c>
      <c r="CU132" s="915">
        <f t="shared" si="374"/>
        <v>0</v>
      </c>
      <c r="CV132" s="915">
        <f t="shared" si="375"/>
        <v>0</v>
      </c>
      <c r="CW132" s="915">
        <f t="shared" si="376"/>
        <v>0</v>
      </c>
      <c r="CX132" s="915">
        <f t="shared" si="377"/>
        <v>0</v>
      </c>
      <c r="CY132" s="915">
        <f t="shared" si="256"/>
        <v>0</v>
      </c>
      <c r="CZ132" s="915">
        <f t="shared" si="257"/>
        <v>0</v>
      </c>
      <c r="DA132" s="915">
        <f t="shared" si="258"/>
        <v>0</v>
      </c>
      <c r="DB132" s="915">
        <f t="shared" si="259"/>
        <v>0</v>
      </c>
      <c r="DC132" s="915">
        <f t="shared" si="260"/>
        <v>0</v>
      </c>
      <c r="DD132" s="915">
        <f t="shared" si="261"/>
        <v>0</v>
      </c>
      <c r="DE132" s="915">
        <f t="shared" si="262"/>
        <v>0</v>
      </c>
      <c r="DF132" s="915">
        <f t="shared" si="263"/>
        <v>0</v>
      </c>
      <c r="DG132" s="915">
        <f t="shared" si="264"/>
        <v>0</v>
      </c>
      <c r="DH132" s="915">
        <f t="shared" si="265"/>
        <v>0</v>
      </c>
      <c r="DI132" s="915">
        <f t="shared" si="266"/>
        <v>0</v>
      </c>
      <c r="DJ132" s="915">
        <f t="shared" si="267"/>
        <v>0</v>
      </c>
      <c r="DK132" s="915">
        <f t="shared" si="268"/>
        <v>0</v>
      </c>
      <c r="DL132" s="915">
        <f t="shared" si="269"/>
        <v>0</v>
      </c>
      <c r="DM132" s="915">
        <f t="shared" si="270"/>
        <v>0</v>
      </c>
      <c r="DN132" s="915">
        <f t="shared" si="271"/>
        <v>0</v>
      </c>
      <c r="DO132" s="915">
        <f t="shared" si="430"/>
        <v>0</v>
      </c>
      <c r="DP132" s="915">
        <f t="shared" si="431"/>
        <v>0</v>
      </c>
      <c r="DQ132" s="915">
        <f t="shared" si="432"/>
        <v>0</v>
      </c>
      <c r="DR132" s="915">
        <f t="shared" si="433"/>
        <v>0</v>
      </c>
      <c r="DS132" s="915">
        <f t="shared" si="434"/>
        <v>0</v>
      </c>
      <c r="DT132" s="915">
        <f t="shared" si="435"/>
        <v>0</v>
      </c>
      <c r="DU132" s="915">
        <f t="shared" si="436"/>
        <v>0</v>
      </c>
      <c r="DV132" s="915">
        <f t="shared" si="437"/>
        <v>0</v>
      </c>
      <c r="DW132" s="915">
        <f t="shared" si="438"/>
        <v>0</v>
      </c>
      <c r="DX132" s="915">
        <f t="shared" si="439"/>
        <v>0</v>
      </c>
      <c r="DY132" s="915">
        <f t="shared" si="440"/>
        <v>0</v>
      </c>
      <c r="DZ132" s="915">
        <f t="shared" si="441"/>
        <v>0</v>
      </c>
      <c r="EA132" s="915">
        <f t="shared" si="442"/>
        <v>0</v>
      </c>
      <c r="EB132" s="915">
        <f t="shared" si="443"/>
        <v>0</v>
      </c>
      <c r="EC132" s="915">
        <f t="shared" si="444"/>
        <v>0</v>
      </c>
      <c r="ED132" s="915">
        <f t="shared" si="445"/>
        <v>0</v>
      </c>
      <c r="EE132" s="915">
        <f t="shared" si="288"/>
        <v>0</v>
      </c>
      <c r="EF132" s="915">
        <f t="shared" si="289"/>
        <v>0</v>
      </c>
      <c r="EG132" s="915">
        <f t="shared" si="290"/>
        <v>0</v>
      </c>
      <c r="EH132" s="915">
        <f t="shared" si="291"/>
        <v>0</v>
      </c>
      <c r="EI132" s="915">
        <f t="shared" si="292"/>
        <v>0</v>
      </c>
      <c r="EJ132" s="915">
        <f t="shared" si="293"/>
        <v>0</v>
      </c>
      <c r="EK132" s="915">
        <f t="shared" si="294"/>
        <v>0</v>
      </c>
      <c r="EL132" s="915">
        <f t="shared" si="295"/>
        <v>0</v>
      </c>
      <c r="EM132" s="915">
        <f t="shared" si="296"/>
        <v>0</v>
      </c>
      <c r="EN132" s="915">
        <f t="shared" si="297"/>
        <v>0</v>
      </c>
      <c r="EO132" s="915">
        <f t="shared" si="298"/>
        <v>0</v>
      </c>
      <c r="EP132" s="915">
        <f t="shared" si="299"/>
        <v>0</v>
      </c>
      <c r="EQ132" s="915">
        <f t="shared" si="300"/>
        <v>7.42</v>
      </c>
      <c r="ER132" s="915">
        <f t="shared" si="301"/>
        <v>0</v>
      </c>
      <c r="ES132" s="915">
        <f t="shared" si="302"/>
        <v>0</v>
      </c>
      <c r="ET132" s="915">
        <f t="shared" si="303"/>
        <v>0</v>
      </c>
      <c r="EU132" s="915">
        <f t="shared" si="304"/>
        <v>0</v>
      </c>
      <c r="EV132" s="915">
        <f t="shared" si="305"/>
        <v>0</v>
      </c>
      <c r="EW132" s="915">
        <f t="shared" si="306"/>
        <v>0</v>
      </c>
      <c r="EX132" s="915">
        <f t="shared" si="307"/>
        <v>0</v>
      </c>
      <c r="EY132" s="915">
        <f t="shared" si="308"/>
        <v>0</v>
      </c>
      <c r="EZ132" s="915">
        <f t="shared" si="309"/>
        <v>0</v>
      </c>
      <c r="FA132" s="915">
        <f t="shared" si="310"/>
        <v>0</v>
      </c>
      <c r="FB132" s="915">
        <f t="shared" si="311"/>
        <v>0</v>
      </c>
      <c r="FC132" s="915">
        <f t="shared" si="312"/>
        <v>0</v>
      </c>
      <c r="FD132" s="915">
        <f t="shared" si="313"/>
        <v>0</v>
      </c>
      <c r="FE132" s="915">
        <f t="shared" si="314"/>
        <v>0</v>
      </c>
      <c r="FF132" s="915">
        <f t="shared" si="315"/>
        <v>0</v>
      </c>
      <c r="FG132" s="915">
        <f t="shared" si="316"/>
        <v>0</v>
      </c>
      <c r="FH132" s="915">
        <f t="shared" si="317"/>
        <v>0</v>
      </c>
      <c r="FI132" s="915">
        <f t="shared" si="318"/>
        <v>0</v>
      </c>
      <c r="FJ132" s="915">
        <f t="shared" si="319"/>
        <v>0</v>
      </c>
      <c r="FK132" s="915">
        <f t="shared" si="320"/>
        <v>0</v>
      </c>
      <c r="FL132" s="915">
        <f t="shared" si="321"/>
        <v>0</v>
      </c>
      <c r="FM132" s="915">
        <f t="shared" si="322"/>
        <v>0</v>
      </c>
      <c r="FN132" s="915">
        <f t="shared" si="323"/>
        <v>0</v>
      </c>
      <c r="FO132" s="915">
        <f t="shared" si="324"/>
        <v>0</v>
      </c>
      <c r="FP132" s="915">
        <f t="shared" si="325"/>
        <v>0</v>
      </c>
      <c r="FQ132" s="915">
        <f t="shared" si="326"/>
        <v>0</v>
      </c>
      <c r="FR132" s="915">
        <f t="shared" si="327"/>
        <v>0</v>
      </c>
      <c r="FS132" s="915">
        <f t="shared" si="328"/>
        <v>0</v>
      </c>
      <c r="FT132" s="915">
        <f t="shared" si="329"/>
        <v>0</v>
      </c>
      <c r="FU132" s="915">
        <f t="shared" si="330"/>
        <v>0</v>
      </c>
      <c r="FV132" s="915">
        <f t="shared" si="331"/>
        <v>0</v>
      </c>
      <c r="FW132" s="915">
        <f t="shared" si="332"/>
        <v>0</v>
      </c>
      <c r="FX132" s="915">
        <f t="shared" si="333"/>
        <v>0</v>
      </c>
      <c r="FY132" s="915">
        <f t="shared" si="334"/>
        <v>0</v>
      </c>
      <c r="FZ132" s="915">
        <f t="shared" si="335"/>
        <v>0</v>
      </c>
    </row>
    <row r="133" spans="1:182" x14ac:dyDescent="0.2">
      <c r="A133" s="497">
        <v>126</v>
      </c>
      <c r="B133" s="1423"/>
      <c r="C133" s="1424"/>
      <c r="D133" s="138">
        <v>16</v>
      </c>
      <c r="E133" s="138" t="s">
        <v>170</v>
      </c>
      <c r="F133" s="139" t="s">
        <v>2544</v>
      </c>
      <c r="G133" s="139" t="s">
        <v>2542</v>
      </c>
      <c r="H133" s="100">
        <v>7</v>
      </c>
      <c r="I133" s="119">
        <f t="shared" si="404"/>
        <v>0.42</v>
      </c>
      <c r="J133" s="90">
        <f t="shared" si="405"/>
        <v>7.42</v>
      </c>
      <c r="K133" s="225"/>
      <c r="N133" s="951">
        <f>ER6</f>
        <v>7.42</v>
      </c>
      <c r="O133" s="879" t="str">
        <f>"Other subcontractor for " &amp; TabName16</f>
        <v>Other subcontractor for Phase 16</v>
      </c>
      <c r="P133" s="949" t="s">
        <v>2188</v>
      </c>
      <c r="W133" s="915">
        <f t="shared" si="176"/>
        <v>0</v>
      </c>
      <c r="X133" s="915">
        <f t="shared" si="177"/>
        <v>0</v>
      </c>
      <c r="Y133" s="915">
        <f t="shared" si="178"/>
        <v>0</v>
      </c>
      <c r="Z133" s="915">
        <f t="shared" si="179"/>
        <v>0</v>
      </c>
      <c r="AA133" s="915">
        <f t="shared" si="180"/>
        <v>0</v>
      </c>
      <c r="AB133" s="915">
        <f t="shared" si="181"/>
        <v>0</v>
      </c>
      <c r="AC133" s="915">
        <f t="shared" si="182"/>
        <v>0</v>
      </c>
      <c r="AD133" s="915">
        <f t="shared" si="183"/>
        <v>0</v>
      </c>
      <c r="AE133" s="915">
        <f t="shared" si="184"/>
        <v>0</v>
      </c>
      <c r="AF133" s="915">
        <f t="shared" si="185"/>
        <v>0</v>
      </c>
      <c r="AG133" s="915">
        <f t="shared" si="186"/>
        <v>0</v>
      </c>
      <c r="AH133" s="915">
        <f t="shared" si="187"/>
        <v>0</v>
      </c>
      <c r="AI133" s="915">
        <f t="shared" si="188"/>
        <v>0</v>
      </c>
      <c r="AJ133" s="915">
        <f t="shared" si="189"/>
        <v>0</v>
      </c>
      <c r="AK133" s="915">
        <f t="shared" si="190"/>
        <v>0</v>
      </c>
      <c r="AL133" s="915">
        <f t="shared" si="191"/>
        <v>0</v>
      </c>
      <c r="AM133" s="915">
        <f t="shared" si="192"/>
        <v>0</v>
      </c>
      <c r="AN133" s="915">
        <f t="shared" si="193"/>
        <v>0</v>
      </c>
      <c r="AO133" s="915">
        <f t="shared" si="194"/>
        <v>0</v>
      </c>
      <c r="AP133" s="915">
        <f t="shared" si="195"/>
        <v>0</v>
      </c>
      <c r="AQ133" s="915">
        <f t="shared" si="196"/>
        <v>0</v>
      </c>
      <c r="AR133" s="915">
        <f t="shared" si="197"/>
        <v>0</v>
      </c>
      <c r="AS133" s="915">
        <f t="shared" si="198"/>
        <v>0</v>
      </c>
      <c r="AT133" s="915">
        <f t="shared" si="199"/>
        <v>0</v>
      </c>
      <c r="AU133" s="915">
        <f t="shared" si="200"/>
        <v>0</v>
      </c>
      <c r="AV133" s="915">
        <f t="shared" si="201"/>
        <v>0</v>
      </c>
      <c r="AW133" s="915">
        <f t="shared" si="202"/>
        <v>0</v>
      </c>
      <c r="AX133" s="915">
        <f t="shared" si="203"/>
        <v>0</v>
      </c>
      <c r="AY133" s="915">
        <f t="shared" si="204"/>
        <v>0</v>
      </c>
      <c r="AZ133" s="915">
        <f t="shared" si="205"/>
        <v>0</v>
      </c>
      <c r="BA133" s="915">
        <f t="shared" si="206"/>
        <v>0</v>
      </c>
      <c r="BB133" s="915">
        <f t="shared" si="207"/>
        <v>0</v>
      </c>
      <c r="BC133" s="915">
        <f t="shared" si="446"/>
        <v>0</v>
      </c>
      <c r="BD133" s="915">
        <f t="shared" si="447"/>
        <v>0</v>
      </c>
      <c r="BE133" s="915">
        <f t="shared" si="448"/>
        <v>0</v>
      </c>
      <c r="BF133" s="915">
        <f t="shared" si="449"/>
        <v>0</v>
      </c>
      <c r="BG133" s="915">
        <f t="shared" si="450"/>
        <v>0</v>
      </c>
      <c r="BH133" s="915">
        <f t="shared" si="451"/>
        <v>0</v>
      </c>
      <c r="BI133" s="915">
        <f t="shared" si="452"/>
        <v>0</v>
      </c>
      <c r="BJ133" s="915">
        <f t="shared" si="453"/>
        <v>0</v>
      </c>
      <c r="BK133" s="915">
        <f t="shared" si="216"/>
        <v>0</v>
      </c>
      <c r="BL133" s="915">
        <f t="shared" si="217"/>
        <v>0</v>
      </c>
      <c r="BM133" s="915">
        <f t="shared" si="218"/>
        <v>0</v>
      </c>
      <c r="BN133" s="915">
        <f t="shared" si="219"/>
        <v>0</v>
      </c>
      <c r="BO133" s="915">
        <f t="shared" si="220"/>
        <v>0</v>
      </c>
      <c r="BP133" s="915">
        <f t="shared" si="221"/>
        <v>0</v>
      </c>
      <c r="BQ133" s="915">
        <f t="shared" si="222"/>
        <v>0</v>
      </c>
      <c r="BR133" s="915">
        <f t="shared" si="223"/>
        <v>0</v>
      </c>
      <c r="BS133" s="915">
        <f t="shared" si="454"/>
        <v>0</v>
      </c>
      <c r="BT133" s="915">
        <f t="shared" si="455"/>
        <v>0</v>
      </c>
      <c r="BU133" s="915">
        <f t="shared" si="456"/>
        <v>0</v>
      </c>
      <c r="BV133" s="915">
        <f t="shared" si="457"/>
        <v>0</v>
      </c>
      <c r="BW133" s="915">
        <f t="shared" si="458"/>
        <v>0</v>
      </c>
      <c r="BX133" s="915">
        <f t="shared" si="459"/>
        <v>0</v>
      </c>
      <c r="BY133" s="915">
        <f t="shared" si="460"/>
        <v>0</v>
      </c>
      <c r="BZ133" s="915">
        <f t="shared" si="461"/>
        <v>0</v>
      </c>
      <c r="CA133" s="915">
        <f t="shared" ref="CA133:CA146" si="462">IF(AND($D133=$R$15,$E133=$T$8),$J133,0)</f>
        <v>0</v>
      </c>
      <c r="CB133" s="915">
        <f t="shared" ref="CB133:CB146" si="463">IF(AND($D133=$R$15,$E133=$T$9),$J133,0)</f>
        <v>0</v>
      </c>
      <c r="CC133" s="915">
        <f t="shared" ref="CC133:CC146" si="464">IF(AND($D133=$R$15,$E133=$T$10),$J133,0)</f>
        <v>0</v>
      </c>
      <c r="CD133" s="915">
        <f t="shared" ref="CD133:CD146" si="465">IF(AND($D133=$R$15,$E133=$T$11),$J133,0)</f>
        <v>0</v>
      </c>
      <c r="CE133" s="915">
        <f t="shared" ref="CE133:CE146" si="466">IF(AND($D133=$R$15,$E133=$T$12),$J133,0)</f>
        <v>0</v>
      </c>
      <c r="CF133" s="915">
        <f t="shared" ref="CF133:CF146" si="467">IF(AND($D133=$R$15,$E133=$T$13),$J133,0)</f>
        <v>0</v>
      </c>
      <c r="CG133" s="915">
        <f t="shared" ref="CG133:CG146" si="468">IF(AND($D133=$R$15,$E133=$T$14),$J133,0)</f>
        <v>0</v>
      </c>
      <c r="CH133" s="915">
        <f t="shared" ref="CH133:CH146" si="469">IF(AND($D133=$R$15,$E133=$T$15),$J133,0)</f>
        <v>0</v>
      </c>
      <c r="CI133" s="915">
        <f t="shared" si="336"/>
        <v>0</v>
      </c>
      <c r="CJ133" s="915">
        <f t="shared" si="337"/>
        <v>0</v>
      </c>
      <c r="CK133" s="915">
        <f t="shared" si="338"/>
        <v>0</v>
      </c>
      <c r="CL133" s="915">
        <f t="shared" si="339"/>
        <v>0</v>
      </c>
      <c r="CM133" s="915">
        <f t="shared" si="340"/>
        <v>0</v>
      </c>
      <c r="CN133" s="915">
        <f t="shared" si="341"/>
        <v>0</v>
      </c>
      <c r="CO133" s="915">
        <f t="shared" si="342"/>
        <v>0</v>
      </c>
      <c r="CP133" s="915">
        <f t="shared" si="343"/>
        <v>0</v>
      </c>
      <c r="CQ133" s="915">
        <f t="shared" si="370"/>
        <v>0</v>
      </c>
      <c r="CR133" s="915">
        <f t="shared" si="371"/>
        <v>0</v>
      </c>
      <c r="CS133" s="915">
        <f t="shared" si="372"/>
        <v>0</v>
      </c>
      <c r="CT133" s="915">
        <f t="shared" si="373"/>
        <v>0</v>
      </c>
      <c r="CU133" s="915">
        <f t="shared" si="374"/>
        <v>0</v>
      </c>
      <c r="CV133" s="915">
        <f t="shared" si="375"/>
        <v>0</v>
      </c>
      <c r="CW133" s="915">
        <f t="shared" si="376"/>
        <v>0</v>
      </c>
      <c r="CX133" s="915">
        <f t="shared" si="377"/>
        <v>0</v>
      </c>
      <c r="CY133" s="915">
        <f t="shared" si="256"/>
        <v>0</v>
      </c>
      <c r="CZ133" s="915">
        <f t="shared" si="257"/>
        <v>0</v>
      </c>
      <c r="DA133" s="915">
        <f t="shared" si="258"/>
        <v>0</v>
      </c>
      <c r="DB133" s="915">
        <f t="shared" si="259"/>
        <v>0</v>
      </c>
      <c r="DC133" s="915">
        <f t="shared" si="260"/>
        <v>0</v>
      </c>
      <c r="DD133" s="915">
        <f t="shared" si="261"/>
        <v>0</v>
      </c>
      <c r="DE133" s="915">
        <f t="shared" si="262"/>
        <v>0</v>
      </c>
      <c r="DF133" s="915">
        <f t="shared" si="263"/>
        <v>0</v>
      </c>
      <c r="DG133" s="915">
        <f t="shared" si="264"/>
        <v>0</v>
      </c>
      <c r="DH133" s="915">
        <f t="shared" si="265"/>
        <v>0</v>
      </c>
      <c r="DI133" s="915">
        <f t="shared" si="266"/>
        <v>0</v>
      </c>
      <c r="DJ133" s="915">
        <f t="shared" si="267"/>
        <v>0</v>
      </c>
      <c r="DK133" s="915">
        <f t="shared" si="268"/>
        <v>0</v>
      </c>
      <c r="DL133" s="915">
        <f t="shared" si="269"/>
        <v>0</v>
      </c>
      <c r="DM133" s="915">
        <f t="shared" si="270"/>
        <v>0</v>
      </c>
      <c r="DN133" s="915">
        <f t="shared" si="271"/>
        <v>0</v>
      </c>
      <c r="DO133" s="915">
        <f t="shared" si="430"/>
        <v>0</v>
      </c>
      <c r="DP133" s="915">
        <f t="shared" si="431"/>
        <v>0</v>
      </c>
      <c r="DQ133" s="915">
        <f t="shared" si="432"/>
        <v>0</v>
      </c>
      <c r="DR133" s="915">
        <f t="shared" si="433"/>
        <v>0</v>
      </c>
      <c r="DS133" s="915">
        <f t="shared" si="434"/>
        <v>0</v>
      </c>
      <c r="DT133" s="915">
        <f t="shared" si="435"/>
        <v>0</v>
      </c>
      <c r="DU133" s="915">
        <f t="shared" si="436"/>
        <v>0</v>
      </c>
      <c r="DV133" s="915">
        <f t="shared" si="437"/>
        <v>0</v>
      </c>
      <c r="DW133" s="915">
        <f t="shared" si="438"/>
        <v>0</v>
      </c>
      <c r="DX133" s="915">
        <f t="shared" si="439"/>
        <v>0</v>
      </c>
      <c r="DY133" s="915">
        <f t="shared" si="440"/>
        <v>0</v>
      </c>
      <c r="DZ133" s="915">
        <f t="shared" si="441"/>
        <v>0</v>
      </c>
      <c r="EA133" s="915">
        <f t="shared" si="442"/>
        <v>0</v>
      </c>
      <c r="EB133" s="915">
        <f t="shared" si="443"/>
        <v>0</v>
      </c>
      <c r="EC133" s="915">
        <f t="shared" si="444"/>
        <v>0</v>
      </c>
      <c r="ED133" s="915">
        <f t="shared" si="445"/>
        <v>0</v>
      </c>
      <c r="EE133" s="915">
        <f t="shared" si="288"/>
        <v>0</v>
      </c>
      <c r="EF133" s="915">
        <f t="shared" si="289"/>
        <v>0</v>
      </c>
      <c r="EG133" s="915">
        <f t="shared" si="290"/>
        <v>0</v>
      </c>
      <c r="EH133" s="915">
        <f t="shared" si="291"/>
        <v>0</v>
      </c>
      <c r="EI133" s="915">
        <f t="shared" si="292"/>
        <v>0</v>
      </c>
      <c r="EJ133" s="915">
        <f t="shared" si="293"/>
        <v>0</v>
      </c>
      <c r="EK133" s="915">
        <f t="shared" si="294"/>
        <v>0</v>
      </c>
      <c r="EL133" s="915">
        <f t="shared" si="295"/>
        <v>0</v>
      </c>
      <c r="EM133" s="915">
        <f t="shared" si="296"/>
        <v>0</v>
      </c>
      <c r="EN133" s="915">
        <f t="shared" si="297"/>
        <v>0</v>
      </c>
      <c r="EO133" s="915">
        <f t="shared" si="298"/>
        <v>0</v>
      </c>
      <c r="EP133" s="915">
        <f t="shared" si="299"/>
        <v>0</v>
      </c>
      <c r="EQ133" s="915">
        <f t="shared" si="300"/>
        <v>0</v>
      </c>
      <c r="ER133" s="915">
        <f t="shared" si="301"/>
        <v>7.42</v>
      </c>
      <c r="ES133" s="915">
        <f t="shared" si="302"/>
        <v>0</v>
      </c>
      <c r="ET133" s="915">
        <f t="shared" si="303"/>
        <v>0</v>
      </c>
      <c r="EU133" s="915">
        <f t="shared" si="304"/>
        <v>0</v>
      </c>
      <c r="EV133" s="915">
        <f t="shared" si="305"/>
        <v>0</v>
      </c>
      <c r="EW133" s="915">
        <f t="shared" si="306"/>
        <v>0</v>
      </c>
      <c r="EX133" s="915">
        <f t="shared" si="307"/>
        <v>0</v>
      </c>
      <c r="EY133" s="915">
        <f t="shared" si="308"/>
        <v>0</v>
      </c>
      <c r="EZ133" s="915">
        <f t="shared" si="309"/>
        <v>0</v>
      </c>
      <c r="FA133" s="915">
        <f t="shared" si="310"/>
        <v>0</v>
      </c>
      <c r="FB133" s="915">
        <f t="shared" si="311"/>
        <v>0</v>
      </c>
      <c r="FC133" s="915">
        <f t="shared" si="312"/>
        <v>0</v>
      </c>
      <c r="FD133" s="915">
        <f t="shared" si="313"/>
        <v>0</v>
      </c>
      <c r="FE133" s="915">
        <f t="shared" si="314"/>
        <v>0</v>
      </c>
      <c r="FF133" s="915">
        <f t="shared" si="315"/>
        <v>0</v>
      </c>
      <c r="FG133" s="915">
        <f t="shared" si="316"/>
        <v>0</v>
      </c>
      <c r="FH133" s="915">
        <f t="shared" si="317"/>
        <v>0</v>
      </c>
      <c r="FI133" s="915">
        <f t="shared" si="318"/>
        <v>0</v>
      </c>
      <c r="FJ133" s="915">
        <f t="shared" si="319"/>
        <v>0</v>
      </c>
      <c r="FK133" s="915">
        <f t="shared" si="320"/>
        <v>0</v>
      </c>
      <c r="FL133" s="915">
        <f t="shared" si="321"/>
        <v>0</v>
      </c>
      <c r="FM133" s="915">
        <f t="shared" si="322"/>
        <v>0</v>
      </c>
      <c r="FN133" s="915">
        <f t="shared" si="323"/>
        <v>0</v>
      </c>
      <c r="FO133" s="915">
        <f t="shared" si="324"/>
        <v>0</v>
      </c>
      <c r="FP133" s="915">
        <f t="shared" si="325"/>
        <v>0</v>
      </c>
      <c r="FQ133" s="915">
        <f t="shared" si="326"/>
        <v>0</v>
      </c>
      <c r="FR133" s="915">
        <f t="shared" si="327"/>
        <v>0</v>
      </c>
      <c r="FS133" s="915">
        <f t="shared" si="328"/>
        <v>0</v>
      </c>
      <c r="FT133" s="915">
        <f t="shared" si="329"/>
        <v>0</v>
      </c>
      <c r="FU133" s="915">
        <f t="shared" si="330"/>
        <v>0</v>
      </c>
      <c r="FV133" s="915">
        <f t="shared" si="331"/>
        <v>0</v>
      </c>
      <c r="FW133" s="915">
        <f t="shared" si="332"/>
        <v>0</v>
      </c>
      <c r="FX133" s="915">
        <f t="shared" si="333"/>
        <v>0</v>
      </c>
      <c r="FY133" s="915">
        <f t="shared" si="334"/>
        <v>0</v>
      </c>
      <c r="FZ133" s="915">
        <f t="shared" si="335"/>
        <v>0</v>
      </c>
    </row>
    <row r="134" spans="1:182" x14ac:dyDescent="0.2">
      <c r="A134" s="496">
        <v>127</v>
      </c>
      <c r="B134" s="1419"/>
      <c r="C134" s="1433"/>
      <c r="D134" s="264">
        <v>16</v>
      </c>
      <c r="E134" s="264" t="s">
        <v>48</v>
      </c>
      <c r="F134" s="270" t="s">
        <v>2544</v>
      </c>
      <c r="G134" s="270" t="s">
        <v>2542</v>
      </c>
      <c r="H134" s="272">
        <v>7</v>
      </c>
      <c r="I134" s="268">
        <f t="shared" si="404"/>
        <v>0.42</v>
      </c>
      <c r="J134" s="269">
        <f t="shared" si="405"/>
        <v>7.42</v>
      </c>
      <c r="K134" s="225"/>
      <c r="N134" s="951">
        <f>ES6</f>
        <v>7.42</v>
      </c>
      <c r="O134" s="915" t="str">
        <f>"Miscellaneous for "&amp;TabName16</f>
        <v>Miscellaneous for Phase 16</v>
      </c>
      <c r="P134" s="949" t="s">
        <v>2189</v>
      </c>
      <c r="W134" s="915">
        <f t="shared" si="176"/>
        <v>0</v>
      </c>
      <c r="X134" s="915">
        <f t="shared" si="177"/>
        <v>0</v>
      </c>
      <c r="Y134" s="915">
        <f t="shared" si="178"/>
        <v>0</v>
      </c>
      <c r="Z134" s="915">
        <f t="shared" si="179"/>
        <v>0</v>
      </c>
      <c r="AA134" s="915">
        <f t="shared" si="180"/>
        <v>0</v>
      </c>
      <c r="AB134" s="915">
        <f t="shared" si="181"/>
        <v>0</v>
      </c>
      <c r="AC134" s="915">
        <f t="shared" si="182"/>
        <v>0</v>
      </c>
      <c r="AD134" s="915">
        <f t="shared" si="183"/>
        <v>0</v>
      </c>
      <c r="AE134" s="915">
        <f t="shared" si="184"/>
        <v>0</v>
      </c>
      <c r="AF134" s="915">
        <f t="shared" si="185"/>
        <v>0</v>
      </c>
      <c r="AG134" s="915">
        <f t="shared" si="186"/>
        <v>0</v>
      </c>
      <c r="AH134" s="915">
        <f t="shared" si="187"/>
        <v>0</v>
      </c>
      <c r="AI134" s="915">
        <f t="shared" si="188"/>
        <v>0</v>
      </c>
      <c r="AJ134" s="915">
        <f t="shared" si="189"/>
        <v>0</v>
      </c>
      <c r="AK134" s="915">
        <f t="shared" si="190"/>
        <v>0</v>
      </c>
      <c r="AL134" s="915">
        <f t="shared" si="191"/>
        <v>0</v>
      </c>
      <c r="AM134" s="915">
        <f t="shared" si="192"/>
        <v>0</v>
      </c>
      <c r="AN134" s="915">
        <f t="shared" si="193"/>
        <v>0</v>
      </c>
      <c r="AO134" s="915">
        <f t="shared" si="194"/>
        <v>0</v>
      </c>
      <c r="AP134" s="915">
        <f t="shared" si="195"/>
        <v>0</v>
      </c>
      <c r="AQ134" s="915">
        <f t="shared" si="196"/>
        <v>0</v>
      </c>
      <c r="AR134" s="915">
        <f t="shared" si="197"/>
        <v>0</v>
      </c>
      <c r="AS134" s="915">
        <f t="shared" si="198"/>
        <v>0</v>
      </c>
      <c r="AT134" s="915">
        <f t="shared" si="199"/>
        <v>0</v>
      </c>
      <c r="AU134" s="915">
        <f t="shared" si="200"/>
        <v>0</v>
      </c>
      <c r="AV134" s="915">
        <f t="shared" si="201"/>
        <v>0</v>
      </c>
      <c r="AW134" s="915">
        <f t="shared" si="202"/>
        <v>0</v>
      </c>
      <c r="AX134" s="915">
        <f t="shared" si="203"/>
        <v>0</v>
      </c>
      <c r="AY134" s="915">
        <f t="shared" si="204"/>
        <v>0</v>
      </c>
      <c r="AZ134" s="915">
        <f t="shared" si="205"/>
        <v>0</v>
      </c>
      <c r="BA134" s="915">
        <f t="shared" si="206"/>
        <v>0</v>
      </c>
      <c r="BB134" s="915">
        <f t="shared" si="207"/>
        <v>0</v>
      </c>
      <c r="BC134" s="915">
        <f t="shared" si="446"/>
        <v>0</v>
      </c>
      <c r="BD134" s="915">
        <f t="shared" si="447"/>
        <v>0</v>
      </c>
      <c r="BE134" s="915">
        <f t="shared" si="448"/>
        <v>0</v>
      </c>
      <c r="BF134" s="915">
        <f t="shared" si="449"/>
        <v>0</v>
      </c>
      <c r="BG134" s="915">
        <f t="shared" si="450"/>
        <v>0</v>
      </c>
      <c r="BH134" s="915">
        <f t="shared" si="451"/>
        <v>0</v>
      </c>
      <c r="BI134" s="915">
        <f t="shared" si="452"/>
        <v>0</v>
      </c>
      <c r="BJ134" s="915">
        <f t="shared" si="453"/>
        <v>0</v>
      </c>
      <c r="BK134" s="915">
        <f t="shared" si="216"/>
        <v>0</v>
      </c>
      <c r="BL134" s="915">
        <f t="shared" si="217"/>
        <v>0</v>
      </c>
      <c r="BM134" s="915">
        <f t="shared" si="218"/>
        <v>0</v>
      </c>
      <c r="BN134" s="915">
        <f t="shared" si="219"/>
        <v>0</v>
      </c>
      <c r="BO134" s="915">
        <f t="shared" si="220"/>
        <v>0</v>
      </c>
      <c r="BP134" s="915">
        <f t="shared" si="221"/>
        <v>0</v>
      </c>
      <c r="BQ134" s="915">
        <f t="shared" si="222"/>
        <v>0</v>
      </c>
      <c r="BR134" s="915">
        <f t="shared" si="223"/>
        <v>0</v>
      </c>
      <c r="BS134" s="915">
        <f t="shared" si="454"/>
        <v>0</v>
      </c>
      <c r="BT134" s="915">
        <f t="shared" si="455"/>
        <v>0</v>
      </c>
      <c r="BU134" s="915">
        <f t="shared" si="456"/>
        <v>0</v>
      </c>
      <c r="BV134" s="915">
        <f t="shared" si="457"/>
        <v>0</v>
      </c>
      <c r="BW134" s="915">
        <f t="shared" si="458"/>
        <v>0</v>
      </c>
      <c r="BX134" s="915">
        <f t="shared" si="459"/>
        <v>0</v>
      </c>
      <c r="BY134" s="915">
        <f t="shared" si="460"/>
        <v>0</v>
      </c>
      <c r="BZ134" s="915">
        <f t="shared" si="461"/>
        <v>0</v>
      </c>
      <c r="CA134" s="915">
        <f t="shared" si="462"/>
        <v>0</v>
      </c>
      <c r="CB134" s="915">
        <f t="shared" si="463"/>
        <v>0</v>
      </c>
      <c r="CC134" s="915">
        <f t="shared" si="464"/>
        <v>0</v>
      </c>
      <c r="CD134" s="915">
        <f t="shared" si="465"/>
        <v>0</v>
      </c>
      <c r="CE134" s="915">
        <f t="shared" si="466"/>
        <v>0</v>
      </c>
      <c r="CF134" s="915">
        <f t="shared" si="467"/>
        <v>0</v>
      </c>
      <c r="CG134" s="915">
        <f t="shared" si="468"/>
        <v>0</v>
      </c>
      <c r="CH134" s="915">
        <f t="shared" si="469"/>
        <v>0</v>
      </c>
      <c r="CI134" s="915">
        <f t="shared" si="336"/>
        <v>0</v>
      </c>
      <c r="CJ134" s="915">
        <f t="shared" si="337"/>
        <v>0</v>
      </c>
      <c r="CK134" s="915">
        <f t="shared" si="338"/>
        <v>0</v>
      </c>
      <c r="CL134" s="915">
        <f t="shared" si="339"/>
        <v>0</v>
      </c>
      <c r="CM134" s="915">
        <f t="shared" si="340"/>
        <v>0</v>
      </c>
      <c r="CN134" s="915">
        <f t="shared" si="341"/>
        <v>0</v>
      </c>
      <c r="CO134" s="915">
        <f t="shared" si="342"/>
        <v>0</v>
      </c>
      <c r="CP134" s="915">
        <f t="shared" si="343"/>
        <v>0</v>
      </c>
      <c r="CQ134" s="915">
        <f t="shared" si="370"/>
        <v>0</v>
      </c>
      <c r="CR134" s="915">
        <f t="shared" si="371"/>
        <v>0</v>
      </c>
      <c r="CS134" s="915">
        <f t="shared" si="372"/>
        <v>0</v>
      </c>
      <c r="CT134" s="915">
        <f t="shared" si="373"/>
        <v>0</v>
      </c>
      <c r="CU134" s="915">
        <f t="shared" si="374"/>
        <v>0</v>
      </c>
      <c r="CV134" s="915">
        <f t="shared" si="375"/>
        <v>0</v>
      </c>
      <c r="CW134" s="915">
        <f t="shared" si="376"/>
        <v>0</v>
      </c>
      <c r="CX134" s="915">
        <f t="shared" si="377"/>
        <v>0</v>
      </c>
      <c r="CY134" s="915">
        <f t="shared" si="256"/>
        <v>0</v>
      </c>
      <c r="CZ134" s="915">
        <f t="shared" si="257"/>
        <v>0</v>
      </c>
      <c r="DA134" s="915">
        <f t="shared" si="258"/>
        <v>0</v>
      </c>
      <c r="DB134" s="915">
        <f t="shared" si="259"/>
        <v>0</v>
      </c>
      <c r="DC134" s="915">
        <f t="shared" si="260"/>
        <v>0</v>
      </c>
      <c r="DD134" s="915">
        <f t="shared" si="261"/>
        <v>0</v>
      </c>
      <c r="DE134" s="915">
        <f t="shared" si="262"/>
        <v>0</v>
      </c>
      <c r="DF134" s="915">
        <f t="shared" si="263"/>
        <v>0</v>
      </c>
      <c r="DG134" s="915">
        <f t="shared" si="264"/>
        <v>0</v>
      </c>
      <c r="DH134" s="915">
        <f t="shared" si="265"/>
        <v>0</v>
      </c>
      <c r="DI134" s="915">
        <f t="shared" si="266"/>
        <v>0</v>
      </c>
      <c r="DJ134" s="915">
        <f t="shared" si="267"/>
        <v>0</v>
      </c>
      <c r="DK134" s="915">
        <f t="shared" si="268"/>
        <v>0</v>
      </c>
      <c r="DL134" s="915">
        <f t="shared" si="269"/>
        <v>0</v>
      </c>
      <c r="DM134" s="915">
        <f t="shared" si="270"/>
        <v>0</v>
      </c>
      <c r="DN134" s="915">
        <f t="shared" si="271"/>
        <v>0</v>
      </c>
      <c r="DO134" s="915">
        <f t="shared" si="430"/>
        <v>0</v>
      </c>
      <c r="DP134" s="915">
        <f t="shared" si="431"/>
        <v>0</v>
      </c>
      <c r="DQ134" s="915">
        <f t="shared" si="432"/>
        <v>0</v>
      </c>
      <c r="DR134" s="915">
        <f t="shared" si="433"/>
        <v>0</v>
      </c>
      <c r="DS134" s="915">
        <f t="shared" si="434"/>
        <v>0</v>
      </c>
      <c r="DT134" s="915">
        <f t="shared" si="435"/>
        <v>0</v>
      </c>
      <c r="DU134" s="915">
        <f t="shared" si="436"/>
        <v>0</v>
      </c>
      <c r="DV134" s="915">
        <f t="shared" si="437"/>
        <v>0</v>
      </c>
      <c r="DW134" s="915">
        <f t="shared" si="438"/>
        <v>0</v>
      </c>
      <c r="DX134" s="915">
        <f t="shared" si="439"/>
        <v>0</v>
      </c>
      <c r="DY134" s="915">
        <f t="shared" si="440"/>
        <v>0</v>
      </c>
      <c r="DZ134" s="915">
        <f t="shared" si="441"/>
        <v>0</v>
      </c>
      <c r="EA134" s="915">
        <f t="shared" si="442"/>
        <v>0</v>
      </c>
      <c r="EB134" s="915">
        <f t="shared" si="443"/>
        <v>0</v>
      </c>
      <c r="EC134" s="915">
        <f t="shared" si="444"/>
        <v>0</v>
      </c>
      <c r="ED134" s="915">
        <f t="shared" si="445"/>
        <v>0</v>
      </c>
      <c r="EE134" s="915">
        <f>IF(AND($D134=$R$22,$E134=$T$8),$J134,0)</f>
        <v>0</v>
      </c>
      <c r="EF134" s="915">
        <f>IF(AND($D134=$R$22,$E134=$T$9),$J134,0)</f>
        <v>0</v>
      </c>
      <c r="EG134" s="915">
        <f>IF(AND($D134=$R$22,$E134=$T$10),$J134,0)</f>
        <v>0</v>
      </c>
      <c r="EH134" s="915">
        <f>IF(AND($D134=$R$22,$E134=$T$11),$J134,0)</f>
        <v>0</v>
      </c>
      <c r="EI134" s="915">
        <f>IF(AND($D134=$R$22,$E134=$T$12),$J134,0)</f>
        <v>0</v>
      </c>
      <c r="EJ134" s="915">
        <f>IF(AND($D134=$R$22,$E134=$T$13),$J134,0)</f>
        <v>0</v>
      </c>
      <c r="EK134" s="915">
        <f>IF(AND($D134=$R$22,$E134=$T$14),$J134,0)</f>
        <v>0</v>
      </c>
      <c r="EL134" s="915">
        <f>IF(AND($D134=$R$22,$E134=$T$15),$J134,0)</f>
        <v>0</v>
      </c>
      <c r="EM134" s="915">
        <f>IF(AND($D134=$R$23,$E134=$T$8),$J134,0)</f>
        <v>0</v>
      </c>
      <c r="EN134" s="915">
        <f>IF(AND($D134=$R$23,$E134=$T$9),$J134,0)</f>
        <v>0</v>
      </c>
      <c r="EO134" s="915">
        <f>IF(AND($D134=$R$23,$E134=$T$10),$J134,0)</f>
        <v>0</v>
      </c>
      <c r="EP134" s="915">
        <f>IF(AND($D134=$R$23,$E134=$T$11),$J134,0)</f>
        <v>0</v>
      </c>
      <c r="EQ134" s="915">
        <f>IF(AND($D134=$R$23,$E134=$T$12),$J134,0)</f>
        <v>0</v>
      </c>
      <c r="ER134" s="915">
        <f>IF(AND($D134=$R$23,$E134=$T$13),$J134,0)</f>
        <v>0</v>
      </c>
      <c r="ES134" s="915">
        <f>IF(AND($D134=$R$23,$E134=$T$14),$J134,0)</f>
        <v>7.42</v>
      </c>
      <c r="ET134" s="915">
        <f>IF(AND($D134=$R$23,$E134=$T$15),$J134,0)</f>
        <v>0</v>
      </c>
      <c r="EU134" s="915">
        <f t="shared" si="304"/>
        <v>0</v>
      </c>
      <c r="EV134" s="915">
        <f t="shared" si="305"/>
        <v>0</v>
      </c>
      <c r="EW134" s="915">
        <f t="shared" si="306"/>
        <v>0</v>
      </c>
      <c r="EX134" s="915">
        <f t="shared" si="307"/>
        <v>0</v>
      </c>
      <c r="EY134" s="915">
        <f t="shared" si="308"/>
        <v>0</v>
      </c>
      <c r="EZ134" s="915">
        <f t="shared" si="309"/>
        <v>0</v>
      </c>
      <c r="FA134" s="915">
        <f t="shared" si="310"/>
        <v>0</v>
      </c>
      <c r="FB134" s="915">
        <f t="shared" si="311"/>
        <v>0</v>
      </c>
      <c r="FC134" s="915">
        <f t="shared" si="312"/>
        <v>0</v>
      </c>
      <c r="FD134" s="915">
        <f t="shared" si="313"/>
        <v>0</v>
      </c>
      <c r="FE134" s="915">
        <f t="shared" si="314"/>
        <v>0</v>
      </c>
      <c r="FF134" s="915">
        <f t="shared" si="315"/>
        <v>0</v>
      </c>
      <c r="FG134" s="915">
        <f t="shared" si="316"/>
        <v>0</v>
      </c>
      <c r="FH134" s="915">
        <f t="shared" si="317"/>
        <v>0</v>
      </c>
      <c r="FI134" s="915">
        <f t="shared" si="318"/>
        <v>0</v>
      </c>
      <c r="FJ134" s="915">
        <f t="shared" si="319"/>
        <v>0</v>
      </c>
      <c r="FK134" s="915">
        <f t="shared" si="320"/>
        <v>0</v>
      </c>
      <c r="FL134" s="915">
        <f t="shared" si="321"/>
        <v>0</v>
      </c>
      <c r="FM134" s="915">
        <f t="shared" si="322"/>
        <v>0</v>
      </c>
      <c r="FN134" s="915">
        <f t="shared" si="323"/>
        <v>0</v>
      </c>
      <c r="FO134" s="915">
        <f t="shared" si="324"/>
        <v>0</v>
      </c>
      <c r="FP134" s="915">
        <f t="shared" si="325"/>
        <v>0</v>
      </c>
      <c r="FQ134" s="915">
        <f t="shared" si="326"/>
        <v>0</v>
      </c>
      <c r="FR134" s="915">
        <f t="shared" si="327"/>
        <v>0</v>
      </c>
      <c r="FS134" s="915">
        <f t="shared" si="328"/>
        <v>0</v>
      </c>
      <c r="FT134" s="915">
        <f t="shared" si="329"/>
        <v>0</v>
      </c>
      <c r="FU134" s="915">
        <f t="shared" si="330"/>
        <v>0</v>
      </c>
      <c r="FV134" s="915">
        <f t="shared" si="331"/>
        <v>0</v>
      </c>
      <c r="FW134" s="915">
        <f t="shared" si="332"/>
        <v>0</v>
      </c>
      <c r="FX134" s="915">
        <f t="shared" si="333"/>
        <v>0</v>
      </c>
      <c r="FY134" s="915">
        <f t="shared" si="334"/>
        <v>0</v>
      </c>
      <c r="FZ134" s="915">
        <f t="shared" si="335"/>
        <v>0</v>
      </c>
    </row>
    <row r="135" spans="1:182" x14ac:dyDescent="0.2">
      <c r="A135" s="497">
        <v>128</v>
      </c>
      <c r="B135" s="1423"/>
      <c r="C135" s="1424"/>
      <c r="D135" s="138">
        <v>16</v>
      </c>
      <c r="E135" s="138" t="s">
        <v>27</v>
      </c>
      <c r="F135" s="139" t="s">
        <v>2544</v>
      </c>
      <c r="G135" s="139" t="s">
        <v>2542</v>
      </c>
      <c r="H135" s="100">
        <v>7</v>
      </c>
      <c r="I135" s="119">
        <f t="shared" si="404"/>
        <v>0.42</v>
      </c>
      <c r="J135" s="90">
        <f t="shared" si="405"/>
        <v>7.42</v>
      </c>
      <c r="K135" s="225"/>
      <c r="N135" s="951">
        <f>ET6</f>
        <v>7.42</v>
      </c>
      <c r="O135" s="879" t="str">
        <f>"Contractor Labor for " &amp; TabName16</f>
        <v>Contractor Labor for Phase 16</v>
      </c>
      <c r="P135" s="950" t="s">
        <v>2190</v>
      </c>
      <c r="W135" s="915">
        <f t="shared" si="176"/>
        <v>0</v>
      </c>
      <c r="X135" s="915">
        <f t="shared" si="177"/>
        <v>0</v>
      </c>
      <c r="Y135" s="915">
        <f t="shared" si="178"/>
        <v>0</v>
      </c>
      <c r="Z135" s="915">
        <f t="shared" si="179"/>
        <v>0</v>
      </c>
      <c r="AA135" s="915">
        <f t="shared" si="180"/>
        <v>0</v>
      </c>
      <c r="AB135" s="915">
        <f t="shared" si="181"/>
        <v>0</v>
      </c>
      <c r="AC135" s="915">
        <f t="shared" si="182"/>
        <v>0</v>
      </c>
      <c r="AD135" s="915">
        <f t="shared" si="183"/>
        <v>0</v>
      </c>
      <c r="AE135" s="915">
        <f t="shared" si="184"/>
        <v>0</v>
      </c>
      <c r="AF135" s="915">
        <f t="shared" si="185"/>
        <v>0</v>
      </c>
      <c r="AG135" s="915">
        <f t="shared" si="186"/>
        <v>0</v>
      </c>
      <c r="AH135" s="915">
        <f t="shared" si="187"/>
        <v>0</v>
      </c>
      <c r="AI135" s="915">
        <f t="shared" si="188"/>
        <v>0</v>
      </c>
      <c r="AJ135" s="915">
        <f t="shared" si="189"/>
        <v>0</v>
      </c>
      <c r="AK135" s="915">
        <f t="shared" si="190"/>
        <v>0</v>
      </c>
      <c r="AL135" s="915">
        <f t="shared" si="191"/>
        <v>0</v>
      </c>
      <c r="AM135" s="915">
        <f t="shared" si="192"/>
        <v>0</v>
      </c>
      <c r="AN135" s="915">
        <f t="shared" si="193"/>
        <v>0</v>
      </c>
      <c r="AO135" s="915">
        <f t="shared" si="194"/>
        <v>0</v>
      </c>
      <c r="AP135" s="915">
        <f t="shared" si="195"/>
        <v>0</v>
      </c>
      <c r="AQ135" s="915">
        <f t="shared" si="196"/>
        <v>0</v>
      </c>
      <c r="AR135" s="915">
        <f t="shared" si="197"/>
        <v>0</v>
      </c>
      <c r="AS135" s="915">
        <f t="shared" si="198"/>
        <v>0</v>
      </c>
      <c r="AT135" s="915">
        <f t="shared" si="199"/>
        <v>0</v>
      </c>
      <c r="AU135" s="915">
        <f t="shared" si="200"/>
        <v>0</v>
      </c>
      <c r="AV135" s="915">
        <f t="shared" si="201"/>
        <v>0</v>
      </c>
      <c r="AW135" s="915">
        <f t="shared" si="202"/>
        <v>0</v>
      </c>
      <c r="AX135" s="915">
        <f t="shared" si="203"/>
        <v>0</v>
      </c>
      <c r="AY135" s="915">
        <f t="shared" si="204"/>
        <v>0</v>
      </c>
      <c r="AZ135" s="915">
        <f t="shared" si="205"/>
        <v>0</v>
      </c>
      <c r="BA135" s="915">
        <f t="shared" si="206"/>
        <v>0</v>
      </c>
      <c r="BB135" s="915">
        <f t="shared" si="207"/>
        <v>0</v>
      </c>
      <c r="BC135" s="915">
        <f>IF(AND($D135=$R$12,$E135=$T$8),$J135,0)</f>
        <v>0</v>
      </c>
      <c r="BD135" s="915">
        <f>IF(AND($D135=$R$12,$E135=$T$9),$J135,0)</f>
        <v>0</v>
      </c>
      <c r="BE135" s="915">
        <f>IF(AND($D135=$R$12,$E135=$T$10),$J135,0)</f>
        <v>0</v>
      </c>
      <c r="BF135" s="915">
        <f>IF(AND($D135=$R$12,$E135=$T$11),$J135,0)</f>
        <v>0</v>
      </c>
      <c r="BG135" s="915">
        <f>IF(AND($D135=$R$12,$E135=$T$12),$J135,0)</f>
        <v>0</v>
      </c>
      <c r="BH135" s="915">
        <f>IF(AND($D135=$R$12,$E135=$T$13),$J135,0)</f>
        <v>0</v>
      </c>
      <c r="BI135" s="915">
        <f>IF(AND($D135=$R$12,$E135=$T$14),$J135,0)</f>
        <v>0</v>
      </c>
      <c r="BJ135" s="915">
        <f>IF(AND($D135=$R$12,$E135=$T$15),$J135,0)</f>
        <v>0</v>
      </c>
      <c r="BK135" s="915">
        <f t="shared" si="216"/>
        <v>0</v>
      </c>
      <c r="BL135" s="915">
        <f t="shared" si="217"/>
        <v>0</v>
      </c>
      <c r="BM135" s="915">
        <f t="shared" si="218"/>
        <v>0</v>
      </c>
      <c r="BN135" s="915">
        <f t="shared" si="219"/>
        <v>0</v>
      </c>
      <c r="BO135" s="915">
        <f t="shared" si="220"/>
        <v>0</v>
      </c>
      <c r="BP135" s="915">
        <f t="shared" si="221"/>
        <v>0</v>
      </c>
      <c r="BQ135" s="915">
        <f t="shared" si="222"/>
        <v>0</v>
      </c>
      <c r="BR135" s="915">
        <f t="shared" si="223"/>
        <v>0</v>
      </c>
      <c r="BS135" s="915">
        <f t="shared" si="454"/>
        <v>0</v>
      </c>
      <c r="BT135" s="915">
        <f t="shared" si="455"/>
        <v>0</v>
      </c>
      <c r="BU135" s="915">
        <f t="shared" si="456"/>
        <v>0</v>
      </c>
      <c r="BV135" s="915">
        <f t="shared" si="457"/>
        <v>0</v>
      </c>
      <c r="BW135" s="915">
        <f t="shared" si="458"/>
        <v>0</v>
      </c>
      <c r="BX135" s="915">
        <f t="shared" si="459"/>
        <v>0</v>
      </c>
      <c r="BY135" s="915">
        <f t="shared" si="460"/>
        <v>0</v>
      </c>
      <c r="BZ135" s="915">
        <f t="shared" si="461"/>
        <v>0</v>
      </c>
      <c r="CA135" s="915">
        <f t="shared" si="462"/>
        <v>0</v>
      </c>
      <c r="CB135" s="915">
        <f t="shared" si="463"/>
        <v>0</v>
      </c>
      <c r="CC135" s="915">
        <f t="shared" si="464"/>
        <v>0</v>
      </c>
      <c r="CD135" s="915">
        <f t="shared" si="465"/>
        <v>0</v>
      </c>
      <c r="CE135" s="915">
        <f t="shared" si="466"/>
        <v>0</v>
      </c>
      <c r="CF135" s="915">
        <f t="shared" si="467"/>
        <v>0</v>
      </c>
      <c r="CG135" s="915">
        <f t="shared" si="468"/>
        <v>0</v>
      </c>
      <c r="CH135" s="915">
        <f t="shared" si="469"/>
        <v>0</v>
      </c>
      <c r="CI135" s="915">
        <f t="shared" si="336"/>
        <v>0</v>
      </c>
      <c r="CJ135" s="915">
        <f t="shared" si="337"/>
        <v>0</v>
      </c>
      <c r="CK135" s="915">
        <f t="shared" si="338"/>
        <v>0</v>
      </c>
      <c r="CL135" s="915">
        <f t="shared" si="339"/>
        <v>0</v>
      </c>
      <c r="CM135" s="915">
        <f t="shared" si="340"/>
        <v>0</v>
      </c>
      <c r="CN135" s="915">
        <f t="shared" si="341"/>
        <v>0</v>
      </c>
      <c r="CO135" s="915">
        <f t="shared" si="342"/>
        <v>0</v>
      </c>
      <c r="CP135" s="915">
        <f t="shared" si="343"/>
        <v>0</v>
      </c>
      <c r="CQ135" s="915">
        <f t="shared" si="370"/>
        <v>0</v>
      </c>
      <c r="CR135" s="915">
        <f t="shared" si="371"/>
        <v>0</v>
      </c>
      <c r="CS135" s="915">
        <f t="shared" si="372"/>
        <v>0</v>
      </c>
      <c r="CT135" s="915">
        <f t="shared" si="373"/>
        <v>0</v>
      </c>
      <c r="CU135" s="915">
        <f t="shared" si="374"/>
        <v>0</v>
      </c>
      <c r="CV135" s="915">
        <f t="shared" si="375"/>
        <v>0</v>
      </c>
      <c r="CW135" s="915">
        <f t="shared" si="376"/>
        <v>0</v>
      </c>
      <c r="CX135" s="915">
        <f t="shared" si="377"/>
        <v>0</v>
      </c>
      <c r="CY135" s="915">
        <f t="shared" si="256"/>
        <v>0</v>
      </c>
      <c r="CZ135" s="915">
        <f t="shared" si="257"/>
        <v>0</v>
      </c>
      <c r="DA135" s="915">
        <f t="shared" si="258"/>
        <v>0</v>
      </c>
      <c r="DB135" s="915">
        <f t="shared" si="259"/>
        <v>0</v>
      </c>
      <c r="DC135" s="915">
        <f t="shared" si="260"/>
        <v>0</v>
      </c>
      <c r="DD135" s="915">
        <f t="shared" si="261"/>
        <v>0</v>
      </c>
      <c r="DE135" s="915">
        <f t="shared" si="262"/>
        <v>0</v>
      </c>
      <c r="DF135" s="915">
        <f t="shared" si="263"/>
        <v>0</v>
      </c>
      <c r="DG135" s="915">
        <f>IF(AND($D135=$R$19,$E135=$T$8),$J135,0)</f>
        <v>0</v>
      </c>
      <c r="DH135" s="915">
        <f>IF(AND($D135=$R$19,$E135=$T$9),$J135,0)</f>
        <v>0</v>
      </c>
      <c r="DI135" s="915">
        <f>IF(AND($D135=$R$19,$E135=$T$10),$J135,0)</f>
        <v>0</v>
      </c>
      <c r="DJ135" s="915">
        <f>IF(AND($D135=$R$19,$E135=$T$11),$J135,0)</f>
        <v>0</v>
      </c>
      <c r="DK135" s="915">
        <f>IF(AND($D135=$R$19,$E135=$T$12),$J135,0)</f>
        <v>0</v>
      </c>
      <c r="DL135" s="915">
        <f>IF(AND($D135=$R$19,$E135=$T$13),$J135,0)</f>
        <v>0</v>
      </c>
      <c r="DM135" s="915">
        <f>IF(AND($D135=$R$19,$E135=$T$14),$J135,0)</f>
        <v>0</v>
      </c>
      <c r="DN135" s="915">
        <f>IF(AND($D135=$R$19,$E135=$T$15),$J135,0)</f>
        <v>0</v>
      </c>
      <c r="DO135" s="915">
        <f t="shared" si="430"/>
        <v>0</v>
      </c>
      <c r="DP135" s="915">
        <f t="shared" si="431"/>
        <v>0</v>
      </c>
      <c r="DQ135" s="915">
        <f t="shared" si="432"/>
        <v>0</v>
      </c>
      <c r="DR135" s="915">
        <f t="shared" si="433"/>
        <v>0</v>
      </c>
      <c r="DS135" s="915">
        <f t="shared" si="434"/>
        <v>0</v>
      </c>
      <c r="DT135" s="915">
        <f t="shared" si="435"/>
        <v>0</v>
      </c>
      <c r="DU135" s="915">
        <f t="shared" si="436"/>
        <v>0</v>
      </c>
      <c r="DV135" s="915">
        <f t="shared" si="437"/>
        <v>0</v>
      </c>
      <c r="DW135" s="915">
        <f t="shared" si="438"/>
        <v>0</v>
      </c>
      <c r="DX135" s="915">
        <f t="shared" si="439"/>
        <v>0</v>
      </c>
      <c r="DY135" s="915">
        <f t="shared" si="440"/>
        <v>0</v>
      </c>
      <c r="DZ135" s="915">
        <f t="shared" si="441"/>
        <v>0</v>
      </c>
      <c r="EA135" s="915">
        <f t="shared" si="442"/>
        <v>0</v>
      </c>
      <c r="EB135" s="915">
        <f t="shared" si="443"/>
        <v>0</v>
      </c>
      <c r="EC135" s="915">
        <f t="shared" si="444"/>
        <v>0</v>
      </c>
      <c r="ED135" s="915">
        <f t="shared" si="445"/>
        <v>0</v>
      </c>
      <c r="EE135" s="915">
        <f t="shared" ref="EE135:EE166" si="470">IF(AND($D135=$R$22,$E135=$T$8),$J135,0)</f>
        <v>0</v>
      </c>
      <c r="EF135" s="915">
        <f t="shared" ref="EF135:EF166" si="471">IF(AND($D135=$R$22,$E135=$T$9),$J135,0)</f>
        <v>0</v>
      </c>
      <c r="EG135" s="915">
        <f t="shared" ref="EG135:EG166" si="472">IF(AND($D135=$R$22,$E135=$T$10),$J135,0)</f>
        <v>0</v>
      </c>
      <c r="EH135" s="915">
        <f t="shared" ref="EH135:EH166" si="473">IF(AND($D135=$R$22,$E135=$T$11),$J135,0)</f>
        <v>0</v>
      </c>
      <c r="EI135" s="915">
        <f t="shared" ref="EI135:EI166" si="474">IF(AND($D135=$R$22,$E135=$T$12),$J135,0)</f>
        <v>0</v>
      </c>
      <c r="EJ135" s="915">
        <f t="shared" ref="EJ135:EJ166" si="475">IF(AND($D135=$R$22,$E135=$T$13),$J135,0)</f>
        <v>0</v>
      </c>
      <c r="EK135" s="915">
        <f t="shared" ref="EK135:EK166" si="476">IF(AND($D135=$R$22,$E135=$T$14),$J135,0)</f>
        <v>0</v>
      </c>
      <c r="EL135" s="915">
        <f t="shared" ref="EL135:EL166" si="477">IF(AND($D135=$R$22,$E135=$T$15),$J135,0)</f>
        <v>0</v>
      </c>
      <c r="EM135" s="915">
        <f t="shared" ref="EM135:EM166" si="478">IF(AND($D135=$R$23,$E135=$T$8),$J135,0)</f>
        <v>0</v>
      </c>
      <c r="EN135" s="915">
        <f t="shared" ref="EN135:EN166" si="479">IF(AND($D135=$R$23,$E135=$T$9),$J135,0)</f>
        <v>0</v>
      </c>
      <c r="EO135" s="915">
        <f t="shared" ref="EO135:EO166" si="480">IF(AND($D135=$R$23,$E135=$T$10),$J135,0)</f>
        <v>0</v>
      </c>
      <c r="EP135" s="915">
        <f t="shared" ref="EP135:EP166" si="481">IF(AND($D135=$R$23,$E135=$T$11),$J135,0)</f>
        <v>0</v>
      </c>
      <c r="EQ135" s="915">
        <f t="shared" ref="EQ135:EQ166" si="482">IF(AND($D135=$R$23,$E135=$T$12),$J135,0)</f>
        <v>0</v>
      </c>
      <c r="ER135" s="915">
        <f t="shared" ref="ER135:ER166" si="483">IF(AND($D135=$R$23,$E135=$T$13),$J135,0)</f>
        <v>0</v>
      </c>
      <c r="ES135" s="915">
        <f t="shared" ref="ES135:ES166" si="484">IF(AND($D135=$R$23,$E135=$T$14),$J135,0)</f>
        <v>0</v>
      </c>
      <c r="ET135" s="915">
        <f t="shared" ref="ET135:ET166" si="485">IF(AND($D135=$R$23,$E135=$T$15),$J135,0)</f>
        <v>7.42</v>
      </c>
      <c r="EU135" s="915">
        <f t="shared" si="304"/>
        <v>0</v>
      </c>
      <c r="EV135" s="915">
        <f t="shared" si="305"/>
        <v>0</v>
      </c>
      <c r="EW135" s="915">
        <f t="shared" si="306"/>
        <v>0</v>
      </c>
      <c r="EX135" s="915">
        <f t="shared" si="307"/>
        <v>0</v>
      </c>
      <c r="EY135" s="915">
        <f t="shared" si="308"/>
        <v>0</v>
      </c>
      <c r="EZ135" s="915">
        <f t="shared" si="309"/>
        <v>0</v>
      </c>
      <c r="FA135" s="915">
        <f t="shared" si="310"/>
        <v>0</v>
      </c>
      <c r="FB135" s="915">
        <f t="shared" si="311"/>
        <v>0</v>
      </c>
      <c r="FC135" s="915">
        <f t="shared" si="312"/>
        <v>0</v>
      </c>
      <c r="FD135" s="915">
        <f t="shared" si="313"/>
        <v>0</v>
      </c>
      <c r="FE135" s="915">
        <f t="shared" si="314"/>
        <v>0</v>
      </c>
      <c r="FF135" s="915">
        <f t="shared" si="315"/>
        <v>0</v>
      </c>
      <c r="FG135" s="915">
        <f t="shared" si="316"/>
        <v>0</v>
      </c>
      <c r="FH135" s="915">
        <f t="shared" si="317"/>
        <v>0</v>
      </c>
      <c r="FI135" s="915">
        <f t="shared" si="318"/>
        <v>0</v>
      </c>
      <c r="FJ135" s="915">
        <f t="shared" si="319"/>
        <v>0</v>
      </c>
      <c r="FK135" s="915">
        <f t="shared" si="320"/>
        <v>0</v>
      </c>
      <c r="FL135" s="915">
        <f t="shared" si="321"/>
        <v>0</v>
      </c>
      <c r="FM135" s="915">
        <f t="shared" si="322"/>
        <v>0</v>
      </c>
      <c r="FN135" s="915">
        <f t="shared" si="323"/>
        <v>0</v>
      </c>
      <c r="FO135" s="915">
        <f t="shared" si="324"/>
        <v>0</v>
      </c>
      <c r="FP135" s="915">
        <f t="shared" si="325"/>
        <v>0</v>
      </c>
      <c r="FQ135" s="915">
        <f t="shared" si="326"/>
        <v>0</v>
      </c>
      <c r="FR135" s="915">
        <f t="shared" si="327"/>
        <v>0</v>
      </c>
      <c r="FS135" s="915">
        <f t="shared" si="328"/>
        <v>0</v>
      </c>
      <c r="FT135" s="915">
        <f t="shared" si="329"/>
        <v>0</v>
      </c>
      <c r="FU135" s="915">
        <f t="shared" si="330"/>
        <v>0</v>
      </c>
      <c r="FV135" s="915">
        <f t="shared" si="331"/>
        <v>0</v>
      </c>
      <c r="FW135" s="915">
        <f t="shared" si="332"/>
        <v>0</v>
      </c>
      <c r="FX135" s="915">
        <f t="shared" si="333"/>
        <v>0</v>
      </c>
      <c r="FY135" s="915">
        <f t="shared" si="334"/>
        <v>0</v>
      </c>
      <c r="FZ135" s="915">
        <f t="shared" si="335"/>
        <v>0</v>
      </c>
    </row>
    <row r="136" spans="1:182" x14ac:dyDescent="0.2">
      <c r="A136" s="496">
        <v>129</v>
      </c>
      <c r="B136" s="1419"/>
      <c r="C136" s="1433"/>
      <c r="D136" s="264">
        <v>17</v>
      </c>
      <c r="E136" s="264" t="s">
        <v>193</v>
      </c>
      <c r="F136" s="270" t="s">
        <v>2544</v>
      </c>
      <c r="G136" s="270" t="s">
        <v>2542</v>
      </c>
      <c r="H136" s="272">
        <v>7</v>
      </c>
      <c r="I136" s="268">
        <f t="shared" si="404"/>
        <v>0.42</v>
      </c>
      <c r="J136" s="269">
        <f t="shared" si="405"/>
        <v>7.42</v>
      </c>
      <c r="K136" s="225"/>
      <c r="N136" s="951">
        <f>EU6</f>
        <v>7.42</v>
      </c>
      <c r="O136" s="879" t="str">
        <f>"Boring/Monitoring Wells for "&amp;TabName17</f>
        <v>Boring/Monitoring Wells for Phase 17</v>
      </c>
      <c r="P136" s="949" t="s">
        <v>2175</v>
      </c>
      <c r="W136" s="915">
        <f t="shared" ref="W136:W167" si="486">IF(AND($D136=$R$8,$E136=$T$8),$J136,0)</f>
        <v>0</v>
      </c>
      <c r="X136" s="915">
        <f t="shared" ref="X136:X167" si="487">IF(AND($D136=$R$8,$E136=$T$9),$J136,0)</f>
        <v>0</v>
      </c>
      <c r="Y136" s="915">
        <f t="shared" ref="Y136:Y167" si="488">IF(AND($D136=$R$8,$E136=$T$10),$J136,0)</f>
        <v>0</v>
      </c>
      <c r="Z136" s="915">
        <f t="shared" si="179"/>
        <v>0</v>
      </c>
      <c r="AA136" s="915">
        <f t="shared" si="180"/>
        <v>0</v>
      </c>
      <c r="AB136" s="915">
        <f t="shared" si="181"/>
        <v>0</v>
      </c>
      <c r="AC136" s="915">
        <f t="shared" si="182"/>
        <v>0</v>
      </c>
      <c r="AD136" s="915">
        <f t="shared" si="183"/>
        <v>0</v>
      </c>
      <c r="AE136" s="915">
        <f t="shared" si="184"/>
        <v>0</v>
      </c>
      <c r="AF136" s="915">
        <f t="shared" si="185"/>
        <v>0</v>
      </c>
      <c r="AG136" s="915">
        <f t="shared" si="186"/>
        <v>0</v>
      </c>
      <c r="AH136" s="915">
        <f t="shared" si="187"/>
        <v>0</v>
      </c>
      <c r="AI136" s="915">
        <f t="shared" si="188"/>
        <v>0</v>
      </c>
      <c r="AJ136" s="915">
        <f t="shared" si="189"/>
        <v>0</v>
      </c>
      <c r="AK136" s="915">
        <f t="shared" si="190"/>
        <v>0</v>
      </c>
      <c r="AL136" s="915">
        <f t="shared" si="191"/>
        <v>0</v>
      </c>
      <c r="AM136" s="915">
        <f t="shared" si="192"/>
        <v>0</v>
      </c>
      <c r="AN136" s="915">
        <f t="shared" si="193"/>
        <v>0</v>
      </c>
      <c r="AO136" s="915">
        <f t="shared" si="194"/>
        <v>0</v>
      </c>
      <c r="AP136" s="915">
        <f t="shared" si="195"/>
        <v>0</v>
      </c>
      <c r="AQ136" s="915">
        <f t="shared" si="196"/>
        <v>0</v>
      </c>
      <c r="AR136" s="915">
        <f t="shared" si="197"/>
        <v>0</v>
      </c>
      <c r="AS136" s="915">
        <f t="shared" si="198"/>
        <v>0</v>
      </c>
      <c r="AT136" s="915">
        <f t="shared" si="199"/>
        <v>0</v>
      </c>
      <c r="AU136" s="915">
        <f t="shared" si="200"/>
        <v>0</v>
      </c>
      <c r="AV136" s="915">
        <f t="shared" si="201"/>
        <v>0</v>
      </c>
      <c r="AW136" s="915">
        <f t="shared" si="202"/>
        <v>0</v>
      </c>
      <c r="AX136" s="915">
        <f t="shared" si="203"/>
        <v>0</v>
      </c>
      <c r="AY136" s="915">
        <f t="shared" si="204"/>
        <v>0</v>
      </c>
      <c r="AZ136" s="915">
        <f t="shared" si="205"/>
        <v>0</v>
      </c>
      <c r="BA136" s="915">
        <f t="shared" si="206"/>
        <v>0</v>
      </c>
      <c r="BB136" s="915">
        <f t="shared" si="207"/>
        <v>0</v>
      </c>
      <c r="BC136" s="915">
        <f t="shared" ref="BC136:BC150" si="489">IF(AND($D136=$R$12,$E136=$T$8),$J136,0)</f>
        <v>0</v>
      </c>
      <c r="BD136" s="915">
        <f t="shared" ref="BD136:BD150" si="490">IF(AND($D136=$R$12,$E136=$T$9),$J136,0)</f>
        <v>0</v>
      </c>
      <c r="BE136" s="915">
        <f t="shared" ref="BE136:BE150" si="491">IF(AND($D136=$R$12,$E136=$T$10),$J136,0)</f>
        <v>0</v>
      </c>
      <c r="BF136" s="915">
        <f t="shared" ref="BF136:BF150" si="492">IF(AND($D136=$R$12,$E136=$T$11),$J136,0)</f>
        <v>0</v>
      </c>
      <c r="BG136" s="915">
        <f t="shared" ref="BG136:BG150" si="493">IF(AND($D136=$R$12,$E136=$T$12),$J136,0)</f>
        <v>0</v>
      </c>
      <c r="BH136" s="915">
        <f t="shared" ref="BH136:BH150" si="494">IF(AND($D136=$R$12,$E136=$T$13),$J136,0)</f>
        <v>0</v>
      </c>
      <c r="BI136" s="915">
        <f t="shared" ref="BI136:BI150" si="495">IF(AND($D136=$R$12,$E136=$T$14),$J136,0)</f>
        <v>0</v>
      </c>
      <c r="BJ136" s="915">
        <f t="shared" ref="BJ136:BJ150" si="496">IF(AND($D136=$R$12,$E136=$T$15),$J136,0)</f>
        <v>0</v>
      </c>
      <c r="BK136" s="915">
        <f t="shared" si="216"/>
        <v>0</v>
      </c>
      <c r="BL136" s="915">
        <f t="shared" si="217"/>
        <v>0</v>
      </c>
      <c r="BM136" s="915">
        <f t="shared" si="218"/>
        <v>0</v>
      </c>
      <c r="BN136" s="915">
        <f t="shared" si="219"/>
        <v>0</v>
      </c>
      <c r="BO136" s="915">
        <f t="shared" si="220"/>
        <v>0</v>
      </c>
      <c r="BP136" s="915">
        <f t="shared" si="221"/>
        <v>0</v>
      </c>
      <c r="BQ136" s="915">
        <f t="shared" si="222"/>
        <v>0</v>
      </c>
      <c r="BR136" s="915">
        <f t="shared" si="223"/>
        <v>0</v>
      </c>
      <c r="BS136" s="915">
        <f t="shared" si="454"/>
        <v>0</v>
      </c>
      <c r="BT136" s="915">
        <f t="shared" si="455"/>
        <v>0</v>
      </c>
      <c r="BU136" s="915">
        <f t="shared" si="456"/>
        <v>0</v>
      </c>
      <c r="BV136" s="915">
        <f t="shared" si="457"/>
        <v>0</v>
      </c>
      <c r="BW136" s="915">
        <f t="shared" si="458"/>
        <v>0</v>
      </c>
      <c r="BX136" s="915">
        <f t="shared" si="459"/>
        <v>0</v>
      </c>
      <c r="BY136" s="915">
        <f t="shared" si="460"/>
        <v>0</v>
      </c>
      <c r="BZ136" s="915">
        <f t="shared" si="461"/>
        <v>0</v>
      </c>
      <c r="CA136" s="915">
        <f t="shared" si="462"/>
        <v>0</v>
      </c>
      <c r="CB136" s="915">
        <f t="shared" si="463"/>
        <v>0</v>
      </c>
      <c r="CC136" s="915">
        <f t="shared" si="464"/>
        <v>0</v>
      </c>
      <c r="CD136" s="915">
        <f t="shared" si="465"/>
        <v>0</v>
      </c>
      <c r="CE136" s="915">
        <f t="shared" si="466"/>
        <v>0</v>
      </c>
      <c r="CF136" s="915">
        <f t="shared" si="467"/>
        <v>0</v>
      </c>
      <c r="CG136" s="915">
        <f t="shared" si="468"/>
        <v>0</v>
      </c>
      <c r="CH136" s="915">
        <f t="shared" si="469"/>
        <v>0</v>
      </c>
      <c r="CI136" s="915">
        <f t="shared" si="336"/>
        <v>0</v>
      </c>
      <c r="CJ136" s="915">
        <f t="shared" si="337"/>
        <v>0</v>
      </c>
      <c r="CK136" s="915">
        <f t="shared" si="338"/>
        <v>0</v>
      </c>
      <c r="CL136" s="915">
        <f t="shared" si="339"/>
        <v>0</v>
      </c>
      <c r="CM136" s="915">
        <f t="shared" si="340"/>
        <v>0</v>
      </c>
      <c r="CN136" s="915">
        <f t="shared" si="341"/>
        <v>0</v>
      </c>
      <c r="CO136" s="915">
        <f t="shared" si="342"/>
        <v>0</v>
      </c>
      <c r="CP136" s="915">
        <f t="shared" si="343"/>
        <v>0</v>
      </c>
      <c r="CQ136" s="915">
        <f t="shared" si="370"/>
        <v>0</v>
      </c>
      <c r="CR136" s="915">
        <f t="shared" si="371"/>
        <v>0</v>
      </c>
      <c r="CS136" s="915">
        <f t="shared" si="372"/>
        <v>0</v>
      </c>
      <c r="CT136" s="915">
        <f t="shared" si="373"/>
        <v>0</v>
      </c>
      <c r="CU136" s="915">
        <f t="shared" si="374"/>
        <v>0</v>
      </c>
      <c r="CV136" s="915">
        <f t="shared" si="375"/>
        <v>0</v>
      </c>
      <c r="CW136" s="915">
        <f t="shared" si="376"/>
        <v>0</v>
      </c>
      <c r="CX136" s="915">
        <f t="shared" si="377"/>
        <v>0</v>
      </c>
      <c r="CY136" s="915">
        <f t="shared" si="256"/>
        <v>0</v>
      </c>
      <c r="CZ136" s="915">
        <f t="shared" si="257"/>
        <v>0</v>
      </c>
      <c r="DA136" s="915">
        <f t="shared" si="258"/>
        <v>0</v>
      </c>
      <c r="DB136" s="915">
        <f t="shared" si="259"/>
        <v>0</v>
      </c>
      <c r="DC136" s="915">
        <f t="shared" si="260"/>
        <v>0</v>
      </c>
      <c r="DD136" s="915">
        <f t="shared" si="261"/>
        <v>0</v>
      </c>
      <c r="DE136" s="915">
        <f t="shared" si="262"/>
        <v>0</v>
      </c>
      <c r="DF136" s="915">
        <f t="shared" si="263"/>
        <v>0</v>
      </c>
      <c r="DG136" s="915">
        <f t="shared" ref="DG136:DG148" si="497">IF(AND($D136=$R$19,$E136=$T$8),$J136,0)</f>
        <v>0</v>
      </c>
      <c r="DH136" s="915">
        <f t="shared" ref="DH136:DH148" si="498">IF(AND($D136=$R$19,$E136=$T$9),$J136,0)</f>
        <v>0</v>
      </c>
      <c r="DI136" s="915">
        <f t="shared" ref="DI136:DI148" si="499">IF(AND($D136=$R$19,$E136=$T$10),$J136,0)</f>
        <v>0</v>
      </c>
      <c r="DJ136" s="915">
        <f t="shared" ref="DJ136:DJ148" si="500">IF(AND($D136=$R$19,$E136=$T$11),$J136,0)</f>
        <v>0</v>
      </c>
      <c r="DK136" s="915">
        <f t="shared" ref="DK136:DK148" si="501">IF(AND($D136=$R$19,$E136=$T$12),$J136,0)</f>
        <v>0</v>
      </c>
      <c r="DL136" s="915">
        <f t="shared" ref="DL136:DL148" si="502">IF(AND($D136=$R$19,$E136=$T$13),$J136,0)</f>
        <v>0</v>
      </c>
      <c r="DM136" s="915">
        <f t="shared" ref="DM136:DM148" si="503">IF(AND($D136=$R$19,$E136=$T$14),$J136,0)</f>
        <v>0</v>
      </c>
      <c r="DN136" s="915">
        <f t="shared" ref="DN136:DN148" si="504">IF(AND($D136=$R$19,$E136=$T$15),$J136,0)</f>
        <v>0</v>
      </c>
      <c r="DO136" s="915">
        <f t="shared" si="430"/>
        <v>0</v>
      </c>
      <c r="DP136" s="915">
        <f t="shared" si="431"/>
        <v>0</v>
      </c>
      <c r="DQ136" s="915">
        <f t="shared" si="432"/>
        <v>0</v>
      </c>
      <c r="DR136" s="915">
        <f t="shared" si="433"/>
        <v>0</v>
      </c>
      <c r="DS136" s="915">
        <f t="shared" si="434"/>
        <v>0</v>
      </c>
      <c r="DT136" s="915">
        <f t="shared" si="435"/>
        <v>0</v>
      </c>
      <c r="DU136" s="915">
        <f t="shared" si="436"/>
        <v>0</v>
      </c>
      <c r="DV136" s="915">
        <f t="shared" si="437"/>
        <v>0</v>
      </c>
      <c r="DW136" s="915">
        <f t="shared" si="438"/>
        <v>0</v>
      </c>
      <c r="DX136" s="915">
        <f t="shared" si="439"/>
        <v>0</v>
      </c>
      <c r="DY136" s="915">
        <f t="shared" si="440"/>
        <v>0</v>
      </c>
      <c r="DZ136" s="915">
        <f t="shared" si="441"/>
        <v>0</v>
      </c>
      <c r="EA136" s="915">
        <f t="shared" si="442"/>
        <v>0</v>
      </c>
      <c r="EB136" s="915">
        <f t="shared" si="443"/>
        <v>0</v>
      </c>
      <c r="EC136" s="915">
        <f t="shared" si="444"/>
        <v>0</v>
      </c>
      <c r="ED136" s="915">
        <f t="shared" si="445"/>
        <v>0</v>
      </c>
      <c r="EE136" s="915">
        <f t="shared" si="470"/>
        <v>0</v>
      </c>
      <c r="EF136" s="915">
        <f t="shared" si="471"/>
        <v>0</v>
      </c>
      <c r="EG136" s="915">
        <f t="shared" si="472"/>
        <v>0</v>
      </c>
      <c r="EH136" s="915">
        <f t="shared" si="473"/>
        <v>0</v>
      </c>
      <c r="EI136" s="915">
        <f t="shared" si="474"/>
        <v>0</v>
      </c>
      <c r="EJ136" s="915">
        <f t="shared" si="475"/>
        <v>0</v>
      </c>
      <c r="EK136" s="915">
        <f t="shared" si="476"/>
        <v>0</v>
      </c>
      <c r="EL136" s="915">
        <f t="shared" si="477"/>
        <v>0</v>
      </c>
      <c r="EM136" s="915">
        <f t="shared" si="478"/>
        <v>0</v>
      </c>
      <c r="EN136" s="915">
        <f t="shared" si="479"/>
        <v>0</v>
      </c>
      <c r="EO136" s="915">
        <f t="shared" si="480"/>
        <v>0</v>
      </c>
      <c r="EP136" s="915">
        <f t="shared" si="481"/>
        <v>0</v>
      </c>
      <c r="EQ136" s="915">
        <f t="shared" si="482"/>
        <v>0</v>
      </c>
      <c r="ER136" s="915">
        <f t="shared" si="483"/>
        <v>0</v>
      </c>
      <c r="ES136" s="915">
        <f t="shared" si="484"/>
        <v>0</v>
      </c>
      <c r="ET136" s="915">
        <f t="shared" si="485"/>
        <v>0</v>
      </c>
      <c r="EU136" s="915">
        <f t="shared" si="304"/>
        <v>7.42</v>
      </c>
      <c r="EV136" s="915">
        <f t="shared" si="305"/>
        <v>0</v>
      </c>
      <c r="EW136" s="915">
        <f t="shared" si="306"/>
        <v>0</v>
      </c>
      <c r="EX136" s="915">
        <f t="shared" si="307"/>
        <v>0</v>
      </c>
      <c r="EY136" s="915">
        <f t="shared" si="308"/>
        <v>0</v>
      </c>
      <c r="EZ136" s="915">
        <f t="shared" si="309"/>
        <v>0</v>
      </c>
      <c r="FA136" s="915">
        <f t="shared" si="310"/>
        <v>0</v>
      </c>
      <c r="FB136" s="915">
        <f t="shared" si="311"/>
        <v>0</v>
      </c>
      <c r="FC136" s="915">
        <f t="shared" si="312"/>
        <v>0</v>
      </c>
      <c r="FD136" s="915">
        <f t="shared" si="313"/>
        <v>0</v>
      </c>
      <c r="FE136" s="915">
        <f t="shared" si="314"/>
        <v>0</v>
      </c>
      <c r="FF136" s="915">
        <f t="shared" si="315"/>
        <v>0</v>
      </c>
      <c r="FG136" s="915">
        <f t="shared" si="316"/>
        <v>0</v>
      </c>
      <c r="FH136" s="915">
        <f t="shared" si="317"/>
        <v>0</v>
      </c>
      <c r="FI136" s="915">
        <f t="shared" si="318"/>
        <v>0</v>
      </c>
      <c r="FJ136" s="915">
        <f t="shared" si="319"/>
        <v>0</v>
      </c>
      <c r="FK136" s="915">
        <f t="shared" si="320"/>
        <v>0</v>
      </c>
      <c r="FL136" s="915">
        <f t="shared" si="321"/>
        <v>0</v>
      </c>
      <c r="FM136" s="915">
        <f t="shared" si="322"/>
        <v>0</v>
      </c>
      <c r="FN136" s="915">
        <f t="shared" si="323"/>
        <v>0</v>
      </c>
      <c r="FO136" s="915">
        <f t="shared" si="324"/>
        <v>0</v>
      </c>
      <c r="FP136" s="915">
        <f t="shared" si="325"/>
        <v>0</v>
      </c>
      <c r="FQ136" s="915">
        <f t="shared" si="326"/>
        <v>0</v>
      </c>
      <c r="FR136" s="915">
        <f t="shared" si="327"/>
        <v>0</v>
      </c>
      <c r="FS136" s="915">
        <f t="shared" si="328"/>
        <v>0</v>
      </c>
      <c r="FT136" s="915">
        <f t="shared" si="329"/>
        <v>0</v>
      </c>
      <c r="FU136" s="915">
        <f t="shared" si="330"/>
        <v>0</v>
      </c>
      <c r="FV136" s="915">
        <f t="shared" si="331"/>
        <v>0</v>
      </c>
      <c r="FW136" s="915">
        <f t="shared" si="332"/>
        <v>0</v>
      </c>
      <c r="FX136" s="915">
        <f t="shared" si="333"/>
        <v>0</v>
      </c>
      <c r="FY136" s="915">
        <f t="shared" si="334"/>
        <v>0</v>
      </c>
      <c r="FZ136" s="915">
        <f t="shared" si="335"/>
        <v>0</v>
      </c>
    </row>
    <row r="137" spans="1:182" x14ac:dyDescent="0.2">
      <c r="A137" s="497">
        <v>130</v>
      </c>
      <c r="B137" s="1423"/>
      <c r="C137" s="1424"/>
      <c r="D137" s="138">
        <v>17</v>
      </c>
      <c r="E137" s="138" t="s">
        <v>26</v>
      </c>
      <c r="F137" s="139" t="s">
        <v>2544</v>
      </c>
      <c r="G137" s="139" t="s">
        <v>2542</v>
      </c>
      <c r="H137" s="100">
        <v>7</v>
      </c>
      <c r="I137" s="119">
        <f t="shared" si="404"/>
        <v>0.42</v>
      </c>
      <c r="J137" s="90">
        <f t="shared" si="405"/>
        <v>7.42</v>
      </c>
      <c r="K137" s="225"/>
      <c r="N137" s="951">
        <f>EV6</f>
        <v>7.42</v>
      </c>
      <c r="O137" s="879" t="str">
        <f>"Remediation for " &amp;TabName17</f>
        <v>Remediation for Phase 17</v>
      </c>
      <c r="P137" s="950" t="s">
        <v>2176</v>
      </c>
      <c r="W137" s="915">
        <f t="shared" si="486"/>
        <v>0</v>
      </c>
      <c r="X137" s="915">
        <f t="shared" si="487"/>
        <v>0</v>
      </c>
      <c r="Y137" s="915">
        <f t="shared" si="488"/>
        <v>0</v>
      </c>
      <c r="Z137" s="915">
        <f t="shared" ref="Z137:Z166" si="505">IF(AND($D137=$R$8,$E137=$T$11),$J137,0)</f>
        <v>0</v>
      </c>
      <c r="AA137" s="915">
        <f t="shared" ref="AA137:AA166" si="506">IF(AND($D137=$R$8,$E137=$T$12),$J137,0)</f>
        <v>0</v>
      </c>
      <c r="AB137" s="915">
        <f t="shared" ref="AB137:AB166" si="507">IF(AND($D137=$R$8,$E137=$T$13),$J137,0)</f>
        <v>0</v>
      </c>
      <c r="AC137" s="915">
        <f t="shared" ref="AC137:AC166" si="508">IF(AND($D137=$R$8,$E137=$T$14),$J137,0)</f>
        <v>0</v>
      </c>
      <c r="AD137" s="915">
        <f t="shared" ref="AD137:AD166" si="509">IF(AND($D137=$R$8,$E137=$T$15),$J137,0)</f>
        <v>0</v>
      </c>
      <c r="AE137" s="915">
        <f t="shared" ref="AE137:AE166" si="510">IF(AND($D137=$R$9,$E137=$T$8),$J137,0)</f>
        <v>0</v>
      </c>
      <c r="AF137" s="915">
        <f t="shared" ref="AF137:AF166" si="511">IF(AND($D137=$R$9,$E137=$T$9),$J137,0)</f>
        <v>0</v>
      </c>
      <c r="AG137" s="915">
        <f t="shared" ref="AG137:AG166" si="512">IF(AND($D137=$R$9,$E137=$T$10),$J137,0)</f>
        <v>0</v>
      </c>
      <c r="AH137" s="915">
        <f t="shared" ref="AH137:AH166" si="513">IF(AND($D137=$R$9,$E137=$T$11),$J137,0)</f>
        <v>0</v>
      </c>
      <c r="AI137" s="915">
        <f t="shared" ref="AI137:AI166" si="514">IF(AND($D137=$R$9,$E137=$T$12),$J137,0)</f>
        <v>0</v>
      </c>
      <c r="AJ137" s="915">
        <f t="shared" ref="AJ137:AJ166" si="515">IF(AND($D137=$R$9,$E137=$T$13),$J137,0)</f>
        <v>0</v>
      </c>
      <c r="AK137" s="915">
        <f t="shared" ref="AK137:AK166" si="516">IF(AND($D137=$R$9,$E137=$T$14),$J137,0)</f>
        <v>0</v>
      </c>
      <c r="AL137" s="915">
        <f t="shared" ref="AL137:AL166" si="517">IF(AND($D137=$R$9,$E137=$T$15),$J137,0)</f>
        <v>0</v>
      </c>
      <c r="AM137" s="915">
        <f t="shared" ref="AM137:AM165" si="518">IF(AND($D137=$R$10,$E137=$T$8),$J137,0)</f>
        <v>0</v>
      </c>
      <c r="AN137" s="915">
        <f t="shared" ref="AN137:AN165" si="519">IF(AND($D137=$R$10,$E137=$T$9),$J137,0)</f>
        <v>0</v>
      </c>
      <c r="AO137" s="915">
        <f t="shared" ref="AO137:AO165" si="520">IF(AND($D137=$R$10,$E137=$T$10),$J137,0)</f>
        <v>0</v>
      </c>
      <c r="AP137" s="915">
        <f t="shared" ref="AP137:AP165" si="521">IF(AND($D137=$R$10,$E137=$T$11),$J137,0)</f>
        <v>0</v>
      </c>
      <c r="AQ137" s="915">
        <f t="shared" ref="AQ137:AQ165" si="522">IF(AND($D137=$R$10,$E137=$T$12),$J137,0)</f>
        <v>0</v>
      </c>
      <c r="AR137" s="915">
        <f t="shared" ref="AR137:AR165" si="523">IF(AND($D137=$R$10,$E137=$T$13),$J137,0)</f>
        <v>0</v>
      </c>
      <c r="AS137" s="915">
        <f t="shared" ref="AS137:AS165" si="524">IF(AND($D137=$R$10,$E137=$T$14),$J137,0)</f>
        <v>0</v>
      </c>
      <c r="AT137" s="915">
        <f t="shared" ref="AT137:AT165" si="525">IF(AND($D137=$R$10,$E137=$T$15),$J137,0)</f>
        <v>0</v>
      </c>
      <c r="AU137" s="915">
        <f t="shared" ref="AU137:AU165" si="526">IF(AND($D137=$R$11,$E137=$T$8),$J137,0)</f>
        <v>0</v>
      </c>
      <c r="AV137" s="915">
        <f t="shared" ref="AV137:AV165" si="527">IF(AND($D137=$R$11,$E137=$T$9),$J137,0)</f>
        <v>0</v>
      </c>
      <c r="AW137" s="915">
        <f t="shared" ref="AW137:AW165" si="528">IF(AND($D137=$R$11,$E137=$T$10),$J137,0)</f>
        <v>0</v>
      </c>
      <c r="AX137" s="915">
        <f t="shared" ref="AX137:AX165" si="529">IF(AND($D137=$R$11,$E137=$T$11),$J137,0)</f>
        <v>0</v>
      </c>
      <c r="AY137" s="915">
        <f t="shared" ref="AY137:AY165" si="530">IF(AND($D137=$R$11,$E137=$T$12),$J137,0)</f>
        <v>0</v>
      </c>
      <c r="AZ137" s="915">
        <f t="shared" ref="AZ137:AZ165" si="531">IF(AND($D137=$R$11,$E137=$T$13),$J137,0)</f>
        <v>0</v>
      </c>
      <c r="BA137" s="915">
        <f t="shared" ref="BA137:BA165" si="532">IF(AND($D137=$R$11,$E137=$T$14),$J137,0)</f>
        <v>0</v>
      </c>
      <c r="BB137" s="915">
        <f t="shared" ref="BB137:BB165" si="533">IF(AND($D137=$R$11,$E137=$T$15),$J137,0)</f>
        <v>0</v>
      </c>
      <c r="BC137" s="915">
        <f t="shared" si="489"/>
        <v>0</v>
      </c>
      <c r="BD137" s="915">
        <f t="shared" si="490"/>
        <v>0</v>
      </c>
      <c r="BE137" s="915">
        <f t="shared" si="491"/>
        <v>0</v>
      </c>
      <c r="BF137" s="915">
        <f t="shared" si="492"/>
        <v>0</v>
      </c>
      <c r="BG137" s="915">
        <f t="shared" si="493"/>
        <v>0</v>
      </c>
      <c r="BH137" s="915">
        <f t="shared" si="494"/>
        <v>0</v>
      </c>
      <c r="BI137" s="915">
        <f t="shared" si="495"/>
        <v>0</v>
      </c>
      <c r="BJ137" s="915">
        <f t="shared" si="496"/>
        <v>0</v>
      </c>
      <c r="BK137" s="915">
        <f t="shared" ref="BK137:BK139" si="534">IF(AND($D137=$R$13,$E137=$T$8),$J137,0)</f>
        <v>0</v>
      </c>
      <c r="BL137" s="915">
        <f t="shared" ref="BL137:BL139" si="535">IF(AND($D137=$R$13,$E137=$T$9),$J137,0)</f>
        <v>0</v>
      </c>
      <c r="BM137" s="915">
        <f t="shared" ref="BM137:BM139" si="536">IF(AND($D137=$R$13,$E137=$T$10),$J137,0)</f>
        <v>0</v>
      </c>
      <c r="BN137" s="915">
        <f t="shared" ref="BN137:BN139" si="537">IF(AND($D137=$R$13,$E137=$T$11),$J137,0)</f>
        <v>0</v>
      </c>
      <c r="BO137" s="915">
        <f t="shared" ref="BO137:BO139" si="538">IF(AND($D137=$R$13,$E137=$T$12),$J137,0)</f>
        <v>0</v>
      </c>
      <c r="BP137" s="915">
        <f t="shared" ref="BP137:BP139" si="539">IF(AND($D137=$R$13,$E137=$T$13),$J137,0)</f>
        <v>0</v>
      </c>
      <c r="BQ137" s="915">
        <f t="shared" ref="BQ137:BQ139" si="540">IF(AND($D137=$R$13,$E137=$T$14),$J137,0)</f>
        <v>0</v>
      </c>
      <c r="BR137" s="915">
        <f t="shared" ref="BR137:BR139" si="541">IF(AND($D137=$R$13,$E137=$T$15),$J137,0)</f>
        <v>0</v>
      </c>
      <c r="BS137" s="915">
        <f t="shared" si="454"/>
        <v>0</v>
      </c>
      <c r="BT137" s="915">
        <f t="shared" si="455"/>
        <v>0</v>
      </c>
      <c r="BU137" s="915">
        <f t="shared" si="456"/>
        <v>0</v>
      </c>
      <c r="BV137" s="915">
        <f t="shared" si="457"/>
        <v>0</v>
      </c>
      <c r="BW137" s="915">
        <f t="shared" si="458"/>
        <v>0</v>
      </c>
      <c r="BX137" s="915">
        <f t="shared" si="459"/>
        <v>0</v>
      </c>
      <c r="BY137" s="915">
        <f t="shared" si="460"/>
        <v>0</v>
      </c>
      <c r="BZ137" s="915">
        <f t="shared" si="461"/>
        <v>0</v>
      </c>
      <c r="CA137" s="915">
        <f t="shared" si="462"/>
        <v>0</v>
      </c>
      <c r="CB137" s="915">
        <f t="shared" si="463"/>
        <v>0</v>
      </c>
      <c r="CC137" s="915">
        <f t="shared" si="464"/>
        <v>0</v>
      </c>
      <c r="CD137" s="915">
        <f t="shared" si="465"/>
        <v>0</v>
      </c>
      <c r="CE137" s="915">
        <f t="shared" si="466"/>
        <v>0</v>
      </c>
      <c r="CF137" s="915">
        <f t="shared" si="467"/>
        <v>0</v>
      </c>
      <c r="CG137" s="915">
        <f t="shared" si="468"/>
        <v>0</v>
      </c>
      <c r="CH137" s="915">
        <f t="shared" si="469"/>
        <v>0</v>
      </c>
      <c r="CI137" s="915">
        <f t="shared" si="336"/>
        <v>0</v>
      </c>
      <c r="CJ137" s="915">
        <f t="shared" si="337"/>
        <v>0</v>
      </c>
      <c r="CK137" s="915">
        <f t="shared" si="338"/>
        <v>0</v>
      </c>
      <c r="CL137" s="915">
        <f t="shared" si="339"/>
        <v>0</v>
      </c>
      <c r="CM137" s="915">
        <f t="shared" si="340"/>
        <v>0</v>
      </c>
      <c r="CN137" s="915">
        <f t="shared" si="341"/>
        <v>0</v>
      </c>
      <c r="CO137" s="915">
        <f t="shared" si="342"/>
        <v>0</v>
      </c>
      <c r="CP137" s="915">
        <f t="shared" si="343"/>
        <v>0</v>
      </c>
      <c r="CQ137" s="915">
        <f t="shared" si="370"/>
        <v>0</v>
      </c>
      <c r="CR137" s="915">
        <f t="shared" si="371"/>
        <v>0</v>
      </c>
      <c r="CS137" s="915">
        <f t="shared" si="372"/>
        <v>0</v>
      </c>
      <c r="CT137" s="915">
        <f t="shared" si="373"/>
        <v>0</v>
      </c>
      <c r="CU137" s="915">
        <f t="shared" si="374"/>
        <v>0</v>
      </c>
      <c r="CV137" s="915">
        <f t="shared" si="375"/>
        <v>0</v>
      </c>
      <c r="CW137" s="915">
        <f t="shared" si="376"/>
        <v>0</v>
      </c>
      <c r="CX137" s="915">
        <f t="shared" si="377"/>
        <v>0</v>
      </c>
      <c r="CY137" s="915">
        <f t="shared" ref="CY137:CY167" si="542">IF(AND($D137=$R$18,$E137=$T$8),$J137,0)</f>
        <v>0</v>
      </c>
      <c r="CZ137" s="915">
        <f t="shared" ref="CZ137:CZ167" si="543">IF(AND($D137=$R$18,$E137=$T$9),$J137,0)</f>
        <v>0</v>
      </c>
      <c r="DA137" s="915">
        <f t="shared" ref="DA137:DA167" si="544">IF(AND($D137=$R$18,$E137=$T$10),$J137,0)</f>
        <v>0</v>
      </c>
      <c r="DB137" s="915">
        <f t="shared" ref="DB137:DB167" si="545">IF(AND($D137=$R$18,$E137=$T$11),$J137,0)</f>
        <v>0</v>
      </c>
      <c r="DC137" s="915">
        <f t="shared" ref="DC137:DC167" si="546">IF(AND($D137=$R$18,$E137=$T$12),$J137,0)</f>
        <v>0</v>
      </c>
      <c r="DD137" s="915">
        <f t="shared" ref="DD137:DD167" si="547">IF(AND($D137=$R$18,$E137=$T$13),$J137,0)</f>
        <v>0</v>
      </c>
      <c r="DE137" s="915">
        <f t="shared" ref="DE137:DE167" si="548">IF(AND($D137=$R$18,$E137=$T$14),$J137,0)</f>
        <v>0</v>
      </c>
      <c r="DF137" s="915">
        <f t="shared" ref="DF137:DF167" si="549">IF(AND($D137=$R$18,$E137=$T$15),$J137,0)</f>
        <v>0</v>
      </c>
      <c r="DG137" s="915">
        <f t="shared" si="497"/>
        <v>0</v>
      </c>
      <c r="DH137" s="915">
        <f t="shared" si="498"/>
        <v>0</v>
      </c>
      <c r="DI137" s="915">
        <f t="shared" si="499"/>
        <v>0</v>
      </c>
      <c r="DJ137" s="915">
        <f t="shared" si="500"/>
        <v>0</v>
      </c>
      <c r="DK137" s="915">
        <f t="shared" si="501"/>
        <v>0</v>
      </c>
      <c r="DL137" s="915">
        <f t="shared" si="502"/>
        <v>0</v>
      </c>
      <c r="DM137" s="915">
        <f t="shared" si="503"/>
        <v>0</v>
      </c>
      <c r="DN137" s="915">
        <f t="shared" si="504"/>
        <v>0</v>
      </c>
      <c r="DO137" s="915">
        <f t="shared" si="430"/>
        <v>0</v>
      </c>
      <c r="DP137" s="915">
        <f t="shared" si="431"/>
        <v>0</v>
      </c>
      <c r="DQ137" s="915">
        <f t="shared" si="432"/>
        <v>0</v>
      </c>
      <c r="DR137" s="915">
        <f t="shared" si="433"/>
        <v>0</v>
      </c>
      <c r="DS137" s="915">
        <f t="shared" si="434"/>
        <v>0</v>
      </c>
      <c r="DT137" s="915">
        <f t="shared" si="435"/>
        <v>0</v>
      </c>
      <c r="DU137" s="915">
        <f t="shared" si="436"/>
        <v>0</v>
      </c>
      <c r="DV137" s="915">
        <f t="shared" si="437"/>
        <v>0</v>
      </c>
      <c r="DW137" s="915">
        <f t="shared" si="438"/>
        <v>0</v>
      </c>
      <c r="DX137" s="915">
        <f t="shared" si="439"/>
        <v>0</v>
      </c>
      <c r="DY137" s="915">
        <f t="shared" si="440"/>
        <v>0</v>
      </c>
      <c r="DZ137" s="915">
        <f t="shared" si="441"/>
        <v>0</v>
      </c>
      <c r="EA137" s="915">
        <f t="shared" si="442"/>
        <v>0</v>
      </c>
      <c r="EB137" s="915">
        <f t="shared" si="443"/>
        <v>0</v>
      </c>
      <c r="EC137" s="915">
        <f t="shared" si="444"/>
        <v>0</v>
      </c>
      <c r="ED137" s="915">
        <f t="shared" si="445"/>
        <v>0</v>
      </c>
      <c r="EE137" s="915">
        <f t="shared" si="470"/>
        <v>0</v>
      </c>
      <c r="EF137" s="915">
        <f t="shared" si="471"/>
        <v>0</v>
      </c>
      <c r="EG137" s="915">
        <f t="shared" si="472"/>
        <v>0</v>
      </c>
      <c r="EH137" s="915">
        <f t="shared" si="473"/>
        <v>0</v>
      </c>
      <c r="EI137" s="915">
        <f t="shared" si="474"/>
        <v>0</v>
      </c>
      <c r="EJ137" s="915">
        <f t="shared" si="475"/>
        <v>0</v>
      </c>
      <c r="EK137" s="915">
        <f t="shared" si="476"/>
        <v>0</v>
      </c>
      <c r="EL137" s="915">
        <f t="shared" si="477"/>
        <v>0</v>
      </c>
      <c r="EM137" s="915">
        <f t="shared" si="478"/>
        <v>0</v>
      </c>
      <c r="EN137" s="915">
        <f t="shared" si="479"/>
        <v>0</v>
      </c>
      <c r="EO137" s="915">
        <f t="shared" si="480"/>
        <v>0</v>
      </c>
      <c r="EP137" s="915">
        <f t="shared" si="481"/>
        <v>0</v>
      </c>
      <c r="EQ137" s="915">
        <f t="shared" si="482"/>
        <v>0</v>
      </c>
      <c r="ER137" s="915">
        <f t="shared" si="483"/>
        <v>0</v>
      </c>
      <c r="ES137" s="915">
        <f t="shared" si="484"/>
        <v>0</v>
      </c>
      <c r="ET137" s="915">
        <f t="shared" si="485"/>
        <v>0</v>
      </c>
      <c r="EU137" s="915">
        <f t="shared" ref="EU137:EU167" si="550">IF(AND($D137=$R$24,$E137=$T$8),$J137,0)</f>
        <v>0</v>
      </c>
      <c r="EV137" s="915">
        <f t="shared" ref="EV137:EV167" si="551">IF(AND($D137=$R$24,$E137=$T$9),$J137,0)</f>
        <v>7.42</v>
      </c>
      <c r="EW137" s="915">
        <f t="shared" ref="EW137:EW167" si="552">IF(AND($D137=$R$24,$E137=$T$10),$J137,0)</f>
        <v>0</v>
      </c>
      <c r="EX137" s="915">
        <f t="shared" ref="EX137:EX167" si="553">IF(AND($D137=$R$24,$E137=$T$11),$J137,0)</f>
        <v>0</v>
      </c>
      <c r="EY137" s="915">
        <f t="shared" ref="EY137:EY167" si="554">IF(AND($D137=$R$24,$E137=$T$12),$J137,0)</f>
        <v>0</v>
      </c>
      <c r="EZ137" s="915">
        <f t="shared" ref="EZ137:EZ167" si="555">IF(AND($D137=$R$24,$E137=$T$13),$J137,0)</f>
        <v>0</v>
      </c>
      <c r="FA137" s="915">
        <f t="shared" ref="FA137:FA167" si="556">IF(AND($D137=$R$24,$E137=$T$14),$J137,0)</f>
        <v>0</v>
      </c>
      <c r="FB137" s="915">
        <f t="shared" ref="FB137:FB167" si="557">IF(AND($D137=$R$24,$E137=$T$15),$J137,0)</f>
        <v>0</v>
      </c>
      <c r="FC137" s="915">
        <f t="shared" ref="FC137:FC167" si="558">IF(AND($D137=$R$25,$E137=$T$8),$J137,0)</f>
        <v>0</v>
      </c>
      <c r="FD137" s="915">
        <f t="shared" ref="FD137:FD167" si="559">IF(AND($D137=$R$25,$E137=$T$9),$J137,0)</f>
        <v>0</v>
      </c>
      <c r="FE137" s="915">
        <f t="shared" ref="FE137:FE167" si="560">IF(AND($D137=$R$25,$E137=$T$10),$J137,0)</f>
        <v>0</v>
      </c>
      <c r="FF137" s="915">
        <f t="shared" ref="FF137:FF167" si="561">IF(AND($D137=$R$25,$E137=$T$11),$J137,0)</f>
        <v>0</v>
      </c>
      <c r="FG137" s="915">
        <f t="shared" ref="FG137:FG167" si="562">IF(AND($D137=$R$25,$E137=$T$12),$J137,0)</f>
        <v>0</v>
      </c>
      <c r="FH137" s="915">
        <f t="shared" ref="FH137:FH167" si="563">IF(AND($D137=$R$25,$E137=$T$13),$J137,0)</f>
        <v>0</v>
      </c>
      <c r="FI137" s="915">
        <f t="shared" ref="FI137:FI167" si="564">IF(AND($D137=$R$25,$E137=$T$14),$J137,0)</f>
        <v>0</v>
      </c>
      <c r="FJ137" s="915">
        <f t="shared" ref="FJ137:FJ167" si="565">IF(AND($D137=$R$25,$E137=$T$15),$J137,0)</f>
        <v>0</v>
      </c>
      <c r="FK137" s="915">
        <f t="shared" ref="FK137:FK161" si="566">IF(AND($D137=$R$26,$E137=$T$8),$J137,0)</f>
        <v>0</v>
      </c>
      <c r="FL137" s="915">
        <f t="shared" ref="FL137:FL161" si="567">IF(AND($D137=$R$26,$E137=$T$9),$J137,0)</f>
        <v>0</v>
      </c>
      <c r="FM137" s="915">
        <f t="shared" ref="FM137:FM161" si="568">IF(AND($D137=$R$26,$E137=$T$10),$J137,0)</f>
        <v>0</v>
      </c>
      <c r="FN137" s="915">
        <f t="shared" ref="FN137:FN161" si="569">IF(AND($D137=$R$26,$E137=$T$11),$J137,0)</f>
        <v>0</v>
      </c>
      <c r="FO137" s="915">
        <f t="shared" ref="FO137:FO161" si="570">IF(AND($D137=$R$26,$E137=$T$12),$J137,0)</f>
        <v>0</v>
      </c>
      <c r="FP137" s="915">
        <f t="shared" ref="FP137:FP161" si="571">IF(AND($D137=$R$26,$E137=$T$13),$J137,0)</f>
        <v>0</v>
      </c>
      <c r="FQ137" s="915">
        <f t="shared" ref="FQ137:FQ161" si="572">IF(AND($D137=$R$26,$E137=$T$14),$J137,0)</f>
        <v>0</v>
      </c>
      <c r="FR137" s="915">
        <f t="shared" ref="FR137:FR161" si="573">IF(AND($D137=$R$26,$E137=$T$15),$J137,0)</f>
        <v>0</v>
      </c>
      <c r="FS137" s="915">
        <f t="shared" ref="FS137:FS161" si="574">IF(AND($D137=$R$27,$E137=$T$8),$J137,0)</f>
        <v>0</v>
      </c>
      <c r="FT137" s="915">
        <f t="shared" ref="FT137:FT161" si="575">IF(AND($D137=$R$27,$E137=$T$9),$J137,0)</f>
        <v>0</v>
      </c>
      <c r="FU137" s="915">
        <f t="shared" ref="FU137:FU161" si="576">IF(AND($D137=$R$27,$E137=$T$10),$J137,0)</f>
        <v>0</v>
      </c>
      <c r="FV137" s="915">
        <f t="shared" ref="FV137:FV161" si="577">IF(AND($D137=$R$27,$E137=$T$11),$J137,0)</f>
        <v>0</v>
      </c>
      <c r="FW137" s="915">
        <f t="shared" ref="FW137:FW161" si="578">IF(AND($D137=$R$27,$E137=$T$12),$J137,0)</f>
        <v>0</v>
      </c>
      <c r="FX137" s="915">
        <f t="shared" ref="FX137:FX161" si="579">IF(AND($D137=$R$27,$E137=$T$13),$J137,0)</f>
        <v>0</v>
      </c>
      <c r="FY137" s="915">
        <f t="shared" ref="FY137:FY161" si="580">IF(AND($D137=$R$27,$E137=$T$14),$J137,0)</f>
        <v>0</v>
      </c>
      <c r="FZ137" s="915">
        <f t="shared" ref="FZ137:FZ161" si="581">IF(AND($D137=$R$27,$E137=$T$15),$J137,0)</f>
        <v>0</v>
      </c>
    </row>
    <row r="138" spans="1:182" x14ac:dyDescent="0.2">
      <c r="A138" s="496">
        <v>131</v>
      </c>
      <c r="B138" s="1419"/>
      <c r="C138" s="1433"/>
      <c r="D138" s="264">
        <v>17</v>
      </c>
      <c r="E138" s="264" t="s">
        <v>35</v>
      </c>
      <c r="F138" s="270" t="s">
        <v>2544</v>
      </c>
      <c r="G138" s="270" t="s">
        <v>2542</v>
      </c>
      <c r="H138" s="272">
        <v>7</v>
      </c>
      <c r="I138" s="268">
        <f t="shared" si="404"/>
        <v>0.42</v>
      </c>
      <c r="J138" s="269">
        <f t="shared" si="405"/>
        <v>7.42</v>
      </c>
      <c r="K138" s="225"/>
      <c r="N138" s="951">
        <f>EW6</f>
        <v>7.42</v>
      </c>
      <c r="O138" s="879" t="str">
        <f>"General Construction for " &amp; TabName17</f>
        <v>General Construction for Phase 17</v>
      </c>
      <c r="P138" s="949" t="s">
        <v>2177</v>
      </c>
      <c r="W138" s="915">
        <f t="shared" si="486"/>
        <v>0</v>
      </c>
      <c r="X138" s="915">
        <f t="shared" si="487"/>
        <v>0</v>
      </c>
      <c r="Y138" s="915">
        <f t="shared" si="488"/>
        <v>0</v>
      </c>
      <c r="Z138" s="915">
        <f t="shared" si="505"/>
        <v>0</v>
      </c>
      <c r="AA138" s="915">
        <f t="shared" si="506"/>
        <v>0</v>
      </c>
      <c r="AB138" s="915">
        <f t="shared" si="507"/>
        <v>0</v>
      </c>
      <c r="AC138" s="915">
        <f t="shared" si="508"/>
        <v>0</v>
      </c>
      <c r="AD138" s="915">
        <f t="shared" si="509"/>
        <v>0</v>
      </c>
      <c r="AE138" s="915">
        <f t="shared" si="510"/>
        <v>0</v>
      </c>
      <c r="AF138" s="915">
        <f t="shared" si="511"/>
        <v>0</v>
      </c>
      <c r="AG138" s="915">
        <f t="shared" si="512"/>
        <v>0</v>
      </c>
      <c r="AH138" s="915">
        <f t="shared" si="513"/>
        <v>0</v>
      </c>
      <c r="AI138" s="915">
        <f t="shared" si="514"/>
        <v>0</v>
      </c>
      <c r="AJ138" s="915">
        <f t="shared" si="515"/>
        <v>0</v>
      </c>
      <c r="AK138" s="915">
        <f t="shared" si="516"/>
        <v>0</v>
      </c>
      <c r="AL138" s="915">
        <f t="shared" si="517"/>
        <v>0</v>
      </c>
      <c r="AM138" s="915">
        <f t="shared" si="518"/>
        <v>0</v>
      </c>
      <c r="AN138" s="915">
        <f t="shared" si="519"/>
        <v>0</v>
      </c>
      <c r="AO138" s="915">
        <f t="shared" si="520"/>
        <v>0</v>
      </c>
      <c r="AP138" s="915">
        <f t="shared" si="521"/>
        <v>0</v>
      </c>
      <c r="AQ138" s="915">
        <f t="shared" si="522"/>
        <v>0</v>
      </c>
      <c r="AR138" s="915">
        <f t="shared" si="523"/>
        <v>0</v>
      </c>
      <c r="AS138" s="915">
        <f t="shared" si="524"/>
        <v>0</v>
      </c>
      <c r="AT138" s="915">
        <f t="shared" si="525"/>
        <v>0</v>
      </c>
      <c r="AU138" s="915">
        <f t="shared" si="526"/>
        <v>0</v>
      </c>
      <c r="AV138" s="915">
        <f t="shared" si="527"/>
        <v>0</v>
      </c>
      <c r="AW138" s="915">
        <f t="shared" si="528"/>
        <v>0</v>
      </c>
      <c r="AX138" s="915">
        <f t="shared" si="529"/>
        <v>0</v>
      </c>
      <c r="AY138" s="915">
        <f t="shared" si="530"/>
        <v>0</v>
      </c>
      <c r="AZ138" s="915">
        <f t="shared" si="531"/>
        <v>0</v>
      </c>
      <c r="BA138" s="915">
        <f t="shared" si="532"/>
        <v>0</v>
      </c>
      <c r="BB138" s="915">
        <f t="shared" si="533"/>
        <v>0</v>
      </c>
      <c r="BC138" s="915">
        <f t="shared" si="489"/>
        <v>0</v>
      </c>
      <c r="BD138" s="915">
        <f t="shared" si="490"/>
        <v>0</v>
      </c>
      <c r="BE138" s="915">
        <f t="shared" si="491"/>
        <v>0</v>
      </c>
      <c r="BF138" s="915">
        <f t="shared" si="492"/>
        <v>0</v>
      </c>
      <c r="BG138" s="915">
        <f t="shared" si="493"/>
        <v>0</v>
      </c>
      <c r="BH138" s="915">
        <f t="shared" si="494"/>
        <v>0</v>
      </c>
      <c r="BI138" s="915">
        <f t="shared" si="495"/>
        <v>0</v>
      </c>
      <c r="BJ138" s="915">
        <f t="shared" si="496"/>
        <v>0</v>
      </c>
      <c r="BK138" s="915">
        <f t="shared" si="534"/>
        <v>0</v>
      </c>
      <c r="BL138" s="915">
        <f t="shared" si="535"/>
        <v>0</v>
      </c>
      <c r="BM138" s="915">
        <f t="shared" si="536"/>
        <v>0</v>
      </c>
      <c r="BN138" s="915">
        <f t="shared" si="537"/>
        <v>0</v>
      </c>
      <c r="BO138" s="915">
        <f t="shared" si="538"/>
        <v>0</v>
      </c>
      <c r="BP138" s="915">
        <f t="shared" si="539"/>
        <v>0</v>
      </c>
      <c r="BQ138" s="915">
        <f t="shared" si="540"/>
        <v>0</v>
      </c>
      <c r="BR138" s="915">
        <f t="shared" si="541"/>
        <v>0</v>
      </c>
      <c r="BS138" s="915">
        <f t="shared" si="454"/>
        <v>0</v>
      </c>
      <c r="BT138" s="915">
        <f t="shared" si="455"/>
        <v>0</v>
      </c>
      <c r="BU138" s="915">
        <f t="shared" si="456"/>
        <v>0</v>
      </c>
      <c r="BV138" s="915">
        <f t="shared" si="457"/>
        <v>0</v>
      </c>
      <c r="BW138" s="915">
        <f t="shared" si="458"/>
        <v>0</v>
      </c>
      <c r="BX138" s="915">
        <f t="shared" si="459"/>
        <v>0</v>
      </c>
      <c r="BY138" s="915">
        <f t="shared" si="460"/>
        <v>0</v>
      </c>
      <c r="BZ138" s="915">
        <f t="shared" si="461"/>
        <v>0</v>
      </c>
      <c r="CA138" s="915">
        <f t="shared" si="462"/>
        <v>0</v>
      </c>
      <c r="CB138" s="915">
        <f t="shared" si="463"/>
        <v>0</v>
      </c>
      <c r="CC138" s="915">
        <f t="shared" si="464"/>
        <v>0</v>
      </c>
      <c r="CD138" s="915">
        <f t="shared" si="465"/>
        <v>0</v>
      </c>
      <c r="CE138" s="915">
        <f t="shared" si="466"/>
        <v>0</v>
      </c>
      <c r="CF138" s="915">
        <f t="shared" si="467"/>
        <v>0</v>
      </c>
      <c r="CG138" s="915">
        <f t="shared" si="468"/>
        <v>0</v>
      </c>
      <c r="CH138" s="915">
        <f t="shared" si="469"/>
        <v>0</v>
      </c>
      <c r="CI138" s="915">
        <f t="shared" si="336"/>
        <v>0</v>
      </c>
      <c r="CJ138" s="915">
        <f t="shared" si="337"/>
        <v>0</v>
      </c>
      <c r="CK138" s="915">
        <f t="shared" si="338"/>
        <v>0</v>
      </c>
      <c r="CL138" s="915">
        <f t="shared" si="339"/>
        <v>0</v>
      </c>
      <c r="CM138" s="915">
        <f t="shared" si="340"/>
        <v>0</v>
      </c>
      <c r="CN138" s="915">
        <f t="shared" si="341"/>
        <v>0</v>
      </c>
      <c r="CO138" s="915">
        <f t="shared" si="342"/>
        <v>0</v>
      </c>
      <c r="CP138" s="915">
        <f t="shared" si="343"/>
        <v>0</v>
      </c>
      <c r="CQ138" s="915">
        <f t="shared" si="370"/>
        <v>0</v>
      </c>
      <c r="CR138" s="915">
        <f t="shared" si="371"/>
        <v>0</v>
      </c>
      <c r="CS138" s="915">
        <f t="shared" si="372"/>
        <v>0</v>
      </c>
      <c r="CT138" s="915">
        <f t="shared" si="373"/>
        <v>0</v>
      </c>
      <c r="CU138" s="915">
        <f t="shared" si="374"/>
        <v>0</v>
      </c>
      <c r="CV138" s="915">
        <f t="shared" si="375"/>
        <v>0</v>
      </c>
      <c r="CW138" s="915">
        <f t="shared" si="376"/>
        <v>0</v>
      </c>
      <c r="CX138" s="915">
        <f t="shared" si="377"/>
        <v>0</v>
      </c>
      <c r="CY138" s="915">
        <f t="shared" si="542"/>
        <v>0</v>
      </c>
      <c r="CZ138" s="915">
        <f t="shared" si="543"/>
        <v>0</v>
      </c>
      <c r="DA138" s="915">
        <f t="shared" si="544"/>
        <v>0</v>
      </c>
      <c r="DB138" s="915">
        <f t="shared" si="545"/>
        <v>0</v>
      </c>
      <c r="DC138" s="915">
        <f t="shared" si="546"/>
        <v>0</v>
      </c>
      <c r="DD138" s="915">
        <f t="shared" si="547"/>
        <v>0</v>
      </c>
      <c r="DE138" s="915">
        <f t="shared" si="548"/>
        <v>0</v>
      </c>
      <c r="DF138" s="915">
        <f t="shared" si="549"/>
        <v>0</v>
      </c>
      <c r="DG138" s="915">
        <f t="shared" si="497"/>
        <v>0</v>
      </c>
      <c r="DH138" s="915">
        <f t="shared" si="498"/>
        <v>0</v>
      </c>
      <c r="DI138" s="915">
        <f t="shared" si="499"/>
        <v>0</v>
      </c>
      <c r="DJ138" s="915">
        <f t="shared" si="500"/>
        <v>0</v>
      </c>
      <c r="DK138" s="915">
        <f t="shared" si="501"/>
        <v>0</v>
      </c>
      <c r="DL138" s="915">
        <f t="shared" si="502"/>
        <v>0</v>
      </c>
      <c r="DM138" s="915">
        <f t="shared" si="503"/>
        <v>0</v>
      </c>
      <c r="DN138" s="915">
        <f t="shared" si="504"/>
        <v>0</v>
      </c>
      <c r="DO138" s="915">
        <f t="shared" si="430"/>
        <v>0</v>
      </c>
      <c r="DP138" s="915">
        <f t="shared" si="431"/>
        <v>0</v>
      </c>
      <c r="DQ138" s="915">
        <f t="shared" si="432"/>
        <v>0</v>
      </c>
      <c r="DR138" s="915">
        <f t="shared" si="433"/>
        <v>0</v>
      </c>
      <c r="DS138" s="915">
        <f t="shared" si="434"/>
        <v>0</v>
      </c>
      <c r="DT138" s="915">
        <f t="shared" si="435"/>
        <v>0</v>
      </c>
      <c r="DU138" s="915">
        <f t="shared" si="436"/>
        <v>0</v>
      </c>
      <c r="DV138" s="915">
        <f t="shared" si="437"/>
        <v>0</v>
      </c>
      <c r="DW138" s="915">
        <f t="shared" si="438"/>
        <v>0</v>
      </c>
      <c r="DX138" s="915">
        <f t="shared" si="439"/>
        <v>0</v>
      </c>
      <c r="DY138" s="915">
        <f t="shared" si="440"/>
        <v>0</v>
      </c>
      <c r="DZ138" s="915">
        <f t="shared" si="441"/>
        <v>0</v>
      </c>
      <c r="EA138" s="915">
        <f t="shared" si="442"/>
        <v>0</v>
      </c>
      <c r="EB138" s="915">
        <f t="shared" si="443"/>
        <v>0</v>
      </c>
      <c r="EC138" s="915">
        <f t="shared" si="444"/>
        <v>0</v>
      </c>
      <c r="ED138" s="915">
        <f t="shared" si="445"/>
        <v>0</v>
      </c>
      <c r="EE138" s="915">
        <f t="shared" si="470"/>
        <v>0</v>
      </c>
      <c r="EF138" s="915">
        <f t="shared" si="471"/>
        <v>0</v>
      </c>
      <c r="EG138" s="915">
        <f t="shared" si="472"/>
        <v>0</v>
      </c>
      <c r="EH138" s="915">
        <f t="shared" si="473"/>
        <v>0</v>
      </c>
      <c r="EI138" s="915">
        <f t="shared" si="474"/>
        <v>0</v>
      </c>
      <c r="EJ138" s="915">
        <f t="shared" si="475"/>
        <v>0</v>
      </c>
      <c r="EK138" s="915">
        <f t="shared" si="476"/>
        <v>0</v>
      </c>
      <c r="EL138" s="915">
        <f t="shared" si="477"/>
        <v>0</v>
      </c>
      <c r="EM138" s="915">
        <f t="shared" si="478"/>
        <v>0</v>
      </c>
      <c r="EN138" s="915">
        <f t="shared" si="479"/>
        <v>0</v>
      </c>
      <c r="EO138" s="915">
        <f t="shared" si="480"/>
        <v>0</v>
      </c>
      <c r="EP138" s="915">
        <f t="shared" si="481"/>
        <v>0</v>
      </c>
      <c r="EQ138" s="915">
        <f t="shared" si="482"/>
        <v>0</v>
      </c>
      <c r="ER138" s="915">
        <f t="shared" si="483"/>
        <v>0</v>
      </c>
      <c r="ES138" s="915">
        <f t="shared" si="484"/>
        <v>0</v>
      </c>
      <c r="ET138" s="915">
        <f t="shared" si="485"/>
        <v>0</v>
      </c>
      <c r="EU138" s="915">
        <f t="shared" si="550"/>
        <v>0</v>
      </c>
      <c r="EV138" s="915">
        <f t="shared" si="551"/>
        <v>0</v>
      </c>
      <c r="EW138" s="915">
        <f t="shared" si="552"/>
        <v>7.42</v>
      </c>
      <c r="EX138" s="915">
        <f t="shared" si="553"/>
        <v>0</v>
      </c>
      <c r="EY138" s="915">
        <f t="shared" si="554"/>
        <v>0</v>
      </c>
      <c r="EZ138" s="915">
        <f t="shared" si="555"/>
        <v>0</v>
      </c>
      <c r="FA138" s="915">
        <f t="shared" si="556"/>
        <v>0</v>
      </c>
      <c r="FB138" s="915">
        <f t="shared" si="557"/>
        <v>0</v>
      </c>
      <c r="FC138" s="915">
        <f t="shared" si="558"/>
        <v>0</v>
      </c>
      <c r="FD138" s="915">
        <f t="shared" si="559"/>
        <v>0</v>
      </c>
      <c r="FE138" s="915">
        <f t="shared" si="560"/>
        <v>0</v>
      </c>
      <c r="FF138" s="915">
        <f t="shared" si="561"/>
        <v>0</v>
      </c>
      <c r="FG138" s="915">
        <f t="shared" si="562"/>
        <v>0</v>
      </c>
      <c r="FH138" s="915">
        <f t="shared" si="563"/>
        <v>0</v>
      </c>
      <c r="FI138" s="915">
        <f t="shared" si="564"/>
        <v>0</v>
      </c>
      <c r="FJ138" s="915">
        <f t="shared" si="565"/>
        <v>0</v>
      </c>
      <c r="FK138" s="915">
        <f t="shared" si="566"/>
        <v>0</v>
      </c>
      <c r="FL138" s="915">
        <f t="shared" si="567"/>
        <v>0</v>
      </c>
      <c r="FM138" s="915">
        <f t="shared" si="568"/>
        <v>0</v>
      </c>
      <c r="FN138" s="915">
        <f t="shared" si="569"/>
        <v>0</v>
      </c>
      <c r="FO138" s="915">
        <f t="shared" si="570"/>
        <v>0</v>
      </c>
      <c r="FP138" s="915">
        <f t="shared" si="571"/>
        <v>0</v>
      </c>
      <c r="FQ138" s="915">
        <f t="shared" si="572"/>
        <v>0</v>
      </c>
      <c r="FR138" s="915">
        <f t="shared" si="573"/>
        <v>0</v>
      </c>
      <c r="FS138" s="915">
        <f t="shared" si="574"/>
        <v>0</v>
      </c>
      <c r="FT138" s="915">
        <f t="shared" si="575"/>
        <v>0</v>
      </c>
      <c r="FU138" s="915">
        <f t="shared" si="576"/>
        <v>0</v>
      </c>
      <c r="FV138" s="915">
        <f t="shared" si="577"/>
        <v>0</v>
      </c>
      <c r="FW138" s="915">
        <f t="shared" si="578"/>
        <v>0</v>
      </c>
      <c r="FX138" s="915">
        <f t="shared" si="579"/>
        <v>0</v>
      </c>
      <c r="FY138" s="915">
        <f t="shared" si="580"/>
        <v>0</v>
      </c>
      <c r="FZ138" s="915">
        <f t="shared" si="581"/>
        <v>0</v>
      </c>
    </row>
    <row r="139" spans="1:182" x14ac:dyDescent="0.2">
      <c r="A139" s="497">
        <v>132</v>
      </c>
      <c r="B139" s="1423"/>
      <c r="C139" s="1424"/>
      <c r="D139" s="138">
        <v>17</v>
      </c>
      <c r="E139" s="138" t="s">
        <v>52</v>
      </c>
      <c r="F139" s="139" t="s">
        <v>2544</v>
      </c>
      <c r="G139" s="139" t="s">
        <v>2542</v>
      </c>
      <c r="H139" s="100">
        <v>7</v>
      </c>
      <c r="I139" s="119">
        <f t="shared" si="404"/>
        <v>0.42</v>
      </c>
      <c r="J139" s="90">
        <f t="shared" si="405"/>
        <v>7.42</v>
      </c>
      <c r="K139" s="225"/>
      <c r="N139" s="951">
        <f>EX6</f>
        <v>7.42</v>
      </c>
      <c r="O139" s="915" t="str">
        <f>"Waste Haul for "&amp;TabName17</f>
        <v>Waste Haul for Phase 17</v>
      </c>
      <c r="P139" s="949" t="s">
        <v>2178</v>
      </c>
      <c r="W139" s="915">
        <f t="shared" si="486"/>
        <v>0</v>
      </c>
      <c r="X139" s="915">
        <f t="shared" si="487"/>
        <v>0</v>
      </c>
      <c r="Y139" s="915">
        <f t="shared" si="488"/>
        <v>0</v>
      </c>
      <c r="Z139" s="915">
        <f t="shared" si="505"/>
        <v>0</v>
      </c>
      <c r="AA139" s="915">
        <f t="shared" si="506"/>
        <v>0</v>
      </c>
      <c r="AB139" s="915">
        <f t="shared" si="507"/>
        <v>0</v>
      </c>
      <c r="AC139" s="915">
        <f t="shared" si="508"/>
        <v>0</v>
      </c>
      <c r="AD139" s="915">
        <f t="shared" si="509"/>
        <v>0</v>
      </c>
      <c r="AE139" s="915">
        <f t="shared" si="510"/>
        <v>0</v>
      </c>
      <c r="AF139" s="915">
        <f t="shared" si="511"/>
        <v>0</v>
      </c>
      <c r="AG139" s="915">
        <f t="shared" si="512"/>
        <v>0</v>
      </c>
      <c r="AH139" s="915">
        <f t="shared" si="513"/>
        <v>0</v>
      </c>
      <c r="AI139" s="915">
        <f t="shared" si="514"/>
        <v>0</v>
      </c>
      <c r="AJ139" s="915">
        <f t="shared" si="515"/>
        <v>0</v>
      </c>
      <c r="AK139" s="915">
        <f t="shared" si="516"/>
        <v>0</v>
      </c>
      <c r="AL139" s="915">
        <f t="shared" si="517"/>
        <v>0</v>
      </c>
      <c r="AM139" s="915">
        <f t="shared" si="518"/>
        <v>0</v>
      </c>
      <c r="AN139" s="915">
        <f t="shared" si="519"/>
        <v>0</v>
      </c>
      <c r="AO139" s="915">
        <f t="shared" si="520"/>
        <v>0</v>
      </c>
      <c r="AP139" s="915">
        <f t="shared" si="521"/>
        <v>0</v>
      </c>
      <c r="AQ139" s="915">
        <f t="shared" si="522"/>
        <v>0</v>
      </c>
      <c r="AR139" s="915">
        <f t="shared" si="523"/>
        <v>0</v>
      </c>
      <c r="AS139" s="915">
        <f t="shared" si="524"/>
        <v>0</v>
      </c>
      <c r="AT139" s="915">
        <f t="shared" si="525"/>
        <v>0</v>
      </c>
      <c r="AU139" s="915">
        <f t="shared" si="526"/>
        <v>0</v>
      </c>
      <c r="AV139" s="915">
        <f t="shared" si="527"/>
        <v>0</v>
      </c>
      <c r="AW139" s="915">
        <f t="shared" si="528"/>
        <v>0</v>
      </c>
      <c r="AX139" s="915">
        <f t="shared" si="529"/>
        <v>0</v>
      </c>
      <c r="AY139" s="915">
        <f t="shared" si="530"/>
        <v>0</v>
      </c>
      <c r="AZ139" s="915">
        <f t="shared" si="531"/>
        <v>0</v>
      </c>
      <c r="BA139" s="915">
        <f t="shared" si="532"/>
        <v>0</v>
      </c>
      <c r="BB139" s="915">
        <f t="shared" si="533"/>
        <v>0</v>
      </c>
      <c r="BC139" s="915">
        <f t="shared" si="489"/>
        <v>0</v>
      </c>
      <c r="BD139" s="915">
        <f t="shared" si="490"/>
        <v>0</v>
      </c>
      <c r="BE139" s="915">
        <f t="shared" si="491"/>
        <v>0</v>
      </c>
      <c r="BF139" s="915">
        <f t="shared" si="492"/>
        <v>0</v>
      </c>
      <c r="BG139" s="915">
        <f t="shared" si="493"/>
        <v>0</v>
      </c>
      <c r="BH139" s="915">
        <f t="shared" si="494"/>
        <v>0</v>
      </c>
      <c r="BI139" s="915">
        <f t="shared" si="495"/>
        <v>0</v>
      </c>
      <c r="BJ139" s="915">
        <f t="shared" si="496"/>
        <v>0</v>
      </c>
      <c r="BK139" s="915">
        <f t="shared" si="534"/>
        <v>0</v>
      </c>
      <c r="BL139" s="915">
        <f t="shared" si="535"/>
        <v>0</v>
      </c>
      <c r="BM139" s="915">
        <f t="shared" si="536"/>
        <v>0</v>
      </c>
      <c r="BN139" s="915">
        <f t="shared" si="537"/>
        <v>0</v>
      </c>
      <c r="BO139" s="915">
        <f t="shared" si="538"/>
        <v>0</v>
      </c>
      <c r="BP139" s="915">
        <f t="shared" si="539"/>
        <v>0</v>
      </c>
      <c r="BQ139" s="915">
        <f t="shared" si="540"/>
        <v>0</v>
      </c>
      <c r="BR139" s="915">
        <f t="shared" si="541"/>
        <v>0</v>
      </c>
      <c r="BS139" s="915">
        <f t="shared" si="454"/>
        <v>0</v>
      </c>
      <c r="BT139" s="915">
        <f t="shared" si="455"/>
        <v>0</v>
      </c>
      <c r="BU139" s="915">
        <f t="shared" si="456"/>
        <v>0</v>
      </c>
      <c r="BV139" s="915">
        <f t="shared" si="457"/>
        <v>0</v>
      </c>
      <c r="BW139" s="915">
        <f t="shared" si="458"/>
        <v>0</v>
      </c>
      <c r="BX139" s="915">
        <f t="shared" si="459"/>
        <v>0</v>
      </c>
      <c r="BY139" s="915">
        <f t="shared" si="460"/>
        <v>0</v>
      </c>
      <c r="BZ139" s="915">
        <f t="shared" si="461"/>
        <v>0</v>
      </c>
      <c r="CA139" s="915">
        <f t="shared" si="462"/>
        <v>0</v>
      </c>
      <c r="CB139" s="915">
        <f t="shared" si="463"/>
        <v>0</v>
      </c>
      <c r="CC139" s="915">
        <f t="shared" si="464"/>
        <v>0</v>
      </c>
      <c r="CD139" s="915">
        <f t="shared" si="465"/>
        <v>0</v>
      </c>
      <c r="CE139" s="915">
        <f t="shared" si="466"/>
        <v>0</v>
      </c>
      <c r="CF139" s="915">
        <f t="shared" si="467"/>
        <v>0</v>
      </c>
      <c r="CG139" s="915">
        <f t="shared" si="468"/>
        <v>0</v>
      </c>
      <c r="CH139" s="915">
        <f t="shared" si="469"/>
        <v>0</v>
      </c>
      <c r="CI139" s="915">
        <f t="shared" si="336"/>
        <v>0</v>
      </c>
      <c r="CJ139" s="915">
        <f t="shared" si="337"/>
        <v>0</v>
      </c>
      <c r="CK139" s="915">
        <f t="shared" si="338"/>
        <v>0</v>
      </c>
      <c r="CL139" s="915">
        <f t="shared" si="339"/>
        <v>0</v>
      </c>
      <c r="CM139" s="915">
        <f t="shared" si="340"/>
        <v>0</v>
      </c>
      <c r="CN139" s="915">
        <f t="shared" si="341"/>
        <v>0</v>
      </c>
      <c r="CO139" s="915">
        <f t="shared" si="342"/>
        <v>0</v>
      </c>
      <c r="CP139" s="915">
        <f t="shared" si="343"/>
        <v>0</v>
      </c>
      <c r="CQ139" s="915">
        <f t="shared" si="370"/>
        <v>0</v>
      </c>
      <c r="CR139" s="915">
        <f t="shared" si="371"/>
        <v>0</v>
      </c>
      <c r="CS139" s="915">
        <f t="shared" si="372"/>
        <v>0</v>
      </c>
      <c r="CT139" s="915">
        <f t="shared" si="373"/>
        <v>0</v>
      </c>
      <c r="CU139" s="915">
        <f t="shared" si="374"/>
        <v>0</v>
      </c>
      <c r="CV139" s="915">
        <f t="shared" si="375"/>
        <v>0</v>
      </c>
      <c r="CW139" s="915">
        <f t="shared" si="376"/>
        <v>0</v>
      </c>
      <c r="CX139" s="915">
        <f t="shared" si="377"/>
        <v>0</v>
      </c>
      <c r="CY139" s="915">
        <f t="shared" si="542"/>
        <v>0</v>
      </c>
      <c r="CZ139" s="915">
        <f t="shared" si="543"/>
        <v>0</v>
      </c>
      <c r="DA139" s="915">
        <f t="shared" si="544"/>
        <v>0</v>
      </c>
      <c r="DB139" s="915">
        <f t="shared" si="545"/>
        <v>0</v>
      </c>
      <c r="DC139" s="915">
        <f t="shared" si="546"/>
        <v>0</v>
      </c>
      <c r="DD139" s="915">
        <f t="shared" si="547"/>
        <v>0</v>
      </c>
      <c r="DE139" s="915">
        <f t="shared" si="548"/>
        <v>0</v>
      </c>
      <c r="DF139" s="915">
        <f t="shared" si="549"/>
        <v>0</v>
      </c>
      <c r="DG139" s="915">
        <f t="shared" si="497"/>
        <v>0</v>
      </c>
      <c r="DH139" s="915">
        <f t="shared" si="498"/>
        <v>0</v>
      </c>
      <c r="DI139" s="915">
        <f t="shared" si="499"/>
        <v>0</v>
      </c>
      <c r="DJ139" s="915">
        <f t="shared" si="500"/>
        <v>0</v>
      </c>
      <c r="DK139" s="915">
        <f t="shared" si="501"/>
        <v>0</v>
      </c>
      <c r="DL139" s="915">
        <f t="shared" si="502"/>
        <v>0</v>
      </c>
      <c r="DM139" s="915">
        <f t="shared" si="503"/>
        <v>0</v>
      </c>
      <c r="DN139" s="915">
        <f t="shared" si="504"/>
        <v>0</v>
      </c>
      <c r="DO139" s="915">
        <f t="shared" si="430"/>
        <v>0</v>
      </c>
      <c r="DP139" s="915">
        <f t="shared" si="431"/>
        <v>0</v>
      </c>
      <c r="DQ139" s="915">
        <f t="shared" si="432"/>
        <v>0</v>
      </c>
      <c r="DR139" s="915">
        <f t="shared" si="433"/>
        <v>0</v>
      </c>
      <c r="DS139" s="915">
        <f t="shared" si="434"/>
        <v>0</v>
      </c>
      <c r="DT139" s="915">
        <f t="shared" si="435"/>
        <v>0</v>
      </c>
      <c r="DU139" s="915">
        <f t="shared" si="436"/>
        <v>0</v>
      </c>
      <c r="DV139" s="915">
        <f t="shared" si="437"/>
        <v>0</v>
      </c>
      <c r="DW139" s="915">
        <f t="shared" si="438"/>
        <v>0</v>
      </c>
      <c r="DX139" s="915">
        <f t="shared" si="439"/>
        <v>0</v>
      </c>
      <c r="DY139" s="915">
        <f t="shared" si="440"/>
        <v>0</v>
      </c>
      <c r="DZ139" s="915">
        <f t="shared" si="441"/>
        <v>0</v>
      </c>
      <c r="EA139" s="915">
        <f t="shared" si="442"/>
        <v>0</v>
      </c>
      <c r="EB139" s="915">
        <f t="shared" si="443"/>
        <v>0</v>
      </c>
      <c r="EC139" s="915">
        <f t="shared" si="444"/>
        <v>0</v>
      </c>
      <c r="ED139" s="915">
        <f t="shared" si="445"/>
        <v>0</v>
      </c>
      <c r="EE139" s="915">
        <f t="shared" si="470"/>
        <v>0</v>
      </c>
      <c r="EF139" s="915">
        <f t="shared" si="471"/>
        <v>0</v>
      </c>
      <c r="EG139" s="915">
        <f t="shared" si="472"/>
        <v>0</v>
      </c>
      <c r="EH139" s="915">
        <f t="shared" si="473"/>
        <v>0</v>
      </c>
      <c r="EI139" s="915">
        <f t="shared" si="474"/>
        <v>0</v>
      </c>
      <c r="EJ139" s="915">
        <f t="shared" si="475"/>
        <v>0</v>
      </c>
      <c r="EK139" s="915">
        <f t="shared" si="476"/>
        <v>0</v>
      </c>
      <c r="EL139" s="915">
        <f t="shared" si="477"/>
        <v>0</v>
      </c>
      <c r="EM139" s="915">
        <f t="shared" si="478"/>
        <v>0</v>
      </c>
      <c r="EN139" s="915">
        <f t="shared" si="479"/>
        <v>0</v>
      </c>
      <c r="EO139" s="915">
        <f t="shared" si="480"/>
        <v>0</v>
      </c>
      <c r="EP139" s="915">
        <f t="shared" si="481"/>
        <v>0</v>
      </c>
      <c r="EQ139" s="915">
        <f t="shared" si="482"/>
        <v>0</v>
      </c>
      <c r="ER139" s="915">
        <f t="shared" si="483"/>
        <v>0</v>
      </c>
      <c r="ES139" s="915">
        <f t="shared" si="484"/>
        <v>0</v>
      </c>
      <c r="ET139" s="915">
        <f t="shared" si="485"/>
        <v>0</v>
      </c>
      <c r="EU139" s="915">
        <f t="shared" si="550"/>
        <v>0</v>
      </c>
      <c r="EV139" s="915">
        <f t="shared" si="551"/>
        <v>0</v>
      </c>
      <c r="EW139" s="915">
        <f t="shared" si="552"/>
        <v>0</v>
      </c>
      <c r="EX139" s="915">
        <f t="shared" si="553"/>
        <v>7.42</v>
      </c>
      <c r="EY139" s="915">
        <f t="shared" si="554"/>
        <v>0</v>
      </c>
      <c r="EZ139" s="915">
        <f t="shared" si="555"/>
        <v>0</v>
      </c>
      <c r="FA139" s="915">
        <f t="shared" si="556"/>
        <v>0</v>
      </c>
      <c r="FB139" s="915">
        <f t="shared" si="557"/>
        <v>0</v>
      </c>
      <c r="FC139" s="915">
        <f t="shared" si="558"/>
        <v>0</v>
      </c>
      <c r="FD139" s="915">
        <f t="shared" si="559"/>
        <v>0</v>
      </c>
      <c r="FE139" s="915">
        <f t="shared" si="560"/>
        <v>0</v>
      </c>
      <c r="FF139" s="915">
        <f t="shared" si="561"/>
        <v>0</v>
      </c>
      <c r="FG139" s="915">
        <f t="shared" si="562"/>
        <v>0</v>
      </c>
      <c r="FH139" s="915">
        <f t="shared" si="563"/>
        <v>0</v>
      </c>
      <c r="FI139" s="915">
        <f t="shared" si="564"/>
        <v>0</v>
      </c>
      <c r="FJ139" s="915">
        <f t="shared" si="565"/>
        <v>0</v>
      </c>
      <c r="FK139" s="915">
        <f t="shared" si="566"/>
        <v>0</v>
      </c>
      <c r="FL139" s="915">
        <f t="shared" si="567"/>
        <v>0</v>
      </c>
      <c r="FM139" s="915">
        <f t="shared" si="568"/>
        <v>0</v>
      </c>
      <c r="FN139" s="915">
        <f t="shared" si="569"/>
        <v>0</v>
      </c>
      <c r="FO139" s="915">
        <f t="shared" si="570"/>
        <v>0</v>
      </c>
      <c r="FP139" s="915">
        <f t="shared" si="571"/>
        <v>0</v>
      </c>
      <c r="FQ139" s="915">
        <f t="shared" si="572"/>
        <v>0</v>
      </c>
      <c r="FR139" s="915">
        <f t="shared" si="573"/>
        <v>0</v>
      </c>
      <c r="FS139" s="915">
        <f t="shared" si="574"/>
        <v>0</v>
      </c>
      <c r="FT139" s="915">
        <f t="shared" si="575"/>
        <v>0</v>
      </c>
      <c r="FU139" s="915">
        <f t="shared" si="576"/>
        <v>0</v>
      </c>
      <c r="FV139" s="915">
        <f t="shared" si="577"/>
        <v>0</v>
      </c>
      <c r="FW139" s="915">
        <f t="shared" si="578"/>
        <v>0</v>
      </c>
      <c r="FX139" s="915">
        <f t="shared" si="579"/>
        <v>0</v>
      </c>
      <c r="FY139" s="915">
        <f t="shared" si="580"/>
        <v>0</v>
      </c>
      <c r="FZ139" s="915">
        <f t="shared" si="581"/>
        <v>0</v>
      </c>
    </row>
    <row r="140" spans="1:182" x14ac:dyDescent="0.2">
      <c r="A140" s="496">
        <v>133</v>
      </c>
      <c r="B140" s="1419"/>
      <c r="C140" s="1433"/>
      <c r="D140" s="264">
        <v>17</v>
      </c>
      <c r="E140" s="264" t="s">
        <v>30</v>
      </c>
      <c r="F140" s="270" t="s">
        <v>2544</v>
      </c>
      <c r="G140" s="270" t="s">
        <v>2542</v>
      </c>
      <c r="H140" s="272">
        <v>7</v>
      </c>
      <c r="I140" s="268">
        <f t="shared" si="404"/>
        <v>0.42</v>
      </c>
      <c r="J140" s="269">
        <f t="shared" si="405"/>
        <v>7.42</v>
      </c>
      <c r="K140" s="225"/>
      <c r="N140" s="951">
        <f>EY6</f>
        <v>7.42</v>
      </c>
      <c r="O140" s="879" t="str">
        <f>"Surveying/Inspection for " &amp; TabName17</f>
        <v>Surveying/Inspection for Phase 17</v>
      </c>
      <c r="P140" s="950" t="s">
        <v>2179</v>
      </c>
      <c r="W140" s="915">
        <f t="shared" si="486"/>
        <v>0</v>
      </c>
      <c r="X140" s="915">
        <f t="shared" si="487"/>
        <v>0</v>
      </c>
      <c r="Y140" s="915">
        <f t="shared" si="488"/>
        <v>0</v>
      </c>
      <c r="Z140" s="915">
        <f t="shared" si="505"/>
        <v>0</v>
      </c>
      <c r="AA140" s="915">
        <f t="shared" si="506"/>
        <v>0</v>
      </c>
      <c r="AB140" s="915">
        <f t="shared" si="507"/>
        <v>0</v>
      </c>
      <c r="AC140" s="915">
        <f t="shared" si="508"/>
        <v>0</v>
      </c>
      <c r="AD140" s="915">
        <f t="shared" si="509"/>
        <v>0</v>
      </c>
      <c r="AE140" s="915">
        <f t="shared" si="510"/>
        <v>0</v>
      </c>
      <c r="AF140" s="915">
        <f t="shared" si="511"/>
        <v>0</v>
      </c>
      <c r="AG140" s="915">
        <f t="shared" si="512"/>
        <v>0</v>
      </c>
      <c r="AH140" s="915">
        <f t="shared" si="513"/>
        <v>0</v>
      </c>
      <c r="AI140" s="915">
        <f t="shared" si="514"/>
        <v>0</v>
      </c>
      <c r="AJ140" s="915">
        <f t="shared" si="515"/>
        <v>0</v>
      </c>
      <c r="AK140" s="915">
        <f t="shared" si="516"/>
        <v>0</v>
      </c>
      <c r="AL140" s="915">
        <f t="shared" si="517"/>
        <v>0</v>
      </c>
      <c r="AM140" s="915">
        <f t="shared" si="518"/>
        <v>0</v>
      </c>
      <c r="AN140" s="915">
        <f t="shared" si="519"/>
        <v>0</v>
      </c>
      <c r="AO140" s="915">
        <f t="shared" si="520"/>
        <v>0</v>
      </c>
      <c r="AP140" s="915">
        <f t="shared" si="521"/>
        <v>0</v>
      </c>
      <c r="AQ140" s="915">
        <f t="shared" si="522"/>
        <v>0</v>
      </c>
      <c r="AR140" s="915">
        <f t="shared" si="523"/>
        <v>0</v>
      </c>
      <c r="AS140" s="915">
        <f t="shared" si="524"/>
        <v>0</v>
      </c>
      <c r="AT140" s="915">
        <f t="shared" si="525"/>
        <v>0</v>
      </c>
      <c r="AU140" s="915">
        <f t="shared" si="526"/>
        <v>0</v>
      </c>
      <c r="AV140" s="915">
        <f t="shared" si="527"/>
        <v>0</v>
      </c>
      <c r="AW140" s="915">
        <f t="shared" si="528"/>
        <v>0</v>
      </c>
      <c r="AX140" s="915">
        <f t="shared" si="529"/>
        <v>0</v>
      </c>
      <c r="AY140" s="915">
        <f t="shared" si="530"/>
        <v>0</v>
      </c>
      <c r="AZ140" s="915">
        <f t="shared" si="531"/>
        <v>0</v>
      </c>
      <c r="BA140" s="915">
        <f t="shared" si="532"/>
        <v>0</v>
      </c>
      <c r="BB140" s="915">
        <f t="shared" si="533"/>
        <v>0</v>
      </c>
      <c r="BC140" s="915">
        <f t="shared" si="489"/>
        <v>0</v>
      </c>
      <c r="BD140" s="915">
        <f t="shared" si="490"/>
        <v>0</v>
      </c>
      <c r="BE140" s="915">
        <f t="shared" si="491"/>
        <v>0</v>
      </c>
      <c r="BF140" s="915">
        <f t="shared" si="492"/>
        <v>0</v>
      </c>
      <c r="BG140" s="915">
        <f t="shared" si="493"/>
        <v>0</v>
      </c>
      <c r="BH140" s="915">
        <f t="shared" si="494"/>
        <v>0</v>
      </c>
      <c r="BI140" s="915">
        <f t="shared" si="495"/>
        <v>0</v>
      </c>
      <c r="BJ140" s="915">
        <f t="shared" si="496"/>
        <v>0</v>
      </c>
      <c r="BK140" s="915">
        <f>IF(AND($D140=$R$13,$E140=$T$8),$J140,0)</f>
        <v>0</v>
      </c>
      <c r="BL140" s="915">
        <f>IF(AND($D140=$R$13,$E140=$T$9),$J140,0)</f>
        <v>0</v>
      </c>
      <c r="BM140" s="915">
        <f>IF(AND($D140=$R$13,$E140=$T$10),$J140,0)</f>
        <v>0</v>
      </c>
      <c r="BN140" s="915">
        <f>IF(AND($D140=$R$13,$E140=$T$11),$J140,0)</f>
        <v>0</v>
      </c>
      <c r="BO140" s="915">
        <f>IF(AND($D140=$R$13,$E140=$T$12),$J140,0)</f>
        <v>0</v>
      </c>
      <c r="BP140" s="915">
        <f>IF(AND($D140=$R$13,$E140=$T$13),$J140,0)</f>
        <v>0</v>
      </c>
      <c r="BQ140" s="915">
        <f>IF(AND($D140=$R$13,$E140=$T$14),$J140,0)</f>
        <v>0</v>
      </c>
      <c r="BR140" s="915">
        <f>IF(AND($D140=$R$13,$E140=$T$15),$J140,0)</f>
        <v>0</v>
      </c>
      <c r="BS140" s="915">
        <f t="shared" si="454"/>
        <v>0</v>
      </c>
      <c r="BT140" s="915">
        <f t="shared" si="455"/>
        <v>0</v>
      </c>
      <c r="BU140" s="915">
        <f t="shared" si="456"/>
        <v>0</v>
      </c>
      <c r="BV140" s="915">
        <f t="shared" si="457"/>
        <v>0</v>
      </c>
      <c r="BW140" s="915">
        <f t="shared" si="458"/>
        <v>0</v>
      </c>
      <c r="BX140" s="915">
        <f t="shared" si="459"/>
        <v>0</v>
      </c>
      <c r="BY140" s="915">
        <f t="shared" si="460"/>
        <v>0</v>
      </c>
      <c r="BZ140" s="915">
        <f t="shared" si="461"/>
        <v>0</v>
      </c>
      <c r="CA140" s="915">
        <f t="shared" si="462"/>
        <v>0</v>
      </c>
      <c r="CB140" s="915">
        <f t="shared" si="463"/>
        <v>0</v>
      </c>
      <c r="CC140" s="915">
        <f t="shared" si="464"/>
        <v>0</v>
      </c>
      <c r="CD140" s="915">
        <f t="shared" si="465"/>
        <v>0</v>
      </c>
      <c r="CE140" s="915">
        <f t="shared" si="466"/>
        <v>0</v>
      </c>
      <c r="CF140" s="915">
        <f t="shared" si="467"/>
        <v>0</v>
      </c>
      <c r="CG140" s="915">
        <f t="shared" si="468"/>
        <v>0</v>
      </c>
      <c r="CH140" s="915">
        <f t="shared" si="469"/>
        <v>0</v>
      </c>
      <c r="CI140" s="915">
        <f t="shared" si="336"/>
        <v>0</v>
      </c>
      <c r="CJ140" s="915">
        <f t="shared" si="337"/>
        <v>0</v>
      </c>
      <c r="CK140" s="915">
        <f t="shared" si="338"/>
        <v>0</v>
      </c>
      <c r="CL140" s="915">
        <f t="shared" si="339"/>
        <v>0</v>
      </c>
      <c r="CM140" s="915">
        <f t="shared" si="340"/>
        <v>0</v>
      </c>
      <c r="CN140" s="915">
        <f t="shared" si="341"/>
        <v>0</v>
      </c>
      <c r="CO140" s="915">
        <f t="shared" si="342"/>
        <v>0</v>
      </c>
      <c r="CP140" s="915">
        <f t="shared" si="343"/>
        <v>0</v>
      </c>
      <c r="CQ140" s="915">
        <f t="shared" si="370"/>
        <v>0</v>
      </c>
      <c r="CR140" s="915">
        <f t="shared" si="371"/>
        <v>0</v>
      </c>
      <c r="CS140" s="915">
        <f t="shared" si="372"/>
        <v>0</v>
      </c>
      <c r="CT140" s="915">
        <f t="shared" si="373"/>
        <v>0</v>
      </c>
      <c r="CU140" s="915">
        <f t="shared" si="374"/>
        <v>0</v>
      </c>
      <c r="CV140" s="915">
        <f t="shared" si="375"/>
        <v>0</v>
      </c>
      <c r="CW140" s="915">
        <f t="shared" si="376"/>
        <v>0</v>
      </c>
      <c r="CX140" s="915">
        <f t="shared" si="377"/>
        <v>0</v>
      </c>
      <c r="CY140" s="915">
        <f t="shared" si="542"/>
        <v>0</v>
      </c>
      <c r="CZ140" s="915">
        <f t="shared" si="543"/>
        <v>0</v>
      </c>
      <c r="DA140" s="915">
        <f t="shared" si="544"/>
        <v>0</v>
      </c>
      <c r="DB140" s="915">
        <f t="shared" si="545"/>
        <v>0</v>
      </c>
      <c r="DC140" s="915">
        <f t="shared" si="546"/>
        <v>0</v>
      </c>
      <c r="DD140" s="915">
        <f t="shared" si="547"/>
        <v>0</v>
      </c>
      <c r="DE140" s="915">
        <f t="shared" si="548"/>
        <v>0</v>
      </c>
      <c r="DF140" s="915">
        <f t="shared" si="549"/>
        <v>0</v>
      </c>
      <c r="DG140" s="915">
        <f t="shared" si="497"/>
        <v>0</v>
      </c>
      <c r="DH140" s="915">
        <f t="shared" si="498"/>
        <v>0</v>
      </c>
      <c r="DI140" s="915">
        <f t="shared" si="499"/>
        <v>0</v>
      </c>
      <c r="DJ140" s="915">
        <f t="shared" si="500"/>
        <v>0</v>
      </c>
      <c r="DK140" s="915">
        <f t="shared" si="501"/>
        <v>0</v>
      </c>
      <c r="DL140" s="915">
        <f t="shared" si="502"/>
        <v>0</v>
      </c>
      <c r="DM140" s="915">
        <f t="shared" si="503"/>
        <v>0</v>
      </c>
      <c r="DN140" s="915">
        <f t="shared" si="504"/>
        <v>0</v>
      </c>
      <c r="DO140" s="915">
        <f t="shared" si="430"/>
        <v>0</v>
      </c>
      <c r="DP140" s="915">
        <f t="shared" si="431"/>
        <v>0</v>
      </c>
      <c r="DQ140" s="915">
        <f t="shared" si="432"/>
        <v>0</v>
      </c>
      <c r="DR140" s="915">
        <f t="shared" si="433"/>
        <v>0</v>
      </c>
      <c r="DS140" s="915">
        <f t="shared" si="434"/>
        <v>0</v>
      </c>
      <c r="DT140" s="915">
        <f t="shared" si="435"/>
        <v>0</v>
      </c>
      <c r="DU140" s="915">
        <f t="shared" si="436"/>
        <v>0</v>
      </c>
      <c r="DV140" s="915">
        <f t="shared" si="437"/>
        <v>0</v>
      </c>
      <c r="DW140" s="915">
        <f t="shared" si="438"/>
        <v>0</v>
      </c>
      <c r="DX140" s="915">
        <f t="shared" si="439"/>
        <v>0</v>
      </c>
      <c r="DY140" s="915">
        <f t="shared" si="440"/>
        <v>0</v>
      </c>
      <c r="DZ140" s="915">
        <f t="shared" si="441"/>
        <v>0</v>
      </c>
      <c r="EA140" s="915">
        <f t="shared" si="442"/>
        <v>0</v>
      </c>
      <c r="EB140" s="915">
        <f t="shared" si="443"/>
        <v>0</v>
      </c>
      <c r="EC140" s="915">
        <f t="shared" si="444"/>
        <v>0</v>
      </c>
      <c r="ED140" s="915">
        <f t="shared" si="445"/>
        <v>0</v>
      </c>
      <c r="EE140" s="915">
        <f t="shared" si="470"/>
        <v>0</v>
      </c>
      <c r="EF140" s="915">
        <f t="shared" si="471"/>
        <v>0</v>
      </c>
      <c r="EG140" s="915">
        <f t="shared" si="472"/>
        <v>0</v>
      </c>
      <c r="EH140" s="915">
        <f t="shared" si="473"/>
        <v>0</v>
      </c>
      <c r="EI140" s="915">
        <f t="shared" si="474"/>
        <v>0</v>
      </c>
      <c r="EJ140" s="915">
        <f t="shared" si="475"/>
        <v>0</v>
      </c>
      <c r="EK140" s="915">
        <f t="shared" si="476"/>
        <v>0</v>
      </c>
      <c r="EL140" s="915">
        <f t="shared" si="477"/>
        <v>0</v>
      </c>
      <c r="EM140" s="915">
        <f t="shared" si="478"/>
        <v>0</v>
      </c>
      <c r="EN140" s="915">
        <f t="shared" si="479"/>
        <v>0</v>
      </c>
      <c r="EO140" s="915">
        <f t="shared" si="480"/>
        <v>0</v>
      </c>
      <c r="EP140" s="915">
        <f t="shared" si="481"/>
        <v>0</v>
      </c>
      <c r="EQ140" s="915">
        <f t="shared" si="482"/>
        <v>0</v>
      </c>
      <c r="ER140" s="915">
        <f t="shared" si="483"/>
        <v>0</v>
      </c>
      <c r="ES140" s="915">
        <f t="shared" si="484"/>
        <v>0</v>
      </c>
      <c r="ET140" s="915">
        <f t="shared" si="485"/>
        <v>0</v>
      </c>
      <c r="EU140" s="915">
        <f t="shared" si="550"/>
        <v>0</v>
      </c>
      <c r="EV140" s="915">
        <f t="shared" si="551"/>
        <v>0</v>
      </c>
      <c r="EW140" s="915">
        <f t="shared" si="552"/>
        <v>0</v>
      </c>
      <c r="EX140" s="915">
        <f t="shared" si="553"/>
        <v>0</v>
      </c>
      <c r="EY140" s="915">
        <f t="shared" si="554"/>
        <v>7.42</v>
      </c>
      <c r="EZ140" s="915">
        <f t="shared" si="555"/>
        <v>0</v>
      </c>
      <c r="FA140" s="915">
        <f t="shared" si="556"/>
        <v>0</v>
      </c>
      <c r="FB140" s="915">
        <f t="shared" si="557"/>
        <v>0</v>
      </c>
      <c r="FC140" s="915">
        <f t="shared" si="558"/>
        <v>0</v>
      </c>
      <c r="FD140" s="915">
        <f t="shared" si="559"/>
        <v>0</v>
      </c>
      <c r="FE140" s="915">
        <f t="shared" si="560"/>
        <v>0</v>
      </c>
      <c r="FF140" s="915">
        <f t="shared" si="561"/>
        <v>0</v>
      </c>
      <c r="FG140" s="915">
        <f t="shared" si="562"/>
        <v>0</v>
      </c>
      <c r="FH140" s="915">
        <f t="shared" si="563"/>
        <v>0</v>
      </c>
      <c r="FI140" s="915">
        <f t="shared" si="564"/>
        <v>0</v>
      </c>
      <c r="FJ140" s="915">
        <f t="shared" si="565"/>
        <v>0</v>
      </c>
      <c r="FK140" s="915">
        <f t="shared" si="566"/>
        <v>0</v>
      </c>
      <c r="FL140" s="915">
        <f t="shared" si="567"/>
        <v>0</v>
      </c>
      <c r="FM140" s="915">
        <f t="shared" si="568"/>
        <v>0</v>
      </c>
      <c r="FN140" s="915">
        <f t="shared" si="569"/>
        <v>0</v>
      </c>
      <c r="FO140" s="915">
        <f t="shared" si="570"/>
        <v>0</v>
      </c>
      <c r="FP140" s="915">
        <f t="shared" si="571"/>
        <v>0</v>
      </c>
      <c r="FQ140" s="915">
        <f t="shared" si="572"/>
        <v>0</v>
      </c>
      <c r="FR140" s="915">
        <f t="shared" si="573"/>
        <v>0</v>
      </c>
      <c r="FS140" s="915">
        <f t="shared" si="574"/>
        <v>0</v>
      </c>
      <c r="FT140" s="915">
        <f t="shared" si="575"/>
        <v>0</v>
      </c>
      <c r="FU140" s="915">
        <f t="shared" si="576"/>
        <v>0</v>
      </c>
      <c r="FV140" s="915">
        <f t="shared" si="577"/>
        <v>0</v>
      </c>
      <c r="FW140" s="915">
        <f t="shared" si="578"/>
        <v>0</v>
      </c>
      <c r="FX140" s="915">
        <f t="shared" si="579"/>
        <v>0</v>
      </c>
      <c r="FY140" s="915">
        <f t="shared" si="580"/>
        <v>0</v>
      </c>
      <c r="FZ140" s="915">
        <f t="shared" si="581"/>
        <v>0</v>
      </c>
    </row>
    <row r="141" spans="1:182" x14ac:dyDescent="0.2">
      <c r="A141" s="497">
        <v>134</v>
      </c>
      <c r="B141" s="1423"/>
      <c r="C141" s="1424"/>
      <c r="D141" s="138">
        <v>17</v>
      </c>
      <c r="E141" s="138" t="s">
        <v>170</v>
      </c>
      <c r="F141" s="139" t="s">
        <v>2544</v>
      </c>
      <c r="G141" s="139" t="s">
        <v>2542</v>
      </c>
      <c r="H141" s="100">
        <v>7</v>
      </c>
      <c r="I141" s="119">
        <f t="shared" si="404"/>
        <v>0.42</v>
      </c>
      <c r="J141" s="90">
        <f t="shared" si="405"/>
        <v>7.42</v>
      </c>
      <c r="K141" s="225"/>
      <c r="N141" s="951">
        <f>EZ6</f>
        <v>7.42</v>
      </c>
      <c r="O141" s="879" t="str">
        <f>"Other subcontractor for " &amp; TabName17</f>
        <v>Other subcontractor for Phase 17</v>
      </c>
      <c r="P141" s="949" t="s">
        <v>2180</v>
      </c>
      <c r="W141" s="915">
        <f t="shared" si="486"/>
        <v>0</v>
      </c>
      <c r="X141" s="915">
        <f t="shared" si="487"/>
        <v>0</v>
      </c>
      <c r="Y141" s="915">
        <f t="shared" si="488"/>
        <v>0</v>
      </c>
      <c r="Z141" s="915">
        <f t="shared" si="505"/>
        <v>0</v>
      </c>
      <c r="AA141" s="915">
        <f t="shared" si="506"/>
        <v>0</v>
      </c>
      <c r="AB141" s="915">
        <f t="shared" si="507"/>
        <v>0</v>
      </c>
      <c r="AC141" s="915">
        <f t="shared" si="508"/>
        <v>0</v>
      </c>
      <c r="AD141" s="915">
        <f t="shared" si="509"/>
        <v>0</v>
      </c>
      <c r="AE141" s="915">
        <f t="shared" si="510"/>
        <v>0</v>
      </c>
      <c r="AF141" s="915">
        <f t="shared" si="511"/>
        <v>0</v>
      </c>
      <c r="AG141" s="915">
        <f t="shared" si="512"/>
        <v>0</v>
      </c>
      <c r="AH141" s="915">
        <f t="shared" si="513"/>
        <v>0</v>
      </c>
      <c r="AI141" s="915">
        <f t="shared" si="514"/>
        <v>0</v>
      </c>
      <c r="AJ141" s="915">
        <f t="shared" si="515"/>
        <v>0</v>
      </c>
      <c r="AK141" s="915">
        <f t="shared" si="516"/>
        <v>0</v>
      </c>
      <c r="AL141" s="915">
        <f t="shared" si="517"/>
        <v>0</v>
      </c>
      <c r="AM141" s="915">
        <f t="shared" si="518"/>
        <v>0</v>
      </c>
      <c r="AN141" s="915">
        <f t="shared" si="519"/>
        <v>0</v>
      </c>
      <c r="AO141" s="915">
        <f t="shared" si="520"/>
        <v>0</v>
      </c>
      <c r="AP141" s="915">
        <f t="shared" si="521"/>
        <v>0</v>
      </c>
      <c r="AQ141" s="915">
        <f t="shared" si="522"/>
        <v>0</v>
      </c>
      <c r="AR141" s="915">
        <f t="shared" si="523"/>
        <v>0</v>
      </c>
      <c r="AS141" s="915">
        <f t="shared" si="524"/>
        <v>0</v>
      </c>
      <c r="AT141" s="915">
        <f t="shared" si="525"/>
        <v>0</v>
      </c>
      <c r="AU141" s="915">
        <f t="shared" si="526"/>
        <v>0</v>
      </c>
      <c r="AV141" s="915">
        <f t="shared" si="527"/>
        <v>0</v>
      </c>
      <c r="AW141" s="915">
        <f t="shared" si="528"/>
        <v>0</v>
      </c>
      <c r="AX141" s="915">
        <f t="shared" si="529"/>
        <v>0</v>
      </c>
      <c r="AY141" s="915">
        <f t="shared" si="530"/>
        <v>0</v>
      </c>
      <c r="AZ141" s="915">
        <f t="shared" si="531"/>
        <v>0</v>
      </c>
      <c r="BA141" s="915">
        <f t="shared" si="532"/>
        <v>0</v>
      </c>
      <c r="BB141" s="915">
        <f t="shared" si="533"/>
        <v>0</v>
      </c>
      <c r="BC141" s="915">
        <f t="shared" si="489"/>
        <v>0</v>
      </c>
      <c r="BD141" s="915">
        <f t="shared" si="490"/>
        <v>0</v>
      </c>
      <c r="BE141" s="915">
        <f t="shared" si="491"/>
        <v>0</v>
      </c>
      <c r="BF141" s="915">
        <f t="shared" si="492"/>
        <v>0</v>
      </c>
      <c r="BG141" s="915">
        <f t="shared" si="493"/>
        <v>0</v>
      </c>
      <c r="BH141" s="915">
        <f t="shared" si="494"/>
        <v>0</v>
      </c>
      <c r="BI141" s="915">
        <f t="shared" si="495"/>
        <v>0</v>
      </c>
      <c r="BJ141" s="915">
        <f t="shared" si="496"/>
        <v>0</v>
      </c>
      <c r="BK141" s="915">
        <f t="shared" ref="BK141:BK152" si="582">IF(AND($D141=$R$13,$E141=$T$8),$J141,0)</f>
        <v>0</v>
      </c>
      <c r="BL141" s="915">
        <f t="shared" ref="BL141:BL152" si="583">IF(AND($D141=$R$13,$E141=$T$9),$J141,0)</f>
        <v>0</v>
      </c>
      <c r="BM141" s="915">
        <f t="shared" ref="BM141:BM152" si="584">IF(AND($D141=$R$13,$E141=$T$10),$J141,0)</f>
        <v>0</v>
      </c>
      <c r="BN141" s="915">
        <f t="shared" ref="BN141:BN152" si="585">IF(AND($D141=$R$13,$E141=$T$11),$J141,0)</f>
        <v>0</v>
      </c>
      <c r="BO141" s="915">
        <f t="shared" ref="BO141:BO152" si="586">IF(AND($D141=$R$13,$E141=$T$12),$J141,0)</f>
        <v>0</v>
      </c>
      <c r="BP141" s="915">
        <f t="shared" ref="BP141:BP152" si="587">IF(AND($D141=$R$13,$E141=$T$13),$J141,0)</f>
        <v>0</v>
      </c>
      <c r="BQ141" s="915">
        <f t="shared" ref="BQ141:BQ152" si="588">IF(AND($D141=$R$13,$E141=$T$14),$J141,0)</f>
        <v>0</v>
      </c>
      <c r="BR141" s="915">
        <f t="shared" ref="BR141:BR152" si="589">IF(AND($D141=$R$13,$E141=$T$15),$J141,0)</f>
        <v>0</v>
      </c>
      <c r="BS141" s="915">
        <f t="shared" si="454"/>
        <v>0</v>
      </c>
      <c r="BT141" s="915">
        <f t="shared" si="455"/>
        <v>0</v>
      </c>
      <c r="BU141" s="915">
        <f t="shared" si="456"/>
        <v>0</v>
      </c>
      <c r="BV141" s="915">
        <f t="shared" si="457"/>
        <v>0</v>
      </c>
      <c r="BW141" s="915">
        <f t="shared" si="458"/>
        <v>0</v>
      </c>
      <c r="BX141" s="915">
        <f t="shared" si="459"/>
        <v>0</v>
      </c>
      <c r="BY141" s="915">
        <f t="shared" si="460"/>
        <v>0</v>
      </c>
      <c r="BZ141" s="915">
        <f t="shared" si="461"/>
        <v>0</v>
      </c>
      <c r="CA141" s="915">
        <f t="shared" si="462"/>
        <v>0</v>
      </c>
      <c r="CB141" s="915">
        <f t="shared" si="463"/>
        <v>0</v>
      </c>
      <c r="CC141" s="915">
        <f t="shared" si="464"/>
        <v>0</v>
      </c>
      <c r="CD141" s="915">
        <f t="shared" si="465"/>
        <v>0</v>
      </c>
      <c r="CE141" s="915">
        <f t="shared" si="466"/>
        <v>0</v>
      </c>
      <c r="CF141" s="915">
        <f t="shared" si="467"/>
        <v>0</v>
      </c>
      <c r="CG141" s="915">
        <f t="shared" si="468"/>
        <v>0</v>
      </c>
      <c r="CH141" s="915">
        <f t="shared" si="469"/>
        <v>0</v>
      </c>
      <c r="CI141" s="915">
        <f t="shared" si="336"/>
        <v>0</v>
      </c>
      <c r="CJ141" s="915">
        <f t="shared" si="337"/>
        <v>0</v>
      </c>
      <c r="CK141" s="915">
        <f t="shared" si="338"/>
        <v>0</v>
      </c>
      <c r="CL141" s="915">
        <f t="shared" si="339"/>
        <v>0</v>
      </c>
      <c r="CM141" s="915">
        <f t="shared" si="340"/>
        <v>0</v>
      </c>
      <c r="CN141" s="915">
        <f t="shared" si="341"/>
        <v>0</v>
      </c>
      <c r="CO141" s="915">
        <f t="shared" si="342"/>
        <v>0</v>
      </c>
      <c r="CP141" s="915">
        <f t="shared" si="343"/>
        <v>0</v>
      </c>
      <c r="CQ141" s="915">
        <f t="shared" si="370"/>
        <v>0</v>
      </c>
      <c r="CR141" s="915">
        <f t="shared" si="371"/>
        <v>0</v>
      </c>
      <c r="CS141" s="915">
        <f t="shared" si="372"/>
        <v>0</v>
      </c>
      <c r="CT141" s="915">
        <f t="shared" si="373"/>
        <v>0</v>
      </c>
      <c r="CU141" s="915">
        <f t="shared" si="374"/>
        <v>0</v>
      </c>
      <c r="CV141" s="915">
        <f t="shared" si="375"/>
        <v>0</v>
      </c>
      <c r="CW141" s="915">
        <f t="shared" si="376"/>
        <v>0</v>
      </c>
      <c r="CX141" s="915">
        <f t="shared" si="377"/>
        <v>0</v>
      </c>
      <c r="CY141" s="915">
        <f t="shared" si="542"/>
        <v>0</v>
      </c>
      <c r="CZ141" s="915">
        <f t="shared" si="543"/>
        <v>0</v>
      </c>
      <c r="DA141" s="915">
        <f t="shared" si="544"/>
        <v>0</v>
      </c>
      <c r="DB141" s="915">
        <f t="shared" si="545"/>
        <v>0</v>
      </c>
      <c r="DC141" s="915">
        <f t="shared" si="546"/>
        <v>0</v>
      </c>
      <c r="DD141" s="915">
        <f t="shared" si="547"/>
        <v>0</v>
      </c>
      <c r="DE141" s="915">
        <f t="shared" si="548"/>
        <v>0</v>
      </c>
      <c r="DF141" s="915">
        <f t="shared" si="549"/>
        <v>0</v>
      </c>
      <c r="DG141" s="915">
        <f t="shared" si="497"/>
        <v>0</v>
      </c>
      <c r="DH141" s="915">
        <f t="shared" si="498"/>
        <v>0</v>
      </c>
      <c r="DI141" s="915">
        <f t="shared" si="499"/>
        <v>0</v>
      </c>
      <c r="DJ141" s="915">
        <f t="shared" si="500"/>
        <v>0</v>
      </c>
      <c r="DK141" s="915">
        <f t="shared" si="501"/>
        <v>0</v>
      </c>
      <c r="DL141" s="915">
        <f t="shared" si="502"/>
        <v>0</v>
      </c>
      <c r="DM141" s="915">
        <f t="shared" si="503"/>
        <v>0</v>
      </c>
      <c r="DN141" s="915">
        <f t="shared" si="504"/>
        <v>0</v>
      </c>
      <c r="DO141" s="915">
        <f t="shared" si="430"/>
        <v>0</v>
      </c>
      <c r="DP141" s="915">
        <f t="shared" si="431"/>
        <v>0</v>
      </c>
      <c r="DQ141" s="915">
        <f t="shared" si="432"/>
        <v>0</v>
      </c>
      <c r="DR141" s="915">
        <f t="shared" si="433"/>
        <v>0</v>
      </c>
      <c r="DS141" s="915">
        <f t="shared" si="434"/>
        <v>0</v>
      </c>
      <c r="DT141" s="915">
        <f t="shared" si="435"/>
        <v>0</v>
      </c>
      <c r="DU141" s="915">
        <f t="shared" si="436"/>
        <v>0</v>
      </c>
      <c r="DV141" s="915">
        <f t="shared" si="437"/>
        <v>0</v>
      </c>
      <c r="DW141" s="915">
        <f t="shared" si="438"/>
        <v>0</v>
      </c>
      <c r="DX141" s="915">
        <f t="shared" si="439"/>
        <v>0</v>
      </c>
      <c r="DY141" s="915">
        <f t="shared" si="440"/>
        <v>0</v>
      </c>
      <c r="DZ141" s="915">
        <f t="shared" si="441"/>
        <v>0</v>
      </c>
      <c r="EA141" s="915">
        <f t="shared" si="442"/>
        <v>0</v>
      </c>
      <c r="EB141" s="915">
        <f t="shared" si="443"/>
        <v>0</v>
      </c>
      <c r="EC141" s="915">
        <f t="shared" si="444"/>
        <v>0</v>
      </c>
      <c r="ED141" s="915">
        <f t="shared" si="445"/>
        <v>0</v>
      </c>
      <c r="EE141" s="915">
        <f t="shared" si="470"/>
        <v>0</v>
      </c>
      <c r="EF141" s="915">
        <f t="shared" si="471"/>
        <v>0</v>
      </c>
      <c r="EG141" s="915">
        <f t="shared" si="472"/>
        <v>0</v>
      </c>
      <c r="EH141" s="915">
        <f t="shared" si="473"/>
        <v>0</v>
      </c>
      <c r="EI141" s="915">
        <f t="shared" si="474"/>
        <v>0</v>
      </c>
      <c r="EJ141" s="915">
        <f t="shared" si="475"/>
        <v>0</v>
      </c>
      <c r="EK141" s="915">
        <f t="shared" si="476"/>
        <v>0</v>
      </c>
      <c r="EL141" s="915">
        <f t="shared" si="477"/>
        <v>0</v>
      </c>
      <c r="EM141" s="915">
        <f t="shared" si="478"/>
        <v>0</v>
      </c>
      <c r="EN141" s="915">
        <f t="shared" si="479"/>
        <v>0</v>
      </c>
      <c r="EO141" s="915">
        <f t="shared" si="480"/>
        <v>0</v>
      </c>
      <c r="EP141" s="915">
        <f t="shared" si="481"/>
        <v>0</v>
      </c>
      <c r="EQ141" s="915">
        <f t="shared" si="482"/>
        <v>0</v>
      </c>
      <c r="ER141" s="915">
        <f t="shared" si="483"/>
        <v>0</v>
      </c>
      <c r="ES141" s="915">
        <f t="shared" si="484"/>
        <v>0</v>
      </c>
      <c r="ET141" s="915">
        <f t="shared" si="485"/>
        <v>0</v>
      </c>
      <c r="EU141" s="915">
        <f t="shared" si="550"/>
        <v>0</v>
      </c>
      <c r="EV141" s="915">
        <f t="shared" si="551"/>
        <v>0</v>
      </c>
      <c r="EW141" s="915">
        <f t="shared" si="552"/>
        <v>0</v>
      </c>
      <c r="EX141" s="915">
        <f t="shared" si="553"/>
        <v>0</v>
      </c>
      <c r="EY141" s="915">
        <f t="shared" si="554"/>
        <v>0</v>
      </c>
      <c r="EZ141" s="915">
        <f t="shared" si="555"/>
        <v>7.42</v>
      </c>
      <c r="FA141" s="915">
        <f t="shared" si="556"/>
        <v>0</v>
      </c>
      <c r="FB141" s="915">
        <f t="shared" si="557"/>
        <v>0</v>
      </c>
      <c r="FC141" s="915">
        <f t="shared" si="558"/>
        <v>0</v>
      </c>
      <c r="FD141" s="915">
        <f t="shared" si="559"/>
        <v>0</v>
      </c>
      <c r="FE141" s="915">
        <f t="shared" si="560"/>
        <v>0</v>
      </c>
      <c r="FF141" s="915">
        <f t="shared" si="561"/>
        <v>0</v>
      </c>
      <c r="FG141" s="915">
        <f t="shared" si="562"/>
        <v>0</v>
      </c>
      <c r="FH141" s="915">
        <f t="shared" si="563"/>
        <v>0</v>
      </c>
      <c r="FI141" s="915">
        <f t="shared" si="564"/>
        <v>0</v>
      </c>
      <c r="FJ141" s="915">
        <f t="shared" si="565"/>
        <v>0</v>
      </c>
      <c r="FK141" s="915">
        <f t="shared" si="566"/>
        <v>0</v>
      </c>
      <c r="FL141" s="915">
        <f t="shared" si="567"/>
        <v>0</v>
      </c>
      <c r="FM141" s="915">
        <f t="shared" si="568"/>
        <v>0</v>
      </c>
      <c r="FN141" s="915">
        <f t="shared" si="569"/>
        <v>0</v>
      </c>
      <c r="FO141" s="915">
        <f t="shared" si="570"/>
        <v>0</v>
      </c>
      <c r="FP141" s="915">
        <f t="shared" si="571"/>
        <v>0</v>
      </c>
      <c r="FQ141" s="915">
        <f t="shared" si="572"/>
        <v>0</v>
      </c>
      <c r="FR141" s="915">
        <f t="shared" si="573"/>
        <v>0</v>
      </c>
      <c r="FS141" s="915">
        <f t="shared" si="574"/>
        <v>0</v>
      </c>
      <c r="FT141" s="915">
        <f t="shared" si="575"/>
        <v>0</v>
      </c>
      <c r="FU141" s="915">
        <f t="shared" si="576"/>
        <v>0</v>
      </c>
      <c r="FV141" s="915">
        <f t="shared" si="577"/>
        <v>0</v>
      </c>
      <c r="FW141" s="915">
        <f t="shared" si="578"/>
        <v>0</v>
      </c>
      <c r="FX141" s="915">
        <f t="shared" si="579"/>
        <v>0</v>
      </c>
      <c r="FY141" s="915">
        <f t="shared" si="580"/>
        <v>0</v>
      </c>
      <c r="FZ141" s="915">
        <f t="shared" si="581"/>
        <v>0</v>
      </c>
    </row>
    <row r="142" spans="1:182" x14ac:dyDescent="0.2">
      <c r="A142" s="496">
        <v>135</v>
      </c>
      <c r="B142" s="1419"/>
      <c r="C142" s="1433"/>
      <c r="D142" s="264">
        <v>17</v>
      </c>
      <c r="E142" s="264" t="s">
        <v>48</v>
      </c>
      <c r="F142" s="270" t="s">
        <v>2544</v>
      </c>
      <c r="G142" s="270" t="s">
        <v>2542</v>
      </c>
      <c r="H142" s="272">
        <v>7</v>
      </c>
      <c r="I142" s="268">
        <f t="shared" si="404"/>
        <v>0.42</v>
      </c>
      <c r="J142" s="269">
        <f t="shared" si="405"/>
        <v>7.42</v>
      </c>
      <c r="K142" s="225"/>
      <c r="N142" s="951">
        <f>FA6</f>
        <v>7.42</v>
      </c>
      <c r="O142" s="915" t="str">
        <f>"Miscellaneous for "&amp;TabName17</f>
        <v>Miscellaneous for Phase 17</v>
      </c>
      <c r="P142" s="949" t="s">
        <v>2181</v>
      </c>
      <c r="W142" s="915">
        <f t="shared" si="486"/>
        <v>0</v>
      </c>
      <c r="X142" s="915">
        <f t="shared" si="487"/>
        <v>0</v>
      </c>
      <c r="Y142" s="915">
        <f t="shared" si="488"/>
        <v>0</v>
      </c>
      <c r="Z142" s="915">
        <f t="shared" si="505"/>
        <v>0</v>
      </c>
      <c r="AA142" s="915">
        <f t="shared" si="506"/>
        <v>0</v>
      </c>
      <c r="AB142" s="915">
        <f t="shared" si="507"/>
        <v>0</v>
      </c>
      <c r="AC142" s="915">
        <f t="shared" si="508"/>
        <v>0</v>
      </c>
      <c r="AD142" s="915">
        <f t="shared" si="509"/>
        <v>0</v>
      </c>
      <c r="AE142" s="915">
        <f t="shared" si="510"/>
        <v>0</v>
      </c>
      <c r="AF142" s="915">
        <f t="shared" si="511"/>
        <v>0</v>
      </c>
      <c r="AG142" s="915">
        <f t="shared" si="512"/>
        <v>0</v>
      </c>
      <c r="AH142" s="915">
        <f t="shared" si="513"/>
        <v>0</v>
      </c>
      <c r="AI142" s="915">
        <f t="shared" si="514"/>
        <v>0</v>
      </c>
      <c r="AJ142" s="915">
        <f t="shared" si="515"/>
        <v>0</v>
      </c>
      <c r="AK142" s="915">
        <f t="shared" si="516"/>
        <v>0</v>
      </c>
      <c r="AL142" s="915">
        <f t="shared" si="517"/>
        <v>0</v>
      </c>
      <c r="AM142" s="915">
        <f t="shared" si="518"/>
        <v>0</v>
      </c>
      <c r="AN142" s="915">
        <f t="shared" si="519"/>
        <v>0</v>
      </c>
      <c r="AO142" s="915">
        <f t="shared" si="520"/>
        <v>0</v>
      </c>
      <c r="AP142" s="915">
        <f t="shared" si="521"/>
        <v>0</v>
      </c>
      <c r="AQ142" s="915">
        <f t="shared" si="522"/>
        <v>0</v>
      </c>
      <c r="AR142" s="915">
        <f t="shared" si="523"/>
        <v>0</v>
      </c>
      <c r="AS142" s="915">
        <f t="shared" si="524"/>
        <v>0</v>
      </c>
      <c r="AT142" s="915">
        <f t="shared" si="525"/>
        <v>0</v>
      </c>
      <c r="AU142" s="915">
        <f t="shared" si="526"/>
        <v>0</v>
      </c>
      <c r="AV142" s="915">
        <f t="shared" si="527"/>
        <v>0</v>
      </c>
      <c r="AW142" s="915">
        <f t="shared" si="528"/>
        <v>0</v>
      </c>
      <c r="AX142" s="915">
        <f t="shared" si="529"/>
        <v>0</v>
      </c>
      <c r="AY142" s="915">
        <f t="shared" si="530"/>
        <v>0</v>
      </c>
      <c r="AZ142" s="915">
        <f t="shared" si="531"/>
        <v>0</v>
      </c>
      <c r="BA142" s="915">
        <f t="shared" si="532"/>
        <v>0</v>
      </c>
      <c r="BB142" s="915">
        <f t="shared" si="533"/>
        <v>0</v>
      </c>
      <c r="BC142" s="915">
        <f t="shared" si="489"/>
        <v>0</v>
      </c>
      <c r="BD142" s="915">
        <f t="shared" si="490"/>
        <v>0</v>
      </c>
      <c r="BE142" s="915">
        <f t="shared" si="491"/>
        <v>0</v>
      </c>
      <c r="BF142" s="915">
        <f t="shared" si="492"/>
        <v>0</v>
      </c>
      <c r="BG142" s="915">
        <f t="shared" si="493"/>
        <v>0</v>
      </c>
      <c r="BH142" s="915">
        <f t="shared" si="494"/>
        <v>0</v>
      </c>
      <c r="BI142" s="915">
        <f t="shared" si="495"/>
        <v>0</v>
      </c>
      <c r="BJ142" s="915">
        <f t="shared" si="496"/>
        <v>0</v>
      </c>
      <c r="BK142" s="915">
        <f t="shared" si="582"/>
        <v>0</v>
      </c>
      <c r="BL142" s="915">
        <f t="shared" si="583"/>
        <v>0</v>
      </c>
      <c r="BM142" s="915">
        <f t="shared" si="584"/>
        <v>0</v>
      </c>
      <c r="BN142" s="915">
        <f t="shared" si="585"/>
        <v>0</v>
      </c>
      <c r="BO142" s="915">
        <f t="shared" si="586"/>
        <v>0</v>
      </c>
      <c r="BP142" s="915">
        <f t="shared" si="587"/>
        <v>0</v>
      </c>
      <c r="BQ142" s="915">
        <f t="shared" si="588"/>
        <v>0</v>
      </c>
      <c r="BR142" s="915">
        <f t="shared" si="589"/>
        <v>0</v>
      </c>
      <c r="BS142" s="915">
        <f t="shared" si="454"/>
        <v>0</v>
      </c>
      <c r="BT142" s="915">
        <f t="shared" si="455"/>
        <v>0</v>
      </c>
      <c r="BU142" s="915">
        <f t="shared" si="456"/>
        <v>0</v>
      </c>
      <c r="BV142" s="915">
        <f t="shared" si="457"/>
        <v>0</v>
      </c>
      <c r="BW142" s="915">
        <f t="shared" si="458"/>
        <v>0</v>
      </c>
      <c r="BX142" s="915">
        <f t="shared" si="459"/>
        <v>0</v>
      </c>
      <c r="BY142" s="915">
        <f t="shared" si="460"/>
        <v>0</v>
      </c>
      <c r="BZ142" s="915">
        <f t="shared" si="461"/>
        <v>0</v>
      </c>
      <c r="CA142" s="915">
        <f t="shared" si="462"/>
        <v>0</v>
      </c>
      <c r="CB142" s="915">
        <f t="shared" si="463"/>
        <v>0</v>
      </c>
      <c r="CC142" s="915">
        <f t="shared" si="464"/>
        <v>0</v>
      </c>
      <c r="CD142" s="915">
        <f t="shared" si="465"/>
        <v>0</v>
      </c>
      <c r="CE142" s="915">
        <f t="shared" si="466"/>
        <v>0</v>
      </c>
      <c r="CF142" s="915">
        <f t="shared" si="467"/>
        <v>0</v>
      </c>
      <c r="CG142" s="915">
        <f t="shared" si="468"/>
        <v>0</v>
      </c>
      <c r="CH142" s="915">
        <f t="shared" si="469"/>
        <v>0</v>
      </c>
      <c r="CI142" s="915">
        <f t="shared" si="336"/>
        <v>0</v>
      </c>
      <c r="CJ142" s="915">
        <f t="shared" si="337"/>
        <v>0</v>
      </c>
      <c r="CK142" s="915">
        <f t="shared" si="338"/>
        <v>0</v>
      </c>
      <c r="CL142" s="915">
        <f t="shared" si="339"/>
        <v>0</v>
      </c>
      <c r="CM142" s="915">
        <f t="shared" si="340"/>
        <v>0</v>
      </c>
      <c r="CN142" s="915">
        <f t="shared" si="341"/>
        <v>0</v>
      </c>
      <c r="CO142" s="915">
        <f t="shared" si="342"/>
        <v>0</v>
      </c>
      <c r="CP142" s="915">
        <f t="shared" si="343"/>
        <v>0</v>
      </c>
      <c r="CQ142" s="915">
        <f t="shared" si="370"/>
        <v>0</v>
      </c>
      <c r="CR142" s="915">
        <f t="shared" si="371"/>
        <v>0</v>
      </c>
      <c r="CS142" s="915">
        <f t="shared" si="372"/>
        <v>0</v>
      </c>
      <c r="CT142" s="915">
        <f t="shared" si="373"/>
        <v>0</v>
      </c>
      <c r="CU142" s="915">
        <f t="shared" si="374"/>
        <v>0</v>
      </c>
      <c r="CV142" s="915">
        <f t="shared" si="375"/>
        <v>0</v>
      </c>
      <c r="CW142" s="915">
        <f t="shared" si="376"/>
        <v>0</v>
      </c>
      <c r="CX142" s="915">
        <f t="shared" si="377"/>
        <v>0</v>
      </c>
      <c r="CY142" s="915">
        <f t="shared" si="542"/>
        <v>0</v>
      </c>
      <c r="CZ142" s="915">
        <f t="shared" si="543"/>
        <v>0</v>
      </c>
      <c r="DA142" s="915">
        <f t="shared" si="544"/>
        <v>0</v>
      </c>
      <c r="DB142" s="915">
        <f t="shared" si="545"/>
        <v>0</v>
      </c>
      <c r="DC142" s="915">
        <f t="shared" si="546"/>
        <v>0</v>
      </c>
      <c r="DD142" s="915">
        <f t="shared" si="547"/>
        <v>0</v>
      </c>
      <c r="DE142" s="915">
        <f t="shared" si="548"/>
        <v>0</v>
      </c>
      <c r="DF142" s="915">
        <f t="shared" si="549"/>
        <v>0</v>
      </c>
      <c r="DG142" s="915">
        <f t="shared" si="497"/>
        <v>0</v>
      </c>
      <c r="DH142" s="915">
        <f t="shared" si="498"/>
        <v>0</v>
      </c>
      <c r="DI142" s="915">
        <f t="shared" si="499"/>
        <v>0</v>
      </c>
      <c r="DJ142" s="915">
        <f t="shared" si="500"/>
        <v>0</v>
      </c>
      <c r="DK142" s="915">
        <f t="shared" si="501"/>
        <v>0</v>
      </c>
      <c r="DL142" s="915">
        <f t="shared" si="502"/>
        <v>0</v>
      </c>
      <c r="DM142" s="915">
        <f t="shared" si="503"/>
        <v>0</v>
      </c>
      <c r="DN142" s="915">
        <f t="shared" si="504"/>
        <v>0</v>
      </c>
      <c r="DO142" s="915">
        <f>IF(AND($D142=$R$20,$E142=$T$8),$J142,0)</f>
        <v>0</v>
      </c>
      <c r="DP142" s="915">
        <f>IF(AND($D142=$R$20,$E142=$T$9),$J142,0)</f>
        <v>0</v>
      </c>
      <c r="DQ142" s="915">
        <f>IF(AND($D142=$R$20,$E142=$T$10),$J142,0)</f>
        <v>0</v>
      </c>
      <c r="DR142" s="915">
        <f>IF(AND($D142=$R$20,$E142=$T$11),$J142,0)</f>
        <v>0</v>
      </c>
      <c r="DS142" s="915">
        <f>IF(AND($D142=$R$20,$E142=$T$12),$J142,0)</f>
        <v>0</v>
      </c>
      <c r="DT142" s="915">
        <f>IF(AND($D142=$R$20,$E142=$T$13),$J142,0)</f>
        <v>0</v>
      </c>
      <c r="DU142" s="915">
        <f>IF(AND($D142=$R$20,$E142=$T$14),$J142,0)</f>
        <v>0</v>
      </c>
      <c r="DV142" s="915">
        <f>IF(AND($D142=$R$20,$E142=$T$15),$J142,0)</f>
        <v>0</v>
      </c>
      <c r="DW142" s="915">
        <f>IF(AND($D142=$R$21,$E142=$T$8),$J142,0)</f>
        <v>0</v>
      </c>
      <c r="DX142" s="915">
        <f>IF(AND($D142=$R$21,$E142=$T$9),$J142,0)</f>
        <v>0</v>
      </c>
      <c r="DY142" s="915">
        <f>IF(AND($D142=$R$21,$E142=$T$10),$J142,0)</f>
        <v>0</v>
      </c>
      <c r="DZ142" s="915">
        <f>IF(AND($D142=$R$21,$E142=$T$11),$J142,0)</f>
        <v>0</v>
      </c>
      <c r="EA142" s="915">
        <f>IF(AND($D142=$R$21,$E142=$T$12),$J142,0)</f>
        <v>0</v>
      </c>
      <c r="EB142" s="915">
        <f>IF(AND($D142=$R$21,$E142=$T$13),$J142,0)</f>
        <v>0</v>
      </c>
      <c r="EC142" s="915">
        <f>IF(AND($D142=$R$21,$E142=$T$14),$J142,0)</f>
        <v>0</v>
      </c>
      <c r="ED142" s="915">
        <f>IF(AND($D142=$R$21,$E142=$T$15),$J142,0)</f>
        <v>0</v>
      </c>
      <c r="EE142" s="915">
        <f t="shared" si="470"/>
        <v>0</v>
      </c>
      <c r="EF142" s="915">
        <f t="shared" si="471"/>
        <v>0</v>
      </c>
      <c r="EG142" s="915">
        <f t="shared" si="472"/>
        <v>0</v>
      </c>
      <c r="EH142" s="915">
        <f t="shared" si="473"/>
        <v>0</v>
      </c>
      <c r="EI142" s="915">
        <f t="shared" si="474"/>
        <v>0</v>
      </c>
      <c r="EJ142" s="915">
        <f t="shared" si="475"/>
        <v>0</v>
      </c>
      <c r="EK142" s="915">
        <f t="shared" si="476"/>
        <v>0</v>
      </c>
      <c r="EL142" s="915">
        <f t="shared" si="477"/>
        <v>0</v>
      </c>
      <c r="EM142" s="915">
        <f t="shared" si="478"/>
        <v>0</v>
      </c>
      <c r="EN142" s="915">
        <f t="shared" si="479"/>
        <v>0</v>
      </c>
      <c r="EO142" s="915">
        <f t="shared" si="480"/>
        <v>0</v>
      </c>
      <c r="EP142" s="915">
        <f t="shared" si="481"/>
        <v>0</v>
      </c>
      <c r="EQ142" s="915">
        <f t="shared" si="482"/>
        <v>0</v>
      </c>
      <c r="ER142" s="915">
        <f t="shared" si="483"/>
        <v>0</v>
      </c>
      <c r="ES142" s="915">
        <f t="shared" si="484"/>
        <v>0</v>
      </c>
      <c r="ET142" s="915">
        <f t="shared" si="485"/>
        <v>0</v>
      </c>
      <c r="EU142" s="915">
        <f t="shared" si="550"/>
        <v>0</v>
      </c>
      <c r="EV142" s="915">
        <f t="shared" si="551"/>
        <v>0</v>
      </c>
      <c r="EW142" s="915">
        <f t="shared" si="552"/>
        <v>0</v>
      </c>
      <c r="EX142" s="915">
        <f t="shared" si="553"/>
        <v>0</v>
      </c>
      <c r="EY142" s="915">
        <f t="shared" si="554"/>
        <v>0</v>
      </c>
      <c r="EZ142" s="915">
        <f t="shared" si="555"/>
        <v>0</v>
      </c>
      <c r="FA142" s="915">
        <f t="shared" si="556"/>
        <v>7.42</v>
      </c>
      <c r="FB142" s="915">
        <f t="shared" si="557"/>
        <v>0</v>
      </c>
      <c r="FC142" s="915">
        <f t="shared" si="558"/>
        <v>0</v>
      </c>
      <c r="FD142" s="915">
        <f t="shared" si="559"/>
        <v>0</v>
      </c>
      <c r="FE142" s="915">
        <f t="shared" si="560"/>
        <v>0</v>
      </c>
      <c r="FF142" s="915">
        <f t="shared" si="561"/>
        <v>0</v>
      </c>
      <c r="FG142" s="915">
        <f t="shared" si="562"/>
        <v>0</v>
      </c>
      <c r="FH142" s="915">
        <f t="shared" si="563"/>
        <v>0</v>
      </c>
      <c r="FI142" s="915">
        <f t="shared" si="564"/>
        <v>0</v>
      </c>
      <c r="FJ142" s="915">
        <f t="shared" si="565"/>
        <v>0</v>
      </c>
      <c r="FK142" s="915">
        <f t="shared" si="566"/>
        <v>0</v>
      </c>
      <c r="FL142" s="915">
        <f t="shared" si="567"/>
        <v>0</v>
      </c>
      <c r="FM142" s="915">
        <f t="shared" si="568"/>
        <v>0</v>
      </c>
      <c r="FN142" s="915">
        <f t="shared" si="569"/>
        <v>0</v>
      </c>
      <c r="FO142" s="915">
        <f t="shared" si="570"/>
        <v>0</v>
      </c>
      <c r="FP142" s="915">
        <f t="shared" si="571"/>
        <v>0</v>
      </c>
      <c r="FQ142" s="915">
        <f t="shared" si="572"/>
        <v>0</v>
      </c>
      <c r="FR142" s="915">
        <f t="shared" si="573"/>
        <v>0</v>
      </c>
      <c r="FS142" s="915">
        <f t="shared" si="574"/>
        <v>0</v>
      </c>
      <c r="FT142" s="915">
        <f t="shared" si="575"/>
        <v>0</v>
      </c>
      <c r="FU142" s="915">
        <f t="shared" si="576"/>
        <v>0</v>
      </c>
      <c r="FV142" s="915">
        <f t="shared" si="577"/>
        <v>0</v>
      </c>
      <c r="FW142" s="915">
        <f t="shared" si="578"/>
        <v>0</v>
      </c>
      <c r="FX142" s="915">
        <f t="shared" si="579"/>
        <v>0</v>
      </c>
      <c r="FY142" s="915">
        <f t="shared" si="580"/>
        <v>0</v>
      </c>
      <c r="FZ142" s="915">
        <f t="shared" si="581"/>
        <v>0</v>
      </c>
    </row>
    <row r="143" spans="1:182" x14ac:dyDescent="0.2">
      <c r="A143" s="497">
        <v>136</v>
      </c>
      <c r="B143" s="1423"/>
      <c r="C143" s="1424"/>
      <c r="D143" s="138">
        <v>17</v>
      </c>
      <c r="E143" s="138" t="s">
        <v>27</v>
      </c>
      <c r="F143" s="139" t="s">
        <v>2544</v>
      </c>
      <c r="G143" s="139" t="s">
        <v>2542</v>
      </c>
      <c r="H143" s="100">
        <v>7</v>
      </c>
      <c r="I143" s="119">
        <f t="shared" ref="I143:I160" si="590">IF(ISTEXT(K143),0,StateTaxSub*G143*H143)</f>
        <v>0.42</v>
      </c>
      <c r="J143" s="90">
        <f t="shared" ref="J143:J160" si="591">(G143*H143)+I143</f>
        <v>7.42</v>
      </c>
      <c r="K143" s="225"/>
      <c r="N143" s="951">
        <f>FB6</f>
        <v>7.42</v>
      </c>
      <c r="O143" s="879" t="str">
        <f>"Contractor Labor for " &amp; TabName17</f>
        <v>Contractor Labor for Phase 17</v>
      </c>
      <c r="P143" s="950" t="s">
        <v>2182</v>
      </c>
      <c r="W143" s="915">
        <f t="shared" si="486"/>
        <v>0</v>
      </c>
      <c r="X143" s="915">
        <f t="shared" si="487"/>
        <v>0</v>
      </c>
      <c r="Y143" s="915">
        <f t="shared" si="488"/>
        <v>0</v>
      </c>
      <c r="Z143" s="915">
        <f t="shared" si="505"/>
        <v>0</v>
      </c>
      <c r="AA143" s="915">
        <f t="shared" si="506"/>
        <v>0</v>
      </c>
      <c r="AB143" s="915">
        <f t="shared" si="507"/>
        <v>0</v>
      </c>
      <c r="AC143" s="915">
        <f t="shared" si="508"/>
        <v>0</v>
      </c>
      <c r="AD143" s="915">
        <f t="shared" si="509"/>
        <v>0</v>
      </c>
      <c r="AE143" s="915">
        <f t="shared" si="510"/>
        <v>0</v>
      </c>
      <c r="AF143" s="915">
        <f t="shared" si="511"/>
        <v>0</v>
      </c>
      <c r="AG143" s="915">
        <f t="shared" si="512"/>
        <v>0</v>
      </c>
      <c r="AH143" s="915">
        <f t="shared" si="513"/>
        <v>0</v>
      </c>
      <c r="AI143" s="915">
        <f t="shared" si="514"/>
        <v>0</v>
      </c>
      <c r="AJ143" s="915">
        <f t="shared" si="515"/>
        <v>0</v>
      </c>
      <c r="AK143" s="915">
        <f t="shared" si="516"/>
        <v>0</v>
      </c>
      <c r="AL143" s="915">
        <f t="shared" si="517"/>
        <v>0</v>
      </c>
      <c r="AM143" s="915">
        <f t="shared" si="518"/>
        <v>0</v>
      </c>
      <c r="AN143" s="915">
        <f t="shared" si="519"/>
        <v>0</v>
      </c>
      <c r="AO143" s="915">
        <f t="shared" si="520"/>
        <v>0</v>
      </c>
      <c r="AP143" s="915">
        <f t="shared" si="521"/>
        <v>0</v>
      </c>
      <c r="AQ143" s="915">
        <f t="shared" si="522"/>
        <v>0</v>
      </c>
      <c r="AR143" s="915">
        <f t="shared" si="523"/>
        <v>0</v>
      </c>
      <c r="AS143" s="915">
        <f t="shared" si="524"/>
        <v>0</v>
      </c>
      <c r="AT143" s="915">
        <f t="shared" si="525"/>
        <v>0</v>
      </c>
      <c r="AU143" s="915">
        <f t="shared" si="526"/>
        <v>0</v>
      </c>
      <c r="AV143" s="915">
        <f t="shared" si="527"/>
        <v>0</v>
      </c>
      <c r="AW143" s="915">
        <f t="shared" si="528"/>
        <v>0</v>
      </c>
      <c r="AX143" s="915">
        <f t="shared" si="529"/>
        <v>0</v>
      </c>
      <c r="AY143" s="915">
        <f t="shared" si="530"/>
        <v>0</v>
      </c>
      <c r="AZ143" s="915">
        <f t="shared" si="531"/>
        <v>0</v>
      </c>
      <c r="BA143" s="915">
        <f t="shared" si="532"/>
        <v>0</v>
      </c>
      <c r="BB143" s="915">
        <f t="shared" si="533"/>
        <v>0</v>
      </c>
      <c r="BC143" s="915">
        <f t="shared" si="489"/>
        <v>0</v>
      </c>
      <c r="BD143" s="915">
        <f t="shared" si="490"/>
        <v>0</v>
      </c>
      <c r="BE143" s="915">
        <f t="shared" si="491"/>
        <v>0</v>
      </c>
      <c r="BF143" s="915">
        <f t="shared" si="492"/>
        <v>0</v>
      </c>
      <c r="BG143" s="915">
        <f t="shared" si="493"/>
        <v>0</v>
      </c>
      <c r="BH143" s="915">
        <f t="shared" si="494"/>
        <v>0</v>
      </c>
      <c r="BI143" s="915">
        <f t="shared" si="495"/>
        <v>0</v>
      </c>
      <c r="BJ143" s="915">
        <f t="shared" si="496"/>
        <v>0</v>
      </c>
      <c r="BK143" s="915">
        <f t="shared" si="582"/>
        <v>0</v>
      </c>
      <c r="BL143" s="915">
        <f t="shared" si="583"/>
        <v>0</v>
      </c>
      <c r="BM143" s="915">
        <f t="shared" si="584"/>
        <v>0</v>
      </c>
      <c r="BN143" s="915">
        <f t="shared" si="585"/>
        <v>0</v>
      </c>
      <c r="BO143" s="915">
        <f t="shared" si="586"/>
        <v>0</v>
      </c>
      <c r="BP143" s="915">
        <f t="shared" si="587"/>
        <v>0</v>
      </c>
      <c r="BQ143" s="915">
        <f t="shared" si="588"/>
        <v>0</v>
      </c>
      <c r="BR143" s="915">
        <f t="shared" si="589"/>
        <v>0</v>
      </c>
      <c r="BS143" s="915">
        <f>IF(AND($D143=$R$14,$E143=$T$8),$J143,0)</f>
        <v>0</v>
      </c>
      <c r="BT143" s="915">
        <f>IF(AND($D143=$R$14,$E143=$T$9),$J143,0)</f>
        <v>0</v>
      </c>
      <c r="BU143" s="915">
        <f>IF(AND($D143=$R$14,$E143=$T$10),$J143,0)</f>
        <v>0</v>
      </c>
      <c r="BV143" s="915">
        <f>IF(AND($D143=$R$14,$E143=$T$11),$J143,0)</f>
        <v>0</v>
      </c>
      <c r="BW143" s="915">
        <f>IF(AND($D143=$R$14,$E143=$T$12),$J143,0)</f>
        <v>0</v>
      </c>
      <c r="BX143" s="915">
        <f>IF(AND($D143=$R$14,$E143=$T$13),$J143,0)</f>
        <v>0</v>
      </c>
      <c r="BY143" s="915">
        <f>IF(AND($D143=$R$14,$E143=$T$14),$J143,0)</f>
        <v>0</v>
      </c>
      <c r="BZ143" s="915">
        <f>IF(AND($D143=$R$14,$E143=$T$15),$J143,0)</f>
        <v>0</v>
      </c>
      <c r="CA143" s="915">
        <f t="shared" si="462"/>
        <v>0</v>
      </c>
      <c r="CB143" s="915">
        <f t="shared" si="463"/>
        <v>0</v>
      </c>
      <c r="CC143" s="915">
        <f t="shared" si="464"/>
        <v>0</v>
      </c>
      <c r="CD143" s="915">
        <f t="shared" si="465"/>
        <v>0</v>
      </c>
      <c r="CE143" s="915">
        <f t="shared" si="466"/>
        <v>0</v>
      </c>
      <c r="CF143" s="915">
        <f t="shared" si="467"/>
        <v>0</v>
      </c>
      <c r="CG143" s="915">
        <f t="shared" si="468"/>
        <v>0</v>
      </c>
      <c r="CH143" s="915">
        <f t="shared" si="469"/>
        <v>0</v>
      </c>
      <c r="CI143" s="915">
        <f>IF(AND($D143=$R$16,$E143=$T$8),$J143,0)</f>
        <v>0</v>
      </c>
      <c r="CJ143" s="915">
        <f>IF(AND($D143=$R$16,$E143=$T$9),$J143,0)</f>
        <v>0</v>
      </c>
      <c r="CK143" s="915">
        <f>IF(AND($D143=$R$16,$E143=$T$10),$J143,0)</f>
        <v>0</v>
      </c>
      <c r="CL143" s="915">
        <f>IF(AND($D143=$R$16,$E143=$T$11),$J143,0)</f>
        <v>0</v>
      </c>
      <c r="CM143" s="915">
        <f>IF(AND($D143=$R$16,$E143=$T$12),$J143,0)</f>
        <v>0</v>
      </c>
      <c r="CN143" s="915">
        <f>IF(AND($D143=$R$16,$E143=$T$13),$J143,0)</f>
        <v>0</v>
      </c>
      <c r="CO143" s="915">
        <f>IF(AND($D143=$R$16,$E143=$T$14),$J143,0)</f>
        <v>0</v>
      </c>
      <c r="CP143" s="915">
        <f>IF(AND($D143=$R$16,$E143=$T$15),$J143,0)</f>
        <v>0</v>
      </c>
      <c r="CQ143" s="915">
        <f t="shared" si="370"/>
        <v>0</v>
      </c>
      <c r="CR143" s="915">
        <f t="shared" si="371"/>
        <v>0</v>
      </c>
      <c r="CS143" s="915">
        <f t="shared" si="372"/>
        <v>0</v>
      </c>
      <c r="CT143" s="915">
        <f t="shared" si="373"/>
        <v>0</v>
      </c>
      <c r="CU143" s="915">
        <f t="shared" si="374"/>
        <v>0</v>
      </c>
      <c r="CV143" s="915">
        <f t="shared" si="375"/>
        <v>0</v>
      </c>
      <c r="CW143" s="915">
        <f t="shared" si="376"/>
        <v>0</v>
      </c>
      <c r="CX143" s="915">
        <f t="shared" si="377"/>
        <v>0</v>
      </c>
      <c r="CY143" s="915">
        <f t="shared" si="542"/>
        <v>0</v>
      </c>
      <c r="CZ143" s="915">
        <f t="shared" si="543"/>
        <v>0</v>
      </c>
      <c r="DA143" s="915">
        <f t="shared" si="544"/>
        <v>0</v>
      </c>
      <c r="DB143" s="915">
        <f t="shared" si="545"/>
        <v>0</v>
      </c>
      <c r="DC143" s="915">
        <f t="shared" si="546"/>
        <v>0</v>
      </c>
      <c r="DD143" s="915">
        <f t="shared" si="547"/>
        <v>0</v>
      </c>
      <c r="DE143" s="915">
        <f t="shared" si="548"/>
        <v>0</v>
      </c>
      <c r="DF143" s="915">
        <f t="shared" si="549"/>
        <v>0</v>
      </c>
      <c r="DG143" s="915">
        <f t="shared" si="497"/>
        <v>0</v>
      </c>
      <c r="DH143" s="915">
        <f t="shared" si="498"/>
        <v>0</v>
      </c>
      <c r="DI143" s="915">
        <f t="shared" si="499"/>
        <v>0</v>
      </c>
      <c r="DJ143" s="915">
        <f t="shared" si="500"/>
        <v>0</v>
      </c>
      <c r="DK143" s="915">
        <f t="shared" si="501"/>
        <v>0</v>
      </c>
      <c r="DL143" s="915">
        <f t="shared" si="502"/>
        <v>0</v>
      </c>
      <c r="DM143" s="915">
        <f t="shared" si="503"/>
        <v>0</v>
      </c>
      <c r="DN143" s="915">
        <f t="shared" si="504"/>
        <v>0</v>
      </c>
      <c r="DO143" s="915">
        <f t="shared" ref="DO143:DO165" si="592">IF(AND($D143=$R$20,$E143=$T$8),$J143,0)</f>
        <v>0</v>
      </c>
      <c r="DP143" s="915">
        <f t="shared" ref="DP143:DP165" si="593">IF(AND($D143=$R$20,$E143=$T$9),$J143,0)</f>
        <v>0</v>
      </c>
      <c r="DQ143" s="915">
        <f t="shared" ref="DQ143:DQ165" si="594">IF(AND($D143=$R$20,$E143=$T$10),$J143,0)</f>
        <v>0</v>
      </c>
      <c r="DR143" s="915">
        <f t="shared" ref="DR143:DR165" si="595">IF(AND($D143=$R$20,$E143=$T$11),$J143,0)</f>
        <v>0</v>
      </c>
      <c r="DS143" s="915">
        <f t="shared" ref="DS143:DS165" si="596">IF(AND($D143=$R$20,$E143=$T$12),$J143,0)</f>
        <v>0</v>
      </c>
      <c r="DT143" s="915">
        <f t="shared" ref="DT143:DT165" si="597">IF(AND($D143=$R$20,$E143=$T$13),$J143,0)</f>
        <v>0</v>
      </c>
      <c r="DU143" s="915">
        <f t="shared" ref="DU143:DU165" si="598">IF(AND($D143=$R$20,$E143=$T$14),$J143,0)</f>
        <v>0</v>
      </c>
      <c r="DV143" s="915">
        <f t="shared" ref="DV143:DV165" si="599">IF(AND($D143=$R$20,$E143=$T$15),$J143,0)</f>
        <v>0</v>
      </c>
      <c r="DW143" s="915">
        <f t="shared" ref="DW143:DW165" si="600">IF(AND($D143=$R$21,$E143=$T$8),$J143,0)</f>
        <v>0</v>
      </c>
      <c r="DX143" s="915">
        <f t="shared" ref="DX143:DX165" si="601">IF(AND($D143=$R$21,$E143=$T$9),$J143,0)</f>
        <v>0</v>
      </c>
      <c r="DY143" s="915">
        <f t="shared" ref="DY143:DY165" si="602">IF(AND($D143=$R$21,$E143=$T$10),$J143,0)</f>
        <v>0</v>
      </c>
      <c r="DZ143" s="915">
        <f t="shared" ref="DZ143:DZ165" si="603">IF(AND($D143=$R$21,$E143=$T$11),$J143,0)</f>
        <v>0</v>
      </c>
      <c r="EA143" s="915">
        <f t="shared" ref="EA143:EA165" si="604">IF(AND($D143=$R$21,$E143=$T$12),$J143,0)</f>
        <v>0</v>
      </c>
      <c r="EB143" s="915">
        <f t="shared" ref="EB143:EB165" si="605">IF(AND($D143=$R$21,$E143=$T$13),$J143,0)</f>
        <v>0</v>
      </c>
      <c r="EC143" s="915">
        <f t="shared" ref="EC143:EC165" si="606">IF(AND($D143=$R$21,$E143=$T$14),$J143,0)</f>
        <v>0</v>
      </c>
      <c r="ED143" s="915">
        <f t="shared" ref="ED143:ED165" si="607">IF(AND($D143=$R$21,$E143=$T$15),$J143,0)</f>
        <v>0</v>
      </c>
      <c r="EE143" s="915">
        <f t="shared" si="470"/>
        <v>0</v>
      </c>
      <c r="EF143" s="915">
        <f t="shared" si="471"/>
        <v>0</v>
      </c>
      <c r="EG143" s="915">
        <f t="shared" si="472"/>
        <v>0</v>
      </c>
      <c r="EH143" s="915">
        <f t="shared" si="473"/>
        <v>0</v>
      </c>
      <c r="EI143" s="915">
        <f t="shared" si="474"/>
        <v>0</v>
      </c>
      <c r="EJ143" s="915">
        <f t="shared" si="475"/>
        <v>0</v>
      </c>
      <c r="EK143" s="915">
        <f t="shared" si="476"/>
        <v>0</v>
      </c>
      <c r="EL143" s="915">
        <f t="shared" si="477"/>
        <v>0</v>
      </c>
      <c r="EM143" s="915">
        <f t="shared" si="478"/>
        <v>0</v>
      </c>
      <c r="EN143" s="915">
        <f t="shared" si="479"/>
        <v>0</v>
      </c>
      <c r="EO143" s="915">
        <f t="shared" si="480"/>
        <v>0</v>
      </c>
      <c r="EP143" s="915">
        <f t="shared" si="481"/>
        <v>0</v>
      </c>
      <c r="EQ143" s="915">
        <f t="shared" si="482"/>
        <v>0</v>
      </c>
      <c r="ER143" s="915">
        <f t="shared" si="483"/>
        <v>0</v>
      </c>
      <c r="ES143" s="915">
        <f t="shared" si="484"/>
        <v>0</v>
      </c>
      <c r="ET143" s="915">
        <f t="shared" si="485"/>
        <v>0</v>
      </c>
      <c r="EU143" s="915">
        <f t="shared" si="550"/>
        <v>0</v>
      </c>
      <c r="EV143" s="915">
        <f t="shared" si="551"/>
        <v>0</v>
      </c>
      <c r="EW143" s="915">
        <f t="shared" si="552"/>
        <v>0</v>
      </c>
      <c r="EX143" s="915">
        <f t="shared" si="553"/>
        <v>0</v>
      </c>
      <c r="EY143" s="915">
        <f t="shared" si="554"/>
        <v>0</v>
      </c>
      <c r="EZ143" s="915">
        <f t="shared" si="555"/>
        <v>0</v>
      </c>
      <c r="FA143" s="915">
        <f t="shared" si="556"/>
        <v>0</v>
      </c>
      <c r="FB143" s="915">
        <f t="shared" si="557"/>
        <v>7.42</v>
      </c>
      <c r="FC143" s="915">
        <f t="shared" si="558"/>
        <v>0</v>
      </c>
      <c r="FD143" s="915">
        <f t="shared" si="559"/>
        <v>0</v>
      </c>
      <c r="FE143" s="915">
        <f t="shared" si="560"/>
        <v>0</v>
      </c>
      <c r="FF143" s="915">
        <f t="shared" si="561"/>
        <v>0</v>
      </c>
      <c r="FG143" s="915">
        <f t="shared" si="562"/>
        <v>0</v>
      </c>
      <c r="FH143" s="915">
        <f t="shared" si="563"/>
        <v>0</v>
      </c>
      <c r="FI143" s="915">
        <f t="shared" si="564"/>
        <v>0</v>
      </c>
      <c r="FJ143" s="915">
        <f t="shared" si="565"/>
        <v>0</v>
      </c>
      <c r="FK143" s="915">
        <f t="shared" si="566"/>
        <v>0</v>
      </c>
      <c r="FL143" s="915">
        <f t="shared" si="567"/>
        <v>0</v>
      </c>
      <c r="FM143" s="915">
        <f t="shared" si="568"/>
        <v>0</v>
      </c>
      <c r="FN143" s="915">
        <f t="shared" si="569"/>
        <v>0</v>
      </c>
      <c r="FO143" s="915">
        <f t="shared" si="570"/>
        <v>0</v>
      </c>
      <c r="FP143" s="915">
        <f t="shared" si="571"/>
        <v>0</v>
      </c>
      <c r="FQ143" s="915">
        <f t="shared" si="572"/>
        <v>0</v>
      </c>
      <c r="FR143" s="915">
        <f t="shared" si="573"/>
        <v>0</v>
      </c>
      <c r="FS143" s="915">
        <f t="shared" si="574"/>
        <v>0</v>
      </c>
      <c r="FT143" s="915">
        <f t="shared" si="575"/>
        <v>0</v>
      </c>
      <c r="FU143" s="915">
        <f t="shared" si="576"/>
        <v>0</v>
      </c>
      <c r="FV143" s="915">
        <f t="shared" si="577"/>
        <v>0</v>
      </c>
      <c r="FW143" s="915">
        <f t="shared" si="578"/>
        <v>0</v>
      </c>
      <c r="FX143" s="915">
        <f t="shared" si="579"/>
        <v>0</v>
      </c>
      <c r="FY143" s="915">
        <f t="shared" si="580"/>
        <v>0</v>
      </c>
      <c r="FZ143" s="915">
        <f t="shared" si="581"/>
        <v>0</v>
      </c>
    </row>
    <row r="144" spans="1:182" x14ac:dyDescent="0.2">
      <c r="A144" s="496">
        <v>137</v>
      </c>
      <c r="B144" s="1419"/>
      <c r="C144" s="1433"/>
      <c r="D144" s="264">
        <v>18</v>
      </c>
      <c r="E144" s="264" t="s">
        <v>193</v>
      </c>
      <c r="F144" s="270" t="s">
        <v>2544</v>
      </c>
      <c r="G144" s="270" t="s">
        <v>2542</v>
      </c>
      <c r="H144" s="272">
        <v>7</v>
      </c>
      <c r="I144" s="268">
        <f t="shared" si="590"/>
        <v>0.42</v>
      </c>
      <c r="J144" s="269">
        <f t="shared" si="591"/>
        <v>7.42</v>
      </c>
      <c r="K144" s="225"/>
      <c r="N144" s="951">
        <f>FC6</f>
        <v>7.42</v>
      </c>
      <c r="O144" s="879" t="str">
        <f>"Boring/Monitoring Wells for "&amp;TabName18</f>
        <v>Boring/Monitoring Wells for Phase 18</v>
      </c>
      <c r="P144" s="949" t="s">
        <v>2167</v>
      </c>
      <c r="W144" s="915">
        <f t="shared" si="486"/>
        <v>0</v>
      </c>
      <c r="X144" s="915">
        <f t="shared" si="487"/>
        <v>0</v>
      </c>
      <c r="Y144" s="915">
        <f t="shared" si="488"/>
        <v>0</v>
      </c>
      <c r="Z144" s="915">
        <f t="shared" si="505"/>
        <v>0</v>
      </c>
      <c r="AA144" s="915">
        <f t="shared" si="506"/>
        <v>0</v>
      </c>
      <c r="AB144" s="915">
        <f t="shared" si="507"/>
        <v>0</v>
      </c>
      <c r="AC144" s="915">
        <f t="shared" si="508"/>
        <v>0</v>
      </c>
      <c r="AD144" s="915">
        <f t="shared" si="509"/>
        <v>0</v>
      </c>
      <c r="AE144" s="915">
        <f t="shared" si="510"/>
        <v>0</v>
      </c>
      <c r="AF144" s="915">
        <f t="shared" si="511"/>
        <v>0</v>
      </c>
      <c r="AG144" s="915">
        <f t="shared" si="512"/>
        <v>0</v>
      </c>
      <c r="AH144" s="915">
        <f t="shared" si="513"/>
        <v>0</v>
      </c>
      <c r="AI144" s="915">
        <f t="shared" si="514"/>
        <v>0</v>
      </c>
      <c r="AJ144" s="915">
        <f t="shared" si="515"/>
        <v>0</v>
      </c>
      <c r="AK144" s="915">
        <f t="shared" si="516"/>
        <v>0</v>
      </c>
      <c r="AL144" s="915">
        <f t="shared" si="517"/>
        <v>0</v>
      </c>
      <c r="AM144" s="915">
        <f t="shared" si="518"/>
        <v>0</v>
      </c>
      <c r="AN144" s="915">
        <f t="shared" si="519"/>
        <v>0</v>
      </c>
      <c r="AO144" s="915">
        <f t="shared" si="520"/>
        <v>0</v>
      </c>
      <c r="AP144" s="915">
        <f t="shared" si="521"/>
        <v>0</v>
      </c>
      <c r="AQ144" s="915">
        <f t="shared" si="522"/>
        <v>0</v>
      </c>
      <c r="AR144" s="915">
        <f t="shared" si="523"/>
        <v>0</v>
      </c>
      <c r="AS144" s="915">
        <f t="shared" si="524"/>
        <v>0</v>
      </c>
      <c r="AT144" s="915">
        <f t="shared" si="525"/>
        <v>0</v>
      </c>
      <c r="AU144" s="915">
        <f t="shared" si="526"/>
        <v>0</v>
      </c>
      <c r="AV144" s="915">
        <f t="shared" si="527"/>
        <v>0</v>
      </c>
      <c r="AW144" s="915">
        <f t="shared" si="528"/>
        <v>0</v>
      </c>
      <c r="AX144" s="915">
        <f t="shared" si="529"/>
        <v>0</v>
      </c>
      <c r="AY144" s="915">
        <f t="shared" si="530"/>
        <v>0</v>
      </c>
      <c r="AZ144" s="915">
        <f t="shared" si="531"/>
        <v>0</v>
      </c>
      <c r="BA144" s="915">
        <f t="shared" si="532"/>
        <v>0</v>
      </c>
      <c r="BB144" s="915">
        <f t="shared" si="533"/>
        <v>0</v>
      </c>
      <c r="BC144" s="915">
        <f t="shared" si="489"/>
        <v>0</v>
      </c>
      <c r="BD144" s="915">
        <f t="shared" si="490"/>
        <v>0</v>
      </c>
      <c r="BE144" s="915">
        <f t="shared" si="491"/>
        <v>0</v>
      </c>
      <c r="BF144" s="915">
        <f t="shared" si="492"/>
        <v>0</v>
      </c>
      <c r="BG144" s="915">
        <f t="shared" si="493"/>
        <v>0</v>
      </c>
      <c r="BH144" s="915">
        <f t="shared" si="494"/>
        <v>0</v>
      </c>
      <c r="BI144" s="915">
        <f t="shared" si="495"/>
        <v>0</v>
      </c>
      <c r="BJ144" s="915">
        <f t="shared" si="496"/>
        <v>0</v>
      </c>
      <c r="BK144" s="915">
        <f t="shared" si="582"/>
        <v>0</v>
      </c>
      <c r="BL144" s="915">
        <f t="shared" si="583"/>
        <v>0</v>
      </c>
      <c r="BM144" s="915">
        <f t="shared" si="584"/>
        <v>0</v>
      </c>
      <c r="BN144" s="915">
        <f t="shared" si="585"/>
        <v>0</v>
      </c>
      <c r="BO144" s="915">
        <f t="shared" si="586"/>
        <v>0</v>
      </c>
      <c r="BP144" s="915">
        <f t="shared" si="587"/>
        <v>0</v>
      </c>
      <c r="BQ144" s="915">
        <f t="shared" si="588"/>
        <v>0</v>
      </c>
      <c r="BR144" s="915">
        <f t="shared" si="589"/>
        <v>0</v>
      </c>
      <c r="BS144" s="915">
        <f t="shared" ref="BS144:BS159" si="608">IF(AND($D144=$R$14,$E144=$T$8),$J144,0)</f>
        <v>0</v>
      </c>
      <c r="BT144" s="915">
        <f t="shared" ref="BT144:BT159" si="609">IF(AND($D144=$R$14,$E144=$T$9),$J144,0)</f>
        <v>0</v>
      </c>
      <c r="BU144" s="915">
        <f t="shared" ref="BU144:BU159" si="610">IF(AND($D144=$R$14,$E144=$T$10),$J144,0)</f>
        <v>0</v>
      </c>
      <c r="BV144" s="915">
        <f t="shared" ref="BV144:BV159" si="611">IF(AND($D144=$R$14,$E144=$T$11),$J144,0)</f>
        <v>0</v>
      </c>
      <c r="BW144" s="915">
        <f t="shared" ref="BW144:BW159" si="612">IF(AND($D144=$R$14,$E144=$T$12),$J144,0)</f>
        <v>0</v>
      </c>
      <c r="BX144" s="915">
        <f t="shared" ref="BX144:BX159" si="613">IF(AND($D144=$R$14,$E144=$T$13),$J144,0)</f>
        <v>0</v>
      </c>
      <c r="BY144" s="915">
        <f t="shared" ref="BY144:BY159" si="614">IF(AND($D144=$R$14,$E144=$T$14),$J144,0)</f>
        <v>0</v>
      </c>
      <c r="BZ144" s="915">
        <f t="shared" ref="BZ144:BZ159" si="615">IF(AND($D144=$R$14,$E144=$T$15),$J144,0)</f>
        <v>0</v>
      </c>
      <c r="CA144" s="915">
        <f t="shared" si="462"/>
        <v>0</v>
      </c>
      <c r="CB144" s="915">
        <f t="shared" si="463"/>
        <v>0</v>
      </c>
      <c r="CC144" s="915">
        <f t="shared" si="464"/>
        <v>0</v>
      </c>
      <c r="CD144" s="915">
        <f t="shared" si="465"/>
        <v>0</v>
      </c>
      <c r="CE144" s="915">
        <f t="shared" si="466"/>
        <v>0</v>
      </c>
      <c r="CF144" s="915">
        <f t="shared" si="467"/>
        <v>0</v>
      </c>
      <c r="CG144" s="915">
        <f t="shared" si="468"/>
        <v>0</v>
      </c>
      <c r="CH144" s="915">
        <f t="shared" si="469"/>
        <v>0</v>
      </c>
      <c r="CI144" s="915">
        <f t="shared" si="336"/>
        <v>0</v>
      </c>
      <c r="CJ144" s="915">
        <f t="shared" si="337"/>
        <v>0</v>
      </c>
      <c r="CK144" s="915">
        <f t="shared" si="338"/>
        <v>0</v>
      </c>
      <c r="CL144" s="915">
        <f t="shared" si="339"/>
        <v>0</v>
      </c>
      <c r="CM144" s="915">
        <f t="shared" si="340"/>
        <v>0</v>
      </c>
      <c r="CN144" s="915">
        <f t="shared" si="341"/>
        <v>0</v>
      </c>
      <c r="CO144" s="915">
        <f t="shared" si="342"/>
        <v>0</v>
      </c>
      <c r="CP144" s="915">
        <f t="shared" si="343"/>
        <v>0</v>
      </c>
      <c r="CQ144" s="915">
        <f t="shared" si="370"/>
        <v>0</v>
      </c>
      <c r="CR144" s="915">
        <f t="shared" si="371"/>
        <v>0</v>
      </c>
      <c r="CS144" s="915">
        <f t="shared" si="372"/>
        <v>0</v>
      </c>
      <c r="CT144" s="915">
        <f t="shared" si="373"/>
        <v>0</v>
      </c>
      <c r="CU144" s="915">
        <f t="shared" si="374"/>
        <v>0</v>
      </c>
      <c r="CV144" s="915">
        <f t="shared" si="375"/>
        <v>0</v>
      </c>
      <c r="CW144" s="915">
        <f t="shared" si="376"/>
        <v>0</v>
      </c>
      <c r="CX144" s="915">
        <f t="shared" si="377"/>
        <v>0</v>
      </c>
      <c r="CY144" s="915">
        <f t="shared" si="542"/>
        <v>0</v>
      </c>
      <c r="CZ144" s="915">
        <f t="shared" si="543"/>
        <v>0</v>
      </c>
      <c r="DA144" s="915">
        <f t="shared" si="544"/>
        <v>0</v>
      </c>
      <c r="DB144" s="915">
        <f t="shared" si="545"/>
        <v>0</v>
      </c>
      <c r="DC144" s="915">
        <f t="shared" si="546"/>
        <v>0</v>
      </c>
      <c r="DD144" s="915">
        <f t="shared" si="547"/>
        <v>0</v>
      </c>
      <c r="DE144" s="915">
        <f t="shared" si="548"/>
        <v>0</v>
      </c>
      <c r="DF144" s="915">
        <f t="shared" si="549"/>
        <v>0</v>
      </c>
      <c r="DG144" s="915">
        <f t="shared" si="497"/>
        <v>0</v>
      </c>
      <c r="DH144" s="915">
        <f t="shared" si="498"/>
        <v>0</v>
      </c>
      <c r="DI144" s="915">
        <f t="shared" si="499"/>
        <v>0</v>
      </c>
      <c r="DJ144" s="915">
        <f t="shared" si="500"/>
        <v>0</v>
      </c>
      <c r="DK144" s="915">
        <f t="shared" si="501"/>
        <v>0</v>
      </c>
      <c r="DL144" s="915">
        <f t="shared" si="502"/>
        <v>0</v>
      </c>
      <c r="DM144" s="915">
        <f t="shared" si="503"/>
        <v>0</v>
      </c>
      <c r="DN144" s="915">
        <f t="shared" si="504"/>
        <v>0</v>
      </c>
      <c r="DO144" s="915">
        <f t="shared" si="592"/>
        <v>0</v>
      </c>
      <c r="DP144" s="915">
        <f t="shared" si="593"/>
        <v>0</v>
      </c>
      <c r="DQ144" s="915">
        <f t="shared" si="594"/>
        <v>0</v>
      </c>
      <c r="DR144" s="915">
        <f t="shared" si="595"/>
        <v>0</v>
      </c>
      <c r="DS144" s="915">
        <f t="shared" si="596"/>
        <v>0</v>
      </c>
      <c r="DT144" s="915">
        <f t="shared" si="597"/>
        <v>0</v>
      </c>
      <c r="DU144" s="915">
        <f t="shared" si="598"/>
        <v>0</v>
      </c>
      <c r="DV144" s="915">
        <f t="shared" si="599"/>
        <v>0</v>
      </c>
      <c r="DW144" s="915">
        <f t="shared" si="600"/>
        <v>0</v>
      </c>
      <c r="DX144" s="915">
        <f t="shared" si="601"/>
        <v>0</v>
      </c>
      <c r="DY144" s="915">
        <f t="shared" si="602"/>
        <v>0</v>
      </c>
      <c r="DZ144" s="915">
        <f t="shared" si="603"/>
        <v>0</v>
      </c>
      <c r="EA144" s="915">
        <f t="shared" si="604"/>
        <v>0</v>
      </c>
      <c r="EB144" s="915">
        <f t="shared" si="605"/>
        <v>0</v>
      </c>
      <c r="EC144" s="915">
        <f t="shared" si="606"/>
        <v>0</v>
      </c>
      <c r="ED144" s="915">
        <f t="shared" si="607"/>
        <v>0</v>
      </c>
      <c r="EE144" s="915">
        <f t="shared" si="470"/>
        <v>0</v>
      </c>
      <c r="EF144" s="915">
        <f t="shared" si="471"/>
        <v>0</v>
      </c>
      <c r="EG144" s="915">
        <f t="shared" si="472"/>
        <v>0</v>
      </c>
      <c r="EH144" s="915">
        <f t="shared" si="473"/>
        <v>0</v>
      </c>
      <c r="EI144" s="915">
        <f t="shared" si="474"/>
        <v>0</v>
      </c>
      <c r="EJ144" s="915">
        <f t="shared" si="475"/>
        <v>0</v>
      </c>
      <c r="EK144" s="915">
        <f t="shared" si="476"/>
        <v>0</v>
      </c>
      <c r="EL144" s="915">
        <f t="shared" si="477"/>
        <v>0</v>
      </c>
      <c r="EM144" s="915">
        <f t="shared" si="478"/>
        <v>0</v>
      </c>
      <c r="EN144" s="915">
        <f t="shared" si="479"/>
        <v>0</v>
      </c>
      <c r="EO144" s="915">
        <f t="shared" si="480"/>
        <v>0</v>
      </c>
      <c r="EP144" s="915">
        <f t="shared" si="481"/>
        <v>0</v>
      </c>
      <c r="EQ144" s="915">
        <f t="shared" si="482"/>
        <v>0</v>
      </c>
      <c r="ER144" s="915">
        <f t="shared" si="483"/>
        <v>0</v>
      </c>
      <c r="ES144" s="915">
        <f t="shared" si="484"/>
        <v>0</v>
      </c>
      <c r="ET144" s="915">
        <f t="shared" si="485"/>
        <v>0</v>
      </c>
      <c r="EU144" s="915">
        <f t="shared" si="550"/>
        <v>0</v>
      </c>
      <c r="EV144" s="915">
        <f t="shared" si="551"/>
        <v>0</v>
      </c>
      <c r="EW144" s="915">
        <f t="shared" si="552"/>
        <v>0</v>
      </c>
      <c r="EX144" s="915">
        <f t="shared" si="553"/>
        <v>0</v>
      </c>
      <c r="EY144" s="915">
        <f t="shared" si="554"/>
        <v>0</v>
      </c>
      <c r="EZ144" s="915">
        <f t="shared" si="555"/>
        <v>0</v>
      </c>
      <c r="FA144" s="915">
        <f t="shared" si="556"/>
        <v>0</v>
      </c>
      <c r="FB144" s="915">
        <f t="shared" si="557"/>
        <v>0</v>
      </c>
      <c r="FC144" s="915">
        <f t="shared" si="558"/>
        <v>7.42</v>
      </c>
      <c r="FD144" s="915">
        <f t="shared" si="559"/>
        <v>0</v>
      </c>
      <c r="FE144" s="915">
        <f t="shared" si="560"/>
        <v>0</v>
      </c>
      <c r="FF144" s="915">
        <f t="shared" si="561"/>
        <v>0</v>
      </c>
      <c r="FG144" s="915">
        <f t="shared" si="562"/>
        <v>0</v>
      </c>
      <c r="FH144" s="915">
        <f t="shared" si="563"/>
        <v>0</v>
      </c>
      <c r="FI144" s="915">
        <f t="shared" si="564"/>
        <v>0</v>
      </c>
      <c r="FJ144" s="915">
        <f t="shared" si="565"/>
        <v>0</v>
      </c>
      <c r="FK144" s="915">
        <f t="shared" si="566"/>
        <v>0</v>
      </c>
      <c r="FL144" s="915">
        <f t="shared" si="567"/>
        <v>0</v>
      </c>
      <c r="FM144" s="915">
        <f t="shared" si="568"/>
        <v>0</v>
      </c>
      <c r="FN144" s="915">
        <f t="shared" si="569"/>
        <v>0</v>
      </c>
      <c r="FO144" s="915">
        <f t="shared" si="570"/>
        <v>0</v>
      </c>
      <c r="FP144" s="915">
        <f t="shared" si="571"/>
        <v>0</v>
      </c>
      <c r="FQ144" s="915">
        <f t="shared" si="572"/>
        <v>0</v>
      </c>
      <c r="FR144" s="915">
        <f t="shared" si="573"/>
        <v>0</v>
      </c>
      <c r="FS144" s="915">
        <f t="shared" si="574"/>
        <v>0</v>
      </c>
      <c r="FT144" s="915">
        <f t="shared" si="575"/>
        <v>0</v>
      </c>
      <c r="FU144" s="915">
        <f t="shared" si="576"/>
        <v>0</v>
      </c>
      <c r="FV144" s="915">
        <f t="shared" si="577"/>
        <v>0</v>
      </c>
      <c r="FW144" s="915">
        <f t="shared" si="578"/>
        <v>0</v>
      </c>
      <c r="FX144" s="915">
        <f t="shared" si="579"/>
        <v>0</v>
      </c>
      <c r="FY144" s="915">
        <f t="shared" si="580"/>
        <v>0</v>
      </c>
      <c r="FZ144" s="915">
        <f t="shared" si="581"/>
        <v>0</v>
      </c>
    </row>
    <row r="145" spans="1:182" x14ac:dyDescent="0.2">
      <c r="A145" s="497">
        <v>138</v>
      </c>
      <c r="B145" s="1423"/>
      <c r="C145" s="1424"/>
      <c r="D145" s="138">
        <v>18</v>
      </c>
      <c r="E145" s="138" t="s">
        <v>26</v>
      </c>
      <c r="F145" s="139" t="s">
        <v>2544</v>
      </c>
      <c r="G145" s="139" t="s">
        <v>2542</v>
      </c>
      <c r="H145" s="100">
        <v>7</v>
      </c>
      <c r="I145" s="119">
        <f t="shared" si="590"/>
        <v>0.42</v>
      </c>
      <c r="J145" s="90">
        <f t="shared" si="591"/>
        <v>7.42</v>
      </c>
      <c r="K145" s="225"/>
      <c r="N145" s="951">
        <f>FD6</f>
        <v>7.42</v>
      </c>
      <c r="O145" s="879" t="str">
        <f>"Remediation for " &amp;TabName18</f>
        <v>Remediation for Phase 18</v>
      </c>
      <c r="P145" s="950" t="s">
        <v>2168</v>
      </c>
      <c r="W145" s="915">
        <f t="shared" si="486"/>
        <v>0</v>
      </c>
      <c r="X145" s="915">
        <f t="shared" si="487"/>
        <v>0</v>
      </c>
      <c r="Y145" s="915">
        <f t="shared" si="488"/>
        <v>0</v>
      </c>
      <c r="Z145" s="915">
        <f t="shared" si="505"/>
        <v>0</v>
      </c>
      <c r="AA145" s="915">
        <f t="shared" si="506"/>
        <v>0</v>
      </c>
      <c r="AB145" s="915">
        <f t="shared" si="507"/>
        <v>0</v>
      </c>
      <c r="AC145" s="915">
        <f t="shared" si="508"/>
        <v>0</v>
      </c>
      <c r="AD145" s="915">
        <f t="shared" si="509"/>
        <v>0</v>
      </c>
      <c r="AE145" s="915">
        <f t="shared" si="510"/>
        <v>0</v>
      </c>
      <c r="AF145" s="915">
        <f t="shared" si="511"/>
        <v>0</v>
      </c>
      <c r="AG145" s="915">
        <f t="shared" si="512"/>
        <v>0</v>
      </c>
      <c r="AH145" s="915">
        <f t="shared" si="513"/>
        <v>0</v>
      </c>
      <c r="AI145" s="915">
        <f t="shared" si="514"/>
        <v>0</v>
      </c>
      <c r="AJ145" s="915">
        <f t="shared" si="515"/>
        <v>0</v>
      </c>
      <c r="AK145" s="915">
        <f t="shared" si="516"/>
        <v>0</v>
      </c>
      <c r="AL145" s="915">
        <f t="shared" si="517"/>
        <v>0</v>
      </c>
      <c r="AM145" s="915">
        <f t="shared" si="518"/>
        <v>0</v>
      </c>
      <c r="AN145" s="915">
        <f t="shared" si="519"/>
        <v>0</v>
      </c>
      <c r="AO145" s="915">
        <f t="shared" si="520"/>
        <v>0</v>
      </c>
      <c r="AP145" s="915">
        <f t="shared" si="521"/>
        <v>0</v>
      </c>
      <c r="AQ145" s="915">
        <f t="shared" si="522"/>
        <v>0</v>
      </c>
      <c r="AR145" s="915">
        <f t="shared" si="523"/>
        <v>0</v>
      </c>
      <c r="AS145" s="915">
        <f t="shared" si="524"/>
        <v>0</v>
      </c>
      <c r="AT145" s="915">
        <f t="shared" si="525"/>
        <v>0</v>
      </c>
      <c r="AU145" s="915">
        <f t="shared" si="526"/>
        <v>0</v>
      </c>
      <c r="AV145" s="915">
        <f t="shared" si="527"/>
        <v>0</v>
      </c>
      <c r="AW145" s="915">
        <f t="shared" si="528"/>
        <v>0</v>
      </c>
      <c r="AX145" s="915">
        <f t="shared" si="529"/>
        <v>0</v>
      </c>
      <c r="AY145" s="915">
        <f t="shared" si="530"/>
        <v>0</v>
      </c>
      <c r="AZ145" s="915">
        <f t="shared" si="531"/>
        <v>0</v>
      </c>
      <c r="BA145" s="915">
        <f t="shared" si="532"/>
        <v>0</v>
      </c>
      <c r="BB145" s="915">
        <f t="shared" si="533"/>
        <v>0</v>
      </c>
      <c r="BC145" s="915">
        <f t="shared" si="489"/>
        <v>0</v>
      </c>
      <c r="BD145" s="915">
        <f t="shared" si="490"/>
        <v>0</v>
      </c>
      <c r="BE145" s="915">
        <f t="shared" si="491"/>
        <v>0</v>
      </c>
      <c r="BF145" s="915">
        <f t="shared" si="492"/>
        <v>0</v>
      </c>
      <c r="BG145" s="915">
        <f t="shared" si="493"/>
        <v>0</v>
      </c>
      <c r="BH145" s="915">
        <f t="shared" si="494"/>
        <v>0</v>
      </c>
      <c r="BI145" s="915">
        <f t="shared" si="495"/>
        <v>0</v>
      </c>
      <c r="BJ145" s="915">
        <f t="shared" si="496"/>
        <v>0</v>
      </c>
      <c r="BK145" s="915">
        <f t="shared" si="582"/>
        <v>0</v>
      </c>
      <c r="BL145" s="915">
        <f t="shared" si="583"/>
        <v>0</v>
      </c>
      <c r="BM145" s="915">
        <f t="shared" si="584"/>
        <v>0</v>
      </c>
      <c r="BN145" s="915">
        <f t="shared" si="585"/>
        <v>0</v>
      </c>
      <c r="BO145" s="915">
        <f t="shared" si="586"/>
        <v>0</v>
      </c>
      <c r="BP145" s="915">
        <f t="shared" si="587"/>
        <v>0</v>
      </c>
      <c r="BQ145" s="915">
        <f t="shared" si="588"/>
        <v>0</v>
      </c>
      <c r="BR145" s="915">
        <f t="shared" si="589"/>
        <v>0</v>
      </c>
      <c r="BS145" s="915">
        <f t="shared" si="608"/>
        <v>0</v>
      </c>
      <c r="BT145" s="915">
        <f t="shared" si="609"/>
        <v>0</v>
      </c>
      <c r="BU145" s="915">
        <f t="shared" si="610"/>
        <v>0</v>
      </c>
      <c r="BV145" s="915">
        <f t="shared" si="611"/>
        <v>0</v>
      </c>
      <c r="BW145" s="915">
        <f t="shared" si="612"/>
        <v>0</v>
      </c>
      <c r="BX145" s="915">
        <f t="shared" si="613"/>
        <v>0</v>
      </c>
      <c r="BY145" s="915">
        <f t="shared" si="614"/>
        <v>0</v>
      </c>
      <c r="BZ145" s="915">
        <f t="shared" si="615"/>
        <v>0</v>
      </c>
      <c r="CA145" s="915">
        <f t="shared" si="462"/>
        <v>0</v>
      </c>
      <c r="CB145" s="915">
        <f t="shared" si="463"/>
        <v>0</v>
      </c>
      <c r="CC145" s="915">
        <f t="shared" si="464"/>
        <v>0</v>
      </c>
      <c r="CD145" s="915">
        <f t="shared" si="465"/>
        <v>0</v>
      </c>
      <c r="CE145" s="915">
        <f t="shared" si="466"/>
        <v>0</v>
      </c>
      <c r="CF145" s="915">
        <f t="shared" si="467"/>
        <v>0</v>
      </c>
      <c r="CG145" s="915">
        <f t="shared" si="468"/>
        <v>0</v>
      </c>
      <c r="CH145" s="915">
        <f t="shared" si="469"/>
        <v>0</v>
      </c>
      <c r="CI145" s="915">
        <f t="shared" si="336"/>
        <v>0</v>
      </c>
      <c r="CJ145" s="915">
        <f t="shared" si="337"/>
        <v>0</v>
      </c>
      <c r="CK145" s="915">
        <f t="shared" si="338"/>
        <v>0</v>
      </c>
      <c r="CL145" s="915">
        <f t="shared" si="339"/>
        <v>0</v>
      </c>
      <c r="CM145" s="915">
        <f t="shared" si="340"/>
        <v>0</v>
      </c>
      <c r="CN145" s="915">
        <f t="shared" si="341"/>
        <v>0</v>
      </c>
      <c r="CO145" s="915">
        <f t="shared" si="342"/>
        <v>0</v>
      </c>
      <c r="CP145" s="915">
        <f t="shared" si="343"/>
        <v>0</v>
      </c>
      <c r="CQ145" s="915">
        <f t="shared" si="370"/>
        <v>0</v>
      </c>
      <c r="CR145" s="915">
        <f t="shared" si="371"/>
        <v>0</v>
      </c>
      <c r="CS145" s="915">
        <f t="shared" si="372"/>
        <v>0</v>
      </c>
      <c r="CT145" s="915">
        <f t="shared" si="373"/>
        <v>0</v>
      </c>
      <c r="CU145" s="915">
        <f t="shared" si="374"/>
        <v>0</v>
      </c>
      <c r="CV145" s="915">
        <f t="shared" si="375"/>
        <v>0</v>
      </c>
      <c r="CW145" s="915">
        <f t="shared" si="376"/>
        <v>0</v>
      </c>
      <c r="CX145" s="915">
        <f t="shared" si="377"/>
        <v>0</v>
      </c>
      <c r="CY145" s="915">
        <f t="shared" si="542"/>
        <v>0</v>
      </c>
      <c r="CZ145" s="915">
        <f t="shared" si="543"/>
        <v>0</v>
      </c>
      <c r="DA145" s="915">
        <f t="shared" si="544"/>
        <v>0</v>
      </c>
      <c r="DB145" s="915">
        <f t="shared" si="545"/>
        <v>0</v>
      </c>
      <c r="DC145" s="915">
        <f t="shared" si="546"/>
        <v>0</v>
      </c>
      <c r="DD145" s="915">
        <f t="shared" si="547"/>
        <v>0</v>
      </c>
      <c r="DE145" s="915">
        <f t="shared" si="548"/>
        <v>0</v>
      </c>
      <c r="DF145" s="915">
        <f t="shared" si="549"/>
        <v>0</v>
      </c>
      <c r="DG145" s="915">
        <f t="shared" si="497"/>
        <v>0</v>
      </c>
      <c r="DH145" s="915">
        <f t="shared" si="498"/>
        <v>0</v>
      </c>
      <c r="DI145" s="915">
        <f t="shared" si="499"/>
        <v>0</v>
      </c>
      <c r="DJ145" s="915">
        <f t="shared" si="500"/>
        <v>0</v>
      </c>
      <c r="DK145" s="915">
        <f t="shared" si="501"/>
        <v>0</v>
      </c>
      <c r="DL145" s="915">
        <f t="shared" si="502"/>
        <v>0</v>
      </c>
      <c r="DM145" s="915">
        <f t="shared" si="503"/>
        <v>0</v>
      </c>
      <c r="DN145" s="915">
        <f t="shared" si="504"/>
        <v>0</v>
      </c>
      <c r="DO145" s="915">
        <f t="shared" si="592"/>
        <v>0</v>
      </c>
      <c r="DP145" s="915">
        <f t="shared" si="593"/>
        <v>0</v>
      </c>
      <c r="DQ145" s="915">
        <f t="shared" si="594"/>
        <v>0</v>
      </c>
      <c r="DR145" s="915">
        <f t="shared" si="595"/>
        <v>0</v>
      </c>
      <c r="DS145" s="915">
        <f t="shared" si="596"/>
        <v>0</v>
      </c>
      <c r="DT145" s="915">
        <f t="shared" si="597"/>
        <v>0</v>
      </c>
      <c r="DU145" s="915">
        <f t="shared" si="598"/>
        <v>0</v>
      </c>
      <c r="DV145" s="915">
        <f t="shared" si="599"/>
        <v>0</v>
      </c>
      <c r="DW145" s="915">
        <f t="shared" si="600"/>
        <v>0</v>
      </c>
      <c r="DX145" s="915">
        <f t="shared" si="601"/>
        <v>0</v>
      </c>
      <c r="DY145" s="915">
        <f t="shared" si="602"/>
        <v>0</v>
      </c>
      <c r="DZ145" s="915">
        <f t="shared" si="603"/>
        <v>0</v>
      </c>
      <c r="EA145" s="915">
        <f t="shared" si="604"/>
        <v>0</v>
      </c>
      <c r="EB145" s="915">
        <f t="shared" si="605"/>
        <v>0</v>
      </c>
      <c r="EC145" s="915">
        <f t="shared" si="606"/>
        <v>0</v>
      </c>
      <c r="ED145" s="915">
        <f t="shared" si="607"/>
        <v>0</v>
      </c>
      <c r="EE145" s="915">
        <f t="shared" si="470"/>
        <v>0</v>
      </c>
      <c r="EF145" s="915">
        <f t="shared" si="471"/>
        <v>0</v>
      </c>
      <c r="EG145" s="915">
        <f t="shared" si="472"/>
        <v>0</v>
      </c>
      <c r="EH145" s="915">
        <f t="shared" si="473"/>
        <v>0</v>
      </c>
      <c r="EI145" s="915">
        <f t="shared" si="474"/>
        <v>0</v>
      </c>
      <c r="EJ145" s="915">
        <f t="shared" si="475"/>
        <v>0</v>
      </c>
      <c r="EK145" s="915">
        <f t="shared" si="476"/>
        <v>0</v>
      </c>
      <c r="EL145" s="915">
        <f t="shared" si="477"/>
        <v>0</v>
      </c>
      <c r="EM145" s="915">
        <f t="shared" si="478"/>
        <v>0</v>
      </c>
      <c r="EN145" s="915">
        <f t="shared" si="479"/>
        <v>0</v>
      </c>
      <c r="EO145" s="915">
        <f t="shared" si="480"/>
        <v>0</v>
      </c>
      <c r="EP145" s="915">
        <f t="shared" si="481"/>
        <v>0</v>
      </c>
      <c r="EQ145" s="915">
        <f t="shared" si="482"/>
        <v>0</v>
      </c>
      <c r="ER145" s="915">
        <f t="shared" si="483"/>
        <v>0</v>
      </c>
      <c r="ES145" s="915">
        <f t="shared" si="484"/>
        <v>0</v>
      </c>
      <c r="ET145" s="915">
        <f t="shared" si="485"/>
        <v>0</v>
      </c>
      <c r="EU145" s="915">
        <f t="shared" si="550"/>
        <v>0</v>
      </c>
      <c r="EV145" s="915">
        <f t="shared" si="551"/>
        <v>0</v>
      </c>
      <c r="EW145" s="915">
        <f t="shared" si="552"/>
        <v>0</v>
      </c>
      <c r="EX145" s="915">
        <f t="shared" si="553"/>
        <v>0</v>
      </c>
      <c r="EY145" s="915">
        <f t="shared" si="554"/>
        <v>0</v>
      </c>
      <c r="EZ145" s="915">
        <f t="shared" si="555"/>
        <v>0</v>
      </c>
      <c r="FA145" s="915">
        <f t="shared" si="556"/>
        <v>0</v>
      </c>
      <c r="FB145" s="915">
        <f t="shared" si="557"/>
        <v>0</v>
      </c>
      <c r="FC145" s="915">
        <f t="shared" si="558"/>
        <v>0</v>
      </c>
      <c r="FD145" s="915">
        <f t="shared" si="559"/>
        <v>7.42</v>
      </c>
      <c r="FE145" s="915">
        <f t="shared" si="560"/>
        <v>0</v>
      </c>
      <c r="FF145" s="915">
        <f t="shared" si="561"/>
        <v>0</v>
      </c>
      <c r="FG145" s="915">
        <f t="shared" si="562"/>
        <v>0</v>
      </c>
      <c r="FH145" s="915">
        <f t="shared" si="563"/>
        <v>0</v>
      </c>
      <c r="FI145" s="915">
        <f t="shared" si="564"/>
        <v>0</v>
      </c>
      <c r="FJ145" s="915">
        <f t="shared" si="565"/>
        <v>0</v>
      </c>
      <c r="FK145" s="915">
        <f t="shared" si="566"/>
        <v>0</v>
      </c>
      <c r="FL145" s="915">
        <f t="shared" si="567"/>
        <v>0</v>
      </c>
      <c r="FM145" s="915">
        <f t="shared" si="568"/>
        <v>0</v>
      </c>
      <c r="FN145" s="915">
        <f t="shared" si="569"/>
        <v>0</v>
      </c>
      <c r="FO145" s="915">
        <f t="shared" si="570"/>
        <v>0</v>
      </c>
      <c r="FP145" s="915">
        <f t="shared" si="571"/>
        <v>0</v>
      </c>
      <c r="FQ145" s="915">
        <f t="shared" si="572"/>
        <v>0</v>
      </c>
      <c r="FR145" s="915">
        <f t="shared" si="573"/>
        <v>0</v>
      </c>
      <c r="FS145" s="915">
        <f t="shared" si="574"/>
        <v>0</v>
      </c>
      <c r="FT145" s="915">
        <f t="shared" si="575"/>
        <v>0</v>
      </c>
      <c r="FU145" s="915">
        <f t="shared" si="576"/>
        <v>0</v>
      </c>
      <c r="FV145" s="915">
        <f t="shared" si="577"/>
        <v>0</v>
      </c>
      <c r="FW145" s="915">
        <f t="shared" si="578"/>
        <v>0</v>
      </c>
      <c r="FX145" s="915">
        <f t="shared" si="579"/>
        <v>0</v>
      </c>
      <c r="FY145" s="915">
        <f t="shared" si="580"/>
        <v>0</v>
      </c>
      <c r="FZ145" s="915">
        <f t="shared" si="581"/>
        <v>0</v>
      </c>
    </row>
    <row r="146" spans="1:182" x14ac:dyDescent="0.2">
      <c r="A146" s="496">
        <v>139</v>
      </c>
      <c r="B146" s="1419"/>
      <c r="C146" s="1433"/>
      <c r="D146" s="264">
        <v>18</v>
      </c>
      <c r="E146" s="264" t="s">
        <v>35</v>
      </c>
      <c r="F146" s="270" t="s">
        <v>2544</v>
      </c>
      <c r="G146" s="270" t="s">
        <v>2542</v>
      </c>
      <c r="H146" s="272">
        <v>7</v>
      </c>
      <c r="I146" s="268">
        <f t="shared" si="590"/>
        <v>0.42</v>
      </c>
      <c r="J146" s="269">
        <f t="shared" si="591"/>
        <v>7.42</v>
      </c>
      <c r="K146" s="225"/>
      <c r="N146" s="951">
        <f>FE6</f>
        <v>7.42</v>
      </c>
      <c r="O146" s="879" t="str">
        <f>"General Construction for " &amp; TabName18</f>
        <v>General Construction for Phase 18</v>
      </c>
      <c r="P146" s="949" t="s">
        <v>2169</v>
      </c>
      <c r="W146" s="915">
        <f t="shared" si="486"/>
        <v>0</v>
      </c>
      <c r="X146" s="915">
        <f t="shared" si="487"/>
        <v>0</v>
      </c>
      <c r="Y146" s="915">
        <f t="shared" si="488"/>
        <v>0</v>
      </c>
      <c r="Z146" s="915">
        <f t="shared" si="505"/>
        <v>0</v>
      </c>
      <c r="AA146" s="915">
        <f t="shared" si="506"/>
        <v>0</v>
      </c>
      <c r="AB146" s="915">
        <f t="shared" si="507"/>
        <v>0</v>
      </c>
      <c r="AC146" s="915">
        <f t="shared" si="508"/>
        <v>0</v>
      </c>
      <c r="AD146" s="915">
        <f t="shared" si="509"/>
        <v>0</v>
      </c>
      <c r="AE146" s="915">
        <f t="shared" si="510"/>
        <v>0</v>
      </c>
      <c r="AF146" s="915">
        <f t="shared" si="511"/>
        <v>0</v>
      </c>
      <c r="AG146" s="915">
        <f t="shared" si="512"/>
        <v>0</v>
      </c>
      <c r="AH146" s="915">
        <f t="shared" si="513"/>
        <v>0</v>
      </c>
      <c r="AI146" s="915">
        <f t="shared" si="514"/>
        <v>0</v>
      </c>
      <c r="AJ146" s="915">
        <f t="shared" si="515"/>
        <v>0</v>
      </c>
      <c r="AK146" s="915">
        <f t="shared" si="516"/>
        <v>0</v>
      </c>
      <c r="AL146" s="915">
        <f t="shared" si="517"/>
        <v>0</v>
      </c>
      <c r="AM146" s="915">
        <f t="shared" si="518"/>
        <v>0</v>
      </c>
      <c r="AN146" s="915">
        <f t="shared" si="519"/>
        <v>0</v>
      </c>
      <c r="AO146" s="915">
        <f t="shared" si="520"/>
        <v>0</v>
      </c>
      <c r="AP146" s="915">
        <f t="shared" si="521"/>
        <v>0</v>
      </c>
      <c r="AQ146" s="915">
        <f t="shared" si="522"/>
        <v>0</v>
      </c>
      <c r="AR146" s="915">
        <f t="shared" si="523"/>
        <v>0</v>
      </c>
      <c r="AS146" s="915">
        <f t="shared" si="524"/>
        <v>0</v>
      </c>
      <c r="AT146" s="915">
        <f t="shared" si="525"/>
        <v>0</v>
      </c>
      <c r="AU146" s="915">
        <f t="shared" si="526"/>
        <v>0</v>
      </c>
      <c r="AV146" s="915">
        <f t="shared" si="527"/>
        <v>0</v>
      </c>
      <c r="AW146" s="915">
        <f t="shared" si="528"/>
        <v>0</v>
      </c>
      <c r="AX146" s="915">
        <f t="shared" si="529"/>
        <v>0</v>
      </c>
      <c r="AY146" s="915">
        <f t="shared" si="530"/>
        <v>0</v>
      </c>
      <c r="AZ146" s="915">
        <f t="shared" si="531"/>
        <v>0</v>
      </c>
      <c r="BA146" s="915">
        <f t="shared" si="532"/>
        <v>0</v>
      </c>
      <c r="BB146" s="915">
        <f t="shared" si="533"/>
        <v>0</v>
      </c>
      <c r="BC146" s="915">
        <f t="shared" si="489"/>
        <v>0</v>
      </c>
      <c r="BD146" s="915">
        <f t="shared" si="490"/>
        <v>0</v>
      </c>
      <c r="BE146" s="915">
        <f t="shared" si="491"/>
        <v>0</v>
      </c>
      <c r="BF146" s="915">
        <f t="shared" si="492"/>
        <v>0</v>
      </c>
      <c r="BG146" s="915">
        <f t="shared" si="493"/>
        <v>0</v>
      </c>
      <c r="BH146" s="915">
        <f t="shared" si="494"/>
        <v>0</v>
      </c>
      <c r="BI146" s="915">
        <f t="shared" si="495"/>
        <v>0</v>
      </c>
      <c r="BJ146" s="915">
        <f t="shared" si="496"/>
        <v>0</v>
      </c>
      <c r="BK146" s="915">
        <f t="shared" si="582"/>
        <v>0</v>
      </c>
      <c r="BL146" s="915">
        <f t="shared" si="583"/>
        <v>0</v>
      </c>
      <c r="BM146" s="915">
        <f t="shared" si="584"/>
        <v>0</v>
      </c>
      <c r="BN146" s="915">
        <f t="shared" si="585"/>
        <v>0</v>
      </c>
      <c r="BO146" s="915">
        <f t="shared" si="586"/>
        <v>0</v>
      </c>
      <c r="BP146" s="915">
        <f t="shared" si="587"/>
        <v>0</v>
      </c>
      <c r="BQ146" s="915">
        <f t="shared" si="588"/>
        <v>0</v>
      </c>
      <c r="BR146" s="915">
        <f t="shared" si="589"/>
        <v>0</v>
      </c>
      <c r="BS146" s="915">
        <f t="shared" si="608"/>
        <v>0</v>
      </c>
      <c r="BT146" s="915">
        <f t="shared" si="609"/>
        <v>0</v>
      </c>
      <c r="BU146" s="915">
        <f t="shared" si="610"/>
        <v>0</v>
      </c>
      <c r="BV146" s="915">
        <f t="shared" si="611"/>
        <v>0</v>
      </c>
      <c r="BW146" s="915">
        <f t="shared" si="612"/>
        <v>0</v>
      </c>
      <c r="BX146" s="915">
        <f t="shared" si="613"/>
        <v>0</v>
      </c>
      <c r="BY146" s="915">
        <f t="shared" si="614"/>
        <v>0</v>
      </c>
      <c r="BZ146" s="915">
        <f t="shared" si="615"/>
        <v>0</v>
      </c>
      <c r="CA146" s="915">
        <f t="shared" si="462"/>
        <v>0</v>
      </c>
      <c r="CB146" s="915">
        <f t="shared" si="463"/>
        <v>0</v>
      </c>
      <c r="CC146" s="915">
        <f t="shared" si="464"/>
        <v>0</v>
      </c>
      <c r="CD146" s="915">
        <f t="shared" si="465"/>
        <v>0</v>
      </c>
      <c r="CE146" s="915">
        <f t="shared" si="466"/>
        <v>0</v>
      </c>
      <c r="CF146" s="915">
        <f t="shared" si="467"/>
        <v>0</v>
      </c>
      <c r="CG146" s="915">
        <f t="shared" si="468"/>
        <v>0</v>
      </c>
      <c r="CH146" s="915">
        <f t="shared" si="469"/>
        <v>0</v>
      </c>
      <c r="CI146" s="915">
        <f t="shared" ref="CI146:CI152" si="616">IF(AND($D146=$R$16,$E146=$T$8),$J146,0)</f>
        <v>0</v>
      </c>
      <c r="CJ146" s="915">
        <f t="shared" ref="CJ146:CJ152" si="617">IF(AND($D146=$R$16,$E146=$T$9),$J146,0)</f>
        <v>0</v>
      </c>
      <c r="CK146" s="915">
        <f t="shared" ref="CK146:CK152" si="618">IF(AND($D146=$R$16,$E146=$T$10),$J146,0)</f>
        <v>0</v>
      </c>
      <c r="CL146" s="915">
        <f t="shared" ref="CL146:CL152" si="619">IF(AND($D146=$R$16,$E146=$T$11),$J146,0)</f>
        <v>0</v>
      </c>
      <c r="CM146" s="915">
        <f t="shared" ref="CM146:CM152" si="620">IF(AND($D146=$R$16,$E146=$T$12),$J146,0)</f>
        <v>0</v>
      </c>
      <c r="CN146" s="915">
        <f t="shared" ref="CN146:CN152" si="621">IF(AND($D146=$R$16,$E146=$T$13),$J146,0)</f>
        <v>0</v>
      </c>
      <c r="CO146" s="915">
        <f t="shared" ref="CO146:CO152" si="622">IF(AND($D146=$R$16,$E146=$T$14),$J146,0)</f>
        <v>0</v>
      </c>
      <c r="CP146" s="915">
        <f t="shared" ref="CP146:CP152" si="623">IF(AND($D146=$R$16,$E146=$T$15),$J146,0)</f>
        <v>0</v>
      </c>
      <c r="CQ146" s="915">
        <f t="shared" si="370"/>
        <v>0</v>
      </c>
      <c r="CR146" s="915">
        <f t="shared" si="371"/>
        <v>0</v>
      </c>
      <c r="CS146" s="915">
        <f t="shared" si="372"/>
        <v>0</v>
      </c>
      <c r="CT146" s="915">
        <f t="shared" si="373"/>
        <v>0</v>
      </c>
      <c r="CU146" s="915">
        <f t="shared" si="374"/>
        <v>0</v>
      </c>
      <c r="CV146" s="915">
        <f t="shared" si="375"/>
        <v>0</v>
      </c>
      <c r="CW146" s="915">
        <f t="shared" si="376"/>
        <v>0</v>
      </c>
      <c r="CX146" s="915">
        <f t="shared" si="377"/>
        <v>0</v>
      </c>
      <c r="CY146" s="915">
        <f t="shared" si="542"/>
        <v>0</v>
      </c>
      <c r="CZ146" s="915">
        <f t="shared" si="543"/>
        <v>0</v>
      </c>
      <c r="DA146" s="915">
        <f t="shared" si="544"/>
        <v>0</v>
      </c>
      <c r="DB146" s="915">
        <f t="shared" si="545"/>
        <v>0</v>
      </c>
      <c r="DC146" s="915">
        <f t="shared" si="546"/>
        <v>0</v>
      </c>
      <c r="DD146" s="915">
        <f t="shared" si="547"/>
        <v>0</v>
      </c>
      <c r="DE146" s="915">
        <f t="shared" si="548"/>
        <v>0</v>
      </c>
      <c r="DF146" s="915">
        <f t="shared" si="549"/>
        <v>0</v>
      </c>
      <c r="DG146" s="915">
        <f t="shared" si="497"/>
        <v>0</v>
      </c>
      <c r="DH146" s="915">
        <f t="shared" si="498"/>
        <v>0</v>
      </c>
      <c r="DI146" s="915">
        <f t="shared" si="499"/>
        <v>0</v>
      </c>
      <c r="DJ146" s="915">
        <f t="shared" si="500"/>
        <v>0</v>
      </c>
      <c r="DK146" s="915">
        <f t="shared" si="501"/>
        <v>0</v>
      </c>
      <c r="DL146" s="915">
        <f t="shared" si="502"/>
        <v>0</v>
      </c>
      <c r="DM146" s="915">
        <f t="shared" si="503"/>
        <v>0</v>
      </c>
      <c r="DN146" s="915">
        <f t="shared" si="504"/>
        <v>0</v>
      </c>
      <c r="DO146" s="915">
        <f t="shared" si="592"/>
        <v>0</v>
      </c>
      <c r="DP146" s="915">
        <f t="shared" si="593"/>
        <v>0</v>
      </c>
      <c r="DQ146" s="915">
        <f t="shared" si="594"/>
        <v>0</v>
      </c>
      <c r="DR146" s="915">
        <f t="shared" si="595"/>
        <v>0</v>
      </c>
      <c r="DS146" s="915">
        <f t="shared" si="596"/>
        <v>0</v>
      </c>
      <c r="DT146" s="915">
        <f t="shared" si="597"/>
        <v>0</v>
      </c>
      <c r="DU146" s="915">
        <f t="shared" si="598"/>
        <v>0</v>
      </c>
      <c r="DV146" s="915">
        <f t="shared" si="599"/>
        <v>0</v>
      </c>
      <c r="DW146" s="915">
        <f t="shared" si="600"/>
        <v>0</v>
      </c>
      <c r="DX146" s="915">
        <f t="shared" si="601"/>
        <v>0</v>
      </c>
      <c r="DY146" s="915">
        <f t="shared" si="602"/>
        <v>0</v>
      </c>
      <c r="DZ146" s="915">
        <f t="shared" si="603"/>
        <v>0</v>
      </c>
      <c r="EA146" s="915">
        <f t="shared" si="604"/>
        <v>0</v>
      </c>
      <c r="EB146" s="915">
        <f t="shared" si="605"/>
        <v>0</v>
      </c>
      <c r="EC146" s="915">
        <f t="shared" si="606"/>
        <v>0</v>
      </c>
      <c r="ED146" s="915">
        <f t="shared" si="607"/>
        <v>0</v>
      </c>
      <c r="EE146" s="915">
        <f t="shared" si="470"/>
        <v>0</v>
      </c>
      <c r="EF146" s="915">
        <f t="shared" si="471"/>
        <v>0</v>
      </c>
      <c r="EG146" s="915">
        <f t="shared" si="472"/>
        <v>0</v>
      </c>
      <c r="EH146" s="915">
        <f t="shared" si="473"/>
        <v>0</v>
      </c>
      <c r="EI146" s="915">
        <f t="shared" si="474"/>
        <v>0</v>
      </c>
      <c r="EJ146" s="915">
        <f t="shared" si="475"/>
        <v>0</v>
      </c>
      <c r="EK146" s="915">
        <f t="shared" si="476"/>
        <v>0</v>
      </c>
      <c r="EL146" s="915">
        <f t="shared" si="477"/>
        <v>0</v>
      </c>
      <c r="EM146" s="915">
        <f t="shared" si="478"/>
        <v>0</v>
      </c>
      <c r="EN146" s="915">
        <f t="shared" si="479"/>
        <v>0</v>
      </c>
      <c r="EO146" s="915">
        <f t="shared" si="480"/>
        <v>0</v>
      </c>
      <c r="EP146" s="915">
        <f t="shared" si="481"/>
        <v>0</v>
      </c>
      <c r="EQ146" s="915">
        <f t="shared" si="482"/>
        <v>0</v>
      </c>
      <c r="ER146" s="915">
        <f t="shared" si="483"/>
        <v>0</v>
      </c>
      <c r="ES146" s="915">
        <f t="shared" si="484"/>
        <v>0</v>
      </c>
      <c r="ET146" s="915">
        <f t="shared" si="485"/>
        <v>0</v>
      </c>
      <c r="EU146" s="915">
        <f t="shared" si="550"/>
        <v>0</v>
      </c>
      <c r="EV146" s="915">
        <f t="shared" si="551"/>
        <v>0</v>
      </c>
      <c r="EW146" s="915">
        <f t="shared" si="552"/>
        <v>0</v>
      </c>
      <c r="EX146" s="915">
        <f t="shared" si="553"/>
        <v>0</v>
      </c>
      <c r="EY146" s="915">
        <f t="shared" si="554"/>
        <v>0</v>
      </c>
      <c r="EZ146" s="915">
        <f t="shared" si="555"/>
        <v>0</v>
      </c>
      <c r="FA146" s="915">
        <f t="shared" si="556"/>
        <v>0</v>
      </c>
      <c r="FB146" s="915">
        <f t="shared" si="557"/>
        <v>0</v>
      </c>
      <c r="FC146" s="915">
        <f t="shared" si="558"/>
        <v>0</v>
      </c>
      <c r="FD146" s="915">
        <f t="shared" si="559"/>
        <v>0</v>
      </c>
      <c r="FE146" s="915">
        <f t="shared" si="560"/>
        <v>7.42</v>
      </c>
      <c r="FF146" s="915">
        <f t="shared" si="561"/>
        <v>0</v>
      </c>
      <c r="FG146" s="915">
        <f t="shared" si="562"/>
        <v>0</v>
      </c>
      <c r="FH146" s="915">
        <f t="shared" si="563"/>
        <v>0</v>
      </c>
      <c r="FI146" s="915">
        <f t="shared" si="564"/>
        <v>0</v>
      </c>
      <c r="FJ146" s="915">
        <f t="shared" si="565"/>
        <v>0</v>
      </c>
      <c r="FK146" s="915">
        <f t="shared" si="566"/>
        <v>0</v>
      </c>
      <c r="FL146" s="915">
        <f t="shared" si="567"/>
        <v>0</v>
      </c>
      <c r="FM146" s="915">
        <f t="shared" si="568"/>
        <v>0</v>
      </c>
      <c r="FN146" s="915">
        <f t="shared" si="569"/>
        <v>0</v>
      </c>
      <c r="FO146" s="915">
        <f t="shared" si="570"/>
        <v>0</v>
      </c>
      <c r="FP146" s="915">
        <f t="shared" si="571"/>
        <v>0</v>
      </c>
      <c r="FQ146" s="915">
        <f t="shared" si="572"/>
        <v>0</v>
      </c>
      <c r="FR146" s="915">
        <f t="shared" si="573"/>
        <v>0</v>
      </c>
      <c r="FS146" s="915">
        <f t="shared" si="574"/>
        <v>0</v>
      </c>
      <c r="FT146" s="915">
        <f t="shared" si="575"/>
        <v>0</v>
      </c>
      <c r="FU146" s="915">
        <f t="shared" si="576"/>
        <v>0</v>
      </c>
      <c r="FV146" s="915">
        <f t="shared" si="577"/>
        <v>0</v>
      </c>
      <c r="FW146" s="915">
        <f t="shared" si="578"/>
        <v>0</v>
      </c>
      <c r="FX146" s="915">
        <f t="shared" si="579"/>
        <v>0</v>
      </c>
      <c r="FY146" s="915">
        <f t="shared" si="580"/>
        <v>0</v>
      </c>
      <c r="FZ146" s="915">
        <f t="shared" si="581"/>
        <v>0</v>
      </c>
    </row>
    <row r="147" spans="1:182" x14ac:dyDescent="0.2">
      <c r="A147" s="497">
        <v>140</v>
      </c>
      <c r="B147" s="1423"/>
      <c r="C147" s="1424"/>
      <c r="D147" s="138">
        <v>18</v>
      </c>
      <c r="E147" s="138" t="s">
        <v>52</v>
      </c>
      <c r="F147" s="139" t="s">
        <v>2544</v>
      </c>
      <c r="G147" s="139" t="s">
        <v>2542</v>
      </c>
      <c r="H147" s="100">
        <v>7</v>
      </c>
      <c r="I147" s="119">
        <f t="shared" si="590"/>
        <v>0.42</v>
      </c>
      <c r="J147" s="90">
        <f t="shared" si="591"/>
        <v>7.42</v>
      </c>
      <c r="K147" s="225"/>
      <c r="N147" s="951">
        <f>FF6</f>
        <v>7.42</v>
      </c>
      <c r="O147" s="915" t="str">
        <f>"Waste Haul for "&amp;TabName18</f>
        <v>Waste Haul for Phase 18</v>
      </c>
      <c r="P147" s="949" t="s">
        <v>2170</v>
      </c>
      <c r="W147" s="915">
        <f t="shared" si="486"/>
        <v>0</v>
      </c>
      <c r="X147" s="915">
        <f t="shared" si="487"/>
        <v>0</v>
      </c>
      <c r="Y147" s="915">
        <f t="shared" si="488"/>
        <v>0</v>
      </c>
      <c r="Z147" s="915">
        <f t="shared" si="505"/>
        <v>0</v>
      </c>
      <c r="AA147" s="915">
        <f t="shared" si="506"/>
        <v>0</v>
      </c>
      <c r="AB147" s="915">
        <f t="shared" si="507"/>
        <v>0</v>
      </c>
      <c r="AC147" s="915">
        <f t="shared" si="508"/>
        <v>0</v>
      </c>
      <c r="AD147" s="915">
        <f t="shared" si="509"/>
        <v>0</v>
      </c>
      <c r="AE147" s="915">
        <f t="shared" si="510"/>
        <v>0</v>
      </c>
      <c r="AF147" s="915">
        <f t="shared" si="511"/>
        <v>0</v>
      </c>
      <c r="AG147" s="915">
        <f t="shared" si="512"/>
        <v>0</v>
      </c>
      <c r="AH147" s="915">
        <f t="shared" si="513"/>
        <v>0</v>
      </c>
      <c r="AI147" s="915">
        <f t="shared" si="514"/>
        <v>0</v>
      </c>
      <c r="AJ147" s="915">
        <f t="shared" si="515"/>
        <v>0</v>
      </c>
      <c r="AK147" s="915">
        <f t="shared" si="516"/>
        <v>0</v>
      </c>
      <c r="AL147" s="915">
        <f t="shared" si="517"/>
        <v>0</v>
      </c>
      <c r="AM147" s="915">
        <f t="shared" si="518"/>
        <v>0</v>
      </c>
      <c r="AN147" s="915">
        <f t="shared" si="519"/>
        <v>0</v>
      </c>
      <c r="AO147" s="915">
        <f t="shared" si="520"/>
        <v>0</v>
      </c>
      <c r="AP147" s="915">
        <f t="shared" si="521"/>
        <v>0</v>
      </c>
      <c r="AQ147" s="915">
        <f t="shared" si="522"/>
        <v>0</v>
      </c>
      <c r="AR147" s="915">
        <f t="shared" si="523"/>
        <v>0</v>
      </c>
      <c r="AS147" s="915">
        <f t="shared" si="524"/>
        <v>0</v>
      </c>
      <c r="AT147" s="915">
        <f t="shared" si="525"/>
        <v>0</v>
      </c>
      <c r="AU147" s="915">
        <f t="shared" si="526"/>
        <v>0</v>
      </c>
      <c r="AV147" s="915">
        <f t="shared" si="527"/>
        <v>0</v>
      </c>
      <c r="AW147" s="915">
        <f t="shared" si="528"/>
        <v>0</v>
      </c>
      <c r="AX147" s="915">
        <f t="shared" si="529"/>
        <v>0</v>
      </c>
      <c r="AY147" s="915">
        <f t="shared" si="530"/>
        <v>0</v>
      </c>
      <c r="AZ147" s="915">
        <f t="shared" si="531"/>
        <v>0</v>
      </c>
      <c r="BA147" s="915">
        <f t="shared" si="532"/>
        <v>0</v>
      </c>
      <c r="BB147" s="915">
        <f t="shared" si="533"/>
        <v>0</v>
      </c>
      <c r="BC147" s="915">
        <f t="shared" si="489"/>
        <v>0</v>
      </c>
      <c r="BD147" s="915">
        <f t="shared" si="490"/>
        <v>0</v>
      </c>
      <c r="BE147" s="915">
        <f t="shared" si="491"/>
        <v>0</v>
      </c>
      <c r="BF147" s="915">
        <f t="shared" si="492"/>
        <v>0</v>
      </c>
      <c r="BG147" s="915">
        <f t="shared" si="493"/>
        <v>0</v>
      </c>
      <c r="BH147" s="915">
        <f t="shared" si="494"/>
        <v>0</v>
      </c>
      <c r="BI147" s="915">
        <f t="shared" si="495"/>
        <v>0</v>
      </c>
      <c r="BJ147" s="915">
        <f t="shared" si="496"/>
        <v>0</v>
      </c>
      <c r="BK147" s="915">
        <f t="shared" si="582"/>
        <v>0</v>
      </c>
      <c r="BL147" s="915">
        <f t="shared" si="583"/>
        <v>0</v>
      </c>
      <c r="BM147" s="915">
        <f t="shared" si="584"/>
        <v>0</v>
      </c>
      <c r="BN147" s="915">
        <f t="shared" si="585"/>
        <v>0</v>
      </c>
      <c r="BO147" s="915">
        <f t="shared" si="586"/>
        <v>0</v>
      </c>
      <c r="BP147" s="915">
        <f t="shared" si="587"/>
        <v>0</v>
      </c>
      <c r="BQ147" s="915">
        <f t="shared" si="588"/>
        <v>0</v>
      </c>
      <c r="BR147" s="915">
        <f t="shared" si="589"/>
        <v>0</v>
      </c>
      <c r="BS147" s="915">
        <f t="shared" si="608"/>
        <v>0</v>
      </c>
      <c r="BT147" s="915">
        <f t="shared" si="609"/>
        <v>0</v>
      </c>
      <c r="BU147" s="915">
        <f t="shared" si="610"/>
        <v>0</v>
      </c>
      <c r="BV147" s="915">
        <f t="shared" si="611"/>
        <v>0</v>
      </c>
      <c r="BW147" s="915">
        <f t="shared" si="612"/>
        <v>0</v>
      </c>
      <c r="BX147" s="915">
        <f t="shared" si="613"/>
        <v>0</v>
      </c>
      <c r="BY147" s="915">
        <f t="shared" si="614"/>
        <v>0</v>
      </c>
      <c r="BZ147" s="915">
        <f t="shared" si="615"/>
        <v>0</v>
      </c>
      <c r="CA147" s="915">
        <f>IF(AND($D147=$R$15,$E147=$T$8),$J147,0)</f>
        <v>0</v>
      </c>
      <c r="CB147" s="915">
        <f>IF(AND($D147=$R$15,$E147=$T$9),$J147,0)</f>
        <v>0</v>
      </c>
      <c r="CC147" s="915">
        <f>IF(AND($D147=$R$15,$E147=$T$10),$J147,0)</f>
        <v>0</v>
      </c>
      <c r="CD147" s="915">
        <f>IF(AND($D147=$R$15,$E147=$T$11),$J147,0)</f>
        <v>0</v>
      </c>
      <c r="CE147" s="915">
        <f>IF(AND($D147=$R$15,$E147=$T$12),$J147,0)</f>
        <v>0</v>
      </c>
      <c r="CF147" s="915">
        <f>IF(AND($D147=$R$15,$E147=$T$13),$J147,0)</f>
        <v>0</v>
      </c>
      <c r="CG147" s="915">
        <f>IF(AND($D147=$R$15,$E147=$T$14),$J147,0)</f>
        <v>0</v>
      </c>
      <c r="CH147" s="915">
        <f>IF(AND($D147=$R$15,$E147=$T$15),$J147,0)</f>
        <v>0</v>
      </c>
      <c r="CI147" s="915">
        <f t="shared" si="616"/>
        <v>0</v>
      </c>
      <c r="CJ147" s="915">
        <f t="shared" si="617"/>
        <v>0</v>
      </c>
      <c r="CK147" s="915">
        <f t="shared" si="618"/>
        <v>0</v>
      </c>
      <c r="CL147" s="915">
        <f t="shared" si="619"/>
        <v>0</v>
      </c>
      <c r="CM147" s="915">
        <f t="shared" si="620"/>
        <v>0</v>
      </c>
      <c r="CN147" s="915">
        <f t="shared" si="621"/>
        <v>0</v>
      </c>
      <c r="CO147" s="915">
        <f t="shared" si="622"/>
        <v>0</v>
      </c>
      <c r="CP147" s="915">
        <f t="shared" si="623"/>
        <v>0</v>
      </c>
      <c r="CQ147" s="915">
        <f t="shared" si="370"/>
        <v>0</v>
      </c>
      <c r="CR147" s="915">
        <f t="shared" si="371"/>
        <v>0</v>
      </c>
      <c r="CS147" s="915">
        <f t="shared" si="372"/>
        <v>0</v>
      </c>
      <c r="CT147" s="915">
        <f t="shared" si="373"/>
        <v>0</v>
      </c>
      <c r="CU147" s="915">
        <f t="shared" si="374"/>
        <v>0</v>
      </c>
      <c r="CV147" s="915">
        <f t="shared" si="375"/>
        <v>0</v>
      </c>
      <c r="CW147" s="915">
        <f t="shared" si="376"/>
        <v>0</v>
      </c>
      <c r="CX147" s="915">
        <f t="shared" si="377"/>
        <v>0</v>
      </c>
      <c r="CY147" s="915">
        <f t="shared" si="542"/>
        <v>0</v>
      </c>
      <c r="CZ147" s="915">
        <f t="shared" si="543"/>
        <v>0</v>
      </c>
      <c r="DA147" s="915">
        <f t="shared" si="544"/>
        <v>0</v>
      </c>
      <c r="DB147" s="915">
        <f t="shared" si="545"/>
        <v>0</v>
      </c>
      <c r="DC147" s="915">
        <f t="shared" si="546"/>
        <v>0</v>
      </c>
      <c r="DD147" s="915">
        <f t="shared" si="547"/>
        <v>0</v>
      </c>
      <c r="DE147" s="915">
        <f t="shared" si="548"/>
        <v>0</v>
      </c>
      <c r="DF147" s="915">
        <f t="shared" si="549"/>
        <v>0</v>
      </c>
      <c r="DG147" s="915">
        <f t="shared" si="497"/>
        <v>0</v>
      </c>
      <c r="DH147" s="915">
        <f t="shared" si="498"/>
        <v>0</v>
      </c>
      <c r="DI147" s="915">
        <f t="shared" si="499"/>
        <v>0</v>
      </c>
      <c r="DJ147" s="915">
        <f t="shared" si="500"/>
        <v>0</v>
      </c>
      <c r="DK147" s="915">
        <f t="shared" si="501"/>
        <v>0</v>
      </c>
      <c r="DL147" s="915">
        <f t="shared" si="502"/>
        <v>0</v>
      </c>
      <c r="DM147" s="915">
        <f t="shared" si="503"/>
        <v>0</v>
      </c>
      <c r="DN147" s="915">
        <f t="shared" si="504"/>
        <v>0</v>
      </c>
      <c r="DO147" s="915">
        <f t="shared" si="592"/>
        <v>0</v>
      </c>
      <c r="DP147" s="915">
        <f t="shared" si="593"/>
        <v>0</v>
      </c>
      <c r="DQ147" s="915">
        <f t="shared" si="594"/>
        <v>0</v>
      </c>
      <c r="DR147" s="915">
        <f t="shared" si="595"/>
        <v>0</v>
      </c>
      <c r="DS147" s="915">
        <f t="shared" si="596"/>
        <v>0</v>
      </c>
      <c r="DT147" s="915">
        <f t="shared" si="597"/>
        <v>0</v>
      </c>
      <c r="DU147" s="915">
        <f t="shared" si="598"/>
        <v>0</v>
      </c>
      <c r="DV147" s="915">
        <f t="shared" si="599"/>
        <v>0</v>
      </c>
      <c r="DW147" s="915">
        <f t="shared" si="600"/>
        <v>0</v>
      </c>
      <c r="DX147" s="915">
        <f t="shared" si="601"/>
        <v>0</v>
      </c>
      <c r="DY147" s="915">
        <f t="shared" si="602"/>
        <v>0</v>
      </c>
      <c r="DZ147" s="915">
        <f t="shared" si="603"/>
        <v>0</v>
      </c>
      <c r="EA147" s="915">
        <f t="shared" si="604"/>
        <v>0</v>
      </c>
      <c r="EB147" s="915">
        <f t="shared" si="605"/>
        <v>0</v>
      </c>
      <c r="EC147" s="915">
        <f t="shared" si="606"/>
        <v>0</v>
      </c>
      <c r="ED147" s="915">
        <f t="shared" si="607"/>
        <v>0</v>
      </c>
      <c r="EE147" s="915">
        <f t="shared" si="470"/>
        <v>0</v>
      </c>
      <c r="EF147" s="915">
        <f t="shared" si="471"/>
        <v>0</v>
      </c>
      <c r="EG147" s="915">
        <f t="shared" si="472"/>
        <v>0</v>
      </c>
      <c r="EH147" s="915">
        <f t="shared" si="473"/>
        <v>0</v>
      </c>
      <c r="EI147" s="915">
        <f t="shared" si="474"/>
        <v>0</v>
      </c>
      <c r="EJ147" s="915">
        <f t="shared" si="475"/>
        <v>0</v>
      </c>
      <c r="EK147" s="915">
        <f t="shared" si="476"/>
        <v>0</v>
      </c>
      <c r="EL147" s="915">
        <f t="shared" si="477"/>
        <v>0</v>
      </c>
      <c r="EM147" s="915">
        <f t="shared" si="478"/>
        <v>0</v>
      </c>
      <c r="EN147" s="915">
        <f t="shared" si="479"/>
        <v>0</v>
      </c>
      <c r="EO147" s="915">
        <f t="shared" si="480"/>
        <v>0</v>
      </c>
      <c r="EP147" s="915">
        <f t="shared" si="481"/>
        <v>0</v>
      </c>
      <c r="EQ147" s="915">
        <f t="shared" si="482"/>
        <v>0</v>
      </c>
      <c r="ER147" s="915">
        <f t="shared" si="483"/>
        <v>0</v>
      </c>
      <c r="ES147" s="915">
        <f t="shared" si="484"/>
        <v>0</v>
      </c>
      <c r="ET147" s="915">
        <f t="shared" si="485"/>
        <v>0</v>
      </c>
      <c r="EU147" s="915">
        <f t="shared" si="550"/>
        <v>0</v>
      </c>
      <c r="EV147" s="915">
        <f t="shared" si="551"/>
        <v>0</v>
      </c>
      <c r="EW147" s="915">
        <f t="shared" si="552"/>
        <v>0</v>
      </c>
      <c r="EX147" s="915">
        <f t="shared" si="553"/>
        <v>0</v>
      </c>
      <c r="EY147" s="915">
        <f t="shared" si="554"/>
        <v>0</v>
      </c>
      <c r="EZ147" s="915">
        <f t="shared" si="555"/>
        <v>0</v>
      </c>
      <c r="FA147" s="915">
        <f t="shared" si="556"/>
        <v>0</v>
      </c>
      <c r="FB147" s="915">
        <f t="shared" si="557"/>
        <v>0</v>
      </c>
      <c r="FC147" s="915">
        <f t="shared" si="558"/>
        <v>0</v>
      </c>
      <c r="FD147" s="915">
        <f t="shared" si="559"/>
        <v>0</v>
      </c>
      <c r="FE147" s="915">
        <f t="shared" si="560"/>
        <v>0</v>
      </c>
      <c r="FF147" s="915">
        <f t="shared" si="561"/>
        <v>7.42</v>
      </c>
      <c r="FG147" s="915">
        <f t="shared" si="562"/>
        <v>0</v>
      </c>
      <c r="FH147" s="915">
        <f t="shared" si="563"/>
        <v>0</v>
      </c>
      <c r="FI147" s="915">
        <f t="shared" si="564"/>
        <v>0</v>
      </c>
      <c r="FJ147" s="915">
        <f t="shared" si="565"/>
        <v>0</v>
      </c>
      <c r="FK147" s="915">
        <f t="shared" si="566"/>
        <v>0</v>
      </c>
      <c r="FL147" s="915">
        <f t="shared" si="567"/>
        <v>0</v>
      </c>
      <c r="FM147" s="915">
        <f t="shared" si="568"/>
        <v>0</v>
      </c>
      <c r="FN147" s="915">
        <f t="shared" si="569"/>
        <v>0</v>
      </c>
      <c r="FO147" s="915">
        <f t="shared" si="570"/>
        <v>0</v>
      </c>
      <c r="FP147" s="915">
        <f t="shared" si="571"/>
        <v>0</v>
      </c>
      <c r="FQ147" s="915">
        <f t="shared" si="572"/>
        <v>0</v>
      </c>
      <c r="FR147" s="915">
        <f t="shared" si="573"/>
        <v>0</v>
      </c>
      <c r="FS147" s="915">
        <f t="shared" si="574"/>
        <v>0</v>
      </c>
      <c r="FT147" s="915">
        <f t="shared" si="575"/>
        <v>0</v>
      </c>
      <c r="FU147" s="915">
        <f t="shared" si="576"/>
        <v>0</v>
      </c>
      <c r="FV147" s="915">
        <f t="shared" si="577"/>
        <v>0</v>
      </c>
      <c r="FW147" s="915">
        <f t="shared" si="578"/>
        <v>0</v>
      </c>
      <c r="FX147" s="915">
        <f t="shared" si="579"/>
        <v>0</v>
      </c>
      <c r="FY147" s="915">
        <f t="shared" si="580"/>
        <v>0</v>
      </c>
      <c r="FZ147" s="915">
        <f t="shared" si="581"/>
        <v>0</v>
      </c>
    </row>
    <row r="148" spans="1:182" x14ac:dyDescent="0.2">
      <c r="A148" s="496">
        <v>141</v>
      </c>
      <c r="B148" s="1419"/>
      <c r="C148" s="1433"/>
      <c r="D148" s="264">
        <v>18</v>
      </c>
      <c r="E148" s="264" t="s">
        <v>30</v>
      </c>
      <c r="F148" s="270" t="s">
        <v>2544</v>
      </c>
      <c r="G148" s="270" t="s">
        <v>2542</v>
      </c>
      <c r="H148" s="272">
        <v>7</v>
      </c>
      <c r="I148" s="268">
        <f t="shared" si="590"/>
        <v>0.42</v>
      </c>
      <c r="J148" s="269">
        <f t="shared" si="591"/>
        <v>7.42</v>
      </c>
      <c r="K148" s="225"/>
      <c r="N148" s="951">
        <f>FG6</f>
        <v>7.42</v>
      </c>
      <c r="O148" s="879" t="str">
        <f>"Surveying/Inspection for " &amp; TabName18</f>
        <v>Surveying/Inspection for Phase 18</v>
      </c>
      <c r="P148" s="950" t="s">
        <v>2171</v>
      </c>
      <c r="W148" s="915">
        <f t="shared" si="486"/>
        <v>0</v>
      </c>
      <c r="X148" s="915">
        <f t="shared" si="487"/>
        <v>0</v>
      </c>
      <c r="Y148" s="915">
        <f t="shared" si="488"/>
        <v>0</v>
      </c>
      <c r="Z148" s="915">
        <f t="shared" si="505"/>
        <v>0</v>
      </c>
      <c r="AA148" s="915">
        <f t="shared" si="506"/>
        <v>0</v>
      </c>
      <c r="AB148" s="915">
        <f t="shared" si="507"/>
        <v>0</v>
      </c>
      <c r="AC148" s="915">
        <f t="shared" si="508"/>
        <v>0</v>
      </c>
      <c r="AD148" s="915">
        <f t="shared" si="509"/>
        <v>0</v>
      </c>
      <c r="AE148" s="915">
        <f t="shared" si="510"/>
        <v>0</v>
      </c>
      <c r="AF148" s="915">
        <f t="shared" si="511"/>
        <v>0</v>
      </c>
      <c r="AG148" s="915">
        <f t="shared" si="512"/>
        <v>0</v>
      </c>
      <c r="AH148" s="915">
        <f t="shared" si="513"/>
        <v>0</v>
      </c>
      <c r="AI148" s="915">
        <f t="shared" si="514"/>
        <v>0</v>
      </c>
      <c r="AJ148" s="915">
        <f t="shared" si="515"/>
        <v>0</v>
      </c>
      <c r="AK148" s="915">
        <f t="shared" si="516"/>
        <v>0</v>
      </c>
      <c r="AL148" s="915">
        <f t="shared" si="517"/>
        <v>0</v>
      </c>
      <c r="AM148" s="915">
        <f t="shared" si="518"/>
        <v>0</v>
      </c>
      <c r="AN148" s="915">
        <f t="shared" si="519"/>
        <v>0</v>
      </c>
      <c r="AO148" s="915">
        <f t="shared" si="520"/>
        <v>0</v>
      </c>
      <c r="AP148" s="915">
        <f t="shared" si="521"/>
        <v>0</v>
      </c>
      <c r="AQ148" s="915">
        <f t="shared" si="522"/>
        <v>0</v>
      </c>
      <c r="AR148" s="915">
        <f t="shared" si="523"/>
        <v>0</v>
      </c>
      <c r="AS148" s="915">
        <f t="shared" si="524"/>
        <v>0</v>
      </c>
      <c r="AT148" s="915">
        <f t="shared" si="525"/>
        <v>0</v>
      </c>
      <c r="AU148" s="915">
        <f t="shared" si="526"/>
        <v>0</v>
      </c>
      <c r="AV148" s="915">
        <f t="shared" si="527"/>
        <v>0</v>
      </c>
      <c r="AW148" s="915">
        <f t="shared" si="528"/>
        <v>0</v>
      </c>
      <c r="AX148" s="915">
        <f t="shared" si="529"/>
        <v>0</v>
      </c>
      <c r="AY148" s="915">
        <f t="shared" si="530"/>
        <v>0</v>
      </c>
      <c r="AZ148" s="915">
        <f t="shared" si="531"/>
        <v>0</v>
      </c>
      <c r="BA148" s="915">
        <f t="shared" si="532"/>
        <v>0</v>
      </c>
      <c r="BB148" s="915">
        <f t="shared" si="533"/>
        <v>0</v>
      </c>
      <c r="BC148" s="915">
        <f t="shared" si="489"/>
        <v>0</v>
      </c>
      <c r="BD148" s="915">
        <f t="shared" si="490"/>
        <v>0</v>
      </c>
      <c r="BE148" s="915">
        <f t="shared" si="491"/>
        <v>0</v>
      </c>
      <c r="BF148" s="915">
        <f t="shared" si="492"/>
        <v>0</v>
      </c>
      <c r="BG148" s="915">
        <f t="shared" si="493"/>
        <v>0</v>
      </c>
      <c r="BH148" s="915">
        <f t="shared" si="494"/>
        <v>0</v>
      </c>
      <c r="BI148" s="915">
        <f t="shared" si="495"/>
        <v>0</v>
      </c>
      <c r="BJ148" s="915">
        <f t="shared" si="496"/>
        <v>0</v>
      </c>
      <c r="BK148" s="915">
        <f t="shared" si="582"/>
        <v>0</v>
      </c>
      <c r="BL148" s="915">
        <f t="shared" si="583"/>
        <v>0</v>
      </c>
      <c r="BM148" s="915">
        <f t="shared" si="584"/>
        <v>0</v>
      </c>
      <c r="BN148" s="915">
        <f t="shared" si="585"/>
        <v>0</v>
      </c>
      <c r="BO148" s="915">
        <f t="shared" si="586"/>
        <v>0</v>
      </c>
      <c r="BP148" s="915">
        <f t="shared" si="587"/>
        <v>0</v>
      </c>
      <c r="BQ148" s="915">
        <f t="shared" si="588"/>
        <v>0</v>
      </c>
      <c r="BR148" s="915">
        <f t="shared" si="589"/>
        <v>0</v>
      </c>
      <c r="BS148" s="915">
        <f t="shared" si="608"/>
        <v>0</v>
      </c>
      <c r="BT148" s="915">
        <f t="shared" si="609"/>
        <v>0</v>
      </c>
      <c r="BU148" s="915">
        <f t="shared" si="610"/>
        <v>0</v>
      </c>
      <c r="BV148" s="915">
        <f t="shared" si="611"/>
        <v>0</v>
      </c>
      <c r="BW148" s="915">
        <f t="shared" si="612"/>
        <v>0</v>
      </c>
      <c r="BX148" s="915">
        <f t="shared" si="613"/>
        <v>0</v>
      </c>
      <c r="BY148" s="915">
        <f t="shared" si="614"/>
        <v>0</v>
      </c>
      <c r="BZ148" s="915">
        <f t="shared" si="615"/>
        <v>0</v>
      </c>
      <c r="CA148" s="915">
        <f t="shared" ref="CA148:CA161" si="624">IF(AND($D148=$R$15,$E148=$T$8),$J148,0)</f>
        <v>0</v>
      </c>
      <c r="CB148" s="915">
        <f t="shared" ref="CB148:CB161" si="625">IF(AND($D148=$R$15,$E148=$T$9),$J148,0)</f>
        <v>0</v>
      </c>
      <c r="CC148" s="915">
        <f t="shared" ref="CC148:CC161" si="626">IF(AND($D148=$R$15,$E148=$T$10),$J148,0)</f>
        <v>0</v>
      </c>
      <c r="CD148" s="915">
        <f t="shared" ref="CD148:CD161" si="627">IF(AND($D148=$R$15,$E148=$T$11),$J148,0)</f>
        <v>0</v>
      </c>
      <c r="CE148" s="915">
        <f t="shared" ref="CE148:CE161" si="628">IF(AND($D148=$R$15,$E148=$T$12),$J148,0)</f>
        <v>0</v>
      </c>
      <c r="CF148" s="915">
        <f t="shared" ref="CF148:CF161" si="629">IF(AND($D148=$R$15,$E148=$T$13),$J148,0)</f>
        <v>0</v>
      </c>
      <c r="CG148" s="915">
        <f t="shared" ref="CG148:CG161" si="630">IF(AND($D148=$R$15,$E148=$T$14),$J148,0)</f>
        <v>0</v>
      </c>
      <c r="CH148" s="915">
        <f t="shared" ref="CH148:CH161" si="631">IF(AND($D148=$R$15,$E148=$T$15),$J148,0)</f>
        <v>0</v>
      </c>
      <c r="CI148" s="915">
        <f t="shared" si="616"/>
        <v>0</v>
      </c>
      <c r="CJ148" s="915">
        <f t="shared" si="617"/>
        <v>0</v>
      </c>
      <c r="CK148" s="915">
        <f t="shared" si="618"/>
        <v>0</v>
      </c>
      <c r="CL148" s="915">
        <f t="shared" si="619"/>
        <v>0</v>
      </c>
      <c r="CM148" s="915">
        <f t="shared" si="620"/>
        <v>0</v>
      </c>
      <c r="CN148" s="915">
        <f t="shared" si="621"/>
        <v>0</v>
      </c>
      <c r="CO148" s="915">
        <f t="shared" si="622"/>
        <v>0</v>
      </c>
      <c r="CP148" s="915">
        <f t="shared" si="623"/>
        <v>0</v>
      </c>
      <c r="CQ148" s="915">
        <f t="shared" si="370"/>
        <v>0</v>
      </c>
      <c r="CR148" s="915">
        <f t="shared" si="371"/>
        <v>0</v>
      </c>
      <c r="CS148" s="915">
        <f t="shared" si="372"/>
        <v>0</v>
      </c>
      <c r="CT148" s="915">
        <f t="shared" si="373"/>
        <v>0</v>
      </c>
      <c r="CU148" s="915">
        <f t="shared" si="374"/>
        <v>0</v>
      </c>
      <c r="CV148" s="915">
        <f t="shared" si="375"/>
        <v>0</v>
      </c>
      <c r="CW148" s="915">
        <f t="shared" si="376"/>
        <v>0</v>
      </c>
      <c r="CX148" s="915">
        <f t="shared" si="377"/>
        <v>0</v>
      </c>
      <c r="CY148" s="915">
        <f t="shared" si="542"/>
        <v>0</v>
      </c>
      <c r="CZ148" s="915">
        <f t="shared" si="543"/>
        <v>0</v>
      </c>
      <c r="DA148" s="915">
        <f t="shared" si="544"/>
        <v>0</v>
      </c>
      <c r="DB148" s="915">
        <f t="shared" si="545"/>
        <v>0</v>
      </c>
      <c r="DC148" s="915">
        <f t="shared" si="546"/>
        <v>0</v>
      </c>
      <c r="DD148" s="915">
        <f t="shared" si="547"/>
        <v>0</v>
      </c>
      <c r="DE148" s="915">
        <f t="shared" si="548"/>
        <v>0</v>
      </c>
      <c r="DF148" s="915">
        <f t="shared" si="549"/>
        <v>0</v>
      </c>
      <c r="DG148" s="915">
        <f t="shared" si="497"/>
        <v>0</v>
      </c>
      <c r="DH148" s="915">
        <f t="shared" si="498"/>
        <v>0</v>
      </c>
      <c r="DI148" s="915">
        <f t="shared" si="499"/>
        <v>0</v>
      </c>
      <c r="DJ148" s="915">
        <f t="shared" si="500"/>
        <v>0</v>
      </c>
      <c r="DK148" s="915">
        <f t="shared" si="501"/>
        <v>0</v>
      </c>
      <c r="DL148" s="915">
        <f t="shared" si="502"/>
        <v>0</v>
      </c>
      <c r="DM148" s="915">
        <f t="shared" si="503"/>
        <v>0</v>
      </c>
      <c r="DN148" s="915">
        <f t="shared" si="504"/>
        <v>0</v>
      </c>
      <c r="DO148" s="915">
        <f t="shared" si="592"/>
        <v>0</v>
      </c>
      <c r="DP148" s="915">
        <f t="shared" si="593"/>
        <v>0</v>
      </c>
      <c r="DQ148" s="915">
        <f t="shared" si="594"/>
        <v>0</v>
      </c>
      <c r="DR148" s="915">
        <f t="shared" si="595"/>
        <v>0</v>
      </c>
      <c r="DS148" s="915">
        <f t="shared" si="596"/>
        <v>0</v>
      </c>
      <c r="DT148" s="915">
        <f t="shared" si="597"/>
        <v>0</v>
      </c>
      <c r="DU148" s="915">
        <f t="shared" si="598"/>
        <v>0</v>
      </c>
      <c r="DV148" s="915">
        <f t="shared" si="599"/>
        <v>0</v>
      </c>
      <c r="DW148" s="915">
        <f t="shared" si="600"/>
        <v>0</v>
      </c>
      <c r="DX148" s="915">
        <f t="shared" si="601"/>
        <v>0</v>
      </c>
      <c r="DY148" s="915">
        <f t="shared" si="602"/>
        <v>0</v>
      </c>
      <c r="DZ148" s="915">
        <f t="shared" si="603"/>
        <v>0</v>
      </c>
      <c r="EA148" s="915">
        <f t="shared" si="604"/>
        <v>0</v>
      </c>
      <c r="EB148" s="915">
        <f t="shared" si="605"/>
        <v>0</v>
      </c>
      <c r="EC148" s="915">
        <f t="shared" si="606"/>
        <v>0</v>
      </c>
      <c r="ED148" s="915">
        <f t="shared" si="607"/>
        <v>0</v>
      </c>
      <c r="EE148" s="915">
        <f t="shared" si="470"/>
        <v>0</v>
      </c>
      <c r="EF148" s="915">
        <f t="shared" si="471"/>
        <v>0</v>
      </c>
      <c r="EG148" s="915">
        <f t="shared" si="472"/>
        <v>0</v>
      </c>
      <c r="EH148" s="915">
        <f t="shared" si="473"/>
        <v>0</v>
      </c>
      <c r="EI148" s="915">
        <f t="shared" si="474"/>
        <v>0</v>
      </c>
      <c r="EJ148" s="915">
        <f t="shared" si="475"/>
        <v>0</v>
      </c>
      <c r="EK148" s="915">
        <f t="shared" si="476"/>
        <v>0</v>
      </c>
      <c r="EL148" s="915">
        <f t="shared" si="477"/>
        <v>0</v>
      </c>
      <c r="EM148" s="915">
        <f t="shared" si="478"/>
        <v>0</v>
      </c>
      <c r="EN148" s="915">
        <f t="shared" si="479"/>
        <v>0</v>
      </c>
      <c r="EO148" s="915">
        <f t="shared" si="480"/>
        <v>0</v>
      </c>
      <c r="EP148" s="915">
        <f t="shared" si="481"/>
        <v>0</v>
      </c>
      <c r="EQ148" s="915">
        <f t="shared" si="482"/>
        <v>0</v>
      </c>
      <c r="ER148" s="915">
        <f t="shared" si="483"/>
        <v>0</v>
      </c>
      <c r="ES148" s="915">
        <f t="shared" si="484"/>
        <v>0</v>
      </c>
      <c r="ET148" s="915">
        <f t="shared" si="485"/>
        <v>0</v>
      </c>
      <c r="EU148" s="915">
        <f t="shared" si="550"/>
        <v>0</v>
      </c>
      <c r="EV148" s="915">
        <f t="shared" si="551"/>
        <v>0</v>
      </c>
      <c r="EW148" s="915">
        <f t="shared" si="552"/>
        <v>0</v>
      </c>
      <c r="EX148" s="915">
        <f t="shared" si="553"/>
        <v>0</v>
      </c>
      <c r="EY148" s="915">
        <f t="shared" si="554"/>
        <v>0</v>
      </c>
      <c r="EZ148" s="915">
        <f t="shared" si="555"/>
        <v>0</v>
      </c>
      <c r="FA148" s="915">
        <f t="shared" si="556"/>
        <v>0</v>
      </c>
      <c r="FB148" s="915">
        <f t="shared" si="557"/>
        <v>0</v>
      </c>
      <c r="FC148" s="915">
        <f t="shared" si="558"/>
        <v>0</v>
      </c>
      <c r="FD148" s="915">
        <f t="shared" si="559"/>
        <v>0</v>
      </c>
      <c r="FE148" s="915">
        <f t="shared" si="560"/>
        <v>0</v>
      </c>
      <c r="FF148" s="915">
        <f t="shared" si="561"/>
        <v>0</v>
      </c>
      <c r="FG148" s="915">
        <f t="shared" si="562"/>
        <v>7.42</v>
      </c>
      <c r="FH148" s="915">
        <f t="shared" si="563"/>
        <v>0</v>
      </c>
      <c r="FI148" s="915">
        <f t="shared" si="564"/>
        <v>0</v>
      </c>
      <c r="FJ148" s="915">
        <f t="shared" si="565"/>
        <v>0</v>
      </c>
      <c r="FK148" s="915">
        <f t="shared" si="566"/>
        <v>0</v>
      </c>
      <c r="FL148" s="915">
        <f t="shared" si="567"/>
        <v>0</v>
      </c>
      <c r="FM148" s="915">
        <f t="shared" si="568"/>
        <v>0</v>
      </c>
      <c r="FN148" s="915">
        <f t="shared" si="569"/>
        <v>0</v>
      </c>
      <c r="FO148" s="915">
        <f t="shared" si="570"/>
        <v>0</v>
      </c>
      <c r="FP148" s="915">
        <f t="shared" si="571"/>
        <v>0</v>
      </c>
      <c r="FQ148" s="915">
        <f t="shared" si="572"/>
        <v>0</v>
      </c>
      <c r="FR148" s="915">
        <f t="shared" si="573"/>
        <v>0</v>
      </c>
      <c r="FS148" s="915">
        <f t="shared" si="574"/>
        <v>0</v>
      </c>
      <c r="FT148" s="915">
        <f t="shared" si="575"/>
        <v>0</v>
      </c>
      <c r="FU148" s="915">
        <f t="shared" si="576"/>
        <v>0</v>
      </c>
      <c r="FV148" s="915">
        <f t="shared" si="577"/>
        <v>0</v>
      </c>
      <c r="FW148" s="915">
        <f t="shared" si="578"/>
        <v>0</v>
      </c>
      <c r="FX148" s="915">
        <f t="shared" si="579"/>
        <v>0</v>
      </c>
      <c r="FY148" s="915">
        <f t="shared" si="580"/>
        <v>0</v>
      </c>
      <c r="FZ148" s="915">
        <f t="shared" si="581"/>
        <v>0</v>
      </c>
    </row>
    <row r="149" spans="1:182" x14ac:dyDescent="0.2">
      <c r="A149" s="497">
        <v>142</v>
      </c>
      <c r="B149" s="1423"/>
      <c r="C149" s="1424"/>
      <c r="D149" s="138">
        <v>18</v>
      </c>
      <c r="E149" s="138" t="s">
        <v>170</v>
      </c>
      <c r="F149" s="139" t="s">
        <v>2544</v>
      </c>
      <c r="G149" s="139" t="s">
        <v>2542</v>
      </c>
      <c r="H149" s="100">
        <v>7</v>
      </c>
      <c r="I149" s="119">
        <f t="shared" si="590"/>
        <v>0.42</v>
      </c>
      <c r="J149" s="90">
        <f t="shared" si="591"/>
        <v>7.42</v>
      </c>
      <c r="K149" s="225"/>
      <c r="N149" s="951">
        <f>FH6</f>
        <v>7.42</v>
      </c>
      <c r="O149" s="879" t="str">
        <f>"Other subcontractor for " &amp; TabName18</f>
        <v>Other subcontractor for Phase 18</v>
      </c>
      <c r="P149" s="949" t="s">
        <v>2172</v>
      </c>
      <c r="W149" s="915">
        <f t="shared" si="486"/>
        <v>0</v>
      </c>
      <c r="X149" s="915">
        <f t="shared" si="487"/>
        <v>0</v>
      </c>
      <c r="Y149" s="915">
        <f t="shared" si="488"/>
        <v>0</v>
      </c>
      <c r="Z149" s="915">
        <f t="shared" si="505"/>
        <v>0</v>
      </c>
      <c r="AA149" s="915">
        <f t="shared" si="506"/>
        <v>0</v>
      </c>
      <c r="AB149" s="915">
        <f t="shared" si="507"/>
        <v>0</v>
      </c>
      <c r="AC149" s="915">
        <f t="shared" si="508"/>
        <v>0</v>
      </c>
      <c r="AD149" s="915">
        <f t="shared" si="509"/>
        <v>0</v>
      </c>
      <c r="AE149" s="915">
        <f t="shared" si="510"/>
        <v>0</v>
      </c>
      <c r="AF149" s="915">
        <f t="shared" si="511"/>
        <v>0</v>
      </c>
      <c r="AG149" s="915">
        <f t="shared" si="512"/>
        <v>0</v>
      </c>
      <c r="AH149" s="915">
        <f t="shared" si="513"/>
        <v>0</v>
      </c>
      <c r="AI149" s="915">
        <f t="shared" si="514"/>
        <v>0</v>
      </c>
      <c r="AJ149" s="915">
        <f t="shared" si="515"/>
        <v>0</v>
      </c>
      <c r="AK149" s="915">
        <f t="shared" si="516"/>
        <v>0</v>
      </c>
      <c r="AL149" s="915">
        <f t="shared" si="517"/>
        <v>0</v>
      </c>
      <c r="AM149" s="915">
        <f t="shared" si="518"/>
        <v>0</v>
      </c>
      <c r="AN149" s="915">
        <f t="shared" si="519"/>
        <v>0</v>
      </c>
      <c r="AO149" s="915">
        <f t="shared" si="520"/>
        <v>0</v>
      </c>
      <c r="AP149" s="915">
        <f t="shared" si="521"/>
        <v>0</v>
      </c>
      <c r="AQ149" s="915">
        <f t="shared" si="522"/>
        <v>0</v>
      </c>
      <c r="AR149" s="915">
        <f t="shared" si="523"/>
        <v>0</v>
      </c>
      <c r="AS149" s="915">
        <f t="shared" si="524"/>
        <v>0</v>
      </c>
      <c r="AT149" s="915">
        <f t="shared" si="525"/>
        <v>0</v>
      </c>
      <c r="AU149" s="915">
        <f t="shared" si="526"/>
        <v>0</v>
      </c>
      <c r="AV149" s="915">
        <f t="shared" si="527"/>
        <v>0</v>
      </c>
      <c r="AW149" s="915">
        <f t="shared" si="528"/>
        <v>0</v>
      </c>
      <c r="AX149" s="915">
        <f t="shared" si="529"/>
        <v>0</v>
      </c>
      <c r="AY149" s="915">
        <f t="shared" si="530"/>
        <v>0</v>
      </c>
      <c r="AZ149" s="915">
        <f t="shared" si="531"/>
        <v>0</v>
      </c>
      <c r="BA149" s="915">
        <f t="shared" si="532"/>
        <v>0</v>
      </c>
      <c r="BB149" s="915">
        <f t="shared" si="533"/>
        <v>0</v>
      </c>
      <c r="BC149" s="915">
        <f t="shared" si="489"/>
        <v>0</v>
      </c>
      <c r="BD149" s="915">
        <f t="shared" si="490"/>
        <v>0</v>
      </c>
      <c r="BE149" s="915">
        <f t="shared" si="491"/>
        <v>0</v>
      </c>
      <c r="BF149" s="915">
        <f t="shared" si="492"/>
        <v>0</v>
      </c>
      <c r="BG149" s="915">
        <f t="shared" si="493"/>
        <v>0</v>
      </c>
      <c r="BH149" s="915">
        <f t="shared" si="494"/>
        <v>0</v>
      </c>
      <c r="BI149" s="915">
        <f t="shared" si="495"/>
        <v>0</v>
      </c>
      <c r="BJ149" s="915">
        <f t="shared" si="496"/>
        <v>0</v>
      </c>
      <c r="BK149" s="915">
        <f t="shared" si="582"/>
        <v>0</v>
      </c>
      <c r="BL149" s="915">
        <f t="shared" si="583"/>
        <v>0</v>
      </c>
      <c r="BM149" s="915">
        <f t="shared" si="584"/>
        <v>0</v>
      </c>
      <c r="BN149" s="915">
        <f t="shared" si="585"/>
        <v>0</v>
      </c>
      <c r="BO149" s="915">
        <f t="shared" si="586"/>
        <v>0</v>
      </c>
      <c r="BP149" s="915">
        <f t="shared" si="587"/>
        <v>0</v>
      </c>
      <c r="BQ149" s="915">
        <f t="shared" si="588"/>
        <v>0</v>
      </c>
      <c r="BR149" s="915">
        <f t="shared" si="589"/>
        <v>0</v>
      </c>
      <c r="BS149" s="915">
        <f t="shared" si="608"/>
        <v>0</v>
      </c>
      <c r="BT149" s="915">
        <f t="shared" si="609"/>
        <v>0</v>
      </c>
      <c r="BU149" s="915">
        <f t="shared" si="610"/>
        <v>0</v>
      </c>
      <c r="BV149" s="915">
        <f t="shared" si="611"/>
        <v>0</v>
      </c>
      <c r="BW149" s="915">
        <f t="shared" si="612"/>
        <v>0</v>
      </c>
      <c r="BX149" s="915">
        <f t="shared" si="613"/>
        <v>0</v>
      </c>
      <c r="BY149" s="915">
        <f t="shared" si="614"/>
        <v>0</v>
      </c>
      <c r="BZ149" s="915">
        <f t="shared" si="615"/>
        <v>0</v>
      </c>
      <c r="CA149" s="915">
        <f t="shared" si="624"/>
        <v>0</v>
      </c>
      <c r="CB149" s="915">
        <f t="shared" si="625"/>
        <v>0</v>
      </c>
      <c r="CC149" s="915">
        <f t="shared" si="626"/>
        <v>0</v>
      </c>
      <c r="CD149" s="915">
        <f t="shared" si="627"/>
        <v>0</v>
      </c>
      <c r="CE149" s="915">
        <f t="shared" si="628"/>
        <v>0</v>
      </c>
      <c r="CF149" s="915">
        <f t="shared" si="629"/>
        <v>0</v>
      </c>
      <c r="CG149" s="915">
        <f t="shared" si="630"/>
        <v>0</v>
      </c>
      <c r="CH149" s="915">
        <f t="shared" si="631"/>
        <v>0</v>
      </c>
      <c r="CI149" s="915">
        <f t="shared" si="616"/>
        <v>0</v>
      </c>
      <c r="CJ149" s="915">
        <f t="shared" si="617"/>
        <v>0</v>
      </c>
      <c r="CK149" s="915">
        <f t="shared" si="618"/>
        <v>0</v>
      </c>
      <c r="CL149" s="915">
        <f t="shared" si="619"/>
        <v>0</v>
      </c>
      <c r="CM149" s="915">
        <f t="shared" si="620"/>
        <v>0</v>
      </c>
      <c r="CN149" s="915">
        <f t="shared" si="621"/>
        <v>0</v>
      </c>
      <c r="CO149" s="915">
        <f t="shared" si="622"/>
        <v>0</v>
      </c>
      <c r="CP149" s="915">
        <f t="shared" si="623"/>
        <v>0</v>
      </c>
      <c r="CQ149" s="915">
        <f t="shared" si="370"/>
        <v>0</v>
      </c>
      <c r="CR149" s="915">
        <f t="shared" si="371"/>
        <v>0</v>
      </c>
      <c r="CS149" s="915">
        <f t="shared" si="372"/>
        <v>0</v>
      </c>
      <c r="CT149" s="915">
        <f t="shared" si="373"/>
        <v>0</v>
      </c>
      <c r="CU149" s="915">
        <f t="shared" si="374"/>
        <v>0</v>
      </c>
      <c r="CV149" s="915">
        <f t="shared" si="375"/>
        <v>0</v>
      </c>
      <c r="CW149" s="915">
        <f t="shared" si="376"/>
        <v>0</v>
      </c>
      <c r="CX149" s="915">
        <f t="shared" si="377"/>
        <v>0</v>
      </c>
      <c r="CY149" s="915">
        <f t="shared" si="542"/>
        <v>0</v>
      </c>
      <c r="CZ149" s="915">
        <f t="shared" si="543"/>
        <v>0</v>
      </c>
      <c r="DA149" s="915">
        <f t="shared" si="544"/>
        <v>0</v>
      </c>
      <c r="DB149" s="915">
        <f t="shared" si="545"/>
        <v>0</v>
      </c>
      <c r="DC149" s="915">
        <f t="shared" si="546"/>
        <v>0</v>
      </c>
      <c r="DD149" s="915">
        <f t="shared" si="547"/>
        <v>0</v>
      </c>
      <c r="DE149" s="915">
        <f t="shared" si="548"/>
        <v>0</v>
      </c>
      <c r="DF149" s="915">
        <f t="shared" si="549"/>
        <v>0</v>
      </c>
      <c r="DG149" s="915">
        <f>IF(AND($D149=$R$19,$E149=$T$8),$J149,0)</f>
        <v>0</v>
      </c>
      <c r="DH149" s="915">
        <f>IF(AND($D149=$R$19,$E149=$T$9),$J149,0)</f>
        <v>0</v>
      </c>
      <c r="DI149" s="915">
        <f>IF(AND($D149=$R$19,$E149=$T$10),$J149,0)</f>
        <v>0</v>
      </c>
      <c r="DJ149" s="915">
        <f>IF(AND($D149=$R$19,$E149=$T$11),$J149,0)</f>
        <v>0</v>
      </c>
      <c r="DK149" s="915">
        <f>IF(AND($D149=$R$19,$E149=$T$12),$J149,0)</f>
        <v>0</v>
      </c>
      <c r="DL149" s="915">
        <f>IF(AND($D149=$R$19,$E149=$T$13),$J149,0)</f>
        <v>0</v>
      </c>
      <c r="DM149" s="915">
        <f>IF(AND($D149=$R$19,$E149=$T$14),$J149,0)</f>
        <v>0</v>
      </c>
      <c r="DN149" s="915">
        <f>IF(AND($D149=$R$19,$E149=$T$15),$J149,0)</f>
        <v>0</v>
      </c>
      <c r="DO149" s="915">
        <f t="shared" si="592"/>
        <v>0</v>
      </c>
      <c r="DP149" s="915">
        <f t="shared" si="593"/>
        <v>0</v>
      </c>
      <c r="DQ149" s="915">
        <f t="shared" si="594"/>
        <v>0</v>
      </c>
      <c r="DR149" s="915">
        <f t="shared" si="595"/>
        <v>0</v>
      </c>
      <c r="DS149" s="915">
        <f t="shared" si="596"/>
        <v>0</v>
      </c>
      <c r="DT149" s="915">
        <f t="shared" si="597"/>
        <v>0</v>
      </c>
      <c r="DU149" s="915">
        <f t="shared" si="598"/>
        <v>0</v>
      </c>
      <c r="DV149" s="915">
        <f t="shared" si="599"/>
        <v>0</v>
      </c>
      <c r="DW149" s="915">
        <f t="shared" si="600"/>
        <v>0</v>
      </c>
      <c r="DX149" s="915">
        <f t="shared" si="601"/>
        <v>0</v>
      </c>
      <c r="DY149" s="915">
        <f t="shared" si="602"/>
        <v>0</v>
      </c>
      <c r="DZ149" s="915">
        <f t="shared" si="603"/>
        <v>0</v>
      </c>
      <c r="EA149" s="915">
        <f t="shared" si="604"/>
        <v>0</v>
      </c>
      <c r="EB149" s="915">
        <f t="shared" si="605"/>
        <v>0</v>
      </c>
      <c r="EC149" s="915">
        <f t="shared" si="606"/>
        <v>0</v>
      </c>
      <c r="ED149" s="915">
        <f t="shared" si="607"/>
        <v>0</v>
      </c>
      <c r="EE149" s="915">
        <f t="shared" si="470"/>
        <v>0</v>
      </c>
      <c r="EF149" s="915">
        <f t="shared" si="471"/>
        <v>0</v>
      </c>
      <c r="EG149" s="915">
        <f t="shared" si="472"/>
        <v>0</v>
      </c>
      <c r="EH149" s="915">
        <f t="shared" si="473"/>
        <v>0</v>
      </c>
      <c r="EI149" s="915">
        <f t="shared" si="474"/>
        <v>0</v>
      </c>
      <c r="EJ149" s="915">
        <f t="shared" si="475"/>
        <v>0</v>
      </c>
      <c r="EK149" s="915">
        <f t="shared" si="476"/>
        <v>0</v>
      </c>
      <c r="EL149" s="915">
        <f t="shared" si="477"/>
        <v>0</v>
      </c>
      <c r="EM149" s="915">
        <f t="shared" si="478"/>
        <v>0</v>
      </c>
      <c r="EN149" s="915">
        <f t="shared" si="479"/>
        <v>0</v>
      </c>
      <c r="EO149" s="915">
        <f t="shared" si="480"/>
        <v>0</v>
      </c>
      <c r="EP149" s="915">
        <f t="shared" si="481"/>
        <v>0</v>
      </c>
      <c r="EQ149" s="915">
        <f t="shared" si="482"/>
        <v>0</v>
      </c>
      <c r="ER149" s="915">
        <f t="shared" si="483"/>
        <v>0</v>
      </c>
      <c r="ES149" s="915">
        <f t="shared" si="484"/>
        <v>0</v>
      </c>
      <c r="ET149" s="915">
        <f t="shared" si="485"/>
        <v>0</v>
      </c>
      <c r="EU149" s="915">
        <f t="shared" si="550"/>
        <v>0</v>
      </c>
      <c r="EV149" s="915">
        <f t="shared" si="551"/>
        <v>0</v>
      </c>
      <c r="EW149" s="915">
        <f t="shared" si="552"/>
        <v>0</v>
      </c>
      <c r="EX149" s="915">
        <f t="shared" si="553"/>
        <v>0</v>
      </c>
      <c r="EY149" s="915">
        <f t="shared" si="554"/>
        <v>0</v>
      </c>
      <c r="EZ149" s="915">
        <f t="shared" si="555"/>
        <v>0</v>
      </c>
      <c r="FA149" s="915">
        <f t="shared" si="556"/>
        <v>0</v>
      </c>
      <c r="FB149" s="915">
        <f t="shared" si="557"/>
        <v>0</v>
      </c>
      <c r="FC149" s="915">
        <f t="shared" si="558"/>
        <v>0</v>
      </c>
      <c r="FD149" s="915">
        <f t="shared" si="559"/>
        <v>0</v>
      </c>
      <c r="FE149" s="915">
        <f t="shared" si="560"/>
        <v>0</v>
      </c>
      <c r="FF149" s="915">
        <f t="shared" si="561"/>
        <v>0</v>
      </c>
      <c r="FG149" s="915">
        <f t="shared" si="562"/>
        <v>0</v>
      </c>
      <c r="FH149" s="915">
        <f t="shared" si="563"/>
        <v>7.42</v>
      </c>
      <c r="FI149" s="915">
        <f t="shared" si="564"/>
        <v>0</v>
      </c>
      <c r="FJ149" s="915">
        <f t="shared" si="565"/>
        <v>0</v>
      </c>
      <c r="FK149" s="915">
        <f t="shared" si="566"/>
        <v>0</v>
      </c>
      <c r="FL149" s="915">
        <f t="shared" si="567"/>
        <v>0</v>
      </c>
      <c r="FM149" s="915">
        <f t="shared" si="568"/>
        <v>0</v>
      </c>
      <c r="FN149" s="915">
        <f t="shared" si="569"/>
        <v>0</v>
      </c>
      <c r="FO149" s="915">
        <f t="shared" si="570"/>
        <v>0</v>
      </c>
      <c r="FP149" s="915">
        <f t="shared" si="571"/>
        <v>0</v>
      </c>
      <c r="FQ149" s="915">
        <f t="shared" si="572"/>
        <v>0</v>
      </c>
      <c r="FR149" s="915">
        <f t="shared" si="573"/>
        <v>0</v>
      </c>
      <c r="FS149" s="915">
        <f t="shared" si="574"/>
        <v>0</v>
      </c>
      <c r="FT149" s="915">
        <f t="shared" si="575"/>
        <v>0</v>
      </c>
      <c r="FU149" s="915">
        <f t="shared" si="576"/>
        <v>0</v>
      </c>
      <c r="FV149" s="915">
        <f t="shared" si="577"/>
        <v>0</v>
      </c>
      <c r="FW149" s="915">
        <f t="shared" si="578"/>
        <v>0</v>
      </c>
      <c r="FX149" s="915">
        <f t="shared" si="579"/>
        <v>0</v>
      </c>
      <c r="FY149" s="915">
        <f t="shared" si="580"/>
        <v>0</v>
      </c>
      <c r="FZ149" s="915">
        <f t="shared" si="581"/>
        <v>0</v>
      </c>
    </row>
    <row r="150" spans="1:182" x14ac:dyDescent="0.2">
      <c r="A150" s="496">
        <v>143</v>
      </c>
      <c r="B150" s="1419"/>
      <c r="C150" s="1433"/>
      <c r="D150" s="264">
        <v>18</v>
      </c>
      <c r="E150" s="264" t="s">
        <v>48</v>
      </c>
      <c r="F150" s="270" t="s">
        <v>2544</v>
      </c>
      <c r="G150" s="270" t="s">
        <v>2542</v>
      </c>
      <c r="H150" s="272">
        <v>7</v>
      </c>
      <c r="I150" s="268">
        <f t="shared" si="590"/>
        <v>0.42</v>
      </c>
      <c r="J150" s="269">
        <f t="shared" si="591"/>
        <v>7.42</v>
      </c>
      <c r="K150" s="225"/>
      <c r="N150" s="951">
        <f>FI6</f>
        <v>7.42</v>
      </c>
      <c r="O150" s="915" t="str">
        <f>"Miscellaneous for "&amp;TabName18</f>
        <v>Miscellaneous for Phase 18</v>
      </c>
      <c r="P150" s="949" t="s">
        <v>2173</v>
      </c>
      <c r="W150" s="915">
        <f t="shared" si="486"/>
        <v>0</v>
      </c>
      <c r="X150" s="915">
        <f t="shared" si="487"/>
        <v>0</v>
      </c>
      <c r="Y150" s="915">
        <f t="shared" si="488"/>
        <v>0</v>
      </c>
      <c r="Z150" s="915">
        <f t="shared" si="505"/>
        <v>0</v>
      </c>
      <c r="AA150" s="915">
        <f t="shared" si="506"/>
        <v>0</v>
      </c>
      <c r="AB150" s="915">
        <f t="shared" si="507"/>
        <v>0</v>
      </c>
      <c r="AC150" s="915">
        <f t="shared" si="508"/>
        <v>0</v>
      </c>
      <c r="AD150" s="915">
        <f t="shared" si="509"/>
        <v>0</v>
      </c>
      <c r="AE150" s="915">
        <f t="shared" si="510"/>
        <v>0</v>
      </c>
      <c r="AF150" s="915">
        <f t="shared" si="511"/>
        <v>0</v>
      </c>
      <c r="AG150" s="915">
        <f t="shared" si="512"/>
        <v>0</v>
      </c>
      <c r="AH150" s="915">
        <f t="shared" si="513"/>
        <v>0</v>
      </c>
      <c r="AI150" s="915">
        <f t="shared" si="514"/>
        <v>0</v>
      </c>
      <c r="AJ150" s="915">
        <f t="shared" si="515"/>
        <v>0</v>
      </c>
      <c r="AK150" s="915">
        <f t="shared" si="516"/>
        <v>0</v>
      </c>
      <c r="AL150" s="915">
        <f t="shared" si="517"/>
        <v>0</v>
      </c>
      <c r="AM150" s="915">
        <f t="shared" si="518"/>
        <v>0</v>
      </c>
      <c r="AN150" s="915">
        <f t="shared" si="519"/>
        <v>0</v>
      </c>
      <c r="AO150" s="915">
        <f t="shared" si="520"/>
        <v>0</v>
      </c>
      <c r="AP150" s="915">
        <f t="shared" si="521"/>
        <v>0</v>
      </c>
      <c r="AQ150" s="915">
        <f t="shared" si="522"/>
        <v>0</v>
      </c>
      <c r="AR150" s="915">
        <f t="shared" si="523"/>
        <v>0</v>
      </c>
      <c r="AS150" s="915">
        <f t="shared" si="524"/>
        <v>0</v>
      </c>
      <c r="AT150" s="915">
        <f t="shared" si="525"/>
        <v>0</v>
      </c>
      <c r="AU150" s="915">
        <f t="shared" si="526"/>
        <v>0</v>
      </c>
      <c r="AV150" s="915">
        <f t="shared" si="527"/>
        <v>0</v>
      </c>
      <c r="AW150" s="915">
        <f t="shared" si="528"/>
        <v>0</v>
      </c>
      <c r="AX150" s="915">
        <f t="shared" si="529"/>
        <v>0</v>
      </c>
      <c r="AY150" s="915">
        <f t="shared" si="530"/>
        <v>0</v>
      </c>
      <c r="AZ150" s="915">
        <f t="shared" si="531"/>
        <v>0</v>
      </c>
      <c r="BA150" s="915">
        <f t="shared" si="532"/>
        <v>0</v>
      </c>
      <c r="BB150" s="915">
        <f t="shared" si="533"/>
        <v>0</v>
      </c>
      <c r="BC150" s="915">
        <f t="shared" si="489"/>
        <v>0</v>
      </c>
      <c r="BD150" s="915">
        <f t="shared" si="490"/>
        <v>0</v>
      </c>
      <c r="BE150" s="915">
        <f t="shared" si="491"/>
        <v>0</v>
      </c>
      <c r="BF150" s="915">
        <f t="shared" si="492"/>
        <v>0</v>
      </c>
      <c r="BG150" s="915">
        <f t="shared" si="493"/>
        <v>0</v>
      </c>
      <c r="BH150" s="915">
        <f t="shared" si="494"/>
        <v>0</v>
      </c>
      <c r="BI150" s="915">
        <f t="shared" si="495"/>
        <v>0</v>
      </c>
      <c r="BJ150" s="915">
        <f t="shared" si="496"/>
        <v>0</v>
      </c>
      <c r="BK150" s="915">
        <f t="shared" si="582"/>
        <v>0</v>
      </c>
      <c r="BL150" s="915">
        <f t="shared" si="583"/>
        <v>0</v>
      </c>
      <c r="BM150" s="915">
        <f t="shared" si="584"/>
        <v>0</v>
      </c>
      <c r="BN150" s="915">
        <f t="shared" si="585"/>
        <v>0</v>
      </c>
      <c r="BO150" s="915">
        <f t="shared" si="586"/>
        <v>0</v>
      </c>
      <c r="BP150" s="915">
        <f t="shared" si="587"/>
        <v>0</v>
      </c>
      <c r="BQ150" s="915">
        <f t="shared" si="588"/>
        <v>0</v>
      </c>
      <c r="BR150" s="915">
        <f t="shared" si="589"/>
        <v>0</v>
      </c>
      <c r="BS150" s="915">
        <f t="shared" si="608"/>
        <v>0</v>
      </c>
      <c r="BT150" s="915">
        <f t="shared" si="609"/>
        <v>0</v>
      </c>
      <c r="BU150" s="915">
        <f t="shared" si="610"/>
        <v>0</v>
      </c>
      <c r="BV150" s="915">
        <f t="shared" si="611"/>
        <v>0</v>
      </c>
      <c r="BW150" s="915">
        <f t="shared" si="612"/>
        <v>0</v>
      </c>
      <c r="BX150" s="915">
        <f t="shared" si="613"/>
        <v>0</v>
      </c>
      <c r="BY150" s="915">
        <f t="shared" si="614"/>
        <v>0</v>
      </c>
      <c r="BZ150" s="915">
        <f t="shared" si="615"/>
        <v>0</v>
      </c>
      <c r="CA150" s="915">
        <f t="shared" si="624"/>
        <v>0</v>
      </c>
      <c r="CB150" s="915">
        <f t="shared" si="625"/>
        <v>0</v>
      </c>
      <c r="CC150" s="915">
        <f t="shared" si="626"/>
        <v>0</v>
      </c>
      <c r="CD150" s="915">
        <f t="shared" si="627"/>
        <v>0</v>
      </c>
      <c r="CE150" s="915">
        <f t="shared" si="628"/>
        <v>0</v>
      </c>
      <c r="CF150" s="915">
        <f t="shared" si="629"/>
        <v>0</v>
      </c>
      <c r="CG150" s="915">
        <f t="shared" si="630"/>
        <v>0</v>
      </c>
      <c r="CH150" s="915">
        <f t="shared" si="631"/>
        <v>0</v>
      </c>
      <c r="CI150" s="915">
        <f t="shared" si="616"/>
        <v>0</v>
      </c>
      <c r="CJ150" s="915">
        <f t="shared" si="617"/>
        <v>0</v>
      </c>
      <c r="CK150" s="915">
        <f t="shared" si="618"/>
        <v>0</v>
      </c>
      <c r="CL150" s="915">
        <f t="shared" si="619"/>
        <v>0</v>
      </c>
      <c r="CM150" s="915">
        <f t="shared" si="620"/>
        <v>0</v>
      </c>
      <c r="CN150" s="915">
        <f t="shared" si="621"/>
        <v>0</v>
      </c>
      <c r="CO150" s="915">
        <f t="shared" si="622"/>
        <v>0</v>
      </c>
      <c r="CP150" s="915">
        <f t="shared" si="623"/>
        <v>0</v>
      </c>
      <c r="CQ150" s="915">
        <f t="shared" si="370"/>
        <v>0</v>
      </c>
      <c r="CR150" s="915">
        <f t="shared" si="371"/>
        <v>0</v>
      </c>
      <c r="CS150" s="915">
        <f t="shared" si="372"/>
        <v>0</v>
      </c>
      <c r="CT150" s="915">
        <f t="shared" si="373"/>
        <v>0</v>
      </c>
      <c r="CU150" s="915">
        <f t="shared" si="374"/>
        <v>0</v>
      </c>
      <c r="CV150" s="915">
        <f t="shared" si="375"/>
        <v>0</v>
      </c>
      <c r="CW150" s="915">
        <f t="shared" si="376"/>
        <v>0</v>
      </c>
      <c r="CX150" s="915">
        <f t="shared" si="377"/>
        <v>0</v>
      </c>
      <c r="CY150" s="915">
        <f t="shared" si="542"/>
        <v>0</v>
      </c>
      <c r="CZ150" s="915">
        <f t="shared" si="543"/>
        <v>0</v>
      </c>
      <c r="DA150" s="915">
        <f t="shared" si="544"/>
        <v>0</v>
      </c>
      <c r="DB150" s="915">
        <f t="shared" si="545"/>
        <v>0</v>
      </c>
      <c r="DC150" s="915">
        <f t="shared" si="546"/>
        <v>0</v>
      </c>
      <c r="DD150" s="915">
        <f t="shared" si="547"/>
        <v>0</v>
      </c>
      <c r="DE150" s="915">
        <f t="shared" si="548"/>
        <v>0</v>
      </c>
      <c r="DF150" s="915">
        <f t="shared" si="549"/>
        <v>0</v>
      </c>
      <c r="DG150" s="915">
        <f t="shared" ref="DG150:DG160" si="632">IF(AND($D150=$R$19,$E150=$T$8),$J150,0)</f>
        <v>0</v>
      </c>
      <c r="DH150" s="915">
        <f t="shared" ref="DH150:DH160" si="633">IF(AND($D150=$R$19,$E150=$T$9),$J150,0)</f>
        <v>0</v>
      </c>
      <c r="DI150" s="915">
        <f t="shared" ref="DI150:DI160" si="634">IF(AND($D150=$R$19,$E150=$T$10),$J150,0)</f>
        <v>0</v>
      </c>
      <c r="DJ150" s="915">
        <f t="shared" ref="DJ150:DJ160" si="635">IF(AND($D150=$R$19,$E150=$T$11),$J150,0)</f>
        <v>0</v>
      </c>
      <c r="DK150" s="915">
        <f t="shared" ref="DK150:DK160" si="636">IF(AND($D150=$R$19,$E150=$T$12),$J150,0)</f>
        <v>0</v>
      </c>
      <c r="DL150" s="915">
        <f t="shared" ref="DL150:DL160" si="637">IF(AND($D150=$R$19,$E150=$T$13),$J150,0)</f>
        <v>0</v>
      </c>
      <c r="DM150" s="915">
        <f t="shared" ref="DM150:DM160" si="638">IF(AND($D150=$R$19,$E150=$T$14),$J150,0)</f>
        <v>0</v>
      </c>
      <c r="DN150" s="915">
        <f t="shared" ref="DN150:DN160" si="639">IF(AND($D150=$R$19,$E150=$T$15),$J150,0)</f>
        <v>0</v>
      </c>
      <c r="DO150" s="915">
        <f t="shared" si="592"/>
        <v>0</v>
      </c>
      <c r="DP150" s="915">
        <f t="shared" si="593"/>
        <v>0</v>
      </c>
      <c r="DQ150" s="915">
        <f t="shared" si="594"/>
        <v>0</v>
      </c>
      <c r="DR150" s="915">
        <f t="shared" si="595"/>
        <v>0</v>
      </c>
      <c r="DS150" s="915">
        <f t="shared" si="596"/>
        <v>0</v>
      </c>
      <c r="DT150" s="915">
        <f t="shared" si="597"/>
        <v>0</v>
      </c>
      <c r="DU150" s="915">
        <f t="shared" si="598"/>
        <v>0</v>
      </c>
      <c r="DV150" s="915">
        <f t="shared" si="599"/>
        <v>0</v>
      </c>
      <c r="DW150" s="915">
        <f t="shared" si="600"/>
        <v>0</v>
      </c>
      <c r="DX150" s="915">
        <f t="shared" si="601"/>
        <v>0</v>
      </c>
      <c r="DY150" s="915">
        <f t="shared" si="602"/>
        <v>0</v>
      </c>
      <c r="DZ150" s="915">
        <f t="shared" si="603"/>
        <v>0</v>
      </c>
      <c r="EA150" s="915">
        <f t="shared" si="604"/>
        <v>0</v>
      </c>
      <c r="EB150" s="915">
        <f t="shared" si="605"/>
        <v>0</v>
      </c>
      <c r="EC150" s="915">
        <f t="shared" si="606"/>
        <v>0</v>
      </c>
      <c r="ED150" s="915">
        <f t="shared" si="607"/>
        <v>0</v>
      </c>
      <c r="EE150" s="915">
        <f t="shared" si="470"/>
        <v>0</v>
      </c>
      <c r="EF150" s="915">
        <f t="shared" si="471"/>
        <v>0</v>
      </c>
      <c r="EG150" s="915">
        <f t="shared" si="472"/>
        <v>0</v>
      </c>
      <c r="EH150" s="915">
        <f t="shared" si="473"/>
        <v>0</v>
      </c>
      <c r="EI150" s="915">
        <f t="shared" si="474"/>
        <v>0</v>
      </c>
      <c r="EJ150" s="915">
        <f t="shared" si="475"/>
        <v>0</v>
      </c>
      <c r="EK150" s="915">
        <f t="shared" si="476"/>
        <v>0</v>
      </c>
      <c r="EL150" s="915">
        <f t="shared" si="477"/>
        <v>0</v>
      </c>
      <c r="EM150" s="915">
        <f t="shared" si="478"/>
        <v>0</v>
      </c>
      <c r="EN150" s="915">
        <f t="shared" si="479"/>
        <v>0</v>
      </c>
      <c r="EO150" s="915">
        <f t="shared" si="480"/>
        <v>0</v>
      </c>
      <c r="EP150" s="915">
        <f t="shared" si="481"/>
        <v>0</v>
      </c>
      <c r="EQ150" s="915">
        <f t="shared" si="482"/>
        <v>0</v>
      </c>
      <c r="ER150" s="915">
        <f t="shared" si="483"/>
        <v>0</v>
      </c>
      <c r="ES150" s="915">
        <f t="shared" si="484"/>
        <v>0</v>
      </c>
      <c r="ET150" s="915">
        <f t="shared" si="485"/>
        <v>0</v>
      </c>
      <c r="EU150" s="915">
        <f t="shared" si="550"/>
        <v>0</v>
      </c>
      <c r="EV150" s="915">
        <f t="shared" si="551"/>
        <v>0</v>
      </c>
      <c r="EW150" s="915">
        <f t="shared" si="552"/>
        <v>0</v>
      </c>
      <c r="EX150" s="915">
        <f t="shared" si="553"/>
        <v>0</v>
      </c>
      <c r="EY150" s="915">
        <f t="shared" si="554"/>
        <v>0</v>
      </c>
      <c r="EZ150" s="915">
        <f t="shared" si="555"/>
        <v>0</v>
      </c>
      <c r="FA150" s="915">
        <f t="shared" si="556"/>
        <v>0</v>
      </c>
      <c r="FB150" s="915">
        <f t="shared" si="557"/>
        <v>0</v>
      </c>
      <c r="FC150" s="915">
        <f t="shared" si="558"/>
        <v>0</v>
      </c>
      <c r="FD150" s="915">
        <f t="shared" si="559"/>
        <v>0</v>
      </c>
      <c r="FE150" s="915">
        <f t="shared" si="560"/>
        <v>0</v>
      </c>
      <c r="FF150" s="915">
        <f t="shared" si="561"/>
        <v>0</v>
      </c>
      <c r="FG150" s="915">
        <f t="shared" si="562"/>
        <v>0</v>
      </c>
      <c r="FH150" s="915">
        <f t="shared" si="563"/>
        <v>0</v>
      </c>
      <c r="FI150" s="915">
        <f t="shared" si="564"/>
        <v>7.42</v>
      </c>
      <c r="FJ150" s="915">
        <f t="shared" si="565"/>
        <v>0</v>
      </c>
      <c r="FK150" s="915">
        <f t="shared" si="566"/>
        <v>0</v>
      </c>
      <c r="FL150" s="915">
        <f t="shared" si="567"/>
        <v>0</v>
      </c>
      <c r="FM150" s="915">
        <f t="shared" si="568"/>
        <v>0</v>
      </c>
      <c r="FN150" s="915">
        <f t="shared" si="569"/>
        <v>0</v>
      </c>
      <c r="FO150" s="915">
        <f t="shared" si="570"/>
        <v>0</v>
      </c>
      <c r="FP150" s="915">
        <f t="shared" si="571"/>
        <v>0</v>
      </c>
      <c r="FQ150" s="915">
        <f t="shared" si="572"/>
        <v>0</v>
      </c>
      <c r="FR150" s="915">
        <f t="shared" si="573"/>
        <v>0</v>
      </c>
      <c r="FS150" s="915">
        <f t="shared" si="574"/>
        <v>0</v>
      </c>
      <c r="FT150" s="915">
        <f t="shared" si="575"/>
        <v>0</v>
      </c>
      <c r="FU150" s="915">
        <f t="shared" si="576"/>
        <v>0</v>
      </c>
      <c r="FV150" s="915">
        <f t="shared" si="577"/>
        <v>0</v>
      </c>
      <c r="FW150" s="915">
        <f t="shared" si="578"/>
        <v>0</v>
      </c>
      <c r="FX150" s="915">
        <f t="shared" si="579"/>
        <v>0</v>
      </c>
      <c r="FY150" s="915">
        <f t="shared" si="580"/>
        <v>0</v>
      </c>
      <c r="FZ150" s="915">
        <f t="shared" si="581"/>
        <v>0</v>
      </c>
    </row>
    <row r="151" spans="1:182" x14ac:dyDescent="0.2">
      <c r="A151" s="497">
        <v>144</v>
      </c>
      <c r="B151" s="1423"/>
      <c r="C151" s="1424"/>
      <c r="D151" s="138">
        <v>18</v>
      </c>
      <c r="E151" s="138" t="s">
        <v>27</v>
      </c>
      <c r="F151" s="139" t="s">
        <v>2544</v>
      </c>
      <c r="G151" s="139" t="s">
        <v>2542</v>
      </c>
      <c r="H151" s="100">
        <v>7</v>
      </c>
      <c r="I151" s="119">
        <f t="shared" si="590"/>
        <v>0.42</v>
      </c>
      <c r="J151" s="90">
        <f t="shared" si="591"/>
        <v>7.42</v>
      </c>
      <c r="K151" s="225"/>
      <c r="N151" s="951">
        <f>FJ6</f>
        <v>7.42</v>
      </c>
      <c r="O151" s="879" t="str">
        <f>"Contractor Labor for " &amp; TabName18</f>
        <v>Contractor Labor for Phase 18</v>
      </c>
      <c r="P151" s="950" t="s">
        <v>2174</v>
      </c>
      <c r="W151" s="915">
        <f t="shared" si="486"/>
        <v>0</v>
      </c>
      <c r="X151" s="915">
        <f t="shared" si="487"/>
        <v>0</v>
      </c>
      <c r="Y151" s="915">
        <f t="shared" si="488"/>
        <v>0</v>
      </c>
      <c r="Z151" s="915">
        <f t="shared" si="505"/>
        <v>0</v>
      </c>
      <c r="AA151" s="915">
        <f t="shared" si="506"/>
        <v>0</v>
      </c>
      <c r="AB151" s="915">
        <f t="shared" si="507"/>
        <v>0</v>
      </c>
      <c r="AC151" s="915">
        <f t="shared" si="508"/>
        <v>0</v>
      </c>
      <c r="AD151" s="915">
        <f t="shared" si="509"/>
        <v>0</v>
      </c>
      <c r="AE151" s="915">
        <f t="shared" si="510"/>
        <v>0</v>
      </c>
      <c r="AF151" s="915">
        <f t="shared" si="511"/>
        <v>0</v>
      </c>
      <c r="AG151" s="915">
        <f t="shared" si="512"/>
        <v>0</v>
      </c>
      <c r="AH151" s="915">
        <f t="shared" si="513"/>
        <v>0</v>
      </c>
      <c r="AI151" s="915">
        <f t="shared" si="514"/>
        <v>0</v>
      </c>
      <c r="AJ151" s="915">
        <f t="shared" si="515"/>
        <v>0</v>
      </c>
      <c r="AK151" s="915">
        <f t="shared" si="516"/>
        <v>0</v>
      </c>
      <c r="AL151" s="915">
        <f t="shared" si="517"/>
        <v>0</v>
      </c>
      <c r="AM151" s="915">
        <f t="shared" si="518"/>
        <v>0</v>
      </c>
      <c r="AN151" s="915">
        <f t="shared" si="519"/>
        <v>0</v>
      </c>
      <c r="AO151" s="915">
        <f t="shared" si="520"/>
        <v>0</v>
      </c>
      <c r="AP151" s="915">
        <f t="shared" si="521"/>
        <v>0</v>
      </c>
      <c r="AQ151" s="915">
        <f t="shared" si="522"/>
        <v>0</v>
      </c>
      <c r="AR151" s="915">
        <f t="shared" si="523"/>
        <v>0</v>
      </c>
      <c r="AS151" s="915">
        <f t="shared" si="524"/>
        <v>0</v>
      </c>
      <c r="AT151" s="915">
        <f t="shared" si="525"/>
        <v>0</v>
      </c>
      <c r="AU151" s="915">
        <f t="shared" si="526"/>
        <v>0</v>
      </c>
      <c r="AV151" s="915">
        <f t="shared" si="527"/>
        <v>0</v>
      </c>
      <c r="AW151" s="915">
        <f t="shared" si="528"/>
        <v>0</v>
      </c>
      <c r="AX151" s="915">
        <f t="shared" si="529"/>
        <v>0</v>
      </c>
      <c r="AY151" s="915">
        <f t="shared" si="530"/>
        <v>0</v>
      </c>
      <c r="AZ151" s="915">
        <f t="shared" si="531"/>
        <v>0</v>
      </c>
      <c r="BA151" s="915">
        <f t="shared" si="532"/>
        <v>0</v>
      </c>
      <c r="BB151" s="915">
        <f t="shared" si="533"/>
        <v>0</v>
      </c>
      <c r="BC151" s="915">
        <f>IF(AND($D151=$R$12,$E151=$T$8),$J151,0)</f>
        <v>0</v>
      </c>
      <c r="BD151" s="915">
        <f>IF(AND($D151=$R$12,$E151=$T$9),$J151,0)</f>
        <v>0</v>
      </c>
      <c r="BE151" s="915">
        <f>IF(AND($D151=$R$12,$E151=$T$10),$J151,0)</f>
        <v>0</v>
      </c>
      <c r="BF151" s="915">
        <f>IF(AND($D151=$R$12,$E151=$T$11),$J151,0)</f>
        <v>0</v>
      </c>
      <c r="BG151" s="915">
        <f>IF(AND($D151=$R$12,$E151=$T$12),$J151,0)</f>
        <v>0</v>
      </c>
      <c r="BH151" s="915">
        <f>IF(AND($D151=$R$12,$E151=$T$13),$J151,0)</f>
        <v>0</v>
      </c>
      <c r="BI151" s="915">
        <f>IF(AND($D151=$R$12,$E151=$T$14),$J151,0)</f>
        <v>0</v>
      </c>
      <c r="BJ151" s="915">
        <f>IF(AND($D151=$R$12,$E151=$T$15),$J151,0)</f>
        <v>0</v>
      </c>
      <c r="BK151" s="915">
        <f t="shared" si="582"/>
        <v>0</v>
      </c>
      <c r="BL151" s="915">
        <f t="shared" si="583"/>
        <v>0</v>
      </c>
      <c r="BM151" s="915">
        <f t="shared" si="584"/>
        <v>0</v>
      </c>
      <c r="BN151" s="915">
        <f t="shared" si="585"/>
        <v>0</v>
      </c>
      <c r="BO151" s="915">
        <f t="shared" si="586"/>
        <v>0</v>
      </c>
      <c r="BP151" s="915">
        <f t="shared" si="587"/>
        <v>0</v>
      </c>
      <c r="BQ151" s="915">
        <f t="shared" si="588"/>
        <v>0</v>
      </c>
      <c r="BR151" s="915">
        <f t="shared" si="589"/>
        <v>0</v>
      </c>
      <c r="BS151" s="915">
        <f t="shared" si="608"/>
        <v>0</v>
      </c>
      <c r="BT151" s="915">
        <f t="shared" si="609"/>
        <v>0</v>
      </c>
      <c r="BU151" s="915">
        <f t="shared" si="610"/>
        <v>0</v>
      </c>
      <c r="BV151" s="915">
        <f t="shared" si="611"/>
        <v>0</v>
      </c>
      <c r="BW151" s="915">
        <f t="shared" si="612"/>
        <v>0</v>
      </c>
      <c r="BX151" s="915">
        <f t="shared" si="613"/>
        <v>0</v>
      </c>
      <c r="BY151" s="915">
        <f t="shared" si="614"/>
        <v>0</v>
      </c>
      <c r="BZ151" s="915">
        <f t="shared" si="615"/>
        <v>0</v>
      </c>
      <c r="CA151" s="915">
        <f t="shared" si="624"/>
        <v>0</v>
      </c>
      <c r="CB151" s="915">
        <f t="shared" si="625"/>
        <v>0</v>
      </c>
      <c r="CC151" s="915">
        <f t="shared" si="626"/>
        <v>0</v>
      </c>
      <c r="CD151" s="915">
        <f t="shared" si="627"/>
        <v>0</v>
      </c>
      <c r="CE151" s="915">
        <f t="shared" si="628"/>
        <v>0</v>
      </c>
      <c r="CF151" s="915">
        <f t="shared" si="629"/>
        <v>0</v>
      </c>
      <c r="CG151" s="915">
        <f t="shared" si="630"/>
        <v>0</v>
      </c>
      <c r="CH151" s="915">
        <f t="shared" si="631"/>
        <v>0</v>
      </c>
      <c r="CI151" s="915">
        <f t="shared" si="616"/>
        <v>0</v>
      </c>
      <c r="CJ151" s="915">
        <f t="shared" si="617"/>
        <v>0</v>
      </c>
      <c r="CK151" s="915">
        <f t="shared" si="618"/>
        <v>0</v>
      </c>
      <c r="CL151" s="915">
        <f t="shared" si="619"/>
        <v>0</v>
      </c>
      <c r="CM151" s="915">
        <f t="shared" si="620"/>
        <v>0</v>
      </c>
      <c r="CN151" s="915">
        <f t="shared" si="621"/>
        <v>0</v>
      </c>
      <c r="CO151" s="915">
        <f t="shared" si="622"/>
        <v>0</v>
      </c>
      <c r="CP151" s="915">
        <f t="shared" si="623"/>
        <v>0</v>
      </c>
      <c r="CQ151" s="915">
        <f t="shared" si="370"/>
        <v>0</v>
      </c>
      <c r="CR151" s="915">
        <f t="shared" si="371"/>
        <v>0</v>
      </c>
      <c r="CS151" s="915">
        <f t="shared" si="372"/>
        <v>0</v>
      </c>
      <c r="CT151" s="915">
        <f t="shared" si="373"/>
        <v>0</v>
      </c>
      <c r="CU151" s="915">
        <f t="shared" si="374"/>
        <v>0</v>
      </c>
      <c r="CV151" s="915">
        <f t="shared" si="375"/>
        <v>0</v>
      </c>
      <c r="CW151" s="915">
        <f t="shared" si="376"/>
        <v>0</v>
      </c>
      <c r="CX151" s="915">
        <f t="shared" si="377"/>
        <v>0</v>
      </c>
      <c r="CY151" s="915">
        <f t="shared" si="542"/>
        <v>0</v>
      </c>
      <c r="CZ151" s="915">
        <f t="shared" si="543"/>
        <v>0</v>
      </c>
      <c r="DA151" s="915">
        <f t="shared" si="544"/>
        <v>0</v>
      </c>
      <c r="DB151" s="915">
        <f t="shared" si="545"/>
        <v>0</v>
      </c>
      <c r="DC151" s="915">
        <f t="shared" si="546"/>
        <v>0</v>
      </c>
      <c r="DD151" s="915">
        <f t="shared" si="547"/>
        <v>0</v>
      </c>
      <c r="DE151" s="915">
        <f t="shared" si="548"/>
        <v>0</v>
      </c>
      <c r="DF151" s="915">
        <f t="shared" si="549"/>
        <v>0</v>
      </c>
      <c r="DG151" s="915">
        <f t="shared" si="632"/>
        <v>0</v>
      </c>
      <c r="DH151" s="915">
        <f t="shared" si="633"/>
        <v>0</v>
      </c>
      <c r="DI151" s="915">
        <f t="shared" si="634"/>
        <v>0</v>
      </c>
      <c r="DJ151" s="915">
        <f t="shared" si="635"/>
        <v>0</v>
      </c>
      <c r="DK151" s="915">
        <f t="shared" si="636"/>
        <v>0</v>
      </c>
      <c r="DL151" s="915">
        <f t="shared" si="637"/>
        <v>0</v>
      </c>
      <c r="DM151" s="915">
        <f t="shared" si="638"/>
        <v>0</v>
      </c>
      <c r="DN151" s="915">
        <f t="shared" si="639"/>
        <v>0</v>
      </c>
      <c r="DO151" s="915">
        <f t="shared" si="592"/>
        <v>0</v>
      </c>
      <c r="DP151" s="915">
        <f t="shared" si="593"/>
        <v>0</v>
      </c>
      <c r="DQ151" s="915">
        <f t="shared" si="594"/>
        <v>0</v>
      </c>
      <c r="DR151" s="915">
        <f t="shared" si="595"/>
        <v>0</v>
      </c>
      <c r="DS151" s="915">
        <f t="shared" si="596"/>
        <v>0</v>
      </c>
      <c r="DT151" s="915">
        <f t="shared" si="597"/>
        <v>0</v>
      </c>
      <c r="DU151" s="915">
        <f t="shared" si="598"/>
        <v>0</v>
      </c>
      <c r="DV151" s="915">
        <f t="shared" si="599"/>
        <v>0</v>
      </c>
      <c r="DW151" s="915">
        <f t="shared" si="600"/>
        <v>0</v>
      </c>
      <c r="DX151" s="915">
        <f t="shared" si="601"/>
        <v>0</v>
      </c>
      <c r="DY151" s="915">
        <f t="shared" si="602"/>
        <v>0</v>
      </c>
      <c r="DZ151" s="915">
        <f t="shared" si="603"/>
        <v>0</v>
      </c>
      <c r="EA151" s="915">
        <f t="shared" si="604"/>
        <v>0</v>
      </c>
      <c r="EB151" s="915">
        <f t="shared" si="605"/>
        <v>0</v>
      </c>
      <c r="EC151" s="915">
        <f t="shared" si="606"/>
        <v>0</v>
      </c>
      <c r="ED151" s="915">
        <f t="shared" si="607"/>
        <v>0</v>
      </c>
      <c r="EE151" s="915">
        <f t="shared" si="470"/>
        <v>0</v>
      </c>
      <c r="EF151" s="915">
        <f t="shared" si="471"/>
        <v>0</v>
      </c>
      <c r="EG151" s="915">
        <f t="shared" si="472"/>
        <v>0</v>
      </c>
      <c r="EH151" s="915">
        <f t="shared" si="473"/>
        <v>0</v>
      </c>
      <c r="EI151" s="915">
        <f t="shared" si="474"/>
        <v>0</v>
      </c>
      <c r="EJ151" s="915">
        <f t="shared" si="475"/>
        <v>0</v>
      </c>
      <c r="EK151" s="915">
        <f t="shared" si="476"/>
        <v>0</v>
      </c>
      <c r="EL151" s="915">
        <f t="shared" si="477"/>
        <v>0</v>
      </c>
      <c r="EM151" s="915">
        <f t="shared" si="478"/>
        <v>0</v>
      </c>
      <c r="EN151" s="915">
        <f t="shared" si="479"/>
        <v>0</v>
      </c>
      <c r="EO151" s="915">
        <f t="shared" si="480"/>
        <v>0</v>
      </c>
      <c r="EP151" s="915">
        <f t="shared" si="481"/>
        <v>0</v>
      </c>
      <c r="EQ151" s="915">
        <f t="shared" si="482"/>
        <v>0</v>
      </c>
      <c r="ER151" s="915">
        <f t="shared" si="483"/>
        <v>0</v>
      </c>
      <c r="ES151" s="915">
        <f t="shared" si="484"/>
        <v>0</v>
      </c>
      <c r="ET151" s="915">
        <f t="shared" si="485"/>
        <v>0</v>
      </c>
      <c r="EU151" s="915">
        <f t="shared" si="550"/>
        <v>0</v>
      </c>
      <c r="EV151" s="915">
        <f t="shared" si="551"/>
        <v>0</v>
      </c>
      <c r="EW151" s="915">
        <f t="shared" si="552"/>
        <v>0</v>
      </c>
      <c r="EX151" s="915">
        <f t="shared" si="553"/>
        <v>0</v>
      </c>
      <c r="EY151" s="915">
        <f t="shared" si="554"/>
        <v>0</v>
      </c>
      <c r="EZ151" s="915">
        <f t="shared" si="555"/>
        <v>0</v>
      </c>
      <c r="FA151" s="915">
        <f t="shared" si="556"/>
        <v>0</v>
      </c>
      <c r="FB151" s="915">
        <f t="shared" si="557"/>
        <v>0</v>
      </c>
      <c r="FC151" s="915">
        <f t="shared" si="558"/>
        <v>0</v>
      </c>
      <c r="FD151" s="915">
        <f t="shared" si="559"/>
        <v>0</v>
      </c>
      <c r="FE151" s="915">
        <f t="shared" si="560"/>
        <v>0</v>
      </c>
      <c r="FF151" s="915">
        <f t="shared" si="561"/>
        <v>0</v>
      </c>
      <c r="FG151" s="915">
        <f t="shared" si="562"/>
        <v>0</v>
      </c>
      <c r="FH151" s="915">
        <f t="shared" si="563"/>
        <v>0</v>
      </c>
      <c r="FI151" s="915">
        <f t="shared" si="564"/>
        <v>0</v>
      </c>
      <c r="FJ151" s="915">
        <f t="shared" si="565"/>
        <v>7.42</v>
      </c>
      <c r="FK151" s="915">
        <f t="shared" si="566"/>
        <v>0</v>
      </c>
      <c r="FL151" s="915">
        <f t="shared" si="567"/>
        <v>0</v>
      </c>
      <c r="FM151" s="915">
        <f t="shared" si="568"/>
        <v>0</v>
      </c>
      <c r="FN151" s="915">
        <f t="shared" si="569"/>
        <v>0</v>
      </c>
      <c r="FO151" s="915">
        <f t="shared" si="570"/>
        <v>0</v>
      </c>
      <c r="FP151" s="915">
        <f t="shared" si="571"/>
        <v>0</v>
      </c>
      <c r="FQ151" s="915">
        <f t="shared" si="572"/>
        <v>0</v>
      </c>
      <c r="FR151" s="915">
        <f t="shared" si="573"/>
        <v>0</v>
      </c>
      <c r="FS151" s="915">
        <f t="shared" si="574"/>
        <v>0</v>
      </c>
      <c r="FT151" s="915">
        <f t="shared" si="575"/>
        <v>0</v>
      </c>
      <c r="FU151" s="915">
        <f t="shared" si="576"/>
        <v>0</v>
      </c>
      <c r="FV151" s="915">
        <f t="shared" si="577"/>
        <v>0</v>
      </c>
      <c r="FW151" s="915">
        <f t="shared" si="578"/>
        <v>0</v>
      </c>
      <c r="FX151" s="915">
        <f t="shared" si="579"/>
        <v>0</v>
      </c>
      <c r="FY151" s="915">
        <f t="shared" si="580"/>
        <v>0</v>
      </c>
      <c r="FZ151" s="915">
        <f t="shared" si="581"/>
        <v>0</v>
      </c>
    </row>
    <row r="152" spans="1:182" x14ac:dyDescent="0.2">
      <c r="A152" s="496">
        <v>145</v>
      </c>
      <c r="B152" s="1419"/>
      <c r="C152" s="1433"/>
      <c r="D152" s="264">
        <v>19</v>
      </c>
      <c r="E152" s="264" t="s">
        <v>193</v>
      </c>
      <c r="F152" s="270" t="s">
        <v>2544</v>
      </c>
      <c r="G152" s="270" t="s">
        <v>2542</v>
      </c>
      <c r="H152" s="272">
        <v>7</v>
      </c>
      <c r="I152" s="268">
        <f t="shared" si="590"/>
        <v>0.42</v>
      </c>
      <c r="J152" s="269">
        <f t="shared" si="591"/>
        <v>7.42</v>
      </c>
      <c r="K152" s="225"/>
      <c r="N152" s="951">
        <f>FK6</f>
        <v>7.42</v>
      </c>
      <c r="O152" s="879" t="str">
        <f>"Boring/Monitoring Wells for "&amp;TabName19</f>
        <v>Boring/Monitoring Wells for Phase 19</v>
      </c>
      <c r="P152" s="949" t="s">
        <v>2213</v>
      </c>
      <c r="W152" s="915">
        <f t="shared" si="486"/>
        <v>0</v>
      </c>
      <c r="X152" s="915">
        <f t="shared" si="487"/>
        <v>0</v>
      </c>
      <c r="Y152" s="915">
        <f t="shared" si="488"/>
        <v>0</v>
      </c>
      <c r="Z152" s="915">
        <f t="shared" si="505"/>
        <v>0</v>
      </c>
      <c r="AA152" s="915">
        <f t="shared" si="506"/>
        <v>0</v>
      </c>
      <c r="AB152" s="915">
        <f t="shared" si="507"/>
        <v>0</v>
      </c>
      <c r="AC152" s="915">
        <f t="shared" si="508"/>
        <v>0</v>
      </c>
      <c r="AD152" s="915">
        <f t="shared" si="509"/>
        <v>0</v>
      </c>
      <c r="AE152" s="915">
        <f t="shared" si="510"/>
        <v>0</v>
      </c>
      <c r="AF152" s="915">
        <f t="shared" si="511"/>
        <v>0</v>
      </c>
      <c r="AG152" s="915">
        <f t="shared" si="512"/>
        <v>0</v>
      </c>
      <c r="AH152" s="915">
        <f t="shared" si="513"/>
        <v>0</v>
      </c>
      <c r="AI152" s="915">
        <f t="shared" si="514"/>
        <v>0</v>
      </c>
      <c r="AJ152" s="915">
        <f t="shared" si="515"/>
        <v>0</v>
      </c>
      <c r="AK152" s="915">
        <f t="shared" si="516"/>
        <v>0</v>
      </c>
      <c r="AL152" s="915">
        <f t="shared" si="517"/>
        <v>0</v>
      </c>
      <c r="AM152" s="915">
        <f t="shared" si="518"/>
        <v>0</v>
      </c>
      <c r="AN152" s="915">
        <f t="shared" si="519"/>
        <v>0</v>
      </c>
      <c r="AO152" s="915">
        <f t="shared" si="520"/>
        <v>0</v>
      </c>
      <c r="AP152" s="915">
        <f t="shared" si="521"/>
        <v>0</v>
      </c>
      <c r="AQ152" s="915">
        <f t="shared" si="522"/>
        <v>0</v>
      </c>
      <c r="AR152" s="915">
        <f t="shared" si="523"/>
        <v>0</v>
      </c>
      <c r="AS152" s="915">
        <f t="shared" si="524"/>
        <v>0</v>
      </c>
      <c r="AT152" s="915">
        <f t="shared" si="525"/>
        <v>0</v>
      </c>
      <c r="AU152" s="915">
        <f t="shared" si="526"/>
        <v>0</v>
      </c>
      <c r="AV152" s="915">
        <f t="shared" si="527"/>
        <v>0</v>
      </c>
      <c r="AW152" s="915">
        <f t="shared" si="528"/>
        <v>0</v>
      </c>
      <c r="AX152" s="915">
        <f t="shared" si="529"/>
        <v>0</v>
      </c>
      <c r="AY152" s="915">
        <f t="shared" si="530"/>
        <v>0</v>
      </c>
      <c r="AZ152" s="915">
        <f t="shared" si="531"/>
        <v>0</v>
      </c>
      <c r="BA152" s="915">
        <f t="shared" si="532"/>
        <v>0</v>
      </c>
      <c r="BB152" s="915">
        <f t="shared" si="533"/>
        <v>0</v>
      </c>
      <c r="BC152" s="915">
        <f t="shared" ref="BC152:BC165" si="640">IF(AND($D152=$R$12,$E152=$T$8),$J152,0)</f>
        <v>0</v>
      </c>
      <c r="BD152" s="915">
        <f t="shared" ref="BD152:BD165" si="641">IF(AND($D152=$R$12,$E152=$T$9),$J152,0)</f>
        <v>0</v>
      </c>
      <c r="BE152" s="915">
        <f t="shared" ref="BE152:BE165" si="642">IF(AND($D152=$R$12,$E152=$T$10),$J152,0)</f>
        <v>0</v>
      </c>
      <c r="BF152" s="915">
        <f t="shared" ref="BF152:BF165" si="643">IF(AND($D152=$R$12,$E152=$T$11),$J152,0)</f>
        <v>0</v>
      </c>
      <c r="BG152" s="915">
        <f t="shared" ref="BG152:BG165" si="644">IF(AND($D152=$R$12,$E152=$T$12),$J152,0)</f>
        <v>0</v>
      </c>
      <c r="BH152" s="915">
        <f t="shared" ref="BH152:BH165" si="645">IF(AND($D152=$R$12,$E152=$T$13),$J152,0)</f>
        <v>0</v>
      </c>
      <c r="BI152" s="915">
        <f t="shared" ref="BI152:BI165" si="646">IF(AND($D152=$R$12,$E152=$T$14),$J152,0)</f>
        <v>0</v>
      </c>
      <c r="BJ152" s="915">
        <f t="shared" ref="BJ152:BJ165" si="647">IF(AND($D152=$R$12,$E152=$T$15),$J152,0)</f>
        <v>0</v>
      </c>
      <c r="BK152" s="915">
        <f t="shared" si="582"/>
        <v>0</v>
      </c>
      <c r="BL152" s="915">
        <f t="shared" si="583"/>
        <v>0</v>
      </c>
      <c r="BM152" s="915">
        <f t="shared" si="584"/>
        <v>0</v>
      </c>
      <c r="BN152" s="915">
        <f t="shared" si="585"/>
        <v>0</v>
      </c>
      <c r="BO152" s="915">
        <f t="shared" si="586"/>
        <v>0</v>
      </c>
      <c r="BP152" s="915">
        <f t="shared" si="587"/>
        <v>0</v>
      </c>
      <c r="BQ152" s="915">
        <f t="shared" si="588"/>
        <v>0</v>
      </c>
      <c r="BR152" s="915">
        <f t="shared" si="589"/>
        <v>0</v>
      </c>
      <c r="BS152" s="915">
        <f t="shared" si="608"/>
        <v>0</v>
      </c>
      <c r="BT152" s="915">
        <f t="shared" si="609"/>
        <v>0</v>
      </c>
      <c r="BU152" s="915">
        <f t="shared" si="610"/>
        <v>0</v>
      </c>
      <c r="BV152" s="915">
        <f t="shared" si="611"/>
        <v>0</v>
      </c>
      <c r="BW152" s="915">
        <f t="shared" si="612"/>
        <v>0</v>
      </c>
      <c r="BX152" s="915">
        <f t="shared" si="613"/>
        <v>0</v>
      </c>
      <c r="BY152" s="915">
        <f t="shared" si="614"/>
        <v>0</v>
      </c>
      <c r="BZ152" s="915">
        <f t="shared" si="615"/>
        <v>0</v>
      </c>
      <c r="CA152" s="915">
        <f t="shared" si="624"/>
        <v>0</v>
      </c>
      <c r="CB152" s="915">
        <f t="shared" si="625"/>
        <v>0</v>
      </c>
      <c r="CC152" s="915">
        <f t="shared" si="626"/>
        <v>0</v>
      </c>
      <c r="CD152" s="915">
        <f t="shared" si="627"/>
        <v>0</v>
      </c>
      <c r="CE152" s="915">
        <f t="shared" si="628"/>
        <v>0</v>
      </c>
      <c r="CF152" s="915">
        <f t="shared" si="629"/>
        <v>0</v>
      </c>
      <c r="CG152" s="915">
        <f t="shared" si="630"/>
        <v>0</v>
      </c>
      <c r="CH152" s="915">
        <f t="shared" si="631"/>
        <v>0</v>
      </c>
      <c r="CI152" s="915">
        <f t="shared" si="616"/>
        <v>0</v>
      </c>
      <c r="CJ152" s="915">
        <f t="shared" si="617"/>
        <v>0</v>
      </c>
      <c r="CK152" s="915">
        <f t="shared" si="618"/>
        <v>0</v>
      </c>
      <c r="CL152" s="915">
        <f t="shared" si="619"/>
        <v>0</v>
      </c>
      <c r="CM152" s="915">
        <f t="shared" si="620"/>
        <v>0</v>
      </c>
      <c r="CN152" s="915">
        <f t="shared" si="621"/>
        <v>0</v>
      </c>
      <c r="CO152" s="915">
        <f t="shared" si="622"/>
        <v>0</v>
      </c>
      <c r="CP152" s="915">
        <f t="shared" si="623"/>
        <v>0</v>
      </c>
      <c r="CQ152" s="915">
        <f t="shared" si="370"/>
        <v>0</v>
      </c>
      <c r="CR152" s="915">
        <f t="shared" si="371"/>
        <v>0</v>
      </c>
      <c r="CS152" s="915">
        <f t="shared" si="372"/>
        <v>0</v>
      </c>
      <c r="CT152" s="915">
        <f t="shared" si="373"/>
        <v>0</v>
      </c>
      <c r="CU152" s="915">
        <f t="shared" si="374"/>
        <v>0</v>
      </c>
      <c r="CV152" s="915">
        <f t="shared" si="375"/>
        <v>0</v>
      </c>
      <c r="CW152" s="915">
        <f t="shared" si="376"/>
        <v>0</v>
      </c>
      <c r="CX152" s="915">
        <f t="shared" si="377"/>
        <v>0</v>
      </c>
      <c r="CY152" s="915">
        <f t="shared" si="542"/>
        <v>0</v>
      </c>
      <c r="CZ152" s="915">
        <f t="shared" si="543"/>
        <v>0</v>
      </c>
      <c r="DA152" s="915">
        <f t="shared" si="544"/>
        <v>0</v>
      </c>
      <c r="DB152" s="915">
        <f t="shared" si="545"/>
        <v>0</v>
      </c>
      <c r="DC152" s="915">
        <f t="shared" si="546"/>
        <v>0</v>
      </c>
      <c r="DD152" s="915">
        <f t="shared" si="547"/>
        <v>0</v>
      </c>
      <c r="DE152" s="915">
        <f t="shared" si="548"/>
        <v>0</v>
      </c>
      <c r="DF152" s="915">
        <f t="shared" si="549"/>
        <v>0</v>
      </c>
      <c r="DG152" s="915">
        <f t="shared" si="632"/>
        <v>0</v>
      </c>
      <c r="DH152" s="915">
        <f t="shared" si="633"/>
        <v>0</v>
      </c>
      <c r="DI152" s="915">
        <f t="shared" si="634"/>
        <v>0</v>
      </c>
      <c r="DJ152" s="915">
        <f t="shared" si="635"/>
        <v>0</v>
      </c>
      <c r="DK152" s="915">
        <f t="shared" si="636"/>
        <v>0</v>
      </c>
      <c r="DL152" s="915">
        <f t="shared" si="637"/>
        <v>0</v>
      </c>
      <c r="DM152" s="915">
        <f t="shared" si="638"/>
        <v>0</v>
      </c>
      <c r="DN152" s="915">
        <f t="shared" si="639"/>
        <v>0</v>
      </c>
      <c r="DO152" s="915">
        <f t="shared" si="592"/>
        <v>0</v>
      </c>
      <c r="DP152" s="915">
        <f t="shared" si="593"/>
        <v>0</v>
      </c>
      <c r="DQ152" s="915">
        <f t="shared" si="594"/>
        <v>0</v>
      </c>
      <c r="DR152" s="915">
        <f t="shared" si="595"/>
        <v>0</v>
      </c>
      <c r="DS152" s="915">
        <f t="shared" si="596"/>
        <v>0</v>
      </c>
      <c r="DT152" s="915">
        <f t="shared" si="597"/>
        <v>0</v>
      </c>
      <c r="DU152" s="915">
        <f t="shared" si="598"/>
        <v>0</v>
      </c>
      <c r="DV152" s="915">
        <f t="shared" si="599"/>
        <v>0</v>
      </c>
      <c r="DW152" s="915">
        <f t="shared" si="600"/>
        <v>0</v>
      </c>
      <c r="DX152" s="915">
        <f t="shared" si="601"/>
        <v>0</v>
      </c>
      <c r="DY152" s="915">
        <f t="shared" si="602"/>
        <v>0</v>
      </c>
      <c r="DZ152" s="915">
        <f t="shared" si="603"/>
        <v>0</v>
      </c>
      <c r="EA152" s="915">
        <f t="shared" si="604"/>
        <v>0</v>
      </c>
      <c r="EB152" s="915">
        <f t="shared" si="605"/>
        <v>0</v>
      </c>
      <c r="EC152" s="915">
        <f t="shared" si="606"/>
        <v>0</v>
      </c>
      <c r="ED152" s="915">
        <f t="shared" si="607"/>
        <v>0</v>
      </c>
      <c r="EE152" s="915">
        <f t="shared" si="470"/>
        <v>0</v>
      </c>
      <c r="EF152" s="915">
        <f t="shared" si="471"/>
        <v>0</v>
      </c>
      <c r="EG152" s="915">
        <f t="shared" si="472"/>
        <v>0</v>
      </c>
      <c r="EH152" s="915">
        <f t="shared" si="473"/>
        <v>0</v>
      </c>
      <c r="EI152" s="915">
        <f t="shared" si="474"/>
        <v>0</v>
      </c>
      <c r="EJ152" s="915">
        <f t="shared" si="475"/>
        <v>0</v>
      </c>
      <c r="EK152" s="915">
        <f t="shared" si="476"/>
        <v>0</v>
      </c>
      <c r="EL152" s="915">
        <f t="shared" si="477"/>
        <v>0</v>
      </c>
      <c r="EM152" s="915">
        <f t="shared" si="478"/>
        <v>0</v>
      </c>
      <c r="EN152" s="915">
        <f t="shared" si="479"/>
        <v>0</v>
      </c>
      <c r="EO152" s="915">
        <f t="shared" si="480"/>
        <v>0</v>
      </c>
      <c r="EP152" s="915">
        <f t="shared" si="481"/>
        <v>0</v>
      </c>
      <c r="EQ152" s="915">
        <f t="shared" si="482"/>
        <v>0</v>
      </c>
      <c r="ER152" s="915">
        <f t="shared" si="483"/>
        <v>0</v>
      </c>
      <c r="ES152" s="915">
        <f t="shared" si="484"/>
        <v>0</v>
      </c>
      <c r="ET152" s="915">
        <f t="shared" si="485"/>
        <v>0</v>
      </c>
      <c r="EU152" s="915">
        <f t="shared" si="550"/>
        <v>0</v>
      </c>
      <c r="EV152" s="915">
        <f t="shared" si="551"/>
        <v>0</v>
      </c>
      <c r="EW152" s="915">
        <f t="shared" si="552"/>
        <v>0</v>
      </c>
      <c r="EX152" s="915">
        <f t="shared" si="553"/>
        <v>0</v>
      </c>
      <c r="EY152" s="915">
        <f t="shared" si="554"/>
        <v>0</v>
      </c>
      <c r="EZ152" s="915">
        <f t="shared" si="555"/>
        <v>0</v>
      </c>
      <c r="FA152" s="915">
        <f t="shared" si="556"/>
        <v>0</v>
      </c>
      <c r="FB152" s="915">
        <f t="shared" si="557"/>
        <v>0</v>
      </c>
      <c r="FC152" s="915">
        <f t="shared" si="558"/>
        <v>0</v>
      </c>
      <c r="FD152" s="915">
        <f t="shared" si="559"/>
        <v>0</v>
      </c>
      <c r="FE152" s="915">
        <f t="shared" si="560"/>
        <v>0</v>
      </c>
      <c r="FF152" s="915">
        <f t="shared" si="561"/>
        <v>0</v>
      </c>
      <c r="FG152" s="915">
        <f t="shared" si="562"/>
        <v>0</v>
      </c>
      <c r="FH152" s="915">
        <f t="shared" si="563"/>
        <v>0</v>
      </c>
      <c r="FI152" s="915">
        <f t="shared" si="564"/>
        <v>0</v>
      </c>
      <c r="FJ152" s="915">
        <f t="shared" si="565"/>
        <v>0</v>
      </c>
      <c r="FK152" s="915">
        <f t="shared" si="566"/>
        <v>7.42</v>
      </c>
      <c r="FL152" s="915">
        <f t="shared" si="567"/>
        <v>0</v>
      </c>
      <c r="FM152" s="915">
        <f t="shared" si="568"/>
        <v>0</v>
      </c>
      <c r="FN152" s="915">
        <f t="shared" si="569"/>
        <v>0</v>
      </c>
      <c r="FO152" s="915">
        <f t="shared" si="570"/>
        <v>0</v>
      </c>
      <c r="FP152" s="915">
        <f t="shared" si="571"/>
        <v>0</v>
      </c>
      <c r="FQ152" s="915">
        <f t="shared" si="572"/>
        <v>0</v>
      </c>
      <c r="FR152" s="915">
        <f t="shared" si="573"/>
        <v>0</v>
      </c>
      <c r="FS152" s="915">
        <f t="shared" si="574"/>
        <v>0</v>
      </c>
      <c r="FT152" s="915">
        <f t="shared" si="575"/>
        <v>0</v>
      </c>
      <c r="FU152" s="915">
        <f t="shared" si="576"/>
        <v>0</v>
      </c>
      <c r="FV152" s="915">
        <f t="shared" si="577"/>
        <v>0</v>
      </c>
      <c r="FW152" s="915">
        <f t="shared" si="578"/>
        <v>0</v>
      </c>
      <c r="FX152" s="915">
        <f t="shared" si="579"/>
        <v>0</v>
      </c>
      <c r="FY152" s="915">
        <f t="shared" si="580"/>
        <v>0</v>
      </c>
      <c r="FZ152" s="915">
        <f t="shared" si="581"/>
        <v>0</v>
      </c>
    </row>
    <row r="153" spans="1:182" x14ac:dyDescent="0.2">
      <c r="A153" s="497">
        <v>146</v>
      </c>
      <c r="B153" s="1423"/>
      <c r="C153" s="1424"/>
      <c r="D153" s="138">
        <v>19</v>
      </c>
      <c r="E153" s="138" t="s">
        <v>26</v>
      </c>
      <c r="F153" s="139" t="s">
        <v>2544</v>
      </c>
      <c r="G153" s="139" t="s">
        <v>2542</v>
      </c>
      <c r="H153" s="100">
        <v>7</v>
      </c>
      <c r="I153" s="119">
        <f t="shared" si="590"/>
        <v>0.42</v>
      </c>
      <c r="J153" s="90">
        <f t="shared" si="591"/>
        <v>7.42</v>
      </c>
      <c r="K153" s="225"/>
      <c r="N153" s="951">
        <f>FL6</f>
        <v>7.42</v>
      </c>
      <c r="O153" s="879" t="str">
        <f>"Remediation for " &amp;TabName19</f>
        <v>Remediation for Phase 19</v>
      </c>
      <c r="P153" s="950" t="s">
        <v>2212</v>
      </c>
      <c r="W153" s="915">
        <f t="shared" si="486"/>
        <v>0</v>
      </c>
      <c r="X153" s="915">
        <f t="shared" si="487"/>
        <v>0</v>
      </c>
      <c r="Y153" s="915">
        <f t="shared" si="488"/>
        <v>0</v>
      </c>
      <c r="Z153" s="915">
        <f t="shared" si="505"/>
        <v>0</v>
      </c>
      <c r="AA153" s="915">
        <f t="shared" si="506"/>
        <v>0</v>
      </c>
      <c r="AB153" s="915">
        <f t="shared" si="507"/>
        <v>0</v>
      </c>
      <c r="AC153" s="915">
        <f t="shared" si="508"/>
        <v>0</v>
      </c>
      <c r="AD153" s="915">
        <f t="shared" si="509"/>
        <v>0</v>
      </c>
      <c r="AE153" s="915">
        <f t="shared" si="510"/>
        <v>0</v>
      </c>
      <c r="AF153" s="915">
        <f t="shared" si="511"/>
        <v>0</v>
      </c>
      <c r="AG153" s="915">
        <f t="shared" si="512"/>
        <v>0</v>
      </c>
      <c r="AH153" s="915">
        <f t="shared" si="513"/>
        <v>0</v>
      </c>
      <c r="AI153" s="915">
        <f t="shared" si="514"/>
        <v>0</v>
      </c>
      <c r="AJ153" s="915">
        <f t="shared" si="515"/>
        <v>0</v>
      </c>
      <c r="AK153" s="915">
        <f t="shared" si="516"/>
        <v>0</v>
      </c>
      <c r="AL153" s="915">
        <f t="shared" si="517"/>
        <v>0</v>
      </c>
      <c r="AM153" s="915">
        <f t="shared" si="518"/>
        <v>0</v>
      </c>
      <c r="AN153" s="915">
        <f t="shared" si="519"/>
        <v>0</v>
      </c>
      <c r="AO153" s="915">
        <f t="shared" si="520"/>
        <v>0</v>
      </c>
      <c r="AP153" s="915">
        <f t="shared" si="521"/>
        <v>0</v>
      </c>
      <c r="AQ153" s="915">
        <f t="shared" si="522"/>
        <v>0</v>
      </c>
      <c r="AR153" s="915">
        <f t="shared" si="523"/>
        <v>0</v>
      </c>
      <c r="AS153" s="915">
        <f t="shared" si="524"/>
        <v>0</v>
      </c>
      <c r="AT153" s="915">
        <f t="shared" si="525"/>
        <v>0</v>
      </c>
      <c r="AU153" s="915">
        <f t="shared" si="526"/>
        <v>0</v>
      </c>
      <c r="AV153" s="915">
        <f t="shared" si="527"/>
        <v>0</v>
      </c>
      <c r="AW153" s="915">
        <f t="shared" si="528"/>
        <v>0</v>
      </c>
      <c r="AX153" s="915">
        <f t="shared" si="529"/>
        <v>0</v>
      </c>
      <c r="AY153" s="915">
        <f t="shared" si="530"/>
        <v>0</v>
      </c>
      <c r="AZ153" s="915">
        <f t="shared" si="531"/>
        <v>0</v>
      </c>
      <c r="BA153" s="915">
        <f t="shared" si="532"/>
        <v>0</v>
      </c>
      <c r="BB153" s="915">
        <f t="shared" si="533"/>
        <v>0</v>
      </c>
      <c r="BC153" s="915">
        <f t="shared" si="640"/>
        <v>0</v>
      </c>
      <c r="BD153" s="915">
        <f t="shared" si="641"/>
        <v>0</v>
      </c>
      <c r="BE153" s="915">
        <f t="shared" si="642"/>
        <v>0</v>
      </c>
      <c r="BF153" s="915">
        <f t="shared" si="643"/>
        <v>0</v>
      </c>
      <c r="BG153" s="915">
        <f t="shared" si="644"/>
        <v>0</v>
      </c>
      <c r="BH153" s="915">
        <f t="shared" si="645"/>
        <v>0</v>
      </c>
      <c r="BI153" s="915">
        <f t="shared" si="646"/>
        <v>0</v>
      </c>
      <c r="BJ153" s="915">
        <f t="shared" si="647"/>
        <v>0</v>
      </c>
      <c r="BK153" s="915">
        <f>IF(AND($D153=$R$13,$E153=$T$8),$J153,0)</f>
        <v>0</v>
      </c>
      <c r="BL153" s="915">
        <f>IF(AND($D153=$R$13,$E153=$T$9),$J153,0)</f>
        <v>0</v>
      </c>
      <c r="BM153" s="915">
        <f>IF(AND($D153=$R$13,$E153=$T$10),$J153,0)</f>
        <v>0</v>
      </c>
      <c r="BN153" s="915">
        <f>IF(AND($D153=$R$13,$E153=$T$11),$J153,0)</f>
        <v>0</v>
      </c>
      <c r="BO153" s="915">
        <f>IF(AND($D153=$R$13,$E153=$T$12),$J153,0)</f>
        <v>0</v>
      </c>
      <c r="BP153" s="915">
        <f>IF(AND($D153=$R$13,$E153=$T$13),$J153,0)</f>
        <v>0</v>
      </c>
      <c r="BQ153" s="915">
        <f>IF(AND($D153=$R$13,$E153=$T$14),$J153,0)</f>
        <v>0</v>
      </c>
      <c r="BR153" s="915">
        <f>IF(AND($D153=$R$13,$E153=$T$15),$J153,0)</f>
        <v>0</v>
      </c>
      <c r="BS153" s="915">
        <f t="shared" si="608"/>
        <v>0</v>
      </c>
      <c r="BT153" s="915">
        <f t="shared" si="609"/>
        <v>0</v>
      </c>
      <c r="BU153" s="915">
        <f t="shared" si="610"/>
        <v>0</v>
      </c>
      <c r="BV153" s="915">
        <f t="shared" si="611"/>
        <v>0</v>
      </c>
      <c r="BW153" s="915">
        <f t="shared" si="612"/>
        <v>0</v>
      </c>
      <c r="BX153" s="915">
        <f t="shared" si="613"/>
        <v>0</v>
      </c>
      <c r="BY153" s="915">
        <f t="shared" si="614"/>
        <v>0</v>
      </c>
      <c r="BZ153" s="915">
        <f t="shared" si="615"/>
        <v>0</v>
      </c>
      <c r="CA153" s="915">
        <f t="shared" si="624"/>
        <v>0</v>
      </c>
      <c r="CB153" s="915">
        <f t="shared" si="625"/>
        <v>0</v>
      </c>
      <c r="CC153" s="915">
        <f t="shared" si="626"/>
        <v>0</v>
      </c>
      <c r="CD153" s="915">
        <f t="shared" si="627"/>
        <v>0</v>
      </c>
      <c r="CE153" s="915">
        <f t="shared" si="628"/>
        <v>0</v>
      </c>
      <c r="CF153" s="915">
        <f t="shared" si="629"/>
        <v>0</v>
      </c>
      <c r="CG153" s="915">
        <f t="shared" si="630"/>
        <v>0</v>
      </c>
      <c r="CH153" s="915">
        <f t="shared" si="631"/>
        <v>0</v>
      </c>
      <c r="CI153" s="915">
        <f>IF(AND($D153=$R$16,$E153=$T$8),$J153,0)</f>
        <v>0</v>
      </c>
      <c r="CJ153" s="915">
        <f>IF(AND($D153=$R$16,$E153=$T$9),$J153,0)</f>
        <v>0</v>
      </c>
      <c r="CK153" s="915">
        <f>IF(AND($D153=$R$16,$E153=$T$10),$J153,0)</f>
        <v>0</v>
      </c>
      <c r="CL153" s="915">
        <f>IF(AND($D153=$R$16,$E153=$T$11),$J153,0)</f>
        <v>0</v>
      </c>
      <c r="CM153" s="915">
        <f>IF(AND($D153=$R$16,$E153=$T$12),$J153,0)</f>
        <v>0</v>
      </c>
      <c r="CN153" s="915">
        <f>IF(AND($D153=$R$16,$E153=$T$13),$J153,0)</f>
        <v>0</v>
      </c>
      <c r="CO153" s="915">
        <f>IF(AND($D153=$R$16,$E153=$T$14),$J153,0)</f>
        <v>0</v>
      </c>
      <c r="CP153" s="915">
        <f>IF(AND($D153=$R$16,$E153=$T$15),$J153,0)</f>
        <v>0</v>
      </c>
      <c r="CQ153" s="915">
        <f t="shared" si="370"/>
        <v>0</v>
      </c>
      <c r="CR153" s="915">
        <f t="shared" si="371"/>
        <v>0</v>
      </c>
      <c r="CS153" s="915">
        <f t="shared" si="372"/>
        <v>0</v>
      </c>
      <c r="CT153" s="915">
        <f t="shared" si="373"/>
        <v>0</v>
      </c>
      <c r="CU153" s="915">
        <f t="shared" si="374"/>
        <v>0</v>
      </c>
      <c r="CV153" s="915">
        <f t="shared" si="375"/>
        <v>0</v>
      </c>
      <c r="CW153" s="915">
        <f t="shared" si="376"/>
        <v>0</v>
      </c>
      <c r="CX153" s="915">
        <f t="shared" si="377"/>
        <v>0</v>
      </c>
      <c r="CY153" s="915">
        <f t="shared" si="542"/>
        <v>0</v>
      </c>
      <c r="CZ153" s="915">
        <f t="shared" si="543"/>
        <v>0</v>
      </c>
      <c r="DA153" s="915">
        <f t="shared" si="544"/>
        <v>0</v>
      </c>
      <c r="DB153" s="915">
        <f t="shared" si="545"/>
        <v>0</v>
      </c>
      <c r="DC153" s="915">
        <f t="shared" si="546"/>
        <v>0</v>
      </c>
      <c r="DD153" s="915">
        <f t="shared" si="547"/>
        <v>0</v>
      </c>
      <c r="DE153" s="915">
        <f t="shared" si="548"/>
        <v>0</v>
      </c>
      <c r="DF153" s="915">
        <f t="shared" si="549"/>
        <v>0</v>
      </c>
      <c r="DG153" s="915">
        <f t="shared" si="632"/>
        <v>0</v>
      </c>
      <c r="DH153" s="915">
        <f t="shared" si="633"/>
        <v>0</v>
      </c>
      <c r="DI153" s="915">
        <f t="shared" si="634"/>
        <v>0</v>
      </c>
      <c r="DJ153" s="915">
        <f t="shared" si="635"/>
        <v>0</v>
      </c>
      <c r="DK153" s="915">
        <f t="shared" si="636"/>
        <v>0</v>
      </c>
      <c r="DL153" s="915">
        <f t="shared" si="637"/>
        <v>0</v>
      </c>
      <c r="DM153" s="915">
        <f t="shared" si="638"/>
        <v>0</v>
      </c>
      <c r="DN153" s="915">
        <f t="shared" si="639"/>
        <v>0</v>
      </c>
      <c r="DO153" s="915">
        <f t="shared" si="592"/>
        <v>0</v>
      </c>
      <c r="DP153" s="915">
        <f t="shared" si="593"/>
        <v>0</v>
      </c>
      <c r="DQ153" s="915">
        <f t="shared" si="594"/>
        <v>0</v>
      </c>
      <c r="DR153" s="915">
        <f t="shared" si="595"/>
        <v>0</v>
      </c>
      <c r="DS153" s="915">
        <f t="shared" si="596"/>
        <v>0</v>
      </c>
      <c r="DT153" s="915">
        <f t="shared" si="597"/>
        <v>0</v>
      </c>
      <c r="DU153" s="915">
        <f t="shared" si="598"/>
        <v>0</v>
      </c>
      <c r="DV153" s="915">
        <f t="shared" si="599"/>
        <v>0</v>
      </c>
      <c r="DW153" s="915">
        <f t="shared" si="600"/>
        <v>0</v>
      </c>
      <c r="DX153" s="915">
        <f t="shared" si="601"/>
        <v>0</v>
      </c>
      <c r="DY153" s="915">
        <f t="shared" si="602"/>
        <v>0</v>
      </c>
      <c r="DZ153" s="915">
        <f t="shared" si="603"/>
        <v>0</v>
      </c>
      <c r="EA153" s="915">
        <f t="shared" si="604"/>
        <v>0</v>
      </c>
      <c r="EB153" s="915">
        <f t="shared" si="605"/>
        <v>0</v>
      </c>
      <c r="EC153" s="915">
        <f t="shared" si="606"/>
        <v>0</v>
      </c>
      <c r="ED153" s="915">
        <f t="shared" si="607"/>
        <v>0</v>
      </c>
      <c r="EE153" s="915">
        <f t="shared" si="470"/>
        <v>0</v>
      </c>
      <c r="EF153" s="915">
        <f t="shared" si="471"/>
        <v>0</v>
      </c>
      <c r="EG153" s="915">
        <f t="shared" si="472"/>
        <v>0</v>
      </c>
      <c r="EH153" s="915">
        <f t="shared" si="473"/>
        <v>0</v>
      </c>
      <c r="EI153" s="915">
        <f t="shared" si="474"/>
        <v>0</v>
      </c>
      <c r="EJ153" s="915">
        <f t="shared" si="475"/>
        <v>0</v>
      </c>
      <c r="EK153" s="915">
        <f t="shared" si="476"/>
        <v>0</v>
      </c>
      <c r="EL153" s="915">
        <f t="shared" si="477"/>
        <v>0</v>
      </c>
      <c r="EM153" s="915">
        <f t="shared" si="478"/>
        <v>0</v>
      </c>
      <c r="EN153" s="915">
        <f t="shared" si="479"/>
        <v>0</v>
      </c>
      <c r="EO153" s="915">
        <f t="shared" si="480"/>
        <v>0</v>
      </c>
      <c r="EP153" s="915">
        <f t="shared" si="481"/>
        <v>0</v>
      </c>
      <c r="EQ153" s="915">
        <f t="shared" si="482"/>
        <v>0</v>
      </c>
      <c r="ER153" s="915">
        <f t="shared" si="483"/>
        <v>0</v>
      </c>
      <c r="ES153" s="915">
        <f t="shared" si="484"/>
        <v>0</v>
      </c>
      <c r="ET153" s="915">
        <f t="shared" si="485"/>
        <v>0</v>
      </c>
      <c r="EU153" s="915">
        <f t="shared" si="550"/>
        <v>0</v>
      </c>
      <c r="EV153" s="915">
        <f t="shared" si="551"/>
        <v>0</v>
      </c>
      <c r="EW153" s="915">
        <f t="shared" si="552"/>
        <v>0</v>
      </c>
      <c r="EX153" s="915">
        <f t="shared" si="553"/>
        <v>0</v>
      </c>
      <c r="EY153" s="915">
        <f t="shared" si="554"/>
        <v>0</v>
      </c>
      <c r="EZ153" s="915">
        <f t="shared" si="555"/>
        <v>0</v>
      </c>
      <c r="FA153" s="915">
        <f t="shared" si="556"/>
        <v>0</v>
      </c>
      <c r="FB153" s="915">
        <f t="shared" si="557"/>
        <v>0</v>
      </c>
      <c r="FC153" s="915">
        <f t="shared" si="558"/>
        <v>0</v>
      </c>
      <c r="FD153" s="915">
        <f t="shared" si="559"/>
        <v>0</v>
      </c>
      <c r="FE153" s="915">
        <f t="shared" si="560"/>
        <v>0</v>
      </c>
      <c r="FF153" s="915">
        <f t="shared" si="561"/>
        <v>0</v>
      </c>
      <c r="FG153" s="915">
        <f t="shared" si="562"/>
        <v>0</v>
      </c>
      <c r="FH153" s="915">
        <f t="shared" si="563"/>
        <v>0</v>
      </c>
      <c r="FI153" s="915">
        <f t="shared" si="564"/>
        <v>0</v>
      </c>
      <c r="FJ153" s="915">
        <f t="shared" si="565"/>
        <v>0</v>
      </c>
      <c r="FK153" s="915">
        <f t="shared" si="566"/>
        <v>0</v>
      </c>
      <c r="FL153" s="915">
        <f t="shared" si="567"/>
        <v>7.42</v>
      </c>
      <c r="FM153" s="915">
        <f t="shared" si="568"/>
        <v>0</v>
      </c>
      <c r="FN153" s="915">
        <f t="shared" si="569"/>
        <v>0</v>
      </c>
      <c r="FO153" s="915">
        <f t="shared" si="570"/>
        <v>0</v>
      </c>
      <c r="FP153" s="915">
        <f t="shared" si="571"/>
        <v>0</v>
      </c>
      <c r="FQ153" s="915">
        <f t="shared" si="572"/>
        <v>0</v>
      </c>
      <c r="FR153" s="915">
        <f t="shared" si="573"/>
        <v>0</v>
      </c>
      <c r="FS153" s="915">
        <f t="shared" si="574"/>
        <v>0</v>
      </c>
      <c r="FT153" s="915">
        <f t="shared" si="575"/>
        <v>0</v>
      </c>
      <c r="FU153" s="915">
        <f t="shared" si="576"/>
        <v>0</v>
      </c>
      <c r="FV153" s="915">
        <f t="shared" si="577"/>
        <v>0</v>
      </c>
      <c r="FW153" s="915">
        <f t="shared" si="578"/>
        <v>0</v>
      </c>
      <c r="FX153" s="915">
        <f t="shared" si="579"/>
        <v>0</v>
      </c>
      <c r="FY153" s="915">
        <f t="shared" si="580"/>
        <v>0</v>
      </c>
      <c r="FZ153" s="915">
        <f t="shared" si="581"/>
        <v>0</v>
      </c>
    </row>
    <row r="154" spans="1:182" x14ac:dyDescent="0.2">
      <c r="A154" s="496">
        <v>147</v>
      </c>
      <c r="B154" s="1419"/>
      <c r="C154" s="1433"/>
      <c r="D154" s="264">
        <v>19</v>
      </c>
      <c r="E154" s="264" t="s">
        <v>35</v>
      </c>
      <c r="F154" s="270" t="s">
        <v>2544</v>
      </c>
      <c r="G154" s="270" t="s">
        <v>2542</v>
      </c>
      <c r="H154" s="272">
        <v>7</v>
      </c>
      <c r="I154" s="268">
        <f t="shared" si="590"/>
        <v>0.42</v>
      </c>
      <c r="J154" s="269">
        <f t="shared" si="591"/>
        <v>7.42</v>
      </c>
      <c r="K154" s="225"/>
      <c r="N154" s="951">
        <f>FM6</f>
        <v>7.42</v>
      </c>
      <c r="O154" s="879" t="str">
        <f>"General Construction for " &amp; TabName19</f>
        <v>General Construction for Phase 19</v>
      </c>
      <c r="P154" s="949" t="s">
        <v>2211</v>
      </c>
      <c r="W154" s="915">
        <f t="shared" si="486"/>
        <v>0</v>
      </c>
      <c r="X154" s="915">
        <f t="shared" si="487"/>
        <v>0</v>
      </c>
      <c r="Y154" s="915">
        <f t="shared" si="488"/>
        <v>0</v>
      </c>
      <c r="Z154" s="915">
        <f t="shared" si="505"/>
        <v>0</v>
      </c>
      <c r="AA154" s="915">
        <f t="shared" si="506"/>
        <v>0</v>
      </c>
      <c r="AB154" s="915">
        <f t="shared" si="507"/>
        <v>0</v>
      </c>
      <c r="AC154" s="915">
        <f t="shared" si="508"/>
        <v>0</v>
      </c>
      <c r="AD154" s="915">
        <f t="shared" si="509"/>
        <v>0</v>
      </c>
      <c r="AE154" s="915">
        <f t="shared" si="510"/>
        <v>0</v>
      </c>
      <c r="AF154" s="915">
        <f t="shared" si="511"/>
        <v>0</v>
      </c>
      <c r="AG154" s="915">
        <f t="shared" si="512"/>
        <v>0</v>
      </c>
      <c r="AH154" s="915">
        <f t="shared" si="513"/>
        <v>0</v>
      </c>
      <c r="AI154" s="915">
        <f t="shared" si="514"/>
        <v>0</v>
      </c>
      <c r="AJ154" s="915">
        <f t="shared" si="515"/>
        <v>0</v>
      </c>
      <c r="AK154" s="915">
        <f t="shared" si="516"/>
        <v>0</v>
      </c>
      <c r="AL154" s="915">
        <f t="shared" si="517"/>
        <v>0</v>
      </c>
      <c r="AM154" s="915">
        <f t="shared" si="518"/>
        <v>0</v>
      </c>
      <c r="AN154" s="915">
        <f t="shared" si="519"/>
        <v>0</v>
      </c>
      <c r="AO154" s="915">
        <f t="shared" si="520"/>
        <v>0</v>
      </c>
      <c r="AP154" s="915">
        <f t="shared" si="521"/>
        <v>0</v>
      </c>
      <c r="AQ154" s="915">
        <f t="shared" si="522"/>
        <v>0</v>
      </c>
      <c r="AR154" s="915">
        <f t="shared" si="523"/>
        <v>0</v>
      </c>
      <c r="AS154" s="915">
        <f t="shared" si="524"/>
        <v>0</v>
      </c>
      <c r="AT154" s="915">
        <f t="shared" si="525"/>
        <v>0</v>
      </c>
      <c r="AU154" s="915">
        <f t="shared" si="526"/>
        <v>0</v>
      </c>
      <c r="AV154" s="915">
        <f t="shared" si="527"/>
        <v>0</v>
      </c>
      <c r="AW154" s="915">
        <f t="shared" si="528"/>
        <v>0</v>
      </c>
      <c r="AX154" s="915">
        <f t="shared" si="529"/>
        <v>0</v>
      </c>
      <c r="AY154" s="915">
        <f t="shared" si="530"/>
        <v>0</v>
      </c>
      <c r="AZ154" s="915">
        <f t="shared" si="531"/>
        <v>0</v>
      </c>
      <c r="BA154" s="915">
        <f t="shared" si="532"/>
        <v>0</v>
      </c>
      <c r="BB154" s="915">
        <f t="shared" si="533"/>
        <v>0</v>
      </c>
      <c r="BC154" s="915">
        <f t="shared" si="640"/>
        <v>0</v>
      </c>
      <c r="BD154" s="915">
        <f t="shared" si="641"/>
        <v>0</v>
      </c>
      <c r="BE154" s="915">
        <f t="shared" si="642"/>
        <v>0</v>
      </c>
      <c r="BF154" s="915">
        <f t="shared" si="643"/>
        <v>0</v>
      </c>
      <c r="BG154" s="915">
        <f t="shared" si="644"/>
        <v>0</v>
      </c>
      <c r="BH154" s="915">
        <f t="shared" si="645"/>
        <v>0</v>
      </c>
      <c r="BI154" s="915">
        <f t="shared" si="646"/>
        <v>0</v>
      </c>
      <c r="BJ154" s="915">
        <f t="shared" si="647"/>
        <v>0</v>
      </c>
      <c r="BK154" s="915">
        <f t="shared" ref="BK154:BK163" si="648">IF(AND($D154=$R$13,$E154=$T$8),$J154,0)</f>
        <v>0</v>
      </c>
      <c r="BL154" s="915">
        <f t="shared" ref="BL154:BL163" si="649">IF(AND($D154=$R$13,$E154=$T$9),$J154,0)</f>
        <v>0</v>
      </c>
      <c r="BM154" s="915">
        <f t="shared" ref="BM154:BM163" si="650">IF(AND($D154=$R$13,$E154=$T$10),$J154,0)</f>
        <v>0</v>
      </c>
      <c r="BN154" s="915">
        <f t="shared" ref="BN154:BN163" si="651">IF(AND($D154=$R$13,$E154=$T$11),$J154,0)</f>
        <v>0</v>
      </c>
      <c r="BO154" s="915">
        <f t="shared" ref="BO154:BO163" si="652">IF(AND($D154=$R$13,$E154=$T$12),$J154,0)</f>
        <v>0</v>
      </c>
      <c r="BP154" s="915">
        <f t="shared" ref="BP154:BP163" si="653">IF(AND($D154=$R$13,$E154=$T$13),$J154,0)</f>
        <v>0</v>
      </c>
      <c r="BQ154" s="915">
        <f t="shared" ref="BQ154:BQ163" si="654">IF(AND($D154=$R$13,$E154=$T$14),$J154,0)</f>
        <v>0</v>
      </c>
      <c r="BR154" s="915">
        <f t="shared" ref="BR154:BR163" si="655">IF(AND($D154=$R$13,$E154=$T$15),$J154,0)</f>
        <v>0</v>
      </c>
      <c r="BS154" s="915">
        <f t="shared" si="608"/>
        <v>0</v>
      </c>
      <c r="BT154" s="915">
        <f t="shared" si="609"/>
        <v>0</v>
      </c>
      <c r="BU154" s="915">
        <f t="shared" si="610"/>
        <v>0</v>
      </c>
      <c r="BV154" s="915">
        <f t="shared" si="611"/>
        <v>0</v>
      </c>
      <c r="BW154" s="915">
        <f t="shared" si="612"/>
        <v>0</v>
      </c>
      <c r="BX154" s="915">
        <f t="shared" si="613"/>
        <v>0</v>
      </c>
      <c r="BY154" s="915">
        <f t="shared" si="614"/>
        <v>0</v>
      </c>
      <c r="BZ154" s="915">
        <f t="shared" si="615"/>
        <v>0</v>
      </c>
      <c r="CA154" s="915">
        <f t="shared" si="624"/>
        <v>0</v>
      </c>
      <c r="CB154" s="915">
        <f t="shared" si="625"/>
        <v>0</v>
      </c>
      <c r="CC154" s="915">
        <f t="shared" si="626"/>
        <v>0</v>
      </c>
      <c r="CD154" s="915">
        <f t="shared" si="627"/>
        <v>0</v>
      </c>
      <c r="CE154" s="915">
        <f t="shared" si="628"/>
        <v>0</v>
      </c>
      <c r="CF154" s="915">
        <f t="shared" si="629"/>
        <v>0</v>
      </c>
      <c r="CG154" s="915">
        <f t="shared" si="630"/>
        <v>0</v>
      </c>
      <c r="CH154" s="915">
        <f t="shared" si="631"/>
        <v>0</v>
      </c>
      <c r="CI154" s="915">
        <f t="shared" ref="CI154:CI167" si="656">IF(AND($D154=$R$16,$E154=$T$8),$J154,0)</f>
        <v>0</v>
      </c>
      <c r="CJ154" s="915">
        <f t="shared" ref="CJ154:CJ167" si="657">IF(AND($D154=$R$16,$E154=$T$9),$J154,0)</f>
        <v>0</v>
      </c>
      <c r="CK154" s="915">
        <f t="shared" ref="CK154:CK167" si="658">IF(AND($D154=$R$16,$E154=$T$10),$J154,0)</f>
        <v>0</v>
      </c>
      <c r="CL154" s="915">
        <f t="shared" ref="CL154:CL167" si="659">IF(AND($D154=$R$16,$E154=$T$11),$J154,0)</f>
        <v>0</v>
      </c>
      <c r="CM154" s="915">
        <f t="shared" ref="CM154:CM167" si="660">IF(AND($D154=$R$16,$E154=$T$12),$J154,0)</f>
        <v>0</v>
      </c>
      <c r="CN154" s="915">
        <f t="shared" ref="CN154:CN167" si="661">IF(AND($D154=$R$16,$E154=$T$13),$J154,0)</f>
        <v>0</v>
      </c>
      <c r="CO154" s="915">
        <f t="shared" ref="CO154:CO165" si="662">IF(AND($D154=$R$16,$E154=$T$14),$J154,0)</f>
        <v>0</v>
      </c>
      <c r="CP154" s="915">
        <f t="shared" ref="CP154:CP167" si="663">IF(AND($D154=$R$16,$E154=$T$15),$J154,0)</f>
        <v>0</v>
      </c>
      <c r="CQ154" s="915">
        <f t="shared" si="370"/>
        <v>0</v>
      </c>
      <c r="CR154" s="915">
        <f t="shared" si="371"/>
        <v>0</v>
      </c>
      <c r="CS154" s="915">
        <f t="shared" si="372"/>
        <v>0</v>
      </c>
      <c r="CT154" s="915">
        <f t="shared" si="373"/>
        <v>0</v>
      </c>
      <c r="CU154" s="915">
        <f t="shared" si="374"/>
        <v>0</v>
      </c>
      <c r="CV154" s="915">
        <f t="shared" si="375"/>
        <v>0</v>
      </c>
      <c r="CW154" s="915">
        <f t="shared" si="376"/>
        <v>0</v>
      </c>
      <c r="CX154" s="915">
        <f t="shared" si="377"/>
        <v>0</v>
      </c>
      <c r="CY154" s="915">
        <f t="shared" si="542"/>
        <v>0</v>
      </c>
      <c r="CZ154" s="915">
        <f t="shared" si="543"/>
        <v>0</v>
      </c>
      <c r="DA154" s="915">
        <f t="shared" si="544"/>
        <v>0</v>
      </c>
      <c r="DB154" s="915">
        <f t="shared" si="545"/>
        <v>0</v>
      </c>
      <c r="DC154" s="915">
        <f t="shared" si="546"/>
        <v>0</v>
      </c>
      <c r="DD154" s="915">
        <f t="shared" si="547"/>
        <v>0</v>
      </c>
      <c r="DE154" s="915">
        <f t="shared" si="548"/>
        <v>0</v>
      </c>
      <c r="DF154" s="915">
        <f t="shared" si="549"/>
        <v>0</v>
      </c>
      <c r="DG154" s="915">
        <f t="shared" si="632"/>
        <v>0</v>
      </c>
      <c r="DH154" s="915">
        <f t="shared" si="633"/>
        <v>0</v>
      </c>
      <c r="DI154" s="915">
        <f t="shared" si="634"/>
        <v>0</v>
      </c>
      <c r="DJ154" s="915">
        <f t="shared" si="635"/>
        <v>0</v>
      </c>
      <c r="DK154" s="915">
        <f t="shared" si="636"/>
        <v>0</v>
      </c>
      <c r="DL154" s="915">
        <f t="shared" si="637"/>
        <v>0</v>
      </c>
      <c r="DM154" s="915">
        <f t="shared" si="638"/>
        <v>0</v>
      </c>
      <c r="DN154" s="915">
        <f t="shared" si="639"/>
        <v>0</v>
      </c>
      <c r="DO154" s="915">
        <f t="shared" si="592"/>
        <v>0</v>
      </c>
      <c r="DP154" s="915">
        <f t="shared" si="593"/>
        <v>0</v>
      </c>
      <c r="DQ154" s="915">
        <f t="shared" si="594"/>
        <v>0</v>
      </c>
      <c r="DR154" s="915">
        <f t="shared" si="595"/>
        <v>0</v>
      </c>
      <c r="DS154" s="915">
        <f t="shared" si="596"/>
        <v>0</v>
      </c>
      <c r="DT154" s="915">
        <f t="shared" si="597"/>
        <v>0</v>
      </c>
      <c r="DU154" s="915">
        <f t="shared" si="598"/>
        <v>0</v>
      </c>
      <c r="DV154" s="915">
        <f t="shared" si="599"/>
        <v>0</v>
      </c>
      <c r="DW154" s="915">
        <f t="shared" si="600"/>
        <v>0</v>
      </c>
      <c r="DX154" s="915">
        <f t="shared" si="601"/>
        <v>0</v>
      </c>
      <c r="DY154" s="915">
        <f t="shared" si="602"/>
        <v>0</v>
      </c>
      <c r="DZ154" s="915">
        <f t="shared" si="603"/>
        <v>0</v>
      </c>
      <c r="EA154" s="915">
        <f t="shared" si="604"/>
        <v>0</v>
      </c>
      <c r="EB154" s="915">
        <f t="shared" si="605"/>
        <v>0</v>
      </c>
      <c r="EC154" s="915">
        <f t="shared" si="606"/>
        <v>0</v>
      </c>
      <c r="ED154" s="915">
        <f t="shared" si="607"/>
        <v>0</v>
      </c>
      <c r="EE154" s="915">
        <f t="shared" si="470"/>
        <v>0</v>
      </c>
      <c r="EF154" s="915">
        <f t="shared" si="471"/>
        <v>0</v>
      </c>
      <c r="EG154" s="915">
        <f t="shared" si="472"/>
        <v>0</v>
      </c>
      <c r="EH154" s="915">
        <f t="shared" si="473"/>
        <v>0</v>
      </c>
      <c r="EI154" s="915">
        <f t="shared" si="474"/>
        <v>0</v>
      </c>
      <c r="EJ154" s="915">
        <f t="shared" si="475"/>
        <v>0</v>
      </c>
      <c r="EK154" s="915">
        <f t="shared" si="476"/>
        <v>0</v>
      </c>
      <c r="EL154" s="915">
        <f t="shared" si="477"/>
        <v>0</v>
      </c>
      <c r="EM154" s="915">
        <f t="shared" si="478"/>
        <v>0</v>
      </c>
      <c r="EN154" s="915">
        <f t="shared" si="479"/>
        <v>0</v>
      </c>
      <c r="EO154" s="915">
        <f t="shared" si="480"/>
        <v>0</v>
      </c>
      <c r="EP154" s="915">
        <f t="shared" si="481"/>
        <v>0</v>
      </c>
      <c r="EQ154" s="915">
        <f t="shared" si="482"/>
        <v>0</v>
      </c>
      <c r="ER154" s="915">
        <f t="shared" si="483"/>
        <v>0</v>
      </c>
      <c r="ES154" s="915">
        <f t="shared" si="484"/>
        <v>0</v>
      </c>
      <c r="ET154" s="915">
        <f t="shared" si="485"/>
        <v>0</v>
      </c>
      <c r="EU154" s="915">
        <f t="shared" si="550"/>
        <v>0</v>
      </c>
      <c r="EV154" s="915">
        <f t="shared" si="551"/>
        <v>0</v>
      </c>
      <c r="EW154" s="915">
        <f t="shared" si="552"/>
        <v>0</v>
      </c>
      <c r="EX154" s="915">
        <f t="shared" si="553"/>
        <v>0</v>
      </c>
      <c r="EY154" s="915">
        <f t="shared" si="554"/>
        <v>0</v>
      </c>
      <c r="EZ154" s="915">
        <f t="shared" si="555"/>
        <v>0</v>
      </c>
      <c r="FA154" s="915">
        <f t="shared" si="556"/>
        <v>0</v>
      </c>
      <c r="FB154" s="915">
        <f t="shared" si="557"/>
        <v>0</v>
      </c>
      <c r="FC154" s="915">
        <f t="shared" si="558"/>
        <v>0</v>
      </c>
      <c r="FD154" s="915">
        <f t="shared" si="559"/>
        <v>0</v>
      </c>
      <c r="FE154" s="915">
        <f t="shared" si="560"/>
        <v>0</v>
      </c>
      <c r="FF154" s="915">
        <f t="shared" si="561"/>
        <v>0</v>
      </c>
      <c r="FG154" s="915">
        <f t="shared" si="562"/>
        <v>0</v>
      </c>
      <c r="FH154" s="915">
        <f t="shared" si="563"/>
        <v>0</v>
      </c>
      <c r="FI154" s="915">
        <f t="shared" si="564"/>
        <v>0</v>
      </c>
      <c r="FJ154" s="915">
        <f t="shared" si="565"/>
        <v>0</v>
      </c>
      <c r="FK154" s="915">
        <f t="shared" si="566"/>
        <v>0</v>
      </c>
      <c r="FL154" s="915">
        <f t="shared" si="567"/>
        <v>0</v>
      </c>
      <c r="FM154" s="915">
        <f t="shared" si="568"/>
        <v>7.42</v>
      </c>
      <c r="FN154" s="915">
        <f t="shared" si="569"/>
        <v>0</v>
      </c>
      <c r="FO154" s="915">
        <f t="shared" si="570"/>
        <v>0</v>
      </c>
      <c r="FP154" s="915">
        <f t="shared" si="571"/>
        <v>0</v>
      </c>
      <c r="FQ154" s="915">
        <f t="shared" si="572"/>
        <v>0</v>
      </c>
      <c r="FR154" s="915">
        <f t="shared" si="573"/>
        <v>0</v>
      </c>
      <c r="FS154" s="915">
        <f t="shared" si="574"/>
        <v>0</v>
      </c>
      <c r="FT154" s="915">
        <f t="shared" si="575"/>
        <v>0</v>
      </c>
      <c r="FU154" s="915">
        <f t="shared" si="576"/>
        <v>0</v>
      </c>
      <c r="FV154" s="915">
        <f t="shared" si="577"/>
        <v>0</v>
      </c>
      <c r="FW154" s="915">
        <f t="shared" si="578"/>
        <v>0</v>
      </c>
      <c r="FX154" s="915">
        <f t="shared" si="579"/>
        <v>0</v>
      </c>
      <c r="FY154" s="915">
        <f t="shared" si="580"/>
        <v>0</v>
      </c>
      <c r="FZ154" s="915">
        <f t="shared" si="581"/>
        <v>0</v>
      </c>
    </row>
    <row r="155" spans="1:182" x14ac:dyDescent="0.2">
      <c r="A155" s="497">
        <v>148</v>
      </c>
      <c r="B155" s="1423"/>
      <c r="C155" s="1424"/>
      <c r="D155" s="138">
        <v>19</v>
      </c>
      <c r="E155" s="138" t="s">
        <v>52</v>
      </c>
      <c r="F155" s="139" t="s">
        <v>2544</v>
      </c>
      <c r="G155" s="139" t="s">
        <v>2542</v>
      </c>
      <c r="H155" s="100">
        <v>7</v>
      </c>
      <c r="I155" s="119">
        <f t="shared" si="590"/>
        <v>0.42</v>
      </c>
      <c r="J155" s="90">
        <f t="shared" si="591"/>
        <v>7.42</v>
      </c>
      <c r="K155" s="225"/>
      <c r="N155" s="951">
        <f>FN6</f>
        <v>7.42</v>
      </c>
      <c r="O155" s="915" t="str">
        <f>"Waste Haul for "&amp;TabName19</f>
        <v>Waste Haul for Phase 19</v>
      </c>
      <c r="P155" s="949" t="s">
        <v>2210</v>
      </c>
      <c r="W155" s="915">
        <f t="shared" si="486"/>
        <v>0</v>
      </c>
      <c r="X155" s="915">
        <f t="shared" si="487"/>
        <v>0</v>
      </c>
      <c r="Y155" s="915">
        <f t="shared" si="488"/>
        <v>0</v>
      </c>
      <c r="Z155" s="915">
        <f t="shared" si="505"/>
        <v>0</v>
      </c>
      <c r="AA155" s="915">
        <f t="shared" si="506"/>
        <v>0</v>
      </c>
      <c r="AB155" s="915">
        <f t="shared" si="507"/>
        <v>0</v>
      </c>
      <c r="AC155" s="915">
        <f t="shared" si="508"/>
        <v>0</v>
      </c>
      <c r="AD155" s="915">
        <f t="shared" si="509"/>
        <v>0</v>
      </c>
      <c r="AE155" s="915">
        <f t="shared" si="510"/>
        <v>0</v>
      </c>
      <c r="AF155" s="915">
        <f t="shared" si="511"/>
        <v>0</v>
      </c>
      <c r="AG155" s="915">
        <f t="shared" si="512"/>
        <v>0</v>
      </c>
      <c r="AH155" s="915">
        <f t="shared" si="513"/>
        <v>0</v>
      </c>
      <c r="AI155" s="915">
        <f t="shared" si="514"/>
        <v>0</v>
      </c>
      <c r="AJ155" s="915">
        <f t="shared" si="515"/>
        <v>0</v>
      </c>
      <c r="AK155" s="915">
        <f t="shared" si="516"/>
        <v>0</v>
      </c>
      <c r="AL155" s="915">
        <f t="shared" si="517"/>
        <v>0</v>
      </c>
      <c r="AM155" s="915">
        <f t="shared" si="518"/>
        <v>0</v>
      </c>
      <c r="AN155" s="915">
        <f t="shared" si="519"/>
        <v>0</v>
      </c>
      <c r="AO155" s="915">
        <f t="shared" si="520"/>
        <v>0</v>
      </c>
      <c r="AP155" s="915">
        <f t="shared" si="521"/>
        <v>0</v>
      </c>
      <c r="AQ155" s="915">
        <f t="shared" si="522"/>
        <v>0</v>
      </c>
      <c r="AR155" s="915">
        <f t="shared" si="523"/>
        <v>0</v>
      </c>
      <c r="AS155" s="915">
        <f t="shared" si="524"/>
        <v>0</v>
      </c>
      <c r="AT155" s="915">
        <f t="shared" si="525"/>
        <v>0</v>
      </c>
      <c r="AU155" s="915">
        <f t="shared" si="526"/>
        <v>0</v>
      </c>
      <c r="AV155" s="915">
        <f t="shared" si="527"/>
        <v>0</v>
      </c>
      <c r="AW155" s="915">
        <f t="shared" si="528"/>
        <v>0</v>
      </c>
      <c r="AX155" s="915">
        <f t="shared" si="529"/>
        <v>0</v>
      </c>
      <c r="AY155" s="915">
        <f t="shared" si="530"/>
        <v>0</v>
      </c>
      <c r="AZ155" s="915">
        <f t="shared" si="531"/>
        <v>0</v>
      </c>
      <c r="BA155" s="915">
        <f t="shared" si="532"/>
        <v>0</v>
      </c>
      <c r="BB155" s="915">
        <f t="shared" si="533"/>
        <v>0</v>
      </c>
      <c r="BC155" s="915">
        <f t="shared" si="640"/>
        <v>0</v>
      </c>
      <c r="BD155" s="915">
        <f t="shared" si="641"/>
        <v>0</v>
      </c>
      <c r="BE155" s="915">
        <f t="shared" si="642"/>
        <v>0</v>
      </c>
      <c r="BF155" s="915">
        <f t="shared" si="643"/>
        <v>0</v>
      </c>
      <c r="BG155" s="915">
        <f t="shared" si="644"/>
        <v>0</v>
      </c>
      <c r="BH155" s="915">
        <f t="shared" si="645"/>
        <v>0</v>
      </c>
      <c r="BI155" s="915">
        <f t="shared" si="646"/>
        <v>0</v>
      </c>
      <c r="BJ155" s="915">
        <f t="shared" si="647"/>
        <v>0</v>
      </c>
      <c r="BK155" s="915">
        <f t="shared" si="648"/>
        <v>0</v>
      </c>
      <c r="BL155" s="915">
        <f t="shared" si="649"/>
        <v>0</v>
      </c>
      <c r="BM155" s="915">
        <f t="shared" si="650"/>
        <v>0</v>
      </c>
      <c r="BN155" s="915">
        <f t="shared" si="651"/>
        <v>0</v>
      </c>
      <c r="BO155" s="915">
        <f t="shared" si="652"/>
        <v>0</v>
      </c>
      <c r="BP155" s="915">
        <f t="shared" si="653"/>
        <v>0</v>
      </c>
      <c r="BQ155" s="915">
        <f t="shared" si="654"/>
        <v>0</v>
      </c>
      <c r="BR155" s="915">
        <f t="shared" si="655"/>
        <v>0</v>
      </c>
      <c r="BS155" s="915">
        <f t="shared" si="608"/>
        <v>0</v>
      </c>
      <c r="BT155" s="915">
        <f t="shared" si="609"/>
        <v>0</v>
      </c>
      <c r="BU155" s="915">
        <f t="shared" si="610"/>
        <v>0</v>
      </c>
      <c r="BV155" s="915">
        <f t="shared" si="611"/>
        <v>0</v>
      </c>
      <c r="BW155" s="915">
        <f t="shared" si="612"/>
        <v>0</v>
      </c>
      <c r="BX155" s="915">
        <f t="shared" si="613"/>
        <v>0</v>
      </c>
      <c r="BY155" s="915">
        <f t="shared" si="614"/>
        <v>0</v>
      </c>
      <c r="BZ155" s="915">
        <f t="shared" si="615"/>
        <v>0</v>
      </c>
      <c r="CA155" s="915">
        <f t="shared" si="624"/>
        <v>0</v>
      </c>
      <c r="CB155" s="915">
        <f t="shared" si="625"/>
        <v>0</v>
      </c>
      <c r="CC155" s="915">
        <f t="shared" si="626"/>
        <v>0</v>
      </c>
      <c r="CD155" s="915">
        <f t="shared" si="627"/>
        <v>0</v>
      </c>
      <c r="CE155" s="915">
        <f t="shared" si="628"/>
        <v>0</v>
      </c>
      <c r="CF155" s="915">
        <f t="shared" si="629"/>
        <v>0</v>
      </c>
      <c r="CG155" s="915">
        <f t="shared" si="630"/>
        <v>0</v>
      </c>
      <c r="CH155" s="915">
        <f t="shared" si="631"/>
        <v>0</v>
      </c>
      <c r="CI155" s="915">
        <f t="shared" si="656"/>
        <v>0</v>
      </c>
      <c r="CJ155" s="915">
        <f t="shared" si="657"/>
        <v>0</v>
      </c>
      <c r="CK155" s="915">
        <f t="shared" si="658"/>
        <v>0</v>
      </c>
      <c r="CL155" s="915">
        <f t="shared" si="659"/>
        <v>0</v>
      </c>
      <c r="CM155" s="915">
        <f t="shared" si="660"/>
        <v>0</v>
      </c>
      <c r="CN155" s="915">
        <f t="shared" si="661"/>
        <v>0</v>
      </c>
      <c r="CO155" s="915">
        <f t="shared" si="662"/>
        <v>0</v>
      </c>
      <c r="CP155" s="915">
        <f t="shared" si="663"/>
        <v>0</v>
      </c>
      <c r="CQ155" s="915">
        <f t="shared" si="370"/>
        <v>0</v>
      </c>
      <c r="CR155" s="915">
        <f t="shared" si="371"/>
        <v>0</v>
      </c>
      <c r="CS155" s="915">
        <f t="shared" si="372"/>
        <v>0</v>
      </c>
      <c r="CT155" s="915">
        <f t="shared" si="373"/>
        <v>0</v>
      </c>
      <c r="CU155" s="915">
        <f t="shared" si="374"/>
        <v>0</v>
      </c>
      <c r="CV155" s="915">
        <f t="shared" si="375"/>
        <v>0</v>
      </c>
      <c r="CW155" s="915">
        <f t="shared" si="376"/>
        <v>0</v>
      </c>
      <c r="CX155" s="915">
        <f t="shared" si="377"/>
        <v>0</v>
      </c>
      <c r="CY155" s="915">
        <f t="shared" si="542"/>
        <v>0</v>
      </c>
      <c r="CZ155" s="915">
        <f t="shared" si="543"/>
        <v>0</v>
      </c>
      <c r="DA155" s="915">
        <f t="shared" si="544"/>
        <v>0</v>
      </c>
      <c r="DB155" s="915">
        <f t="shared" si="545"/>
        <v>0</v>
      </c>
      <c r="DC155" s="915">
        <f t="shared" si="546"/>
        <v>0</v>
      </c>
      <c r="DD155" s="915">
        <f t="shared" si="547"/>
        <v>0</v>
      </c>
      <c r="DE155" s="915">
        <f t="shared" si="548"/>
        <v>0</v>
      </c>
      <c r="DF155" s="915">
        <f t="shared" si="549"/>
        <v>0</v>
      </c>
      <c r="DG155" s="915">
        <f t="shared" si="632"/>
        <v>0</v>
      </c>
      <c r="DH155" s="915">
        <f t="shared" si="633"/>
        <v>0</v>
      </c>
      <c r="DI155" s="915">
        <f t="shared" si="634"/>
        <v>0</v>
      </c>
      <c r="DJ155" s="915">
        <f t="shared" si="635"/>
        <v>0</v>
      </c>
      <c r="DK155" s="915">
        <f t="shared" si="636"/>
        <v>0</v>
      </c>
      <c r="DL155" s="915">
        <f t="shared" si="637"/>
        <v>0</v>
      </c>
      <c r="DM155" s="915">
        <f t="shared" si="638"/>
        <v>0</v>
      </c>
      <c r="DN155" s="915">
        <f t="shared" si="639"/>
        <v>0</v>
      </c>
      <c r="DO155" s="915">
        <f t="shared" si="592"/>
        <v>0</v>
      </c>
      <c r="DP155" s="915">
        <f t="shared" si="593"/>
        <v>0</v>
      </c>
      <c r="DQ155" s="915">
        <f t="shared" si="594"/>
        <v>0</v>
      </c>
      <c r="DR155" s="915">
        <f t="shared" si="595"/>
        <v>0</v>
      </c>
      <c r="DS155" s="915">
        <f t="shared" si="596"/>
        <v>0</v>
      </c>
      <c r="DT155" s="915">
        <f t="shared" si="597"/>
        <v>0</v>
      </c>
      <c r="DU155" s="915">
        <f t="shared" si="598"/>
        <v>0</v>
      </c>
      <c r="DV155" s="915">
        <f t="shared" si="599"/>
        <v>0</v>
      </c>
      <c r="DW155" s="915">
        <f t="shared" si="600"/>
        <v>0</v>
      </c>
      <c r="DX155" s="915">
        <f t="shared" si="601"/>
        <v>0</v>
      </c>
      <c r="DY155" s="915">
        <f t="shared" si="602"/>
        <v>0</v>
      </c>
      <c r="DZ155" s="915">
        <f t="shared" si="603"/>
        <v>0</v>
      </c>
      <c r="EA155" s="915">
        <f t="shared" si="604"/>
        <v>0</v>
      </c>
      <c r="EB155" s="915">
        <f t="shared" si="605"/>
        <v>0</v>
      </c>
      <c r="EC155" s="915">
        <f t="shared" si="606"/>
        <v>0</v>
      </c>
      <c r="ED155" s="915">
        <f t="shared" si="607"/>
        <v>0</v>
      </c>
      <c r="EE155" s="915">
        <f t="shared" si="470"/>
        <v>0</v>
      </c>
      <c r="EF155" s="915">
        <f t="shared" si="471"/>
        <v>0</v>
      </c>
      <c r="EG155" s="915">
        <f t="shared" si="472"/>
        <v>0</v>
      </c>
      <c r="EH155" s="915">
        <f t="shared" si="473"/>
        <v>0</v>
      </c>
      <c r="EI155" s="915">
        <f t="shared" si="474"/>
        <v>0</v>
      </c>
      <c r="EJ155" s="915">
        <f t="shared" si="475"/>
        <v>0</v>
      </c>
      <c r="EK155" s="915">
        <f t="shared" si="476"/>
        <v>0</v>
      </c>
      <c r="EL155" s="915">
        <f t="shared" si="477"/>
        <v>0</v>
      </c>
      <c r="EM155" s="915">
        <f t="shared" si="478"/>
        <v>0</v>
      </c>
      <c r="EN155" s="915">
        <f t="shared" si="479"/>
        <v>0</v>
      </c>
      <c r="EO155" s="915">
        <f t="shared" si="480"/>
        <v>0</v>
      </c>
      <c r="EP155" s="915">
        <f t="shared" si="481"/>
        <v>0</v>
      </c>
      <c r="EQ155" s="915">
        <f t="shared" si="482"/>
        <v>0</v>
      </c>
      <c r="ER155" s="915">
        <f t="shared" si="483"/>
        <v>0</v>
      </c>
      <c r="ES155" s="915">
        <f t="shared" si="484"/>
        <v>0</v>
      </c>
      <c r="ET155" s="915">
        <f t="shared" si="485"/>
        <v>0</v>
      </c>
      <c r="EU155" s="915">
        <f t="shared" si="550"/>
        <v>0</v>
      </c>
      <c r="EV155" s="915">
        <f t="shared" si="551"/>
        <v>0</v>
      </c>
      <c r="EW155" s="915">
        <f t="shared" si="552"/>
        <v>0</v>
      </c>
      <c r="EX155" s="915">
        <f t="shared" si="553"/>
        <v>0</v>
      </c>
      <c r="EY155" s="915">
        <f t="shared" si="554"/>
        <v>0</v>
      </c>
      <c r="EZ155" s="915">
        <f t="shared" si="555"/>
        <v>0</v>
      </c>
      <c r="FA155" s="915">
        <f t="shared" si="556"/>
        <v>0</v>
      </c>
      <c r="FB155" s="915">
        <f t="shared" si="557"/>
        <v>0</v>
      </c>
      <c r="FC155" s="915">
        <f t="shared" si="558"/>
        <v>0</v>
      </c>
      <c r="FD155" s="915">
        <f t="shared" si="559"/>
        <v>0</v>
      </c>
      <c r="FE155" s="915">
        <f t="shared" si="560"/>
        <v>0</v>
      </c>
      <c r="FF155" s="915">
        <f t="shared" si="561"/>
        <v>0</v>
      </c>
      <c r="FG155" s="915">
        <f t="shared" si="562"/>
        <v>0</v>
      </c>
      <c r="FH155" s="915">
        <f t="shared" si="563"/>
        <v>0</v>
      </c>
      <c r="FI155" s="915">
        <f t="shared" si="564"/>
        <v>0</v>
      </c>
      <c r="FJ155" s="915">
        <f t="shared" si="565"/>
        <v>0</v>
      </c>
      <c r="FK155" s="915">
        <f t="shared" si="566"/>
        <v>0</v>
      </c>
      <c r="FL155" s="915">
        <f t="shared" si="567"/>
        <v>0</v>
      </c>
      <c r="FM155" s="915">
        <f t="shared" si="568"/>
        <v>0</v>
      </c>
      <c r="FN155" s="915">
        <f t="shared" si="569"/>
        <v>7.42</v>
      </c>
      <c r="FO155" s="915">
        <f t="shared" si="570"/>
        <v>0</v>
      </c>
      <c r="FP155" s="915">
        <f t="shared" si="571"/>
        <v>0</v>
      </c>
      <c r="FQ155" s="915">
        <f t="shared" si="572"/>
        <v>0</v>
      </c>
      <c r="FR155" s="915">
        <f t="shared" si="573"/>
        <v>0</v>
      </c>
      <c r="FS155" s="915">
        <f t="shared" si="574"/>
        <v>0</v>
      </c>
      <c r="FT155" s="915">
        <f t="shared" si="575"/>
        <v>0</v>
      </c>
      <c r="FU155" s="915">
        <f t="shared" si="576"/>
        <v>0</v>
      </c>
      <c r="FV155" s="915">
        <f t="shared" si="577"/>
        <v>0</v>
      </c>
      <c r="FW155" s="915">
        <f t="shared" si="578"/>
        <v>0</v>
      </c>
      <c r="FX155" s="915">
        <f t="shared" si="579"/>
        <v>0</v>
      </c>
      <c r="FY155" s="915">
        <f t="shared" si="580"/>
        <v>0</v>
      </c>
      <c r="FZ155" s="915">
        <f t="shared" si="581"/>
        <v>0</v>
      </c>
    </row>
    <row r="156" spans="1:182" x14ac:dyDescent="0.2">
      <c r="A156" s="496">
        <v>149</v>
      </c>
      <c r="B156" s="1419"/>
      <c r="C156" s="1433"/>
      <c r="D156" s="264">
        <v>19</v>
      </c>
      <c r="E156" s="264" t="s">
        <v>30</v>
      </c>
      <c r="F156" s="270" t="s">
        <v>2544</v>
      </c>
      <c r="G156" s="270" t="s">
        <v>2542</v>
      </c>
      <c r="H156" s="272">
        <v>7</v>
      </c>
      <c r="I156" s="268">
        <f t="shared" si="590"/>
        <v>0.42</v>
      </c>
      <c r="J156" s="269">
        <f t="shared" si="591"/>
        <v>7.42</v>
      </c>
      <c r="K156" s="225"/>
      <c r="N156" s="951">
        <f>FO6</f>
        <v>7.42</v>
      </c>
      <c r="O156" s="879" t="str">
        <f>"Surveying/Inspection for " &amp; TabName19</f>
        <v>Surveying/Inspection for Phase 19</v>
      </c>
      <c r="P156" s="950" t="s">
        <v>2209</v>
      </c>
      <c r="W156" s="915">
        <f t="shared" si="486"/>
        <v>0</v>
      </c>
      <c r="X156" s="915">
        <f t="shared" si="487"/>
        <v>0</v>
      </c>
      <c r="Y156" s="915">
        <f t="shared" si="488"/>
        <v>0</v>
      </c>
      <c r="Z156" s="915">
        <f t="shared" si="505"/>
        <v>0</v>
      </c>
      <c r="AA156" s="915">
        <f t="shared" si="506"/>
        <v>0</v>
      </c>
      <c r="AB156" s="915">
        <f t="shared" si="507"/>
        <v>0</v>
      </c>
      <c r="AC156" s="915">
        <f t="shared" si="508"/>
        <v>0</v>
      </c>
      <c r="AD156" s="915">
        <f t="shared" si="509"/>
        <v>0</v>
      </c>
      <c r="AE156" s="915">
        <f t="shared" si="510"/>
        <v>0</v>
      </c>
      <c r="AF156" s="915">
        <f t="shared" si="511"/>
        <v>0</v>
      </c>
      <c r="AG156" s="915">
        <f t="shared" si="512"/>
        <v>0</v>
      </c>
      <c r="AH156" s="915">
        <f t="shared" si="513"/>
        <v>0</v>
      </c>
      <c r="AI156" s="915">
        <f t="shared" si="514"/>
        <v>0</v>
      </c>
      <c r="AJ156" s="915">
        <f t="shared" si="515"/>
        <v>0</v>
      </c>
      <c r="AK156" s="915">
        <f t="shared" si="516"/>
        <v>0</v>
      </c>
      <c r="AL156" s="915">
        <f t="shared" si="517"/>
        <v>0</v>
      </c>
      <c r="AM156" s="915">
        <f t="shared" si="518"/>
        <v>0</v>
      </c>
      <c r="AN156" s="915">
        <f t="shared" si="519"/>
        <v>0</v>
      </c>
      <c r="AO156" s="915">
        <f t="shared" si="520"/>
        <v>0</v>
      </c>
      <c r="AP156" s="915">
        <f t="shared" si="521"/>
        <v>0</v>
      </c>
      <c r="AQ156" s="915">
        <f t="shared" si="522"/>
        <v>0</v>
      </c>
      <c r="AR156" s="915">
        <f t="shared" si="523"/>
        <v>0</v>
      </c>
      <c r="AS156" s="915">
        <f t="shared" si="524"/>
        <v>0</v>
      </c>
      <c r="AT156" s="915">
        <f t="shared" si="525"/>
        <v>0</v>
      </c>
      <c r="AU156" s="915">
        <f t="shared" si="526"/>
        <v>0</v>
      </c>
      <c r="AV156" s="915">
        <f t="shared" si="527"/>
        <v>0</v>
      </c>
      <c r="AW156" s="915">
        <f t="shared" si="528"/>
        <v>0</v>
      </c>
      <c r="AX156" s="915">
        <f t="shared" si="529"/>
        <v>0</v>
      </c>
      <c r="AY156" s="915">
        <f t="shared" si="530"/>
        <v>0</v>
      </c>
      <c r="AZ156" s="915">
        <f t="shared" si="531"/>
        <v>0</v>
      </c>
      <c r="BA156" s="915">
        <f t="shared" si="532"/>
        <v>0</v>
      </c>
      <c r="BB156" s="915">
        <f t="shared" si="533"/>
        <v>0</v>
      </c>
      <c r="BC156" s="915">
        <f t="shared" si="640"/>
        <v>0</v>
      </c>
      <c r="BD156" s="915">
        <f t="shared" si="641"/>
        <v>0</v>
      </c>
      <c r="BE156" s="915">
        <f t="shared" si="642"/>
        <v>0</v>
      </c>
      <c r="BF156" s="915">
        <f t="shared" si="643"/>
        <v>0</v>
      </c>
      <c r="BG156" s="915">
        <f t="shared" si="644"/>
        <v>0</v>
      </c>
      <c r="BH156" s="915">
        <f t="shared" si="645"/>
        <v>0</v>
      </c>
      <c r="BI156" s="915">
        <f t="shared" si="646"/>
        <v>0</v>
      </c>
      <c r="BJ156" s="915">
        <f t="shared" si="647"/>
        <v>0</v>
      </c>
      <c r="BK156" s="915">
        <f t="shared" si="648"/>
        <v>0</v>
      </c>
      <c r="BL156" s="915">
        <f t="shared" si="649"/>
        <v>0</v>
      </c>
      <c r="BM156" s="915">
        <f t="shared" si="650"/>
        <v>0</v>
      </c>
      <c r="BN156" s="915">
        <f t="shared" si="651"/>
        <v>0</v>
      </c>
      <c r="BO156" s="915">
        <f t="shared" si="652"/>
        <v>0</v>
      </c>
      <c r="BP156" s="915">
        <f t="shared" si="653"/>
        <v>0</v>
      </c>
      <c r="BQ156" s="915">
        <f t="shared" si="654"/>
        <v>0</v>
      </c>
      <c r="BR156" s="915">
        <f t="shared" si="655"/>
        <v>0</v>
      </c>
      <c r="BS156" s="915">
        <f t="shared" si="608"/>
        <v>0</v>
      </c>
      <c r="BT156" s="915">
        <f t="shared" si="609"/>
        <v>0</v>
      </c>
      <c r="BU156" s="915">
        <f t="shared" si="610"/>
        <v>0</v>
      </c>
      <c r="BV156" s="915">
        <f t="shared" si="611"/>
        <v>0</v>
      </c>
      <c r="BW156" s="915">
        <f t="shared" si="612"/>
        <v>0</v>
      </c>
      <c r="BX156" s="915">
        <f t="shared" si="613"/>
        <v>0</v>
      </c>
      <c r="BY156" s="915">
        <f t="shared" si="614"/>
        <v>0</v>
      </c>
      <c r="BZ156" s="915">
        <f t="shared" si="615"/>
        <v>0</v>
      </c>
      <c r="CA156" s="915">
        <f t="shared" si="624"/>
        <v>0</v>
      </c>
      <c r="CB156" s="915">
        <f t="shared" si="625"/>
        <v>0</v>
      </c>
      <c r="CC156" s="915">
        <f t="shared" si="626"/>
        <v>0</v>
      </c>
      <c r="CD156" s="915">
        <f t="shared" si="627"/>
        <v>0</v>
      </c>
      <c r="CE156" s="915">
        <f t="shared" si="628"/>
        <v>0</v>
      </c>
      <c r="CF156" s="915">
        <f t="shared" si="629"/>
        <v>0</v>
      </c>
      <c r="CG156" s="915">
        <f t="shared" si="630"/>
        <v>0</v>
      </c>
      <c r="CH156" s="915">
        <f t="shared" si="631"/>
        <v>0</v>
      </c>
      <c r="CI156" s="915">
        <f t="shared" si="656"/>
        <v>0</v>
      </c>
      <c r="CJ156" s="915">
        <f t="shared" si="657"/>
        <v>0</v>
      </c>
      <c r="CK156" s="915">
        <f t="shared" si="658"/>
        <v>0</v>
      </c>
      <c r="CL156" s="915">
        <f t="shared" si="659"/>
        <v>0</v>
      </c>
      <c r="CM156" s="915">
        <f t="shared" si="660"/>
        <v>0</v>
      </c>
      <c r="CN156" s="915">
        <f t="shared" si="661"/>
        <v>0</v>
      </c>
      <c r="CO156" s="915">
        <f t="shared" si="662"/>
        <v>0</v>
      </c>
      <c r="CP156" s="915">
        <f t="shared" si="663"/>
        <v>0</v>
      </c>
      <c r="CQ156" s="915">
        <f t="shared" si="370"/>
        <v>0</v>
      </c>
      <c r="CR156" s="915">
        <f t="shared" si="371"/>
        <v>0</v>
      </c>
      <c r="CS156" s="915">
        <f t="shared" si="372"/>
        <v>0</v>
      </c>
      <c r="CT156" s="915">
        <f t="shared" si="373"/>
        <v>0</v>
      </c>
      <c r="CU156" s="915">
        <f t="shared" si="374"/>
        <v>0</v>
      </c>
      <c r="CV156" s="915">
        <f t="shared" si="375"/>
        <v>0</v>
      </c>
      <c r="CW156" s="915">
        <f t="shared" si="376"/>
        <v>0</v>
      </c>
      <c r="CX156" s="915">
        <f t="shared" si="377"/>
        <v>0</v>
      </c>
      <c r="CY156" s="915">
        <f t="shared" si="542"/>
        <v>0</v>
      </c>
      <c r="CZ156" s="915">
        <f t="shared" si="543"/>
        <v>0</v>
      </c>
      <c r="DA156" s="915">
        <f t="shared" si="544"/>
        <v>0</v>
      </c>
      <c r="DB156" s="915">
        <f t="shared" si="545"/>
        <v>0</v>
      </c>
      <c r="DC156" s="915">
        <f t="shared" si="546"/>
        <v>0</v>
      </c>
      <c r="DD156" s="915">
        <f t="shared" si="547"/>
        <v>0</v>
      </c>
      <c r="DE156" s="915">
        <f t="shared" si="548"/>
        <v>0</v>
      </c>
      <c r="DF156" s="915">
        <f t="shared" si="549"/>
        <v>0</v>
      </c>
      <c r="DG156" s="915">
        <f t="shared" si="632"/>
        <v>0</v>
      </c>
      <c r="DH156" s="915">
        <f t="shared" si="633"/>
        <v>0</v>
      </c>
      <c r="DI156" s="915">
        <f t="shared" si="634"/>
        <v>0</v>
      </c>
      <c r="DJ156" s="915">
        <f t="shared" si="635"/>
        <v>0</v>
      </c>
      <c r="DK156" s="915">
        <f t="shared" si="636"/>
        <v>0</v>
      </c>
      <c r="DL156" s="915">
        <f t="shared" si="637"/>
        <v>0</v>
      </c>
      <c r="DM156" s="915">
        <f t="shared" si="638"/>
        <v>0</v>
      </c>
      <c r="DN156" s="915">
        <f t="shared" si="639"/>
        <v>0</v>
      </c>
      <c r="DO156" s="915">
        <f t="shared" si="592"/>
        <v>0</v>
      </c>
      <c r="DP156" s="915">
        <f t="shared" si="593"/>
        <v>0</v>
      </c>
      <c r="DQ156" s="915">
        <f t="shared" si="594"/>
        <v>0</v>
      </c>
      <c r="DR156" s="915">
        <f t="shared" si="595"/>
        <v>0</v>
      </c>
      <c r="DS156" s="915">
        <f t="shared" si="596"/>
        <v>0</v>
      </c>
      <c r="DT156" s="915">
        <f t="shared" si="597"/>
        <v>0</v>
      </c>
      <c r="DU156" s="915">
        <f t="shared" si="598"/>
        <v>0</v>
      </c>
      <c r="DV156" s="915">
        <f t="shared" si="599"/>
        <v>0</v>
      </c>
      <c r="DW156" s="915">
        <f t="shared" si="600"/>
        <v>0</v>
      </c>
      <c r="DX156" s="915">
        <f t="shared" si="601"/>
        <v>0</v>
      </c>
      <c r="DY156" s="915">
        <f t="shared" si="602"/>
        <v>0</v>
      </c>
      <c r="DZ156" s="915">
        <f t="shared" si="603"/>
        <v>0</v>
      </c>
      <c r="EA156" s="915">
        <f t="shared" si="604"/>
        <v>0</v>
      </c>
      <c r="EB156" s="915">
        <f t="shared" si="605"/>
        <v>0</v>
      </c>
      <c r="EC156" s="915">
        <f t="shared" si="606"/>
        <v>0</v>
      </c>
      <c r="ED156" s="915">
        <f t="shared" si="607"/>
        <v>0</v>
      </c>
      <c r="EE156" s="915">
        <f t="shared" si="470"/>
        <v>0</v>
      </c>
      <c r="EF156" s="915">
        <f t="shared" si="471"/>
        <v>0</v>
      </c>
      <c r="EG156" s="915">
        <f t="shared" si="472"/>
        <v>0</v>
      </c>
      <c r="EH156" s="915">
        <f t="shared" si="473"/>
        <v>0</v>
      </c>
      <c r="EI156" s="915">
        <f t="shared" si="474"/>
        <v>0</v>
      </c>
      <c r="EJ156" s="915">
        <f t="shared" si="475"/>
        <v>0</v>
      </c>
      <c r="EK156" s="915">
        <f t="shared" si="476"/>
        <v>0</v>
      </c>
      <c r="EL156" s="915">
        <f t="shared" si="477"/>
        <v>0</v>
      </c>
      <c r="EM156" s="915">
        <f t="shared" si="478"/>
        <v>0</v>
      </c>
      <c r="EN156" s="915">
        <f t="shared" si="479"/>
        <v>0</v>
      </c>
      <c r="EO156" s="915">
        <f t="shared" si="480"/>
        <v>0</v>
      </c>
      <c r="EP156" s="915">
        <f t="shared" si="481"/>
        <v>0</v>
      </c>
      <c r="EQ156" s="915">
        <f t="shared" si="482"/>
        <v>0</v>
      </c>
      <c r="ER156" s="915">
        <f t="shared" si="483"/>
        <v>0</v>
      </c>
      <c r="ES156" s="915">
        <f t="shared" si="484"/>
        <v>0</v>
      </c>
      <c r="ET156" s="915">
        <f t="shared" si="485"/>
        <v>0</v>
      </c>
      <c r="EU156" s="915">
        <f t="shared" si="550"/>
        <v>0</v>
      </c>
      <c r="EV156" s="915">
        <f t="shared" si="551"/>
        <v>0</v>
      </c>
      <c r="EW156" s="915">
        <f t="shared" si="552"/>
        <v>0</v>
      </c>
      <c r="EX156" s="915">
        <f t="shared" si="553"/>
        <v>0</v>
      </c>
      <c r="EY156" s="915">
        <f t="shared" si="554"/>
        <v>0</v>
      </c>
      <c r="EZ156" s="915">
        <f t="shared" si="555"/>
        <v>0</v>
      </c>
      <c r="FA156" s="915">
        <f t="shared" si="556"/>
        <v>0</v>
      </c>
      <c r="FB156" s="915">
        <f t="shared" si="557"/>
        <v>0</v>
      </c>
      <c r="FC156" s="915">
        <f t="shared" si="558"/>
        <v>0</v>
      </c>
      <c r="FD156" s="915">
        <f t="shared" si="559"/>
        <v>0</v>
      </c>
      <c r="FE156" s="915">
        <f t="shared" si="560"/>
        <v>0</v>
      </c>
      <c r="FF156" s="915">
        <f t="shared" si="561"/>
        <v>0</v>
      </c>
      <c r="FG156" s="915">
        <f t="shared" si="562"/>
        <v>0</v>
      </c>
      <c r="FH156" s="915">
        <f t="shared" si="563"/>
        <v>0</v>
      </c>
      <c r="FI156" s="915">
        <f t="shared" si="564"/>
        <v>0</v>
      </c>
      <c r="FJ156" s="915">
        <f t="shared" si="565"/>
        <v>0</v>
      </c>
      <c r="FK156" s="915">
        <f t="shared" si="566"/>
        <v>0</v>
      </c>
      <c r="FL156" s="915">
        <f t="shared" si="567"/>
        <v>0</v>
      </c>
      <c r="FM156" s="915">
        <f t="shared" si="568"/>
        <v>0</v>
      </c>
      <c r="FN156" s="915">
        <f t="shared" si="569"/>
        <v>0</v>
      </c>
      <c r="FO156" s="915">
        <f t="shared" si="570"/>
        <v>7.42</v>
      </c>
      <c r="FP156" s="915">
        <f t="shared" si="571"/>
        <v>0</v>
      </c>
      <c r="FQ156" s="915">
        <f t="shared" si="572"/>
        <v>0</v>
      </c>
      <c r="FR156" s="915">
        <f t="shared" si="573"/>
        <v>0</v>
      </c>
      <c r="FS156" s="915">
        <f t="shared" si="574"/>
        <v>0</v>
      </c>
      <c r="FT156" s="915">
        <f t="shared" si="575"/>
        <v>0</v>
      </c>
      <c r="FU156" s="915">
        <f t="shared" si="576"/>
        <v>0</v>
      </c>
      <c r="FV156" s="915">
        <f t="shared" si="577"/>
        <v>0</v>
      </c>
      <c r="FW156" s="915">
        <f t="shared" si="578"/>
        <v>0</v>
      </c>
      <c r="FX156" s="915">
        <f t="shared" si="579"/>
        <v>0</v>
      </c>
      <c r="FY156" s="915">
        <f t="shared" si="580"/>
        <v>0</v>
      </c>
      <c r="FZ156" s="915">
        <f t="shared" si="581"/>
        <v>0</v>
      </c>
    </row>
    <row r="157" spans="1:182" x14ac:dyDescent="0.2">
      <c r="A157" s="497">
        <v>150</v>
      </c>
      <c r="B157" s="1423"/>
      <c r="C157" s="1424"/>
      <c r="D157" s="138">
        <v>19</v>
      </c>
      <c r="E157" s="138" t="s">
        <v>170</v>
      </c>
      <c r="F157" s="139" t="s">
        <v>2544</v>
      </c>
      <c r="G157" s="139" t="s">
        <v>2542</v>
      </c>
      <c r="H157" s="100">
        <v>7</v>
      </c>
      <c r="I157" s="119">
        <f t="shared" si="590"/>
        <v>0.42</v>
      </c>
      <c r="J157" s="90">
        <f t="shared" si="591"/>
        <v>7.42</v>
      </c>
      <c r="K157" s="225"/>
      <c r="N157" s="951">
        <f>FP6</f>
        <v>7.42</v>
      </c>
      <c r="O157" s="879" t="str">
        <f>"Other subcontractor for " &amp; TabName19</f>
        <v>Other subcontractor for Phase 19</v>
      </c>
      <c r="P157" s="949" t="s">
        <v>2208</v>
      </c>
      <c r="W157" s="915">
        <f t="shared" si="486"/>
        <v>0</v>
      </c>
      <c r="X157" s="915">
        <f t="shared" si="487"/>
        <v>0</v>
      </c>
      <c r="Y157" s="915">
        <f t="shared" si="488"/>
        <v>0</v>
      </c>
      <c r="Z157" s="915">
        <f t="shared" si="505"/>
        <v>0</v>
      </c>
      <c r="AA157" s="915">
        <f t="shared" si="506"/>
        <v>0</v>
      </c>
      <c r="AB157" s="915">
        <f t="shared" si="507"/>
        <v>0</v>
      </c>
      <c r="AC157" s="915">
        <f t="shared" si="508"/>
        <v>0</v>
      </c>
      <c r="AD157" s="915">
        <f t="shared" si="509"/>
        <v>0</v>
      </c>
      <c r="AE157" s="915">
        <f t="shared" si="510"/>
        <v>0</v>
      </c>
      <c r="AF157" s="915">
        <f t="shared" si="511"/>
        <v>0</v>
      </c>
      <c r="AG157" s="915">
        <f t="shared" si="512"/>
        <v>0</v>
      </c>
      <c r="AH157" s="915">
        <f t="shared" si="513"/>
        <v>0</v>
      </c>
      <c r="AI157" s="915">
        <f t="shared" si="514"/>
        <v>0</v>
      </c>
      <c r="AJ157" s="915">
        <f t="shared" si="515"/>
        <v>0</v>
      </c>
      <c r="AK157" s="915">
        <f t="shared" si="516"/>
        <v>0</v>
      </c>
      <c r="AL157" s="915">
        <f t="shared" si="517"/>
        <v>0</v>
      </c>
      <c r="AM157" s="915">
        <f t="shared" si="518"/>
        <v>0</v>
      </c>
      <c r="AN157" s="915">
        <f t="shared" si="519"/>
        <v>0</v>
      </c>
      <c r="AO157" s="915">
        <f t="shared" si="520"/>
        <v>0</v>
      </c>
      <c r="AP157" s="915">
        <f t="shared" si="521"/>
        <v>0</v>
      </c>
      <c r="AQ157" s="915">
        <f t="shared" si="522"/>
        <v>0</v>
      </c>
      <c r="AR157" s="915">
        <f t="shared" si="523"/>
        <v>0</v>
      </c>
      <c r="AS157" s="915">
        <f t="shared" si="524"/>
        <v>0</v>
      </c>
      <c r="AT157" s="915">
        <f t="shared" si="525"/>
        <v>0</v>
      </c>
      <c r="AU157" s="915">
        <f t="shared" si="526"/>
        <v>0</v>
      </c>
      <c r="AV157" s="915">
        <f t="shared" si="527"/>
        <v>0</v>
      </c>
      <c r="AW157" s="915">
        <f t="shared" si="528"/>
        <v>0</v>
      </c>
      <c r="AX157" s="915">
        <f t="shared" si="529"/>
        <v>0</v>
      </c>
      <c r="AY157" s="915">
        <f t="shared" si="530"/>
        <v>0</v>
      </c>
      <c r="AZ157" s="915">
        <f t="shared" si="531"/>
        <v>0</v>
      </c>
      <c r="BA157" s="915">
        <f t="shared" si="532"/>
        <v>0</v>
      </c>
      <c r="BB157" s="915">
        <f t="shared" si="533"/>
        <v>0</v>
      </c>
      <c r="BC157" s="915">
        <f t="shared" si="640"/>
        <v>0</v>
      </c>
      <c r="BD157" s="915">
        <f t="shared" si="641"/>
        <v>0</v>
      </c>
      <c r="BE157" s="915">
        <f t="shared" si="642"/>
        <v>0</v>
      </c>
      <c r="BF157" s="915">
        <f t="shared" si="643"/>
        <v>0</v>
      </c>
      <c r="BG157" s="915">
        <f t="shared" si="644"/>
        <v>0</v>
      </c>
      <c r="BH157" s="915">
        <f t="shared" si="645"/>
        <v>0</v>
      </c>
      <c r="BI157" s="915">
        <f t="shared" si="646"/>
        <v>0</v>
      </c>
      <c r="BJ157" s="915">
        <f t="shared" si="647"/>
        <v>0</v>
      </c>
      <c r="BK157" s="915">
        <f t="shared" si="648"/>
        <v>0</v>
      </c>
      <c r="BL157" s="915">
        <f t="shared" si="649"/>
        <v>0</v>
      </c>
      <c r="BM157" s="915">
        <f t="shared" si="650"/>
        <v>0</v>
      </c>
      <c r="BN157" s="915">
        <f t="shared" si="651"/>
        <v>0</v>
      </c>
      <c r="BO157" s="915">
        <f t="shared" si="652"/>
        <v>0</v>
      </c>
      <c r="BP157" s="915">
        <f t="shared" si="653"/>
        <v>0</v>
      </c>
      <c r="BQ157" s="915">
        <f t="shared" si="654"/>
        <v>0</v>
      </c>
      <c r="BR157" s="915">
        <f t="shared" si="655"/>
        <v>0</v>
      </c>
      <c r="BS157" s="915">
        <f t="shared" si="608"/>
        <v>0</v>
      </c>
      <c r="BT157" s="915">
        <f t="shared" si="609"/>
        <v>0</v>
      </c>
      <c r="BU157" s="915">
        <f t="shared" si="610"/>
        <v>0</v>
      </c>
      <c r="BV157" s="915">
        <f t="shared" si="611"/>
        <v>0</v>
      </c>
      <c r="BW157" s="915">
        <f t="shared" si="612"/>
        <v>0</v>
      </c>
      <c r="BX157" s="915">
        <f t="shared" si="613"/>
        <v>0</v>
      </c>
      <c r="BY157" s="915">
        <f t="shared" si="614"/>
        <v>0</v>
      </c>
      <c r="BZ157" s="915">
        <f t="shared" si="615"/>
        <v>0</v>
      </c>
      <c r="CA157" s="915">
        <f t="shared" si="624"/>
        <v>0</v>
      </c>
      <c r="CB157" s="915">
        <f t="shared" si="625"/>
        <v>0</v>
      </c>
      <c r="CC157" s="915">
        <f t="shared" si="626"/>
        <v>0</v>
      </c>
      <c r="CD157" s="915">
        <f t="shared" si="627"/>
        <v>0</v>
      </c>
      <c r="CE157" s="915">
        <f t="shared" si="628"/>
        <v>0</v>
      </c>
      <c r="CF157" s="915">
        <f t="shared" si="629"/>
        <v>0</v>
      </c>
      <c r="CG157" s="915">
        <f t="shared" si="630"/>
        <v>0</v>
      </c>
      <c r="CH157" s="915">
        <f t="shared" si="631"/>
        <v>0</v>
      </c>
      <c r="CI157" s="915">
        <f t="shared" si="656"/>
        <v>0</v>
      </c>
      <c r="CJ157" s="915">
        <f t="shared" si="657"/>
        <v>0</v>
      </c>
      <c r="CK157" s="915">
        <f t="shared" si="658"/>
        <v>0</v>
      </c>
      <c r="CL157" s="915">
        <f t="shared" si="659"/>
        <v>0</v>
      </c>
      <c r="CM157" s="915">
        <f t="shared" si="660"/>
        <v>0</v>
      </c>
      <c r="CN157" s="915">
        <f t="shared" si="661"/>
        <v>0</v>
      </c>
      <c r="CO157" s="915">
        <f t="shared" si="662"/>
        <v>0</v>
      </c>
      <c r="CP157" s="915">
        <f t="shared" si="663"/>
        <v>0</v>
      </c>
      <c r="CQ157" s="915">
        <f t="shared" si="370"/>
        <v>0</v>
      </c>
      <c r="CR157" s="915">
        <f t="shared" si="371"/>
        <v>0</v>
      </c>
      <c r="CS157" s="915">
        <f t="shared" si="372"/>
        <v>0</v>
      </c>
      <c r="CT157" s="915">
        <f t="shared" si="373"/>
        <v>0</v>
      </c>
      <c r="CU157" s="915">
        <f t="shared" si="374"/>
        <v>0</v>
      </c>
      <c r="CV157" s="915">
        <f t="shared" si="375"/>
        <v>0</v>
      </c>
      <c r="CW157" s="915">
        <f t="shared" si="376"/>
        <v>0</v>
      </c>
      <c r="CX157" s="915">
        <f t="shared" si="377"/>
        <v>0</v>
      </c>
      <c r="CY157" s="915">
        <f t="shared" si="542"/>
        <v>0</v>
      </c>
      <c r="CZ157" s="915">
        <f t="shared" si="543"/>
        <v>0</v>
      </c>
      <c r="DA157" s="915">
        <f t="shared" si="544"/>
        <v>0</v>
      </c>
      <c r="DB157" s="915">
        <f t="shared" si="545"/>
        <v>0</v>
      </c>
      <c r="DC157" s="915">
        <f t="shared" si="546"/>
        <v>0</v>
      </c>
      <c r="DD157" s="915">
        <f t="shared" si="547"/>
        <v>0</v>
      </c>
      <c r="DE157" s="915">
        <f t="shared" si="548"/>
        <v>0</v>
      </c>
      <c r="DF157" s="915">
        <f t="shared" si="549"/>
        <v>0</v>
      </c>
      <c r="DG157" s="915">
        <f t="shared" si="632"/>
        <v>0</v>
      </c>
      <c r="DH157" s="915">
        <f t="shared" si="633"/>
        <v>0</v>
      </c>
      <c r="DI157" s="915">
        <f t="shared" si="634"/>
        <v>0</v>
      </c>
      <c r="DJ157" s="915">
        <f t="shared" si="635"/>
        <v>0</v>
      </c>
      <c r="DK157" s="915">
        <f t="shared" si="636"/>
        <v>0</v>
      </c>
      <c r="DL157" s="915">
        <f t="shared" si="637"/>
        <v>0</v>
      </c>
      <c r="DM157" s="915">
        <f t="shared" si="638"/>
        <v>0</v>
      </c>
      <c r="DN157" s="915">
        <f t="shared" si="639"/>
        <v>0</v>
      </c>
      <c r="DO157" s="915">
        <f t="shared" si="592"/>
        <v>0</v>
      </c>
      <c r="DP157" s="915">
        <f t="shared" si="593"/>
        <v>0</v>
      </c>
      <c r="DQ157" s="915">
        <f t="shared" si="594"/>
        <v>0</v>
      </c>
      <c r="DR157" s="915">
        <f t="shared" si="595"/>
        <v>0</v>
      </c>
      <c r="DS157" s="915">
        <f t="shared" si="596"/>
        <v>0</v>
      </c>
      <c r="DT157" s="915">
        <f t="shared" si="597"/>
        <v>0</v>
      </c>
      <c r="DU157" s="915">
        <f t="shared" si="598"/>
        <v>0</v>
      </c>
      <c r="DV157" s="915">
        <f t="shared" si="599"/>
        <v>0</v>
      </c>
      <c r="DW157" s="915">
        <f t="shared" si="600"/>
        <v>0</v>
      </c>
      <c r="DX157" s="915">
        <f t="shared" si="601"/>
        <v>0</v>
      </c>
      <c r="DY157" s="915">
        <f t="shared" si="602"/>
        <v>0</v>
      </c>
      <c r="DZ157" s="915">
        <f t="shared" si="603"/>
        <v>0</v>
      </c>
      <c r="EA157" s="915">
        <f t="shared" si="604"/>
        <v>0</v>
      </c>
      <c r="EB157" s="915">
        <f t="shared" si="605"/>
        <v>0</v>
      </c>
      <c r="EC157" s="915">
        <f t="shared" si="606"/>
        <v>0</v>
      </c>
      <c r="ED157" s="915">
        <f t="shared" si="607"/>
        <v>0</v>
      </c>
      <c r="EE157" s="915">
        <f t="shared" si="470"/>
        <v>0</v>
      </c>
      <c r="EF157" s="915">
        <f t="shared" si="471"/>
        <v>0</v>
      </c>
      <c r="EG157" s="915">
        <f t="shared" si="472"/>
        <v>0</v>
      </c>
      <c r="EH157" s="915">
        <f t="shared" si="473"/>
        <v>0</v>
      </c>
      <c r="EI157" s="915">
        <f t="shared" si="474"/>
        <v>0</v>
      </c>
      <c r="EJ157" s="915">
        <f t="shared" si="475"/>
        <v>0</v>
      </c>
      <c r="EK157" s="915">
        <f t="shared" si="476"/>
        <v>0</v>
      </c>
      <c r="EL157" s="915">
        <f t="shared" si="477"/>
        <v>0</v>
      </c>
      <c r="EM157" s="915">
        <f t="shared" si="478"/>
        <v>0</v>
      </c>
      <c r="EN157" s="915">
        <f t="shared" si="479"/>
        <v>0</v>
      </c>
      <c r="EO157" s="915">
        <f t="shared" si="480"/>
        <v>0</v>
      </c>
      <c r="EP157" s="915">
        <f t="shared" si="481"/>
        <v>0</v>
      </c>
      <c r="EQ157" s="915">
        <f t="shared" si="482"/>
        <v>0</v>
      </c>
      <c r="ER157" s="915">
        <f t="shared" si="483"/>
        <v>0</v>
      </c>
      <c r="ES157" s="915">
        <f t="shared" si="484"/>
        <v>0</v>
      </c>
      <c r="ET157" s="915">
        <f t="shared" si="485"/>
        <v>0</v>
      </c>
      <c r="EU157" s="915">
        <f t="shared" si="550"/>
        <v>0</v>
      </c>
      <c r="EV157" s="915">
        <f t="shared" si="551"/>
        <v>0</v>
      </c>
      <c r="EW157" s="915">
        <f t="shared" si="552"/>
        <v>0</v>
      </c>
      <c r="EX157" s="915">
        <f t="shared" si="553"/>
        <v>0</v>
      </c>
      <c r="EY157" s="915">
        <f t="shared" si="554"/>
        <v>0</v>
      </c>
      <c r="EZ157" s="915">
        <f t="shared" si="555"/>
        <v>0</v>
      </c>
      <c r="FA157" s="915">
        <f t="shared" si="556"/>
        <v>0</v>
      </c>
      <c r="FB157" s="915">
        <f t="shared" si="557"/>
        <v>0</v>
      </c>
      <c r="FC157" s="915">
        <f t="shared" si="558"/>
        <v>0</v>
      </c>
      <c r="FD157" s="915">
        <f t="shared" si="559"/>
        <v>0</v>
      </c>
      <c r="FE157" s="915">
        <f t="shared" si="560"/>
        <v>0</v>
      </c>
      <c r="FF157" s="915">
        <f t="shared" si="561"/>
        <v>0</v>
      </c>
      <c r="FG157" s="915">
        <f t="shared" si="562"/>
        <v>0</v>
      </c>
      <c r="FH157" s="915">
        <f t="shared" si="563"/>
        <v>0</v>
      </c>
      <c r="FI157" s="915">
        <f t="shared" si="564"/>
        <v>0</v>
      </c>
      <c r="FJ157" s="915">
        <f t="shared" si="565"/>
        <v>0</v>
      </c>
      <c r="FK157" s="915">
        <f t="shared" si="566"/>
        <v>0</v>
      </c>
      <c r="FL157" s="915">
        <f t="shared" si="567"/>
        <v>0</v>
      </c>
      <c r="FM157" s="915">
        <f t="shared" si="568"/>
        <v>0</v>
      </c>
      <c r="FN157" s="915">
        <f t="shared" si="569"/>
        <v>0</v>
      </c>
      <c r="FO157" s="915">
        <f t="shared" si="570"/>
        <v>0</v>
      </c>
      <c r="FP157" s="915">
        <f t="shared" si="571"/>
        <v>7.42</v>
      </c>
      <c r="FQ157" s="915">
        <f t="shared" si="572"/>
        <v>0</v>
      </c>
      <c r="FR157" s="915">
        <f t="shared" si="573"/>
        <v>0</v>
      </c>
      <c r="FS157" s="915">
        <f t="shared" si="574"/>
        <v>0</v>
      </c>
      <c r="FT157" s="915">
        <f t="shared" si="575"/>
        <v>0</v>
      </c>
      <c r="FU157" s="915">
        <f t="shared" si="576"/>
        <v>0</v>
      </c>
      <c r="FV157" s="915">
        <f t="shared" si="577"/>
        <v>0</v>
      </c>
      <c r="FW157" s="915">
        <f t="shared" si="578"/>
        <v>0</v>
      </c>
      <c r="FX157" s="915">
        <f t="shared" si="579"/>
        <v>0</v>
      </c>
      <c r="FY157" s="915">
        <f t="shared" si="580"/>
        <v>0</v>
      </c>
      <c r="FZ157" s="915">
        <f t="shared" si="581"/>
        <v>0</v>
      </c>
    </row>
    <row r="158" spans="1:182" x14ac:dyDescent="0.2">
      <c r="A158" s="496">
        <v>151</v>
      </c>
      <c r="B158" s="1419"/>
      <c r="C158" s="1433"/>
      <c r="D158" s="264">
        <v>19</v>
      </c>
      <c r="E158" s="264" t="s">
        <v>48</v>
      </c>
      <c r="F158" s="270" t="s">
        <v>2544</v>
      </c>
      <c r="G158" s="270" t="s">
        <v>2542</v>
      </c>
      <c r="H158" s="272">
        <v>7</v>
      </c>
      <c r="I158" s="268">
        <f t="shared" si="590"/>
        <v>0.42</v>
      </c>
      <c r="J158" s="269">
        <f t="shared" si="591"/>
        <v>7.42</v>
      </c>
      <c r="K158" s="225"/>
      <c r="N158" s="951">
        <f>FQ6</f>
        <v>7.42</v>
      </c>
      <c r="O158" s="915" t="str">
        <f>"Miscellaneous for "&amp;TabName19</f>
        <v>Miscellaneous for Phase 19</v>
      </c>
      <c r="P158" s="949" t="s">
        <v>2207</v>
      </c>
      <c r="W158" s="915">
        <f t="shared" si="486"/>
        <v>0</v>
      </c>
      <c r="X158" s="915">
        <f t="shared" si="487"/>
        <v>0</v>
      </c>
      <c r="Y158" s="915">
        <f t="shared" si="488"/>
        <v>0</v>
      </c>
      <c r="Z158" s="915">
        <f t="shared" si="505"/>
        <v>0</v>
      </c>
      <c r="AA158" s="915">
        <f t="shared" si="506"/>
        <v>0</v>
      </c>
      <c r="AB158" s="915">
        <f t="shared" si="507"/>
        <v>0</v>
      </c>
      <c r="AC158" s="915">
        <f t="shared" si="508"/>
        <v>0</v>
      </c>
      <c r="AD158" s="915">
        <f t="shared" si="509"/>
        <v>0</v>
      </c>
      <c r="AE158" s="915">
        <f t="shared" si="510"/>
        <v>0</v>
      </c>
      <c r="AF158" s="915">
        <f t="shared" si="511"/>
        <v>0</v>
      </c>
      <c r="AG158" s="915">
        <f t="shared" si="512"/>
        <v>0</v>
      </c>
      <c r="AH158" s="915">
        <f t="shared" si="513"/>
        <v>0</v>
      </c>
      <c r="AI158" s="915">
        <f t="shared" si="514"/>
        <v>0</v>
      </c>
      <c r="AJ158" s="915">
        <f t="shared" si="515"/>
        <v>0</v>
      </c>
      <c r="AK158" s="915">
        <f t="shared" si="516"/>
        <v>0</v>
      </c>
      <c r="AL158" s="915">
        <f t="shared" si="517"/>
        <v>0</v>
      </c>
      <c r="AM158" s="915">
        <f t="shared" si="518"/>
        <v>0</v>
      </c>
      <c r="AN158" s="915">
        <f t="shared" si="519"/>
        <v>0</v>
      </c>
      <c r="AO158" s="915">
        <f t="shared" si="520"/>
        <v>0</v>
      </c>
      <c r="AP158" s="915">
        <f t="shared" si="521"/>
        <v>0</v>
      </c>
      <c r="AQ158" s="915">
        <f t="shared" si="522"/>
        <v>0</v>
      </c>
      <c r="AR158" s="915">
        <f t="shared" si="523"/>
        <v>0</v>
      </c>
      <c r="AS158" s="915">
        <f t="shared" si="524"/>
        <v>0</v>
      </c>
      <c r="AT158" s="915">
        <f t="shared" si="525"/>
        <v>0</v>
      </c>
      <c r="AU158" s="915">
        <f t="shared" si="526"/>
        <v>0</v>
      </c>
      <c r="AV158" s="915">
        <f t="shared" si="527"/>
        <v>0</v>
      </c>
      <c r="AW158" s="915">
        <f t="shared" si="528"/>
        <v>0</v>
      </c>
      <c r="AX158" s="915">
        <f t="shared" si="529"/>
        <v>0</v>
      </c>
      <c r="AY158" s="915">
        <f t="shared" si="530"/>
        <v>0</v>
      </c>
      <c r="AZ158" s="915">
        <f t="shared" si="531"/>
        <v>0</v>
      </c>
      <c r="BA158" s="915">
        <f t="shared" si="532"/>
        <v>0</v>
      </c>
      <c r="BB158" s="915">
        <f t="shared" si="533"/>
        <v>0</v>
      </c>
      <c r="BC158" s="915">
        <f t="shared" si="640"/>
        <v>0</v>
      </c>
      <c r="BD158" s="915">
        <f t="shared" si="641"/>
        <v>0</v>
      </c>
      <c r="BE158" s="915">
        <f t="shared" si="642"/>
        <v>0</v>
      </c>
      <c r="BF158" s="915">
        <f t="shared" si="643"/>
        <v>0</v>
      </c>
      <c r="BG158" s="915">
        <f t="shared" si="644"/>
        <v>0</v>
      </c>
      <c r="BH158" s="915">
        <f t="shared" si="645"/>
        <v>0</v>
      </c>
      <c r="BI158" s="915">
        <f t="shared" si="646"/>
        <v>0</v>
      </c>
      <c r="BJ158" s="915">
        <f t="shared" si="647"/>
        <v>0</v>
      </c>
      <c r="BK158" s="915">
        <f t="shared" si="648"/>
        <v>0</v>
      </c>
      <c r="BL158" s="915">
        <f t="shared" si="649"/>
        <v>0</v>
      </c>
      <c r="BM158" s="915">
        <f t="shared" si="650"/>
        <v>0</v>
      </c>
      <c r="BN158" s="915">
        <f t="shared" si="651"/>
        <v>0</v>
      </c>
      <c r="BO158" s="915">
        <f t="shared" si="652"/>
        <v>0</v>
      </c>
      <c r="BP158" s="915">
        <f t="shared" si="653"/>
        <v>0</v>
      </c>
      <c r="BQ158" s="915">
        <f t="shared" si="654"/>
        <v>0</v>
      </c>
      <c r="BR158" s="915">
        <f t="shared" si="655"/>
        <v>0</v>
      </c>
      <c r="BS158" s="915">
        <f t="shared" si="608"/>
        <v>0</v>
      </c>
      <c r="BT158" s="915">
        <f t="shared" si="609"/>
        <v>0</v>
      </c>
      <c r="BU158" s="915">
        <f t="shared" si="610"/>
        <v>0</v>
      </c>
      <c r="BV158" s="915">
        <f t="shared" si="611"/>
        <v>0</v>
      </c>
      <c r="BW158" s="915">
        <f t="shared" si="612"/>
        <v>0</v>
      </c>
      <c r="BX158" s="915">
        <f t="shared" si="613"/>
        <v>0</v>
      </c>
      <c r="BY158" s="915">
        <f t="shared" si="614"/>
        <v>0</v>
      </c>
      <c r="BZ158" s="915">
        <f t="shared" si="615"/>
        <v>0</v>
      </c>
      <c r="CA158" s="915">
        <f t="shared" si="624"/>
        <v>0</v>
      </c>
      <c r="CB158" s="915">
        <f t="shared" si="625"/>
        <v>0</v>
      </c>
      <c r="CC158" s="915">
        <f t="shared" si="626"/>
        <v>0</v>
      </c>
      <c r="CD158" s="915">
        <f t="shared" si="627"/>
        <v>0</v>
      </c>
      <c r="CE158" s="915">
        <f t="shared" si="628"/>
        <v>0</v>
      </c>
      <c r="CF158" s="915">
        <f t="shared" si="629"/>
        <v>0</v>
      </c>
      <c r="CG158" s="915">
        <f t="shared" si="630"/>
        <v>0</v>
      </c>
      <c r="CH158" s="915">
        <f t="shared" si="631"/>
        <v>0</v>
      </c>
      <c r="CI158" s="915">
        <f t="shared" si="656"/>
        <v>0</v>
      </c>
      <c r="CJ158" s="915">
        <f t="shared" si="657"/>
        <v>0</v>
      </c>
      <c r="CK158" s="915">
        <f t="shared" si="658"/>
        <v>0</v>
      </c>
      <c r="CL158" s="915">
        <f t="shared" si="659"/>
        <v>0</v>
      </c>
      <c r="CM158" s="915">
        <f t="shared" si="660"/>
        <v>0</v>
      </c>
      <c r="CN158" s="915">
        <f t="shared" si="661"/>
        <v>0</v>
      </c>
      <c r="CO158" s="915">
        <f t="shared" si="662"/>
        <v>0</v>
      </c>
      <c r="CP158" s="915">
        <f t="shared" si="663"/>
        <v>0</v>
      </c>
      <c r="CQ158" s="915">
        <f t="shared" ref="CQ158:CQ165" si="664">IF(AND($D158=$R$17,$E158=$T$8),$J158,0)</f>
        <v>0</v>
      </c>
      <c r="CR158" s="915">
        <f t="shared" ref="CR158:CR165" si="665">IF(AND($D158=$R$17,$E158=$T$9),$J158,0)</f>
        <v>0</v>
      </c>
      <c r="CS158" s="915">
        <f t="shared" ref="CS158:CS165" si="666">IF(AND($D158=$R$17,$E158=$T$10),$J158,0)</f>
        <v>0</v>
      </c>
      <c r="CT158" s="915">
        <f t="shared" ref="CT158:CT165" si="667">IF(AND($D158=$R$17,$E158=$T$11),$J158,0)</f>
        <v>0</v>
      </c>
      <c r="CU158" s="915">
        <f t="shared" ref="CU158:CU165" si="668">IF(AND($D158=$R$17,$E158=$T$12),$J158,0)</f>
        <v>0</v>
      </c>
      <c r="CV158" s="915">
        <f t="shared" ref="CV158:CV165" si="669">IF(AND($D158=$R$17,$E158=$T$13),$J158,0)</f>
        <v>0</v>
      </c>
      <c r="CW158" s="915">
        <f t="shared" ref="CW158:CW165" si="670">IF(AND($D158=$R$17,$E158=$T$14),$J158,0)</f>
        <v>0</v>
      </c>
      <c r="CX158" s="915">
        <f t="shared" ref="CX158:CX165" si="671">IF(AND($D158=$R$17,$E158=$T$15),$J158,0)</f>
        <v>0</v>
      </c>
      <c r="CY158" s="915">
        <f t="shared" si="542"/>
        <v>0</v>
      </c>
      <c r="CZ158" s="915">
        <f t="shared" si="543"/>
        <v>0</v>
      </c>
      <c r="DA158" s="915">
        <f t="shared" si="544"/>
        <v>0</v>
      </c>
      <c r="DB158" s="915">
        <f t="shared" si="545"/>
        <v>0</v>
      </c>
      <c r="DC158" s="915">
        <f t="shared" si="546"/>
        <v>0</v>
      </c>
      <c r="DD158" s="915">
        <f t="shared" si="547"/>
        <v>0</v>
      </c>
      <c r="DE158" s="915">
        <f t="shared" si="548"/>
        <v>0</v>
      </c>
      <c r="DF158" s="915">
        <f t="shared" si="549"/>
        <v>0</v>
      </c>
      <c r="DG158" s="915">
        <f t="shared" si="632"/>
        <v>0</v>
      </c>
      <c r="DH158" s="915">
        <f t="shared" si="633"/>
        <v>0</v>
      </c>
      <c r="DI158" s="915">
        <f t="shared" si="634"/>
        <v>0</v>
      </c>
      <c r="DJ158" s="915">
        <f t="shared" si="635"/>
        <v>0</v>
      </c>
      <c r="DK158" s="915">
        <f t="shared" si="636"/>
        <v>0</v>
      </c>
      <c r="DL158" s="915">
        <f t="shared" si="637"/>
        <v>0</v>
      </c>
      <c r="DM158" s="915">
        <f t="shared" si="638"/>
        <v>0</v>
      </c>
      <c r="DN158" s="915">
        <f t="shared" si="639"/>
        <v>0</v>
      </c>
      <c r="DO158" s="915">
        <f t="shared" si="592"/>
        <v>0</v>
      </c>
      <c r="DP158" s="915">
        <f t="shared" si="593"/>
        <v>0</v>
      </c>
      <c r="DQ158" s="915">
        <f t="shared" si="594"/>
        <v>0</v>
      </c>
      <c r="DR158" s="915">
        <f t="shared" si="595"/>
        <v>0</v>
      </c>
      <c r="DS158" s="915">
        <f t="shared" si="596"/>
        <v>0</v>
      </c>
      <c r="DT158" s="915">
        <f t="shared" si="597"/>
        <v>0</v>
      </c>
      <c r="DU158" s="915">
        <f t="shared" si="598"/>
        <v>0</v>
      </c>
      <c r="DV158" s="915">
        <f t="shared" si="599"/>
        <v>0</v>
      </c>
      <c r="DW158" s="915">
        <f t="shared" si="600"/>
        <v>0</v>
      </c>
      <c r="DX158" s="915">
        <f t="shared" si="601"/>
        <v>0</v>
      </c>
      <c r="DY158" s="915">
        <f t="shared" si="602"/>
        <v>0</v>
      </c>
      <c r="DZ158" s="915">
        <f t="shared" si="603"/>
        <v>0</v>
      </c>
      <c r="EA158" s="915">
        <f t="shared" si="604"/>
        <v>0</v>
      </c>
      <c r="EB158" s="915">
        <f t="shared" si="605"/>
        <v>0</v>
      </c>
      <c r="EC158" s="915">
        <f t="shared" si="606"/>
        <v>0</v>
      </c>
      <c r="ED158" s="915">
        <f t="shared" si="607"/>
        <v>0</v>
      </c>
      <c r="EE158" s="915">
        <f t="shared" si="470"/>
        <v>0</v>
      </c>
      <c r="EF158" s="915">
        <f t="shared" si="471"/>
        <v>0</v>
      </c>
      <c r="EG158" s="915">
        <f t="shared" si="472"/>
        <v>0</v>
      </c>
      <c r="EH158" s="915">
        <f t="shared" si="473"/>
        <v>0</v>
      </c>
      <c r="EI158" s="915">
        <f t="shared" si="474"/>
        <v>0</v>
      </c>
      <c r="EJ158" s="915">
        <f t="shared" si="475"/>
        <v>0</v>
      </c>
      <c r="EK158" s="915">
        <f t="shared" si="476"/>
        <v>0</v>
      </c>
      <c r="EL158" s="915">
        <f t="shared" si="477"/>
        <v>0</v>
      </c>
      <c r="EM158" s="915">
        <f t="shared" si="478"/>
        <v>0</v>
      </c>
      <c r="EN158" s="915">
        <f t="shared" si="479"/>
        <v>0</v>
      </c>
      <c r="EO158" s="915">
        <f t="shared" si="480"/>
        <v>0</v>
      </c>
      <c r="EP158" s="915">
        <f t="shared" si="481"/>
        <v>0</v>
      </c>
      <c r="EQ158" s="915">
        <f t="shared" si="482"/>
        <v>0</v>
      </c>
      <c r="ER158" s="915">
        <f t="shared" si="483"/>
        <v>0</v>
      </c>
      <c r="ES158" s="915">
        <f t="shared" si="484"/>
        <v>0</v>
      </c>
      <c r="ET158" s="915">
        <f t="shared" si="485"/>
        <v>0</v>
      </c>
      <c r="EU158" s="915">
        <f t="shared" si="550"/>
        <v>0</v>
      </c>
      <c r="EV158" s="915">
        <f t="shared" si="551"/>
        <v>0</v>
      </c>
      <c r="EW158" s="915">
        <f t="shared" si="552"/>
        <v>0</v>
      </c>
      <c r="EX158" s="915">
        <f t="shared" si="553"/>
        <v>0</v>
      </c>
      <c r="EY158" s="915">
        <f t="shared" si="554"/>
        <v>0</v>
      </c>
      <c r="EZ158" s="915">
        <f t="shared" si="555"/>
        <v>0</v>
      </c>
      <c r="FA158" s="915">
        <f t="shared" si="556"/>
        <v>0</v>
      </c>
      <c r="FB158" s="915">
        <f t="shared" si="557"/>
        <v>0</v>
      </c>
      <c r="FC158" s="915">
        <f t="shared" si="558"/>
        <v>0</v>
      </c>
      <c r="FD158" s="915">
        <f t="shared" si="559"/>
        <v>0</v>
      </c>
      <c r="FE158" s="915">
        <f t="shared" si="560"/>
        <v>0</v>
      </c>
      <c r="FF158" s="915">
        <f t="shared" si="561"/>
        <v>0</v>
      </c>
      <c r="FG158" s="915">
        <f t="shared" si="562"/>
        <v>0</v>
      </c>
      <c r="FH158" s="915">
        <f t="shared" si="563"/>
        <v>0</v>
      </c>
      <c r="FI158" s="915">
        <f t="shared" si="564"/>
        <v>0</v>
      </c>
      <c r="FJ158" s="915">
        <f t="shared" si="565"/>
        <v>0</v>
      </c>
      <c r="FK158" s="915">
        <f t="shared" si="566"/>
        <v>0</v>
      </c>
      <c r="FL158" s="915">
        <f t="shared" si="567"/>
        <v>0</v>
      </c>
      <c r="FM158" s="915">
        <f t="shared" si="568"/>
        <v>0</v>
      </c>
      <c r="FN158" s="915">
        <f t="shared" si="569"/>
        <v>0</v>
      </c>
      <c r="FO158" s="915">
        <f t="shared" si="570"/>
        <v>0</v>
      </c>
      <c r="FP158" s="915">
        <f t="shared" si="571"/>
        <v>0</v>
      </c>
      <c r="FQ158" s="915">
        <f t="shared" si="572"/>
        <v>7.42</v>
      </c>
      <c r="FR158" s="915">
        <f t="shared" si="573"/>
        <v>0</v>
      </c>
      <c r="FS158" s="915">
        <f t="shared" si="574"/>
        <v>0</v>
      </c>
      <c r="FT158" s="915">
        <f t="shared" si="575"/>
        <v>0</v>
      </c>
      <c r="FU158" s="915">
        <f t="shared" si="576"/>
        <v>0</v>
      </c>
      <c r="FV158" s="915">
        <f t="shared" si="577"/>
        <v>0</v>
      </c>
      <c r="FW158" s="915">
        <f t="shared" si="578"/>
        <v>0</v>
      </c>
      <c r="FX158" s="915">
        <f t="shared" si="579"/>
        <v>0</v>
      </c>
      <c r="FY158" s="915">
        <f t="shared" si="580"/>
        <v>0</v>
      </c>
      <c r="FZ158" s="915">
        <f t="shared" si="581"/>
        <v>0</v>
      </c>
    </row>
    <row r="159" spans="1:182" x14ac:dyDescent="0.2">
      <c r="A159" s="497">
        <v>152</v>
      </c>
      <c r="B159" s="1423"/>
      <c r="C159" s="1424"/>
      <c r="D159" s="138">
        <v>19</v>
      </c>
      <c r="E159" s="138" t="s">
        <v>27</v>
      </c>
      <c r="F159" s="139" t="s">
        <v>2544</v>
      </c>
      <c r="G159" s="139" t="s">
        <v>2542</v>
      </c>
      <c r="H159" s="100">
        <v>7</v>
      </c>
      <c r="I159" s="119">
        <f t="shared" si="590"/>
        <v>0.42</v>
      </c>
      <c r="J159" s="90">
        <f t="shared" si="591"/>
        <v>7.42</v>
      </c>
      <c r="K159" s="225"/>
      <c r="N159" s="951">
        <f>FR6</f>
        <v>7.42</v>
      </c>
      <c r="O159" s="879" t="str">
        <f>"Contractor Labor for " &amp; TabName19</f>
        <v>Contractor Labor for Phase 19</v>
      </c>
      <c r="P159" s="950" t="s">
        <v>2206</v>
      </c>
      <c r="W159" s="915">
        <f t="shared" si="486"/>
        <v>0</v>
      </c>
      <c r="X159" s="915">
        <f t="shared" si="487"/>
        <v>0</v>
      </c>
      <c r="Y159" s="915">
        <f t="shared" si="488"/>
        <v>0</v>
      </c>
      <c r="Z159" s="915">
        <f t="shared" si="505"/>
        <v>0</v>
      </c>
      <c r="AA159" s="915">
        <f t="shared" si="506"/>
        <v>0</v>
      </c>
      <c r="AB159" s="915">
        <f t="shared" si="507"/>
        <v>0</v>
      </c>
      <c r="AC159" s="915">
        <f t="shared" si="508"/>
        <v>0</v>
      </c>
      <c r="AD159" s="915">
        <f t="shared" si="509"/>
        <v>0</v>
      </c>
      <c r="AE159" s="915">
        <f t="shared" si="510"/>
        <v>0</v>
      </c>
      <c r="AF159" s="915">
        <f t="shared" si="511"/>
        <v>0</v>
      </c>
      <c r="AG159" s="915">
        <f t="shared" si="512"/>
        <v>0</v>
      </c>
      <c r="AH159" s="915">
        <f t="shared" si="513"/>
        <v>0</v>
      </c>
      <c r="AI159" s="915">
        <f t="shared" si="514"/>
        <v>0</v>
      </c>
      <c r="AJ159" s="915">
        <f t="shared" si="515"/>
        <v>0</v>
      </c>
      <c r="AK159" s="915">
        <f t="shared" si="516"/>
        <v>0</v>
      </c>
      <c r="AL159" s="915">
        <f t="shared" si="517"/>
        <v>0</v>
      </c>
      <c r="AM159" s="915">
        <f t="shared" si="518"/>
        <v>0</v>
      </c>
      <c r="AN159" s="915">
        <f t="shared" si="519"/>
        <v>0</v>
      </c>
      <c r="AO159" s="915">
        <f t="shared" si="520"/>
        <v>0</v>
      </c>
      <c r="AP159" s="915">
        <f t="shared" si="521"/>
        <v>0</v>
      </c>
      <c r="AQ159" s="915">
        <f t="shared" si="522"/>
        <v>0</v>
      </c>
      <c r="AR159" s="915">
        <f t="shared" si="523"/>
        <v>0</v>
      </c>
      <c r="AS159" s="915">
        <f t="shared" si="524"/>
        <v>0</v>
      </c>
      <c r="AT159" s="915">
        <f t="shared" si="525"/>
        <v>0</v>
      </c>
      <c r="AU159" s="915">
        <f t="shared" si="526"/>
        <v>0</v>
      </c>
      <c r="AV159" s="915">
        <f t="shared" si="527"/>
        <v>0</v>
      </c>
      <c r="AW159" s="915">
        <f t="shared" si="528"/>
        <v>0</v>
      </c>
      <c r="AX159" s="915">
        <f t="shared" si="529"/>
        <v>0</v>
      </c>
      <c r="AY159" s="915">
        <f t="shared" si="530"/>
        <v>0</v>
      </c>
      <c r="AZ159" s="915">
        <f t="shared" si="531"/>
        <v>0</v>
      </c>
      <c r="BA159" s="915">
        <f t="shared" si="532"/>
        <v>0</v>
      </c>
      <c r="BB159" s="915">
        <f t="shared" si="533"/>
        <v>0</v>
      </c>
      <c r="BC159" s="915">
        <f t="shared" si="640"/>
        <v>0</v>
      </c>
      <c r="BD159" s="915">
        <f t="shared" si="641"/>
        <v>0</v>
      </c>
      <c r="BE159" s="915">
        <f t="shared" si="642"/>
        <v>0</v>
      </c>
      <c r="BF159" s="915">
        <f t="shared" si="643"/>
        <v>0</v>
      </c>
      <c r="BG159" s="915">
        <f t="shared" si="644"/>
        <v>0</v>
      </c>
      <c r="BH159" s="915">
        <f t="shared" si="645"/>
        <v>0</v>
      </c>
      <c r="BI159" s="915">
        <f t="shared" si="646"/>
        <v>0</v>
      </c>
      <c r="BJ159" s="915">
        <f t="shared" si="647"/>
        <v>0</v>
      </c>
      <c r="BK159" s="915">
        <f t="shared" si="648"/>
        <v>0</v>
      </c>
      <c r="BL159" s="915">
        <f t="shared" si="649"/>
        <v>0</v>
      </c>
      <c r="BM159" s="915">
        <f t="shared" si="650"/>
        <v>0</v>
      </c>
      <c r="BN159" s="915">
        <f t="shared" si="651"/>
        <v>0</v>
      </c>
      <c r="BO159" s="915">
        <f t="shared" si="652"/>
        <v>0</v>
      </c>
      <c r="BP159" s="915">
        <f t="shared" si="653"/>
        <v>0</v>
      </c>
      <c r="BQ159" s="915">
        <f t="shared" si="654"/>
        <v>0</v>
      </c>
      <c r="BR159" s="915">
        <f t="shared" si="655"/>
        <v>0</v>
      </c>
      <c r="BS159" s="915">
        <f t="shared" si="608"/>
        <v>0</v>
      </c>
      <c r="BT159" s="915">
        <f t="shared" si="609"/>
        <v>0</v>
      </c>
      <c r="BU159" s="915">
        <f t="shared" si="610"/>
        <v>0</v>
      </c>
      <c r="BV159" s="915">
        <f t="shared" si="611"/>
        <v>0</v>
      </c>
      <c r="BW159" s="915">
        <f t="shared" si="612"/>
        <v>0</v>
      </c>
      <c r="BX159" s="915">
        <f t="shared" si="613"/>
        <v>0</v>
      </c>
      <c r="BY159" s="915">
        <f t="shared" si="614"/>
        <v>0</v>
      </c>
      <c r="BZ159" s="915">
        <f t="shared" si="615"/>
        <v>0</v>
      </c>
      <c r="CA159" s="915">
        <f t="shared" si="624"/>
        <v>0</v>
      </c>
      <c r="CB159" s="915">
        <f t="shared" si="625"/>
        <v>0</v>
      </c>
      <c r="CC159" s="915">
        <f t="shared" si="626"/>
        <v>0</v>
      </c>
      <c r="CD159" s="915">
        <f t="shared" si="627"/>
        <v>0</v>
      </c>
      <c r="CE159" s="915">
        <f t="shared" si="628"/>
        <v>0</v>
      </c>
      <c r="CF159" s="915">
        <f t="shared" si="629"/>
        <v>0</v>
      </c>
      <c r="CG159" s="915">
        <f t="shared" si="630"/>
        <v>0</v>
      </c>
      <c r="CH159" s="915">
        <f t="shared" si="631"/>
        <v>0</v>
      </c>
      <c r="CI159" s="915">
        <f t="shared" si="656"/>
        <v>0</v>
      </c>
      <c r="CJ159" s="915">
        <f t="shared" si="657"/>
        <v>0</v>
      </c>
      <c r="CK159" s="915">
        <f t="shared" si="658"/>
        <v>0</v>
      </c>
      <c r="CL159" s="915">
        <f t="shared" si="659"/>
        <v>0</v>
      </c>
      <c r="CM159" s="915">
        <f t="shared" si="660"/>
        <v>0</v>
      </c>
      <c r="CN159" s="915">
        <f t="shared" si="661"/>
        <v>0</v>
      </c>
      <c r="CO159" s="915">
        <f t="shared" si="662"/>
        <v>0</v>
      </c>
      <c r="CP159" s="915">
        <f t="shared" si="663"/>
        <v>0</v>
      </c>
      <c r="CQ159" s="915">
        <f t="shared" si="664"/>
        <v>0</v>
      </c>
      <c r="CR159" s="915">
        <f t="shared" si="665"/>
        <v>0</v>
      </c>
      <c r="CS159" s="915">
        <f t="shared" si="666"/>
        <v>0</v>
      </c>
      <c r="CT159" s="915">
        <f t="shared" si="667"/>
        <v>0</v>
      </c>
      <c r="CU159" s="915">
        <f t="shared" si="668"/>
        <v>0</v>
      </c>
      <c r="CV159" s="915">
        <f t="shared" si="669"/>
        <v>0</v>
      </c>
      <c r="CW159" s="915">
        <f t="shared" si="670"/>
        <v>0</v>
      </c>
      <c r="CX159" s="915">
        <f t="shared" si="671"/>
        <v>0</v>
      </c>
      <c r="CY159" s="915">
        <f t="shared" si="542"/>
        <v>0</v>
      </c>
      <c r="CZ159" s="915">
        <f t="shared" si="543"/>
        <v>0</v>
      </c>
      <c r="DA159" s="915">
        <f t="shared" si="544"/>
        <v>0</v>
      </c>
      <c r="DB159" s="915">
        <f t="shared" si="545"/>
        <v>0</v>
      </c>
      <c r="DC159" s="915">
        <f t="shared" si="546"/>
        <v>0</v>
      </c>
      <c r="DD159" s="915">
        <f t="shared" si="547"/>
        <v>0</v>
      </c>
      <c r="DE159" s="915">
        <f t="shared" si="548"/>
        <v>0</v>
      </c>
      <c r="DF159" s="915">
        <f t="shared" si="549"/>
        <v>0</v>
      </c>
      <c r="DG159" s="915">
        <f t="shared" si="632"/>
        <v>0</v>
      </c>
      <c r="DH159" s="915">
        <f t="shared" si="633"/>
        <v>0</v>
      </c>
      <c r="DI159" s="915">
        <f t="shared" si="634"/>
        <v>0</v>
      </c>
      <c r="DJ159" s="915">
        <f t="shared" si="635"/>
        <v>0</v>
      </c>
      <c r="DK159" s="915">
        <f t="shared" si="636"/>
        <v>0</v>
      </c>
      <c r="DL159" s="915">
        <f t="shared" si="637"/>
        <v>0</v>
      </c>
      <c r="DM159" s="915">
        <f t="shared" si="638"/>
        <v>0</v>
      </c>
      <c r="DN159" s="915">
        <f t="shared" si="639"/>
        <v>0</v>
      </c>
      <c r="DO159" s="915">
        <f t="shared" si="592"/>
        <v>0</v>
      </c>
      <c r="DP159" s="915">
        <f t="shared" si="593"/>
        <v>0</v>
      </c>
      <c r="DQ159" s="915">
        <f t="shared" si="594"/>
        <v>0</v>
      </c>
      <c r="DR159" s="915">
        <f t="shared" si="595"/>
        <v>0</v>
      </c>
      <c r="DS159" s="915">
        <f t="shared" si="596"/>
        <v>0</v>
      </c>
      <c r="DT159" s="915">
        <f t="shared" si="597"/>
        <v>0</v>
      </c>
      <c r="DU159" s="915">
        <f t="shared" si="598"/>
        <v>0</v>
      </c>
      <c r="DV159" s="915">
        <f t="shared" si="599"/>
        <v>0</v>
      </c>
      <c r="DW159" s="915">
        <f t="shared" si="600"/>
        <v>0</v>
      </c>
      <c r="DX159" s="915">
        <f t="shared" si="601"/>
        <v>0</v>
      </c>
      <c r="DY159" s="915">
        <f t="shared" si="602"/>
        <v>0</v>
      </c>
      <c r="DZ159" s="915">
        <f t="shared" si="603"/>
        <v>0</v>
      </c>
      <c r="EA159" s="915">
        <f t="shared" si="604"/>
        <v>0</v>
      </c>
      <c r="EB159" s="915">
        <f t="shared" si="605"/>
        <v>0</v>
      </c>
      <c r="EC159" s="915">
        <f t="shared" si="606"/>
        <v>0</v>
      </c>
      <c r="ED159" s="915">
        <f t="shared" si="607"/>
        <v>0</v>
      </c>
      <c r="EE159" s="915">
        <f t="shared" si="470"/>
        <v>0</v>
      </c>
      <c r="EF159" s="915">
        <f t="shared" si="471"/>
        <v>0</v>
      </c>
      <c r="EG159" s="915">
        <f t="shared" si="472"/>
        <v>0</v>
      </c>
      <c r="EH159" s="915">
        <f t="shared" si="473"/>
        <v>0</v>
      </c>
      <c r="EI159" s="915">
        <f t="shared" si="474"/>
        <v>0</v>
      </c>
      <c r="EJ159" s="915">
        <f t="shared" si="475"/>
        <v>0</v>
      </c>
      <c r="EK159" s="915">
        <f t="shared" si="476"/>
        <v>0</v>
      </c>
      <c r="EL159" s="915">
        <f t="shared" si="477"/>
        <v>0</v>
      </c>
      <c r="EM159" s="915">
        <f t="shared" si="478"/>
        <v>0</v>
      </c>
      <c r="EN159" s="915">
        <f t="shared" si="479"/>
        <v>0</v>
      </c>
      <c r="EO159" s="915">
        <f t="shared" si="480"/>
        <v>0</v>
      </c>
      <c r="EP159" s="915">
        <f t="shared" si="481"/>
        <v>0</v>
      </c>
      <c r="EQ159" s="915">
        <f t="shared" si="482"/>
        <v>0</v>
      </c>
      <c r="ER159" s="915">
        <f t="shared" si="483"/>
        <v>0</v>
      </c>
      <c r="ES159" s="915">
        <f t="shared" si="484"/>
        <v>0</v>
      </c>
      <c r="ET159" s="915">
        <f t="shared" si="485"/>
        <v>0</v>
      </c>
      <c r="EU159" s="915">
        <f t="shared" si="550"/>
        <v>0</v>
      </c>
      <c r="EV159" s="915">
        <f t="shared" si="551"/>
        <v>0</v>
      </c>
      <c r="EW159" s="915">
        <f t="shared" si="552"/>
        <v>0</v>
      </c>
      <c r="EX159" s="915">
        <f t="shared" si="553"/>
        <v>0</v>
      </c>
      <c r="EY159" s="915">
        <f t="shared" si="554"/>
        <v>0</v>
      </c>
      <c r="EZ159" s="915">
        <f t="shared" si="555"/>
        <v>0</v>
      </c>
      <c r="FA159" s="915">
        <f t="shared" si="556"/>
        <v>0</v>
      </c>
      <c r="FB159" s="915">
        <f t="shared" si="557"/>
        <v>0</v>
      </c>
      <c r="FC159" s="915">
        <f t="shared" si="558"/>
        <v>0</v>
      </c>
      <c r="FD159" s="915">
        <f t="shared" si="559"/>
        <v>0</v>
      </c>
      <c r="FE159" s="915">
        <f t="shared" si="560"/>
        <v>0</v>
      </c>
      <c r="FF159" s="915">
        <f t="shared" si="561"/>
        <v>0</v>
      </c>
      <c r="FG159" s="915">
        <f t="shared" si="562"/>
        <v>0</v>
      </c>
      <c r="FH159" s="915">
        <f t="shared" si="563"/>
        <v>0</v>
      </c>
      <c r="FI159" s="915">
        <f t="shared" si="564"/>
        <v>0</v>
      </c>
      <c r="FJ159" s="915">
        <f t="shared" si="565"/>
        <v>0</v>
      </c>
      <c r="FK159" s="915">
        <f t="shared" si="566"/>
        <v>0</v>
      </c>
      <c r="FL159" s="915">
        <f t="shared" si="567"/>
        <v>0</v>
      </c>
      <c r="FM159" s="915">
        <f t="shared" si="568"/>
        <v>0</v>
      </c>
      <c r="FN159" s="915">
        <f t="shared" si="569"/>
        <v>0</v>
      </c>
      <c r="FO159" s="915">
        <f t="shared" si="570"/>
        <v>0</v>
      </c>
      <c r="FP159" s="915">
        <f t="shared" si="571"/>
        <v>0</v>
      </c>
      <c r="FQ159" s="915">
        <f t="shared" si="572"/>
        <v>0</v>
      </c>
      <c r="FR159" s="915">
        <f t="shared" si="573"/>
        <v>7.42</v>
      </c>
      <c r="FS159" s="915">
        <f t="shared" si="574"/>
        <v>0</v>
      </c>
      <c r="FT159" s="915">
        <f t="shared" si="575"/>
        <v>0</v>
      </c>
      <c r="FU159" s="915">
        <f t="shared" si="576"/>
        <v>0</v>
      </c>
      <c r="FV159" s="915">
        <f t="shared" si="577"/>
        <v>0</v>
      </c>
      <c r="FW159" s="915">
        <f t="shared" si="578"/>
        <v>0</v>
      </c>
      <c r="FX159" s="915">
        <f t="shared" si="579"/>
        <v>0</v>
      </c>
      <c r="FY159" s="915">
        <f t="shared" si="580"/>
        <v>0</v>
      </c>
      <c r="FZ159" s="915">
        <f t="shared" si="581"/>
        <v>0</v>
      </c>
    </row>
    <row r="160" spans="1:182" x14ac:dyDescent="0.2">
      <c r="A160" s="496">
        <v>153</v>
      </c>
      <c r="B160" s="1419"/>
      <c r="C160" s="1433"/>
      <c r="D160" s="264">
        <v>20</v>
      </c>
      <c r="E160" s="264" t="s">
        <v>193</v>
      </c>
      <c r="F160" s="270" t="s">
        <v>2544</v>
      </c>
      <c r="G160" s="270" t="s">
        <v>2542</v>
      </c>
      <c r="H160" s="272">
        <v>7</v>
      </c>
      <c r="I160" s="268">
        <f t="shared" si="590"/>
        <v>0.42</v>
      </c>
      <c r="J160" s="269">
        <f t="shared" si="591"/>
        <v>7.42</v>
      </c>
      <c r="K160" s="225"/>
      <c r="N160" s="951">
        <f>FS6</f>
        <v>7.42</v>
      </c>
      <c r="O160" s="879" t="str">
        <f>"Boring/Monitoring Wells for "&amp;TabName18</f>
        <v>Boring/Monitoring Wells for Phase 18</v>
      </c>
      <c r="P160" s="949" t="s">
        <v>2205</v>
      </c>
      <c r="W160" s="915">
        <f t="shared" si="486"/>
        <v>0</v>
      </c>
      <c r="X160" s="915">
        <f t="shared" si="487"/>
        <v>0</v>
      </c>
      <c r="Y160" s="915">
        <f t="shared" si="488"/>
        <v>0</v>
      </c>
      <c r="Z160" s="915">
        <f t="shared" si="505"/>
        <v>0</v>
      </c>
      <c r="AA160" s="915">
        <f t="shared" si="506"/>
        <v>0</v>
      </c>
      <c r="AB160" s="915">
        <f t="shared" si="507"/>
        <v>0</v>
      </c>
      <c r="AC160" s="915">
        <f t="shared" si="508"/>
        <v>0</v>
      </c>
      <c r="AD160" s="915">
        <f t="shared" si="509"/>
        <v>0</v>
      </c>
      <c r="AE160" s="915">
        <f t="shared" si="510"/>
        <v>0</v>
      </c>
      <c r="AF160" s="915">
        <f t="shared" si="511"/>
        <v>0</v>
      </c>
      <c r="AG160" s="915">
        <f t="shared" si="512"/>
        <v>0</v>
      </c>
      <c r="AH160" s="915">
        <f t="shared" si="513"/>
        <v>0</v>
      </c>
      <c r="AI160" s="915">
        <f t="shared" si="514"/>
        <v>0</v>
      </c>
      <c r="AJ160" s="915">
        <f t="shared" si="515"/>
        <v>0</v>
      </c>
      <c r="AK160" s="915">
        <f t="shared" si="516"/>
        <v>0</v>
      </c>
      <c r="AL160" s="915">
        <f t="shared" si="517"/>
        <v>0</v>
      </c>
      <c r="AM160" s="915">
        <f t="shared" si="518"/>
        <v>0</v>
      </c>
      <c r="AN160" s="915">
        <f t="shared" si="519"/>
        <v>0</v>
      </c>
      <c r="AO160" s="915">
        <f t="shared" si="520"/>
        <v>0</v>
      </c>
      <c r="AP160" s="915">
        <f t="shared" si="521"/>
        <v>0</v>
      </c>
      <c r="AQ160" s="915">
        <f t="shared" si="522"/>
        <v>0</v>
      </c>
      <c r="AR160" s="915">
        <f t="shared" si="523"/>
        <v>0</v>
      </c>
      <c r="AS160" s="915">
        <f t="shared" si="524"/>
        <v>0</v>
      </c>
      <c r="AT160" s="915">
        <f t="shared" si="525"/>
        <v>0</v>
      </c>
      <c r="AU160" s="915">
        <f t="shared" si="526"/>
        <v>0</v>
      </c>
      <c r="AV160" s="915">
        <f t="shared" si="527"/>
        <v>0</v>
      </c>
      <c r="AW160" s="915">
        <f t="shared" si="528"/>
        <v>0</v>
      </c>
      <c r="AX160" s="915">
        <f t="shared" si="529"/>
        <v>0</v>
      </c>
      <c r="AY160" s="915">
        <f t="shared" si="530"/>
        <v>0</v>
      </c>
      <c r="AZ160" s="915">
        <f t="shared" si="531"/>
        <v>0</v>
      </c>
      <c r="BA160" s="915">
        <f t="shared" si="532"/>
        <v>0</v>
      </c>
      <c r="BB160" s="915">
        <f t="shared" si="533"/>
        <v>0</v>
      </c>
      <c r="BC160" s="915">
        <f t="shared" si="640"/>
        <v>0</v>
      </c>
      <c r="BD160" s="915">
        <f t="shared" si="641"/>
        <v>0</v>
      </c>
      <c r="BE160" s="915">
        <f t="shared" si="642"/>
        <v>0</v>
      </c>
      <c r="BF160" s="915">
        <f t="shared" si="643"/>
        <v>0</v>
      </c>
      <c r="BG160" s="915">
        <f t="shared" si="644"/>
        <v>0</v>
      </c>
      <c r="BH160" s="915">
        <f t="shared" si="645"/>
        <v>0</v>
      </c>
      <c r="BI160" s="915">
        <f t="shared" si="646"/>
        <v>0</v>
      </c>
      <c r="BJ160" s="915">
        <f t="shared" si="647"/>
        <v>0</v>
      </c>
      <c r="BK160" s="915">
        <f t="shared" si="648"/>
        <v>0</v>
      </c>
      <c r="BL160" s="915">
        <f t="shared" si="649"/>
        <v>0</v>
      </c>
      <c r="BM160" s="915">
        <f t="shared" si="650"/>
        <v>0</v>
      </c>
      <c r="BN160" s="915">
        <f t="shared" si="651"/>
        <v>0</v>
      </c>
      <c r="BO160" s="915">
        <f t="shared" si="652"/>
        <v>0</v>
      </c>
      <c r="BP160" s="915">
        <f t="shared" si="653"/>
        <v>0</v>
      </c>
      <c r="BQ160" s="915">
        <f t="shared" si="654"/>
        <v>0</v>
      </c>
      <c r="BR160" s="915">
        <f t="shared" si="655"/>
        <v>0</v>
      </c>
      <c r="BS160" s="915">
        <f>IF(AND($D160=$R$14,$E160=$T$8),$J160,0)</f>
        <v>0</v>
      </c>
      <c r="BT160" s="915">
        <f>IF(AND($D160=$R$14,$E160=$T$9),$J160,0)</f>
        <v>0</v>
      </c>
      <c r="BU160" s="915">
        <f>IF(AND($D160=$R$14,$E160=$T$10),$J160,0)</f>
        <v>0</v>
      </c>
      <c r="BV160" s="915">
        <f>IF(AND($D160=$R$14,$E160=$T$11),$J160,0)</f>
        <v>0</v>
      </c>
      <c r="BW160" s="915">
        <f>IF(AND($D160=$R$14,$E160=$T$12),$J160,0)</f>
        <v>0</v>
      </c>
      <c r="BX160" s="915">
        <f>IF(AND($D160=$R$14,$E160=$T$13),$J160,0)</f>
        <v>0</v>
      </c>
      <c r="BY160" s="915">
        <f>IF(AND($D160=$R$14,$E160=$T$14),$J160,0)</f>
        <v>0</v>
      </c>
      <c r="BZ160" s="915">
        <f>IF(AND($D160=$R$14,$E160=$T$15),$J160,0)</f>
        <v>0</v>
      </c>
      <c r="CA160" s="915">
        <f t="shared" si="624"/>
        <v>0</v>
      </c>
      <c r="CB160" s="915">
        <f t="shared" si="625"/>
        <v>0</v>
      </c>
      <c r="CC160" s="915">
        <f t="shared" si="626"/>
        <v>0</v>
      </c>
      <c r="CD160" s="915">
        <f t="shared" si="627"/>
        <v>0</v>
      </c>
      <c r="CE160" s="915">
        <f t="shared" si="628"/>
        <v>0</v>
      </c>
      <c r="CF160" s="915">
        <f t="shared" si="629"/>
        <v>0</v>
      </c>
      <c r="CG160" s="915">
        <f t="shared" si="630"/>
        <v>0</v>
      </c>
      <c r="CH160" s="915">
        <f t="shared" si="631"/>
        <v>0</v>
      </c>
      <c r="CI160" s="915">
        <f t="shared" si="656"/>
        <v>0</v>
      </c>
      <c r="CJ160" s="915">
        <f t="shared" si="657"/>
        <v>0</v>
      </c>
      <c r="CK160" s="915">
        <f t="shared" si="658"/>
        <v>0</v>
      </c>
      <c r="CL160" s="915">
        <f t="shared" si="659"/>
        <v>0</v>
      </c>
      <c r="CM160" s="915">
        <f t="shared" si="660"/>
        <v>0</v>
      </c>
      <c r="CN160" s="915">
        <f t="shared" si="661"/>
        <v>0</v>
      </c>
      <c r="CO160" s="915">
        <f t="shared" si="662"/>
        <v>0</v>
      </c>
      <c r="CP160" s="915">
        <f t="shared" si="663"/>
        <v>0</v>
      </c>
      <c r="CQ160" s="915">
        <f t="shared" si="664"/>
        <v>0</v>
      </c>
      <c r="CR160" s="915">
        <f t="shared" si="665"/>
        <v>0</v>
      </c>
      <c r="CS160" s="915">
        <f t="shared" si="666"/>
        <v>0</v>
      </c>
      <c r="CT160" s="915">
        <f t="shared" si="667"/>
        <v>0</v>
      </c>
      <c r="CU160" s="915">
        <f t="shared" si="668"/>
        <v>0</v>
      </c>
      <c r="CV160" s="915">
        <f t="shared" si="669"/>
        <v>0</v>
      </c>
      <c r="CW160" s="915">
        <f t="shared" si="670"/>
        <v>0</v>
      </c>
      <c r="CX160" s="915">
        <f t="shared" si="671"/>
        <v>0</v>
      </c>
      <c r="CY160" s="915">
        <f t="shared" si="542"/>
        <v>0</v>
      </c>
      <c r="CZ160" s="915">
        <f t="shared" si="543"/>
        <v>0</v>
      </c>
      <c r="DA160" s="915">
        <f t="shared" si="544"/>
        <v>0</v>
      </c>
      <c r="DB160" s="915">
        <f t="shared" si="545"/>
        <v>0</v>
      </c>
      <c r="DC160" s="915">
        <f t="shared" si="546"/>
        <v>0</v>
      </c>
      <c r="DD160" s="915">
        <f t="shared" si="547"/>
        <v>0</v>
      </c>
      <c r="DE160" s="915">
        <f t="shared" si="548"/>
        <v>0</v>
      </c>
      <c r="DF160" s="915">
        <f t="shared" si="549"/>
        <v>0</v>
      </c>
      <c r="DG160" s="915">
        <f t="shared" si="632"/>
        <v>0</v>
      </c>
      <c r="DH160" s="915">
        <f t="shared" si="633"/>
        <v>0</v>
      </c>
      <c r="DI160" s="915">
        <f t="shared" si="634"/>
        <v>0</v>
      </c>
      <c r="DJ160" s="915">
        <f t="shared" si="635"/>
        <v>0</v>
      </c>
      <c r="DK160" s="915">
        <f t="shared" si="636"/>
        <v>0</v>
      </c>
      <c r="DL160" s="915">
        <f t="shared" si="637"/>
        <v>0</v>
      </c>
      <c r="DM160" s="915">
        <f t="shared" si="638"/>
        <v>0</v>
      </c>
      <c r="DN160" s="915">
        <f t="shared" si="639"/>
        <v>0</v>
      </c>
      <c r="DO160" s="915">
        <f t="shared" si="592"/>
        <v>0</v>
      </c>
      <c r="DP160" s="915">
        <f t="shared" si="593"/>
        <v>0</v>
      </c>
      <c r="DQ160" s="915">
        <f t="shared" si="594"/>
        <v>0</v>
      </c>
      <c r="DR160" s="915">
        <f t="shared" si="595"/>
        <v>0</v>
      </c>
      <c r="DS160" s="915">
        <f t="shared" si="596"/>
        <v>0</v>
      </c>
      <c r="DT160" s="915">
        <f t="shared" si="597"/>
        <v>0</v>
      </c>
      <c r="DU160" s="915">
        <f t="shared" si="598"/>
        <v>0</v>
      </c>
      <c r="DV160" s="915">
        <f t="shared" si="599"/>
        <v>0</v>
      </c>
      <c r="DW160" s="915">
        <f t="shared" si="600"/>
        <v>0</v>
      </c>
      <c r="DX160" s="915">
        <f t="shared" si="601"/>
        <v>0</v>
      </c>
      <c r="DY160" s="915">
        <f t="shared" si="602"/>
        <v>0</v>
      </c>
      <c r="DZ160" s="915">
        <f t="shared" si="603"/>
        <v>0</v>
      </c>
      <c r="EA160" s="915">
        <f t="shared" si="604"/>
        <v>0</v>
      </c>
      <c r="EB160" s="915">
        <f t="shared" si="605"/>
        <v>0</v>
      </c>
      <c r="EC160" s="915">
        <f t="shared" si="606"/>
        <v>0</v>
      </c>
      <c r="ED160" s="915">
        <f t="shared" si="607"/>
        <v>0</v>
      </c>
      <c r="EE160" s="915">
        <f t="shared" si="470"/>
        <v>0</v>
      </c>
      <c r="EF160" s="915">
        <f t="shared" si="471"/>
        <v>0</v>
      </c>
      <c r="EG160" s="915">
        <f t="shared" si="472"/>
        <v>0</v>
      </c>
      <c r="EH160" s="915">
        <f t="shared" si="473"/>
        <v>0</v>
      </c>
      <c r="EI160" s="915">
        <f t="shared" si="474"/>
        <v>0</v>
      </c>
      <c r="EJ160" s="915">
        <f t="shared" si="475"/>
        <v>0</v>
      </c>
      <c r="EK160" s="915">
        <f t="shared" si="476"/>
        <v>0</v>
      </c>
      <c r="EL160" s="915">
        <f t="shared" si="477"/>
        <v>0</v>
      </c>
      <c r="EM160" s="915">
        <f t="shared" si="478"/>
        <v>0</v>
      </c>
      <c r="EN160" s="915">
        <f t="shared" si="479"/>
        <v>0</v>
      </c>
      <c r="EO160" s="915">
        <f t="shared" si="480"/>
        <v>0</v>
      </c>
      <c r="EP160" s="915">
        <f t="shared" si="481"/>
        <v>0</v>
      </c>
      <c r="EQ160" s="915">
        <f t="shared" si="482"/>
        <v>0</v>
      </c>
      <c r="ER160" s="915">
        <f t="shared" si="483"/>
        <v>0</v>
      </c>
      <c r="ES160" s="915">
        <f t="shared" si="484"/>
        <v>0</v>
      </c>
      <c r="ET160" s="915">
        <f t="shared" si="485"/>
        <v>0</v>
      </c>
      <c r="EU160" s="915">
        <f t="shared" si="550"/>
        <v>0</v>
      </c>
      <c r="EV160" s="915">
        <f t="shared" si="551"/>
        <v>0</v>
      </c>
      <c r="EW160" s="915">
        <f t="shared" si="552"/>
        <v>0</v>
      </c>
      <c r="EX160" s="915">
        <f t="shared" si="553"/>
        <v>0</v>
      </c>
      <c r="EY160" s="915">
        <f t="shared" si="554"/>
        <v>0</v>
      </c>
      <c r="EZ160" s="915">
        <f t="shared" si="555"/>
        <v>0</v>
      </c>
      <c r="FA160" s="915">
        <f t="shared" si="556"/>
        <v>0</v>
      </c>
      <c r="FB160" s="915">
        <f t="shared" si="557"/>
        <v>0</v>
      </c>
      <c r="FC160" s="915">
        <f t="shared" si="558"/>
        <v>0</v>
      </c>
      <c r="FD160" s="915">
        <f t="shared" si="559"/>
        <v>0</v>
      </c>
      <c r="FE160" s="915">
        <f t="shared" si="560"/>
        <v>0</v>
      </c>
      <c r="FF160" s="915">
        <f t="shared" si="561"/>
        <v>0</v>
      </c>
      <c r="FG160" s="915">
        <f t="shared" si="562"/>
        <v>0</v>
      </c>
      <c r="FH160" s="915">
        <f t="shared" si="563"/>
        <v>0</v>
      </c>
      <c r="FI160" s="915">
        <f t="shared" si="564"/>
        <v>0</v>
      </c>
      <c r="FJ160" s="915">
        <f t="shared" si="565"/>
        <v>0</v>
      </c>
      <c r="FK160" s="915">
        <f t="shared" si="566"/>
        <v>0</v>
      </c>
      <c r="FL160" s="915">
        <f t="shared" si="567"/>
        <v>0</v>
      </c>
      <c r="FM160" s="915">
        <f t="shared" si="568"/>
        <v>0</v>
      </c>
      <c r="FN160" s="915">
        <f t="shared" si="569"/>
        <v>0</v>
      </c>
      <c r="FO160" s="915">
        <f t="shared" si="570"/>
        <v>0</v>
      </c>
      <c r="FP160" s="915">
        <f t="shared" si="571"/>
        <v>0</v>
      </c>
      <c r="FQ160" s="915">
        <f t="shared" si="572"/>
        <v>0</v>
      </c>
      <c r="FR160" s="915">
        <f t="shared" si="573"/>
        <v>0</v>
      </c>
      <c r="FS160" s="915">
        <f t="shared" si="574"/>
        <v>7.42</v>
      </c>
      <c r="FT160" s="915">
        <f t="shared" si="575"/>
        <v>0</v>
      </c>
      <c r="FU160" s="915">
        <f t="shared" si="576"/>
        <v>0</v>
      </c>
      <c r="FV160" s="915">
        <f t="shared" si="577"/>
        <v>0</v>
      </c>
      <c r="FW160" s="915">
        <f t="shared" si="578"/>
        <v>0</v>
      </c>
      <c r="FX160" s="915">
        <f t="shared" si="579"/>
        <v>0</v>
      </c>
      <c r="FY160" s="915">
        <f t="shared" si="580"/>
        <v>0</v>
      </c>
      <c r="FZ160" s="915">
        <f t="shared" si="581"/>
        <v>0</v>
      </c>
    </row>
    <row r="161" spans="1:182" x14ac:dyDescent="0.2">
      <c r="A161" s="497">
        <v>154</v>
      </c>
      <c r="B161" s="1423"/>
      <c r="C161" s="1424"/>
      <c r="D161" s="138">
        <v>20</v>
      </c>
      <c r="E161" s="138" t="s">
        <v>26</v>
      </c>
      <c r="F161" s="139" t="s">
        <v>2544</v>
      </c>
      <c r="G161" s="139" t="s">
        <v>2542</v>
      </c>
      <c r="H161" s="100">
        <v>7</v>
      </c>
      <c r="I161" s="119">
        <f t="shared" ref="I161:I166" si="672">IF(ISTEXT(K161),0,StateTaxSub*G161*H161)</f>
        <v>0.42</v>
      </c>
      <c r="J161" s="90">
        <f t="shared" ref="J161:J166" si="673">(G161*H161)+I161</f>
        <v>7.42</v>
      </c>
      <c r="K161" s="225"/>
      <c r="N161" s="951">
        <f>FT6</f>
        <v>7.42</v>
      </c>
      <c r="O161" s="879" t="str">
        <f>"Remediation for " &amp;TabName20</f>
        <v>Remediation for Phase 20</v>
      </c>
      <c r="P161" s="950" t="s">
        <v>2204</v>
      </c>
      <c r="W161" s="915">
        <f t="shared" si="486"/>
        <v>0</v>
      </c>
      <c r="X161" s="915">
        <f t="shared" si="487"/>
        <v>0</v>
      </c>
      <c r="Y161" s="915">
        <f t="shared" si="488"/>
        <v>0</v>
      </c>
      <c r="Z161" s="915">
        <f t="shared" si="505"/>
        <v>0</v>
      </c>
      <c r="AA161" s="915">
        <f t="shared" si="506"/>
        <v>0</v>
      </c>
      <c r="AB161" s="915">
        <f t="shared" si="507"/>
        <v>0</v>
      </c>
      <c r="AC161" s="915">
        <f t="shared" si="508"/>
        <v>0</v>
      </c>
      <c r="AD161" s="915">
        <f t="shared" si="509"/>
        <v>0</v>
      </c>
      <c r="AE161" s="915">
        <f t="shared" si="510"/>
        <v>0</v>
      </c>
      <c r="AF161" s="915">
        <f t="shared" si="511"/>
        <v>0</v>
      </c>
      <c r="AG161" s="915">
        <f t="shared" si="512"/>
        <v>0</v>
      </c>
      <c r="AH161" s="915">
        <f t="shared" si="513"/>
        <v>0</v>
      </c>
      <c r="AI161" s="915">
        <f t="shared" si="514"/>
        <v>0</v>
      </c>
      <c r="AJ161" s="915">
        <f t="shared" si="515"/>
        <v>0</v>
      </c>
      <c r="AK161" s="915">
        <f t="shared" si="516"/>
        <v>0</v>
      </c>
      <c r="AL161" s="915">
        <f t="shared" si="517"/>
        <v>0</v>
      </c>
      <c r="AM161" s="915">
        <f t="shared" si="518"/>
        <v>0</v>
      </c>
      <c r="AN161" s="915">
        <f t="shared" si="519"/>
        <v>0</v>
      </c>
      <c r="AO161" s="915">
        <f t="shared" si="520"/>
        <v>0</v>
      </c>
      <c r="AP161" s="915">
        <f t="shared" si="521"/>
        <v>0</v>
      </c>
      <c r="AQ161" s="915">
        <f t="shared" si="522"/>
        <v>0</v>
      </c>
      <c r="AR161" s="915">
        <f t="shared" si="523"/>
        <v>0</v>
      </c>
      <c r="AS161" s="915">
        <f t="shared" si="524"/>
        <v>0</v>
      </c>
      <c r="AT161" s="915">
        <f t="shared" si="525"/>
        <v>0</v>
      </c>
      <c r="AU161" s="915">
        <f t="shared" si="526"/>
        <v>0</v>
      </c>
      <c r="AV161" s="915">
        <f t="shared" si="527"/>
        <v>0</v>
      </c>
      <c r="AW161" s="915">
        <f t="shared" si="528"/>
        <v>0</v>
      </c>
      <c r="AX161" s="915">
        <f t="shared" si="529"/>
        <v>0</v>
      </c>
      <c r="AY161" s="915">
        <f t="shared" si="530"/>
        <v>0</v>
      </c>
      <c r="AZ161" s="915">
        <f t="shared" si="531"/>
        <v>0</v>
      </c>
      <c r="BA161" s="915">
        <f t="shared" si="532"/>
        <v>0</v>
      </c>
      <c r="BB161" s="915">
        <f t="shared" si="533"/>
        <v>0</v>
      </c>
      <c r="BC161" s="915">
        <f t="shared" si="640"/>
        <v>0</v>
      </c>
      <c r="BD161" s="915">
        <f t="shared" si="641"/>
        <v>0</v>
      </c>
      <c r="BE161" s="915">
        <f t="shared" si="642"/>
        <v>0</v>
      </c>
      <c r="BF161" s="915">
        <f t="shared" si="643"/>
        <v>0</v>
      </c>
      <c r="BG161" s="915">
        <f t="shared" si="644"/>
        <v>0</v>
      </c>
      <c r="BH161" s="915">
        <f t="shared" si="645"/>
        <v>0</v>
      </c>
      <c r="BI161" s="915">
        <f t="shared" si="646"/>
        <v>0</v>
      </c>
      <c r="BJ161" s="915">
        <f t="shared" si="647"/>
        <v>0</v>
      </c>
      <c r="BK161" s="915">
        <f t="shared" si="648"/>
        <v>0</v>
      </c>
      <c r="BL161" s="915">
        <f t="shared" si="649"/>
        <v>0</v>
      </c>
      <c r="BM161" s="915">
        <f t="shared" si="650"/>
        <v>0</v>
      </c>
      <c r="BN161" s="915">
        <f t="shared" si="651"/>
        <v>0</v>
      </c>
      <c r="BO161" s="915">
        <f t="shared" si="652"/>
        <v>0</v>
      </c>
      <c r="BP161" s="915">
        <f t="shared" si="653"/>
        <v>0</v>
      </c>
      <c r="BQ161" s="915">
        <f t="shared" si="654"/>
        <v>0</v>
      </c>
      <c r="BR161" s="915">
        <f t="shared" si="655"/>
        <v>0</v>
      </c>
      <c r="BS161" s="915">
        <f t="shared" ref="BS161:BS167" si="674">IF(AND($D161=$R$14,$E161=$T$8),$J161,0)</f>
        <v>0</v>
      </c>
      <c r="BT161" s="915">
        <f t="shared" ref="BT161:BT167" si="675">IF(AND($D161=$R$14,$E161=$T$9),$J161,0)</f>
        <v>0</v>
      </c>
      <c r="BU161" s="915">
        <f t="shared" ref="BU161:BU167" si="676">IF(AND($D161=$R$14,$E161=$T$10),$J161,0)</f>
        <v>0</v>
      </c>
      <c r="BV161" s="915">
        <f t="shared" ref="BV161:BV167" si="677">IF(AND($D161=$R$14,$E161=$T$11),$J161,0)</f>
        <v>0</v>
      </c>
      <c r="BW161" s="915">
        <f t="shared" ref="BW161:BW167" si="678">IF(AND($D161=$R$14,$E161=$T$12),$J161,0)</f>
        <v>0</v>
      </c>
      <c r="BX161" s="915">
        <f t="shared" ref="BX161:BX167" si="679">IF(AND($D161=$R$14,$E161=$T$13),$J161,0)</f>
        <v>0</v>
      </c>
      <c r="BY161" s="915">
        <f t="shared" ref="BY161:BY167" si="680">IF(AND($D161=$R$14,$E161=$T$14),$J161,0)</f>
        <v>0</v>
      </c>
      <c r="BZ161" s="915">
        <f t="shared" ref="BZ161:BZ167" si="681">IF(AND($D161=$R$14,$E161=$T$15),$J161,0)</f>
        <v>0</v>
      </c>
      <c r="CA161" s="915">
        <f t="shared" si="624"/>
        <v>0</v>
      </c>
      <c r="CB161" s="915">
        <f t="shared" si="625"/>
        <v>0</v>
      </c>
      <c r="CC161" s="915">
        <f t="shared" si="626"/>
        <v>0</v>
      </c>
      <c r="CD161" s="915">
        <f t="shared" si="627"/>
        <v>0</v>
      </c>
      <c r="CE161" s="915">
        <f t="shared" si="628"/>
        <v>0</v>
      </c>
      <c r="CF161" s="915">
        <f t="shared" si="629"/>
        <v>0</v>
      </c>
      <c r="CG161" s="915">
        <f t="shared" si="630"/>
        <v>0</v>
      </c>
      <c r="CH161" s="915">
        <f t="shared" si="631"/>
        <v>0</v>
      </c>
      <c r="CI161" s="915">
        <f t="shared" si="656"/>
        <v>0</v>
      </c>
      <c r="CJ161" s="915">
        <f t="shared" si="657"/>
        <v>0</v>
      </c>
      <c r="CK161" s="915">
        <f t="shared" si="658"/>
        <v>0</v>
      </c>
      <c r="CL161" s="915">
        <f t="shared" si="659"/>
        <v>0</v>
      </c>
      <c r="CM161" s="915">
        <f t="shared" si="660"/>
        <v>0</v>
      </c>
      <c r="CN161" s="915">
        <f t="shared" si="661"/>
        <v>0</v>
      </c>
      <c r="CO161" s="915">
        <f t="shared" si="662"/>
        <v>0</v>
      </c>
      <c r="CP161" s="915">
        <f t="shared" si="663"/>
        <v>0</v>
      </c>
      <c r="CQ161" s="915">
        <f t="shared" si="664"/>
        <v>0</v>
      </c>
      <c r="CR161" s="915">
        <f t="shared" si="665"/>
        <v>0</v>
      </c>
      <c r="CS161" s="915">
        <f t="shared" si="666"/>
        <v>0</v>
      </c>
      <c r="CT161" s="915">
        <f t="shared" si="667"/>
        <v>0</v>
      </c>
      <c r="CU161" s="915">
        <f t="shared" si="668"/>
        <v>0</v>
      </c>
      <c r="CV161" s="915">
        <f t="shared" si="669"/>
        <v>0</v>
      </c>
      <c r="CW161" s="915">
        <f t="shared" si="670"/>
        <v>0</v>
      </c>
      <c r="CX161" s="915">
        <f t="shared" si="671"/>
        <v>0</v>
      </c>
      <c r="CY161" s="915">
        <f t="shared" si="542"/>
        <v>0</v>
      </c>
      <c r="CZ161" s="915">
        <f t="shared" si="543"/>
        <v>0</v>
      </c>
      <c r="DA161" s="915">
        <f t="shared" si="544"/>
        <v>0</v>
      </c>
      <c r="DB161" s="915">
        <f t="shared" si="545"/>
        <v>0</v>
      </c>
      <c r="DC161" s="915">
        <f t="shared" si="546"/>
        <v>0</v>
      </c>
      <c r="DD161" s="915">
        <f t="shared" si="547"/>
        <v>0</v>
      </c>
      <c r="DE161" s="915">
        <f t="shared" si="548"/>
        <v>0</v>
      </c>
      <c r="DF161" s="915">
        <f t="shared" si="549"/>
        <v>0</v>
      </c>
      <c r="DG161" s="915">
        <f>IF(AND($D161=$R$19,$E161=$T$8),$J161,0)</f>
        <v>0</v>
      </c>
      <c r="DH161" s="915">
        <f>IF(AND($D161=$R$19,$E161=$T$9),$J161,0)</f>
        <v>0</v>
      </c>
      <c r="DI161" s="915">
        <f>IF(AND($D161=$R$19,$E161=$T$10),$J161,0)</f>
        <v>0</v>
      </c>
      <c r="DJ161" s="915">
        <f>IF(AND($D161=$R$19,$E161=$T$11),$J161,0)</f>
        <v>0</v>
      </c>
      <c r="DK161" s="915">
        <f>IF(AND($D161=$R$19,$E161=$T$12),$J161,0)</f>
        <v>0</v>
      </c>
      <c r="DL161" s="915">
        <f>IF(AND($D161=$R$19,$E161=$T$13),$J161,0)</f>
        <v>0</v>
      </c>
      <c r="DM161" s="915">
        <f>IF(AND($D161=$R$19,$E161=$T$14),$J161,0)</f>
        <v>0</v>
      </c>
      <c r="DN161" s="915">
        <f>IF(AND($D161=$R$19,$E161=$T$15),$J161,0)</f>
        <v>0</v>
      </c>
      <c r="DO161" s="915">
        <f t="shared" si="592"/>
        <v>0</v>
      </c>
      <c r="DP161" s="915">
        <f t="shared" si="593"/>
        <v>0</v>
      </c>
      <c r="DQ161" s="915">
        <f t="shared" si="594"/>
        <v>0</v>
      </c>
      <c r="DR161" s="915">
        <f t="shared" si="595"/>
        <v>0</v>
      </c>
      <c r="DS161" s="915">
        <f t="shared" si="596"/>
        <v>0</v>
      </c>
      <c r="DT161" s="915">
        <f t="shared" si="597"/>
        <v>0</v>
      </c>
      <c r="DU161" s="915">
        <f t="shared" si="598"/>
        <v>0</v>
      </c>
      <c r="DV161" s="915">
        <f t="shared" si="599"/>
        <v>0</v>
      </c>
      <c r="DW161" s="915">
        <f t="shared" si="600"/>
        <v>0</v>
      </c>
      <c r="DX161" s="915">
        <f t="shared" si="601"/>
        <v>0</v>
      </c>
      <c r="DY161" s="915">
        <f t="shared" si="602"/>
        <v>0</v>
      </c>
      <c r="DZ161" s="915">
        <f t="shared" si="603"/>
        <v>0</v>
      </c>
      <c r="EA161" s="915">
        <f t="shared" si="604"/>
        <v>0</v>
      </c>
      <c r="EB161" s="915">
        <f t="shared" si="605"/>
        <v>0</v>
      </c>
      <c r="EC161" s="915">
        <f t="shared" si="606"/>
        <v>0</v>
      </c>
      <c r="ED161" s="915">
        <f t="shared" si="607"/>
        <v>0</v>
      </c>
      <c r="EE161" s="915">
        <f t="shared" si="470"/>
        <v>0</v>
      </c>
      <c r="EF161" s="915">
        <f t="shared" si="471"/>
        <v>0</v>
      </c>
      <c r="EG161" s="915">
        <f t="shared" si="472"/>
        <v>0</v>
      </c>
      <c r="EH161" s="915">
        <f t="shared" si="473"/>
        <v>0</v>
      </c>
      <c r="EI161" s="915">
        <f t="shared" si="474"/>
        <v>0</v>
      </c>
      <c r="EJ161" s="915">
        <f t="shared" si="475"/>
        <v>0</v>
      </c>
      <c r="EK161" s="915">
        <f t="shared" si="476"/>
        <v>0</v>
      </c>
      <c r="EL161" s="915">
        <f t="shared" si="477"/>
        <v>0</v>
      </c>
      <c r="EM161" s="915">
        <f t="shared" si="478"/>
        <v>0</v>
      </c>
      <c r="EN161" s="915">
        <f t="shared" si="479"/>
        <v>0</v>
      </c>
      <c r="EO161" s="915">
        <f t="shared" si="480"/>
        <v>0</v>
      </c>
      <c r="EP161" s="915">
        <f t="shared" si="481"/>
        <v>0</v>
      </c>
      <c r="EQ161" s="915">
        <f t="shared" si="482"/>
        <v>0</v>
      </c>
      <c r="ER161" s="915">
        <f t="shared" si="483"/>
        <v>0</v>
      </c>
      <c r="ES161" s="915">
        <f t="shared" si="484"/>
        <v>0</v>
      </c>
      <c r="ET161" s="915">
        <f t="shared" si="485"/>
        <v>0</v>
      </c>
      <c r="EU161" s="915">
        <f t="shared" si="550"/>
        <v>0</v>
      </c>
      <c r="EV161" s="915">
        <f t="shared" si="551"/>
        <v>0</v>
      </c>
      <c r="EW161" s="915">
        <f t="shared" si="552"/>
        <v>0</v>
      </c>
      <c r="EX161" s="915">
        <f t="shared" si="553"/>
        <v>0</v>
      </c>
      <c r="EY161" s="915">
        <f t="shared" si="554"/>
        <v>0</v>
      </c>
      <c r="EZ161" s="915">
        <f t="shared" si="555"/>
        <v>0</v>
      </c>
      <c r="FA161" s="915">
        <f t="shared" si="556"/>
        <v>0</v>
      </c>
      <c r="FB161" s="915">
        <f t="shared" si="557"/>
        <v>0</v>
      </c>
      <c r="FC161" s="915">
        <f t="shared" si="558"/>
        <v>0</v>
      </c>
      <c r="FD161" s="915">
        <f t="shared" si="559"/>
        <v>0</v>
      </c>
      <c r="FE161" s="915">
        <f t="shared" si="560"/>
        <v>0</v>
      </c>
      <c r="FF161" s="915">
        <f t="shared" si="561"/>
        <v>0</v>
      </c>
      <c r="FG161" s="915">
        <f t="shared" si="562"/>
        <v>0</v>
      </c>
      <c r="FH161" s="915">
        <f t="shared" si="563"/>
        <v>0</v>
      </c>
      <c r="FI161" s="915">
        <f t="shared" si="564"/>
        <v>0</v>
      </c>
      <c r="FJ161" s="915">
        <f t="shared" si="565"/>
        <v>0</v>
      </c>
      <c r="FK161" s="915">
        <f t="shared" si="566"/>
        <v>0</v>
      </c>
      <c r="FL161" s="915">
        <f t="shared" si="567"/>
        <v>0</v>
      </c>
      <c r="FM161" s="915">
        <f t="shared" si="568"/>
        <v>0</v>
      </c>
      <c r="FN161" s="915">
        <f t="shared" si="569"/>
        <v>0</v>
      </c>
      <c r="FO161" s="915">
        <f t="shared" si="570"/>
        <v>0</v>
      </c>
      <c r="FP161" s="915">
        <f t="shared" si="571"/>
        <v>0</v>
      </c>
      <c r="FQ161" s="915">
        <f t="shared" si="572"/>
        <v>0</v>
      </c>
      <c r="FR161" s="915">
        <f t="shared" si="573"/>
        <v>0</v>
      </c>
      <c r="FS161" s="915">
        <f t="shared" si="574"/>
        <v>0</v>
      </c>
      <c r="FT161" s="915">
        <f t="shared" si="575"/>
        <v>7.42</v>
      </c>
      <c r="FU161" s="915">
        <f t="shared" si="576"/>
        <v>0</v>
      </c>
      <c r="FV161" s="915">
        <f t="shared" si="577"/>
        <v>0</v>
      </c>
      <c r="FW161" s="915">
        <f t="shared" si="578"/>
        <v>0</v>
      </c>
      <c r="FX161" s="915">
        <f t="shared" si="579"/>
        <v>0</v>
      </c>
      <c r="FY161" s="915">
        <f t="shared" si="580"/>
        <v>0</v>
      </c>
      <c r="FZ161" s="915">
        <f t="shared" si="581"/>
        <v>0</v>
      </c>
    </row>
    <row r="162" spans="1:182" ht="12" customHeight="1" x14ac:dyDescent="0.2">
      <c r="A162" s="496">
        <v>155</v>
      </c>
      <c r="B162" s="1419"/>
      <c r="C162" s="1433"/>
      <c r="D162" s="264">
        <v>20</v>
      </c>
      <c r="E162" s="264" t="s">
        <v>35</v>
      </c>
      <c r="F162" s="270" t="s">
        <v>2544</v>
      </c>
      <c r="G162" s="270" t="s">
        <v>2542</v>
      </c>
      <c r="H162" s="272">
        <v>7</v>
      </c>
      <c r="I162" s="268">
        <f t="shared" si="672"/>
        <v>0.42</v>
      </c>
      <c r="J162" s="269">
        <f t="shared" si="673"/>
        <v>7.42</v>
      </c>
      <c r="K162" s="225"/>
      <c r="N162" s="951">
        <f>FU6</f>
        <v>7.42</v>
      </c>
      <c r="O162" s="879" t="str">
        <f>"General Construction for " &amp; TabName20</f>
        <v>General Construction for Phase 20</v>
      </c>
      <c r="P162" s="949" t="s">
        <v>2203</v>
      </c>
      <c r="W162" s="915">
        <f t="shared" si="486"/>
        <v>0</v>
      </c>
      <c r="X162" s="915">
        <f t="shared" si="487"/>
        <v>0</v>
      </c>
      <c r="Y162" s="915">
        <f t="shared" si="488"/>
        <v>0</v>
      </c>
      <c r="Z162" s="915">
        <f t="shared" si="505"/>
        <v>0</v>
      </c>
      <c r="AA162" s="915">
        <f t="shared" si="506"/>
        <v>0</v>
      </c>
      <c r="AB162" s="915">
        <f t="shared" si="507"/>
        <v>0</v>
      </c>
      <c r="AC162" s="915">
        <f t="shared" si="508"/>
        <v>0</v>
      </c>
      <c r="AD162" s="915">
        <f t="shared" si="509"/>
        <v>0</v>
      </c>
      <c r="AE162" s="915">
        <f t="shared" si="510"/>
        <v>0</v>
      </c>
      <c r="AF162" s="915">
        <f t="shared" si="511"/>
        <v>0</v>
      </c>
      <c r="AG162" s="915">
        <f t="shared" si="512"/>
        <v>0</v>
      </c>
      <c r="AH162" s="915">
        <f t="shared" si="513"/>
        <v>0</v>
      </c>
      <c r="AI162" s="915">
        <f t="shared" si="514"/>
        <v>0</v>
      </c>
      <c r="AJ162" s="915">
        <f t="shared" si="515"/>
        <v>0</v>
      </c>
      <c r="AK162" s="915">
        <f t="shared" si="516"/>
        <v>0</v>
      </c>
      <c r="AL162" s="915">
        <f t="shared" si="517"/>
        <v>0</v>
      </c>
      <c r="AM162" s="915">
        <f t="shared" si="518"/>
        <v>0</v>
      </c>
      <c r="AN162" s="915">
        <f t="shared" si="519"/>
        <v>0</v>
      </c>
      <c r="AO162" s="915">
        <f t="shared" si="520"/>
        <v>0</v>
      </c>
      <c r="AP162" s="915">
        <f t="shared" si="521"/>
        <v>0</v>
      </c>
      <c r="AQ162" s="915">
        <f t="shared" si="522"/>
        <v>0</v>
      </c>
      <c r="AR162" s="915">
        <f t="shared" si="523"/>
        <v>0</v>
      </c>
      <c r="AS162" s="915">
        <f t="shared" si="524"/>
        <v>0</v>
      </c>
      <c r="AT162" s="915">
        <f t="shared" si="525"/>
        <v>0</v>
      </c>
      <c r="AU162" s="915">
        <f t="shared" si="526"/>
        <v>0</v>
      </c>
      <c r="AV162" s="915">
        <f t="shared" si="527"/>
        <v>0</v>
      </c>
      <c r="AW162" s="915">
        <f t="shared" si="528"/>
        <v>0</v>
      </c>
      <c r="AX162" s="915">
        <f t="shared" si="529"/>
        <v>0</v>
      </c>
      <c r="AY162" s="915">
        <f t="shared" si="530"/>
        <v>0</v>
      </c>
      <c r="AZ162" s="915">
        <f t="shared" si="531"/>
        <v>0</v>
      </c>
      <c r="BA162" s="915">
        <f t="shared" si="532"/>
        <v>0</v>
      </c>
      <c r="BB162" s="915">
        <f t="shared" si="533"/>
        <v>0</v>
      </c>
      <c r="BC162" s="915">
        <f t="shared" si="640"/>
        <v>0</v>
      </c>
      <c r="BD162" s="915">
        <f t="shared" si="641"/>
        <v>0</v>
      </c>
      <c r="BE162" s="915">
        <f t="shared" si="642"/>
        <v>0</v>
      </c>
      <c r="BF162" s="915">
        <f t="shared" si="643"/>
        <v>0</v>
      </c>
      <c r="BG162" s="915">
        <f t="shared" si="644"/>
        <v>0</v>
      </c>
      <c r="BH162" s="915">
        <f t="shared" si="645"/>
        <v>0</v>
      </c>
      <c r="BI162" s="915">
        <f t="shared" si="646"/>
        <v>0</v>
      </c>
      <c r="BJ162" s="915">
        <f t="shared" si="647"/>
        <v>0</v>
      </c>
      <c r="BK162" s="915">
        <f t="shared" si="648"/>
        <v>0</v>
      </c>
      <c r="BL162" s="915">
        <f t="shared" si="649"/>
        <v>0</v>
      </c>
      <c r="BM162" s="915">
        <f t="shared" si="650"/>
        <v>0</v>
      </c>
      <c r="BN162" s="915">
        <f t="shared" si="651"/>
        <v>0</v>
      </c>
      <c r="BO162" s="915">
        <f t="shared" si="652"/>
        <v>0</v>
      </c>
      <c r="BP162" s="915">
        <f t="shared" si="653"/>
        <v>0</v>
      </c>
      <c r="BQ162" s="915">
        <f t="shared" si="654"/>
        <v>0</v>
      </c>
      <c r="BR162" s="915">
        <f t="shared" si="655"/>
        <v>0</v>
      </c>
      <c r="BS162" s="915">
        <f t="shared" si="674"/>
        <v>0</v>
      </c>
      <c r="BT162" s="915">
        <f t="shared" si="675"/>
        <v>0</v>
      </c>
      <c r="BU162" s="915">
        <f t="shared" si="676"/>
        <v>0</v>
      </c>
      <c r="BV162" s="915">
        <f t="shared" si="677"/>
        <v>0</v>
      </c>
      <c r="BW162" s="915">
        <f t="shared" si="678"/>
        <v>0</v>
      </c>
      <c r="BX162" s="915">
        <f t="shared" si="679"/>
        <v>0</v>
      </c>
      <c r="BY162" s="915">
        <f t="shared" si="680"/>
        <v>0</v>
      </c>
      <c r="BZ162" s="915">
        <f t="shared" si="681"/>
        <v>0</v>
      </c>
      <c r="CA162" s="915">
        <f>IF(AND($D162=$R$15,$E162=$T$8),$J162,0)</f>
        <v>0</v>
      </c>
      <c r="CB162" s="915">
        <f>IF(AND($D162=$R$15,$E162=$T$9),$J162,0)</f>
        <v>0</v>
      </c>
      <c r="CC162" s="915">
        <f>IF(AND($D162=$R$15,$E162=$T$10),$J162,0)</f>
        <v>0</v>
      </c>
      <c r="CD162" s="915">
        <f>IF(AND($D162=$R$15,$E162=$T$11),$J162,0)</f>
        <v>0</v>
      </c>
      <c r="CE162" s="915">
        <f>IF(AND($D162=$R$15,$E162=$T$12),$J162,0)</f>
        <v>0</v>
      </c>
      <c r="CF162" s="915">
        <f>IF(AND($D162=$R$15,$E162=$T$13),$J162,0)</f>
        <v>0</v>
      </c>
      <c r="CG162" s="915">
        <f>IF(AND($D162=$R$15,$E162=$T$14),$J162,0)</f>
        <v>0</v>
      </c>
      <c r="CH162" s="915">
        <f>IF(AND($D162=$R$15,$E162=$T$15),$J162,0)</f>
        <v>0</v>
      </c>
      <c r="CI162" s="915">
        <f t="shared" si="656"/>
        <v>0</v>
      </c>
      <c r="CJ162" s="915">
        <f t="shared" si="657"/>
        <v>0</v>
      </c>
      <c r="CK162" s="915">
        <f t="shared" si="658"/>
        <v>0</v>
      </c>
      <c r="CL162" s="915">
        <f t="shared" si="659"/>
        <v>0</v>
      </c>
      <c r="CM162" s="915">
        <f t="shared" si="660"/>
        <v>0</v>
      </c>
      <c r="CN162" s="915">
        <f t="shared" si="661"/>
        <v>0</v>
      </c>
      <c r="CO162" s="915">
        <f t="shared" si="662"/>
        <v>0</v>
      </c>
      <c r="CP162" s="915">
        <f t="shared" si="663"/>
        <v>0</v>
      </c>
      <c r="CQ162" s="915">
        <f t="shared" si="664"/>
        <v>0</v>
      </c>
      <c r="CR162" s="915">
        <f t="shared" si="665"/>
        <v>0</v>
      </c>
      <c r="CS162" s="915">
        <f t="shared" si="666"/>
        <v>0</v>
      </c>
      <c r="CT162" s="915">
        <f t="shared" si="667"/>
        <v>0</v>
      </c>
      <c r="CU162" s="915">
        <f t="shared" si="668"/>
        <v>0</v>
      </c>
      <c r="CV162" s="915">
        <f t="shared" si="669"/>
        <v>0</v>
      </c>
      <c r="CW162" s="915">
        <f t="shared" si="670"/>
        <v>0</v>
      </c>
      <c r="CX162" s="915">
        <f t="shared" si="671"/>
        <v>0</v>
      </c>
      <c r="CY162" s="915">
        <f t="shared" si="542"/>
        <v>0</v>
      </c>
      <c r="CZ162" s="915">
        <f t="shared" si="543"/>
        <v>0</v>
      </c>
      <c r="DA162" s="915">
        <f t="shared" si="544"/>
        <v>0</v>
      </c>
      <c r="DB162" s="915">
        <f t="shared" si="545"/>
        <v>0</v>
      </c>
      <c r="DC162" s="915">
        <f t="shared" si="546"/>
        <v>0</v>
      </c>
      <c r="DD162" s="915">
        <f t="shared" si="547"/>
        <v>0</v>
      </c>
      <c r="DE162" s="915">
        <f t="shared" si="548"/>
        <v>0</v>
      </c>
      <c r="DF162" s="915">
        <f t="shared" si="549"/>
        <v>0</v>
      </c>
      <c r="DG162" s="915">
        <f t="shared" ref="DG162:DG167" si="682">IF(AND($D162=$R$19,$E162=$T$8),$J162,0)</f>
        <v>0</v>
      </c>
      <c r="DH162" s="915">
        <f t="shared" ref="DH162:DH167" si="683">IF(AND($D162=$R$19,$E162=$T$9),$J162,0)</f>
        <v>0</v>
      </c>
      <c r="DI162" s="915">
        <f t="shared" ref="DI162:DI167" si="684">IF(AND($D162=$R$19,$E162=$T$10),$J162,0)</f>
        <v>0</v>
      </c>
      <c r="DJ162" s="915">
        <f t="shared" ref="DJ162:DJ167" si="685">IF(AND($D162=$R$19,$E162=$T$11),$J162,0)</f>
        <v>0</v>
      </c>
      <c r="DK162" s="915">
        <f t="shared" ref="DK162:DK167" si="686">IF(AND($D162=$R$19,$E162=$T$12),$J162,0)</f>
        <v>0</v>
      </c>
      <c r="DL162" s="915">
        <f t="shared" ref="DL162:DL167" si="687">IF(AND($D162=$R$19,$E162=$T$13),$J162,0)</f>
        <v>0</v>
      </c>
      <c r="DM162" s="915">
        <f t="shared" ref="DM162:DM167" si="688">IF(AND($D162=$R$19,$E162=$T$14),$J162,0)</f>
        <v>0</v>
      </c>
      <c r="DN162" s="915">
        <f t="shared" ref="DN162:DN167" si="689">IF(AND($D162=$R$19,$E162=$T$15),$J162,0)</f>
        <v>0</v>
      </c>
      <c r="DO162" s="915">
        <f t="shared" si="592"/>
        <v>0</v>
      </c>
      <c r="DP162" s="915">
        <f t="shared" si="593"/>
        <v>0</v>
      </c>
      <c r="DQ162" s="915">
        <f t="shared" si="594"/>
        <v>0</v>
      </c>
      <c r="DR162" s="915">
        <f t="shared" si="595"/>
        <v>0</v>
      </c>
      <c r="DS162" s="915">
        <f t="shared" si="596"/>
        <v>0</v>
      </c>
      <c r="DT162" s="915">
        <f t="shared" si="597"/>
        <v>0</v>
      </c>
      <c r="DU162" s="915">
        <f t="shared" si="598"/>
        <v>0</v>
      </c>
      <c r="DV162" s="915">
        <f t="shared" si="599"/>
        <v>0</v>
      </c>
      <c r="DW162" s="915">
        <f t="shared" si="600"/>
        <v>0</v>
      </c>
      <c r="DX162" s="915">
        <f t="shared" si="601"/>
        <v>0</v>
      </c>
      <c r="DY162" s="915">
        <f t="shared" si="602"/>
        <v>0</v>
      </c>
      <c r="DZ162" s="915">
        <f t="shared" si="603"/>
        <v>0</v>
      </c>
      <c r="EA162" s="915">
        <f t="shared" si="604"/>
        <v>0</v>
      </c>
      <c r="EB162" s="915">
        <f t="shared" si="605"/>
        <v>0</v>
      </c>
      <c r="EC162" s="915">
        <f t="shared" si="606"/>
        <v>0</v>
      </c>
      <c r="ED162" s="915">
        <f t="shared" si="607"/>
        <v>0</v>
      </c>
      <c r="EE162" s="915">
        <f t="shared" si="470"/>
        <v>0</v>
      </c>
      <c r="EF162" s="915">
        <f t="shared" si="471"/>
        <v>0</v>
      </c>
      <c r="EG162" s="915">
        <f t="shared" si="472"/>
        <v>0</v>
      </c>
      <c r="EH162" s="915">
        <f t="shared" si="473"/>
        <v>0</v>
      </c>
      <c r="EI162" s="915">
        <f t="shared" si="474"/>
        <v>0</v>
      </c>
      <c r="EJ162" s="915">
        <f t="shared" si="475"/>
        <v>0</v>
      </c>
      <c r="EK162" s="915">
        <f t="shared" si="476"/>
        <v>0</v>
      </c>
      <c r="EL162" s="915">
        <f t="shared" si="477"/>
        <v>0</v>
      </c>
      <c r="EM162" s="915">
        <f t="shared" si="478"/>
        <v>0</v>
      </c>
      <c r="EN162" s="915">
        <f t="shared" si="479"/>
        <v>0</v>
      </c>
      <c r="EO162" s="915">
        <f t="shared" si="480"/>
        <v>0</v>
      </c>
      <c r="EP162" s="915">
        <f t="shared" si="481"/>
        <v>0</v>
      </c>
      <c r="EQ162" s="915">
        <f t="shared" si="482"/>
        <v>0</v>
      </c>
      <c r="ER162" s="915">
        <f t="shared" si="483"/>
        <v>0</v>
      </c>
      <c r="ES162" s="915">
        <f t="shared" si="484"/>
        <v>0</v>
      </c>
      <c r="ET162" s="915">
        <f t="shared" si="485"/>
        <v>0</v>
      </c>
      <c r="EU162" s="915">
        <f t="shared" si="550"/>
        <v>0</v>
      </c>
      <c r="EV162" s="915">
        <f t="shared" si="551"/>
        <v>0</v>
      </c>
      <c r="EW162" s="915">
        <f t="shared" si="552"/>
        <v>0</v>
      </c>
      <c r="EX162" s="915">
        <f t="shared" si="553"/>
        <v>0</v>
      </c>
      <c r="EY162" s="915">
        <f t="shared" si="554"/>
        <v>0</v>
      </c>
      <c r="EZ162" s="915">
        <f t="shared" si="555"/>
        <v>0</v>
      </c>
      <c r="FA162" s="915">
        <f t="shared" si="556"/>
        <v>0</v>
      </c>
      <c r="FB162" s="915">
        <f t="shared" si="557"/>
        <v>0</v>
      </c>
      <c r="FC162" s="915">
        <f t="shared" si="558"/>
        <v>0</v>
      </c>
      <c r="FD162" s="915">
        <f t="shared" si="559"/>
        <v>0</v>
      </c>
      <c r="FE162" s="915">
        <f t="shared" si="560"/>
        <v>0</v>
      </c>
      <c r="FF162" s="915">
        <f t="shared" si="561"/>
        <v>0</v>
      </c>
      <c r="FG162" s="915">
        <f t="shared" si="562"/>
        <v>0</v>
      </c>
      <c r="FH162" s="915">
        <f t="shared" si="563"/>
        <v>0</v>
      </c>
      <c r="FI162" s="915">
        <f t="shared" si="564"/>
        <v>0</v>
      </c>
      <c r="FJ162" s="915">
        <f t="shared" si="565"/>
        <v>0</v>
      </c>
      <c r="FK162" s="915">
        <f>IF(AND($D162=$R$26,$E162=$T$8),$J162,0)</f>
        <v>0</v>
      </c>
      <c r="FL162" s="915">
        <f>IF(AND($D162=$R$26,$E162=$T$9),$J162,0)</f>
        <v>0</v>
      </c>
      <c r="FM162" s="915">
        <f>IF(AND($D162=$R$26,$E162=$T$10),$J162,0)</f>
        <v>0</v>
      </c>
      <c r="FN162" s="915">
        <f>IF(AND($D162=$R$26,$E162=$T$11),$J162,0)</f>
        <v>0</v>
      </c>
      <c r="FO162" s="915">
        <f>IF(AND($D162=$R$26,$E162=$T$12),$J162,0)</f>
        <v>0</v>
      </c>
      <c r="FP162" s="915">
        <f>IF(AND($D162=$R$26,$E162=$T$13),$J162,0)</f>
        <v>0</v>
      </c>
      <c r="FQ162" s="915">
        <f>IF(AND($D162=$R$26,$E162=$T$14),$J162,0)</f>
        <v>0</v>
      </c>
      <c r="FR162" s="915">
        <f>IF(AND($D162=$R$26,$E162=$T$15),$J162,0)</f>
        <v>0</v>
      </c>
      <c r="FS162" s="915">
        <f>IF(AND($D162=$R$27,$E162=$T$8),$J162,0)</f>
        <v>0</v>
      </c>
      <c r="FT162" s="915">
        <f>IF(AND($D162=$R$27,$E162=$T$9),$J162,0)</f>
        <v>0</v>
      </c>
      <c r="FU162" s="915">
        <f>IF(AND($D162=$R$27,$E162=$T$10),$J162,0)</f>
        <v>7.42</v>
      </c>
      <c r="FV162" s="915">
        <f>IF(AND($D162=$R$27,$E162=$T$11),$J162,0)</f>
        <v>0</v>
      </c>
      <c r="FW162" s="915">
        <f>IF(AND($D162=$R$27,$E162=$T$12),$J162,0)</f>
        <v>0</v>
      </c>
      <c r="FX162" s="915">
        <f>IF(AND($D162=$R$27,$E162=$T$13),$J162,0)</f>
        <v>0</v>
      </c>
      <c r="FY162" s="915">
        <f>IF(AND($D162=$R$27,$E162=$T$14),$J162,0)</f>
        <v>0</v>
      </c>
      <c r="FZ162" s="915">
        <f>IF(AND($D162=$R$27,$E162=$T$15),$J162,0)</f>
        <v>0</v>
      </c>
    </row>
    <row r="163" spans="1:182" x14ac:dyDescent="0.2">
      <c r="A163" s="497">
        <v>156</v>
      </c>
      <c r="B163" s="1423"/>
      <c r="C163" s="1424"/>
      <c r="D163" s="138">
        <v>20</v>
      </c>
      <c r="E163" s="138" t="s">
        <v>52</v>
      </c>
      <c r="F163" s="139" t="s">
        <v>2544</v>
      </c>
      <c r="G163" s="139" t="s">
        <v>2542</v>
      </c>
      <c r="H163" s="100">
        <v>7</v>
      </c>
      <c r="I163" s="119">
        <f t="shared" si="672"/>
        <v>0.42</v>
      </c>
      <c r="J163" s="90">
        <f t="shared" si="673"/>
        <v>7.42</v>
      </c>
      <c r="K163" s="225"/>
      <c r="N163" s="951">
        <f>FV6</f>
        <v>7.42</v>
      </c>
      <c r="O163" s="915" t="str">
        <f>"Waste Haul for "&amp;TabName20</f>
        <v>Waste Haul for Phase 20</v>
      </c>
      <c r="P163" s="949" t="s">
        <v>2202</v>
      </c>
      <c r="W163" s="915">
        <f>IF(AND($D163=$R$8,$E163=$T$8),$J163,0)</f>
        <v>0</v>
      </c>
      <c r="X163" s="915">
        <f t="shared" si="487"/>
        <v>0</v>
      </c>
      <c r="Y163" s="915">
        <f t="shared" si="488"/>
        <v>0</v>
      </c>
      <c r="Z163" s="915">
        <f t="shared" si="505"/>
        <v>0</v>
      </c>
      <c r="AA163" s="915">
        <f t="shared" si="506"/>
        <v>0</v>
      </c>
      <c r="AB163" s="915">
        <f t="shared" si="507"/>
        <v>0</v>
      </c>
      <c r="AC163" s="915">
        <f t="shared" si="508"/>
        <v>0</v>
      </c>
      <c r="AD163" s="915">
        <f t="shared" si="509"/>
        <v>0</v>
      </c>
      <c r="AE163" s="915">
        <f t="shared" si="510"/>
        <v>0</v>
      </c>
      <c r="AF163" s="915">
        <f t="shared" si="511"/>
        <v>0</v>
      </c>
      <c r="AG163" s="915">
        <f t="shared" si="512"/>
        <v>0</v>
      </c>
      <c r="AH163" s="915">
        <f t="shared" si="513"/>
        <v>0</v>
      </c>
      <c r="AI163" s="915">
        <f t="shared" si="514"/>
        <v>0</v>
      </c>
      <c r="AJ163" s="915">
        <f t="shared" si="515"/>
        <v>0</v>
      </c>
      <c r="AK163" s="915">
        <f t="shared" si="516"/>
        <v>0</v>
      </c>
      <c r="AL163" s="915">
        <f t="shared" si="517"/>
        <v>0</v>
      </c>
      <c r="AM163" s="915">
        <f t="shared" si="518"/>
        <v>0</v>
      </c>
      <c r="AN163" s="915">
        <f t="shared" si="519"/>
        <v>0</v>
      </c>
      <c r="AO163" s="915">
        <f t="shared" si="520"/>
        <v>0</v>
      </c>
      <c r="AP163" s="915">
        <f t="shared" si="521"/>
        <v>0</v>
      </c>
      <c r="AQ163" s="915">
        <f t="shared" si="522"/>
        <v>0</v>
      </c>
      <c r="AR163" s="915">
        <f t="shared" si="523"/>
        <v>0</v>
      </c>
      <c r="AS163" s="915">
        <f t="shared" si="524"/>
        <v>0</v>
      </c>
      <c r="AT163" s="915">
        <f t="shared" si="525"/>
        <v>0</v>
      </c>
      <c r="AU163" s="915">
        <f t="shared" si="526"/>
        <v>0</v>
      </c>
      <c r="AV163" s="915">
        <f t="shared" si="527"/>
        <v>0</v>
      </c>
      <c r="AW163" s="915">
        <f t="shared" si="528"/>
        <v>0</v>
      </c>
      <c r="AX163" s="915">
        <f t="shared" si="529"/>
        <v>0</v>
      </c>
      <c r="AY163" s="915">
        <f t="shared" si="530"/>
        <v>0</v>
      </c>
      <c r="AZ163" s="915">
        <f t="shared" si="531"/>
        <v>0</v>
      </c>
      <c r="BA163" s="915">
        <f t="shared" si="532"/>
        <v>0</v>
      </c>
      <c r="BB163" s="915">
        <f t="shared" si="533"/>
        <v>0</v>
      </c>
      <c r="BC163" s="915">
        <f t="shared" si="640"/>
        <v>0</v>
      </c>
      <c r="BD163" s="915">
        <f t="shared" si="641"/>
        <v>0</v>
      </c>
      <c r="BE163" s="915">
        <f t="shared" si="642"/>
        <v>0</v>
      </c>
      <c r="BF163" s="915">
        <f t="shared" si="643"/>
        <v>0</v>
      </c>
      <c r="BG163" s="915">
        <f t="shared" si="644"/>
        <v>0</v>
      </c>
      <c r="BH163" s="915">
        <f t="shared" si="645"/>
        <v>0</v>
      </c>
      <c r="BI163" s="915">
        <f t="shared" si="646"/>
        <v>0</v>
      </c>
      <c r="BJ163" s="915">
        <f t="shared" si="647"/>
        <v>0</v>
      </c>
      <c r="BK163" s="915">
        <f t="shared" si="648"/>
        <v>0</v>
      </c>
      <c r="BL163" s="915">
        <f t="shared" si="649"/>
        <v>0</v>
      </c>
      <c r="BM163" s="915">
        <f t="shared" si="650"/>
        <v>0</v>
      </c>
      <c r="BN163" s="915">
        <f t="shared" si="651"/>
        <v>0</v>
      </c>
      <c r="BO163" s="915">
        <f t="shared" si="652"/>
        <v>0</v>
      </c>
      <c r="BP163" s="915">
        <f t="shared" si="653"/>
        <v>0</v>
      </c>
      <c r="BQ163" s="915">
        <f t="shared" si="654"/>
        <v>0</v>
      </c>
      <c r="BR163" s="915">
        <f t="shared" si="655"/>
        <v>0</v>
      </c>
      <c r="BS163" s="915">
        <f t="shared" si="674"/>
        <v>0</v>
      </c>
      <c r="BT163" s="915">
        <f t="shared" si="675"/>
        <v>0</v>
      </c>
      <c r="BU163" s="915">
        <f t="shared" si="676"/>
        <v>0</v>
      </c>
      <c r="BV163" s="915">
        <f t="shared" si="677"/>
        <v>0</v>
      </c>
      <c r="BW163" s="915">
        <f t="shared" si="678"/>
        <v>0</v>
      </c>
      <c r="BX163" s="915">
        <f t="shared" si="679"/>
        <v>0</v>
      </c>
      <c r="BY163" s="915">
        <f t="shared" si="680"/>
        <v>0</v>
      </c>
      <c r="BZ163" s="915">
        <f t="shared" si="681"/>
        <v>0</v>
      </c>
      <c r="CA163" s="915">
        <f t="shared" ref="CA163:CA167" si="690">IF(AND($D163=$R$15,$E163=$T$8),$J163,0)</f>
        <v>0</v>
      </c>
      <c r="CB163" s="915">
        <f t="shared" ref="CB163:CB167" si="691">IF(AND($D163=$R$15,$E163=$T$9),$J163,0)</f>
        <v>0</v>
      </c>
      <c r="CC163" s="915">
        <f t="shared" ref="CC163:CC167" si="692">IF(AND($D163=$R$15,$E163=$T$10),$J163,0)</f>
        <v>0</v>
      </c>
      <c r="CD163" s="915">
        <f t="shared" ref="CD163:CD167" si="693">IF(AND($D163=$R$15,$E163=$T$11),$J163,0)</f>
        <v>0</v>
      </c>
      <c r="CE163" s="915">
        <f t="shared" ref="CE163:CE167" si="694">IF(AND($D163=$R$15,$E163=$T$12),$J163,0)</f>
        <v>0</v>
      </c>
      <c r="CF163" s="915">
        <f t="shared" ref="CF163:CF167" si="695">IF(AND($D163=$R$15,$E163=$T$13),$J163,0)</f>
        <v>0</v>
      </c>
      <c r="CG163" s="915">
        <f t="shared" ref="CG163:CG167" si="696">IF(AND($D163=$R$15,$E163=$T$14),$J163,0)</f>
        <v>0</v>
      </c>
      <c r="CH163" s="915">
        <f t="shared" ref="CH163:CH167" si="697">IF(AND($D163=$R$15,$E163=$T$15),$J163,0)</f>
        <v>0</v>
      </c>
      <c r="CI163" s="915">
        <f t="shared" si="656"/>
        <v>0</v>
      </c>
      <c r="CJ163" s="915">
        <f t="shared" si="657"/>
        <v>0</v>
      </c>
      <c r="CK163" s="915">
        <f t="shared" si="658"/>
        <v>0</v>
      </c>
      <c r="CL163" s="915">
        <f t="shared" si="659"/>
        <v>0</v>
      </c>
      <c r="CM163" s="915">
        <f t="shared" si="660"/>
        <v>0</v>
      </c>
      <c r="CN163" s="915">
        <f t="shared" si="661"/>
        <v>0</v>
      </c>
      <c r="CO163" s="915">
        <f t="shared" si="662"/>
        <v>0</v>
      </c>
      <c r="CP163" s="915">
        <f t="shared" si="663"/>
        <v>0</v>
      </c>
      <c r="CQ163" s="915">
        <f t="shared" si="664"/>
        <v>0</v>
      </c>
      <c r="CR163" s="915">
        <f t="shared" si="665"/>
        <v>0</v>
      </c>
      <c r="CS163" s="915">
        <f t="shared" si="666"/>
        <v>0</v>
      </c>
      <c r="CT163" s="915">
        <f t="shared" si="667"/>
        <v>0</v>
      </c>
      <c r="CU163" s="915">
        <f t="shared" si="668"/>
        <v>0</v>
      </c>
      <c r="CV163" s="915">
        <f t="shared" si="669"/>
        <v>0</v>
      </c>
      <c r="CW163" s="915">
        <f t="shared" si="670"/>
        <v>0</v>
      </c>
      <c r="CX163" s="915">
        <f t="shared" si="671"/>
        <v>0</v>
      </c>
      <c r="CY163" s="915">
        <f t="shared" si="542"/>
        <v>0</v>
      </c>
      <c r="CZ163" s="915">
        <f t="shared" si="543"/>
        <v>0</v>
      </c>
      <c r="DA163" s="915">
        <f t="shared" si="544"/>
        <v>0</v>
      </c>
      <c r="DB163" s="915">
        <f t="shared" si="545"/>
        <v>0</v>
      </c>
      <c r="DC163" s="915">
        <f t="shared" si="546"/>
        <v>0</v>
      </c>
      <c r="DD163" s="915">
        <f t="shared" si="547"/>
        <v>0</v>
      </c>
      <c r="DE163" s="915">
        <f t="shared" si="548"/>
        <v>0</v>
      </c>
      <c r="DF163" s="915">
        <f t="shared" si="549"/>
        <v>0</v>
      </c>
      <c r="DG163" s="915">
        <f t="shared" si="682"/>
        <v>0</v>
      </c>
      <c r="DH163" s="915">
        <f t="shared" si="683"/>
        <v>0</v>
      </c>
      <c r="DI163" s="915">
        <f t="shared" si="684"/>
        <v>0</v>
      </c>
      <c r="DJ163" s="915">
        <f t="shared" si="685"/>
        <v>0</v>
      </c>
      <c r="DK163" s="915">
        <f t="shared" si="686"/>
        <v>0</v>
      </c>
      <c r="DL163" s="915">
        <f t="shared" si="687"/>
        <v>0</v>
      </c>
      <c r="DM163" s="915">
        <f t="shared" si="688"/>
        <v>0</v>
      </c>
      <c r="DN163" s="915">
        <f t="shared" si="689"/>
        <v>0</v>
      </c>
      <c r="DO163" s="915">
        <f t="shared" si="592"/>
        <v>0</v>
      </c>
      <c r="DP163" s="915">
        <f t="shared" si="593"/>
        <v>0</v>
      </c>
      <c r="DQ163" s="915">
        <f t="shared" si="594"/>
        <v>0</v>
      </c>
      <c r="DR163" s="915">
        <f t="shared" si="595"/>
        <v>0</v>
      </c>
      <c r="DS163" s="915">
        <f t="shared" si="596"/>
        <v>0</v>
      </c>
      <c r="DT163" s="915">
        <f t="shared" si="597"/>
        <v>0</v>
      </c>
      <c r="DU163" s="915">
        <f t="shared" si="598"/>
        <v>0</v>
      </c>
      <c r="DV163" s="915">
        <f t="shared" si="599"/>
        <v>0</v>
      </c>
      <c r="DW163" s="915">
        <f t="shared" si="600"/>
        <v>0</v>
      </c>
      <c r="DX163" s="915">
        <f t="shared" si="601"/>
        <v>0</v>
      </c>
      <c r="DY163" s="915">
        <f t="shared" si="602"/>
        <v>0</v>
      </c>
      <c r="DZ163" s="915">
        <f t="shared" si="603"/>
        <v>0</v>
      </c>
      <c r="EA163" s="915">
        <f t="shared" si="604"/>
        <v>0</v>
      </c>
      <c r="EB163" s="915">
        <f t="shared" si="605"/>
        <v>0</v>
      </c>
      <c r="EC163" s="915">
        <f t="shared" si="606"/>
        <v>0</v>
      </c>
      <c r="ED163" s="915">
        <f t="shared" si="607"/>
        <v>0</v>
      </c>
      <c r="EE163" s="915">
        <f t="shared" si="470"/>
        <v>0</v>
      </c>
      <c r="EF163" s="915">
        <f t="shared" si="471"/>
        <v>0</v>
      </c>
      <c r="EG163" s="915">
        <f t="shared" si="472"/>
        <v>0</v>
      </c>
      <c r="EH163" s="915">
        <f t="shared" si="473"/>
        <v>0</v>
      </c>
      <c r="EI163" s="915">
        <f t="shared" si="474"/>
        <v>0</v>
      </c>
      <c r="EJ163" s="915">
        <f t="shared" si="475"/>
        <v>0</v>
      </c>
      <c r="EK163" s="915">
        <f t="shared" si="476"/>
        <v>0</v>
      </c>
      <c r="EL163" s="915">
        <f t="shared" si="477"/>
        <v>0</v>
      </c>
      <c r="EM163" s="915">
        <f t="shared" si="478"/>
        <v>0</v>
      </c>
      <c r="EN163" s="915">
        <f t="shared" si="479"/>
        <v>0</v>
      </c>
      <c r="EO163" s="915">
        <f t="shared" si="480"/>
        <v>0</v>
      </c>
      <c r="EP163" s="915">
        <f t="shared" si="481"/>
        <v>0</v>
      </c>
      <c r="EQ163" s="915">
        <f t="shared" si="482"/>
        <v>0</v>
      </c>
      <c r="ER163" s="915">
        <f t="shared" si="483"/>
        <v>0</v>
      </c>
      <c r="ES163" s="915">
        <f t="shared" si="484"/>
        <v>0</v>
      </c>
      <c r="ET163" s="915">
        <f t="shared" si="485"/>
        <v>0</v>
      </c>
      <c r="EU163" s="915">
        <f t="shared" si="550"/>
        <v>0</v>
      </c>
      <c r="EV163" s="915">
        <f t="shared" si="551"/>
        <v>0</v>
      </c>
      <c r="EW163" s="915">
        <f t="shared" si="552"/>
        <v>0</v>
      </c>
      <c r="EX163" s="915">
        <f t="shared" si="553"/>
        <v>0</v>
      </c>
      <c r="EY163" s="915">
        <f t="shared" si="554"/>
        <v>0</v>
      </c>
      <c r="EZ163" s="915">
        <f t="shared" si="555"/>
        <v>0</v>
      </c>
      <c r="FA163" s="915">
        <f t="shared" si="556"/>
        <v>0</v>
      </c>
      <c r="FB163" s="915">
        <f t="shared" si="557"/>
        <v>0</v>
      </c>
      <c r="FC163" s="915">
        <f t="shared" si="558"/>
        <v>0</v>
      </c>
      <c r="FD163" s="915">
        <f t="shared" si="559"/>
        <v>0</v>
      </c>
      <c r="FE163" s="915">
        <f t="shared" si="560"/>
        <v>0</v>
      </c>
      <c r="FF163" s="915">
        <f t="shared" si="561"/>
        <v>0</v>
      </c>
      <c r="FG163" s="915">
        <f t="shared" si="562"/>
        <v>0</v>
      </c>
      <c r="FH163" s="915">
        <f t="shared" si="563"/>
        <v>0</v>
      </c>
      <c r="FI163" s="915">
        <f t="shared" si="564"/>
        <v>0</v>
      </c>
      <c r="FJ163" s="915">
        <f t="shared" si="565"/>
        <v>0</v>
      </c>
      <c r="FK163" s="915">
        <f t="shared" ref="FK163:FK167" si="698">IF(AND($D163=$R$26,$E163=$T$8),$J163,0)</f>
        <v>0</v>
      </c>
      <c r="FL163" s="915">
        <f t="shared" ref="FL163:FL167" si="699">IF(AND($D163=$R$26,$E163=$T$9),$J163,0)</f>
        <v>0</v>
      </c>
      <c r="FM163" s="915">
        <f t="shared" ref="FM163:FM167" si="700">IF(AND($D163=$R$26,$E163=$T$10),$J163,0)</f>
        <v>0</v>
      </c>
      <c r="FN163" s="915">
        <f t="shared" ref="FN163:FN167" si="701">IF(AND($D163=$R$26,$E163=$T$11),$J163,0)</f>
        <v>0</v>
      </c>
      <c r="FO163" s="915">
        <f t="shared" ref="FO163:FO167" si="702">IF(AND($D163=$R$26,$E163=$T$12),$J163,0)</f>
        <v>0</v>
      </c>
      <c r="FP163" s="915">
        <f t="shared" ref="FP163:FP167" si="703">IF(AND($D163=$R$26,$E163=$T$13),$J163,0)</f>
        <v>0</v>
      </c>
      <c r="FQ163" s="915">
        <f t="shared" ref="FQ163:FQ167" si="704">IF(AND($D163=$R$26,$E163=$T$14),$J163,0)</f>
        <v>0</v>
      </c>
      <c r="FR163" s="915">
        <f t="shared" ref="FR163:FR167" si="705">IF(AND($D163=$R$26,$E163=$T$15),$J163,0)</f>
        <v>0</v>
      </c>
      <c r="FS163" s="915">
        <f t="shared" ref="FS163:FS167" si="706">IF(AND($D163=$R$27,$E163=$T$8),$J163,0)</f>
        <v>0</v>
      </c>
      <c r="FT163" s="915">
        <f t="shared" ref="FT163:FT167" si="707">IF(AND($D163=$R$27,$E163=$T$9),$J163,0)</f>
        <v>0</v>
      </c>
      <c r="FU163" s="915">
        <f t="shared" ref="FU163:FU167" si="708">IF(AND($D163=$R$27,$E163=$T$10),$J163,0)</f>
        <v>0</v>
      </c>
      <c r="FV163" s="915">
        <f t="shared" ref="FV163:FV167" si="709">IF(AND($D163=$R$27,$E163=$T$11),$J163,0)</f>
        <v>7.42</v>
      </c>
      <c r="FW163" s="915">
        <f t="shared" ref="FW163:FW167" si="710">IF(AND($D163=$R$27,$E163=$T$12),$J163,0)</f>
        <v>0</v>
      </c>
      <c r="FX163" s="915">
        <f t="shared" ref="FX163:FX167" si="711">IF(AND($D163=$R$27,$E163=$T$13),$J163,0)</f>
        <v>0</v>
      </c>
      <c r="FY163" s="915">
        <f t="shared" ref="FY163:FY167" si="712">IF(AND($D163=$R$27,$E163=$T$14),$J163,0)</f>
        <v>0</v>
      </c>
      <c r="FZ163" s="915">
        <f t="shared" ref="FZ163:FZ167" si="713">IF(AND($D163=$R$27,$E163=$T$15),$J163,0)</f>
        <v>0</v>
      </c>
    </row>
    <row r="164" spans="1:182" x14ac:dyDescent="0.2">
      <c r="A164" s="496">
        <v>157</v>
      </c>
      <c r="B164" s="1419"/>
      <c r="C164" s="1433"/>
      <c r="D164" s="264">
        <v>20</v>
      </c>
      <c r="E164" s="264" t="s">
        <v>30</v>
      </c>
      <c r="F164" s="270" t="s">
        <v>2544</v>
      </c>
      <c r="G164" s="270" t="s">
        <v>2542</v>
      </c>
      <c r="H164" s="272">
        <v>7</v>
      </c>
      <c r="I164" s="268">
        <f t="shared" si="672"/>
        <v>0.42</v>
      </c>
      <c r="J164" s="269">
        <f t="shared" si="673"/>
        <v>7.42</v>
      </c>
      <c r="K164" s="225"/>
      <c r="N164" s="951">
        <f>FW6</f>
        <v>7.42</v>
      </c>
      <c r="O164" s="879" t="str">
        <f>"Surveying/Inspection for " &amp; TabName20</f>
        <v>Surveying/Inspection for Phase 20</v>
      </c>
      <c r="P164" s="950" t="s">
        <v>2201</v>
      </c>
      <c r="W164" s="915">
        <f t="shared" si="486"/>
        <v>0</v>
      </c>
      <c r="X164" s="915">
        <f t="shared" si="487"/>
        <v>0</v>
      </c>
      <c r="Y164" s="915">
        <f t="shared" si="488"/>
        <v>0</v>
      </c>
      <c r="Z164" s="915">
        <f t="shared" si="505"/>
        <v>0</v>
      </c>
      <c r="AA164" s="915">
        <f t="shared" si="506"/>
        <v>0</v>
      </c>
      <c r="AB164" s="915">
        <f t="shared" si="507"/>
        <v>0</v>
      </c>
      <c r="AC164" s="915">
        <f t="shared" si="508"/>
        <v>0</v>
      </c>
      <c r="AD164" s="915">
        <f t="shared" si="509"/>
        <v>0</v>
      </c>
      <c r="AE164" s="915">
        <f t="shared" si="510"/>
        <v>0</v>
      </c>
      <c r="AF164" s="915">
        <f t="shared" si="511"/>
        <v>0</v>
      </c>
      <c r="AG164" s="915">
        <f t="shared" si="512"/>
        <v>0</v>
      </c>
      <c r="AH164" s="915">
        <f t="shared" si="513"/>
        <v>0</v>
      </c>
      <c r="AI164" s="915">
        <f t="shared" si="514"/>
        <v>0</v>
      </c>
      <c r="AJ164" s="915">
        <f t="shared" si="515"/>
        <v>0</v>
      </c>
      <c r="AK164" s="915">
        <f t="shared" si="516"/>
        <v>0</v>
      </c>
      <c r="AL164" s="915">
        <f t="shared" si="517"/>
        <v>0</v>
      </c>
      <c r="AM164" s="915">
        <f t="shared" si="518"/>
        <v>0</v>
      </c>
      <c r="AN164" s="915">
        <f t="shared" si="519"/>
        <v>0</v>
      </c>
      <c r="AO164" s="915">
        <f t="shared" si="520"/>
        <v>0</v>
      </c>
      <c r="AP164" s="915">
        <f t="shared" si="521"/>
        <v>0</v>
      </c>
      <c r="AQ164" s="915">
        <f t="shared" si="522"/>
        <v>0</v>
      </c>
      <c r="AR164" s="915">
        <f t="shared" si="523"/>
        <v>0</v>
      </c>
      <c r="AS164" s="915">
        <f t="shared" si="524"/>
        <v>0</v>
      </c>
      <c r="AT164" s="915">
        <f t="shared" si="525"/>
        <v>0</v>
      </c>
      <c r="AU164" s="915">
        <f t="shared" si="526"/>
        <v>0</v>
      </c>
      <c r="AV164" s="915">
        <f t="shared" si="527"/>
        <v>0</v>
      </c>
      <c r="AW164" s="915">
        <f t="shared" si="528"/>
        <v>0</v>
      </c>
      <c r="AX164" s="915">
        <f t="shared" si="529"/>
        <v>0</v>
      </c>
      <c r="AY164" s="915">
        <f t="shared" si="530"/>
        <v>0</v>
      </c>
      <c r="AZ164" s="915">
        <f t="shared" si="531"/>
        <v>0</v>
      </c>
      <c r="BA164" s="915">
        <f t="shared" si="532"/>
        <v>0</v>
      </c>
      <c r="BB164" s="915">
        <f t="shared" si="533"/>
        <v>0</v>
      </c>
      <c r="BC164" s="915">
        <f t="shared" si="640"/>
        <v>0</v>
      </c>
      <c r="BD164" s="915">
        <f t="shared" si="641"/>
        <v>0</v>
      </c>
      <c r="BE164" s="915">
        <f t="shared" si="642"/>
        <v>0</v>
      </c>
      <c r="BF164" s="915">
        <f t="shared" si="643"/>
        <v>0</v>
      </c>
      <c r="BG164" s="915">
        <f t="shared" si="644"/>
        <v>0</v>
      </c>
      <c r="BH164" s="915">
        <f t="shared" si="645"/>
        <v>0</v>
      </c>
      <c r="BI164" s="915">
        <f t="shared" si="646"/>
        <v>0</v>
      </c>
      <c r="BJ164" s="915">
        <f t="shared" si="647"/>
        <v>0</v>
      </c>
      <c r="BK164" s="915">
        <f>IF(AND($D164=$R$13,$E164=$T$8),$J164,0)</f>
        <v>0</v>
      </c>
      <c r="BL164" s="915">
        <f>IF(AND($D164=$R$13,$E164=$T$9),$J164,0)</f>
        <v>0</v>
      </c>
      <c r="BM164" s="915">
        <f>IF(AND($D164=$R$13,$E164=$T$10),$J164,0)</f>
        <v>0</v>
      </c>
      <c r="BN164" s="915">
        <f>IF(AND($D164=$R$13,$E164=$T$11),$J164,0)</f>
        <v>0</v>
      </c>
      <c r="BO164" s="915">
        <f>IF(AND($D164=$R$13,$E164=$T$12),$J164,0)</f>
        <v>0</v>
      </c>
      <c r="BP164" s="915">
        <f>IF(AND($D164=$R$13,$E164=$T$13),$J164,0)</f>
        <v>0</v>
      </c>
      <c r="BQ164" s="915">
        <f>IF(AND($D164=$R$13,$E164=$T$14),$J164,0)</f>
        <v>0</v>
      </c>
      <c r="BR164" s="915">
        <f>IF(AND($D164=$R$13,$E164=$T$15),$J164,0)</f>
        <v>0</v>
      </c>
      <c r="BS164" s="915">
        <f t="shared" si="674"/>
        <v>0</v>
      </c>
      <c r="BT164" s="915">
        <f t="shared" si="675"/>
        <v>0</v>
      </c>
      <c r="BU164" s="915">
        <f t="shared" si="676"/>
        <v>0</v>
      </c>
      <c r="BV164" s="915">
        <f t="shared" si="677"/>
        <v>0</v>
      </c>
      <c r="BW164" s="915">
        <f t="shared" si="678"/>
        <v>0</v>
      </c>
      <c r="BX164" s="915">
        <f t="shared" si="679"/>
        <v>0</v>
      </c>
      <c r="BY164" s="915">
        <f t="shared" si="680"/>
        <v>0</v>
      </c>
      <c r="BZ164" s="915">
        <f t="shared" si="681"/>
        <v>0</v>
      </c>
      <c r="CA164" s="915">
        <f t="shared" si="690"/>
        <v>0</v>
      </c>
      <c r="CB164" s="915">
        <f t="shared" si="691"/>
        <v>0</v>
      </c>
      <c r="CC164" s="915">
        <f t="shared" si="692"/>
        <v>0</v>
      </c>
      <c r="CD164" s="915">
        <f t="shared" si="693"/>
        <v>0</v>
      </c>
      <c r="CE164" s="915">
        <f t="shared" si="694"/>
        <v>0</v>
      </c>
      <c r="CF164" s="915">
        <f t="shared" si="695"/>
        <v>0</v>
      </c>
      <c r="CG164" s="915">
        <f t="shared" si="696"/>
        <v>0</v>
      </c>
      <c r="CH164" s="915">
        <f t="shared" si="697"/>
        <v>0</v>
      </c>
      <c r="CI164" s="915">
        <f t="shared" si="656"/>
        <v>0</v>
      </c>
      <c r="CJ164" s="915">
        <f t="shared" si="657"/>
        <v>0</v>
      </c>
      <c r="CK164" s="915">
        <f t="shared" si="658"/>
        <v>0</v>
      </c>
      <c r="CL164" s="915">
        <f t="shared" si="659"/>
        <v>0</v>
      </c>
      <c r="CM164" s="915">
        <f t="shared" si="660"/>
        <v>0</v>
      </c>
      <c r="CN164" s="915">
        <f t="shared" si="661"/>
        <v>0</v>
      </c>
      <c r="CO164" s="915">
        <f t="shared" si="662"/>
        <v>0</v>
      </c>
      <c r="CP164" s="915">
        <f t="shared" si="663"/>
        <v>0</v>
      </c>
      <c r="CQ164" s="915">
        <f t="shared" si="664"/>
        <v>0</v>
      </c>
      <c r="CR164" s="915">
        <f t="shared" si="665"/>
        <v>0</v>
      </c>
      <c r="CS164" s="915">
        <f t="shared" si="666"/>
        <v>0</v>
      </c>
      <c r="CT164" s="915">
        <f t="shared" si="667"/>
        <v>0</v>
      </c>
      <c r="CU164" s="915">
        <f t="shared" si="668"/>
        <v>0</v>
      </c>
      <c r="CV164" s="915">
        <f t="shared" si="669"/>
        <v>0</v>
      </c>
      <c r="CW164" s="915">
        <f t="shared" si="670"/>
        <v>0</v>
      </c>
      <c r="CX164" s="915">
        <f t="shared" si="671"/>
        <v>0</v>
      </c>
      <c r="CY164" s="915">
        <f t="shared" si="542"/>
        <v>0</v>
      </c>
      <c r="CZ164" s="915">
        <f t="shared" si="543"/>
        <v>0</v>
      </c>
      <c r="DA164" s="915">
        <f t="shared" si="544"/>
        <v>0</v>
      </c>
      <c r="DB164" s="915">
        <f t="shared" si="545"/>
        <v>0</v>
      </c>
      <c r="DC164" s="915">
        <f t="shared" si="546"/>
        <v>0</v>
      </c>
      <c r="DD164" s="915">
        <f t="shared" si="547"/>
        <v>0</v>
      </c>
      <c r="DE164" s="915">
        <f t="shared" si="548"/>
        <v>0</v>
      </c>
      <c r="DF164" s="915">
        <f t="shared" si="549"/>
        <v>0</v>
      </c>
      <c r="DG164" s="915">
        <f t="shared" si="682"/>
        <v>0</v>
      </c>
      <c r="DH164" s="915">
        <f t="shared" si="683"/>
        <v>0</v>
      </c>
      <c r="DI164" s="915">
        <f t="shared" si="684"/>
        <v>0</v>
      </c>
      <c r="DJ164" s="915">
        <f t="shared" si="685"/>
        <v>0</v>
      </c>
      <c r="DK164" s="915">
        <f t="shared" si="686"/>
        <v>0</v>
      </c>
      <c r="DL164" s="915">
        <f t="shared" si="687"/>
        <v>0</v>
      </c>
      <c r="DM164" s="915">
        <f t="shared" si="688"/>
        <v>0</v>
      </c>
      <c r="DN164" s="915">
        <f t="shared" si="689"/>
        <v>0</v>
      </c>
      <c r="DO164" s="915">
        <f t="shared" si="592"/>
        <v>0</v>
      </c>
      <c r="DP164" s="915">
        <f t="shared" si="593"/>
        <v>0</v>
      </c>
      <c r="DQ164" s="915">
        <f t="shared" si="594"/>
        <v>0</v>
      </c>
      <c r="DR164" s="915">
        <f t="shared" si="595"/>
        <v>0</v>
      </c>
      <c r="DS164" s="915">
        <f t="shared" si="596"/>
        <v>0</v>
      </c>
      <c r="DT164" s="915">
        <f t="shared" si="597"/>
        <v>0</v>
      </c>
      <c r="DU164" s="915">
        <f t="shared" si="598"/>
        <v>0</v>
      </c>
      <c r="DV164" s="915">
        <f t="shared" si="599"/>
        <v>0</v>
      </c>
      <c r="DW164" s="915">
        <f t="shared" si="600"/>
        <v>0</v>
      </c>
      <c r="DX164" s="915">
        <f t="shared" si="601"/>
        <v>0</v>
      </c>
      <c r="DY164" s="915">
        <f t="shared" si="602"/>
        <v>0</v>
      </c>
      <c r="DZ164" s="915">
        <f t="shared" si="603"/>
        <v>0</v>
      </c>
      <c r="EA164" s="915">
        <f t="shared" si="604"/>
        <v>0</v>
      </c>
      <c r="EB164" s="915">
        <f t="shared" si="605"/>
        <v>0</v>
      </c>
      <c r="EC164" s="915">
        <f t="shared" si="606"/>
        <v>0</v>
      </c>
      <c r="ED164" s="915">
        <f t="shared" si="607"/>
        <v>0</v>
      </c>
      <c r="EE164" s="915">
        <f t="shared" si="470"/>
        <v>0</v>
      </c>
      <c r="EF164" s="915">
        <f t="shared" si="471"/>
        <v>0</v>
      </c>
      <c r="EG164" s="915">
        <f t="shared" si="472"/>
        <v>0</v>
      </c>
      <c r="EH164" s="915">
        <f t="shared" si="473"/>
        <v>0</v>
      </c>
      <c r="EI164" s="915">
        <f t="shared" si="474"/>
        <v>0</v>
      </c>
      <c r="EJ164" s="915">
        <f t="shared" si="475"/>
        <v>0</v>
      </c>
      <c r="EK164" s="915">
        <f t="shared" si="476"/>
        <v>0</v>
      </c>
      <c r="EL164" s="915">
        <f t="shared" si="477"/>
        <v>0</v>
      </c>
      <c r="EM164" s="915">
        <f t="shared" si="478"/>
        <v>0</v>
      </c>
      <c r="EN164" s="915">
        <f t="shared" si="479"/>
        <v>0</v>
      </c>
      <c r="EO164" s="915">
        <f t="shared" si="480"/>
        <v>0</v>
      </c>
      <c r="EP164" s="915">
        <f t="shared" si="481"/>
        <v>0</v>
      </c>
      <c r="EQ164" s="915">
        <f t="shared" si="482"/>
        <v>0</v>
      </c>
      <c r="ER164" s="915">
        <f t="shared" si="483"/>
        <v>0</v>
      </c>
      <c r="ES164" s="915">
        <f t="shared" si="484"/>
        <v>0</v>
      </c>
      <c r="ET164" s="915">
        <f t="shared" si="485"/>
        <v>0</v>
      </c>
      <c r="EU164" s="915">
        <f t="shared" si="550"/>
        <v>0</v>
      </c>
      <c r="EV164" s="915">
        <f t="shared" si="551"/>
        <v>0</v>
      </c>
      <c r="EW164" s="915">
        <f t="shared" si="552"/>
        <v>0</v>
      </c>
      <c r="EX164" s="915">
        <f t="shared" si="553"/>
        <v>0</v>
      </c>
      <c r="EY164" s="915">
        <f t="shared" si="554"/>
        <v>0</v>
      </c>
      <c r="EZ164" s="915">
        <f t="shared" si="555"/>
        <v>0</v>
      </c>
      <c r="FA164" s="915">
        <f t="shared" si="556"/>
        <v>0</v>
      </c>
      <c r="FB164" s="915">
        <f t="shared" si="557"/>
        <v>0</v>
      </c>
      <c r="FC164" s="915">
        <f t="shared" si="558"/>
        <v>0</v>
      </c>
      <c r="FD164" s="915">
        <f t="shared" si="559"/>
        <v>0</v>
      </c>
      <c r="FE164" s="915">
        <f t="shared" si="560"/>
        <v>0</v>
      </c>
      <c r="FF164" s="915">
        <f t="shared" si="561"/>
        <v>0</v>
      </c>
      <c r="FG164" s="915">
        <f t="shared" si="562"/>
        <v>0</v>
      </c>
      <c r="FH164" s="915">
        <f t="shared" si="563"/>
        <v>0</v>
      </c>
      <c r="FI164" s="915">
        <f t="shared" si="564"/>
        <v>0</v>
      </c>
      <c r="FJ164" s="915">
        <f t="shared" si="565"/>
        <v>0</v>
      </c>
      <c r="FK164" s="915">
        <f t="shared" si="698"/>
        <v>0</v>
      </c>
      <c r="FL164" s="915">
        <f t="shared" si="699"/>
        <v>0</v>
      </c>
      <c r="FM164" s="915">
        <f t="shared" si="700"/>
        <v>0</v>
      </c>
      <c r="FN164" s="915">
        <f t="shared" si="701"/>
        <v>0</v>
      </c>
      <c r="FO164" s="915">
        <f t="shared" si="702"/>
        <v>0</v>
      </c>
      <c r="FP164" s="915">
        <f t="shared" si="703"/>
        <v>0</v>
      </c>
      <c r="FQ164" s="915">
        <f t="shared" si="704"/>
        <v>0</v>
      </c>
      <c r="FR164" s="915">
        <f t="shared" si="705"/>
        <v>0</v>
      </c>
      <c r="FS164" s="915">
        <f t="shared" si="706"/>
        <v>0</v>
      </c>
      <c r="FT164" s="915">
        <f t="shared" si="707"/>
        <v>0</v>
      </c>
      <c r="FU164" s="915">
        <f t="shared" si="708"/>
        <v>0</v>
      </c>
      <c r="FV164" s="915">
        <f t="shared" si="709"/>
        <v>0</v>
      </c>
      <c r="FW164" s="915">
        <f t="shared" si="710"/>
        <v>7.42</v>
      </c>
      <c r="FX164" s="915">
        <f t="shared" si="711"/>
        <v>0</v>
      </c>
      <c r="FY164" s="915">
        <f t="shared" si="712"/>
        <v>0</v>
      </c>
      <c r="FZ164" s="915">
        <f t="shared" si="713"/>
        <v>0</v>
      </c>
    </row>
    <row r="165" spans="1:182" x14ac:dyDescent="0.2">
      <c r="A165" s="497">
        <v>158</v>
      </c>
      <c r="B165" s="1423"/>
      <c r="C165" s="1424"/>
      <c r="D165" s="138">
        <v>20</v>
      </c>
      <c r="E165" s="138" t="s">
        <v>170</v>
      </c>
      <c r="F165" s="139" t="s">
        <v>2544</v>
      </c>
      <c r="G165" s="139" t="s">
        <v>2542</v>
      </c>
      <c r="H165" s="100">
        <v>7</v>
      </c>
      <c r="I165" s="119">
        <f t="shared" si="672"/>
        <v>0.42</v>
      </c>
      <c r="J165" s="90">
        <f t="shared" si="673"/>
        <v>7.42</v>
      </c>
      <c r="K165" s="225"/>
      <c r="N165" s="951">
        <f>FX6</f>
        <v>7.42</v>
      </c>
      <c r="O165" s="879" t="str">
        <f>"Other subcontractor for " &amp; TabName20</f>
        <v>Other subcontractor for Phase 20</v>
      </c>
      <c r="P165" s="949" t="s">
        <v>2200</v>
      </c>
      <c r="W165" s="915">
        <f t="shared" si="486"/>
        <v>0</v>
      </c>
      <c r="X165" s="915">
        <f t="shared" si="487"/>
        <v>0</v>
      </c>
      <c r="Y165" s="915">
        <f t="shared" si="488"/>
        <v>0</v>
      </c>
      <c r="Z165" s="915">
        <f t="shared" si="505"/>
        <v>0</v>
      </c>
      <c r="AA165" s="915">
        <f t="shared" si="506"/>
        <v>0</v>
      </c>
      <c r="AB165" s="915">
        <f t="shared" si="507"/>
        <v>0</v>
      </c>
      <c r="AC165" s="915">
        <f t="shared" si="508"/>
        <v>0</v>
      </c>
      <c r="AD165" s="915">
        <f t="shared" si="509"/>
        <v>0</v>
      </c>
      <c r="AE165" s="915">
        <f t="shared" si="510"/>
        <v>0</v>
      </c>
      <c r="AF165" s="915">
        <f t="shared" si="511"/>
        <v>0</v>
      </c>
      <c r="AG165" s="915">
        <f t="shared" si="512"/>
        <v>0</v>
      </c>
      <c r="AH165" s="915">
        <f t="shared" si="513"/>
        <v>0</v>
      </c>
      <c r="AI165" s="915">
        <f t="shared" si="514"/>
        <v>0</v>
      </c>
      <c r="AJ165" s="915">
        <f t="shared" si="515"/>
        <v>0</v>
      </c>
      <c r="AK165" s="915">
        <f t="shared" si="516"/>
        <v>0</v>
      </c>
      <c r="AL165" s="915">
        <f t="shared" si="517"/>
        <v>0</v>
      </c>
      <c r="AM165" s="915">
        <f t="shared" si="518"/>
        <v>0</v>
      </c>
      <c r="AN165" s="915">
        <f t="shared" si="519"/>
        <v>0</v>
      </c>
      <c r="AO165" s="915">
        <f t="shared" si="520"/>
        <v>0</v>
      </c>
      <c r="AP165" s="915">
        <f t="shared" si="521"/>
        <v>0</v>
      </c>
      <c r="AQ165" s="915">
        <f t="shared" si="522"/>
        <v>0</v>
      </c>
      <c r="AR165" s="915">
        <f t="shared" si="523"/>
        <v>0</v>
      </c>
      <c r="AS165" s="915">
        <f t="shared" si="524"/>
        <v>0</v>
      </c>
      <c r="AT165" s="915">
        <f t="shared" si="525"/>
        <v>0</v>
      </c>
      <c r="AU165" s="915">
        <f t="shared" si="526"/>
        <v>0</v>
      </c>
      <c r="AV165" s="915">
        <f t="shared" si="527"/>
        <v>0</v>
      </c>
      <c r="AW165" s="915">
        <f t="shared" si="528"/>
        <v>0</v>
      </c>
      <c r="AX165" s="915">
        <f t="shared" si="529"/>
        <v>0</v>
      </c>
      <c r="AY165" s="915">
        <f t="shared" si="530"/>
        <v>0</v>
      </c>
      <c r="AZ165" s="915">
        <f t="shared" si="531"/>
        <v>0</v>
      </c>
      <c r="BA165" s="915">
        <f t="shared" si="532"/>
        <v>0</v>
      </c>
      <c r="BB165" s="915">
        <f t="shared" si="533"/>
        <v>0</v>
      </c>
      <c r="BC165" s="915">
        <f t="shared" si="640"/>
        <v>0</v>
      </c>
      <c r="BD165" s="915">
        <f t="shared" si="641"/>
        <v>0</v>
      </c>
      <c r="BE165" s="915">
        <f t="shared" si="642"/>
        <v>0</v>
      </c>
      <c r="BF165" s="915">
        <f t="shared" si="643"/>
        <v>0</v>
      </c>
      <c r="BG165" s="915">
        <f t="shared" si="644"/>
        <v>0</v>
      </c>
      <c r="BH165" s="915">
        <f t="shared" si="645"/>
        <v>0</v>
      </c>
      <c r="BI165" s="915">
        <f t="shared" si="646"/>
        <v>0</v>
      </c>
      <c r="BJ165" s="915">
        <f t="shared" si="647"/>
        <v>0</v>
      </c>
      <c r="BK165" s="915">
        <f t="shared" ref="BK165:BK167" si="714">IF(AND($D165=$R$13,$E165=$T$8),$J165,0)</f>
        <v>0</v>
      </c>
      <c r="BL165" s="915">
        <f t="shared" ref="BL165:BL167" si="715">IF(AND($D165=$R$13,$E165=$T$9),$J165,0)</f>
        <v>0</v>
      </c>
      <c r="BM165" s="915">
        <f t="shared" ref="BM165:BM167" si="716">IF(AND($D165=$R$13,$E165=$T$10),$J165,0)</f>
        <v>0</v>
      </c>
      <c r="BN165" s="915">
        <f t="shared" ref="BN165:BN167" si="717">IF(AND($D165=$R$13,$E165=$T$11),$J165,0)</f>
        <v>0</v>
      </c>
      <c r="BO165" s="915">
        <f t="shared" ref="BO165:BO167" si="718">IF(AND($D165=$R$13,$E165=$T$12),$J165,0)</f>
        <v>0</v>
      </c>
      <c r="BP165" s="915">
        <f t="shared" ref="BP165:BP167" si="719">IF(AND($D165=$R$13,$E165=$T$13),$J165,0)</f>
        <v>0</v>
      </c>
      <c r="BQ165" s="915">
        <f t="shared" ref="BQ165:BQ167" si="720">IF(AND($D165=$R$13,$E165=$T$14),$J165,0)</f>
        <v>0</v>
      </c>
      <c r="BR165" s="915">
        <f t="shared" ref="BR165:BR167" si="721">IF(AND($D165=$R$13,$E165=$T$15),$J165,0)</f>
        <v>0</v>
      </c>
      <c r="BS165" s="915">
        <f t="shared" si="674"/>
        <v>0</v>
      </c>
      <c r="BT165" s="915">
        <f t="shared" si="675"/>
        <v>0</v>
      </c>
      <c r="BU165" s="915">
        <f t="shared" si="676"/>
        <v>0</v>
      </c>
      <c r="BV165" s="915">
        <f t="shared" si="677"/>
        <v>0</v>
      </c>
      <c r="BW165" s="915">
        <f t="shared" si="678"/>
        <v>0</v>
      </c>
      <c r="BX165" s="915">
        <f t="shared" si="679"/>
        <v>0</v>
      </c>
      <c r="BY165" s="915">
        <f t="shared" si="680"/>
        <v>0</v>
      </c>
      <c r="BZ165" s="915">
        <f t="shared" si="681"/>
        <v>0</v>
      </c>
      <c r="CA165" s="915">
        <f t="shared" si="690"/>
        <v>0</v>
      </c>
      <c r="CB165" s="915">
        <f t="shared" si="691"/>
        <v>0</v>
      </c>
      <c r="CC165" s="915">
        <f t="shared" si="692"/>
        <v>0</v>
      </c>
      <c r="CD165" s="915">
        <f t="shared" si="693"/>
        <v>0</v>
      </c>
      <c r="CE165" s="915">
        <f t="shared" si="694"/>
        <v>0</v>
      </c>
      <c r="CF165" s="915">
        <f t="shared" si="695"/>
        <v>0</v>
      </c>
      <c r="CG165" s="915">
        <f t="shared" si="696"/>
        <v>0</v>
      </c>
      <c r="CH165" s="915">
        <f t="shared" si="697"/>
        <v>0</v>
      </c>
      <c r="CI165" s="915">
        <f t="shared" si="656"/>
        <v>0</v>
      </c>
      <c r="CJ165" s="915">
        <f t="shared" si="657"/>
        <v>0</v>
      </c>
      <c r="CK165" s="915">
        <f t="shared" si="658"/>
        <v>0</v>
      </c>
      <c r="CL165" s="915">
        <f t="shared" si="659"/>
        <v>0</v>
      </c>
      <c r="CM165" s="915">
        <f t="shared" si="660"/>
        <v>0</v>
      </c>
      <c r="CN165" s="915">
        <f t="shared" si="661"/>
        <v>0</v>
      </c>
      <c r="CO165" s="915">
        <f t="shared" si="662"/>
        <v>0</v>
      </c>
      <c r="CP165" s="915">
        <f t="shared" si="663"/>
        <v>0</v>
      </c>
      <c r="CQ165" s="915">
        <f t="shared" si="664"/>
        <v>0</v>
      </c>
      <c r="CR165" s="915">
        <f t="shared" si="665"/>
        <v>0</v>
      </c>
      <c r="CS165" s="915">
        <f t="shared" si="666"/>
        <v>0</v>
      </c>
      <c r="CT165" s="915">
        <f t="shared" si="667"/>
        <v>0</v>
      </c>
      <c r="CU165" s="915">
        <f t="shared" si="668"/>
        <v>0</v>
      </c>
      <c r="CV165" s="915">
        <f t="shared" si="669"/>
        <v>0</v>
      </c>
      <c r="CW165" s="915">
        <f t="shared" si="670"/>
        <v>0</v>
      </c>
      <c r="CX165" s="915">
        <f t="shared" si="671"/>
        <v>0</v>
      </c>
      <c r="CY165" s="915">
        <f t="shared" si="542"/>
        <v>0</v>
      </c>
      <c r="CZ165" s="915">
        <f t="shared" si="543"/>
        <v>0</v>
      </c>
      <c r="DA165" s="915">
        <f t="shared" si="544"/>
        <v>0</v>
      </c>
      <c r="DB165" s="915">
        <f t="shared" si="545"/>
        <v>0</v>
      </c>
      <c r="DC165" s="915">
        <f t="shared" si="546"/>
        <v>0</v>
      </c>
      <c r="DD165" s="915">
        <f t="shared" si="547"/>
        <v>0</v>
      </c>
      <c r="DE165" s="915">
        <f t="shared" si="548"/>
        <v>0</v>
      </c>
      <c r="DF165" s="915">
        <f t="shared" si="549"/>
        <v>0</v>
      </c>
      <c r="DG165" s="915">
        <f t="shared" si="682"/>
        <v>0</v>
      </c>
      <c r="DH165" s="915">
        <f t="shared" si="683"/>
        <v>0</v>
      </c>
      <c r="DI165" s="915">
        <f t="shared" si="684"/>
        <v>0</v>
      </c>
      <c r="DJ165" s="915">
        <f t="shared" si="685"/>
        <v>0</v>
      </c>
      <c r="DK165" s="915">
        <f t="shared" si="686"/>
        <v>0</v>
      </c>
      <c r="DL165" s="915">
        <f t="shared" si="687"/>
        <v>0</v>
      </c>
      <c r="DM165" s="915">
        <f t="shared" si="688"/>
        <v>0</v>
      </c>
      <c r="DN165" s="915">
        <f t="shared" si="689"/>
        <v>0</v>
      </c>
      <c r="DO165" s="915">
        <f t="shared" si="592"/>
        <v>0</v>
      </c>
      <c r="DP165" s="915">
        <f t="shared" si="593"/>
        <v>0</v>
      </c>
      <c r="DQ165" s="915">
        <f t="shared" si="594"/>
        <v>0</v>
      </c>
      <c r="DR165" s="915">
        <f t="shared" si="595"/>
        <v>0</v>
      </c>
      <c r="DS165" s="915">
        <f t="shared" si="596"/>
        <v>0</v>
      </c>
      <c r="DT165" s="915">
        <f t="shared" si="597"/>
        <v>0</v>
      </c>
      <c r="DU165" s="915">
        <f t="shared" si="598"/>
        <v>0</v>
      </c>
      <c r="DV165" s="915">
        <f t="shared" si="599"/>
        <v>0</v>
      </c>
      <c r="DW165" s="915">
        <f t="shared" si="600"/>
        <v>0</v>
      </c>
      <c r="DX165" s="915">
        <f t="shared" si="601"/>
        <v>0</v>
      </c>
      <c r="DY165" s="915">
        <f t="shared" si="602"/>
        <v>0</v>
      </c>
      <c r="DZ165" s="915">
        <f t="shared" si="603"/>
        <v>0</v>
      </c>
      <c r="EA165" s="915">
        <f t="shared" si="604"/>
        <v>0</v>
      </c>
      <c r="EB165" s="915">
        <f t="shared" si="605"/>
        <v>0</v>
      </c>
      <c r="EC165" s="915">
        <f t="shared" si="606"/>
        <v>0</v>
      </c>
      <c r="ED165" s="915">
        <f t="shared" si="607"/>
        <v>0</v>
      </c>
      <c r="EE165" s="915">
        <f t="shared" si="470"/>
        <v>0</v>
      </c>
      <c r="EF165" s="915">
        <f t="shared" si="471"/>
        <v>0</v>
      </c>
      <c r="EG165" s="915">
        <f t="shared" si="472"/>
        <v>0</v>
      </c>
      <c r="EH165" s="915">
        <f t="shared" si="473"/>
        <v>0</v>
      </c>
      <c r="EI165" s="915">
        <f t="shared" si="474"/>
        <v>0</v>
      </c>
      <c r="EJ165" s="915">
        <f t="shared" si="475"/>
        <v>0</v>
      </c>
      <c r="EK165" s="915">
        <f t="shared" si="476"/>
        <v>0</v>
      </c>
      <c r="EL165" s="915">
        <f t="shared" si="477"/>
        <v>0</v>
      </c>
      <c r="EM165" s="915">
        <f t="shared" si="478"/>
        <v>0</v>
      </c>
      <c r="EN165" s="915">
        <f t="shared" si="479"/>
        <v>0</v>
      </c>
      <c r="EO165" s="915">
        <f t="shared" si="480"/>
        <v>0</v>
      </c>
      <c r="EP165" s="915">
        <f t="shared" si="481"/>
        <v>0</v>
      </c>
      <c r="EQ165" s="915">
        <f t="shared" si="482"/>
        <v>0</v>
      </c>
      <c r="ER165" s="915">
        <f t="shared" si="483"/>
        <v>0</v>
      </c>
      <c r="ES165" s="915">
        <f t="shared" si="484"/>
        <v>0</v>
      </c>
      <c r="ET165" s="915">
        <f t="shared" si="485"/>
        <v>0</v>
      </c>
      <c r="EU165" s="915">
        <f t="shared" si="550"/>
        <v>0</v>
      </c>
      <c r="EV165" s="915">
        <f t="shared" si="551"/>
        <v>0</v>
      </c>
      <c r="EW165" s="915">
        <f t="shared" si="552"/>
        <v>0</v>
      </c>
      <c r="EX165" s="915">
        <f t="shared" si="553"/>
        <v>0</v>
      </c>
      <c r="EY165" s="915">
        <f t="shared" si="554"/>
        <v>0</v>
      </c>
      <c r="EZ165" s="915">
        <f t="shared" si="555"/>
        <v>0</v>
      </c>
      <c r="FA165" s="915">
        <f t="shared" si="556"/>
        <v>0</v>
      </c>
      <c r="FB165" s="915">
        <f t="shared" si="557"/>
        <v>0</v>
      </c>
      <c r="FC165" s="915">
        <f t="shared" si="558"/>
        <v>0</v>
      </c>
      <c r="FD165" s="915">
        <f t="shared" si="559"/>
        <v>0</v>
      </c>
      <c r="FE165" s="915">
        <f t="shared" si="560"/>
        <v>0</v>
      </c>
      <c r="FF165" s="915">
        <f t="shared" si="561"/>
        <v>0</v>
      </c>
      <c r="FG165" s="915">
        <f t="shared" si="562"/>
        <v>0</v>
      </c>
      <c r="FH165" s="915">
        <f t="shared" si="563"/>
        <v>0</v>
      </c>
      <c r="FI165" s="915">
        <f t="shared" si="564"/>
        <v>0</v>
      </c>
      <c r="FJ165" s="915">
        <f t="shared" si="565"/>
        <v>0</v>
      </c>
      <c r="FK165" s="915">
        <f t="shared" si="698"/>
        <v>0</v>
      </c>
      <c r="FL165" s="915">
        <f t="shared" si="699"/>
        <v>0</v>
      </c>
      <c r="FM165" s="915">
        <f t="shared" si="700"/>
        <v>0</v>
      </c>
      <c r="FN165" s="915">
        <f t="shared" si="701"/>
        <v>0</v>
      </c>
      <c r="FO165" s="915">
        <f t="shared" si="702"/>
        <v>0</v>
      </c>
      <c r="FP165" s="915">
        <f t="shared" si="703"/>
        <v>0</v>
      </c>
      <c r="FQ165" s="915">
        <f t="shared" si="704"/>
        <v>0</v>
      </c>
      <c r="FR165" s="915">
        <f t="shared" si="705"/>
        <v>0</v>
      </c>
      <c r="FS165" s="915">
        <f t="shared" si="706"/>
        <v>0</v>
      </c>
      <c r="FT165" s="915">
        <f t="shared" si="707"/>
        <v>0</v>
      </c>
      <c r="FU165" s="915">
        <f t="shared" si="708"/>
        <v>0</v>
      </c>
      <c r="FV165" s="915">
        <f t="shared" si="709"/>
        <v>0</v>
      </c>
      <c r="FW165" s="915">
        <f t="shared" si="710"/>
        <v>0</v>
      </c>
      <c r="FX165" s="915">
        <f t="shared" si="711"/>
        <v>7.42</v>
      </c>
      <c r="FY165" s="915">
        <f t="shared" si="712"/>
        <v>0</v>
      </c>
      <c r="FZ165" s="915">
        <f t="shared" si="713"/>
        <v>0</v>
      </c>
    </row>
    <row r="166" spans="1:182" x14ac:dyDescent="0.2">
      <c r="A166" s="496">
        <v>159</v>
      </c>
      <c r="B166" s="1419"/>
      <c r="C166" s="1433"/>
      <c r="D166" s="264">
        <v>20</v>
      </c>
      <c r="E166" s="264" t="s">
        <v>48</v>
      </c>
      <c r="F166" s="270" t="s">
        <v>2544</v>
      </c>
      <c r="G166" s="270" t="s">
        <v>2542</v>
      </c>
      <c r="H166" s="272">
        <v>7</v>
      </c>
      <c r="I166" s="268">
        <f t="shared" si="672"/>
        <v>0.42</v>
      </c>
      <c r="J166" s="269">
        <f t="shared" si="673"/>
        <v>7.42</v>
      </c>
      <c r="K166" s="225"/>
      <c r="N166" s="951">
        <f>FY6</f>
        <v>7.42</v>
      </c>
      <c r="O166" s="915" t="str">
        <f>"Miscellaneous for "&amp;TabName20</f>
        <v>Miscellaneous for Phase 20</v>
      </c>
      <c r="P166" s="949" t="s">
        <v>2199</v>
      </c>
      <c r="W166" s="915">
        <f t="shared" si="486"/>
        <v>0</v>
      </c>
      <c r="X166" s="915">
        <f t="shared" si="487"/>
        <v>0</v>
      </c>
      <c r="Y166" s="915">
        <f t="shared" si="488"/>
        <v>0</v>
      </c>
      <c r="Z166" s="915">
        <f t="shared" si="505"/>
        <v>0</v>
      </c>
      <c r="AA166" s="915">
        <f t="shared" si="506"/>
        <v>0</v>
      </c>
      <c r="AB166" s="915">
        <f t="shared" si="507"/>
        <v>0</v>
      </c>
      <c r="AC166" s="915">
        <f t="shared" si="508"/>
        <v>0</v>
      </c>
      <c r="AD166" s="915">
        <f t="shared" si="509"/>
        <v>0</v>
      </c>
      <c r="AE166" s="915">
        <f t="shared" si="510"/>
        <v>0</v>
      </c>
      <c r="AF166" s="915">
        <f t="shared" si="511"/>
        <v>0</v>
      </c>
      <c r="AG166" s="915">
        <f t="shared" si="512"/>
        <v>0</v>
      </c>
      <c r="AH166" s="915">
        <f t="shared" si="513"/>
        <v>0</v>
      </c>
      <c r="AI166" s="915">
        <f t="shared" si="514"/>
        <v>0</v>
      </c>
      <c r="AJ166" s="915">
        <f t="shared" si="515"/>
        <v>0</v>
      </c>
      <c r="AK166" s="915">
        <f t="shared" si="516"/>
        <v>0</v>
      </c>
      <c r="AL166" s="915">
        <f t="shared" si="517"/>
        <v>0</v>
      </c>
      <c r="AM166" s="915">
        <f>IF(AND($D166=$R$10,$E166=$T$8),$J166,0)</f>
        <v>0</v>
      </c>
      <c r="AN166" s="915">
        <f>IF(AND($D166=$R$10,$E166=$T$9),$J166,0)</f>
        <v>0</v>
      </c>
      <c r="AO166" s="915">
        <f>IF(AND($D166=$R$10,$E166=$T$10),$J166,0)</f>
        <v>0</v>
      </c>
      <c r="AP166" s="915">
        <f>IF(AND($D166=$R$10,$E166=$T$11),$J166,0)</f>
        <v>0</v>
      </c>
      <c r="AQ166" s="915">
        <f>IF(AND($D166=$R$10,$E166=$T$12),$J166,0)</f>
        <v>0</v>
      </c>
      <c r="AR166" s="915">
        <f>IF(AND($D166=$R$10,$E166=$T$13),$J166,0)</f>
        <v>0</v>
      </c>
      <c r="AS166" s="915">
        <f>IF(AND($D166=$R$10,$E166=$T$14),$J166,0)</f>
        <v>0</v>
      </c>
      <c r="AT166" s="915">
        <f>IF(AND($D166=$R$10,$E166=$T$15),$J166,0)</f>
        <v>0</v>
      </c>
      <c r="AU166" s="915">
        <f>IF(AND($D166=$R$11,$E166=$T$8),$J166,0)</f>
        <v>0</v>
      </c>
      <c r="AV166" s="915">
        <f>IF(AND($D166=$R$11,$E166=$T$9),$J166,0)</f>
        <v>0</v>
      </c>
      <c r="AW166" s="915">
        <f>IF(AND($D166=$R$11,$E166=$T$10),$J166,0)</f>
        <v>0</v>
      </c>
      <c r="AX166" s="915">
        <f>IF(AND($D166=$R$11,$E166=$T$11),$J166,0)</f>
        <v>0</v>
      </c>
      <c r="AY166" s="915">
        <f>IF(AND($D166=$R$11,$E166=$T$12),$J166,0)</f>
        <v>0</v>
      </c>
      <c r="AZ166" s="915">
        <f>IF(AND($D166=$R$11,$E166=$T$13),$J166,0)</f>
        <v>0</v>
      </c>
      <c r="BA166" s="915">
        <f>IF(AND($D166=$R$11,$E166=$T$14),$J166,0)</f>
        <v>0</v>
      </c>
      <c r="BB166" s="915">
        <f>IF(AND($D166=$R$11,$E166=$T$15),$J166,0)</f>
        <v>0</v>
      </c>
      <c r="BC166" s="915">
        <f>IF(AND($D166=$R$12,$E166=$T$8),$J166,0)</f>
        <v>0</v>
      </c>
      <c r="BD166" s="915">
        <f>IF(AND($D166=$R$12,$E166=$T$9),$J166,0)</f>
        <v>0</v>
      </c>
      <c r="BE166" s="915">
        <f>IF(AND($D166=$R$12,$E166=$T$10),$J166,0)</f>
        <v>0</v>
      </c>
      <c r="BF166" s="915">
        <f>IF(AND($D166=$R$12,$E166=$T$11),$J166,0)</f>
        <v>0</v>
      </c>
      <c r="BG166" s="915">
        <f>IF(AND($D166=$R$12,$E166=$T$12),$J166,0)</f>
        <v>0</v>
      </c>
      <c r="BH166" s="915">
        <f>IF(AND($D166=$R$12,$E166=$T$13),$J166,0)</f>
        <v>0</v>
      </c>
      <c r="BI166" s="915">
        <f>IF(AND($D166=$R$12,$E166=$T$14),$J166,0)</f>
        <v>0</v>
      </c>
      <c r="BJ166" s="915">
        <f>IF(AND($D166=$R$12,$E166=$T$15),$J166,0)</f>
        <v>0</v>
      </c>
      <c r="BK166" s="915">
        <f t="shared" si="714"/>
        <v>0</v>
      </c>
      <c r="BL166" s="915">
        <f t="shared" si="715"/>
        <v>0</v>
      </c>
      <c r="BM166" s="915">
        <f t="shared" si="716"/>
        <v>0</v>
      </c>
      <c r="BN166" s="915">
        <f t="shared" si="717"/>
        <v>0</v>
      </c>
      <c r="BO166" s="915">
        <f t="shared" si="718"/>
        <v>0</v>
      </c>
      <c r="BP166" s="915">
        <f t="shared" si="719"/>
        <v>0</v>
      </c>
      <c r="BQ166" s="915">
        <f t="shared" si="720"/>
        <v>0</v>
      </c>
      <c r="BR166" s="915">
        <f t="shared" si="721"/>
        <v>0</v>
      </c>
      <c r="BS166" s="915">
        <f t="shared" si="674"/>
        <v>0</v>
      </c>
      <c r="BT166" s="915">
        <f t="shared" si="675"/>
        <v>0</v>
      </c>
      <c r="BU166" s="915">
        <f t="shared" si="676"/>
        <v>0</v>
      </c>
      <c r="BV166" s="915">
        <f t="shared" si="677"/>
        <v>0</v>
      </c>
      <c r="BW166" s="915">
        <f t="shared" si="678"/>
        <v>0</v>
      </c>
      <c r="BX166" s="915">
        <f t="shared" si="679"/>
        <v>0</v>
      </c>
      <c r="BY166" s="915">
        <f t="shared" si="680"/>
        <v>0</v>
      </c>
      <c r="BZ166" s="915">
        <f t="shared" si="681"/>
        <v>0</v>
      </c>
      <c r="CA166" s="915">
        <f t="shared" si="690"/>
        <v>0</v>
      </c>
      <c r="CB166" s="915">
        <f t="shared" si="691"/>
        <v>0</v>
      </c>
      <c r="CC166" s="915">
        <f t="shared" si="692"/>
        <v>0</v>
      </c>
      <c r="CD166" s="915">
        <f t="shared" si="693"/>
        <v>0</v>
      </c>
      <c r="CE166" s="915">
        <f t="shared" si="694"/>
        <v>0</v>
      </c>
      <c r="CF166" s="915">
        <f t="shared" si="695"/>
        <v>0</v>
      </c>
      <c r="CG166" s="915">
        <f t="shared" si="696"/>
        <v>0</v>
      </c>
      <c r="CH166" s="915">
        <f t="shared" si="697"/>
        <v>0</v>
      </c>
      <c r="CI166" s="915">
        <f t="shared" si="656"/>
        <v>0</v>
      </c>
      <c r="CJ166" s="915">
        <f t="shared" si="657"/>
        <v>0</v>
      </c>
      <c r="CK166" s="915">
        <f t="shared" si="658"/>
        <v>0</v>
      </c>
      <c r="CL166" s="915">
        <f t="shared" si="659"/>
        <v>0</v>
      </c>
      <c r="CM166" s="915">
        <f t="shared" si="660"/>
        <v>0</v>
      </c>
      <c r="CN166" s="915">
        <f t="shared" si="661"/>
        <v>0</v>
      </c>
      <c r="CO166" s="915">
        <f>IF(AND($D166=$R$16,$E166=$T$14),$J166,0)</f>
        <v>0</v>
      </c>
      <c r="CP166" s="915">
        <f t="shared" si="663"/>
        <v>0</v>
      </c>
      <c r="CQ166" s="915">
        <f>IF(AND($D166=$R$17,$E166=$T$8),$J166,0)</f>
        <v>0</v>
      </c>
      <c r="CR166" s="915">
        <f>IF(AND($D166=$R$17,$E166=$T$9),$J166,0)</f>
        <v>0</v>
      </c>
      <c r="CS166" s="915">
        <f>IF(AND($D166=$R$17,$E166=$T$10),$J166,0)</f>
        <v>0</v>
      </c>
      <c r="CT166" s="915">
        <f>IF(AND($D166=$R$17,$E166=$T$11),$J166,0)</f>
        <v>0</v>
      </c>
      <c r="CU166" s="915">
        <f>IF(AND($D166=$R$17,$E166=$T$12),$J166,0)</f>
        <v>0</v>
      </c>
      <c r="CV166" s="915">
        <f>IF(AND($D166=$R$17,$E166=$T$13),$J166,0)</f>
        <v>0</v>
      </c>
      <c r="CW166" s="915">
        <f>IF(AND($D166=$R$17,$E166=$T$14),$J166,0)</f>
        <v>0</v>
      </c>
      <c r="CX166" s="915">
        <f>IF(AND($D166=$R$17,$E166=$T$15),$J166,0)</f>
        <v>0</v>
      </c>
      <c r="CY166" s="915">
        <f t="shared" si="542"/>
        <v>0</v>
      </c>
      <c r="CZ166" s="915">
        <f t="shared" si="543"/>
        <v>0</v>
      </c>
      <c r="DA166" s="915">
        <f t="shared" si="544"/>
        <v>0</v>
      </c>
      <c r="DB166" s="915">
        <f t="shared" si="545"/>
        <v>0</v>
      </c>
      <c r="DC166" s="915">
        <f t="shared" si="546"/>
        <v>0</v>
      </c>
      <c r="DD166" s="915">
        <f t="shared" si="547"/>
        <v>0</v>
      </c>
      <c r="DE166" s="915">
        <f t="shared" si="548"/>
        <v>0</v>
      </c>
      <c r="DF166" s="915">
        <f t="shared" si="549"/>
        <v>0</v>
      </c>
      <c r="DG166" s="915">
        <f t="shared" si="682"/>
        <v>0</v>
      </c>
      <c r="DH166" s="915">
        <f t="shared" si="683"/>
        <v>0</v>
      </c>
      <c r="DI166" s="915">
        <f t="shared" si="684"/>
        <v>0</v>
      </c>
      <c r="DJ166" s="915">
        <f t="shared" si="685"/>
        <v>0</v>
      </c>
      <c r="DK166" s="915">
        <f t="shared" si="686"/>
        <v>0</v>
      </c>
      <c r="DL166" s="915">
        <f t="shared" si="687"/>
        <v>0</v>
      </c>
      <c r="DM166" s="915">
        <f t="shared" si="688"/>
        <v>0</v>
      </c>
      <c r="DN166" s="915">
        <f t="shared" si="689"/>
        <v>0</v>
      </c>
      <c r="DO166" s="915">
        <f>IF(AND($D166=$R$20,$E166=$T$8),$J166,0)</f>
        <v>0</v>
      </c>
      <c r="DP166" s="915">
        <f>IF(AND($D166=$R$20,$E166=$T$9),$J166,0)</f>
        <v>0</v>
      </c>
      <c r="DQ166" s="915">
        <f>IF(AND($D166=$R$20,$E166=$T$10),$J166,0)</f>
        <v>0</v>
      </c>
      <c r="DR166" s="915">
        <f>IF(AND($D166=$R$20,$E166=$T$11),$J166,0)</f>
        <v>0</v>
      </c>
      <c r="DS166" s="915">
        <f>IF(AND($D166=$R$20,$E166=$T$12),$J166,0)</f>
        <v>0</v>
      </c>
      <c r="DT166" s="915">
        <f>IF(AND($D166=$R$20,$E166=$T$13),$J166,0)</f>
        <v>0</v>
      </c>
      <c r="DU166" s="915">
        <f>IF(AND($D166=$R$20,$E166=$T$14),$J166,0)</f>
        <v>0</v>
      </c>
      <c r="DV166" s="915">
        <f>IF(AND($D166=$R$20,$E166=$T$15),$J166,0)</f>
        <v>0</v>
      </c>
      <c r="DW166" s="915">
        <f>IF(AND($D166=$R$21,$E166=$T$8),$J166,0)</f>
        <v>0</v>
      </c>
      <c r="DX166" s="915">
        <f>IF(AND($D166=$R$21,$E166=$T$9),$J166,0)</f>
        <v>0</v>
      </c>
      <c r="DY166" s="915">
        <f>IF(AND($D166=$R$21,$E166=$T$10),$J166,0)</f>
        <v>0</v>
      </c>
      <c r="DZ166" s="915">
        <f>IF(AND($D166=$R$21,$E166=$T$11),$J166,0)</f>
        <v>0</v>
      </c>
      <c r="EA166" s="915">
        <f>IF(AND($D166=$R$21,$E166=$T$12),$J166,0)</f>
        <v>0</v>
      </c>
      <c r="EB166" s="915">
        <f>IF(AND($D166=$R$21,$E166=$T$13),$J166,0)</f>
        <v>0</v>
      </c>
      <c r="EC166" s="915">
        <f>IF(AND($D166=$R$21,$E166=$T$14),$J166,0)</f>
        <v>0</v>
      </c>
      <c r="ED166" s="915">
        <f>IF(AND($D166=$R$21,$E166=$T$15),$J166,0)</f>
        <v>0</v>
      </c>
      <c r="EE166" s="915">
        <f t="shared" si="470"/>
        <v>0</v>
      </c>
      <c r="EF166" s="915">
        <f t="shared" si="471"/>
        <v>0</v>
      </c>
      <c r="EG166" s="915">
        <f t="shared" si="472"/>
        <v>0</v>
      </c>
      <c r="EH166" s="915">
        <f t="shared" si="473"/>
        <v>0</v>
      </c>
      <c r="EI166" s="915">
        <f t="shared" si="474"/>
        <v>0</v>
      </c>
      <c r="EJ166" s="915">
        <f t="shared" si="475"/>
        <v>0</v>
      </c>
      <c r="EK166" s="915">
        <f t="shared" si="476"/>
        <v>0</v>
      </c>
      <c r="EL166" s="915">
        <f t="shared" si="477"/>
        <v>0</v>
      </c>
      <c r="EM166" s="915">
        <f t="shared" si="478"/>
        <v>0</v>
      </c>
      <c r="EN166" s="915">
        <f t="shared" si="479"/>
        <v>0</v>
      </c>
      <c r="EO166" s="915">
        <f t="shared" si="480"/>
        <v>0</v>
      </c>
      <c r="EP166" s="915">
        <f t="shared" si="481"/>
        <v>0</v>
      </c>
      <c r="EQ166" s="915">
        <f t="shared" si="482"/>
        <v>0</v>
      </c>
      <c r="ER166" s="915">
        <f t="shared" si="483"/>
        <v>0</v>
      </c>
      <c r="ES166" s="915">
        <f t="shared" si="484"/>
        <v>0</v>
      </c>
      <c r="ET166" s="915">
        <f t="shared" si="485"/>
        <v>0</v>
      </c>
      <c r="EU166" s="915">
        <f t="shared" si="550"/>
        <v>0</v>
      </c>
      <c r="EV166" s="915">
        <f t="shared" si="551"/>
        <v>0</v>
      </c>
      <c r="EW166" s="915">
        <f t="shared" si="552"/>
        <v>0</v>
      </c>
      <c r="EX166" s="915">
        <f t="shared" si="553"/>
        <v>0</v>
      </c>
      <c r="EY166" s="915">
        <f t="shared" si="554"/>
        <v>0</v>
      </c>
      <c r="EZ166" s="915">
        <f t="shared" si="555"/>
        <v>0</v>
      </c>
      <c r="FA166" s="915">
        <f t="shared" si="556"/>
        <v>0</v>
      </c>
      <c r="FB166" s="915">
        <f t="shared" si="557"/>
        <v>0</v>
      </c>
      <c r="FC166" s="915">
        <f t="shared" si="558"/>
        <v>0</v>
      </c>
      <c r="FD166" s="915">
        <f t="shared" si="559"/>
        <v>0</v>
      </c>
      <c r="FE166" s="915">
        <f t="shared" si="560"/>
        <v>0</v>
      </c>
      <c r="FF166" s="915">
        <f t="shared" si="561"/>
        <v>0</v>
      </c>
      <c r="FG166" s="915">
        <f t="shared" si="562"/>
        <v>0</v>
      </c>
      <c r="FH166" s="915">
        <f t="shared" si="563"/>
        <v>0</v>
      </c>
      <c r="FI166" s="915">
        <f t="shared" si="564"/>
        <v>0</v>
      </c>
      <c r="FJ166" s="915">
        <f t="shared" si="565"/>
        <v>0</v>
      </c>
      <c r="FK166" s="915">
        <f t="shared" si="698"/>
        <v>0</v>
      </c>
      <c r="FL166" s="915">
        <f t="shared" si="699"/>
        <v>0</v>
      </c>
      <c r="FM166" s="915">
        <f t="shared" si="700"/>
        <v>0</v>
      </c>
      <c r="FN166" s="915">
        <f t="shared" si="701"/>
        <v>0</v>
      </c>
      <c r="FO166" s="915">
        <f t="shared" si="702"/>
        <v>0</v>
      </c>
      <c r="FP166" s="915">
        <f t="shared" si="703"/>
        <v>0</v>
      </c>
      <c r="FQ166" s="915">
        <f t="shared" si="704"/>
        <v>0</v>
      </c>
      <c r="FR166" s="915">
        <f t="shared" si="705"/>
        <v>0</v>
      </c>
      <c r="FS166" s="915">
        <f t="shared" si="706"/>
        <v>0</v>
      </c>
      <c r="FT166" s="915">
        <f t="shared" si="707"/>
        <v>0</v>
      </c>
      <c r="FU166" s="915">
        <f t="shared" si="708"/>
        <v>0</v>
      </c>
      <c r="FV166" s="915">
        <f t="shared" si="709"/>
        <v>0</v>
      </c>
      <c r="FW166" s="915">
        <f t="shared" si="710"/>
        <v>0</v>
      </c>
      <c r="FX166" s="915">
        <f t="shared" si="711"/>
        <v>0</v>
      </c>
      <c r="FY166" s="915">
        <f t="shared" si="712"/>
        <v>7.42</v>
      </c>
      <c r="FZ166" s="915">
        <f t="shared" si="713"/>
        <v>0</v>
      </c>
    </row>
    <row r="167" spans="1:182" ht="13.5" thickBot="1" x14ac:dyDescent="0.25">
      <c r="A167" s="497">
        <v>160</v>
      </c>
      <c r="B167" s="1423"/>
      <c r="C167" s="1424"/>
      <c r="D167" s="138">
        <v>20</v>
      </c>
      <c r="E167" s="138" t="s">
        <v>27</v>
      </c>
      <c r="F167" s="139" t="s">
        <v>2544</v>
      </c>
      <c r="G167" s="139" t="s">
        <v>2542</v>
      </c>
      <c r="H167" s="100">
        <v>7</v>
      </c>
      <c r="I167" s="119">
        <f t="shared" ref="I167" si="722">IF(ISTEXT(K167),0,StateTaxSub*G167*H167)</f>
        <v>0.42</v>
      </c>
      <c r="J167" s="90">
        <f t="shared" ref="J167" si="723">(G167*H167)+I167</f>
        <v>7.42</v>
      </c>
      <c r="K167" s="225"/>
      <c r="N167" s="951">
        <f>FZ6</f>
        <v>7.42</v>
      </c>
      <c r="O167" s="879" t="str">
        <f>"Contractor Labor for " &amp; TabName20</f>
        <v>Contractor Labor for Phase 20</v>
      </c>
      <c r="P167" s="950" t="s">
        <v>2198</v>
      </c>
      <c r="W167" s="915">
        <f t="shared" si="486"/>
        <v>0</v>
      </c>
      <c r="X167" s="915">
        <f t="shared" si="487"/>
        <v>0</v>
      </c>
      <c r="Y167" s="915">
        <f t="shared" si="488"/>
        <v>0</v>
      </c>
      <c r="Z167" s="915">
        <f>IF(AND($D167=$R$8,$E167=$T$11),$J167,0)</f>
        <v>0</v>
      </c>
      <c r="AA167" s="915">
        <f>IF(AND($D167=$R$8,$E167=$T$12),$J167,0)</f>
        <v>0</v>
      </c>
      <c r="AB167" s="915">
        <f>IF(AND($D167=$R$8,$E167=$T$13),$J167,0)</f>
        <v>0</v>
      </c>
      <c r="AC167" s="915">
        <f>IF(AND($D167=$R$8,$E167=$T$14),$J167,0)</f>
        <v>0</v>
      </c>
      <c r="AD167" s="915">
        <f>IF(AND($D167=$R$8,$E167=$T$15),$J167,0)</f>
        <v>0</v>
      </c>
      <c r="AE167" s="915">
        <f>IF(AND($D167=$R$9,$E167=$T$8),$J167,0)</f>
        <v>0</v>
      </c>
      <c r="AF167" s="915">
        <f>IF(AND($D167=$R$9,$E167=$T$9),$J167,0)</f>
        <v>0</v>
      </c>
      <c r="AG167" s="915">
        <f>IF(AND($D167=$R$9,$E167=$T$10),$J167,0)</f>
        <v>0</v>
      </c>
      <c r="AH167" s="915">
        <f>IF(AND($D167=$R$9,$E167=$T$11),$J167,0)</f>
        <v>0</v>
      </c>
      <c r="AI167" s="915">
        <f>IF(AND($D167=$R$9,$E167=$T$12),$J167,0)</f>
        <v>0</v>
      </c>
      <c r="AJ167" s="915">
        <f>IF(AND($D167=$R$9,$E167=$T$13),$J167,0)</f>
        <v>0</v>
      </c>
      <c r="AK167" s="915">
        <f>IF(AND($D167=$R$9,$E167=$T$14),$J167,0)</f>
        <v>0</v>
      </c>
      <c r="AL167" s="915">
        <f>IF(AND($D167=$R$9,$E167=$T$15),$J167,0)</f>
        <v>0</v>
      </c>
      <c r="AM167" s="915">
        <f t="shared" ref="AM167" si="724">IF(AND($D167=$R$10,$E167=$T$8),$J167,0)</f>
        <v>0</v>
      </c>
      <c r="AN167" s="915">
        <f t="shared" ref="AN167" si="725">IF(AND($D167=$R$10,$E167=$T$9),$J167,0)</f>
        <v>0</v>
      </c>
      <c r="AO167" s="915">
        <f t="shared" ref="AO167" si="726">IF(AND($D167=$R$10,$E167=$T$10),$J167,0)</f>
        <v>0</v>
      </c>
      <c r="AP167" s="915">
        <f t="shared" ref="AP167" si="727">IF(AND($D167=$R$10,$E167=$T$11),$J167,0)</f>
        <v>0</v>
      </c>
      <c r="AQ167" s="915">
        <f t="shared" ref="AQ167" si="728">IF(AND($D167=$R$10,$E167=$T$12),$J167,0)</f>
        <v>0</v>
      </c>
      <c r="AR167" s="915">
        <f t="shared" ref="AR167" si="729">IF(AND($D167=$R$10,$E167=$T$13),$J167,0)</f>
        <v>0</v>
      </c>
      <c r="AS167" s="915">
        <f t="shared" ref="AS167" si="730">IF(AND($D167=$R$10,$E167=$T$14),$J167,0)</f>
        <v>0</v>
      </c>
      <c r="AT167" s="915">
        <f t="shared" ref="AT167" si="731">IF(AND($D167=$R$10,$E167=$T$15),$J167,0)</f>
        <v>0</v>
      </c>
      <c r="AU167" s="915">
        <f t="shared" ref="AU167" si="732">IF(AND($D167=$R$11,$E167=$T$8),$J167,0)</f>
        <v>0</v>
      </c>
      <c r="AV167" s="915">
        <f t="shared" ref="AV167" si="733">IF(AND($D167=$R$11,$E167=$T$9),$J167,0)</f>
        <v>0</v>
      </c>
      <c r="AW167" s="915">
        <f t="shared" ref="AW167" si="734">IF(AND($D167=$R$11,$E167=$T$10),$J167,0)</f>
        <v>0</v>
      </c>
      <c r="AX167" s="915">
        <f t="shared" ref="AX167" si="735">IF(AND($D167=$R$11,$E167=$T$11),$J167,0)</f>
        <v>0</v>
      </c>
      <c r="AY167" s="915">
        <f t="shared" ref="AY167" si="736">IF(AND($D167=$R$11,$E167=$T$12),$J167,0)</f>
        <v>0</v>
      </c>
      <c r="AZ167" s="915">
        <f t="shared" ref="AZ167" si="737">IF(AND($D167=$R$11,$E167=$T$13),$J167,0)</f>
        <v>0</v>
      </c>
      <c r="BA167" s="915">
        <f t="shared" ref="BA167" si="738">IF(AND($D167=$R$11,$E167=$T$14),$J167,0)</f>
        <v>0</v>
      </c>
      <c r="BB167" s="915">
        <f t="shared" ref="BB167" si="739">IF(AND($D167=$R$11,$E167=$T$15),$J167,0)</f>
        <v>0</v>
      </c>
      <c r="BC167" s="915">
        <f t="shared" ref="BC167" si="740">IF(AND($D167=$R$12,$E167=$T$8),$J167,0)</f>
        <v>0</v>
      </c>
      <c r="BD167" s="915">
        <f t="shared" ref="BD167" si="741">IF(AND($D167=$R$12,$E167=$T$9),$J167,0)</f>
        <v>0</v>
      </c>
      <c r="BE167" s="915">
        <f t="shared" ref="BE167" si="742">IF(AND($D167=$R$12,$E167=$T$10),$J167,0)</f>
        <v>0</v>
      </c>
      <c r="BF167" s="915">
        <f t="shared" ref="BF167" si="743">IF(AND($D167=$R$12,$E167=$T$11),$J167,0)</f>
        <v>0</v>
      </c>
      <c r="BG167" s="915">
        <f t="shared" ref="BG167" si="744">IF(AND($D167=$R$12,$E167=$T$12),$J167,0)</f>
        <v>0</v>
      </c>
      <c r="BH167" s="915">
        <f t="shared" ref="BH167" si="745">IF(AND($D167=$R$12,$E167=$T$13),$J167,0)</f>
        <v>0</v>
      </c>
      <c r="BI167" s="915">
        <f t="shared" ref="BI167" si="746">IF(AND($D167=$R$12,$E167=$T$14),$J167,0)</f>
        <v>0</v>
      </c>
      <c r="BJ167" s="915">
        <f t="shared" ref="BJ167" si="747">IF(AND($D167=$R$12,$E167=$T$15),$J167,0)</f>
        <v>0</v>
      </c>
      <c r="BK167" s="915">
        <f t="shared" si="714"/>
        <v>0</v>
      </c>
      <c r="BL167" s="915">
        <f t="shared" si="715"/>
        <v>0</v>
      </c>
      <c r="BM167" s="915">
        <f t="shared" si="716"/>
        <v>0</v>
      </c>
      <c r="BN167" s="915">
        <f t="shared" si="717"/>
        <v>0</v>
      </c>
      <c r="BO167" s="915">
        <f t="shared" si="718"/>
        <v>0</v>
      </c>
      <c r="BP167" s="915">
        <f t="shared" si="719"/>
        <v>0</v>
      </c>
      <c r="BQ167" s="915">
        <f t="shared" si="720"/>
        <v>0</v>
      </c>
      <c r="BR167" s="915">
        <f t="shared" si="721"/>
        <v>0</v>
      </c>
      <c r="BS167" s="915">
        <f t="shared" si="674"/>
        <v>0</v>
      </c>
      <c r="BT167" s="915">
        <f t="shared" si="675"/>
        <v>0</v>
      </c>
      <c r="BU167" s="915">
        <f t="shared" si="676"/>
        <v>0</v>
      </c>
      <c r="BV167" s="915">
        <f t="shared" si="677"/>
        <v>0</v>
      </c>
      <c r="BW167" s="915">
        <f t="shared" si="678"/>
        <v>0</v>
      </c>
      <c r="BX167" s="915">
        <f t="shared" si="679"/>
        <v>0</v>
      </c>
      <c r="BY167" s="915">
        <f t="shared" si="680"/>
        <v>0</v>
      </c>
      <c r="BZ167" s="915">
        <f t="shared" si="681"/>
        <v>0</v>
      </c>
      <c r="CA167" s="915">
        <f t="shared" si="690"/>
        <v>0</v>
      </c>
      <c r="CB167" s="915">
        <f t="shared" si="691"/>
        <v>0</v>
      </c>
      <c r="CC167" s="915">
        <f t="shared" si="692"/>
        <v>0</v>
      </c>
      <c r="CD167" s="915">
        <f t="shared" si="693"/>
        <v>0</v>
      </c>
      <c r="CE167" s="915">
        <f t="shared" si="694"/>
        <v>0</v>
      </c>
      <c r="CF167" s="915">
        <f t="shared" si="695"/>
        <v>0</v>
      </c>
      <c r="CG167" s="915">
        <f t="shared" si="696"/>
        <v>0</v>
      </c>
      <c r="CH167" s="915">
        <f t="shared" si="697"/>
        <v>0</v>
      </c>
      <c r="CI167" s="915">
        <f t="shared" si="656"/>
        <v>0</v>
      </c>
      <c r="CJ167" s="915">
        <f t="shared" si="657"/>
        <v>0</v>
      </c>
      <c r="CK167" s="915">
        <f t="shared" si="658"/>
        <v>0</v>
      </c>
      <c r="CL167" s="915">
        <f t="shared" si="659"/>
        <v>0</v>
      </c>
      <c r="CM167" s="915">
        <f t="shared" si="660"/>
        <v>0</v>
      </c>
      <c r="CN167" s="915">
        <f t="shared" si="661"/>
        <v>0</v>
      </c>
      <c r="CO167" s="915">
        <f>IF(AND($D167=$R$16,$E167=$T$14),$J167,0)</f>
        <v>0</v>
      </c>
      <c r="CP167" s="915">
        <f t="shared" si="663"/>
        <v>0</v>
      </c>
      <c r="CQ167" s="915">
        <f t="shared" ref="CQ167" si="748">IF(AND($D167=$R$17,$E167=$T$8),$J167,0)</f>
        <v>0</v>
      </c>
      <c r="CR167" s="915">
        <f t="shared" ref="CR167" si="749">IF(AND($D167=$R$17,$E167=$T$9),$J167,0)</f>
        <v>0</v>
      </c>
      <c r="CS167" s="915">
        <f t="shared" ref="CS167" si="750">IF(AND($D167=$R$17,$E167=$T$10),$J167,0)</f>
        <v>0</v>
      </c>
      <c r="CT167" s="915">
        <f t="shared" ref="CT167" si="751">IF(AND($D167=$R$17,$E167=$T$11),$J167,0)</f>
        <v>0</v>
      </c>
      <c r="CU167" s="915">
        <f t="shared" ref="CU167" si="752">IF(AND($D167=$R$17,$E167=$T$12),$J167,0)</f>
        <v>0</v>
      </c>
      <c r="CV167" s="915">
        <f t="shared" ref="CV167" si="753">IF(AND($D167=$R$17,$E167=$T$13),$J167,0)</f>
        <v>0</v>
      </c>
      <c r="CW167" s="915">
        <f t="shared" ref="CW167" si="754">IF(AND($D167=$R$17,$E167=$T$14),$J167,0)</f>
        <v>0</v>
      </c>
      <c r="CX167" s="915">
        <f t="shared" ref="CX167" si="755">IF(AND($D167=$R$17,$E167=$T$15),$J167,0)</f>
        <v>0</v>
      </c>
      <c r="CY167" s="915">
        <f t="shared" si="542"/>
        <v>0</v>
      </c>
      <c r="CZ167" s="915">
        <f t="shared" si="543"/>
        <v>0</v>
      </c>
      <c r="DA167" s="915">
        <f t="shared" si="544"/>
        <v>0</v>
      </c>
      <c r="DB167" s="915">
        <f t="shared" si="545"/>
        <v>0</v>
      </c>
      <c r="DC167" s="915">
        <f t="shared" si="546"/>
        <v>0</v>
      </c>
      <c r="DD167" s="915">
        <f t="shared" si="547"/>
        <v>0</v>
      </c>
      <c r="DE167" s="915">
        <f t="shared" si="548"/>
        <v>0</v>
      </c>
      <c r="DF167" s="915">
        <f t="shared" si="549"/>
        <v>0</v>
      </c>
      <c r="DG167" s="915">
        <f t="shared" si="682"/>
        <v>0</v>
      </c>
      <c r="DH167" s="915">
        <f t="shared" si="683"/>
        <v>0</v>
      </c>
      <c r="DI167" s="915">
        <f t="shared" si="684"/>
        <v>0</v>
      </c>
      <c r="DJ167" s="915">
        <f t="shared" si="685"/>
        <v>0</v>
      </c>
      <c r="DK167" s="915">
        <f t="shared" si="686"/>
        <v>0</v>
      </c>
      <c r="DL167" s="915">
        <f t="shared" si="687"/>
        <v>0</v>
      </c>
      <c r="DM167" s="915">
        <f t="shared" si="688"/>
        <v>0</v>
      </c>
      <c r="DN167" s="915">
        <f t="shared" si="689"/>
        <v>0</v>
      </c>
      <c r="DO167" s="915">
        <f t="shared" ref="DO167" si="756">IF(AND($D167=$R$20,$E167=$T$8),$J167,0)</f>
        <v>0</v>
      </c>
      <c r="DP167" s="915">
        <f t="shared" ref="DP167" si="757">IF(AND($D167=$R$20,$E167=$T$9),$J167,0)</f>
        <v>0</v>
      </c>
      <c r="DQ167" s="915">
        <f t="shared" ref="DQ167" si="758">IF(AND($D167=$R$20,$E167=$T$10),$J167,0)</f>
        <v>0</v>
      </c>
      <c r="DR167" s="915">
        <f t="shared" ref="DR167" si="759">IF(AND($D167=$R$20,$E167=$T$11),$J167,0)</f>
        <v>0</v>
      </c>
      <c r="DS167" s="915">
        <f t="shared" ref="DS167" si="760">IF(AND($D167=$R$20,$E167=$T$12),$J167,0)</f>
        <v>0</v>
      </c>
      <c r="DT167" s="915">
        <f t="shared" ref="DT167" si="761">IF(AND($D167=$R$20,$E167=$T$13),$J167,0)</f>
        <v>0</v>
      </c>
      <c r="DU167" s="915">
        <f t="shared" ref="DU167" si="762">IF(AND($D167=$R$20,$E167=$T$14),$J167,0)</f>
        <v>0</v>
      </c>
      <c r="DV167" s="915">
        <f t="shared" ref="DV167" si="763">IF(AND($D167=$R$20,$E167=$T$15),$J167,0)</f>
        <v>0</v>
      </c>
      <c r="DW167" s="915">
        <f t="shared" ref="DW167" si="764">IF(AND($D167=$R$21,$E167=$T$8),$J167,0)</f>
        <v>0</v>
      </c>
      <c r="DX167" s="915">
        <f t="shared" ref="DX167" si="765">IF(AND($D167=$R$21,$E167=$T$9),$J167,0)</f>
        <v>0</v>
      </c>
      <c r="DY167" s="915">
        <f t="shared" ref="DY167" si="766">IF(AND($D167=$R$21,$E167=$T$10),$J167,0)</f>
        <v>0</v>
      </c>
      <c r="DZ167" s="915">
        <f t="shared" ref="DZ167" si="767">IF(AND($D167=$R$21,$E167=$T$11),$J167,0)</f>
        <v>0</v>
      </c>
      <c r="EA167" s="915">
        <f t="shared" ref="EA167" si="768">IF(AND($D167=$R$21,$E167=$T$12),$J167,0)</f>
        <v>0</v>
      </c>
      <c r="EB167" s="915">
        <f t="shared" ref="EB167" si="769">IF(AND($D167=$R$21,$E167=$T$13),$J167,0)</f>
        <v>0</v>
      </c>
      <c r="EC167" s="915">
        <f t="shared" ref="EC167" si="770">IF(AND($D167=$R$21,$E167=$T$14),$J167,0)</f>
        <v>0</v>
      </c>
      <c r="ED167" s="915">
        <f t="shared" ref="ED167" si="771">IF(AND($D167=$R$21,$E167=$T$15),$J167,0)</f>
        <v>0</v>
      </c>
      <c r="EE167" s="915">
        <f>IF(AND($D167=$R$22,$E167=$T$8),$J167,0)</f>
        <v>0</v>
      </c>
      <c r="EF167" s="915">
        <f>IF(AND($D167=$R$22,$E167=$T$9),$J167,0)</f>
        <v>0</v>
      </c>
      <c r="EG167" s="915">
        <f>IF(AND($D167=$R$22,$E167=$T$10),$J167,0)</f>
        <v>0</v>
      </c>
      <c r="EH167" s="915">
        <f>IF(AND($D167=$R$22,$E167=$T$11),$J167,0)</f>
        <v>0</v>
      </c>
      <c r="EI167" s="915">
        <f>IF(AND($D167=$R$22,$E167=$T$12),$J167,0)</f>
        <v>0</v>
      </c>
      <c r="EJ167" s="915">
        <f>IF(AND($D167=$R$22,$E167=$T$13),$J167,0)</f>
        <v>0</v>
      </c>
      <c r="EK167" s="915">
        <f>IF(AND($D167=$R$22,$E167=$T$14),$J167,0)</f>
        <v>0</v>
      </c>
      <c r="EL167" s="915">
        <f>IF(AND($D167=$R$22,$E167=$T$15),$J167,0)</f>
        <v>0</v>
      </c>
      <c r="EM167" s="915">
        <f>IF(AND($D167=$R$23,$E167=$T$8),$J167,0)</f>
        <v>0</v>
      </c>
      <c r="EN167" s="915">
        <f>IF(AND($D167=$R$23,$E167=$T$9),$J167,0)</f>
        <v>0</v>
      </c>
      <c r="EO167" s="915">
        <f>IF(AND($D167=$R$23,$E167=$T$10),$J167,0)</f>
        <v>0</v>
      </c>
      <c r="EP167" s="915">
        <f>IF(AND($D167=$R$23,$E167=$T$11),$J167,0)</f>
        <v>0</v>
      </c>
      <c r="EQ167" s="915">
        <f>IF(AND($D167=$R$23,$E167=$T$12),$J167,0)</f>
        <v>0</v>
      </c>
      <c r="ER167" s="915">
        <f>IF(AND($D167=$R$23,$E167=$T$13),$J167,0)</f>
        <v>0</v>
      </c>
      <c r="ES167" s="915">
        <f>IF(AND($D167=$R$23,$E167=$T$14),$J167,0)</f>
        <v>0</v>
      </c>
      <c r="ET167" s="915">
        <f>IF(AND($D167=$R$23,$E167=$T$15),$J167,0)</f>
        <v>0</v>
      </c>
      <c r="EU167" s="915">
        <f t="shared" si="550"/>
        <v>0</v>
      </c>
      <c r="EV167" s="915">
        <f t="shared" si="551"/>
        <v>0</v>
      </c>
      <c r="EW167" s="915">
        <f t="shared" si="552"/>
        <v>0</v>
      </c>
      <c r="EX167" s="915">
        <f t="shared" si="553"/>
        <v>0</v>
      </c>
      <c r="EY167" s="915">
        <f t="shared" si="554"/>
        <v>0</v>
      </c>
      <c r="EZ167" s="915">
        <f t="shared" si="555"/>
        <v>0</v>
      </c>
      <c r="FA167" s="915">
        <f t="shared" si="556"/>
        <v>0</v>
      </c>
      <c r="FB167" s="915">
        <f t="shared" si="557"/>
        <v>0</v>
      </c>
      <c r="FC167" s="915">
        <f t="shared" si="558"/>
        <v>0</v>
      </c>
      <c r="FD167" s="915">
        <f t="shared" si="559"/>
        <v>0</v>
      </c>
      <c r="FE167" s="915">
        <f t="shared" si="560"/>
        <v>0</v>
      </c>
      <c r="FF167" s="915">
        <f t="shared" si="561"/>
        <v>0</v>
      </c>
      <c r="FG167" s="915">
        <f t="shared" si="562"/>
        <v>0</v>
      </c>
      <c r="FH167" s="915">
        <f t="shared" si="563"/>
        <v>0</v>
      </c>
      <c r="FI167" s="915">
        <f t="shared" si="564"/>
        <v>0</v>
      </c>
      <c r="FJ167" s="915">
        <f t="shared" si="565"/>
        <v>0</v>
      </c>
      <c r="FK167" s="915">
        <f t="shared" si="698"/>
        <v>0</v>
      </c>
      <c r="FL167" s="915">
        <f t="shared" si="699"/>
        <v>0</v>
      </c>
      <c r="FM167" s="915">
        <f t="shared" si="700"/>
        <v>0</v>
      </c>
      <c r="FN167" s="915">
        <f t="shared" si="701"/>
        <v>0</v>
      </c>
      <c r="FO167" s="915">
        <f t="shared" si="702"/>
        <v>0</v>
      </c>
      <c r="FP167" s="915">
        <f t="shared" si="703"/>
        <v>0</v>
      </c>
      <c r="FQ167" s="915">
        <f t="shared" si="704"/>
        <v>0</v>
      </c>
      <c r="FR167" s="915">
        <f t="shared" si="705"/>
        <v>0</v>
      </c>
      <c r="FS167" s="915">
        <f t="shared" si="706"/>
        <v>0</v>
      </c>
      <c r="FT167" s="915">
        <f t="shared" si="707"/>
        <v>0</v>
      </c>
      <c r="FU167" s="915">
        <f t="shared" si="708"/>
        <v>0</v>
      </c>
      <c r="FV167" s="915">
        <f t="shared" si="709"/>
        <v>0</v>
      </c>
      <c r="FW167" s="915">
        <f t="shared" si="710"/>
        <v>0</v>
      </c>
      <c r="FX167" s="915">
        <f t="shared" si="711"/>
        <v>0</v>
      </c>
      <c r="FY167" s="915">
        <f t="shared" si="712"/>
        <v>0</v>
      </c>
      <c r="FZ167" s="915">
        <f t="shared" si="713"/>
        <v>7.42</v>
      </c>
    </row>
    <row r="168" spans="1:182" ht="13.5" thickTop="1" x14ac:dyDescent="0.2">
      <c r="A168" s="96"/>
      <c r="B168" s="1429"/>
      <c r="C168" s="1430"/>
      <c r="D168" s="96"/>
      <c r="E168" s="101"/>
      <c r="F168" s="97"/>
      <c r="G168" s="97"/>
      <c r="H168" s="97"/>
      <c r="I168" s="1232">
        <f>SUM(I8:I167)</f>
        <v>67.200000000000202</v>
      </c>
      <c r="J168" s="1233">
        <f>SUM(J8:J167)</f>
        <v>1187.1999999999991</v>
      </c>
      <c r="W168" s="915"/>
      <c r="X168" s="915"/>
      <c r="Y168" s="915"/>
      <c r="Z168" s="915"/>
      <c r="AA168" s="915"/>
      <c r="AB168" s="915"/>
      <c r="AC168" s="915"/>
      <c r="AD168" s="915"/>
      <c r="AE168" s="915"/>
      <c r="AF168" s="915"/>
      <c r="AG168" s="915"/>
      <c r="AH168" s="915"/>
      <c r="AI168" s="915"/>
      <c r="AJ168" s="915"/>
      <c r="AK168" s="915"/>
      <c r="AL168" s="915"/>
      <c r="AM168" s="915"/>
      <c r="AN168" s="915"/>
      <c r="AO168" s="915"/>
      <c r="AP168" s="915"/>
      <c r="AQ168" s="915"/>
      <c r="AR168" s="915"/>
      <c r="AS168" s="915"/>
      <c r="AT168" s="915"/>
      <c r="AU168" s="915"/>
      <c r="AV168" s="915"/>
      <c r="AW168" s="915"/>
      <c r="AX168" s="915"/>
      <c r="AY168" s="915"/>
      <c r="AZ168" s="915"/>
      <c r="BA168" s="915"/>
      <c r="BB168" s="915"/>
      <c r="BC168" s="915"/>
      <c r="BD168" s="915"/>
      <c r="BE168" s="915"/>
      <c r="BF168" s="915"/>
      <c r="BG168" s="915"/>
      <c r="BH168" s="915"/>
      <c r="BI168" s="915"/>
      <c r="BJ168" s="915"/>
      <c r="BK168" s="915"/>
      <c r="BL168" s="915"/>
      <c r="BM168" s="915"/>
      <c r="BN168" s="915"/>
      <c r="BO168" s="915"/>
      <c r="BP168" s="915"/>
      <c r="BQ168" s="915"/>
      <c r="BR168" s="915"/>
      <c r="BS168" s="915"/>
      <c r="BT168" s="915"/>
      <c r="BU168" s="915"/>
      <c r="BV168" s="915"/>
      <c r="BW168" s="915"/>
      <c r="BX168" s="915"/>
      <c r="BY168" s="915"/>
      <c r="BZ168" s="915"/>
      <c r="CA168" s="915"/>
      <c r="CB168" s="915"/>
      <c r="CC168" s="915"/>
      <c r="CD168" s="915"/>
      <c r="CE168" s="915"/>
      <c r="CF168" s="915"/>
      <c r="CG168" s="915"/>
      <c r="CH168" s="915"/>
      <c r="CI168" s="915"/>
      <c r="CJ168" s="915"/>
      <c r="CK168" s="915"/>
      <c r="CL168" s="915"/>
      <c r="CM168" s="915"/>
      <c r="CN168" s="915"/>
      <c r="CO168" s="915"/>
      <c r="CP168" s="915"/>
      <c r="CQ168" s="915"/>
      <c r="CR168" s="915"/>
      <c r="CS168" s="915"/>
      <c r="CT168" s="915"/>
      <c r="CU168" s="915"/>
      <c r="CV168" s="915"/>
      <c r="CW168" s="915"/>
      <c r="CX168" s="915"/>
      <c r="CY168" s="915"/>
      <c r="CZ168" s="915"/>
      <c r="DA168" s="915"/>
      <c r="DB168" s="915"/>
      <c r="DC168" s="915"/>
      <c r="DD168" s="915"/>
      <c r="DE168" s="915"/>
      <c r="DF168" s="915"/>
      <c r="DG168" s="915"/>
      <c r="DH168" s="915"/>
      <c r="DI168" s="915"/>
      <c r="DJ168" s="915"/>
      <c r="DK168" s="915"/>
      <c r="DL168" s="915"/>
      <c r="DM168" s="915"/>
      <c r="DN168" s="915"/>
      <c r="DO168" s="915"/>
      <c r="DP168" s="915"/>
      <c r="DQ168" s="915"/>
      <c r="DR168" s="915"/>
      <c r="DS168" s="915"/>
      <c r="DT168" s="915"/>
      <c r="DU168" s="915"/>
      <c r="DV168" s="915"/>
      <c r="DW168" s="915"/>
      <c r="DX168" s="915"/>
      <c r="DY168" s="915"/>
      <c r="DZ168" s="915"/>
      <c r="EA168" s="915"/>
      <c r="EB168" s="915"/>
      <c r="EC168" s="915"/>
      <c r="ED168" s="915"/>
      <c r="EE168" s="915"/>
      <c r="EF168" s="915"/>
      <c r="EG168" s="915"/>
      <c r="EH168" s="915"/>
      <c r="EI168" s="915"/>
      <c r="EJ168" s="915"/>
      <c r="EK168" s="915"/>
      <c r="EL168" s="915"/>
      <c r="EM168" s="915"/>
      <c r="EN168" s="915"/>
      <c r="EO168" s="915"/>
      <c r="EP168" s="915"/>
      <c r="EQ168" s="915"/>
      <c r="ER168" s="915"/>
      <c r="ES168" s="915"/>
      <c r="ET168" s="915"/>
      <c r="EU168" s="915"/>
      <c r="EV168" s="915"/>
      <c r="EW168" s="915"/>
      <c r="EX168" s="915"/>
      <c r="EY168" s="915"/>
      <c r="EZ168" s="915"/>
      <c r="FA168" s="915"/>
      <c r="FB168" s="915"/>
      <c r="FC168" s="915"/>
      <c r="FD168" s="915"/>
      <c r="FE168" s="915"/>
      <c r="FF168" s="915"/>
      <c r="FG168" s="915"/>
      <c r="FH168" s="915"/>
      <c r="FI168" s="915"/>
      <c r="FJ168" s="915"/>
      <c r="FK168" s="915"/>
      <c r="FL168" s="915"/>
      <c r="FM168" s="915"/>
      <c r="FN168" s="915"/>
      <c r="FO168" s="915"/>
      <c r="FP168" s="915"/>
      <c r="FQ168" s="915"/>
      <c r="FR168" s="915"/>
      <c r="FS168" s="915"/>
      <c r="FT168" s="915"/>
      <c r="FU168" s="915"/>
      <c r="FV168" s="915"/>
      <c r="FW168" s="915"/>
      <c r="FX168" s="915"/>
      <c r="FY168" s="915"/>
      <c r="FZ168" s="915"/>
    </row>
    <row r="169" spans="1:182" x14ac:dyDescent="0.2">
      <c r="B169" s="29"/>
      <c r="C169" s="51"/>
      <c r="D169" s="51"/>
      <c r="E169" s="51"/>
      <c r="W169" s="915"/>
      <c r="X169" s="915"/>
      <c r="Y169" s="915"/>
      <c r="Z169" s="915"/>
      <c r="AA169" s="915"/>
      <c r="AB169" s="915"/>
      <c r="AC169" s="915"/>
      <c r="AD169" s="915"/>
      <c r="AE169" s="915"/>
      <c r="AF169" s="915"/>
      <c r="AG169" s="915"/>
      <c r="AH169" s="915"/>
      <c r="AI169" s="915"/>
      <c r="AJ169" s="915"/>
      <c r="AK169" s="915"/>
      <c r="AL169" s="915"/>
      <c r="AM169" s="915"/>
      <c r="AN169" s="915"/>
      <c r="AO169" s="915"/>
      <c r="AP169" s="915"/>
      <c r="AQ169" s="915"/>
      <c r="AR169" s="915"/>
      <c r="AS169" s="915"/>
      <c r="AT169" s="915"/>
      <c r="AU169" s="915"/>
      <c r="AV169" s="915"/>
      <c r="AW169" s="915"/>
      <c r="AX169" s="915"/>
      <c r="AY169" s="915"/>
      <c r="AZ169" s="915"/>
      <c r="BA169" s="915"/>
      <c r="BB169" s="915"/>
      <c r="BC169" s="915"/>
      <c r="BD169" s="915"/>
      <c r="BE169" s="915"/>
      <c r="BF169" s="915"/>
      <c r="BG169" s="915"/>
      <c r="BH169" s="915"/>
      <c r="BI169" s="915"/>
      <c r="BJ169" s="915"/>
      <c r="BK169" s="915"/>
      <c r="BL169" s="915"/>
      <c r="BM169" s="915"/>
      <c r="BN169" s="915"/>
      <c r="BO169" s="915"/>
      <c r="BP169" s="915"/>
      <c r="BQ169" s="915"/>
      <c r="BR169" s="915"/>
      <c r="BS169" s="915"/>
      <c r="BT169" s="915"/>
      <c r="BU169" s="915"/>
      <c r="BV169" s="915"/>
      <c r="BW169" s="915"/>
      <c r="BX169" s="915"/>
      <c r="BY169" s="915"/>
      <c r="BZ169" s="915"/>
      <c r="CA169" s="915"/>
      <c r="CB169" s="915"/>
      <c r="CC169" s="915"/>
      <c r="CD169" s="915"/>
      <c r="CE169" s="915"/>
      <c r="CF169" s="915"/>
      <c r="CG169" s="915"/>
      <c r="CH169" s="915"/>
      <c r="CI169" s="915"/>
      <c r="CJ169" s="915"/>
      <c r="CK169" s="915"/>
      <c r="CL169" s="915"/>
      <c r="CM169" s="915"/>
      <c r="CN169" s="915"/>
      <c r="CO169" s="915"/>
      <c r="CP169" s="915"/>
      <c r="CQ169" s="915"/>
      <c r="CR169" s="915"/>
      <c r="CS169" s="915"/>
      <c r="CT169" s="915"/>
      <c r="CU169" s="915"/>
      <c r="CV169" s="915"/>
      <c r="CW169" s="915"/>
      <c r="CX169" s="915"/>
      <c r="CY169" s="915"/>
      <c r="CZ169" s="915"/>
      <c r="DA169" s="915"/>
      <c r="DB169" s="915"/>
      <c r="DC169" s="915"/>
      <c r="DD169" s="915"/>
      <c r="DE169" s="915"/>
      <c r="DF169" s="915"/>
      <c r="DG169" s="915"/>
      <c r="DH169" s="915"/>
      <c r="DI169" s="915"/>
      <c r="DJ169" s="915"/>
      <c r="DK169" s="915"/>
      <c r="DL169" s="915"/>
      <c r="DM169" s="915"/>
      <c r="DN169" s="915"/>
      <c r="DO169" s="915"/>
      <c r="DP169" s="915"/>
      <c r="DQ169" s="915"/>
      <c r="DR169" s="915"/>
      <c r="DS169" s="915"/>
      <c r="DT169" s="915"/>
      <c r="DU169" s="915"/>
      <c r="DV169" s="915"/>
      <c r="DW169" s="915"/>
      <c r="DX169" s="915"/>
      <c r="DY169" s="915"/>
      <c r="DZ169" s="915"/>
      <c r="EA169" s="915"/>
      <c r="EB169" s="915"/>
      <c r="EC169" s="915"/>
      <c r="ED169" s="915"/>
      <c r="EE169" s="915"/>
      <c r="EF169" s="915"/>
      <c r="EG169" s="915"/>
      <c r="EH169" s="915"/>
      <c r="EI169" s="915"/>
      <c r="EJ169" s="915"/>
      <c r="EK169" s="915"/>
      <c r="EL169" s="915"/>
      <c r="EM169" s="915"/>
      <c r="EN169" s="915"/>
      <c r="EO169" s="915"/>
      <c r="EP169" s="915"/>
      <c r="EQ169" s="915"/>
      <c r="ER169" s="915"/>
      <c r="ES169" s="915"/>
      <c r="ET169" s="915"/>
      <c r="EU169" s="915"/>
      <c r="EV169" s="915"/>
      <c r="EW169" s="915"/>
      <c r="EX169" s="915"/>
      <c r="EY169" s="915"/>
      <c r="EZ169" s="915"/>
      <c r="FA169" s="915"/>
      <c r="FB169" s="915"/>
      <c r="FC169" s="915"/>
      <c r="FD169" s="915"/>
      <c r="FE169" s="915"/>
      <c r="FF169" s="915"/>
      <c r="FG169" s="915"/>
      <c r="FH169" s="915"/>
      <c r="FI169" s="915"/>
      <c r="FJ169" s="915"/>
      <c r="FK169" s="915"/>
      <c r="FL169" s="915"/>
      <c r="FM169" s="915"/>
      <c r="FN169" s="915"/>
      <c r="FO169" s="915"/>
      <c r="FP169" s="915"/>
      <c r="FQ169" s="915"/>
      <c r="FR169" s="915"/>
    </row>
    <row r="170" spans="1:182" x14ac:dyDescent="0.2">
      <c r="B170" s="29"/>
      <c r="C170" s="51"/>
      <c r="D170" s="51"/>
      <c r="E170" s="51"/>
      <c r="W170" s="915"/>
      <c r="X170" s="915"/>
      <c r="Y170" s="915"/>
      <c r="Z170" s="915"/>
      <c r="AA170" s="915"/>
      <c r="AB170" s="915"/>
      <c r="AC170" s="915"/>
      <c r="AD170" s="915"/>
      <c r="AE170" s="915"/>
      <c r="AF170" s="915"/>
      <c r="AG170" s="915"/>
      <c r="AH170" s="915"/>
      <c r="AI170" s="915"/>
      <c r="AJ170" s="915"/>
      <c r="AK170" s="915"/>
      <c r="AL170" s="915"/>
      <c r="AM170" s="915"/>
      <c r="AN170" s="915"/>
      <c r="AO170" s="915"/>
      <c r="AP170" s="915"/>
      <c r="AQ170" s="915"/>
      <c r="AR170" s="915"/>
      <c r="AS170" s="915"/>
      <c r="AT170" s="915"/>
      <c r="AU170" s="915"/>
      <c r="AV170" s="915"/>
      <c r="AW170" s="915"/>
      <c r="AX170" s="915"/>
      <c r="AY170" s="915"/>
      <c r="AZ170" s="915"/>
      <c r="BA170" s="915"/>
      <c r="BB170" s="915"/>
      <c r="BC170" s="915"/>
      <c r="BD170" s="915"/>
      <c r="BE170" s="915"/>
      <c r="BF170" s="915"/>
      <c r="BG170" s="915"/>
      <c r="BH170" s="915"/>
      <c r="BI170" s="915"/>
      <c r="BJ170" s="915"/>
      <c r="BK170" s="915"/>
      <c r="BL170" s="915"/>
      <c r="BM170" s="915"/>
      <c r="BN170" s="915"/>
      <c r="BO170" s="915"/>
      <c r="BP170" s="915"/>
      <c r="BQ170" s="915"/>
      <c r="BR170" s="915"/>
      <c r="BS170" s="915"/>
      <c r="BT170" s="915"/>
      <c r="BU170" s="915"/>
      <c r="BV170" s="915"/>
      <c r="BW170" s="915"/>
      <c r="BX170" s="915"/>
      <c r="BY170" s="915"/>
      <c r="BZ170" s="915"/>
      <c r="CA170" s="915"/>
      <c r="CB170" s="915"/>
      <c r="CC170" s="915"/>
      <c r="CD170" s="915"/>
      <c r="CE170" s="915"/>
      <c r="CF170" s="915"/>
      <c r="CG170" s="915"/>
      <c r="CH170" s="915"/>
      <c r="CI170" s="915"/>
      <c r="CJ170" s="915"/>
      <c r="CK170" s="915"/>
      <c r="CL170" s="915"/>
      <c r="CM170" s="915"/>
      <c r="CN170" s="915"/>
      <c r="CO170" s="915"/>
      <c r="CP170" s="915"/>
      <c r="CQ170" s="915"/>
      <c r="CR170" s="915"/>
      <c r="CS170" s="915"/>
      <c r="CT170" s="915"/>
      <c r="CU170" s="915"/>
      <c r="CV170" s="915"/>
      <c r="CW170" s="915"/>
      <c r="CX170" s="915"/>
      <c r="CY170" s="915"/>
      <c r="CZ170" s="915"/>
      <c r="DA170" s="915"/>
      <c r="DB170" s="915"/>
      <c r="DC170" s="915"/>
      <c r="DD170" s="915"/>
      <c r="DE170" s="915"/>
      <c r="DF170" s="915"/>
      <c r="DG170" s="915"/>
      <c r="DH170" s="915"/>
      <c r="DI170" s="915"/>
      <c r="DJ170" s="915"/>
      <c r="DK170" s="915"/>
      <c r="DL170" s="915"/>
      <c r="DM170" s="915"/>
      <c r="DN170" s="915"/>
      <c r="DO170" s="915"/>
      <c r="DP170" s="915"/>
      <c r="DQ170" s="915"/>
      <c r="DR170" s="915"/>
      <c r="DS170" s="915"/>
      <c r="DT170" s="915"/>
      <c r="DU170" s="915"/>
      <c r="DV170" s="915"/>
      <c r="DW170" s="915"/>
      <c r="DX170" s="915"/>
      <c r="DY170" s="915"/>
      <c r="DZ170" s="915"/>
      <c r="EA170" s="915"/>
      <c r="EB170" s="915"/>
      <c r="EC170" s="915"/>
      <c r="ED170" s="915"/>
      <c r="EE170" s="915"/>
      <c r="EF170" s="915"/>
      <c r="EG170" s="915"/>
      <c r="EH170" s="915"/>
      <c r="EI170" s="915"/>
      <c r="EJ170" s="915"/>
      <c r="EK170" s="915"/>
      <c r="EL170" s="915"/>
      <c r="EM170" s="915"/>
      <c r="EN170" s="915"/>
      <c r="EO170" s="915"/>
      <c r="EP170" s="915"/>
      <c r="EQ170" s="915"/>
      <c r="ER170" s="915"/>
      <c r="ES170" s="915"/>
      <c r="ET170" s="915"/>
      <c r="EU170" s="915"/>
      <c r="EV170" s="915"/>
      <c r="EW170" s="915"/>
      <c r="EX170" s="915"/>
      <c r="EY170" s="915"/>
      <c r="EZ170" s="915"/>
      <c r="FA170" s="915"/>
      <c r="FB170" s="915"/>
      <c r="FC170" s="915"/>
      <c r="FD170" s="915"/>
      <c r="FE170" s="915"/>
      <c r="FF170" s="915"/>
      <c r="FG170" s="915"/>
      <c r="FH170" s="915"/>
      <c r="FI170" s="915"/>
      <c r="FJ170" s="915"/>
      <c r="FK170" s="915"/>
      <c r="FL170" s="915"/>
      <c r="FM170" s="915"/>
      <c r="FN170" s="915"/>
      <c r="FO170" s="915"/>
      <c r="FP170" s="915"/>
      <c r="FQ170" s="915"/>
      <c r="FR170" s="915"/>
    </row>
    <row r="171" spans="1:182" x14ac:dyDescent="0.2">
      <c r="B171" s="29"/>
      <c r="C171" s="51"/>
      <c r="D171" s="51"/>
      <c r="E171" s="51"/>
      <c r="W171" s="915"/>
      <c r="X171" s="915"/>
      <c r="Y171" s="915"/>
      <c r="Z171" s="915"/>
      <c r="AA171" s="915"/>
      <c r="AB171" s="915"/>
      <c r="AC171" s="915"/>
      <c r="AD171" s="915"/>
      <c r="AE171" s="915"/>
      <c r="AF171" s="915"/>
      <c r="AG171" s="915"/>
      <c r="AH171" s="915"/>
      <c r="AI171" s="915"/>
      <c r="AJ171" s="915"/>
      <c r="AK171" s="915"/>
      <c r="AL171" s="915"/>
      <c r="AM171" s="915"/>
      <c r="AN171" s="915"/>
      <c r="AO171" s="915"/>
      <c r="AP171" s="915"/>
      <c r="AQ171" s="915"/>
      <c r="AR171" s="915"/>
      <c r="AS171" s="915"/>
      <c r="AT171" s="915"/>
      <c r="AU171" s="915"/>
      <c r="AV171" s="915"/>
      <c r="AW171" s="915"/>
      <c r="AX171" s="915"/>
      <c r="AY171" s="915"/>
      <c r="AZ171" s="915"/>
      <c r="BA171" s="915"/>
      <c r="BB171" s="915"/>
      <c r="BC171" s="915"/>
      <c r="BD171" s="915"/>
      <c r="BE171" s="915"/>
      <c r="BF171" s="915"/>
      <c r="BG171" s="915"/>
      <c r="BH171" s="915"/>
      <c r="BI171" s="915"/>
      <c r="BJ171" s="915"/>
      <c r="BK171" s="915"/>
      <c r="BL171" s="915"/>
      <c r="BM171" s="915"/>
      <c r="BN171" s="915"/>
      <c r="BO171" s="915"/>
      <c r="BP171" s="915"/>
      <c r="BQ171" s="915"/>
      <c r="BR171" s="915"/>
      <c r="BS171" s="915"/>
      <c r="BT171" s="915"/>
      <c r="BU171" s="915"/>
      <c r="BV171" s="915"/>
      <c r="BW171" s="915"/>
      <c r="BX171" s="915"/>
      <c r="BY171" s="915"/>
      <c r="BZ171" s="915"/>
      <c r="CA171" s="915"/>
      <c r="CB171" s="915"/>
      <c r="CC171" s="915"/>
      <c r="CD171" s="915"/>
      <c r="CE171" s="915"/>
      <c r="CF171" s="915"/>
      <c r="CG171" s="915"/>
      <c r="CH171" s="915"/>
      <c r="CI171" s="915"/>
      <c r="CJ171" s="915"/>
      <c r="CK171" s="915"/>
      <c r="CL171" s="915"/>
      <c r="CM171" s="915"/>
      <c r="CN171" s="915"/>
      <c r="CO171" s="915"/>
      <c r="CP171" s="915"/>
      <c r="CQ171" s="915"/>
      <c r="CR171" s="915"/>
      <c r="CS171" s="915"/>
      <c r="CT171" s="915"/>
      <c r="CU171" s="915"/>
      <c r="CV171" s="915"/>
      <c r="CW171" s="915"/>
      <c r="CX171" s="915"/>
      <c r="CY171" s="915"/>
      <c r="CZ171" s="915"/>
      <c r="DA171" s="915"/>
      <c r="DB171" s="915"/>
      <c r="DC171" s="915"/>
      <c r="DD171" s="915"/>
      <c r="DE171" s="915"/>
      <c r="DF171" s="915"/>
      <c r="DG171" s="915"/>
      <c r="DH171" s="915"/>
      <c r="DI171" s="915"/>
      <c r="DJ171" s="915"/>
      <c r="DK171" s="915"/>
      <c r="DL171" s="915"/>
      <c r="DM171" s="915"/>
      <c r="DN171" s="915"/>
      <c r="DO171" s="915"/>
      <c r="DP171" s="915"/>
      <c r="DQ171" s="915"/>
      <c r="DR171" s="915"/>
      <c r="DS171" s="915"/>
      <c r="DT171" s="915"/>
      <c r="DU171" s="915"/>
      <c r="DV171" s="915"/>
      <c r="DW171" s="915"/>
      <c r="DX171" s="915"/>
      <c r="DY171" s="915"/>
      <c r="DZ171" s="915"/>
      <c r="EA171" s="915"/>
      <c r="EB171" s="915"/>
      <c r="EC171" s="915"/>
      <c r="ED171" s="915"/>
      <c r="EE171" s="915"/>
      <c r="EF171" s="915"/>
      <c r="EG171" s="915"/>
      <c r="EH171" s="915"/>
      <c r="EI171" s="915"/>
      <c r="EJ171" s="915"/>
      <c r="EK171" s="915"/>
      <c r="EL171" s="915"/>
      <c r="EM171" s="915"/>
      <c r="EN171" s="915"/>
      <c r="EO171" s="915"/>
      <c r="EP171" s="915"/>
      <c r="EQ171" s="915"/>
      <c r="ER171" s="915"/>
      <c r="ES171" s="915"/>
      <c r="ET171" s="915"/>
      <c r="EU171" s="915"/>
      <c r="EV171" s="915"/>
      <c r="EW171" s="915"/>
      <c r="EX171" s="915"/>
      <c r="EY171" s="915"/>
      <c r="EZ171" s="915"/>
      <c r="FA171" s="915"/>
      <c r="FB171" s="915"/>
      <c r="FC171" s="915"/>
      <c r="FD171" s="915"/>
      <c r="FE171" s="915"/>
      <c r="FF171" s="915"/>
      <c r="FG171" s="915"/>
      <c r="FH171" s="915"/>
      <c r="FI171" s="915"/>
      <c r="FJ171" s="915"/>
      <c r="FK171" s="915"/>
      <c r="FL171" s="915"/>
      <c r="FM171" s="915"/>
      <c r="FN171" s="915"/>
      <c r="FO171" s="915"/>
      <c r="FP171" s="915"/>
      <c r="FQ171" s="915"/>
      <c r="FR171" s="915"/>
    </row>
    <row r="172" spans="1:182" x14ac:dyDescent="0.2">
      <c r="B172" s="29"/>
      <c r="C172" s="51"/>
      <c r="D172" s="51"/>
      <c r="E172" s="51"/>
      <c r="W172" s="915"/>
      <c r="X172" s="915"/>
      <c r="Y172" s="915"/>
      <c r="Z172" s="915"/>
      <c r="AA172" s="915"/>
      <c r="AB172" s="915"/>
      <c r="AC172" s="915"/>
      <c r="AD172" s="915"/>
      <c r="AE172" s="915"/>
      <c r="AF172" s="915"/>
      <c r="AG172" s="915"/>
      <c r="AH172" s="915"/>
      <c r="AI172" s="915"/>
      <c r="AJ172" s="915"/>
      <c r="AK172" s="915"/>
      <c r="AL172" s="915"/>
      <c r="AM172" s="915"/>
      <c r="AN172" s="915"/>
      <c r="AO172" s="915"/>
      <c r="AP172" s="915"/>
      <c r="AQ172" s="915"/>
      <c r="AR172" s="915"/>
      <c r="AS172" s="915"/>
      <c r="AT172" s="915"/>
      <c r="AU172" s="915"/>
      <c r="AV172" s="915"/>
      <c r="AW172" s="915"/>
      <c r="AX172" s="915"/>
      <c r="AY172" s="915"/>
      <c r="AZ172" s="915"/>
      <c r="BA172" s="915"/>
      <c r="BB172" s="915"/>
      <c r="BC172" s="915"/>
      <c r="BD172" s="915"/>
      <c r="BE172" s="915"/>
      <c r="BF172" s="915"/>
      <c r="BG172" s="915"/>
      <c r="BH172" s="915"/>
      <c r="BI172" s="915"/>
      <c r="BJ172" s="915"/>
      <c r="BK172" s="915"/>
      <c r="BL172" s="915"/>
      <c r="BM172" s="915"/>
      <c r="BN172" s="915"/>
      <c r="BO172" s="915"/>
      <c r="BP172" s="915"/>
      <c r="BQ172" s="915"/>
      <c r="BR172" s="915"/>
      <c r="BS172" s="915"/>
      <c r="BT172" s="915"/>
      <c r="BU172" s="915"/>
      <c r="BV172" s="915"/>
      <c r="BW172" s="915"/>
      <c r="BX172" s="915"/>
      <c r="BY172" s="915"/>
      <c r="BZ172" s="915"/>
      <c r="CA172" s="915"/>
      <c r="CB172" s="915"/>
      <c r="CC172" s="915"/>
      <c r="CD172" s="915"/>
      <c r="CE172" s="915"/>
      <c r="CF172" s="915"/>
      <c r="CG172" s="915"/>
      <c r="CH172" s="915"/>
      <c r="CI172" s="915"/>
      <c r="CJ172" s="915"/>
      <c r="CK172" s="915"/>
      <c r="DW172" s="915"/>
      <c r="DX172" s="915"/>
      <c r="DY172" s="915"/>
      <c r="DZ172" s="915"/>
      <c r="EA172" s="915"/>
      <c r="EB172" s="915"/>
      <c r="EC172" s="915"/>
      <c r="ED172" s="915"/>
      <c r="EU172" s="915"/>
      <c r="EV172" s="915"/>
      <c r="EW172" s="915"/>
      <c r="EX172" s="915"/>
      <c r="EY172" s="915"/>
      <c r="EZ172" s="915"/>
      <c r="FA172" s="915"/>
      <c r="FB172" s="915"/>
      <c r="FC172" s="915"/>
      <c r="FD172" s="915"/>
      <c r="FE172" s="915"/>
      <c r="FF172" s="915"/>
      <c r="FG172" s="915"/>
      <c r="FH172" s="915"/>
      <c r="FI172" s="915"/>
      <c r="FJ172" s="915"/>
    </row>
    <row r="173" spans="1:182" x14ac:dyDescent="0.2">
      <c r="B173" s="29"/>
      <c r="C173" s="51"/>
      <c r="D173" s="51"/>
      <c r="E173" s="51"/>
      <c r="W173" s="915"/>
      <c r="X173" s="915"/>
      <c r="Y173" s="915"/>
      <c r="Z173" s="915"/>
      <c r="AA173" s="915"/>
      <c r="AB173" s="915"/>
      <c r="AC173" s="915"/>
      <c r="AD173" s="915"/>
      <c r="AE173" s="915"/>
      <c r="AF173" s="915"/>
      <c r="AG173" s="915"/>
      <c r="AH173" s="915"/>
      <c r="AI173" s="915"/>
      <c r="AJ173" s="915"/>
      <c r="AK173" s="915"/>
      <c r="AL173" s="915"/>
      <c r="AM173" s="915"/>
      <c r="AN173" s="915"/>
      <c r="AO173" s="915"/>
      <c r="AP173" s="915"/>
      <c r="AQ173" s="915"/>
      <c r="AR173" s="915"/>
      <c r="AS173" s="915"/>
      <c r="AT173" s="915"/>
      <c r="AU173" s="915"/>
      <c r="AV173" s="915"/>
      <c r="AW173" s="915"/>
      <c r="AX173" s="915"/>
      <c r="AY173" s="915"/>
      <c r="AZ173" s="915"/>
      <c r="BA173" s="915"/>
      <c r="BB173" s="915"/>
      <c r="BC173" s="915"/>
      <c r="BD173" s="915"/>
      <c r="BE173" s="915"/>
      <c r="BF173" s="915"/>
      <c r="BG173" s="915"/>
      <c r="BH173" s="915"/>
      <c r="BI173" s="915"/>
      <c r="BJ173" s="915"/>
      <c r="BK173" s="915"/>
      <c r="BL173" s="915"/>
      <c r="BM173" s="915"/>
      <c r="BN173" s="915"/>
      <c r="BO173" s="915"/>
      <c r="BP173" s="915"/>
      <c r="BQ173" s="915"/>
      <c r="BR173" s="915"/>
      <c r="BS173" s="915"/>
      <c r="BT173" s="915"/>
      <c r="BU173" s="915"/>
      <c r="BV173" s="915"/>
      <c r="BW173" s="915"/>
      <c r="BX173" s="915"/>
      <c r="BY173" s="915"/>
      <c r="BZ173" s="915"/>
      <c r="CA173" s="915"/>
      <c r="CB173" s="915"/>
      <c r="DW173" s="915"/>
      <c r="DX173" s="915"/>
      <c r="DY173" s="915"/>
      <c r="DZ173" s="915"/>
      <c r="EA173" s="915"/>
      <c r="EB173" s="915"/>
      <c r="EC173" s="915"/>
      <c r="ED173" s="915"/>
      <c r="EU173" s="915"/>
      <c r="EV173" s="915"/>
      <c r="EW173" s="915"/>
      <c r="EX173" s="915"/>
      <c r="EY173" s="915"/>
      <c r="EZ173" s="915"/>
      <c r="FA173" s="915"/>
      <c r="FB173" s="915"/>
      <c r="FC173" s="915"/>
      <c r="FD173" s="915"/>
      <c r="FE173" s="915"/>
      <c r="FF173" s="915"/>
      <c r="FG173" s="915"/>
      <c r="FH173" s="915"/>
      <c r="FI173" s="915"/>
      <c r="FJ173" s="915"/>
    </row>
    <row r="174" spans="1:182" x14ac:dyDescent="0.2">
      <c r="B174" s="29"/>
      <c r="C174" s="51"/>
      <c r="D174" s="51"/>
      <c r="E174" s="51"/>
      <c r="W174" s="915"/>
      <c r="X174" s="915"/>
      <c r="Y174" s="915"/>
      <c r="Z174" s="915"/>
      <c r="AA174" s="915"/>
      <c r="AB174" s="915"/>
      <c r="AC174" s="915"/>
      <c r="AD174" s="915"/>
      <c r="AE174" s="915"/>
      <c r="AF174" s="915"/>
      <c r="AG174" s="915"/>
      <c r="AH174" s="915"/>
      <c r="AI174" s="915"/>
      <c r="AJ174" s="915"/>
      <c r="AK174" s="915"/>
      <c r="AL174" s="915"/>
      <c r="AM174" s="915"/>
      <c r="AN174" s="915"/>
      <c r="AO174" s="915"/>
      <c r="AP174" s="915"/>
      <c r="AQ174" s="915"/>
      <c r="AR174" s="915"/>
      <c r="AS174" s="915"/>
      <c r="AT174" s="915"/>
      <c r="AU174" s="915"/>
      <c r="AV174" s="915"/>
      <c r="AW174" s="915"/>
      <c r="AX174" s="915"/>
      <c r="AY174" s="915"/>
      <c r="AZ174" s="915"/>
      <c r="BA174" s="915"/>
      <c r="BB174" s="915"/>
      <c r="BC174" s="915"/>
      <c r="BD174" s="915"/>
      <c r="BE174" s="915"/>
      <c r="BF174" s="915"/>
      <c r="BG174" s="915"/>
      <c r="BH174" s="915"/>
      <c r="BI174" s="915"/>
      <c r="BJ174" s="915"/>
      <c r="BK174" s="915"/>
      <c r="BL174" s="915"/>
      <c r="BM174" s="915"/>
      <c r="BN174" s="915"/>
      <c r="BO174" s="915"/>
      <c r="BP174" s="915"/>
      <c r="BQ174" s="915"/>
      <c r="BR174" s="915"/>
      <c r="BS174" s="915"/>
      <c r="BT174" s="915"/>
      <c r="BU174" s="915"/>
      <c r="BV174" s="915"/>
      <c r="BW174" s="915"/>
      <c r="BX174" s="915"/>
      <c r="BY174" s="915"/>
      <c r="BZ174" s="915"/>
      <c r="CA174" s="915"/>
      <c r="CB174" s="915"/>
      <c r="DW174" s="915"/>
      <c r="DX174" s="915"/>
      <c r="DY174" s="915"/>
      <c r="DZ174" s="915"/>
      <c r="EA174" s="915"/>
      <c r="EB174" s="915"/>
      <c r="EC174" s="915"/>
      <c r="ED174" s="915"/>
      <c r="EU174" s="915"/>
      <c r="EV174" s="915"/>
      <c r="EW174" s="915"/>
      <c r="EX174" s="915"/>
      <c r="EY174" s="915"/>
      <c r="EZ174" s="915"/>
      <c r="FA174" s="915"/>
      <c r="FB174" s="915"/>
      <c r="FC174" s="915"/>
      <c r="FD174" s="915"/>
      <c r="FE174" s="915"/>
      <c r="FF174" s="915"/>
      <c r="FG174" s="915"/>
      <c r="FH174" s="915"/>
      <c r="FI174" s="915"/>
      <c r="FJ174" s="915"/>
    </row>
    <row r="175" spans="1:182" x14ac:dyDescent="0.2">
      <c r="B175" s="29"/>
      <c r="C175" s="51"/>
      <c r="D175" s="51"/>
      <c r="E175" s="51"/>
      <c r="W175" s="915"/>
      <c r="X175" s="915"/>
      <c r="Y175" s="915"/>
      <c r="Z175" s="915"/>
      <c r="AA175" s="915"/>
      <c r="AB175" s="915"/>
      <c r="AC175" s="915"/>
      <c r="AD175" s="915"/>
      <c r="AE175" s="915"/>
      <c r="AF175" s="915"/>
      <c r="AG175" s="915"/>
      <c r="AH175" s="915"/>
      <c r="AI175" s="915"/>
      <c r="AJ175" s="915"/>
      <c r="AK175" s="915"/>
      <c r="AL175" s="915"/>
      <c r="AM175" s="915"/>
      <c r="AN175" s="915"/>
      <c r="AO175" s="915"/>
      <c r="AP175" s="915"/>
      <c r="AQ175" s="915"/>
      <c r="AR175" s="915"/>
      <c r="AS175" s="915"/>
      <c r="AT175" s="915"/>
      <c r="AU175" s="915"/>
      <c r="AV175" s="915"/>
      <c r="AW175" s="915"/>
      <c r="AX175" s="915"/>
      <c r="AY175" s="915"/>
      <c r="AZ175" s="915"/>
      <c r="BA175" s="915"/>
      <c r="BB175" s="915"/>
      <c r="BC175" s="915"/>
      <c r="BD175" s="915"/>
      <c r="BE175" s="915"/>
      <c r="BF175" s="915"/>
      <c r="BG175" s="915"/>
      <c r="BH175" s="915"/>
      <c r="BI175" s="915"/>
      <c r="BJ175" s="915"/>
      <c r="BK175" s="915"/>
      <c r="BL175" s="915"/>
      <c r="BM175" s="915"/>
      <c r="BN175" s="915"/>
      <c r="BO175" s="915"/>
      <c r="BP175" s="915"/>
      <c r="BQ175" s="915"/>
      <c r="BR175" s="915"/>
      <c r="BS175" s="915"/>
      <c r="BT175" s="915"/>
      <c r="BU175" s="915"/>
      <c r="BV175" s="915"/>
      <c r="BW175" s="915"/>
      <c r="BX175" s="915"/>
      <c r="BY175" s="915"/>
      <c r="BZ175" s="915"/>
      <c r="CA175" s="915"/>
      <c r="CB175" s="915"/>
      <c r="DW175" s="915"/>
      <c r="DX175" s="915"/>
      <c r="DY175" s="915"/>
      <c r="DZ175" s="915"/>
      <c r="EA175" s="915"/>
      <c r="EB175" s="915"/>
      <c r="EC175" s="915"/>
      <c r="ED175" s="915"/>
      <c r="EU175" s="915"/>
      <c r="EV175" s="915"/>
      <c r="EW175" s="915"/>
      <c r="EX175" s="915"/>
      <c r="EY175" s="915"/>
      <c r="EZ175" s="915"/>
      <c r="FA175" s="915"/>
      <c r="FB175" s="915"/>
      <c r="FC175" s="915"/>
      <c r="FD175" s="915"/>
      <c r="FE175" s="915"/>
      <c r="FF175" s="915"/>
      <c r="FG175" s="915"/>
      <c r="FH175" s="915"/>
      <c r="FI175" s="915"/>
      <c r="FJ175" s="915"/>
    </row>
    <row r="176" spans="1:182" x14ac:dyDescent="0.2">
      <c r="B176" s="29"/>
      <c r="C176" s="51"/>
      <c r="D176" s="51"/>
      <c r="E176" s="51"/>
      <c r="W176" s="915"/>
      <c r="X176" s="915"/>
      <c r="Y176" s="915"/>
      <c r="Z176" s="915"/>
      <c r="AA176" s="915"/>
      <c r="AB176" s="915"/>
      <c r="AC176" s="915"/>
      <c r="AD176" s="915"/>
      <c r="AE176" s="915"/>
      <c r="AF176" s="915"/>
      <c r="AG176" s="915"/>
      <c r="AH176" s="915"/>
      <c r="AI176" s="915"/>
      <c r="AJ176" s="915"/>
      <c r="AK176" s="915"/>
      <c r="AL176" s="915"/>
      <c r="AM176" s="915"/>
      <c r="AN176" s="915"/>
      <c r="AO176" s="915"/>
      <c r="AP176" s="915"/>
      <c r="AQ176" s="915"/>
      <c r="AR176" s="915"/>
      <c r="AS176" s="915"/>
      <c r="AT176" s="915"/>
      <c r="AU176" s="915"/>
      <c r="AV176" s="915"/>
      <c r="AW176" s="915"/>
      <c r="AX176" s="915"/>
      <c r="AY176" s="915"/>
      <c r="AZ176" s="915"/>
      <c r="BA176" s="915"/>
      <c r="BB176" s="915"/>
      <c r="BC176" s="915"/>
      <c r="BD176" s="915"/>
      <c r="BE176" s="915"/>
      <c r="BF176" s="915"/>
      <c r="BG176" s="915"/>
      <c r="BH176" s="915"/>
      <c r="BI176" s="915"/>
      <c r="BJ176" s="915"/>
      <c r="BK176" s="915"/>
      <c r="BL176" s="915"/>
      <c r="BM176" s="915"/>
      <c r="BN176" s="915"/>
      <c r="BO176" s="915"/>
      <c r="BP176" s="915"/>
      <c r="BQ176" s="915"/>
      <c r="BR176" s="915"/>
      <c r="BS176" s="915"/>
      <c r="BT176" s="915"/>
      <c r="BU176" s="915"/>
      <c r="BV176" s="915"/>
      <c r="BW176" s="915"/>
      <c r="BX176" s="915"/>
      <c r="BY176" s="915"/>
      <c r="BZ176" s="915"/>
      <c r="CA176" s="915"/>
      <c r="CB176" s="915"/>
      <c r="DW176" s="915"/>
      <c r="DX176" s="915"/>
      <c r="DY176" s="915"/>
      <c r="DZ176" s="915"/>
      <c r="EA176" s="915"/>
      <c r="EB176" s="915"/>
      <c r="EC176" s="915"/>
      <c r="ED176" s="915"/>
      <c r="EU176" s="915"/>
      <c r="EV176" s="915"/>
      <c r="EW176" s="915"/>
      <c r="EX176" s="915"/>
      <c r="EY176" s="915"/>
      <c r="EZ176" s="915"/>
      <c r="FA176" s="915"/>
      <c r="FB176" s="915"/>
      <c r="FC176" s="915"/>
      <c r="FD176" s="915"/>
      <c r="FE176" s="915"/>
      <c r="FF176" s="915"/>
      <c r="FG176" s="915"/>
      <c r="FH176" s="915"/>
      <c r="FI176" s="915"/>
      <c r="FJ176" s="915"/>
    </row>
    <row r="177" spans="2:166" x14ac:dyDescent="0.2">
      <c r="B177" s="29"/>
      <c r="C177" s="51"/>
      <c r="D177" s="51"/>
      <c r="E177" s="51"/>
      <c r="W177" s="915"/>
      <c r="X177" s="915"/>
      <c r="Y177" s="915"/>
      <c r="Z177" s="915"/>
      <c r="AA177" s="915"/>
      <c r="AB177" s="915"/>
      <c r="AC177" s="915"/>
      <c r="AD177" s="915"/>
      <c r="AE177" s="915"/>
      <c r="AF177" s="915"/>
      <c r="AG177" s="915"/>
      <c r="AH177" s="915"/>
      <c r="AI177" s="915"/>
      <c r="AJ177" s="915"/>
      <c r="AK177" s="915"/>
      <c r="AL177" s="915"/>
      <c r="AM177" s="915"/>
      <c r="AN177" s="915"/>
      <c r="AO177" s="915"/>
      <c r="AP177" s="915"/>
      <c r="AQ177" s="915"/>
      <c r="AR177" s="915"/>
      <c r="AS177" s="915"/>
      <c r="AT177" s="915"/>
      <c r="AU177" s="915"/>
      <c r="AV177" s="915"/>
      <c r="AW177" s="915"/>
      <c r="AX177" s="915"/>
      <c r="AY177" s="915"/>
      <c r="AZ177" s="915"/>
      <c r="BA177" s="915"/>
      <c r="BB177" s="915"/>
      <c r="BC177" s="915"/>
      <c r="BD177" s="915"/>
      <c r="BE177" s="915"/>
      <c r="BF177" s="915"/>
      <c r="BG177" s="915"/>
      <c r="BH177" s="915"/>
      <c r="BI177" s="915"/>
      <c r="BJ177" s="915"/>
      <c r="BK177" s="915"/>
      <c r="BL177" s="915"/>
      <c r="BM177" s="915"/>
      <c r="BN177" s="915"/>
      <c r="BO177" s="915"/>
      <c r="BP177" s="915"/>
      <c r="BQ177" s="915"/>
      <c r="BR177" s="915"/>
      <c r="BS177" s="915"/>
      <c r="BT177" s="915"/>
      <c r="BU177" s="915"/>
      <c r="BV177" s="915"/>
      <c r="BW177" s="915"/>
      <c r="BX177" s="915"/>
      <c r="BY177" s="915"/>
      <c r="BZ177" s="915"/>
      <c r="CA177" s="915"/>
      <c r="CB177" s="915"/>
      <c r="DW177" s="915"/>
      <c r="DX177" s="915"/>
      <c r="DY177" s="915"/>
      <c r="DZ177" s="915"/>
      <c r="EA177" s="915"/>
      <c r="EB177" s="915"/>
      <c r="EC177" s="915"/>
      <c r="ED177" s="915"/>
      <c r="EU177" s="915"/>
      <c r="EV177" s="915"/>
      <c r="EW177" s="915"/>
      <c r="EX177" s="915"/>
      <c r="EY177" s="915"/>
      <c r="EZ177" s="915"/>
      <c r="FA177" s="915"/>
      <c r="FB177" s="915"/>
      <c r="FC177" s="915"/>
      <c r="FD177" s="915"/>
      <c r="FE177" s="915"/>
      <c r="FF177" s="915"/>
      <c r="FG177" s="915"/>
      <c r="FH177" s="915"/>
      <c r="FI177" s="915"/>
      <c r="FJ177" s="915"/>
    </row>
    <row r="178" spans="2:166" x14ac:dyDescent="0.2">
      <c r="B178" s="29"/>
      <c r="C178" s="51"/>
      <c r="D178" s="51"/>
      <c r="E178" s="51"/>
      <c r="AZ178" s="915"/>
      <c r="BA178" s="915"/>
      <c r="BB178" s="915"/>
      <c r="BC178" s="915"/>
      <c r="BD178" s="915"/>
      <c r="BE178" s="915"/>
      <c r="BF178" s="915"/>
      <c r="BG178" s="915"/>
      <c r="BH178" s="915"/>
      <c r="BI178" s="915"/>
      <c r="BJ178" s="915"/>
      <c r="BK178" s="915"/>
      <c r="BL178" s="915"/>
      <c r="BM178" s="915"/>
      <c r="BN178" s="915"/>
      <c r="BO178" s="915"/>
      <c r="BP178" s="915"/>
      <c r="BQ178" s="915"/>
      <c r="BR178" s="915"/>
      <c r="BS178" s="915"/>
      <c r="BT178" s="915"/>
      <c r="BU178" s="915"/>
      <c r="BV178" s="915"/>
      <c r="BW178" s="915"/>
      <c r="BX178" s="915"/>
      <c r="BY178" s="915"/>
      <c r="BZ178" s="915"/>
      <c r="CA178" s="915"/>
      <c r="CB178" s="915"/>
      <c r="DW178" s="915"/>
      <c r="DX178" s="915"/>
      <c r="DY178" s="915"/>
      <c r="DZ178" s="915"/>
      <c r="EA178" s="915"/>
      <c r="EB178" s="915"/>
      <c r="EC178" s="915"/>
      <c r="ED178" s="915"/>
      <c r="EU178" s="915"/>
      <c r="EV178" s="915"/>
      <c r="EW178" s="915"/>
      <c r="EX178" s="915"/>
      <c r="EY178" s="915"/>
      <c r="EZ178" s="915"/>
      <c r="FA178" s="915"/>
      <c r="FB178" s="915"/>
      <c r="FC178" s="915"/>
      <c r="FD178" s="915"/>
      <c r="FE178" s="915"/>
      <c r="FF178" s="915"/>
      <c r="FG178" s="915"/>
      <c r="FH178" s="915"/>
      <c r="FI178" s="915"/>
      <c r="FJ178" s="915"/>
    </row>
    <row r="179" spans="2:166" x14ac:dyDescent="0.2">
      <c r="B179" s="29"/>
      <c r="C179" s="51"/>
      <c r="D179" s="51"/>
      <c r="E179" s="51"/>
      <c r="DW179" s="915"/>
      <c r="DX179" s="915"/>
      <c r="DY179" s="915"/>
      <c r="DZ179" s="915"/>
      <c r="EA179" s="915"/>
      <c r="EB179" s="915"/>
      <c r="EC179" s="915"/>
      <c r="ED179" s="915"/>
      <c r="EU179" s="915"/>
      <c r="EV179" s="915"/>
      <c r="EW179" s="915"/>
      <c r="EX179" s="915"/>
      <c r="EY179" s="915"/>
      <c r="EZ179" s="915"/>
      <c r="FA179" s="915"/>
      <c r="FB179" s="915"/>
      <c r="FC179" s="915"/>
      <c r="FD179" s="915"/>
      <c r="FE179" s="915"/>
      <c r="FF179" s="915"/>
      <c r="FG179" s="915"/>
      <c r="FH179" s="915"/>
      <c r="FI179" s="915"/>
      <c r="FJ179" s="915"/>
    </row>
    <row r="180" spans="2:166" x14ac:dyDescent="0.2">
      <c r="B180" s="29"/>
      <c r="C180" s="51"/>
      <c r="D180" s="51"/>
      <c r="E180" s="51"/>
      <c r="DW180" s="915"/>
      <c r="DX180" s="915"/>
      <c r="DY180" s="915"/>
      <c r="DZ180" s="915"/>
      <c r="EA180" s="915"/>
      <c r="EB180" s="915"/>
      <c r="EC180" s="915"/>
      <c r="ED180" s="915"/>
      <c r="EU180" s="915"/>
      <c r="EV180" s="915"/>
      <c r="EW180" s="915"/>
      <c r="EX180" s="915"/>
      <c r="EY180" s="915"/>
      <c r="EZ180" s="915"/>
      <c r="FA180" s="915"/>
      <c r="FB180" s="915"/>
      <c r="FC180" s="915"/>
      <c r="FD180" s="915"/>
      <c r="FE180" s="915"/>
      <c r="FF180" s="915"/>
      <c r="FG180" s="915"/>
      <c r="FH180" s="915"/>
      <c r="FI180" s="915"/>
      <c r="FJ180" s="915"/>
    </row>
    <row r="181" spans="2:166" x14ac:dyDescent="0.2">
      <c r="B181" s="29"/>
      <c r="C181" s="51"/>
      <c r="D181" s="51"/>
      <c r="E181" s="51"/>
      <c r="DW181" s="915"/>
      <c r="DX181" s="915"/>
      <c r="DY181" s="915"/>
      <c r="DZ181" s="915"/>
      <c r="EA181" s="915"/>
      <c r="EB181" s="915"/>
      <c r="EC181" s="915"/>
      <c r="ED181" s="915"/>
      <c r="EU181" s="915"/>
      <c r="EV181" s="915"/>
      <c r="EW181" s="915"/>
      <c r="EX181" s="915"/>
      <c r="EY181" s="915"/>
      <c r="EZ181" s="915"/>
      <c r="FA181" s="915"/>
      <c r="FB181" s="915"/>
      <c r="FC181" s="915"/>
      <c r="FD181" s="915"/>
      <c r="FE181" s="915"/>
      <c r="FF181" s="915"/>
      <c r="FG181" s="915"/>
      <c r="FH181" s="915"/>
      <c r="FI181" s="915"/>
      <c r="FJ181" s="915"/>
    </row>
    <row r="182" spans="2:166" x14ac:dyDescent="0.2">
      <c r="B182" s="29"/>
      <c r="C182" s="51"/>
      <c r="D182" s="51"/>
      <c r="E182" s="51"/>
      <c r="DW182" s="915"/>
      <c r="DX182" s="915"/>
      <c r="DY182" s="915"/>
      <c r="DZ182" s="915"/>
      <c r="EA182" s="915"/>
      <c r="EB182" s="915"/>
      <c r="EC182" s="915"/>
      <c r="ED182" s="915"/>
      <c r="EU182" s="915"/>
      <c r="EV182" s="915"/>
      <c r="EW182" s="915"/>
      <c r="EX182" s="915"/>
      <c r="EY182" s="915"/>
      <c r="EZ182" s="915"/>
      <c r="FA182" s="915"/>
      <c r="FB182" s="915"/>
      <c r="FC182" s="915"/>
      <c r="FD182" s="915"/>
      <c r="FE182" s="915"/>
      <c r="FF182" s="915"/>
      <c r="FG182" s="915"/>
      <c r="FH182" s="915"/>
      <c r="FI182" s="915"/>
      <c r="FJ182" s="915"/>
    </row>
    <row r="183" spans="2:166" x14ac:dyDescent="0.2">
      <c r="B183" s="29"/>
      <c r="C183" s="51"/>
      <c r="D183" s="51"/>
      <c r="E183" s="51"/>
      <c r="DW183" s="915"/>
      <c r="DX183" s="915"/>
      <c r="DY183" s="915"/>
      <c r="DZ183" s="915"/>
      <c r="EA183" s="915"/>
      <c r="EB183" s="915"/>
      <c r="EC183" s="915"/>
      <c r="ED183" s="915"/>
      <c r="EU183" s="915"/>
      <c r="EV183" s="915"/>
      <c r="EW183" s="915"/>
      <c r="EX183" s="915"/>
      <c r="EY183" s="915"/>
      <c r="EZ183" s="915"/>
      <c r="FA183" s="915"/>
      <c r="FB183" s="915"/>
      <c r="FC183" s="915"/>
      <c r="FD183" s="915"/>
      <c r="FE183" s="915"/>
      <c r="FF183" s="915"/>
      <c r="FG183" s="915"/>
      <c r="FH183" s="915"/>
      <c r="FI183" s="915"/>
      <c r="FJ183" s="915"/>
    </row>
    <row r="184" spans="2:166" x14ac:dyDescent="0.2">
      <c r="B184" s="29"/>
      <c r="C184" s="51"/>
      <c r="D184" s="51"/>
      <c r="E184" s="51"/>
      <c r="DW184" s="915"/>
      <c r="DX184" s="915"/>
      <c r="DY184" s="915"/>
      <c r="DZ184" s="915"/>
      <c r="EA184" s="915"/>
      <c r="EB184" s="915"/>
      <c r="EC184" s="915"/>
      <c r="ED184" s="915"/>
      <c r="EU184" s="915"/>
      <c r="EV184" s="915"/>
      <c r="EW184" s="915"/>
      <c r="EX184" s="915"/>
      <c r="EY184" s="915"/>
      <c r="EZ184" s="915"/>
      <c r="FA184" s="915"/>
      <c r="FB184" s="915"/>
      <c r="FC184" s="915"/>
      <c r="FD184" s="915"/>
      <c r="FE184" s="915"/>
      <c r="FF184" s="915"/>
      <c r="FG184" s="915"/>
      <c r="FH184" s="915"/>
      <c r="FI184" s="915"/>
      <c r="FJ184" s="915"/>
    </row>
    <row r="185" spans="2:166" x14ac:dyDescent="0.2">
      <c r="B185" s="29"/>
      <c r="C185" s="51"/>
      <c r="D185" s="51"/>
      <c r="E185" s="51"/>
      <c r="DW185" s="915"/>
      <c r="DX185" s="915"/>
      <c r="DY185" s="915"/>
      <c r="DZ185" s="915"/>
      <c r="EA185" s="915"/>
      <c r="EB185" s="915"/>
      <c r="EC185" s="915"/>
      <c r="ED185" s="915"/>
      <c r="EU185" s="915"/>
      <c r="EV185" s="915"/>
      <c r="EW185" s="915"/>
      <c r="EX185" s="915"/>
      <c r="EY185" s="915"/>
      <c r="EZ185" s="915"/>
      <c r="FA185" s="915"/>
      <c r="FB185" s="915"/>
      <c r="FC185" s="915"/>
      <c r="FD185" s="915"/>
      <c r="FE185" s="915"/>
      <c r="FF185" s="915"/>
      <c r="FG185" s="915"/>
      <c r="FH185" s="915"/>
      <c r="FI185" s="915"/>
      <c r="FJ185" s="915"/>
    </row>
    <row r="186" spans="2:166" x14ac:dyDescent="0.2">
      <c r="B186" s="29"/>
      <c r="C186" s="51"/>
      <c r="D186" s="51"/>
      <c r="E186" s="51"/>
      <c r="DW186" s="915"/>
      <c r="DX186" s="915"/>
      <c r="DY186" s="915"/>
      <c r="DZ186" s="915"/>
      <c r="EA186" s="915"/>
      <c r="EB186" s="915"/>
      <c r="EC186" s="915"/>
      <c r="ED186" s="915"/>
      <c r="EU186" s="915"/>
      <c r="EV186" s="915"/>
      <c r="EW186" s="915"/>
      <c r="EX186" s="915"/>
      <c r="EY186" s="915"/>
      <c r="EZ186" s="915"/>
      <c r="FA186" s="915"/>
      <c r="FB186" s="915"/>
      <c r="FC186" s="915"/>
      <c r="FD186" s="915"/>
      <c r="FE186" s="915"/>
      <c r="FF186" s="915"/>
      <c r="FG186" s="915"/>
      <c r="FH186" s="915"/>
      <c r="FI186" s="915"/>
      <c r="FJ186" s="915"/>
    </row>
    <row r="187" spans="2:166" x14ac:dyDescent="0.2">
      <c r="B187" s="29"/>
      <c r="C187" s="51"/>
      <c r="D187" s="51"/>
      <c r="E187" s="51"/>
      <c r="DW187" s="915"/>
      <c r="DX187" s="915"/>
      <c r="DY187" s="915"/>
      <c r="DZ187" s="915"/>
      <c r="EA187" s="915"/>
      <c r="EB187" s="915"/>
      <c r="EC187" s="915"/>
      <c r="ED187" s="915"/>
      <c r="EU187" s="915"/>
      <c r="EV187" s="915"/>
      <c r="EW187" s="915"/>
      <c r="EX187" s="915"/>
      <c r="EY187" s="915"/>
      <c r="EZ187" s="915"/>
      <c r="FA187" s="915"/>
      <c r="FB187" s="915"/>
      <c r="FC187" s="915"/>
      <c r="FD187" s="915"/>
      <c r="FE187" s="915"/>
      <c r="FF187" s="915"/>
      <c r="FG187" s="915"/>
      <c r="FH187" s="915"/>
      <c r="FI187" s="915"/>
      <c r="FJ187" s="915"/>
    </row>
    <row r="188" spans="2:166" x14ac:dyDescent="0.2">
      <c r="B188" s="29"/>
      <c r="C188" s="51"/>
      <c r="D188" s="51"/>
      <c r="E188" s="51"/>
      <c r="DW188" s="915"/>
      <c r="DX188" s="915"/>
      <c r="DY188" s="915"/>
      <c r="DZ188" s="915"/>
      <c r="EA188" s="915"/>
      <c r="EB188" s="915"/>
      <c r="EC188" s="915"/>
      <c r="ED188" s="915"/>
      <c r="EU188" s="915"/>
      <c r="EV188" s="915"/>
      <c r="EW188" s="915"/>
      <c r="EX188" s="915"/>
      <c r="EY188" s="915"/>
      <c r="EZ188" s="915"/>
      <c r="FA188" s="915"/>
      <c r="FB188" s="915"/>
      <c r="FC188" s="915"/>
      <c r="FD188" s="915"/>
      <c r="FE188" s="915"/>
      <c r="FF188" s="915"/>
      <c r="FG188" s="915"/>
      <c r="FH188" s="915"/>
      <c r="FI188" s="915"/>
      <c r="FJ188" s="915"/>
    </row>
    <row r="189" spans="2:166" x14ac:dyDescent="0.2">
      <c r="B189" s="29"/>
      <c r="C189" s="51"/>
      <c r="D189" s="51"/>
      <c r="E189" s="51"/>
      <c r="DW189" s="915"/>
      <c r="DX189" s="915"/>
      <c r="DY189" s="915"/>
      <c r="DZ189" s="915"/>
      <c r="EA189" s="915"/>
      <c r="EB189" s="915"/>
      <c r="EC189" s="915"/>
      <c r="ED189" s="915"/>
      <c r="EU189" s="915"/>
      <c r="EV189" s="915"/>
      <c r="EW189" s="915"/>
      <c r="EX189" s="915"/>
      <c r="EY189" s="915"/>
      <c r="EZ189" s="915"/>
      <c r="FA189" s="915"/>
      <c r="FB189" s="915"/>
      <c r="FC189" s="915"/>
      <c r="FD189" s="915"/>
      <c r="FE189" s="915"/>
      <c r="FF189" s="915"/>
      <c r="FG189" s="915"/>
      <c r="FH189" s="915"/>
      <c r="FI189" s="915"/>
      <c r="FJ189" s="915"/>
    </row>
    <row r="190" spans="2:166" x14ac:dyDescent="0.2">
      <c r="B190" s="29"/>
      <c r="C190" s="51"/>
      <c r="D190" s="51"/>
      <c r="E190" s="51"/>
      <c r="DW190" s="915"/>
      <c r="DX190" s="915"/>
      <c r="DY190" s="915"/>
      <c r="DZ190" s="915"/>
      <c r="EA190" s="915"/>
      <c r="EB190" s="915"/>
      <c r="EC190" s="915"/>
      <c r="ED190" s="915"/>
      <c r="EU190" s="915"/>
      <c r="EV190" s="915"/>
      <c r="EW190" s="915"/>
      <c r="EX190" s="915"/>
      <c r="EY190" s="915"/>
      <c r="EZ190" s="915"/>
      <c r="FA190" s="915"/>
      <c r="FB190" s="915"/>
      <c r="FC190" s="915"/>
      <c r="FD190" s="915"/>
      <c r="FE190" s="915"/>
      <c r="FF190" s="915"/>
      <c r="FG190" s="915"/>
      <c r="FH190" s="915"/>
      <c r="FI190" s="915"/>
      <c r="FJ190" s="915"/>
    </row>
    <row r="191" spans="2:166" x14ac:dyDescent="0.2">
      <c r="B191" s="29"/>
      <c r="C191" s="51"/>
      <c r="D191" s="51"/>
      <c r="E191" s="51"/>
      <c r="DW191" s="915"/>
      <c r="DX191" s="915"/>
      <c r="DY191" s="915"/>
      <c r="DZ191" s="915"/>
      <c r="EA191" s="915"/>
      <c r="EB191" s="915"/>
      <c r="EC191" s="915"/>
      <c r="ED191" s="915"/>
      <c r="EU191" s="915"/>
      <c r="EV191" s="915"/>
      <c r="EW191" s="915"/>
      <c r="EX191" s="915"/>
      <c r="EY191" s="915"/>
      <c r="EZ191" s="915"/>
      <c r="FA191" s="915"/>
      <c r="FB191" s="915"/>
      <c r="FC191" s="915"/>
      <c r="FD191" s="915"/>
      <c r="FE191" s="915"/>
      <c r="FF191" s="915"/>
      <c r="FG191" s="915"/>
      <c r="FH191" s="915"/>
      <c r="FI191" s="915"/>
      <c r="FJ191" s="915"/>
    </row>
    <row r="192" spans="2:166" x14ac:dyDescent="0.2">
      <c r="B192" s="29"/>
      <c r="C192" s="51"/>
      <c r="D192" s="51"/>
      <c r="E192" s="51"/>
      <c r="DW192" s="915"/>
      <c r="DX192" s="915"/>
      <c r="DY192" s="915"/>
      <c r="DZ192" s="915"/>
      <c r="EA192" s="915"/>
      <c r="EB192" s="915"/>
      <c r="EC192" s="915"/>
      <c r="ED192" s="915"/>
      <c r="EU192" s="915"/>
      <c r="EV192" s="915"/>
      <c r="EW192" s="915"/>
      <c r="EX192" s="915"/>
      <c r="EY192" s="915"/>
      <c r="EZ192" s="915"/>
      <c r="FA192" s="915"/>
      <c r="FB192" s="915"/>
      <c r="FC192" s="915"/>
      <c r="FD192" s="915"/>
      <c r="FE192" s="915"/>
      <c r="FF192" s="915"/>
      <c r="FG192" s="915"/>
      <c r="FH192" s="915"/>
      <c r="FI192" s="915"/>
      <c r="FJ192" s="915"/>
    </row>
    <row r="193" spans="2:166" x14ac:dyDescent="0.2">
      <c r="B193" s="29"/>
      <c r="C193" s="51"/>
      <c r="D193" s="51"/>
      <c r="E193" s="51"/>
      <c r="DW193" s="915"/>
      <c r="DX193" s="915"/>
      <c r="DY193" s="915"/>
      <c r="DZ193" s="915"/>
      <c r="EA193" s="915"/>
      <c r="EB193" s="915"/>
      <c r="EC193" s="915"/>
      <c r="ED193" s="915"/>
      <c r="EU193" s="915"/>
      <c r="EV193" s="915"/>
      <c r="EW193" s="915"/>
      <c r="EX193" s="915"/>
      <c r="EY193" s="915"/>
      <c r="EZ193" s="915"/>
      <c r="FA193" s="915"/>
      <c r="FB193" s="915"/>
      <c r="FC193" s="915"/>
      <c r="FD193" s="915"/>
      <c r="FE193" s="915"/>
      <c r="FF193" s="915"/>
      <c r="FG193" s="915"/>
      <c r="FH193" s="915"/>
      <c r="FI193" s="915"/>
      <c r="FJ193" s="915"/>
    </row>
    <row r="194" spans="2:166" x14ac:dyDescent="0.2">
      <c r="B194" s="29"/>
      <c r="C194" s="51"/>
      <c r="D194" s="51"/>
      <c r="E194" s="51"/>
      <c r="DW194" s="915"/>
      <c r="DX194" s="915"/>
      <c r="DY194" s="915"/>
      <c r="DZ194" s="915"/>
      <c r="EA194" s="915"/>
      <c r="EB194" s="915"/>
      <c r="EC194" s="915"/>
      <c r="ED194" s="915"/>
      <c r="EU194" s="915"/>
      <c r="EV194" s="915"/>
      <c r="EW194" s="915"/>
      <c r="EX194" s="915"/>
      <c r="EY194" s="915"/>
      <c r="EZ194" s="915"/>
      <c r="FA194" s="915"/>
      <c r="FB194" s="915"/>
      <c r="FC194" s="915"/>
      <c r="FD194" s="915"/>
      <c r="FE194" s="915"/>
      <c r="FF194" s="915"/>
      <c r="FG194" s="915"/>
      <c r="FH194" s="915"/>
      <c r="FI194" s="915"/>
      <c r="FJ194" s="915"/>
    </row>
    <row r="195" spans="2:166" x14ac:dyDescent="0.2">
      <c r="B195" s="29"/>
      <c r="C195" s="51"/>
      <c r="D195" s="51"/>
      <c r="E195" s="51"/>
      <c r="DW195" s="915"/>
      <c r="DX195" s="915"/>
      <c r="DY195" s="915"/>
      <c r="DZ195" s="915"/>
      <c r="EA195" s="915"/>
      <c r="EB195" s="915"/>
      <c r="EC195" s="915"/>
      <c r="ED195" s="915"/>
      <c r="EU195" s="915"/>
      <c r="EV195" s="915"/>
      <c r="EW195" s="915"/>
      <c r="EX195" s="915"/>
      <c r="EY195" s="915"/>
      <c r="EZ195" s="915"/>
      <c r="FA195" s="915"/>
      <c r="FB195" s="915"/>
      <c r="FC195" s="915"/>
      <c r="FD195" s="915"/>
      <c r="FE195" s="915"/>
      <c r="FF195" s="915"/>
      <c r="FG195" s="915"/>
      <c r="FH195" s="915"/>
      <c r="FI195" s="915"/>
      <c r="FJ195" s="915"/>
    </row>
    <row r="196" spans="2:166" x14ac:dyDescent="0.2">
      <c r="B196" s="29"/>
      <c r="C196" s="51"/>
      <c r="D196" s="51"/>
      <c r="E196" s="51"/>
      <c r="DW196" s="915"/>
      <c r="DX196" s="915"/>
      <c r="DY196" s="915"/>
      <c r="DZ196" s="915"/>
      <c r="EA196" s="915"/>
      <c r="EB196" s="915"/>
      <c r="EC196" s="915"/>
      <c r="ED196" s="915"/>
      <c r="EU196" s="915"/>
      <c r="EV196" s="915"/>
      <c r="EW196" s="915"/>
      <c r="EX196" s="915"/>
      <c r="EY196" s="915"/>
      <c r="EZ196" s="915"/>
      <c r="FA196" s="915"/>
      <c r="FB196" s="915"/>
      <c r="FC196" s="915"/>
      <c r="FD196" s="915"/>
      <c r="FE196" s="915"/>
      <c r="FF196" s="915"/>
      <c r="FG196" s="915"/>
      <c r="FH196" s="915"/>
      <c r="FI196" s="915"/>
      <c r="FJ196" s="915"/>
    </row>
    <row r="197" spans="2:166" x14ac:dyDescent="0.2">
      <c r="B197" s="29"/>
      <c r="C197" s="51"/>
      <c r="D197" s="51"/>
      <c r="E197" s="51"/>
      <c r="DW197" s="915"/>
      <c r="DX197" s="915"/>
      <c r="DY197" s="915"/>
      <c r="DZ197" s="915"/>
      <c r="EA197" s="915"/>
      <c r="EB197" s="915"/>
      <c r="EC197" s="915"/>
      <c r="ED197" s="915"/>
      <c r="EU197" s="915"/>
      <c r="EV197" s="915"/>
      <c r="EW197" s="915"/>
      <c r="EX197" s="915"/>
      <c r="EY197" s="915"/>
      <c r="EZ197" s="915"/>
      <c r="FA197" s="915"/>
      <c r="FB197" s="915"/>
      <c r="FC197" s="915"/>
      <c r="FD197" s="915"/>
      <c r="FE197" s="915"/>
      <c r="FF197" s="915"/>
      <c r="FG197" s="915"/>
      <c r="FH197" s="915"/>
      <c r="FI197" s="915"/>
      <c r="FJ197" s="915"/>
    </row>
    <row r="198" spans="2:166" x14ac:dyDescent="0.2">
      <c r="B198" s="29"/>
      <c r="C198" s="51"/>
      <c r="D198" s="51"/>
      <c r="E198" s="51"/>
      <c r="DW198" s="915"/>
      <c r="DX198" s="915"/>
      <c r="DY198" s="915"/>
      <c r="DZ198" s="915"/>
      <c r="EA198" s="915"/>
      <c r="EB198" s="915"/>
      <c r="EC198" s="915"/>
      <c r="ED198" s="915"/>
      <c r="EU198" s="915"/>
      <c r="EV198" s="915"/>
      <c r="EW198" s="915"/>
      <c r="EX198" s="915"/>
      <c r="EY198" s="915"/>
      <c r="EZ198" s="915"/>
      <c r="FA198" s="915"/>
      <c r="FB198" s="915"/>
      <c r="FC198" s="915"/>
      <c r="FD198" s="915"/>
      <c r="FE198" s="915"/>
      <c r="FF198" s="915"/>
      <c r="FG198" s="915"/>
      <c r="FH198" s="915"/>
      <c r="FI198" s="915"/>
      <c r="FJ198" s="915"/>
    </row>
    <row r="199" spans="2:166" x14ac:dyDescent="0.2">
      <c r="B199" s="29"/>
      <c r="C199" s="51"/>
      <c r="D199" s="51"/>
      <c r="E199" s="51"/>
      <c r="DW199" s="915"/>
      <c r="DX199" s="915"/>
      <c r="DY199" s="915"/>
      <c r="DZ199" s="915"/>
      <c r="EA199" s="915"/>
      <c r="EB199" s="915"/>
      <c r="EC199" s="915"/>
      <c r="ED199" s="915"/>
      <c r="EU199" s="915"/>
      <c r="EV199" s="915"/>
      <c r="EW199" s="915"/>
      <c r="EX199" s="915"/>
      <c r="EY199" s="915"/>
      <c r="EZ199" s="915"/>
      <c r="FA199" s="915"/>
      <c r="FB199" s="915"/>
      <c r="FC199" s="915"/>
      <c r="FD199" s="915"/>
      <c r="FE199" s="915"/>
      <c r="FF199" s="915"/>
      <c r="FG199" s="915"/>
      <c r="FH199" s="915"/>
      <c r="FI199" s="915"/>
      <c r="FJ199" s="915"/>
    </row>
    <row r="200" spans="2:166" x14ac:dyDescent="0.2">
      <c r="B200" s="29"/>
      <c r="C200" s="51"/>
      <c r="D200" s="51"/>
      <c r="E200" s="51"/>
      <c r="DW200" s="915"/>
      <c r="DX200" s="915"/>
      <c r="DY200" s="915"/>
      <c r="DZ200" s="915"/>
      <c r="EA200" s="915"/>
      <c r="EB200" s="915"/>
      <c r="EC200" s="915"/>
      <c r="ED200" s="915"/>
      <c r="EU200" s="915"/>
      <c r="EV200" s="915"/>
      <c r="EW200" s="915"/>
      <c r="EX200" s="915"/>
      <c r="EY200" s="915"/>
      <c r="EZ200" s="915"/>
      <c r="FA200" s="915"/>
      <c r="FB200" s="915"/>
      <c r="FC200" s="915"/>
      <c r="FD200" s="915"/>
      <c r="FE200" s="915"/>
      <c r="FF200" s="915"/>
      <c r="FG200" s="915"/>
      <c r="FH200" s="915"/>
      <c r="FI200" s="915"/>
      <c r="FJ200" s="915"/>
    </row>
    <row r="201" spans="2:166" x14ac:dyDescent="0.2">
      <c r="B201" s="29"/>
      <c r="C201" s="51"/>
      <c r="D201" s="51"/>
      <c r="E201" s="51"/>
      <c r="DW201" s="915"/>
      <c r="DX201" s="915"/>
      <c r="DY201" s="915"/>
      <c r="DZ201" s="915"/>
      <c r="EA201" s="915"/>
      <c r="EB201" s="915"/>
      <c r="EC201" s="915"/>
      <c r="ED201" s="915"/>
      <c r="EU201" s="915"/>
      <c r="EV201" s="915"/>
      <c r="EW201" s="915"/>
      <c r="EX201" s="915"/>
      <c r="EY201" s="915"/>
      <c r="EZ201" s="915"/>
      <c r="FA201" s="915"/>
      <c r="FB201" s="915"/>
      <c r="FC201" s="915"/>
      <c r="FD201" s="915"/>
      <c r="FE201" s="915"/>
      <c r="FF201" s="915"/>
      <c r="FG201" s="915"/>
      <c r="FH201" s="915"/>
      <c r="FI201" s="915"/>
      <c r="FJ201" s="915"/>
    </row>
    <row r="202" spans="2:166" x14ac:dyDescent="0.2">
      <c r="B202" s="29"/>
      <c r="C202" s="51"/>
      <c r="D202" s="51"/>
      <c r="E202" s="51"/>
      <c r="DW202" s="915"/>
      <c r="DX202" s="915"/>
      <c r="DY202" s="915"/>
      <c r="DZ202" s="915"/>
      <c r="EA202" s="915"/>
      <c r="EB202" s="915"/>
      <c r="EC202" s="915"/>
      <c r="ED202" s="915"/>
      <c r="EU202" s="915"/>
      <c r="EV202" s="915"/>
      <c r="EW202" s="915"/>
      <c r="EX202" s="915"/>
      <c r="EY202" s="915"/>
      <c r="EZ202" s="915"/>
      <c r="FA202" s="915"/>
      <c r="FB202" s="915"/>
      <c r="FC202" s="915"/>
      <c r="FD202" s="915"/>
      <c r="FE202" s="915"/>
      <c r="FF202" s="915"/>
      <c r="FG202" s="915"/>
      <c r="FH202" s="915"/>
      <c r="FI202" s="915"/>
      <c r="FJ202" s="915"/>
    </row>
    <row r="203" spans="2:166" x14ac:dyDescent="0.2">
      <c r="B203" s="29"/>
      <c r="C203" s="51"/>
      <c r="D203" s="51"/>
      <c r="E203" s="51"/>
      <c r="DW203" s="915"/>
      <c r="DX203" s="915"/>
      <c r="DY203" s="915"/>
      <c r="DZ203" s="915"/>
      <c r="EA203" s="915"/>
      <c r="EB203" s="915"/>
      <c r="EC203" s="915"/>
      <c r="ED203" s="915"/>
      <c r="EU203" s="915"/>
      <c r="EV203" s="915"/>
      <c r="EW203" s="915"/>
      <c r="EX203" s="915"/>
      <c r="EY203" s="915"/>
      <c r="EZ203" s="915"/>
      <c r="FA203" s="915"/>
      <c r="FB203" s="915"/>
      <c r="FC203" s="915"/>
      <c r="FD203" s="915"/>
      <c r="FE203" s="915"/>
      <c r="FF203" s="915"/>
      <c r="FG203" s="915"/>
      <c r="FH203" s="915"/>
      <c r="FI203" s="915"/>
      <c r="FJ203" s="915"/>
    </row>
    <row r="204" spans="2:166" x14ac:dyDescent="0.2">
      <c r="B204" s="29"/>
      <c r="C204" s="51"/>
      <c r="D204" s="51"/>
      <c r="E204" s="51"/>
      <c r="DW204" s="915"/>
      <c r="DX204" s="915"/>
      <c r="DY204" s="915"/>
      <c r="DZ204" s="915"/>
      <c r="EA204" s="915"/>
      <c r="EB204" s="915"/>
      <c r="EC204" s="915"/>
      <c r="ED204" s="915"/>
      <c r="EU204" s="915"/>
      <c r="EV204" s="915"/>
      <c r="EW204" s="915"/>
      <c r="EX204" s="915"/>
      <c r="EY204" s="915"/>
      <c r="EZ204" s="915"/>
      <c r="FA204" s="915"/>
      <c r="FB204" s="915"/>
      <c r="FC204" s="915"/>
      <c r="FD204" s="915"/>
      <c r="FE204" s="915"/>
      <c r="FF204" s="915"/>
      <c r="FG204" s="915"/>
      <c r="FH204" s="915"/>
      <c r="FI204" s="915"/>
      <c r="FJ204" s="915"/>
    </row>
    <row r="205" spans="2:166" x14ac:dyDescent="0.2">
      <c r="B205" s="29"/>
      <c r="C205" s="51"/>
      <c r="D205" s="51"/>
      <c r="E205" s="51"/>
      <c r="DW205" s="915"/>
      <c r="DX205" s="915"/>
      <c r="DY205" s="915"/>
      <c r="DZ205" s="915"/>
      <c r="EA205" s="915"/>
      <c r="EB205" s="915"/>
      <c r="EC205" s="915"/>
      <c r="ED205" s="915"/>
      <c r="EU205" s="915"/>
      <c r="EV205" s="915"/>
      <c r="EW205" s="915"/>
      <c r="EX205" s="915"/>
      <c r="EY205" s="915"/>
      <c r="EZ205" s="915"/>
      <c r="FA205" s="915"/>
      <c r="FB205" s="915"/>
      <c r="FC205" s="915"/>
      <c r="FD205" s="915"/>
      <c r="FE205" s="915"/>
      <c r="FF205" s="915"/>
      <c r="FG205" s="915"/>
      <c r="FH205" s="915"/>
      <c r="FI205" s="915"/>
      <c r="FJ205" s="915"/>
    </row>
    <row r="206" spans="2:166" x14ac:dyDescent="0.2">
      <c r="B206" s="29"/>
      <c r="C206" s="51"/>
      <c r="D206" s="51"/>
      <c r="E206" s="51"/>
      <c r="DW206" s="915"/>
      <c r="DX206" s="915"/>
      <c r="DY206" s="915"/>
      <c r="DZ206" s="915"/>
      <c r="EA206" s="915"/>
      <c r="EB206" s="915"/>
      <c r="EC206" s="915"/>
      <c r="ED206" s="915"/>
      <c r="EU206" s="915"/>
      <c r="EV206" s="915"/>
      <c r="EW206" s="915"/>
      <c r="EX206" s="915"/>
      <c r="EY206" s="915"/>
      <c r="EZ206" s="915"/>
      <c r="FA206" s="915"/>
      <c r="FB206" s="915"/>
      <c r="FC206" s="915"/>
      <c r="FD206" s="915"/>
      <c r="FE206" s="915"/>
      <c r="FF206" s="915"/>
      <c r="FG206" s="915"/>
      <c r="FH206" s="915"/>
      <c r="FI206" s="915"/>
      <c r="FJ206" s="915"/>
    </row>
    <row r="207" spans="2:166" x14ac:dyDescent="0.2">
      <c r="B207" s="29"/>
      <c r="C207" s="51"/>
      <c r="D207" s="51"/>
      <c r="E207" s="51"/>
      <c r="DW207" s="915"/>
      <c r="DX207" s="915"/>
      <c r="DY207" s="915"/>
      <c r="DZ207" s="915"/>
      <c r="EA207" s="915"/>
      <c r="EB207" s="915"/>
      <c r="EC207" s="915"/>
      <c r="ED207" s="915"/>
      <c r="EU207" s="915"/>
      <c r="EV207" s="915"/>
      <c r="EW207" s="915"/>
      <c r="EX207" s="915"/>
      <c r="EY207" s="915"/>
      <c r="EZ207" s="915"/>
      <c r="FA207" s="915"/>
      <c r="FB207" s="915"/>
      <c r="FC207" s="915"/>
      <c r="FD207" s="915"/>
      <c r="FE207" s="915"/>
      <c r="FF207" s="915"/>
      <c r="FG207" s="915"/>
      <c r="FH207" s="915"/>
      <c r="FI207" s="915"/>
      <c r="FJ207" s="915"/>
    </row>
    <row r="208" spans="2:166" x14ac:dyDescent="0.2">
      <c r="B208" s="29"/>
      <c r="C208" s="51"/>
      <c r="D208" s="51"/>
      <c r="E208" s="51"/>
      <c r="DW208" s="915"/>
      <c r="DX208" s="915"/>
      <c r="DY208" s="915"/>
      <c r="DZ208" s="915"/>
      <c r="EA208" s="915"/>
      <c r="EB208" s="915"/>
      <c r="EC208" s="915"/>
      <c r="ED208" s="915"/>
      <c r="EU208" s="915"/>
      <c r="EV208" s="915"/>
      <c r="EW208" s="915"/>
      <c r="EX208" s="915"/>
      <c r="EY208" s="915"/>
      <c r="EZ208" s="915"/>
      <c r="FA208" s="915"/>
      <c r="FB208" s="915"/>
      <c r="FC208" s="915"/>
      <c r="FD208" s="915"/>
      <c r="FE208" s="915"/>
      <c r="FF208" s="915"/>
      <c r="FG208" s="915"/>
      <c r="FH208" s="915"/>
      <c r="FI208" s="915"/>
      <c r="FJ208" s="915"/>
    </row>
    <row r="209" spans="2:166" x14ac:dyDescent="0.2">
      <c r="B209" s="29"/>
      <c r="C209" s="51"/>
      <c r="D209" s="51"/>
      <c r="E209" s="51"/>
      <c r="DW209" s="915"/>
      <c r="DX209" s="915"/>
      <c r="DY209" s="915"/>
      <c r="DZ209" s="915"/>
      <c r="EA209" s="915"/>
      <c r="EB209" s="915"/>
      <c r="EC209" s="915"/>
      <c r="ED209" s="915"/>
      <c r="EU209" s="915"/>
      <c r="EV209" s="915"/>
      <c r="EW209" s="915"/>
      <c r="EX209" s="915"/>
      <c r="EY209" s="915"/>
      <c r="EZ209" s="915"/>
      <c r="FA209" s="915"/>
      <c r="FB209" s="915"/>
      <c r="FC209" s="915"/>
      <c r="FD209" s="915"/>
      <c r="FE209" s="915"/>
      <c r="FF209" s="915"/>
      <c r="FG209" s="915"/>
      <c r="FH209" s="915"/>
      <c r="FI209" s="915"/>
      <c r="FJ209" s="915"/>
    </row>
    <row r="210" spans="2:166" x14ac:dyDescent="0.2">
      <c r="B210" s="29"/>
      <c r="C210" s="51"/>
      <c r="D210" s="51"/>
      <c r="E210" s="51"/>
      <c r="DW210" s="915"/>
      <c r="DX210" s="915"/>
      <c r="DY210" s="915"/>
      <c r="DZ210" s="915"/>
      <c r="EA210" s="915"/>
      <c r="EB210" s="915"/>
      <c r="EC210" s="915"/>
      <c r="ED210" s="915"/>
      <c r="EU210" s="915"/>
      <c r="EV210" s="915"/>
      <c r="EW210" s="915"/>
      <c r="EX210" s="915"/>
      <c r="EY210" s="915"/>
      <c r="EZ210" s="915"/>
      <c r="FA210" s="915"/>
      <c r="FB210" s="915"/>
      <c r="FC210" s="915"/>
      <c r="FD210" s="915"/>
      <c r="FE210" s="915"/>
      <c r="FF210" s="915"/>
      <c r="FG210" s="915"/>
      <c r="FH210" s="915"/>
      <c r="FI210" s="915"/>
      <c r="FJ210" s="915"/>
    </row>
    <row r="211" spans="2:166" x14ac:dyDescent="0.2">
      <c r="B211" s="29"/>
      <c r="C211" s="51"/>
      <c r="D211" s="51"/>
      <c r="E211" s="51"/>
      <c r="DW211" s="915"/>
      <c r="DX211" s="915"/>
      <c r="DY211" s="915"/>
      <c r="DZ211" s="915"/>
      <c r="EA211" s="915"/>
      <c r="EB211" s="915"/>
      <c r="EC211" s="915"/>
      <c r="ED211" s="915"/>
      <c r="EU211" s="915"/>
      <c r="EV211" s="915"/>
      <c r="EW211" s="915"/>
      <c r="EX211" s="915"/>
      <c r="EY211" s="915"/>
      <c r="EZ211" s="915"/>
      <c r="FA211" s="915"/>
      <c r="FB211" s="915"/>
      <c r="FC211" s="915"/>
      <c r="FD211" s="915"/>
      <c r="FE211" s="915"/>
      <c r="FF211" s="915"/>
      <c r="FG211" s="915"/>
      <c r="FH211" s="915"/>
      <c r="FI211" s="915"/>
      <c r="FJ211" s="915"/>
    </row>
    <row r="212" spans="2:166" x14ac:dyDescent="0.2">
      <c r="B212" s="29"/>
      <c r="C212" s="51"/>
      <c r="D212" s="51"/>
      <c r="E212" s="51"/>
      <c r="DW212" s="915"/>
      <c r="DX212" s="915"/>
      <c r="DY212" s="915"/>
      <c r="DZ212" s="915"/>
      <c r="EA212" s="915"/>
      <c r="EB212" s="915"/>
      <c r="EC212" s="915"/>
      <c r="ED212" s="915"/>
      <c r="EU212" s="915"/>
      <c r="EV212" s="915"/>
      <c r="EW212" s="915"/>
      <c r="EX212" s="915"/>
      <c r="EY212" s="915"/>
      <c r="EZ212" s="915"/>
      <c r="FA212" s="915"/>
      <c r="FB212" s="915"/>
      <c r="FC212" s="915"/>
      <c r="FD212" s="915"/>
      <c r="FE212" s="915"/>
      <c r="FF212" s="915"/>
      <c r="FG212" s="915"/>
      <c r="FH212" s="915"/>
      <c r="FI212" s="915"/>
      <c r="FJ212" s="915"/>
    </row>
    <row r="213" spans="2:166" x14ac:dyDescent="0.2">
      <c r="B213" s="29"/>
      <c r="C213" s="51"/>
      <c r="D213" s="51"/>
      <c r="E213" s="51"/>
      <c r="DW213" s="915"/>
      <c r="DX213" s="915"/>
      <c r="DY213" s="915"/>
      <c r="DZ213" s="915"/>
      <c r="EA213" s="915"/>
      <c r="EB213" s="915"/>
      <c r="EC213" s="915"/>
      <c r="ED213" s="915"/>
      <c r="EU213" s="915"/>
      <c r="EV213" s="915"/>
      <c r="EW213" s="915"/>
      <c r="EX213" s="915"/>
      <c r="EY213" s="915"/>
      <c r="EZ213" s="915"/>
      <c r="FA213" s="915"/>
      <c r="FB213" s="915"/>
      <c r="FC213" s="915"/>
      <c r="FD213" s="915"/>
      <c r="FE213" s="915"/>
      <c r="FF213" s="915"/>
      <c r="FG213" s="915"/>
      <c r="FH213" s="915"/>
      <c r="FI213" s="915"/>
      <c r="FJ213" s="915"/>
    </row>
    <row r="214" spans="2:166" x14ac:dyDescent="0.2">
      <c r="B214" s="29"/>
      <c r="C214" s="51"/>
      <c r="D214" s="51"/>
      <c r="E214" s="51"/>
      <c r="DW214" s="915"/>
      <c r="DX214" s="915"/>
      <c r="DY214" s="915"/>
      <c r="DZ214" s="915"/>
      <c r="EA214" s="915"/>
      <c r="EB214" s="915"/>
      <c r="EC214" s="915"/>
      <c r="ED214" s="915"/>
      <c r="EU214" s="915"/>
      <c r="EV214" s="915"/>
      <c r="EW214" s="915"/>
      <c r="EX214" s="915"/>
      <c r="EY214" s="915"/>
      <c r="EZ214" s="915"/>
      <c r="FA214" s="915"/>
      <c r="FB214" s="915"/>
      <c r="FC214" s="915"/>
      <c r="FD214" s="915"/>
      <c r="FE214" s="915"/>
      <c r="FF214" s="915"/>
      <c r="FG214" s="915"/>
      <c r="FH214" s="915"/>
      <c r="FI214" s="915"/>
      <c r="FJ214" s="915"/>
    </row>
    <row r="215" spans="2:166" x14ac:dyDescent="0.2">
      <c r="B215" s="29"/>
      <c r="C215" s="51"/>
      <c r="D215" s="51"/>
      <c r="E215" s="51"/>
      <c r="DW215" s="915"/>
      <c r="DX215" s="915"/>
      <c r="DY215" s="915"/>
      <c r="DZ215" s="915"/>
      <c r="EA215" s="915"/>
      <c r="EB215" s="915"/>
      <c r="EC215" s="915"/>
      <c r="ED215" s="915"/>
      <c r="EU215" s="915"/>
      <c r="EV215" s="915"/>
      <c r="EW215" s="915"/>
      <c r="EX215" s="915"/>
      <c r="EY215" s="915"/>
      <c r="EZ215" s="915"/>
      <c r="FA215" s="915"/>
      <c r="FB215" s="915"/>
      <c r="FC215" s="915"/>
      <c r="FD215" s="915"/>
      <c r="FE215" s="915"/>
      <c r="FF215" s="915"/>
      <c r="FG215" s="915"/>
      <c r="FH215" s="915"/>
      <c r="FI215" s="915"/>
      <c r="FJ215" s="915"/>
    </row>
    <row r="216" spans="2:166" x14ac:dyDescent="0.2">
      <c r="B216" s="29"/>
      <c r="C216" s="51"/>
      <c r="D216" s="51"/>
      <c r="E216" s="51"/>
      <c r="DW216" s="915"/>
      <c r="DX216" s="915"/>
      <c r="DY216" s="915"/>
      <c r="DZ216" s="915"/>
      <c r="EA216" s="915"/>
      <c r="EB216" s="915"/>
      <c r="EC216" s="915"/>
      <c r="ED216" s="915"/>
      <c r="EU216" s="915"/>
      <c r="EV216" s="915"/>
      <c r="EW216" s="915"/>
      <c r="EX216" s="915"/>
      <c r="EY216" s="915"/>
      <c r="EZ216" s="915"/>
      <c r="FA216" s="915"/>
      <c r="FB216" s="915"/>
      <c r="FC216" s="915"/>
      <c r="FD216" s="915"/>
      <c r="FE216" s="915"/>
      <c r="FF216" s="915"/>
      <c r="FG216" s="915"/>
      <c r="FH216" s="915"/>
      <c r="FI216" s="915"/>
      <c r="FJ216" s="915"/>
    </row>
    <row r="217" spans="2:166" x14ac:dyDescent="0.2">
      <c r="B217" s="29"/>
      <c r="C217" s="51"/>
      <c r="D217" s="51"/>
      <c r="E217" s="51"/>
      <c r="DW217" s="915"/>
      <c r="DX217" s="915"/>
      <c r="DY217" s="915"/>
      <c r="DZ217" s="915"/>
      <c r="EA217" s="915"/>
      <c r="EB217" s="915"/>
      <c r="EC217" s="915"/>
      <c r="ED217" s="915"/>
      <c r="EU217" s="915"/>
      <c r="EV217" s="915"/>
      <c r="EW217" s="915"/>
      <c r="EX217" s="915"/>
      <c r="EY217" s="915"/>
      <c r="EZ217" s="915"/>
      <c r="FA217" s="915"/>
      <c r="FB217" s="915"/>
      <c r="FC217" s="915"/>
      <c r="FD217" s="915"/>
      <c r="FE217" s="915"/>
      <c r="FF217" s="915"/>
      <c r="FG217" s="915"/>
      <c r="FH217" s="915"/>
      <c r="FI217" s="915"/>
      <c r="FJ217" s="915"/>
    </row>
    <row r="218" spans="2:166" x14ac:dyDescent="0.2">
      <c r="B218" s="29"/>
      <c r="C218" s="51"/>
      <c r="D218" s="51"/>
      <c r="E218" s="51"/>
      <c r="DW218" s="915"/>
      <c r="DX218" s="915"/>
      <c r="DY218" s="915"/>
      <c r="DZ218" s="915"/>
      <c r="EA218" s="915"/>
      <c r="EB218" s="915"/>
      <c r="EC218" s="915"/>
      <c r="ED218" s="915"/>
      <c r="EU218" s="915"/>
      <c r="EV218" s="915"/>
      <c r="EW218" s="915"/>
      <c r="EX218" s="915"/>
      <c r="EY218" s="915"/>
      <c r="EZ218" s="915"/>
      <c r="FA218" s="915"/>
      <c r="FB218" s="915"/>
      <c r="FC218" s="915"/>
      <c r="FD218" s="915"/>
      <c r="FE218" s="915"/>
      <c r="FF218" s="915"/>
      <c r="FG218" s="915"/>
      <c r="FH218" s="915"/>
      <c r="FI218" s="915"/>
      <c r="FJ218" s="915"/>
    </row>
    <row r="219" spans="2:166" x14ac:dyDescent="0.2">
      <c r="B219" s="29"/>
      <c r="C219" s="51"/>
      <c r="D219" s="51"/>
      <c r="E219" s="51"/>
      <c r="DW219" s="915"/>
      <c r="DX219" s="915"/>
      <c r="DY219" s="915"/>
      <c r="DZ219" s="915"/>
      <c r="EA219" s="915"/>
      <c r="EB219" s="915"/>
      <c r="EC219" s="915"/>
      <c r="ED219" s="915"/>
      <c r="EU219" s="915"/>
      <c r="EV219" s="915"/>
      <c r="EW219" s="915"/>
      <c r="EX219" s="915"/>
      <c r="EY219" s="915"/>
      <c r="EZ219" s="915"/>
      <c r="FA219" s="915"/>
      <c r="FB219" s="915"/>
      <c r="FC219" s="915"/>
      <c r="FD219" s="915"/>
      <c r="FE219" s="915"/>
      <c r="FF219" s="915"/>
      <c r="FG219" s="915"/>
      <c r="FH219" s="915"/>
      <c r="FI219" s="915"/>
      <c r="FJ219" s="915"/>
    </row>
    <row r="220" spans="2:166" x14ac:dyDescent="0.2">
      <c r="B220" s="29"/>
      <c r="C220" s="51"/>
      <c r="D220" s="51"/>
      <c r="E220" s="51"/>
      <c r="DW220" s="915"/>
      <c r="DX220" s="915"/>
      <c r="DY220" s="915"/>
      <c r="DZ220" s="915"/>
      <c r="EA220" s="915"/>
      <c r="EB220" s="915"/>
      <c r="EC220" s="915"/>
      <c r="ED220" s="915"/>
    </row>
    <row r="221" spans="2:166" x14ac:dyDescent="0.2">
      <c r="B221" s="29"/>
      <c r="C221" s="51"/>
      <c r="D221" s="51"/>
      <c r="E221" s="51"/>
      <c r="DW221" s="915"/>
      <c r="DX221" s="915"/>
      <c r="DY221" s="915"/>
      <c r="DZ221" s="915"/>
      <c r="EA221" s="915"/>
      <c r="EB221" s="915"/>
      <c r="EC221" s="915"/>
      <c r="ED221" s="915"/>
    </row>
    <row r="222" spans="2:166" x14ac:dyDescent="0.2">
      <c r="B222" s="29"/>
      <c r="C222" s="51"/>
      <c r="D222" s="51"/>
      <c r="E222" s="51"/>
      <c r="DW222" s="915"/>
      <c r="DX222" s="915"/>
      <c r="DY222" s="915"/>
      <c r="DZ222" s="915"/>
      <c r="EA222" s="915"/>
      <c r="EB222" s="915"/>
      <c r="EC222" s="915"/>
      <c r="ED222" s="915"/>
    </row>
    <row r="223" spans="2:166" x14ac:dyDescent="0.2">
      <c r="B223" s="29"/>
      <c r="C223" s="51"/>
      <c r="D223" s="51"/>
      <c r="E223" s="51"/>
      <c r="DW223" s="915"/>
      <c r="DX223" s="915"/>
      <c r="DY223" s="915"/>
      <c r="DZ223" s="915"/>
      <c r="EA223" s="915"/>
      <c r="EB223" s="915"/>
      <c r="EC223" s="915"/>
      <c r="ED223" s="915"/>
    </row>
    <row r="224" spans="2:166" x14ac:dyDescent="0.2">
      <c r="B224" s="29"/>
      <c r="C224" s="51"/>
      <c r="D224" s="51"/>
      <c r="E224" s="51"/>
      <c r="DW224" s="915"/>
      <c r="DX224" s="915"/>
      <c r="DY224" s="915"/>
      <c r="DZ224" s="915"/>
      <c r="EA224" s="915"/>
      <c r="EB224" s="915"/>
      <c r="EC224" s="915"/>
      <c r="ED224" s="915"/>
    </row>
    <row r="225" spans="2:134" x14ac:dyDescent="0.2">
      <c r="B225" s="29"/>
      <c r="C225" s="51"/>
      <c r="D225" s="51"/>
      <c r="E225" s="51"/>
      <c r="DW225" s="915"/>
      <c r="DX225" s="915"/>
      <c r="DY225" s="915"/>
      <c r="DZ225" s="915"/>
      <c r="EA225" s="915"/>
      <c r="EB225" s="915"/>
      <c r="EC225" s="915"/>
      <c r="ED225" s="915"/>
    </row>
    <row r="226" spans="2:134" x14ac:dyDescent="0.2">
      <c r="B226" s="29"/>
      <c r="C226" s="51"/>
      <c r="D226" s="51"/>
      <c r="E226" s="51"/>
    </row>
    <row r="227" spans="2:134" x14ac:dyDescent="0.2">
      <c r="B227" s="29"/>
      <c r="C227" s="51"/>
      <c r="D227" s="51"/>
      <c r="E227" s="51"/>
    </row>
    <row r="228" spans="2:134" x14ac:dyDescent="0.2">
      <c r="B228" s="29"/>
      <c r="C228" s="51"/>
      <c r="D228" s="51"/>
      <c r="E228" s="51"/>
    </row>
    <row r="229" spans="2:134" x14ac:dyDescent="0.2">
      <c r="B229" s="29"/>
      <c r="C229" s="51"/>
      <c r="D229" s="51"/>
      <c r="E229" s="51"/>
    </row>
  </sheetData>
  <sheetProtection formatRows="0"/>
  <protectedRanges>
    <protectedRange sqref="F9 F10:G167 F8:G8 A8:E167 H8:H167" name="Subcontractor"/>
    <protectedRange sqref="M47:M48 K5:K46" name="tax override"/>
  </protectedRanges>
  <mergeCells count="175">
    <mergeCell ref="B167:C167"/>
    <mergeCell ref="B162:C162"/>
    <mergeCell ref="B163:C163"/>
    <mergeCell ref="B164:C164"/>
    <mergeCell ref="B165:C165"/>
    <mergeCell ref="B166:C166"/>
    <mergeCell ref="B157:C157"/>
    <mergeCell ref="B158:C158"/>
    <mergeCell ref="B159:C159"/>
    <mergeCell ref="B160:C160"/>
    <mergeCell ref="B161:C161"/>
    <mergeCell ref="B152:C152"/>
    <mergeCell ref="B153:C153"/>
    <mergeCell ref="B154:C154"/>
    <mergeCell ref="B155:C155"/>
    <mergeCell ref="B156:C156"/>
    <mergeCell ref="B147:C147"/>
    <mergeCell ref="B148:C148"/>
    <mergeCell ref="B149:C149"/>
    <mergeCell ref="B150:C150"/>
    <mergeCell ref="B151:C151"/>
    <mergeCell ref="B142:C142"/>
    <mergeCell ref="B143:C143"/>
    <mergeCell ref="B144:C144"/>
    <mergeCell ref="B145:C145"/>
    <mergeCell ref="B146:C146"/>
    <mergeCell ref="B137:C137"/>
    <mergeCell ref="B138:C138"/>
    <mergeCell ref="B139:C139"/>
    <mergeCell ref="B140:C140"/>
    <mergeCell ref="B141:C141"/>
    <mergeCell ref="B132:C132"/>
    <mergeCell ref="B133:C133"/>
    <mergeCell ref="B134:C134"/>
    <mergeCell ref="B135:C135"/>
    <mergeCell ref="B136:C136"/>
    <mergeCell ref="B127:C127"/>
    <mergeCell ref="B128:C128"/>
    <mergeCell ref="B129:C129"/>
    <mergeCell ref="B130:C130"/>
    <mergeCell ref="B131:C131"/>
    <mergeCell ref="B122:C122"/>
    <mergeCell ref="B123:C123"/>
    <mergeCell ref="B124:C124"/>
    <mergeCell ref="B125:C125"/>
    <mergeCell ref="B126:C126"/>
    <mergeCell ref="B117:C117"/>
    <mergeCell ref="B118:C118"/>
    <mergeCell ref="B119:C119"/>
    <mergeCell ref="B120:C120"/>
    <mergeCell ref="B121:C121"/>
    <mergeCell ref="B113:C113"/>
    <mergeCell ref="B114:C114"/>
    <mergeCell ref="B115:C115"/>
    <mergeCell ref="B116:C116"/>
    <mergeCell ref="B107:C107"/>
    <mergeCell ref="B108:C108"/>
    <mergeCell ref="B109:C109"/>
    <mergeCell ref="B110:C110"/>
    <mergeCell ref="B111:C111"/>
    <mergeCell ref="B104:C104"/>
    <mergeCell ref="B105:C105"/>
    <mergeCell ref="B106:C106"/>
    <mergeCell ref="B97:C97"/>
    <mergeCell ref="B98:C98"/>
    <mergeCell ref="B99:C99"/>
    <mergeCell ref="B100:C100"/>
    <mergeCell ref="B101:C101"/>
    <mergeCell ref="B112:C112"/>
    <mergeCell ref="B95:C95"/>
    <mergeCell ref="B96:C96"/>
    <mergeCell ref="B87:C87"/>
    <mergeCell ref="B88:C88"/>
    <mergeCell ref="B89:C89"/>
    <mergeCell ref="B90:C90"/>
    <mergeCell ref="B91:C91"/>
    <mergeCell ref="B102:C102"/>
    <mergeCell ref="B103:C103"/>
    <mergeCell ref="B86:C86"/>
    <mergeCell ref="B77:C77"/>
    <mergeCell ref="B78:C78"/>
    <mergeCell ref="B79:C79"/>
    <mergeCell ref="B80:C80"/>
    <mergeCell ref="B81:C81"/>
    <mergeCell ref="B92:C92"/>
    <mergeCell ref="B93:C93"/>
    <mergeCell ref="B94:C94"/>
    <mergeCell ref="B168:C168"/>
    <mergeCell ref="B53:C53"/>
    <mergeCell ref="B54:C54"/>
    <mergeCell ref="B55:C55"/>
    <mergeCell ref="B56:C56"/>
    <mergeCell ref="B57:C57"/>
    <mergeCell ref="B58:C58"/>
    <mergeCell ref="B59:C59"/>
    <mergeCell ref="B60:C60"/>
    <mergeCell ref="B61:C61"/>
    <mergeCell ref="B62:C62"/>
    <mergeCell ref="B63:C63"/>
    <mergeCell ref="B64:C64"/>
    <mergeCell ref="B65:C65"/>
    <mergeCell ref="B71:C71"/>
    <mergeCell ref="B72:C72"/>
    <mergeCell ref="B73:C73"/>
    <mergeCell ref="B74:C74"/>
    <mergeCell ref="B75:C75"/>
    <mergeCell ref="B76:C76"/>
    <mergeCell ref="B82:C82"/>
    <mergeCell ref="B83:C83"/>
    <mergeCell ref="B84:C84"/>
    <mergeCell ref="B85:C85"/>
    <mergeCell ref="B49:C49"/>
    <mergeCell ref="B50:C50"/>
    <mergeCell ref="B51:C51"/>
    <mergeCell ref="B52:C52"/>
    <mergeCell ref="B66:C66"/>
    <mergeCell ref="B67:C67"/>
    <mergeCell ref="B68:C68"/>
    <mergeCell ref="B69:C69"/>
    <mergeCell ref="B70:C70"/>
    <mergeCell ref="A1:C1"/>
    <mergeCell ref="B36:C36"/>
    <mergeCell ref="B31:C31"/>
    <mergeCell ref="B30:C30"/>
    <mergeCell ref="B34:C34"/>
    <mergeCell ref="B32:C32"/>
    <mergeCell ref="B33:C33"/>
    <mergeCell ref="B35:C35"/>
    <mergeCell ref="B16:C16"/>
    <mergeCell ref="B19:C19"/>
    <mergeCell ref="B22:C22"/>
    <mergeCell ref="B17:C17"/>
    <mergeCell ref="B18:C18"/>
    <mergeCell ref="B10:C10"/>
    <mergeCell ref="A2:B2"/>
    <mergeCell ref="A3:B3"/>
    <mergeCell ref="B20:C20"/>
    <mergeCell ref="B21:C21"/>
    <mergeCell ref="A4:B4"/>
    <mergeCell ref="B6:C7"/>
    <mergeCell ref="A5:B5"/>
    <mergeCell ref="A6:A7"/>
    <mergeCell ref="B48:C48"/>
    <mergeCell ref="B23:C23"/>
    <mergeCell ref="B24:C24"/>
    <mergeCell ref="B25:C25"/>
    <mergeCell ref="B26:C26"/>
    <mergeCell ref="B27:C27"/>
    <mergeCell ref="B47:C47"/>
    <mergeCell ref="B45:C45"/>
    <mergeCell ref="B46:C46"/>
    <mergeCell ref="B43:C43"/>
    <mergeCell ref="B44:C44"/>
    <mergeCell ref="B28:C28"/>
    <mergeCell ref="B42:C42"/>
    <mergeCell ref="B40:C40"/>
    <mergeCell ref="B37:C37"/>
    <mergeCell ref="B39:C39"/>
    <mergeCell ref="B29:C29"/>
    <mergeCell ref="B38:C38"/>
    <mergeCell ref="B41:C41"/>
    <mergeCell ref="D2:J5"/>
    <mergeCell ref="K5:K7"/>
    <mergeCell ref="B14:C14"/>
    <mergeCell ref="B15:C15"/>
    <mergeCell ref="E6:E7"/>
    <mergeCell ref="B12:C12"/>
    <mergeCell ref="B13:C13"/>
    <mergeCell ref="F6:F7"/>
    <mergeCell ref="G6:G7"/>
    <mergeCell ref="H6:H7"/>
    <mergeCell ref="B11:C11"/>
    <mergeCell ref="D6:D7"/>
    <mergeCell ref="B9:C9"/>
    <mergeCell ref="B8:C8"/>
  </mergeCells>
  <phoneticPr fontId="0" type="noConversion"/>
  <conditionalFormatting sqref="D8:D17 D28:D167">
    <cfRule type="expression" dxfId="462" priority="23" stopIfTrue="1">
      <formula>AND(G8&gt;0,ISBLANK(D8))</formula>
    </cfRule>
  </conditionalFormatting>
  <conditionalFormatting sqref="E8:E17 E45:E167">
    <cfRule type="expression" dxfId="461" priority="24" stopIfTrue="1">
      <formula>AND((G8&gt;0),NOT(E8="R"),NOT(E8="S"),NOT(E8="O"))</formula>
    </cfRule>
  </conditionalFormatting>
  <conditionalFormatting sqref="E18:E20">
    <cfRule type="expression" dxfId="460" priority="17" stopIfTrue="1">
      <formula>AND((G18&gt;0),NOT(E18="R"),NOT(E18="S"),NOT(E18="O"))</formula>
    </cfRule>
  </conditionalFormatting>
  <conditionalFormatting sqref="E21:E25">
    <cfRule type="expression" dxfId="459" priority="10" stopIfTrue="1">
      <formula>AND((G21&gt;0),NOT(E21="R"),NOT(E21="S"),NOT(E21="O"))</formula>
    </cfRule>
  </conditionalFormatting>
  <conditionalFormatting sqref="E26:E28">
    <cfRule type="expression" dxfId="458" priority="9" stopIfTrue="1">
      <formula>AND((G26&gt;0),NOT(E26="R"),NOT(E26="S"),NOT(E26="O"))</formula>
    </cfRule>
  </conditionalFormatting>
  <conditionalFormatting sqref="E29:E33">
    <cfRule type="expression" dxfId="457" priority="8" stopIfTrue="1">
      <formula>AND((G29&gt;0),NOT(E29="R"),NOT(E29="S"),NOT(E29="O"))</formula>
    </cfRule>
  </conditionalFormatting>
  <conditionalFormatting sqref="E34:E36">
    <cfRule type="expression" dxfId="456" priority="7" stopIfTrue="1">
      <formula>AND((G34&gt;0),NOT(E34="R"),NOT(E34="S"),NOT(E34="O"))</formula>
    </cfRule>
  </conditionalFormatting>
  <conditionalFormatting sqref="E37:E41">
    <cfRule type="expression" dxfId="455" priority="6" stopIfTrue="1">
      <formula>AND((G37&gt;0),NOT(E37="R"),NOT(E37="S"),NOT(E37="O"))</formula>
    </cfRule>
  </conditionalFormatting>
  <conditionalFormatting sqref="E42:E44">
    <cfRule type="expression" dxfId="454" priority="5" stopIfTrue="1">
      <formula>AND((G42&gt;0),NOT(E42="R"),NOT(E42="S"),NOT(E42="O"))</formula>
    </cfRule>
  </conditionalFormatting>
  <conditionalFormatting sqref="D18:D27">
    <cfRule type="expression" dxfId="453" priority="3" stopIfTrue="1">
      <formula>AND(G18&gt;0,ISBLANK(D18))</formula>
    </cfRule>
  </conditionalFormatting>
  <dataValidations count="4">
    <dataValidation type="list" allowBlank="1" showInputMessage="1" showErrorMessage="1" sqref="E8:E167" xr:uid="{00000000-0002-0000-1400-000000000000}">
      <formula1>SubcontractorValidation</formula1>
    </dataValidation>
    <dataValidation type="list" allowBlank="1" showInputMessage="1" showErrorMessage="1" sqref="D8:D167" xr:uid="{00000000-0002-0000-1400-000001000000}">
      <formula1>ValidateTable</formula1>
    </dataValidation>
    <dataValidation type="custom" allowBlank="1" showInputMessage="1" showErrorMessage="1" sqref="M48" xr:uid="{00000000-0002-0000-1400-000002000000}">
      <formula1>"x"</formula1>
    </dataValidation>
    <dataValidation type="list" allowBlank="1" showInputMessage="1" showErrorMessage="1" sqref="K8:K167" xr:uid="{00000000-0002-0000-1400-000003000000}">
      <formula1>$N$1:$N$2</formula1>
    </dataValidation>
  </dataValidations>
  <printOptions horizontalCentered="1"/>
  <pageMargins left="0.3" right="0.3" top="0.75" bottom="0.75" header="0.5" footer="0.5"/>
  <pageSetup scale="72" orientation="landscape" r:id="rId1"/>
  <headerFooter alignWithMargins="0">
    <oddFooter xml:space="preserve">&amp;R&amp;6&amp;Z&amp;F   &amp;D
&amp;7© 2016 TRC   All rights reserved. </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AC176"/>
  <sheetViews>
    <sheetView zoomScale="80" zoomScaleNormal="80" workbookViewId="0">
      <pane ySplit="7" topLeftCell="A8" activePane="bottomLeft" state="frozen"/>
      <selection activeCell="DH36" sqref="DH36"/>
      <selection pane="bottomLeft" activeCell="V23" sqref="V23"/>
    </sheetView>
  </sheetViews>
  <sheetFormatPr defaultColWidth="9.140625" defaultRowHeight="12.75" x14ac:dyDescent="0.2"/>
  <cols>
    <col min="1" max="1" width="9.42578125" style="50" customWidth="1"/>
    <col min="2" max="2" width="5.28515625" style="50" customWidth="1"/>
    <col min="3" max="3" width="77.42578125" style="29" customWidth="1"/>
    <col min="4" max="4" width="5" style="29" customWidth="1"/>
    <col min="5" max="5" width="10.7109375" style="51" customWidth="1"/>
    <col min="6" max="6" width="11.7109375" style="51" customWidth="1"/>
    <col min="7" max="7" width="12.42578125" style="51" customWidth="1"/>
    <col min="8" max="8" width="11.7109375" style="51" customWidth="1"/>
    <col min="9" max="9" width="16.42578125" style="29" customWidth="1"/>
    <col min="10" max="10" width="5" style="53" customWidth="1"/>
    <col min="11" max="11" width="9.140625" customWidth="1"/>
    <col min="12" max="14" width="9.140625" style="879" hidden="1" customWidth="1"/>
    <col min="15" max="15" width="18.28515625" style="879" hidden="1" customWidth="1"/>
    <col min="16" max="18" width="9.140625" style="879" hidden="1" customWidth="1"/>
    <col min="19" max="26" width="9.140625" customWidth="1"/>
  </cols>
  <sheetData>
    <row r="1" spans="1:29" s="29" customFormat="1" ht="18.75" customHeight="1" x14ac:dyDescent="0.3">
      <c r="A1" s="1434" t="s">
        <v>83</v>
      </c>
      <c r="B1" s="1244"/>
      <c r="C1" s="1244"/>
      <c r="D1"/>
      <c r="E1" s="49"/>
      <c r="F1" s="49"/>
      <c r="G1" s="49"/>
      <c r="H1" s="1517" t="s">
        <v>758</v>
      </c>
      <c r="I1" s="78"/>
      <c r="J1" s="51"/>
      <c r="L1" s="915"/>
      <c r="M1" s="915"/>
      <c r="N1" s="915"/>
      <c r="O1" s="915"/>
      <c r="P1" s="915"/>
      <c r="Q1" s="915"/>
      <c r="R1" s="915"/>
      <c r="AC1" s="29" t="s">
        <v>320</v>
      </c>
    </row>
    <row r="2" spans="1:29" s="29" customFormat="1" ht="12.75" customHeight="1" x14ac:dyDescent="0.2">
      <c r="A2" s="1245" t="s">
        <v>0</v>
      </c>
      <c r="B2" s="1244"/>
      <c r="C2" s="48">
        <f>ProjectName</f>
        <v>0</v>
      </c>
      <c r="D2" s="48"/>
      <c r="H2" s="1517"/>
      <c r="I2" s="78"/>
      <c r="J2" s="51"/>
      <c r="L2" s="915"/>
      <c r="M2" s="915"/>
      <c r="N2" s="924" t="s">
        <v>323</v>
      </c>
      <c r="O2" s="915"/>
      <c r="P2" s="915"/>
      <c r="Q2" s="915"/>
      <c r="R2" s="915"/>
    </row>
    <row r="3" spans="1:29" s="29" customFormat="1" ht="12.75" customHeight="1" x14ac:dyDescent="0.2">
      <c r="A3" s="1246" t="s">
        <v>371</v>
      </c>
      <c r="B3" s="1244"/>
      <c r="C3" s="48">
        <f>ProjectNumber</f>
        <v>0</v>
      </c>
      <c r="D3" s="1527" t="s">
        <v>724</v>
      </c>
      <c r="E3" s="1527"/>
      <c r="F3" s="1527"/>
      <c r="H3" s="1517"/>
      <c r="J3" s="51"/>
      <c r="L3" s="915"/>
      <c r="M3" s="915"/>
      <c r="N3" s="915"/>
      <c r="O3" s="915"/>
      <c r="P3" s="915"/>
      <c r="Q3" s="915"/>
      <c r="R3" s="915"/>
    </row>
    <row r="4" spans="1:29" s="29" customFormat="1" ht="12.75" customHeight="1" x14ac:dyDescent="0.2">
      <c r="A4" s="1245" t="s">
        <v>2</v>
      </c>
      <c r="B4" s="1244"/>
      <c r="C4" s="48">
        <f>PreparedBy</f>
        <v>0</v>
      </c>
      <c r="D4" s="1527"/>
      <c r="E4" s="1527"/>
      <c r="F4" s="1527"/>
      <c r="H4" s="1517"/>
      <c r="J4" s="51"/>
      <c r="L4" s="915"/>
      <c r="M4" s="915"/>
      <c r="N4" s="915"/>
      <c r="O4" s="915"/>
      <c r="P4" s="915"/>
      <c r="Q4" s="915"/>
      <c r="R4" s="915"/>
    </row>
    <row r="5" spans="1:29" s="29" customFormat="1" ht="12.75" customHeight="1" x14ac:dyDescent="0.2">
      <c r="A5" s="1455" t="s">
        <v>3</v>
      </c>
      <c r="B5" s="1456"/>
      <c r="C5" s="88">
        <f ca="1">DateField</f>
        <v>45516</v>
      </c>
      <c r="D5" s="1528"/>
      <c r="E5" s="1528"/>
      <c r="F5" s="1528"/>
      <c r="H5" s="1518"/>
      <c r="I5" s="30"/>
      <c r="J5" s="1440" t="s">
        <v>322</v>
      </c>
      <c r="L5" s="915"/>
      <c r="M5" s="915"/>
      <c r="N5" s="915"/>
      <c r="O5" s="915"/>
      <c r="P5" s="915"/>
      <c r="Q5" s="915"/>
      <c r="R5" s="915"/>
    </row>
    <row r="6" spans="1:29" s="29" customFormat="1" ht="23.1" customHeight="1" x14ac:dyDescent="0.2">
      <c r="A6" s="1451" t="s">
        <v>81</v>
      </c>
      <c r="B6" s="1521" t="s">
        <v>39</v>
      </c>
      <c r="C6" s="1426"/>
      <c r="D6" s="1516" t="s">
        <v>659</v>
      </c>
      <c r="E6" s="1444" t="s">
        <v>84</v>
      </c>
      <c r="F6" s="1444" t="s">
        <v>85</v>
      </c>
      <c r="G6" s="1444" t="s">
        <v>86</v>
      </c>
      <c r="H6" s="93" t="s">
        <v>87</v>
      </c>
      <c r="I6" s="31" t="s">
        <v>190</v>
      </c>
      <c r="J6" s="1441"/>
      <c r="L6" s="915"/>
      <c r="M6" s="915"/>
      <c r="N6" s="915"/>
      <c r="O6" s="915"/>
      <c r="P6" s="915"/>
      <c r="Q6" s="915"/>
      <c r="R6" s="915"/>
    </row>
    <row r="7" spans="1:29" s="29" customFormat="1" ht="23.1" customHeight="1" thickBot="1" x14ac:dyDescent="0.25">
      <c r="A7" s="1452"/>
      <c r="B7" s="1427"/>
      <c r="C7" s="1428"/>
      <c r="D7" s="1450"/>
      <c r="E7" s="1445"/>
      <c r="F7" s="1445"/>
      <c r="G7" s="1445"/>
      <c r="H7" s="102">
        <v>0.06</v>
      </c>
      <c r="I7" s="99" t="s">
        <v>40</v>
      </c>
      <c r="J7" s="1441"/>
      <c r="L7" s="915"/>
      <c r="M7" s="915"/>
      <c r="N7" s="915"/>
      <c r="O7" s="915"/>
      <c r="P7" s="915"/>
      <c r="Q7" s="915"/>
      <c r="R7" s="947" t="s">
        <v>163</v>
      </c>
    </row>
    <row r="8" spans="1:29" s="29" customFormat="1" ht="14.1" customHeight="1" x14ac:dyDescent="0.2">
      <c r="A8" s="496">
        <v>1</v>
      </c>
      <c r="B8" s="1435"/>
      <c r="C8" s="1436"/>
      <c r="D8" s="264">
        <v>1</v>
      </c>
      <c r="E8" s="273" t="s">
        <v>2548</v>
      </c>
      <c r="F8" s="266">
        <v>1</v>
      </c>
      <c r="G8" s="267">
        <v>9</v>
      </c>
      <c r="H8" s="268">
        <f t="shared" ref="H8:H47" si="0">IF(ISTEXT(J8),0,StateTaxProcure*F8*G8)</f>
        <v>0.54</v>
      </c>
      <c r="I8" s="269">
        <f>(F8*G8)+H8</f>
        <v>9.5399999999999991</v>
      </c>
      <c r="J8" s="225"/>
      <c r="L8" s="1524" t="str">
        <f>TabName1 &amp; " Equipment Total"</f>
        <v>Phase 1 Equipment Total</v>
      </c>
      <c r="M8" s="1524"/>
      <c r="N8" s="1524"/>
      <c r="O8" s="922">
        <f>SUMIF(D$8:D$47,R8,I$8:I$47)</f>
        <v>19.079999999999998</v>
      </c>
      <c r="P8" s="915"/>
      <c r="Q8" s="915"/>
      <c r="R8" s="915">
        <f>INDEX(ValidateTable,1)</f>
        <v>1</v>
      </c>
      <c r="S8" s="538" t="s">
        <v>752</v>
      </c>
      <c r="T8" s="526"/>
      <c r="U8" s="526"/>
      <c r="V8" s="532"/>
    </row>
    <row r="9" spans="1:29" ht="14.1" customHeight="1" x14ac:dyDescent="0.2">
      <c r="A9" s="497">
        <v>2</v>
      </c>
      <c r="B9" s="1259"/>
      <c r="C9" s="1437"/>
      <c r="D9" s="138">
        <v>2</v>
      </c>
      <c r="E9" s="92" t="s">
        <v>2548</v>
      </c>
      <c r="F9" s="91">
        <v>1</v>
      </c>
      <c r="G9" s="100">
        <v>9</v>
      </c>
      <c r="H9" s="119">
        <f t="shared" si="0"/>
        <v>0.54</v>
      </c>
      <c r="I9" s="90">
        <f t="shared" ref="I9:I47" si="1">(F9*G9)+H9</f>
        <v>9.5399999999999991</v>
      </c>
      <c r="J9" s="498"/>
      <c r="L9" s="1524" t="str">
        <f>TabName2 &amp; " Equipment Total"</f>
        <v>Phase 2 Equipment Total</v>
      </c>
      <c r="M9" s="1524"/>
      <c r="N9" s="1524"/>
      <c r="O9" s="922">
        <f>SUMIF(D$8:D$47,R9,I$8:I$47)</f>
        <v>19.079999999999998</v>
      </c>
      <c r="R9" s="915">
        <f>INDEX(ValidateTable,2)</f>
        <v>2</v>
      </c>
      <c r="S9" s="533"/>
      <c r="V9" s="534"/>
    </row>
    <row r="10" spans="1:29" ht="14.1" customHeight="1" x14ac:dyDescent="0.2">
      <c r="A10" s="496">
        <v>3</v>
      </c>
      <c r="B10" s="1435"/>
      <c r="C10" s="1436"/>
      <c r="D10" s="264">
        <v>3</v>
      </c>
      <c r="E10" s="274" t="s">
        <v>2548</v>
      </c>
      <c r="F10" s="271">
        <v>1</v>
      </c>
      <c r="G10" s="272">
        <v>9</v>
      </c>
      <c r="H10" s="268">
        <f t="shared" si="0"/>
        <v>0.54</v>
      </c>
      <c r="I10" s="269">
        <f t="shared" si="1"/>
        <v>9.5399999999999991</v>
      </c>
      <c r="J10" s="225"/>
      <c r="L10" s="1524" t="str">
        <f>TabName3 &amp; " Equipment Total"</f>
        <v>Phase 3 Equipment Total</v>
      </c>
      <c r="M10" s="1524"/>
      <c r="N10" s="1524"/>
      <c r="O10" s="922">
        <f>SUMIF(D$8:D$47,R10,I$8:I$47)</f>
        <v>19.079999999999998</v>
      </c>
      <c r="R10" s="915">
        <f>INDEX(ValidateTable,3)</f>
        <v>3</v>
      </c>
      <c r="S10" s="533"/>
      <c r="V10" s="534"/>
    </row>
    <row r="11" spans="1:29" ht="14.1" customHeight="1" x14ac:dyDescent="0.2">
      <c r="A11" s="497">
        <v>4</v>
      </c>
      <c r="B11" s="1423"/>
      <c r="C11" s="1424"/>
      <c r="D11" s="138">
        <v>4</v>
      </c>
      <c r="E11" s="92" t="s">
        <v>2548</v>
      </c>
      <c r="F11" s="91">
        <v>1</v>
      </c>
      <c r="G11" s="100">
        <v>9</v>
      </c>
      <c r="H11" s="119">
        <f t="shared" si="0"/>
        <v>0.54</v>
      </c>
      <c r="I11" s="90">
        <f t="shared" si="1"/>
        <v>9.5399999999999991</v>
      </c>
      <c r="J11" s="225"/>
      <c r="L11" s="1524" t="str">
        <f>TabName4 &amp; " Equipment Total"</f>
        <v>Phase 4 Equipment Total</v>
      </c>
      <c r="M11" s="1524"/>
      <c r="N11" s="1524"/>
      <c r="O11" s="922">
        <f t="shared" ref="O11:O27" si="2">SUMIF(D$8:D$47,R11,I$8:I$47)</f>
        <v>19.079999999999998</v>
      </c>
      <c r="R11" s="915">
        <f>INDEX(ValidateTable,4)</f>
        <v>4</v>
      </c>
      <c r="S11" s="533"/>
      <c r="V11" s="534"/>
    </row>
    <row r="12" spans="1:29" ht="14.1" customHeight="1" x14ac:dyDescent="0.2">
      <c r="A12" s="496">
        <v>5</v>
      </c>
      <c r="B12" s="1419"/>
      <c r="C12" s="1433"/>
      <c r="D12" s="264">
        <v>5</v>
      </c>
      <c r="E12" s="274" t="s">
        <v>2548</v>
      </c>
      <c r="F12" s="271">
        <v>1</v>
      </c>
      <c r="G12" s="272">
        <v>9</v>
      </c>
      <c r="H12" s="268">
        <f t="shared" si="0"/>
        <v>0.54</v>
      </c>
      <c r="I12" s="269">
        <f t="shared" si="1"/>
        <v>9.5399999999999991</v>
      </c>
      <c r="J12" s="225"/>
      <c r="L12" s="1524" t="str">
        <f>TabName5 &amp; " Equipment Total"</f>
        <v>Phase 5 Equipment Total</v>
      </c>
      <c r="M12" s="1524"/>
      <c r="N12" s="1524"/>
      <c r="O12" s="922">
        <f t="shared" si="2"/>
        <v>19.079999999999998</v>
      </c>
      <c r="R12" s="915">
        <f>INDEX(ValidateTable,5)</f>
        <v>5</v>
      </c>
      <c r="S12" s="533"/>
      <c r="V12" s="534"/>
    </row>
    <row r="13" spans="1:29" ht="14.1" customHeight="1" x14ac:dyDescent="0.2">
      <c r="A13" s="497">
        <v>6</v>
      </c>
      <c r="B13" s="1423"/>
      <c r="C13" s="1424"/>
      <c r="D13" s="138">
        <v>6</v>
      </c>
      <c r="E13" s="92" t="s">
        <v>2548</v>
      </c>
      <c r="F13" s="91">
        <v>1</v>
      </c>
      <c r="G13" s="100">
        <v>9</v>
      </c>
      <c r="H13" s="119">
        <f t="shared" si="0"/>
        <v>0.54</v>
      </c>
      <c r="I13" s="90">
        <f t="shared" si="1"/>
        <v>9.5399999999999991</v>
      </c>
      <c r="J13" s="225"/>
      <c r="L13" s="1524" t="str">
        <f>TabName6 &amp; " Equipment Total"</f>
        <v>Phase 6 Equipment Total</v>
      </c>
      <c r="M13" s="1524"/>
      <c r="N13" s="1524"/>
      <c r="O13" s="922">
        <f t="shared" si="2"/>
        <v>19.079999999999998</v>
      </c>
      <c r="R13" s="915">
        <f>INDEX(ValidateTable,6)</f>
        <v>6</v>
      </c>
      <c r="S13" s="533"/>
      <c r="V13" s="534"/>
    </row>
    <row r="14" spans="1:29" ht="14.1" customHeight="1" x14ac:dyDescent="0.2">
      <c r="A14" s="496">
        <v>7</v>
      </c>
      <c r="B14" s="1419"/>
      <c r="C14" s="1433"/>
      <c r="D14" s="264">
        <v>7</v>
      </c>
      <c r="E14" s="274" t="s">
        <v>2548</v>
      </c>
      <c r="F14" s="271">
        <v>1</v>
      </c>
      <c r="G14" s="272">
        <v>9</v>
      </c>
      <c r="H14" s="268">
        <f t="shared" si="0"/>
        <v>0.54</v>
      </c>
      <c r="I14" s="269">
        <f t="shared" si="1"/>
        <v>9.5399999999999991</v>
      </c>
      <c r="J14" s="225"/>
      <c r="L14" s="1524" t="str">
        <f>TabName7 &amp; " Equipment Total"</f>
        <v>Phase 7 Equipment Total</v>
      </c>
      <c r="M14" s="1524"/>
      <c r="N14" s="1524"/>
      <c r="O14" s="922">
        <f t="shared" si="2"/>
        <v>19.079999999999998</v>
      </c>
      <c r="R14" s="915">
        <f>INDEX(ValidateTable,7)</f>
        <v>7</v>
      </c>
      <c r="S14" s="533"/>
      <c r="V14" s="534"/>
    </row>
    <row r="15" spans="1:29" ht="14.1" customHeight="1" x14ac:dyDescent="0.2">
      <c r="A15" s="497">
        <v>8</v>
      </c>
      <c r="B15" s="1423"/>
      <c r="C15" s="1424"/>
      <c r="D15" s="138">
        <v>8</v>
      </c>
      <c r="E15" s="92" t="s">
        <v>2548</v>
      </c>
      <c r="F15" s="91">
        <v>1</v>
      </c>
      <c r="G15" s="100">
        <v>9</v>
      </c>
      <c r="H15" s="119">
        <f t="shared" si="0"/>
        <v>0.54</v>
      </c>
      <c r="I15" s="90">
        <f t="shared" si="1"/>
        <v>9.5399999999999991</v>
      </c>
      <c r="J15" s="225"/>
      <c r="L15" s="1524" t="str">
        <f>TabName8 &amp; " Equipment Total"</f>
        <v>Phase 8 Equipment Total</v>
      </c>
      <c r="M15" s="1524"/>
      <c r="N15" s="1524"/>
      <c r="O15" s="922">
        <f t="shared" si="2"/>
        <v>19.079999999999998</v>
      </c>
      <c r="R15" s="915">
        <f>INDEX(ValidateTable,8)</f>
        <v>8</v>
      </c>
      <c r="S15" s="533"/>
      <c r="V15" s="534"/>
    </row>
    <row r="16" spans="1:29" ht="14.1" customHeight="1" x14ac:dyDescent="0.2">
      <c r="A16" s="496">
        <v>9</v>
      </c>
      <c r="B16" s="1419"/>
      <c r="C16" s="1433"/>
      <c r="D16" s="264">
        <v>9</v>
      </c>
      <c r="E16" s="274" t="s">
        <v>2548</v>
      </c>
      <c r="F16" s="271">
        <v>1</v>
      </c>
      <c r="G16" s="272">
        <v>9</v>
      </c>
      <c r="H16" s="268">
        <f t="shared" si="0"/>
        <v>0.54</v>
      </c>
      <c r="I16" s="269">
        <f t="shared" si="1"/>
        <v>9.5399999999999991</v>
      </c>
      <c r="J16" s="225"/>
      <c r="L16" s="1524" t="str">
        <f>TabName9 &amp; " Equipment Total"</f>
        <v>Phase 9 Equipment Total</v>
      </c>
      <c r="M16" s="1524"/>
      <c r="N16" s="1524"/>
      <c r="O16" s="922">
        <f t="shared" si="2"/>
        <v>19.079999999999998</v>
      </c>
      <c r="R16" s="915">
        <f>INDEX(ValidateTable,9)</f>
        <v>9</v>
      </c>
      <c r="S16" s="533"/>
      <c r="V16" s="534"/>
    </row>
    <row r="17" spans="1:22" ht="14.1" customHeight="1" x14ac:dyDescent="0.2">
      <c r="A17" s="497">
        <v>10</v>
      </c>
      <c r="B17" s="1423"/>
      <c r="C17" s="1424"/>
      <c r="D17" s="138">
        <v>10</v>
      </c>
      <c r="E17" s="92" t="s">
        <v>2548</v>
      </c>
      <c r="F17" s="91">
        <v>1</v>
      </c>
      <c r="G17" s="100">
        <v>9</v>
      </c>
      <c r="H17" s="119">
        <f t="shared" si="0"/>
        <v>0.54</v>
      </c>
      <c r="I17" s="90">
        <f t="shared" si="1"/>
        <v>9.5399999999999991</v>
      </c>
      <c r="J17" s="225"/>
      <c r="L17" s="1524" t="str">
        <f>tabname10 &amp; " Equipment Total"</f>
        <v>Phase 10 Equipment Total</v>
      </c>
      <c r="M17" s="1524"/>
      <c r="N17" s="1524"/>
      <c r="O17" s="922">
        <f t="shared" si="2"/>
        <v>19.079999999999998</v>
      </c>
      <c r="R17" s="915">
        <f>INDEX(ValidateTable,10)</f>
        <v>10</v>
      </c>
      <c r="S17" s="533"/>
      <c r="V17" s="534"/>
    </row>
    <row r="18" spans="1:22" ht="14.1" customHeight="1" x14ac:dyDescent="0.2">
      <c r="A18" s="496">
        <v>11</v>
      </c>
      <c r="B18" s="1419"/>
      <c r="C18" s="1433"/>
      <c r="D18" s="264">
        <v>11</v>
      </c>
      <c r="E18" s="274" t="s">
        <v>2548</v>
      </c>
      <c r="F18" s="271">
        <v>1</v>
      </c>
      <c r="G18" s="272">
        <v>9</v>
      </c>
      <c r="H18" s="268">
        <f t="shared" si="0"/>
        <v>0.54</v>
      </c>
      <c r="I18" s="269">
        <f t="shared" si="1"/>
        <v>9.5399999999999991</v>
      </c>
      <c r="J18" s="225"/>
      <c r="L18" s="879" t="str">
        <f>TabName11&amp; " Equipment Total"</f>
        <v>Phase 11 Equipment Total</v>
      </c>
      <c r="O18" s="922">
        <f t="shared" si="2"/>
        <v>19.079999999999998</v>
      </c>
      <c r="R18" s="879">
        <f>INDEX(ValidateTable,11)</f>
        <v>11</v>
      </c>
      <c r="S18" s="533"/>
      <c r="V18" s="534"/>
    </row>
    <row r="19" spans="1:22" ht="14.1" customHeight="1" x14ac:dyDescent="0.2">
      <c r="A19" s="497">
        <v>12</v>
      </c>
      <c r="B19" s="1423"/>
      <c r="C19" s="1424"/>
      <c r="D19" s="138">
        <v>12</v>
      </c>
      <c r="E19" s="92" t="s">
        <v>2548</v>
      </c>
      <c r="F19" s="91">
        <v>1</v>
      </c>
      <c r="G19" s="100">
        <v>9</v>
      </c>
      <c r="H19" s="119">
        <f t="shared" si="0"/>
        <v>0.54</v>
      </c>
      <c r="I19" s="90">
        <f t="shared" si="1"/>
        <v>9.5399999999999991</v>
      </c>
      <c r="J19" s="225"/>
      <c r="L19" s="879" t="str">
        <f>TabName12&amp; " Equipment Total"</f>
        <v>Phase 12 Equipment Total</v>
      </c>
      <c r="O19" s="922">
        <f t="shared" si="2"/>
        <v>19.079999999999998</v>
      </c>
      <c r="R19" s="879">
        <f>INDEX(ValidateTable,12)</f>
        <v>12</v>
      </c>
      <c r="S19" s="533"/>
      <c r="V19" s="534"/>
    </row>
    <row r="20" spans="1:22" ht="14.1" customHeight="1" x14ac:dyDescent="0.2">
      <c r="A20" s="496">
        <v>13</v>
      </c>
      <c r="B20" s="1419"/>
      <c r="C20" s="1433"/>
      <c r="D20" s="264">
        <v>13</v>
      </c>
      <c r="E20" s="274" t="s">
        <v>2548</v>
      </c>
      <c r="F20" s="271">
        <v>1</v>
      </c>
      <c r="G20" s="272">
        <v>9</v>
      </c>
      <c r="H20" s="268">
        <f t="shared" si="0"/>
        <v>0.54</v>
      </c>
      <c r="I20" s="269">
        <f t="shared" si="1"/>
        <v>9.5399999999999991</v>
      </c>
      <c r="J20" s="225"/>
      <c r="L20" s="879" t="str">
        <f>TabName13&amp; " Equipment Total"</f>
        <v>Phase 13 Equipment Total</v>
      </c>
      <c r="O20" s="922">
        <f t="shared" si="2"/>
        <v>19.079999999999998</v>
      </c>
      <c r="R20" s="879">
        <f>INDEX(ValidateTable,13)</f>
        <v>13</v>
      </c>
      <c r="S20" s="533"/>
      <c r="V20" s="534"/>
    </row>
    <row r="21" spans="1:22" ht="14.1" customHeight="1" x14ac:dyDescent="0.2">
      <c r="A21" s="497">
        <v>14</v>
      </c>
      <c r="B21" s="1423"/>
      <c r="C21" s="1424"/>
      <c r="D21" s="138">
        <v>14</v>
      </c>
      <c r="E21" s="92" t="s">
        <v>2548</v>
      </c>
      <c r="F21" s="91">
        <v>1</v>
      </c>
      <c r="G21" s="100">
        <v>9</v>
      </c>
      <c r="H21" s="119">
        <f t="shared" si="0"/>
        <v>0.54</v>
      </c>
      <c r="I21" s="90">
        <f t="shared" si="1"/>
        <v>9.5399999999999991</v>
      </c>
      <c r="J21" s="225"/>
      <c r="L21" s="879" t="str">
        <f>TabName14&amp; " Equipment Total"</f>
        <v>Phase 14 Equipment Total</v>
      </c>
      <c r="O21" s="922">
        <f t="shared" si="2"/>
        <v>19.079999999999998</v>
      </c>
      <c r="R21" s="879">
        <f>INDEX(ValidateTable,14)</f>
        <v>14</v>
      </c>
      <c r="S21" s="533"/>
      <c r="V21" s="534"/>
    </row>
    <row r="22" spans="1:22" ht="14.1" customHeight="1" x14ac:dyDescent="0.2">
      <c r="A22" s="496">
        <v>15</v>
      </c>
      <c r="B22" s="1419"/>
      <c r="C22" s="1420"/>
      <c r="D22" s="264">
        <v>15</v>
      </c>
      <c r="E22" s="274" t="s">
        <v>2548</v>
      </c>
      <c r="F22" s="271">
        <v>1</v>
      </c>
      <c r="G22" s="272">
        <v>9</v>
      </c>
      <c r="H22" s="268">
        <f t="shared" si="0"/>
        <v>0.54</v>
      </c>
      <c r="I22" s="269">
        <f t="shared" si="1"/>
        <v>9.5399999999999991</v>
      </c>
      <c r="J22" s="225"/>
      <c r="L22" s="879" t="str">
        <f>TabName15&amp; " Equipment Total"</f>
        <v>Phase 15 Equipment Total</v>
      </c>
      <c r="O22" s="922">
        <f t="shared" si="2"/>
        <v>19.079999999999998</v>
      </c>
      <c r="R22" s="879">
        <f>INDEX(ValidateTable,15)</f>
        <v>15</v>
      </c>
      <c r="S22" s="533"/>
      <c r="V22" s="534"/>
    </row>
    <row r="23" spans="1:22" ht="14.1" customHeight="1" x14ac:dyDescent="0.2">
      <c r="A23" s="497">
        <v>16</v>
      </c>
      <c r="B23" s="1423"/>
      <c r="C23" s="1431"/>
      <c r="D23" s="138">
        <v>16</v>
      </c>
      <c r="E23" s="92" t="s">
        <v>2548</v>
      </c>
      <c r="F23" s="91">
        <v>1</v>
      </c>
      <c r="G23" s="100">
        <v>9</v>
      </c>
      <c r="H23" s="119">
        <f t="shared" si="0"/>
        <v>0.54</v>
      </c>
      <c r="I23" s="90">
        <f t="shared" si="1"/>
        <v>9.5399999999999991</v>
      </c>
      <c r="J23" s="225"/>
      <c r="L23" s="879" t="str">
        <f>TabName16&amp; " Equipment Total"</f>
        <v>Phase 16 Equipment Total</v>
      </c>
      <c r="O23" s="922">
        <f t="shared" si="2"/>
        <v>19.079999999999998</v>
      </c>
      <c r="R23" s="879">
        <f>INDEX(ValidateTable,16)</f>
        <v>16</v>
      </c>
      <c r="S23" s="533"/>
      <c r="V23" s="534"/>
    </row>
    <row r="24" spans="1:22" ht="14.1" customHeight="1" x14ac:dyDescent="0.2">
      <c r="A24" s="496">
        <v>17</v>
      </c>
      <c r="B24" s="1419"/>
      <c r="C24" s="1420"/>
      <c r="D24" s="264">
        <v>17</v>
      </c>
      <c r="E24" s="274" t="s">
        <v>2548</v>
      </c>
      <c r="F24" s="271">
        <v>1</v>
      </c>
      <c r="G24" s="272">
        <v>9</v>
      </c>
      <c r="H24" s="268">
        <f t="shared" si="0"/>
        <v>0.54</v>
      </c>
      <c r="I24" s="269">
        <f t="shared" si="1"/>
        <v>9.5399999999999991</v>
      </c>
      <c r="J24" s="225"/>
      <c r="L24" s="879" t="str">
        <f>TabName17&amp; " Equipment Total"</f>
        <v>Phase 17 Equipment Total</v>
      </c>
      <c r="O24" s="922">
        <f t="shared" si="2"/>
        <v>19.079999999999998</v>
      </c>
      <c r="R24" s="879">
        <f>INDEX(ValidateTable,17)</f>
        <v>17</v>
      </c>
      <c r="S24" s="533"/>
      <c r="V24" s="534"/>
    </row>
    <row r="25" spans="1:22" ht="14.1" customHeight="1" x14ac:dyDescent="0.2">
      <c r="A25" s="497">
        <v>18</v>
      </c>
      <c r="B25" s="1423"/>
      <c r="C25" s="1431"/>
      <c r="D25" s="138">
        <v>18</v>
      </c>
      <c r="E25" s="92" t="s">
        <v>2548</v>
      </c>
      <c r="F25" s="91">
        <v>1</v>
      </c>
      <c r="G25" s="100">
        <v>9</v>
      </c>
      <c r="H25" s="119">
        <f t="shared" si="0"/>
        <v>0.54</v>
      </c>
      <c r="I25" s="90">
        <f t="shared" si="1"/>
        <v>9.5399999999999991</v>
      </c>
      <c r="J25" s="225"/>
      <c r="L25" s="879" t="str">
        <f>TabName18&amp; " Equipment Total"</f>
        <v>Phase 18 Equipment Total</v>
      </c>
      <c r="O25" s="922">
        <f t="shared" si="2"/>
        <v>19.079999999999998</v>
      </c>
      <c r="R25" s="879">
        <f>INDEX(ValidateTable,18)</f>
        <v>18</v>
      </c>
      <c r="S25" s="533"/>
      <c r="V25" s="534"/>
    </row>
    <row r="26" spans="1:22" ht="14.1" customHeight="1" x14ac:dyDescent="0.2">
      <c r="A26" s="496">
        <v>19</v>
      </c>
      <c r="B26" s="1419"/>
      <c r="C26" s="1420"/>
      <c r="D26" s="264">
        <v>19</v>
      </c>
      <c r="E26" s="274" t="s">
        <v>2548</v>
      </c>
      <c r="F26" s="271">
        <v>1</v>
      </c>
      <c r="G26" s="272">
        <v>9</v>
      </c>
      <c r="H26" s="268">
        <f t="shared" si="0"/>
        <v>0.54</v>
      </c>
      <c r="I26" s="269">
        <f t="shared" si="1"/>
        <v>9.5399999999999991</v>
      </c>
      <c r="J26" s="225"/>
      <c r="L26" s="879" t="str">
        <f>TabName19 &amp; " Equipment Total"</f>
        <v>Phase 19 Equipment Total</v>
      </c>
      <c r="O26" s="922">
        <f t="shared" si="2"/>
        <v>19.079999999999998</v>
      </c>
      <c r="R26" s="879">
        <f>INDEX(ValidateTable,19)</f>
        <v>19</v>
      </c>
      <c r="S26" s="533"/>
      <c r="V26" s="534"/>
    </row>
    <row r="27" spans="1:22" ht="14.1" customHeight="1" x14ac:dyDescent="0.2">
      <c r="A27" s="497">
        <v>20</v>
      </c>
      <c r="B27" s="1423"/>
      <c r="C27" s="1431"/>
      <c r="D27" s="138">
        <v>20</v>
      </c>
      <c r="E27" s="92" t="s">
        <v>2548</v>
      </c>
      <c r="F27" s="91">
        <v>1</v>
      </c>
      <c r="G27" s="100">
        <v>9</v>
      </c>
      <c r="H27" s="119">
        <f t="shared" si="0"/>
        <v>0.54</v>
      </c>
      <c r="I27" s="90">
        <f t="shared" si="1"/>
        <v>9.5399999999999991</v>
      </c>
      <c r="J27" s="225"/>
      <c r="L27" s="879" t="str">
        <f>TabName20&amp; " Equipment Total"</f>
        <v>Phase 20 Equipment Total</v>
      </c>
      <c r="O27" s="922">
        <f t="shared" si="2"/>
        <v>19.079999999999998</v>
      </c>
      <c r="R27" s="879">
        <f>INDEX(ValidateTable,20)</f>
        <v>20</v>
      </c>
      <c r="S27" s="533"/>
      <c r="V27" s="534"/>
    </row>
    <row r="28" spans="1:22" ht="14.1" customHeight="1" x14ac:dyDescent="0.2">
      <c r="A28" s="496">
        <v>21</v>
      </c>
      <c r="B28" s="1419"/>
      <c r="C28" s="1420"/>
      <c r="D28" s="264">
        <v>1</v>
      </c>
      <c r="E28" s="274" t="s">
        <v>2548</v>
      </c>
      <c r="F28" s="271">
        <v>1</v>
      </c>
      <c r="G28" s="272">
        <v>9</v>
      </c>
      <c r="H28" s="268">
        <f t="shared" si="0"/>
        <v>0.54</v>
      </c>
      <c r="I28" s="269">
        <f t="shared" si="1"/>
        <v>9.5399999999999991</v>
      </c>
      <c r="J28" s="225"/>
      <c r="S28" s="533"/>
      <c r="V28" s="534"/>
    </row>
    <row r="29" spans="1:22" ht="14.1" customHeight="1" x14ac:dyDescent="0.2">
      <c r="A29" s="497">
        <v>22</v>
      </c>
      <c r="B29" s="1423"/>
      <c r="C29" s="1431"/>
      <c r="D29" s="138">
        <v>2</v>
      </c>
      <c r="E29" s="92" t="s">
        <v>2548</v>
      </c>
      <c r="F29" s="91">
        <v>1</v>
      </c>
      <c r="G29" s="100">
        <v>9</v>
      </c>
      <c r="H29" s="119">
        <f t="shared" si="0"/>
        <v>0.54</v>
      </c>
      <c r="I29" s="90">
        <f t="shared" si="1"/>
        <v>9.5399999999999991</v>
      </c>
      <c r="J29" s="225"/>
      <c r="S29" s="533"/>
      <c r="V29" s="534"/>
    </row>
    <row r="30" spans="1:22" ht="14.1" customHeight="1" x14ac:dyDescent="0.2">
      <c r="A30" s="496">
        <v>23</v>
      </c>
      <c r="B30" s="1419"/>
      <c r="C30" s="1420"/>
      <c r="D30" s="264">
        <v>3</v>
      </c>
      <c r="E30" s="274" t="s">
        <v>2548</v>
      </c>
      <c r="F30" s="271">
        <v>1</v>
      </c>
      <c r="G30" s="272">
        <v>9</v>
      </c>
      <c r="H30" s="268">
        <f t="shared" si="0"/>
        <v>0.54</v>
      </c>
      <c r="I30" s="269">
        <f t="shared" si="1"/>
        <v>9.5399999999999991</v>
      </c>
      <c r="J30" s="225"/>
      <c r="S30" s="533"/>
      <c r="V30" s="534"/>
    </row>
    <row r="31" spans="1:22" ht="14.1" customHeight="1" x14ac:dyDescent="0.2">
      <c r="A31" s="497">
        <v>24</v>
      </c>
      <c r="B31" s="1423"/>
      <c r="C31" s="1431"/>
      <c r="D31" s="138">
        <v>4</v>
      </c>
      <c r="E31" s="92" t="s">
        <v>2548</v>
      </c>
      <c r="F31" s="91">
        <v>1</v>
      </c>
      <c r="G31" s="100">
        <v>9</v>
      </c>
      <c r="H31" s="119">
        <f t="shared" si="0"/>
        <v>0.54</v>
      </c>
      <c r="I31" s="90">
        <f t="shared" si="1"/>
        <v>9.5399999999999991</v>
      </c>
      <c r="J31" s="225"/>
      <c r="S31" s="533"/>
      <c r="V31" s="534"/>
    </row>
    <row r="32" spans="1:22" ht="14.1" customHeight="1" x14ac:dyDescent="0.2">
      <c r="A32" s="496">
        <v>25</v>
      </c>
      <c r="B32" s="1419"/>
      <c r="C32" s="1420"/>
      <c r="D32" s="264">
        <v>5</v>
      </c>
      <c r="E32" s="274" t="s">
        <v>2548</v>
      </c>
      <c r="F32" s="271">
        <v>1</v>
      </c>
      <c r="G32" s="272">
        <v>9</v>
      </c>
      <c r="H32" s="268">
        <f t="shared" si="0"/>
        <v>0.54</v>
      </c>
      <c r="I32" s="269">
        <f t="shared" si="1"/>
        <v>9.5399999999999991</v>
      </c>
      <c r="J32" s="225"/>
      <c r="S32" s="533"/>
      <c r="V32" s="534"/>
    </row>
    <row r="33" spans="1:22" ht="14.1" customHeight="1" x14ac:dyDescent="0.2">
      <c r="A33" s="497">
        <v>26</v>
      </c>
      <c r="B33" s="1423"/>
      <c r="C33" s="1431"/>
      <c r="D33" s="138">
        <v>6</v>
      </c>
      <c r="E33" s="92" t="s">
        <v>2548</v>
      </c>
      <c r="F33" s="91">
        <v>1</v>
      </c>
      <c r="G33" s="100">
        <v>9</v>
      </c>
      <c r="H33" s="119">
        <f t="shared" si="0"/>
        <v>0.54</v>
      </c>
      <c r="I33" s="90">
        <f t="shared" si="1"/>
        <v>9.5399999999999991</v>
      </c>
      <c r="J33" s="225"/>
      <c r="S33" s="533"/>
      <c r="V33" s="534"/>
    </row>
    <row r="34" spans="1:22" ht="14.1" customHeight="1" x14ac:dyDescent="0.2">
      <c r="A34" s="496">
        <v>27</v>
      </c>
      <c r="B34" s="1419"/>
      <c r="C34" s="1420"/>
      <c r="D34" s="264">
        <v>7</v>
      </c>
      <c r="E34" s="274" t="s">
        <v>2548</v>
      </c>
      <c r="F34" s="271">
        <v>1</v>
      </c>
      <c r="G34" s="272">
        <v>9</v>
      </c>
      <c r="H34" s="268">
        <f t="shared" si="0"/>
        <v>0.54</v>
      </c>
      <c r="I34" s="269">
        <f t="shared" si="1"/>
        <v>9.5399999999999991</v>
      </c>
      <c r="J34" s="225"/>
      <c r="S34" s="533"/>
      <c r="V34" s="534"/>
    </row>
    <row r="35" spans="1:22" ht="14.1" customHeight="1" x14ac:dyDescent="0.2">
      <c r="A35" s="497">
        <v>28</v>
      </c>
      <c r="B35" s="1423"/>
      <c r="C35" s="1431"/>
      <c r="D35" s="138">
        <v>8</v>
      </c>
      <c r="E35" s="92" t="s">
        <v>2548</v>
      </c>
      <c r="F35" s="91">
        <v>1</v>
      </c>
      <c r="G35" s="100">
        <v>9</v>
      </c>
      <c r="H35" s="119">
        <f t="shared" si="0"/>
        <v>0.54</v>
      </c>
      <c r="I35" s="90">
        <f t="shared" si="1"/>
        <v>9.5399999999999991</v>
      </c>
      <c r="J35" s="225"/>
      <c r="S35" s="533"/>
      <c r="V35" s="534"/>
    </row>
    <row r="36" spans="1:22" ht="14.1" customHeight="1" x14ac:dyDescent="0.2">
      <c r="A36" s="496">
        <v>29</v>
      </c>
      <c r="B36" s="1419"/>
      <c r="C36" s="1420"/>
      <c r="D36" s="264">
        <v>9</v>
      </c>
      <c r="E36" s="274" t="s">
        <v>2548</v>
      </c>
      <c r="F36" s="271">
        <v>1</v>
      </c>
      <c r="G36" s="272">
        <v>9</v>
      </c>
      <c r="H36" s="268">
        <f t="shared" si="0"/>
        <v>0.54</v>
      </c>
      <c r="I36" s="269">
        <f t="shared" si="1"/>
        <v>9.5399999999999991</v>
      </c>
      <c r="J36" s="225"/>
      <c r="S36" s="533"/>
      <c r="V36" s="534"/>
    </row>
    <row r="37" spans="1:22" ht="14.1" customHeight="1" x14ac:dyDescent="0.2">
      <c r="A37" s="497">
        <v>30</v>
      </c>
      <c r="B37" s="1423"/>
      <c r="C37" s="1424"/>
      <c r="D37" s="138">
        <v>10</v>
      </c>
      <c r="E37" s="92" t="s">
        <v>2548</v>
      </c>
      <c r="F37" s="91">
        <v>1</v>
      </c>
      <c r="G37" s="100">
        <v>9</v>
      </c>
      <c r="H37" s="119">
        <f t="shared" si="0"/>
        <v>0.54</v>
      </c>
      <c r="I37" s="90">
        <f t="shared" si="1"/>
        <v>9.5399999999999991</v>
      </c>
      <c r="J37" s="225"/>
      <c r="S37" s="533"/>
      <c r="V37" s="534"/>
    </row>
    <row r="38" spans="1:22" ht="14.1" customHeight="1" x14ac:dyDescent="0.2">
      <c r="A38" s="496">
        <v>31</v>
      </c>
      <c r="B38" s="1419"/>
      <c r="C38" s="1433"/>
      <c r="D38" s="264">
        <v>11</v>
      </c>
      <c r="E38" s="274" t="s">
        <v>2548</v>
      </c>
      <c r="F38" s="271">
        <v>1</v>
      </c>
      <c r="G38" s="272">
        <v>9</v>
      </c>
      <c r="H38" s="268">
        <f t="shared" si="0"/>
        <v>0.54</v>
      </c>
      <c r="I38" s="269">
        <f t="shared" si="1"/>
        <v>9.5399999999999991</v>
      </c>
      <c r="J38" s="225"/>
      <c r="S38" s="533"/>
      <c r="V38" s="534"/>
    </row>
    <row r="39" spans="1:22" ht="14.1" customHeight="1" x14ac:dyDescent="0.2">
      <c r="A39" s="497">
        <v>32</v>
      </c>
      <c r="B39" s="1423"/>
      <c r="C39" s="1424"/>
      <c r="D39" s="138">
        <v>12</v>
      </c>
      <c r="E39" s="92" t="s">
        <v>2548</v>
      </c>
      <c r="F39" s="91">
        <v>1</v>
      </c>
      <c r="G39" s="100">
        <v>9</v>
      </c>
      <c r="H39" s="119">
        <f t="shared" si="0"/>
        <v>0.54</v>
      </c>
      <c r="I39" s="90">
        <f t="shared" si="1"/>
        <v>9.5399999999999991</v>
      </c>
      <c r="J39" s="225"/>
      <c r="S39" s="533"/>
      <c r="V39" s="534"/>
    </row>
    <row r="40" spans="1:22" ht="14.1" customHeight="1" x14ac:dyDescent="0.2">
      <c r="A40" s="496">
        <v>33</v>
      </c>
      <c r="B40" s="1419"/>
      <c r="C40" s="1433"/>
      <c r="D40" s="264">
        <v>13</v>
      </c>
      <c r="E40" s="274" t="s">
        <v>2548</v>
      </c>
      <c r="F40" s="271">
        <v>1</v>
      </c>
      <c r="G40" s="272">
        <v>9</v>
      </c>
      <c r="H40" s="268">
        <f t="shared" si="0"/>
        <v>0.54</v>
      </c>
      <c r="I40" s="269">
        <f t="shared" si="1"/>
        <v>9.5399999999999991</v>
      </c>
      <c r="J40" s="225"/>
      <c r="S40" s="533"/>
      <c r="V40" s="534"/>
    </row>
    <row r="41" spans="1:22" ht="14.1" customHeight="1" x14ac:dyDescent="0.2">
      <c r="A41" s="497">
        <v>34</v>
      </c>
      <c r="B41" s="1423"/>
      <c r="C41" s="1424"/>
      <c r="D41" s="138">
        <v>14</v>
      </c>
      <c r="E41" s="92" t="s">
        <v>2548</v>
      </c>
      <c r="F41" s="91">
        <v>1</v>
      </c>
      <c r="G41" s="100">
        <v>9</v>
      </c>
      <c r="H41" s="119">
        <f t="shared" si="0"/>
        <v>0.54</v>
      </c>
      <c r="I41" s="90">
        <f t="shared" si="1"/>
        <v>9.5399999999999991</v>
      </c>
      <c r="J41" s="225"/>
      <c r="S41" s="533"/>
      <c r="V41" s="534"/>
    </row>
    <row r="42" spans="1:22" ht="14.1" customHeight="1" x14ac:dyDescent="0.2">
      <c r="A42" s="496">
        <v>35</v>
      </c>
      <c r="B42" s="1419"/>
      <c r="C42" s="1433"/>
      <c r="D42" s="264">
        <v>15</v>
      </c>
      <c r="E42" s="274" t="s">
        <v>2548</v>
      </c>
      <c r="F42" s="271">
        <v>1</v>
      </c>
      <c r="G42" s="272">
        <v>9</v>
      </c>
      <c r="H42" s="268">
        <f t="shared" si="0"/>
        <v>0.54</v>
      </c>
      <c r="I42" s="269">
        <f t="shared" si="1"/>
        <v>9.5399999999999991</v>
      </c>
      <c r="J42" s="225"/>
      <c r="S42" s="533"/>
      <c r="V42" s="534"/>
    </row>
    <row r="43" spans="1:22" ht="14.1" customHeight="1" x14ac:dyDescent="0.2">
      <c r="A43" s="497">
        <v>36</v>
      </c>
      <c r="B43" s="1423"/>
      <c r="C43" s="1424"/>
      <c r="D43" s="138">
        <v>16</v>
      </c>
      <c r="E43" s="92" t="s">
        <v>2548</v>
      </c>
      <c r="F43" s="91">
        <v>1</v>
      </c>
      <c r="G43" s="100">
        <v>9</v>
      </c>
      <c r="H43" s="119">
        <f t="shared" si="0"/>
        <v>0.54</v>
      </c>
      <c r="I43" s="90">
        <f t="shared" si="1"/>
        <v>9.5399999999999991</v>
      </c>
      <c r="J43" s="225"/>
      <c r="S43" s="533"/>
      <c r="V43" s="534"/>
    </row>
    <row r="44" spans="1:22" ht="14.1" customHeight="1" x14ac:dyDescent="0.2">
      <c r="A44" s="496">
        <v>37</v>
      </c>
      <c r="B44" s="1419"/>
      <c r="C44" s="1433"/>
      <c r="D44" s="264">
        <v>17</v>
      </c>
      <c r="E44" s="274" t="s">
        <v>2548</v>
      </c>
      <c r="F44" s="271">
        <v>1</v>
      </c>
      <c r="G44" s="272">
        <v>9</v>
      </c>
      <c r="H44" s="268">
        <f t="shared" si="0"/>
        <v>0.54</v>
      </c>
      <c r="I44" s="269">
        <f t="shared" si="1"/>
        <v>9.5399999999999991</v>
      </c>
      <c r="J44" s="225"/>
      <c r="S44" s="533"/>
      <c r="V44" s="534"/>
    </row>
    <row r="45" spans="1:22" ht="14.1" customHeight="1" x14ac:dyDescent="0.2">
      <c r="A45" s="497">
        <v>38</v>
      </c>
      <c r="B45" s="1423"/>
      <c r="C45" s="1424"/>
      <c r="D45" s="138">
        <v>18</v>
      </c>
      <c r="E45" s="92" t="s">
        <v>2548</v>
      </c>
      <c r="F45" s="91">
        <v>1</v>
      </c>
      <c r="G45" s="100">
        <v>9</v>
      </c>
      <c r="H45" s="119">
        <f t="shared" si="0"/>
        <v>0.54</v>
      </c>
      <c r="I45" s="90">
        <f t="shared" si="1"/>
        <v>9.5399999999999991</v>
      </c>
      <c r="J45" s="225"/>
      <c r="S45" s="533"/>
      <c r="V45" s="534"/>
    </row>
    <row r="46" spans="1:22" ht="14.1" customHeight="1" x14ac:dyDescent="0.2">
      <c r="A46" s="496">
        <v>39</v>
      </c>
      <c r="B46" s="1419"/>
      <c r="C46" s="1433"/>
      <c r="D46" s="264">
        <v>19</v>
      </c>
      <c r="E46" s="274" t="s">
        <v>2548</v>
      </c>
      <c r="F46" s="271">
        <v>1</v>
      </c>
      <c r="G46" s="272">
        <v>9</v>
      </c>
      <c r="H46" s="268">
        <f t="shared" si="0"/>
        <v>0.54</v>
      </c>
      <c r="I46" s="269">
        <f t="shared" si="1"/>
        <v>9.5399999999999991</v>
      </c>
      <c r="J46" s="225"/>
      <c r="S46" s="533"/>
      <c r="V46" s="534"/>
    </row>
    <row r="47" spans="1:22" ht="14.1" customHeight="1" thickBot="1" x14ac:dyDescent="0.25">
      <c r="A47" s="497">
        <v>40</v>
      </c>
      <c r="B47" s="1525"/>
      <c r="C47" s="1526"/>
      <c r="D47" s="138">
        <v>20</v>
      </c>
      <c r="E47" s="94" t="s">
        <v>2548</v>
      </c>
      <c r="F47" s="95">
        <v>1</v>
      </c>
      <c r="G47" s="100">
        <v>9</v>
      </c>
      <c r="H47" s="119">
        <f t="shared" si="0"/>
        <v>0.54</v>
      </c>
      <c r="I47" s="90">
        <f t="shared" si="1"/>
        <v>9.5399999999999991</v>
      </c>
      <c r="J47" s="225"/>
      <c r="S47" s="533"/>
      <c r="V47" s="534"/>
    </row>
    <row r="48" spans="1:22" ht="14.25" thickTop="1" thickBot="1" x14ac:dyDescent="0.25">
      <c r="A48" s="96"/>
      <c r="B48" s="1429"/>
      <c r="C48" s="1430"/>
      <c r="D48" s="101"/>
      <c r="E48" s="97"/>
      <c r="F48" s="97"/>
      <c r="G48" s="97"/>
      <c r="H48" s="108">
        <f>SUM(H8:H47)</f>
        <v>21.59999999999998</v>
      </c>
      <c r="I48" s="98">
        <f>SUM(I8:I47)</f>
        <v>381.60000000000014</v>
      </c>
      <c r="S48" s="535"/>
      <c r="T48" s="536"/>
      <c r="U48" s="536"/>
      <c r="V48" s="537"/>
    </row>
    <row r="49" spans="2:4" x14ac:dyDescent="0.2">
      <c r="B49" s="29"/>
      <c r="C49" s="51"/>
      <c r="D49" s="51"/>
    </row>
    <row r="50" spans="2:4" x14ac:dyDescent="0.2">
      <c r="B50" s="29"/>
      <c r="C50" s="51"/>
      <c r="D50" s="51"/>
    </row>
    <row r="51" spans="2:4" x14ac:dyDescent="0.2">
      <c r="B51" s="29"/>
      <c r="C51" s="51"/>
      <c r="D51" s="51"/>
    </row>
    <row r="52" spans="2:4" x14ac:dyDescent="0.2">
      <c r="B52" s="29"/>
      <c r="C52" s="51"/>
      <c r="D52" s="51"/>
    </row>
    <row r="53" spans="2:4" x14ac:dyDescent="0.2">
      <c r="B53" s="29"/>
      <c r="C53" s="51"/>
      <c r="D53" s="51"/>
    </row>
    <row r="54" spans="2:4" x14ac:dyDescent="0.2">
      <c r="B54" s="29"/>
      <c r="C54" s="51"/>
      <c r="D54" s="51"/>
    </row>
    <row r="55" spans="2:4" x14ac:dyDescent="0.2">
      <c r="B55" s="29"/>
      <c r="C55" s="51"/>
      <c r="D55" s="51"/>
    </row>
    <row r="56" spans="2:4" x14ac:dyDescent="0.2">
      <c r="B56" s="29"/>
      <c r="C56" s="51"/>
      <c r="D56" s="51"/>
    </row>
    <row r="57" spans="2:4" x14ac:dyDescent="0.2">
      <c r="B57" s="29"/>
      <c r="C57" s="51"/>
      <c r="D57" s="51"/>
    </row>
    <row r="58" spans="2:4" x14ac:dyDescent="0.2">
      <c r="B58" s="29"/>
      <c r="C58" s="51"/>
      <c r="D58" s="51"/>
    </row>
    <row r="59" spans="2:4" x14ac:dyDescent="0.2">
      <c r="B59" s="29"/>
      <c r="C59" s="51"/>
      <c r="D59" s="51"/>
    </row>
    <row r="60" spans="2:4" x14ac:dyDescent="0.2">
      <c r="B60" s="29"/>
      <c r="C60" s="51"/>
      <c r="D60" s="51"/>
    </row>
    <row r="61" spans="2:4" x14ac:dyDescent="0.2">
      <c r="B61" s="29"/>
      <c r="C61" s="51"/>
      <c r="D61" s="51"/>
    </row>
    <row r="62" spans="2:4" x14ac:dyDescent="0.2">
      <c r="B62" s="29"/>
      <c r="C62" s="51"/>
      <c r="D62" s="51"/>
    </row>
    <row r="63" spans="2:4" x14ac:dyDescent="0.2">
      <c r="B63" s="29"/>
      <c r="C63" s="51"/>
      <c r="D63" s="51"/>
    </row>
    <row r="64" spans="2:4" x14ac:dyDescent="0.2">
      <c r="B64" s="29"/>
      <c r="C64" s="51"/>
      <c r="D64" s="51"/>
    </row>
    <row r="65" spans="2:4" x14ac:dyDescent="0.2">
      <c r="B65" s="29"/>
      <c r="C65" s="51"/>
      <c r="D65" s="51"/>
    </row>
    <row r="66" spans="2:4" x14ac:dyDescent="0.2">
      <c r="B66" s="29"/>
      <c r="C66" s="51"/>
      <c r="D66" s="51"/>
    </row>
    <row r="67" spans="2:4" x14ac:dyDescent="0.2">
      <c r="B67" s="29"/>
      <c r="C67" s="51"/>
      <c r="D67" s="51"/>
    </row>
    <row r="68" spans="2:4" x14ac:dyDescent="0.2">
      <c r="B68" s="29"/>
      <c r="C68" s="51"/>
      <c r="D68" s="51"/>
    </row>
    <row r="69" spans="2:4" x14ac:dyDescent="0.2">
      <c r="B69" s="29"/>
      <c r="C69" s="51"/>
      <c r="D69" s="51"/>
    </row>
    <row r="70" spans="2:4" x14ac:dyDescent="0.2">
      <c r="B70" s="29"/>
      <c r="C70" s="51"/>
      <c r="D70" s="51"/>
    </row>
    <row r="71" spans="2:4" x14ac:dyDescent="0.2">
      <c r="B71" s="29"/>
      <c r="C71" s="51"/>
      <c r="D71" s="51"/>
    </row>
    <row r="72" spans="2:4" x14ac:dyDescent="0.2">
      <c r="B72" s="29"/>
      <c r="C72" s="51"/>
      <c r="D72" s="51"/>
    </row>
    <row r="73" spans="2:4" x14ac:dyDescent="0.2">
      <c r="B73" s="29"/>
      <c r="C73" s="51"/>
      <c r="D73" s="51"/>
    </row>
    <row r="74" spans="2:4" x14ac:dyDescent="0.2">
      <c r="B74" s="29"/>
      <c r="C74" s="51"/>
      <c r="D74" s="51"/>
    </row>
    <row r="75" spans="2:4" x14ac:dyDescent="0.2">
      <c r="B75" s="29"/>
      <c r="C75" s="51"/>
      <c r="D75" s="51"/>
    </row>
    <row r="76" spans="2:4" x14ac:dyDescent="0.2">
      <c r="B76" s="29"/>
      <c r="C76" s="51"/>
      <c r="D76" s="51"/>
    </row>
    <row r="77" spans="2:4" x14ac:dyDescent="0.2">
      <c r="B77" s="29"/>
      <c r="C77" s="51"/>
      <c r="D77" s="51"/>
    </row>
    <row r="78" spans="2:4" x14ac:dyDescent="0.2">
      <c r="B78" s="29"/>
      <c r="C78" s="103"/>
      <c r="D78" s="51"/>
    </row>
    <row r="79" spans="2:4" x14ac:dyDescent="0.2">
      <c r="B79" s="29"/>
      <c r="C79" s="51"/>
      <c r="D79" s="51"/>
    </row>
    <row r="80" spans="2:4" x14ac:dyDescent="0.2">
      <c r="B80" s="29"/>
      <c r="C80" s="51"/>
      <c r="D80" s="51"/>
    </row>
    <row r="81" spans="2:4" x14ac:dyDescent="0.2">
      <c r="B81" s="29"/>
      <c r="C81" s="51"/>
      <c r="D81" s="51"/>
    </row>
    <row r="82" spans="2:4" x14ac:dyDescent="0.2">
      <c r="B82" s="29"/>
      <c r="C82" s="51"/>
      <c r="D82" s="51"/>
    </row>
    <row r="83" spans="2:4" x14ac:dyDescent="0.2">
      <c r="B83" s="29"/>
      <c r="C83" s="51"/>
      <c r="D83" s="51"/>
    </row>
    <row r="84" spans="2:4" x14ac:dyDescent="0.2">
      <c r="B84" s="29"/>
      <c r="C84" s="51"/>
      <c r="D84" s="51"/>
    </row>
    <row r="85" spans="2:4" x14ac:dyDescent="0.2">
      <c r="B85" s="29"/>
      <c r="C85" s="51"/>
      <c r="D85" s="51"/>
    </row>
    <row r="86" spans="2:4" x14ac:dyDescent="0.2">
      <c r="B86" s="29"/>
      <c r="C86" s="51"/>
      <c r="D86" s="51"/>
    </row>
    <row r="87" spans="2:4" x14ac:dyDescent="0.2">
      <c r="B87" s="29"/>
      <c r="C87" s="51"/>
      <c r="D87" s="51"/>
    </row>
    <row r="88" spans="2:4" x14ac:dyDescent="0.2">
      <c r="B88" s="29"/>
      <c r="C88" s="51"/>
      <c r="D88" s="51"/>
    </row>
    <row r="89" spans="2:4" x14ac:dyDescent="0.2">
      <c r="B89" s="29"/>
      <c r="C89" s="51"/>
      <c r="D89" s="51"/>
    </row>
    <row r="90" spans="2:4" x14ac:dyDescent="0.2">
      <c r="B90" s="29"/>
      <c r="C90" s="51"/>
      <c r="D90" s="51"/>
    </row>
    <row r="91" spans="2:4" x14ac:dyDescent="0.2">
      <c r="B91" s="29"/>
      <c r="C91" s="51"/>
      <c r="D91" s="51"/>
    </row>
    <row r="92" spans="2:4" x14ac:dyDescent="0.2">
      <c r="B92" s="29"/>
      <c r="C92" s="51"/>
      <c r="D92" s="51"/>
    </row>
    <row r="93" spans="2:4" x14ac:dyDescent="0.2">
      <c r="B93" s="29"/>
      <c r="C93" s="51"/>
      <c r="D93" s="51"/>
    </row>
    <row r="94" spans="2:4" x14ac:dyDescent="0.2">
      <c r="B94" s="29"/>
      <c r="C94" s="51"/>
      <c r="D94" s="51"/>
    </row>
    <row r="95" spans="2:4" x14ac:dyDescent="0.2">
      <c r="B95" s="29"/>
      <c r="C95" s="51"/>
      <c r="D95" s="51"/>
    </row>
    <row r="96" spans="2:4" x14ac:dyDescent="0.2">
      <c r="B96" s="29"/>
      <c r="C96" s="51"/>
      <c r="D96" s="51"/>
    </row>
    <row r="97" spans="2:4" x14ac:dyDescent="0.2">
      <c r="B97" s="29"/>
      <c r="C97" s="51"/>
      <c r="D97" s="51"/>
    </row>
    <row r="98" spans="2:4" x14ac:dyDescent="0.2">
      <c r="B98" s="29"/>
      <c r="C98" s="51"/>
      <c r="D98" s="51"/>
    </row>
    <row r="99" spans="2:4" x14ac:dyDescent="0.2">
      <c r="B99" s="29"/>
      <c r="C99" s="51"/>
      <c r="D99" s="51"/>
    </row>
    <row r="100" spans="2:4" x14ac:dyDescent="0.2">
      <c r="B100" s="29"/>
      <c r="C100" s="51"/>
      <c r="D100" s="51"/>
    </row>
    <row r="101" spans="2:4" x14ac:dyDescent="0.2">
      <c r="B101" s="29"/>
      <c r="C101" s="51"/>
      <c r="D101" s="51"/>
    </row>
    <row r="102" spans="2:4" x14ac:dyDescent="0.2">
      <c r="B102" s="29"/>
      <c r="C102" s="51"/>
      <c r="D102" s="51"/>
    </row>
    <row r="103" spans="2:4" x14ac:dyDescent="0.2">
      <c r="B103" s="29"/>
      <c r="C103" s="51"/>
      <c r="D103" s="51"/>
    </row>
    <row r="104" spans="2:4" x14ac:dyDescent="0.2">
      <c r="B104" s="29"/>
      <c r="C104" s="51"/>
      <c r="D104" s="51"/>
    </row>
    <row r="105" spans="2:4" x14ac:dyDescent="0.2">
      <c r="B105" s="29"/>
      <c r="C105" s="51"/>
      <c r="D105" s="51"/>
    </row>
    <row r="106" spans="2:4" x14ac:dyDescent="0.2">
      <c r="B106" s="29"/>
      <c r="C106" s="51"/>
      <c r="D106" s="51"/>
    </row>
    <row r="107" spans="2:4" x14ac:dyDescent="0.2">
      <c r="B107" s="29"/>
      <c r="C107" s="51"/>
      <c r="D107" s="51"/>
    </row>
    <row r="108" spans="2:4" x14ac:dyDescent="0.2">
      <c r="B108" s="29"/>
      <c r="C108" s="51"/>
      <c r="D108" s="51"/>
    </row>
    <row r="109" spans="2:4" x14ac:dyDescent="0.2">
      <c r="B109" s="29"/>
      <c r="C109" s="51"/>
      <c r="D109" s="51"/>
    </row>
    <row r="110" spans="2:4" x14ac:dyDescent="0.2">
      <c r="B110" s="29"/>
      <c r="C110" s="51"/>
      <c r="D110" s="51"/>
    </row>
    <row r="111" spans="2:4" x14ac:dyDescent="0.2">
      <c r="B111" s="29"/>
      <c r="C111" s="51"/>
      <c r="D111" s="51"/>
    </row>
    <row r="112" spans="2:4" x14ac:dyDescent="0.2">
      <c r="B112" s="29"/>
      <c r="C112" s="51"/>
      <c r="D112" s="51"/>
    </row>
    <row r="113" spans="2:4" x14ac:dyDescent="0.2">
      <c r="B113" s="29"/>
      <c r="C113" s="51"/>
      <c r="D113" s="51"/>
    </row>
    <row r="114" spans="2:4" x14ac:dyDescent="0.2">
      <c r="B114" s="29"/>
      <c r="C114" s="51"/>
      <c r="D114" s="51"/>
    </row>
    <row r="115" spans="2:4" x14ac:dyDescent="0.2">
      <c r="B115" s="29"/>
      <c r="C115" s="51"/>
      <c r="D115" s="51"/>
    </row>
    <row r="116" spans="2:4" x14ac:dyDescent="0.2">
      <c r="B116" s="29"/>
      <c r="C116" s="51"/>
      <c r="D116" s="51"/>
    </row>
    <row r="117" spans="2:4" x14ac:dyDescent="0.2">
      <c r="B117" s="29"/>
      <c r="C117" s="51"/>
      <c r="D117" s="51"/>
    </row>
    <row r="118" spans="2:4" x14ac:dyDescent="0.2">
      <c r="B118" s="29"/>
      <c r="C118" s="51"/>
      <c r="D118" s="51"/>
    </row>
    <row r="119" spans="2:4" x14ac:dyDescent="0.2">
      <c r="B119" s="29"/>
      <c r="C119" s="51"/>
      <c r="D119" s="51"/>
    </row>
    <row r="120" spans="2:4" x14ac:dyDescent="0.2">
      <c r="B120" s="29"/>
      <c r="C120" s="51"/>
      <c r="D120" s="51"/>
    </row>
    <row r="121" spans="2:4" x14ac:dyDescent="0.2">
      <c r="B121" s="29"/>
      <c r="C121" s="51"/>
      <c r="D121" s="51"/>
    </row>
    <row r="122" spans="2:4" x14ac:dyDescent="0.2">
      <c r="B122" s="29"/>
      <c r="C122" s="51"/>
      <c r="D122" s="51"/>
    </row>
    <row r="123" spans="2:4" x14ac:dyDescent="0.2">
      <c r="B123" s="29"/>
      <c r="C123" s="51"/>
      <c r="D123" s="51"/>
    </row>
    <row r="124" spans="2:4" x14ac:dyDescent="0.2">
      <c r="B124" s="29"/>
      <c r="C124" s="51"/>
      <c r="D124" s="51"/>
    </row>
    <row r="125" spans="2:4" x14ac:dyDescent="0.2">
      <c r="B125" s="29"/>
      <c r="C125" s="51"/>
      <c r="D125" s="51"/>
    </row>
    <row r="126" spans="2:4" x14ac:dyDescent="0.2">
      <c r="B126" s="29"/>
      <c r="C126" s="51"/>
      <c r="D126" s="51"/>
    </row>
    <row r="127" spans="2:4" x14ac:dyDescent="0.2">
      <c r="B127" s="29"/>
      <c r="C127" s="51"/>
      <c r="D127" s="51"/>
    </row>
    <row r="128" spans="2:4" x14ac:dyDescent="0.2">
      <c r="B128" s="29"/>
      <c r="C128" s="51"/>
      <c r="D128" s="51"/>
    </row>
    <row r="129" spans="2:4" x14ac:dyDescent="0.2">
      <c r="B129" s="29"/>
      <c r="C129" s="51"/>
      <c r="D129" s="51"/>
    </row>
    <row r="130" spans="2:4" x14ac:dyDescent="0.2">
      <c r="B130" s="29"/>
      <c r="C130" s="51"/>
      <c r="D130" s="51"/>
    </row>
    <row r="131" spans="2:4" x14ac:dyDescent="0.2">
      <c r="B131" s="29"/>
      <c r="C131" s="51"/>
      <c r="D131" s="51"/>
    </row>
    <row r="132" spans="2:4" x14ac:dyDescent="0.2">
      <c r="B132" s="29"/>
      <c r="C132" s="51"/>
      <c r="D132" s="51"/>
    </row>
    <row r="133" spans="2:4" x14ac:dyDescent="0.2">
      <c r="B133" s="29"/>
      <c r="C133" s="51"/>
      <c r="D133" s="51"/>
    </row>
    <row r="134" spans="2:4" x14ac:dyDescent="0.2">
      <c r="B134" s="29"/>
      <c r="C134" s="51"/>
      <c r="D134" s="51"/>
    </row>
    <row r="135" spans="2:4" x14ac:dyDescent="0.2">
      <c r="B135" s="29"/>
      <c r="C135" s="51"/>
      <c r="D135" s="51"/>
    </row>
    <row r="136" spans="2:4" x14ac:dyDescent="0.2">
      <c r="B136" s="29"/>
      <c r="C136" s="51"/>
      <c r="D136" s="51"/>
    </row>
    <row r="137" spans="2:4" x14ac:dyDescent="0.2">
      <c r="B137" s="29"/>
      <c r="C137" s="51"/>
      <c r="D137" s="51"/>
    </row>
    <row r="138" spans="2:4" x14ac:dyDescent="0.2">
      <c r="B138" s="29"/>
      <c r="C138" s="51"/>
      <c r="D138" s="51"/>
    </row>
    <row r="139" spans="2:4" x14ac:dyDescent="0.2">
      <c r="B139" s="29"/>
      <c r="C139" s="51"/>
      <c r="D139" s="51"/>
    </row>
    <row r="140" spans="2:4" x14ac:dyDescent="0.2">
      <c r="B140" s="29"/>
      <c r="C140" s="51"/>
      <c r="D140" s="51"/>
    </row>
    <row r="141" spans="2:4" x14ac:dyDescent="0.2">
      <c r="B141" s="29"/>
      <c r="C141" s="51"/>
      <c r="D141" s="51"/>
    </row>
    <row r="142" spans="2:4" x14ac:dyDescent="0.2">
      <c r="B142" s="29"/>
      <c r="C142" s="51"/>
      <c r="D142" s="51"/>
    </row>
    <row r="143" spans="2:4" x14ac:dyDescent="0.2">
      <c r="B143" s="29"/>
      <c r="C143" s="51"/>
      <c r="D143" s="51"/>
    </row>
    <row r="144" spans="2:4" x14ac:dyDescent="0.2">
      <c r="B144" s="29"/>
      <c r="C144" s="51"/>
      <c r="D144" s="51"/>
    </row>
    <row r="145" spans="2:4" x14ac:dyDescent="0.2">
      <c r="B145" s="29"/>
      <c r="C145" s="51"/>
      <c r="D145" s="51"/>
    </row>
    <row r="146" spans="2:4" x14ac:dyDescent="0.2">
      <c r="B146" s="29"/>
      <c r="C146" s="51"/>
      <c r="D146" s="51"/>
    </row>
    <row r="147" spans="2:4" x14ac:dyDescent="0.2">
      <c r="B147" s="29"/>
      <c r="C147" s="51"/>
      <c r="D147" s="51"/>
    </row>
    <row r="148" spans="2:4" x14ac:dyDescent="0.2">
      <c r="B148" s="29"/>
      <c r="C148" s="51"/>
      <c r="D148" s="51"/>
    </row>
    <row r="149" spans="2:4" x14ac:dyDescent="0.2">
      <c r="B149" s="29"/>
      <c r="C149" s="51"/>
      <c r="D149" s="51"/>
    </row>
    <row r="150" spans="2:4" x14ac:dyDescent="0.2">
      <c r="B150" s="29"/>
      <c r="C150" s="51"/>
      <c r="D150" s="51"/>
    </row>
    <row r="151" spans="2:4" x14ac:dyDescent="0.2">
      <c r="B151" s="29"/>
      <c r="C151" s="51"/>
      <c r="D151" s="51"/>
    </row>
    <row r="152" spans="2:4" x14ac:dyDescent="0.2">
      <c r="B152" s="29"/>
      <c r="C152" s="51"/>
      <c r="D152" s="51"/>
    </row>
    <row r="153" spans="2:4" x14ac:dyDescent="0.2">
      <c r="B153" s="29"/>
      <c r="C153" s="51"/>
      <c r="D153" s="51"/>
    </row>
    <row r="154" spans="2:4" x14ac:dyDescent="0.2">
      <c r="B154" s="29"/>
      <c r="C154" s="51"/>
      <c r="D154" s="51"/>
    </row>
    <row r="155" spans="2:4" x14ac:dyDescent="0.2">
      <c r="B155" s="29"/>
      <c r="C155" s="51"/>
      <c r="D155" s="51"/>
    </row>
    <row r="156" spans="2:4" x14ac:dyDescent="0.2">
      <c r="B156" s="29"/>
      <c r="C156" s="51"/>
      <c r="D156" s="51"/>
    </row>
    <row r="157" spans="2:4" x14ac:dyDescent="0.2">
      <c r="B157" s="29"/>
      <c r="C157" s="51"/>
      <c r="D157" s="51"/>
    </row>
    <row r="158" spans="2:4" x14ac:dyDescent="0.2">
      <c r="B158" s="29"/>
      <c r="C158" s="51"/>
      <c r="D158" s="51"/>
    </row>
    <row r="159" spans="2:4" x14ac:dyDescent="0.2">
      <c r="B159" s="29"/>
      <c r="C159" s="51"/>
      <c r="D159" s="51"/>
    </row>
    <row r="160" spans="2:4" x14ac:dyDescent="0.2">
      <c r="B160" s="29"/>
      <c r="C160" s="51"/>
      <c r="D160" s="51"/>
    </row>
    <row r="161" spans="2:4" x14ac:dyDescent="0.2">
      <c r="B161" s="29"/>
      <c r="C161" s="51"/>
      <c r="D161" s="51"/>
    </row>
    <row r="162" spans="2:4" x14ac:dyDescent="0.2">
      <c r="B162" s="29"/>
      <c r="C162" s="51"/>
      <c r="D162" s="51"/>
    </row>
    <row r="163" spans="2:4" x14ac:dyDescent="0.2">
      <c r="B163" s="29"/>
      <c r="C163" s="51"/>
      <c r="D163" s="51"/>
    </row>
    <row r="164" spans="2:4" x14ac:dyDescent="0.2">
      <c r="B164" s="29"/>
      <c r="C164" s="51"/>
      <c r="D164" s="51"/>
    </row>
    <row r="165" spans="2:4" x14ac:dyDescent="0.2">
      <c r="B165" s="29"/>
      <c r="C165" s="51"/>
      <c r="D165" s="51"/>
    </row>
    <row r="166" spans="2:4" x14ac:dyDescent="0.2">
      <c r="B166" s="29"/>
      <c r="C166" s="51"/>
      <c r="D166" s="51"/>
    </row>
    <row r="167" spans="2:4" x14ac:dyDescent="0.2">
      <c r="B167" s="29"/>
      <c r="C167" s="51"/>
      <c r="D167" s="51"/>
    </row>
    <row r="168" spans="2:4" x14ac:dyDescent="0.2">
      <c r="B168" s="29"/>
      <c r="C168" s="51"/>
      <c r="D168" s="51"/>
    </row>
    <row r="169" spans="2:4" x14ac:dyDescent="0.2">
      <c r="B169" s="29"/>
      <c r="C169" s="51"/>
      <c r="D169" s="51"/>
    </row>
    <row r="170" spans="2:4" x14ac:dyDescent="0.2">
      <c r="B170" s="29"/>
      <c r="C170" s="51"/>
      <c r="D170" s="51"/>
    </row>
    <row r="171" spans="2:4" x14ac:dyDescent="0.2">
      <c r="B171" s="29"/>
      <c r="C171" s="51"/>
      <c r="D171" s="51"/>
    </row>
    <row r="172" spans="2:4" x14ac:dyDescent="0.2">
      <c r="B172" s="29"/>
      <c r="C172" s="51"/>
      <c r="D172" s="51"/>
    </row>
    <row r="173" spans="2:4" x14ac:dyDescent="0.2">
      <c r="B173" s="29"/>
      <c r="C173" s="51"/>
      <c r="D173" s="51"/>
    </row>
    <row r="174" spans="2:4" x14ac:dyDescent="0.2">
      <c r="B174" s="29"/>
      <c r="C174" s="51"/>
      <c r="D174" s="51"/>
    </row>
    <row r="175" spans="2:4" x14ac:dyDescent="0.2">
      <c r="B175" s="29"/>
      <c r="C175" s="51"/>
      <c r="D175" s="51"/>
    </row>
    <row r="176" spans="2:4" x14ac:dyDescent="0.2">
      <c r="B176" s="29"/>
      <c r="C176" s="51"/>
      <c r="D176" s="51"/>
    </row>
  </sheetData>
  <sheetProtection algorithmName="SHA-512" hashValue="KhVlcwIa/m2qgroe+HV/Jb4qOEs77wRYvoKsJIyCLgv/C7p289llzfYUS3cBuR3/Npm0g9+EO0gZvPOEyzQ3Ng==" saltValue="6FOFNfQ2YRtV22rxO8Dtew==" spinCount="100000" sheet="1" formatRows="0"/>
  <protectedRanges>
    <protectedRange sqref="S8:V48" name="Notes"/>
    <protectedRange sqref="A8:G47" name="Data entry"/>
    <protectedRange sqref="J8:J47" name="Tax Overide"/>
  </protectedRanges>
  <mergeCells count="65">
    <mergeCell ref="L15:N15"/>
    <mergeCell ref="L16:N16"/>
    <mergeCell ref="L17:N17"/>
    <mergeCell ref="A4:B4"/>
    <mergeCell ref="D6:D7"/>
    <mergeCell ref="E6:E7"/>
    <mergeCell ref="F6:F7"/>
    <mergeCell ref="G6:G7"/>
    <mergeCell ref="L11:N11"/>
    <mergeCell ref="L12:N12"/>
    <mergeCell ref="J5:J7"/>
    <mergeCell ref="L8:N8"/>
    <mergeCell ref="L9:N9"/>
    <mergeCell ref="L10:N10"/>
    <mergeCell ref="D3:F5"/>
    <mergeCell ref="H1:H5"/>
    <mergeCell ref="A1:C1"/>
    <mergeCell ref="B10:C10"/>
    <mergeCell ref="A2:B2"/>
    <mergeCell ref="A3:B3"/>
    <mergeCell ref="B35:C35"/>
    <mergeCell ref="B11:C11"/>
    <mergeCell ref="B9:C9"/>
    <mergeCell ref="A5:B5"/>
    <mergeCell ref="A6:A7"/>
    <mergeCell ref="B6:C7"/>
    <mergeCell ref="B8:C8"/>
    <mergeCell ref="B36:C36"/>
    <mergeCell ref="B41:C41"/>
    <mergeCell ref="B12:C12"/>
    <mergeCell ref="B13:C13"/>
    <mergeCell ref="B32:C32"/>
    <mergeCell ref="B33:C33"/>
    <mergeCell ref="B48:C48"/>
    <mergeCell ref="B23:C23"/>
    <mergeCell ref="B24:C24"/>
    <mergeCell ref="B25:C25"/>
    <mergeCell ref="B26:C26"/>
    <mergeCell ref="B27:C27"/>
    <mergeCell ref="B28:C28"/>
    <mergeCell ref="B29:C29"/>
    <mergeCell ref="B39:C39"/>
    <mergeCell ref="B40:C40"/>
    <mergeCell ref="B31:C31"/>
    <mergeCell ref="B47:C47"/>
    <mergeCell ref="B46:C46"/>
    <mergeCell ref="B43:C43"/>
    <mergeCell ref="B42:C42"/>
    <mergeCell ref="B37:C37"/>
    <mergeCell ref="B44:C44"/>
    <mergeCell ref="B45:C45"/>
    <mergeCell ref="L13:N13"/>
    <mergeCell ref="L14:N14"/>
    <mergeCell ref="B22:C22"/>
    <mergeCell ref="B18:C18"/>
    <mergeCell ref="B19:C19"/>
    <mergeCell ref="B16:C16"/>
    <mergeCell ref="B17:C17"/>
    <mergeCell ref="B20:C20"/>
    <mergeCell ref="B21:C21"/>
    <mergeCell ref="B14:C14"/>
    <mergeCell ref="B15:C15"/>
    <mergeCell ref="B34:C34"/>
    <mergeCell ref="B30:C30"/>
    <mergeCell ref="B38:C38"/>
  </mergeCells>
  <phoneticPr fontId="0" type="noConversion"/>
  <conditionalFormatting sqref="D9:D17">
    <cfRule type="expression" dxfId="452" priority="14" stopIfTrue="1">
      <formula>AND(F9&gt;0,ISBLANK(D9))</formula>
    </cfRule>
  </conditionalFormatting>
  <conditionalFormatting sqref="D8">
    <cfRule type="expression" dxfId="451" priority="13" stopIfTrue="1">
      <formula>AND(F8&gt;0,ISBLANK(D8))</formula>
    </cfRule>
  </conditionalFormatting>
  <conditionalFormatting sqref="D19:D27">
    <cfRule type="expression" dxfId="450" priority="6" stopIfTrue="1">
      <formula>AND(F19&gt;0,ISBLANK(D19))</formula>
    </cfRule>
  </conditionalFormatting>
  <conditionalFormatting sqref="D18">
    <cfRule type="expression" dxfId="449" priority="5" stopIfTrue="1">
      <formula>AND(F18&gt;0,ISBLANK(D18))</formula>
    </cfRule>
  </conditionalFormatting>
  <conditionalFormatting sqref="D29:D37">
    <cfRule type="expression" dxfId="448" priority="4" stopIfTrue="1">
      <formula>AND(F29&gt;0,ISBLANK(D29))</formula>
    </cfRule>
  </conditionalFormatting>
  <conditionalFormatting sqref="D28">
    <cfRule type="expression" dxfId="447" priority="3" stopIfTrue="1">
      <formula>AND(F28&gt;0,ISBLANK(D28))</formula>
    </cfRule>
  </conditionalFormatting>
  <conditionalFormatting sqref="D39:D47">
    <cfRule type="expression" dxfId="446" priority="2" stopIfTrue="1">
      <formula>AND(F39&gt;0,ISBLANK(D39))</formula>
    </cfRule>
  </conditionalFormatting>
  <conditionalFormatting sqref="D38">
    <cfRule type="expression" dxfId="445" priority="1" stopIfTrue="1">
      <formula>AND(F38&gt;0,ISBLANK(D38))</formula>
    </cfRule>
  </conditionalFormatting>
  <dataValidations count="3">
    <dataValidation type="list" allowBlank="1" showInputMessage="1" showErrorMessage="1" sqref="D8:D47" xr:uid="{00000000-0002-0000-1500-000000000000}">
      <formula1>ValidateTable</formula1>
    </dataValidation>
    <dataValidation type="custom" allowBlank="1" showInputMessage="1" showErrorMessage="1" sqref="J48" xr:uid="{00000000-0002-0000-1500-000001000000}">
      <formula1>"x"</formula1>
    </dataValidation>
    <dataValidation type="list" allowBlank="1" showInputMessage="1" showErrorMessage="1" sqref="J8:J47" xr:uid="{00000000-0002-0000-1500-000002000000}">
      <formula1>$N$1:$N$2</formula1>
    </dataValidation>
  </dataValidations>
  <printOptions horizontalCentered="1"/>
  <pageMargins left="0.3" right="0.3" top="0.75" bottom="0.75" header="0.5" footer="0.5"/>
  <pageSetup scale="72" orientation="landscape" r:id="rId1"/>
  <headerFooter alignWithMargins="0">
    <oddFooter xml:space="preserve">&amp;R&amp;6&amp;Z&amp;F   &amp;D
&amp;7© 2016 TRC   All rights reserved.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8940F-C124-4961-A9EC-5319E1091E01}">
  <sheetPr codeName="Sheet25">
    <tabColor theme="4"/>
    <pageSetUpPr fitToPage="1"/>
  </sheetPr>
  <dimension ref="A1:F44"/>
  <sheetViews>
    <sheetView workbookViewId="0">
      <selection activeCell="E20" sqref="E20"/>
    </sheetView>
  </sheetViews>
  <sheetFormatPr defaultColWidth="8.7109375" defaultRowHeight="12.75" x14ac:dyDescent="0.2"/>
  <cols>
    <col min="1" max="2" width="8.7109375" style="353"/>
    <col min="3" max="3" width="65.7109375" style="353" customWidth="1"/>
    <col min="4" max="4" width="18.28515625" style="353" customWidth="1"/>
    <col min="5" max="5" width="15.7109375" style="353" customWidth="1"/>
    <col min="6" max="6" width="28.42578125" style="353" customWidth="1"/>
    <col min="7" max="16384" width="8.7109375" style="353"/>
  </cols>
  <sheetData>
    <row r="1" spans="1:6" ht="51" x14ac:dyDescent="0.2">
      <c r="D1" s="691">
        <v>2</v>
      </c>
      <c r="F1" s="676" t="s">
        <v>855</v>
      </c>
    </row>
    <row r="2" spans="1:6" ht="30.6" customHeight="1" thickBot="1" x14ac:dyDescent="0.25">
      <c r="A2" s="676" t="s">
        <v>856</v>
      </c>
      <c r="B2" s="1529" t="s">
        <v>1376</v>
      </c>
      <c r="C2" s="1529"/>
      <c r="D2" s="1529"/>
    </row>
    <row r="3" spans="1:6" ht="15" thickTop="1" thickBot="1" x14ac:dyDescent="0.25">
      <c r="B3" s="677" t="s">
        <v>857</v>
      </c>
      <c r="C3" s="678" t="s">
        <v>858</v>
      </c>
      <c r="D3" s="679" t="s">
        <v>859</v>
      </c>
    </row>
    <row r="4" spans="1:6" ht="16.5" thickTop="1" thickBot="1" x14ac:dyDescent="0.25">
      <c r="B4" s="684"/>
      <c r="C4" s="685" t="s">
        <v>864</v>
      </c>
      <c r="D4" s="680"/>
    </row>
    <row r="5" spans="1:6" ht="14.25" thickTop="1" thickBot="1" x14ac:dyDescent="0.25">
      <c r="B5" s="686" t="s">
        <v>785</v>
      </c>
      <c r="C5" s="687" t="s">
        <v>863</v>
      </c>
      <c r="D5" s="1214" t="str">
        <f>+CONCATENATE("$",E5)</f>
        <v>$363.00</v>
      </c>
      <c r="E5" s="1216" t="str">
        <f>FIXED(+IF(UserLaborDiscountRate&gt;0,(+VLOOKUP($B5,INPUT!$F$4:$L$32,7,FALSE)),(+VLOOKUP($B5,INPUT!$F$4:$K$32,6,FALSE))),D$1)</f>
        <v>363.00</v>
      </c>
    </row>
    <row r="6" spans="1:6" ht="13.5" thickBot="1" x14ac:dyDescent="0.25">
      <c r="B6" s="686" t="s">
        <v>786</v>
      </c>
      <c r="C6" s="687" t="s">
        <v>862</v>
      </c>
      <c r="D6" s="681" t="str">
        <f>+E6</f>
        <v>316.00</v>
      </c>
      <c r="E6" s="682" t="str">
        <f>FIXED(+IF(UserLaborDiscountRate&gt;0,(+VLOOKUP($B6,INPUT!$F$4:$L$32,7,FALSE)),(+VLOOKUP($B6,INPUT!$F$4:$L$32,6,FALSE))),D$1)</f>
        <v>316.00</v>
      </c>
    </row>
    <row r="7" spans="1:6" ht="13.5" thickBot="1" x14ac:dyDescent="0.25">
      <c r="B7" s="686" t="s">
        <v>787</v>
      </c>
      <c r="C7" s="687" t="s">
        <v>861</v>
      </c>
      <c r="D7" s="681" t="str">
        <f>+E7</f>
        <v>283.00</v>
      </c>
      <c r="E7" s="682" t="str">
        <f>FIXED(+IF(UserLaborDiscountRate&gt;0,(+VLOOKUP($B7,INPUT!$F$4:$L$32,7,FALSE)),(+VLOOKUP($B7,INPUT!$F$4:$L$32,6,FALSE))),D$1)</f>
        <v>283.00</v>
      </c>
    </row>
    <row r="8" spans="1:6" ht="13.5" thickBot="1" x14ac:dyDescent="0.25">
      <c r="B8" s="686" t="s">
        <v>788</v>
      </c>
      <c r="C8" s="687" t="s">
        <v>860</v>
      </c>
      <c r="D8" s="681" t="str">
        <f>+E8</f>
        <v>262.00</v>
      </c>
      <c r="E8" s="682" t="str">
        <f>FIXED(+IF(UserLaborDiscountRate&gt;0,(+VLOOKUP($B8,INPUT!$F$4:$L$32,7,FALSE)),(+VLOOKUP($B8,INPUT!$F$4:$L$32,6,FALSE))),D$1)</f>
        <v>262.00</v>
      </c>
    </row>
    <row r="9" spans="1:6" ht="15.75" thickBot="1" x14ac:dyDescent="0.25">
      <c r="B9" s="688"/>
      <c r="C9" s="689" t="s">
        <v>865</v>
      </c>
      <c r="D9" s="683"/>
    </row>
    <row r="10" spans="1:6" ht="13.5" thickBot="1" x14ac:dyDescent="0.25">
      <c r="B10" s="686" t="s">
        <v>789</v>
      </c>
      <c r="C10" s="687" t="s">
        <v>863</v>
      </c>
      <c r="D10" s="1214" t="str">
        <f>+CONCATENATE("$",E10)</f>
        <v>$254.00</v>
      </c>
      <c r="E10" s="1215" t="str">
        <f>FIXED(+IF(UserLaborDiscountRate&gt;0,(+VLOOKUP($B10,INPUT!$F$4:$L$32,7,FALSE)),(+VLOOKUP($B10,INPUT!$F$4:$L$32,6,FALSE))),D$1)</f>
        <v>254.00</v>
      </c>
    </row>
    <row r="11" spans="1:6" ht="13.5" thickBot="1" x14ac:dyDescent="0.25">
      <c r="B11" s="686" t="s">
        <v>790</v>
      </c>
      <c r="C11" s="687" t="s">
        <v>862</v>
      </c>
      <c r="D11" s="681" t="str">
        <f>+E11</f>
        <v>235.00</v>
      </c>
      <c r="E11" s="682" t="str">
        <f>FIXED(+IF(UserLaborDiscountRate&gt;0,(+VLOOKUP($B11,INPUT!$F$4:$L$32,7,FALSE)),(+VLOOKUP($B11,INPUT!$F$4:$L$32,6,FALSE))),D$1)</f>
        <v>235.00</v>
      </c>
    </row>
    <row r="12" spans="1:6" ht="13.5" thickBot="1" x14ac:dyDescent="0.25">
      <c r="B12" s="686" t="s">
        <v>791</v>
      </c>
      <c r="C12" s="687" t="s">
        <v>861</v>
      </c>
      <c r="D12" s="681" t="str">
        <f>+E12</f>
        <v>229.00</v>
      </c>
      <c r="E12" s="682" t="str">
        <f>FIXED(+IF(UserLaborDiscountRate&gt;0,(+VLOOKUP($B12,INPUT!$F$4:$L$32,7,FALSE)),(+VLOOKUP($B12,INPUT!$F$4:$L$32,6,FALSE))),D$1)</f>
        <v>229.00</v>
      </c>
    </row>
    <row r="13" spans="1:6" ht="13.5" thickBot="1" x14ac:dyDescent="0.25">
      <c r="B13" s="686" t="s">
        <v>792</v>
      </c>
      <c r="C13" s="687" t="s">
        <v>860</v>
      </c>
      <c r="D13" s="681" t="str">
        <f>+E13</f>
        <v>219.00</v>
      </c>
      <c r="E13" s="682" t="str">
        <f>FIXED(+IF(UserLaborDiscountRate&gt;0,(+VLOOKUP($B13,INPUT!$F$4:$L$32,7,FALSE)),(+VLOOKUP($B13,INPUT!$F$4:$L$32,6,FALSE))),D$1)</f>
        <v>219.00</v>
      </c>
    </row>
    <row r="14" spans="1:6" ht="15.75" thickBot="1" x14ac:dyDescent="0.25">
      <c r="B14" s="688"/>
      <c r="C14" s="689" t="s">
        <v>866</v>
      </c>
      <c r="D14" s="683"/>
    </row>
    <row r="15" spans="1:6" ht="13.5" thickBot="1" x14ac:dyDescent="0.25">
      <c r="B15" s="686" t="s">
        <v>793</v>
      </c>
      <c r="C15" s="687" t="s">
        <v>863</v>
      </c>
      <c r="D15" s="1214" t="str">
        <f>+CONCATENATE("$",E15)</f>
        <v>$211.00</v>
      </c>
      <c r="E15" s="1215" t="str">
        <f>FIXED(+IF(UserLaborDiscountRate&gt;0,(+VLOOKUP($B15,INPUT!$F$4:$L$32,7,FALSE)),(+VLOOKUP($B15,INPUT!$F$4:$L$32,6,FALSE))),D$1)</f>
        <v>211.00</v>
      </c>
    </row>
    <row r="16" spans="1:6" ht="13.5" thickBot="1" x14ac:dyDescent="0.25">
      <c r="B16" s="686" t="s">
        <v>794</v>
      </c>
      <c r="C16" s="687" t="s">
        <v>862</v>
      </c>
      <c r="D16" s="681" t="str">
        <f>+E16</f>
        <v>201.00</v>
      </c>
      <c r="E16" s="682" t="str">
        <f>FIXED(+IF(UserLaborDiscountRate&gt;0,(+VLOOKUP($B16,INPUT!$F$4:$L$32,7,FALSE)),(+VLOOKUP($B16,INPUT!$F$4:$L$32,6,FALSE))),D$1)</f>
        <v>201.00</v>
      </c>
    </row>
    <row r="17" spans="2:5" ht="13.5" thickBot="1" x14ac:dyDescent="0.25">
      <c r="B17" s="686" t="s">
        <v>795</v>
      </c>
      <c r="C17" s="687" t="s">
        <v>861</v>
      </c>
      <c r="D17" s="681" t="str">
        <f>+E17</f>
        <v>193.00</v>
      </c>
      <c r="E17" s="682" t="str">
        <f>FIXED(+IF(UserLaborDiscountRate&gt;0,(+VLOOKUP($B17,INPUT!$F$4:$L$32,7,FALSE)),(+VLOOKUP($B17,INPUT!$F$4:$L$32,6,FALSE))),D$1)</f>
        <v>193.00</v>
      </c>
    </row>
    <row r="18" spans="2:5" ht="13.5" thickBot="1" x14ac:dyDescent="0.25">
      <c r="B18" s="686" t="s">
        <v>796</v>
      </c>
      <c r="C18" s="687" t="s">
        <v>860</v>
      </c>
      <c r="D18" s="681" t="str">
        <f>+E18</f>
        <v>187.00</v>
      </c>
      <c r="E18" s="682" t="str">
        <f>FIXED(+IF(UserLaborDiscountRate&gt;0,(+VLOOKUP($B18,INPUT!$F$4:$L$32,7,FALSE)),(+VLOOKUP($B18,INPUT!$F$4:$L$32,6,FALSE))),D$1)</f>
        <v>187.00</v>
      </c>
    </row>
    <row r="19" spans="2:5" ht="15.75" thickBot="1" x14ac:dyDescent="0.25">
      <c r="B19" s="688"/>
      <c r="C19" s="689" t="s">
        <v>867</v>
      </c>
      <c r="D19" s="683"/>
    </row>
    <row r="20" spans="2:5" ht="13.5" thickBot="1" x14ac:dyDescent="0.25">
      <c r="B20" s="686" t="s">
        <v>797</v>
      </c>
      <c r="C20" s="687" t="s">
        <v>863</v>
      </c>
      <c r="D20" s="681" t="str">
        <f>+CONCATENATE("$",E20)</f>
        <v>$178.00</v>
      </c>
      <c r="E20" s="682" t="str">
        <f>FIXED(+IF(UserLaborDiscountRate&gt;0,(+VLOOKUP($B20,INPUT!$F$4:$L$32,7,FALSE)),(+VLOOKUP($B20,INPUT!$F$4:$L$32,6,FALSE))),D$1)</f>
        <v>178.00</v>
      </c>
    </row>
    <row r="21" spans="2:5" ht="13.5" thickBot="1" x14ac:dyDescent="0.25">
      <c r="B21" s="686" t="s">
        <v>798</v>
      </c>
      <c r="C21" s="687" t="s">
        <v>862</v>
      </c>
      <c r="D21" s="681" t="str">
        <f>+E21</f>
        <v>169.00</v>
      </c>
      <c r="E21" s="682" t="str">
        <f>FIXED(+IF(UserLaborDiscountRate&gt;0,(+VLOOKUP($B21,INPUT!$F$4:$L$32,7,FALSE)),(+VLOOKUP($B21,INPUT!$F$4:$L$32,6,FALSE))),D$1)</f>
        <v>169.00</v>
      </c>
    </row>
    <row r="22" spans="2:5" ht="13.5" thickBot="1" x14ac:dyDescent="0.25">
      <c r="B22" s="686" t="s">
        <v>799</v>
      </c>
      <c r="C22" s="687" t="s">
        <v>861</v>
      </c>
      <c r="D22" s="681" t="str">
        <f>+E22</f>
        <v>162.00</v>
      </c>
      <c r="E22" s="682" t="str">
        <f>FIXED(+IF(UserLaborDiscountRate&gt;0,(+VLOOKUP($B22,INPUT!$F$4:$L$32,7,FALSE)),(+VLOOKUP($B22,INPUT!$F$4:$L$32,6,FALSE))),D$1)</f>
        <v>162.00</v>
      </c>
    </row>
    <row r="23" spans="2:5" ht="13.5" thickBot="1" x14ac:dyDescent="0.25">
      <c r="B23" s="686" t="s">
        <v>800</v>
      </c>
      <c r="C23" s="687" t="s">
        <v>860</v>
      </c>
      <c r="D23" s="681" t="str">
        <f>+E23</f>
        <v>155.00</v>
      </c>
      <c r="E23" s="682" t="str">
        <f>FIXED(+IF(UserLaborDiscountRate&gt;0,(+VLOOKUP($B23,INPUT!$F$4:$L$32,7,FALSE)),(+VLOOKUP($B23,INPUT!$F$4:$L$32,6,FALSE))),D$1)</f>
        <v>155.00</v>
      </c>
    </row>
    <row r="24" spans="2:5" ht="15.75" thickBot="1" x14ac:dyDescent="0.25">
      <c r="B24" s="688"/>
      <c r="C24" s="689" t="s">
        <v>868</v>
      </c>
      <c r="D24" s="683"/>
    </row>
    <row r="25" spans="2:5" ht="13.5" thickBot="1" x14ac:dyDescent="0.25">
      <c r="B25" s="686" t="s">
        <v>801</v>
      </c>
      <c r="C25" s="687" t="s">
        <v>863</v>
      </c>
      <c r="D25" s="681" t="str">
        <f>+CONCATENATE("$",E25)</f>
        <v>$147.00</v>
      </c>
      <c r="E25" s="682" t="str">
        <f>FIXED(+IF(UserLaborDiscountRate&gt;0,(+VLOOKUP($B25,INPUT!$F$4:$L$32,7,FALSE)),(+VLOOKUP($B25,INPUT!$F$4:$L$32,6,FALSE))),D$1)</f>
        <v>147.00</v>
      </c>
    </row>
    <row r="26" spans="2:5" ht="13.5" thickBot="1" x14ac:dyDescent="0.25">
      <c r="B26" s="686" t="s">
        <v>802</v>
      </c>
      <c r="C26" s="687" t="s">
        <v>862</v>
      </c>
      <c r="D26" s="681" t="str">
        <f>+E26</f>
        <v>139.00</v>
      </c>
      <c r="E26" s="682" t="str">
        <f>FIXED(+IF(UserLaborDiscountRate&gt;0,(+VLOOKUP($B26,INPUT!$F$4:$L$32,7,FALSE)),(+VLOOKUP($B26,INPUT!$F$4:$L$32,6,FALSE))),D$1)</f>
        <v>139.00</v>
      </c>
    </row>
    <row r="27" spans="2:5" ht="13.5" thickBot="1" x14ac:dyDescent="0.25">
      <c r="B27" s="686" t="s">
        <v>803</v>
      </c>
      <c r="C27" s="687" t="s">
        <v>861</v>
      </c>
      <c r="D27" s="681" t="str">
        <f>+E27</f>
        <v>133.00</v>
      </c>
      <c r="E27" s="682" t="str">
        <f>FIXED(+IF(UserLaborDiscountRate&gt;0,(+VLOOKUP($B27,INPUT!$F$4:$L$32,7,FALSE)),(+VLOOKUP($B27,INPUT!$F$4:$L$32,6,FALSE))),D$1)</f>
        <v>133.00</v>
      </c>
    </row>
    <row r="28" spans="2:5" ht="13.5" thickBot="1" x14ac:dyDescent="0.25">
      <c r="B28" s="686" t="s">
        <v>804</v>
      </c>
      <c r="C28" s="687" t="s">
        <v>860</v>
      </c>
      <c r="D28" s="681" t="str">
        <f>+E28</f>
        <v>123.00</v>
      </c>
      <c r="E28" s="682" t="str">
        <f>FIXED(+IF(UserLaborDiscountRate&gt;0,(+VLOOKUP($B28,INPUT!$F$4:$L$32,7,FALSE)),(+VLOOKUP($B28,INPUT!$F$4:$L$32,6,FALSE))),D$1)</f>
        <v>123.00</v>
      </c>
    </row>
    <row r="29" spans="2:5" ht="30.75" thickBot="1" x14ac:dyDescent="0.25">
      <c r="B29" s="688"/>
      <c r="C29" s="689" t="s">
        <v>869</v>
      </c>
      <c r="D29" s="683"/>
    </row>
    <row r="30" spans="2:5" ht="13.5" thickBot="1" x14ac:dyDescent="0.25">
      <c r="B30" s="686" t="s">
        <v>805</v>
      </c>
      <c r="C30" s="687" t="s">
        <v>870</v>
      </c>
      <c r="D30" s="681" t="str">
        <f>+CONCATENATE("$",E30)</f>
        <v>$117.00</v>
      </c>
      <c r="E30" s="682" t="str">
        <f>FIXED(+IF(UserLaborDiscountRate&gt;0,(+VLOOKUP($B30,INPUT!$F$4:$L$32,7,FALSE)),(+VLOOKUP($B30,INPUT!$F$4:$L$32,6,FALSE))),D$1)</f>
        <v>117.00</v>
      </c>
    </row>
    <row r="31" spans="2:5" ht="13.5" thickBot="1" x14ac:dyDescent="0.25">
      <c r="B31" s="686" t="s">
        <v>806</v>
      </c>
      <c r="C31" s="687" t="s">
        <v>871</v>
      </c>
      <c r="D31" s="681" t="str">
        <f t="shared" ref="D31:D37" si="0">+E31</f>
        <v>110.00</v>
      </c>
      <c r="E31" s="682" t="str">
        <f>FIXED(+IF(UserLaborDiscountRate&gt;0,(+VLOOKUP($B31,INPUT!$F$4:$L$32,7,FALSE)),(+VLOOKUP($B31,INPUT!$F$4:$L$32,6,FALSE))),D$1)</f>
        <v>110.00</v>
      </c>
    </row>
    <row r="32" spans="2:5" ht="13.5" thickBot="1" x14ac:dyDescent="0.25">
      <c r="B32" s="686" t="s">
        <v>807</v>
      </c>
      <c r="C32" s="687" t="s">
        <v>872</v>
      </c>
      <c r="D32" s="681" t="str">
        <f t="shared" si="0"/>
        <v>101.00</v>
      </c>
      <c r="E32" s="682" t="str">
        <f>FIXED(+IF(UserLaborDiscountRate&gt;0,(+VLOOKUP($B32,INPUT!$F$4:$L$32,7,FALSE)),(+VLOOKUP($B32,INPUT!$F$4:$L$32,6,FALSE))),D$1)</f>
        <v>101.00</v>
      </c>
    </row>
    <row r="33" spans="1:6" ht="13.5" thickBot="1" x14ac:dyDescent="0.25">
      <c r="B33" s="686" t="s">
        <v>808</v>
      </c>
      <c r="C33" s="687" t="s">
        <v>873</v>
      </c>
      <c r="D33" s="681" t="str">
        <f t="shared" si="0"/>
        <v>94.00</v>
      </c>
      <c r="E33" s="682" t="str">
        <f>FIXED(+IF(UserLaborDiscountRate&gt;0,(+VLOOKUP($B33,INPUT!$F$4:$L$32,7,FALSE)),(+VLOOKUP($B33,INPUT!$F$4:$L$32,6,FALSE))),D$1)</f>
        <v>94.00</v>
      </c>
    </row>
    <row r="34" spans="1:6" ht="13.5" thickBot="1" x14ac:dyDescent="0.25">
      <c r="B34" s="686" t="s">
        <v>809</v>
      </c>
      <c r="C34" s="687" t="s">
        <v>863</v>
      </c>
      <c r="D34" s="681" t="str">
        <f t="shared" si="0"/>
        <v>85.00</v>
      </c>
      <c r="E34" s="682" t="str">
        <f>FIXED(+IF(UserLaborDiscountRate&gt;0,(+VLOOKUP($B34,INPUT!$F$4:$L$32,7,FALSE)),(+VLOOKUP($B34,INPUT!$F$4:$L$32,6,FALSE))),D$1)</f>
        <v>85.00</v>
      </c>
    </row>
    <row r="35" spans="1:6" ht="13.5" thickBot="1" x14ac:dyDescent="0.25">
      <c r="B35" s="686" t="s">
        <v>810</v>
      </c>
      <c r="C35" s="687" t="s">
        <v>862</v>
      </c>
      <c r="D35" s="681" t="str">
        <f t="shared" si="0"/>
        <v>78.00</v>
      </c>
      <c r="E35" s="682" t="str">
        <f>FIXED(+IF(UserLaborDiscountRate&gt;0,(+VLOOKUP($B35,INPUT!$F$4:$L$32,7,FALSE)),(+VLOOKUP($B35,INPUT!$F$4:$L$32,6,FALSE))),D$1)</f>
        <v>78.00</v>
      </c>
    </row>
    <row r="36" spans="1:6" ht="13.5" thickBot="1" x14ac:dyDescent="0.25">
      <c r="B36" s="686" t="s">
        <v>811</v>
      </c>
      <c r="C36" s="687" t="s">
        <v>861</v>
      </c>
      <c r="D36" s="681" t="str">
        <f t="shared" si="0"/>
        <v>71.00</v>
      </c>
      <c r="E36" s="682" t="str">
        <f>FIXED(+IF(UserLaborDiscountRate&gt;0,(+VLOOKUP($B36,INPUT!$F$4:$L$32,7,FALSE)),(+VLOOKUP($B36,INPUT!$F$4:$L$32,6,FALSE))),D$1)</f>
        <v>71.00</v>
      </c>
      <c r="F36"/>
    </row>
    <row r="37" spans="1:6" ht="13.5" thickBot="1" x14ac:dyDescent="0.25">
      <c r="B37" s="686" t="s">
        <v>812</v>
      </c>
      <c r="C37" s="687" t="s">
        <v>860</v>
      </c>
      <c r="D37" s="681" t="str">
        <f t="shared" si="0"/>
        <v>57.00</v>
      </c>
      <c r="E37" s="682" t="str">
        <f>FIXED(+IF(UserLaborDiscountRate&gt;0,(+VLOOKUP($B37,INPUT!$F$4:$L$32,7,FALSE)),(+VLOOKUP($B37,INPUT!$F$4:$L$32,6,FALSE))),D$1)</f>
        <v>57.00</v>
      </c>
      <c r="F37"/>
    </row>
    <row r="38" spans="1:6" x14ac:dyDescent="0.2">
      <c r="A38" s="1530" t="s">
        <v>856</v>
      </c>
      <c r="B38" s="1531" t="s">
        <v>1319</v>
      </c>
      <c r="C38" s="1531"/>
      <c r="D38" s="1531"/>
      <c r="F38"/>
    </row>
    <row r="39" spans="1:6" ht="45.4" customHeight="1" x14ac:dyDescent="0.2">
      <c r="A39" s="1530"/>
      <c r="B39" s="1532" t="s">
        <v>1320</v>
      </c>
      <c r="C39" s="1532"/>
      <c r="D39" s="1532"/>
      <c r="F39"/>
    </row>
    <row r="40" spans="1:6" x14ac:dyDescent="0.2">
      <c r="A40" s="1530"/>
      <c r="B40" s="1532" t="s">
        <v>1321</v>
      </c>
      <c r="C40" s="1532"/>
      <c r="D40" s="1532"/>
      <c r="F40"/>
    </row>
    <row r="41" spans="1:6" ht="12.4" customHeight="1" x14ac:dyDescent="0.2">
      <c r="A41" s="1530"/>
      <c r="B41" s="1532" t="s">
        <v>1322</v>
      </c>
      <c r="C41" s="1532"/>
      <c r="D41" s="1532"/>
      <c r="F41"/>
    </row>
    <row r="42" spans="1:6" ht="12.4" customHeight="1" x14ac:dyDescent="0.2">
      <c r="A42" s="1530"/>
      <c r="B42" s="1532" t="s">
        <v>1323</v>
      </c>
      <c r="C42" s="1532"/>
      <c r="D42" s="1532"/>
      <c r="F42" s="690"/>
    </row>
    <row r="43" spans="1:6" ht="12.4" customHeight="1" x14ac:dyDescent="0.2">
      <c r="A43" s="1530"/>
      <c r="B43" s="1532" t="s">
        <v>1324</v>
      </c>
      <c r="C43" s="1532"/>
      <c r="D43" s="1532"/>
      <c r="F43" s="690"/>
    </row>
    <row r="44" spans="1:6" ht="12.4" customHeight="1" x14ac:dyDescent="0.2">
      <c r="A44" s="1530"/>
      <c r="B44" s="1532" t="s">
        <v>1325</v>
      </c>
      <c r="C44" s="1532"/>
      <c r="D44" s="1532"/>
      <c r="F44" s="690"/>
    </row>
  </sheetData>
  <mergeCells count="9">
    <mergeCell ref="B2:D2"/>
    <mergeCell ref="A38:A44"/>
    <mergeCell ref="B38:D38"/>
    <mergeCell ref="B39:D39"/>
    <mergeCell ref="B41:D41"/>
    <mergeCell ref="B42:D42"/>
    <mergeCell ref="B43:D43"/>
    <mergeCell ref="B44:D44"/>
    <mergeCell ref="B40:D40"/>
  </mergeCells>
  <pageMargins left="0.7" right="0.7" top="0.75" bottom="0.75" header="0.3" footer="0.3"/>
  <pageSetup scale="70" fitToHeight="0"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80733-C45A-4707-ACD4-F7F4CE6DE4A4}">
  <sheetPr syncVertical="1" syncRef="A10" transitionEvaluation="1" transitionEntry="1" codeName="Sheet28">
    <pageSetUpPr fitToPage="1"/>
  </sheetPr>
  <dimension ref="A1:XFD169"/>
  <sheetViews>
    <sheetView view="pageBreakPreview" zoomScale="70" zoomScaleNormal="70" zoomScaleSheetLayoutView="70" workbookViewId="0">
      <pane ySplit="9" topLeftCell="A10" activePane="bottomLeft" state="frozen"/>
      <selection pane="bottomLeft" activeCell="A6" sqref="A6:A7"/>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f>
        <v>Phase Name 1</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v>1</v>
      </c>
      <c r="E17" s="411">
        <v>1</v>
      </c>
      <c r="F17" s="411">
        <v>1</v>
      </c>
      <c r="G17" s="411">
        <v>1</v>
      </c>
      <c r="H17" s="411">
        <v>1</v>
      </c>
      <c r="I17" s="411">
        <v>1</v>
      </c>
      <c r="J17" s="411">
        <v>1</v>
      </c>
      <c r="K17" s="411">
        <v>1</v>
      </c>
      <c r="L17" s="411">
        <v>1</v>
      </c>
      <c r="M17" s="411">
        <v>1</v>
      </c>
      <c r="N17" s="411">
        <v>1</v>
      </c>
      <c r="O17" s="411">
        <v>1</v>
      </c>
      <c r="P17" s="411">
        <v>1</v>
      </c>
      <c r="Q17" s="411">
        <v>1</v>
      </c>
      <c r="R17" s="411">
        <v>1</v>
      </c>
      <c r="S17" s="411">
        <v>1</v>
      </c>
      <c r="T17" s="411">
        <v>1</v>
      </c>
      <c r="U17" s="411">
        <v>1</v>
      </c>
      <c r="V17" s="411">
        <v>1</v>
      </c>
      <c r="W17" s="411">
        <v>1</v>
      </c>
      <c r="X17" s="411">
        <v>1</v>
      </c>
      <c r="Y17" s="411">
        <v>1</v>
      </c>
      <c r="Z17" s="411">
        <v>1</v>
      </c>
      <c r="AA17" s="411">
        <v>1</v>
      </c>
      <c r="AB17" s="411">
        <v>1</v>
      </c>
      <c r="AC17" s="411">
        <v>1</v>
      </c>
      <c r="AD17" s="411">
        <v>1</v>
      </c>
      <c r="AE17" s="411">
        <v>1</v>
      </c>
      <c r="AF17" s="261">
        <f t="shared" ref="AF17:AF26" si="2">(D$7*D17)+(E$7*E17)+(F$7*F17)+(G$7*G17)+(H$7*H17)+(I$7*I17)+(J$7*J17)+(K$7*K17)+(L$7*L17)+(M$7*M17)+(N$7*N17)+(O$7*O17)+(P$7*P17)+(Q$7*Q17)+(R$7*R17)+(S$7*S17)+(T$7*T17)+(U$7*U17)+(V$7*V17)+(W$7*W17)+(X$7*X17)+(Y$7*Y17)+(Z$7*Z17)+(AA$7*AA17)+(AB$7*AB17)+(AC$7*AC17)+(AD$7*AD17)+(AE$7*AE17)</f>
        <v>4872</v>
      </c>
      <c r="AG17" s="262">
        <f>AF17</f>
        <v>4872</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v>1</v>
      </c>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363</v>
      </c>
      <c r="AG21" s="992">
        <f t="shared" si="3"/>
        <v>5235</v>
      </c>
    </row>
    <row r="22" spans="1:34" s="980" customFormat="1" ht="18" customHeight="1" x14ac:dyDescent="0.2">
      <c r="A22" s="978">
        <v>6</v>
      </c>
      <c r="B22" s="1235"/>
      <c r="C22" s="1236"/>
      <c r="D22" s="491">
        <v>1</v>
      </c>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363</v>
      </c>
      <c r="AG22" s="988">
        <f t="shared" si="3"/>
        <v>5598</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5598</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5598</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5598</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5598</v>
      </c>
    </row>
    <row r="27" spans="1:34" ht="15" customHeight="1" x14ac:dyDescent="0.2">
      <c r="A27" s="981"/>
      <c r="B27" s="1237" t="str">
        <f>UPPER($A$1) &amp; "   " &amp; UPPER($AK$1) &amp; " TOTAL (HOURS) "</f>
        <v xml:space="preserve">PHASE   PAGE 1 TOTAL (HOURS) </v>
      </c>
      <c r="C27" s="1238"/>
      <c r="D27" s="982">
        <f t="shared" ref="D27:AE27" si="4">SUM(D16:D26)</f>
        <v>3</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1089</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5598</v>
      </c>
    </row>
    <row r="29" spans="1:34" ht="13.5" thickBot="1" x14ac:dyDescent="0.25">
      <c r="D29" s="51">
        <f>SUM(D16:D25)</f>
        <v>3</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260.18542380000008</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335.55245999999994</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1652.412360254275</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493.26211619999992</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2429.0461695737854</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f>IFERROR(E1DirectLaborTotal,0)+IFERROR(E2DirectLaborTotal,0)+IFERROR(E3DirectLaborTotal,0)+IFERROR(E4DirectLaborTotal,0)+IFERROR(E5DirectLaborTotal,0)+IFERROR(E6DirectLaborTotal,0)+IFERROR(E7DirectLaborTotal,0)+IFERROR(E8DirectLaborTotal,0)+IFERROR(E9DirectLaborTotal,0)+IFERROR(E10DirectLaborTotal,0)+IFERROR(E11DirectLaborTotal,0)+IFERROR(E12DirectLaborTotal,0)+IFERROR(E13DirectLaborTotal,0)+IFERROR(E14DirectLaborTotal,0)+IFERROR(E15DirectLaborTotal,0)+IFERROR(E16DirectLaborTotal,0)+IFERROR(E17DirectLaborTotal,0)+IFERROR(E18DirectLaborTotal,0)+IFERROR(E19DirectLaborTotal,0)+IFERROR(E20DirectLaborTotal,0)</f>
        <v>28969.169169957575</v>
      </c>
      <c r="AH40" s="29" t="s">
        <v>2350</v>
      </c>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f>IFERROR(E1OverheadTotal,0)+IFERROR(E2OverheadTotal,0)+IFERROR(E3OverheadTotal,0)+IFERROR(E4OverheadTotal,0)+IFERROR(E5OverheadTotal,0)+IFERROR(E6OverheadTotal,0)+IFERROR(E7OverheadTotal,0)+IFERROR(E8OverheadTotal,0)+IFERROR(E9OverheadTotal,0)+IFERROR(E10OverheadTotal,0)+IFERROR(E11OverheadTotal,0)+IFERROR(E12OverheadTotal,0)+IFERROR(E13OverheadTotal,0)+IFERROR(E14OverheadTotal,0)+IFERROR(E15OverheadTotal,0)+IFERROR(E16OverheadTotal,0)+IFERROR(E17OverheadTotal,0)+IFERROR(E18OverheadTotal,0)+IFERROR(E19OverheadTotal,0)+IFERROR(E20OverheadTotal,0)</f>
        <v>42584.678679837605</v>
      </c>
      <c r="AH42" s="29" t="s">
        <v>2351</v>
      </c>
    </row>
    <row r="43" spans="1:34" ht="12.75" hidden="1" customHeight="1" x14ac:dyDescent="0.2">
      <c r="A43" s="914"/>
      <c r="B43" s="940"/>
      <c r="C43" s="930" t="s">
        <v>753</v>
      </c>
      <c r="D43" s="931">
        <f t="shared" ref="D43:AE43" si="9">SUMIF($D$5:$AE$5,D42,$D$27:$AE$27)</f>
        <v>3</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1089</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5598</v>
      </c>
    </row>
    <row r="45" spans="1:34" ht="12.75" hidden="1" customHeight="1" x14ac:dyDescent="0.2">
      <c r="A45" s="914"/>
      <c r="B45" s="915"/>
      <c r="C45" s="916" t="s">
        <v>671</v>
      </c>
      <c r="D45" s="937">
        <f t="shared" ref="D45:AE45" si="11">SUMIF($D$5:$AE$5,D42,$D$35:$AE$35)</f>
        <v>335.55245999999994</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493.26211619999992</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s="406" customFormat="1" ht="12.75" hidden="1" customHeight="1" x14ac:dyDescent="0.2">
      <c r="A48" s="914"/>
      <c r="B48" s="926"/>
      <c r="C48" s="930" t="s">
        <v>673</v>
      </c>
      <c r="D48" s="938" cm="1">
        <f t="array" ref="D48">D45+IFERROR(E2DirectLaborD45,0)+IFERROR(E3DirectLaborD45,0)+IFERROR(E4DirectLaborD45,0)+IFERROR(E5DirectLaborD45,0)+IFERROR(E6DirectLaborD45,0)+IFERROR(E7DirectLaborD45,0)+IFERROR(E8DirectLaborD45,0)+IFERROR(E9DirectLaborD45,0)+IFERROR(E10DirectLaborD45,0)+IFERROR(E11DirectLaborD45,0)+IFERROR(E12DirectLaborD45,0)+IFERROR(E13DirectLaborD45,0)+IFERROR(E14DirectLaborD45,0)+IFERROR(E15DirectLaborD45,0)+IFERROR(E16DirectLaborD45,0)+IFERROR(E17DirectLaborD45,0)+IFERROR(E18DirectLaborD45,0)+IFERROR(E19DirectLaborD45,0)+IFERROR(E20DirectLaborD45,0)</f>
        <v>2572.5688599999994</v>
      </c>
      <c r="E48" s="938" cm="1">
        <f t="array" ref="E48">E45+IFERROR(E2DirectLaborE45,0)+IFERROR(E3DirectLaborE45,0)+IFERROR(E4DirectLaborE45,0)+IFERROR(E5DirectLaborE45,0)+IFERROR(E6DirectLaborE45,0)+IFERROR(E7DirectLaborE45,0)+IFERROR(E8DirectLaborE45,0)+IFERROR(E9DirectLaborE45,0)+IFERROR(E10DirectLaborE45,0)+IFERROR(E11DirectLaborE45,0)+IFERROR(E12DirectLaborE45,0)+IFERROR(E13DirectLaborE45,0)+IFERROR(E14DirectLaborE45,0)+IFERROR(E15DirectLaborE45,0)+IFERROR(E16DirectLaborE45,0)+IFERROR(E17DirectLaborE45,0)+IFERROR(E18DirectLaborE45,0)+IFERROR(E19DirectLaborE45,0)+IFERROR(E20DirectLaborE45,0)</f>
        <v>2121.461830799999</v>
      </c>
      <c r="F48" s="938" cm="1">
        <f t="array" ref="F48">F45+IFERROR(E2DirectLaborF45,0)+IFERROR(E3DirectLaborF45,0)+IFERROR(E4DirectLaborF45,0)+IFERROR(E5DirectLaborF45,0)+IFERROR(E6DirectLaborF45,0)+IFERROR(E7DirectLaborF45,0)+IFERROR(E8DirectLaborF45,0)+IFERROR(E9DirectLaborF45,0)+IFERROR(E10DirectLaborF45,0)+IFERROR(E11DirectLaborF45,0)+IFERROR(E12DirectLaborF45,0)+IFERROR(E13DirectLaborF45,0)+IFERROR(E14DirectLaborF45,0)+IFERROR(E15DirectLaborF45,0)+IFERROR(E16DirectLaborF45,0)+IFERROR(E17DirectLaborF45,0)+IFERROR(E18DirectLaborF45,0)+IFERROR(E19DirectLaborF45,0)+IFERROR(E20DirectLaborF45,0)</f>
        <v>1835.0335420508</v>
      </c>
      <c r="G48" s="938" cm="1">
        <f t="array" ref="G48">G45+IFERROR(E2DirectLaborG45,0)+IFERROR(E3DirectLaborG45,0)+IFERROR(E4DirectLaborG45,0)+IFERROR(E5DirectLaborG45,0)+IFERROR(E6DirectLaborG45,0)+IFERROR(E7DirectLaborG45,0)+IFERROR(E8DirectLaborG45,0)+IFERROR(E9DirectLaborG45,0)+IFERROR(E10DirectLaborG45,0)+IFERROR(E11DirectLaborG45,0)+IFERROR(E12DirectLaborG45,0)+IFERROR(E13DirectLaborG45,0)+IFERROR(E14DirectLaborG45,0)+IFERROR(E15DirectLaborG45,0)+IFERROR(E16DirectLaborG45,0)+IFERROR(E17DirectLaborG45,0)+IFERROR(E18DirectLaborG45,0)+IFERROR(E19DirectLaborG45,0)+IFERROR(E20DirectLaborG45,0)</f>
        <v>1785.9656250686248</v>
      </c>
      <c r="H48" s="938" cm="1">
        <f t="array" ref="H48">H45+IFERROR(E2DirectLaborH45,0)+IFERROR(E3DirectLaborH45,0)+IFERROR(E4DirectLaborH45,0)+IFERROR(E5DirectLaborH45,0)+IFERROR(E6DirectLaborH45,0)+IFERROR(E7DirectLaborH45,0)+IFERROR(E8DirectLaborH45,0)+IFERROR(E9DirectLaborH45,0)+IFERROR(E10DirectLaborH45,0)+IFERROR(E11DirectLaborH45,0)+IFERROR(E12DirectLaborH45,0)+IFERROR(E13DirectLaborH45,0)+IFERROR(E14DirectLaborH45,0)+IFERROR(E15DirectLaborH45,0)+IFERROR(E16DirectLaborH45,0)+IFERROR(E17DirectLaborH45,0)+IFERROR(E18DirectLaborH45,0)+IFERROR(E19DirectLaborH45,0)+IFERROR(E20DirectLaborH45,0)</f>
        <v>1585.6719060000003</v>
      </c>
      <c r="I48" s="938" cm="1">
        <f t="array" ref="I48">I45+IFERROR(E2DirectLaborI45,0)+IFERROR(E3DirectLaborI45,0)+IFERROR(E4DirectLaborI45,0)+IFERROR(E5DirectLaborI45,0)+IFERROR(E6DirectLaborI45,0)+IFERROR(E7DirectLaborI45,0)+IFERROR(E8DirectLaborI45,0)+IFERROR(E9DirectLaborI45,0)+IFERROR(E10DirectLaborI45,0)+IFERROR(E11DirectLaborI45,0)+IFERROR(E12DirectLaborI45,0)+IFERROR(E13DirectLaborI45,0)+IFERROR(E14DirectLaborI45,0)+IFERROR(E15DirectLaborI45,0)+IFERROR(E16DirectLaborI45,0)+IFERROR(E17DirectLaborI45,0)+IFERROR(E18DirectLaborI45,0)+IFERROR(E19DirectLaborI45,0)+IFERROR(E20DirectLaborI45,0)</f>
        <v>1447.1340693333332</v>
      </c>
      <c r="J48" s="938" cm="1">
        <f t="array" ref="J48">J45+IFERROR(E2DirectLaborJ45,0)+IFERROR(E3DirectLaborJ45,0)+IFERROR(E4DirectLaborJ45,0)+IFERROR(E5DirectLaborJ45,0)+IFERROR(E6DirectLaborJ45,0)+IFERROR(E7DirectLaborJ45,0)+IFERROR(E8DirectLaborJ45,0)+IFERROR(E9DirectLaborJ45,0)+IFERROR(E10DirectLaborJ45,0)+IFERROR(E11DirectLaborJ45,0)+IFERROR(E12DirectLaborJ45,0)+IFERROR(E13DirectLaborJ45,0)+IFERROR(E14DirectLaborJ45,0)+IFERROR(E15DirectLaborJ45,0)+IFERROR(E16DirectLaborJ45,0)+IFERROR(E17DirectLaborJ45,0)+IFERROR(E18DirectLaborJ45,0)+IFERROR(E19DirectLaborJ45,0)+IFERROR(E20DirectLaborJ45,0)</f>
        <v>1497.0103556571423</v>
      </c>
      <c r="K48" s="938" cm="1">
        <f t="array" ref="K48">K45+IFERROR(E2DirectLaborK45,0)+IFERROR(E3DirectLaborK45,0)+IFERROR(E4DirectLaborK45,0)+IFERROR(E5DirectLaborK45,0)+IFERROR(E6DirectLaborK45,0)+IFERROR(E7DirectLaborK45,0)+IFERROR(E8DirectLaborK45,0)+IFERROR(E9DirectLaborK45,0)+IFERROR(E10DirectLaborK45,0)+IFERROR(E11DirectLaborK45,0)+IFERROR(E12DirectLaborK45,0)+IFERROR(E13DirectLaborK45,0)+IFERROR(E14DirectLaborK45,0)+IFERROR(E15DirectLaborK45,0)+IFERROR(E16DirectLaborK45,0)+IFERROR(E17DirectLaborK45,0)+IFERROR(E18DirectLaborK45,0)+IFERROR(E19DirectLaborK45,0)+IFERROR(E20DirectLaborK45,0)</f>
        <v>1328.389799072</v>
      </c>
      <c r="L48" s="938" cm="1">
        <f t="array" ref="L48">L45+IFERROR(E2DirectLaborL45,0)+IFERROR(E3DirectLaborL45,0)+IFERROR(E4DirectLaborL45,0)+IFERROR(E5DirectLaborL45,0)+IFERROR(E6DirectLaborL45,0)+IFERROR(E7DirectLaborL45,0)+IFERROR(E8DirectLaborL45,0)+IFERROR(E9DirectLaborL45,0)+IFERROR(E10DirectLaborL45,0)+IFERROR(E11DirectLaborL45,0)+IFERROR(E12DirectLaborL45,0)+IFERROR(E13DirectLaborL45,0)+IFERROR(E14DirectLaborL45,0)+IFERROR(E15DirectLaborL45,0)+IFERROR(E16DirectLaborL45,0)+IFERROR(E17DirectLaborL45,0)+IFERROR(E18DirectLaborL45,0)+IFERROR(E19DirectLaborL45,0)+IFERROR(E20DirectLaborL45,0)</f>
        <v>1251.5777726399997</v>
      </c>
      <c r="M48" s="938" cm="1">
        <f t="array" ref="M48">M45+IFERROR(E2DirectLaborM45,0)+IFERROR(E3DirectLaborM45,0)+IFERROR(E4DirectLaborM45,0)+IFERROR(E5DirectLaborM45,0)+IFERROR(E6DirectLaborM45,0)+IFERROR(E7DirectLaborM45,0)+IFERROR(E8DirectLaborM45,0)+IFERROR(E9DirectLaborM45,0)+IFERROR(E10DirectLaborM45,0)+IFERROR(E11DirectLaborM45,0)+IFERROR(E12DirectLaborM45,0)+IFERROR(E13DirectLaborM45,0)+IFERROR(E14DirectLaborM45,0)+IFERROR(E15DirectLaborM45,0)+IFERROR(E16DirectLaborM45,0)+IFERROR(E17DirectLaborM45,0)+IFERROR(E18DirectLaborM45,0)+IFERROR(E19DirectLaborM45,0)+IFERROR(E20DirectLaborM45,0)</f>
        <v>1121.8227196129037</v>
      </c>
      <c r="N48" s="938" cm="1">
        <f t="array" ref="N48">N45+IFERROR(E2DirectLaborN45,0)+IFERROR(E3DirectLaborN45,0)+IFERROR(E4DirectLaborN45,0)+IFERROR(E5DirectLaborN45,0)+IFERROR(E6DirectLaborN45,0)+IFERROR(E7DirectLaborN45,0)+IFERROR(E8DirectLaborN45,0)+IFERROR(E9DirectLaborN45,0)+IFERROR(E10DirectLaborN45,0)+IFERROR(E11DirectLaborN45,0)+IFERROR(E12DirectLaborN45,0)+IFERROR(E13DirectLaborN45,0)+IFERROR(E14DirectLaborN45,0)+IFERROR(E15DirectLaborN45,0)+IFERROR(E16DirectLaborN45,0)+IFERROR(E17DirectLaborN45,0)+IFERROR(E18DirectLaborN45,0)+IFERROR(E19DirectLaborN45,0)+IFERROR(E20DirectLaborN45,0)</f>
        <v>1050.1655401872345</v>
      </c>
      <c r="O48" s="938" cm="1">
        <f t="array" ref="O48">O45+IFERROR(E2DirectLaborO45,0)+IFERROR(E3DirectLaborO45,0)+IFERROR(E4DirectLaborO45,0)+IFERROR(E5DirectLaborO45,0)+IFERROR(E6DirectLaborO45,0)+IFERROR(E7DirectLaborO45,0)+IFERROR(E8DirectLaborO45,0)+IFERROR(E9DirectLaborO45,0)+IFERROR(E10DirectLaborO45,0)+IFERROR(E11DirectLaborO45,0)+IFERROR(E12DirectLaborO45,0)+IFERROR(E13DirectLaborO45,0)+IFERROR(E14DirectLaborO45,0)+IFERROR(E15DirectLaborO45,0)+IFERROR(E16DirectLaborO45,0)+IFERROR(E17DirectLaborO45,0)+IFERROR(E18DirectLaborO45,0)+IFERROR(E19DirectLaborO45,0)+IFERROR(E20DirectLaborO45,0)</f>
        <v>937.33101280000039</v>
      </c>
      <c r="P48" s="938" cm="1">
        <f t="array" ref="P48">P45+IFERROR(E2DirectLaborP45,0)+IFERROR(E3DirectLaborP45,0)+IFERROR(E4DirectLaborP45,0)+IFERROR(E5DirectLaborP45,0)+IFERROR(E6DirectLaborP45,0)+IFERROR(E7DirectLaborP45,0)+IFERROR(E8DirectLaborP45,0)+IFERROR(E9DirectLaborP45,0)+IFERROR(E10DirectLaborP45,0)+IFERROR(E11DirectLaborP45,0)+IFERROR(E12DirectLaborP45,0)+IFERROR(E13DirectLaborP45,0)+IFERROR(E14DirectLaborP45,0)+IFERROR(E15DirectLaborP45,0)+IFERROR(E16DirectLaborP45,0)+IFERROR(E17DirectLaborP45,0)+IFERROR(E18DirectLaborP45,0)+IFERROR(E19DirectLaborP45,0)+IFERROR(E20DirectLaborP45,0)</f>
        <v>935.59501525975452</v>
      </c>
      <c r="Q48" s="938" cm="1">
        <f t="array" ref="Q48">Q45+IFERROR(E2DirectLaborQ45,0)+IFERROR(E3DirectLaborQ45,0)+IFERROR(E4DirectLaborQ45,0)+IFERROR(E5DirectLaborQ45,0)+IFERROR(E6DirectLaborQ45,0)+IFERROR(E7DirectLaborQ45,0)+IFERROR(E8DirectLaborQ45,0)+IFERROR(E9DirectLaborQ45,0)+IFERROR(E10DirectLaborQ45,0)+IFERROR(E11DirectLaborQ45,0)+IFERROR(E12DirectLaborQ45,0)+IFERROR(E13DirectLaborQ45,0)+IFERROR(E14DirectLaborQ45,0)+IFERROR(E15DirectLaborQ45,0)+IFERROR(E16DirectLaborQ45,0)+IFERROR(E17DirectLaborQ45,0)+IFERROR(E18DirectLaborQ45,0)+IFERROR(E19DirectLaborQ45,0)+IFERROR(E20DirectLaborQ45,0)</f>
        <v>879.66894847582103</v>
      </c>
      <c r="R48" s="938" cm="1">
        <f t="array" ref="R48">R45+IFERROR(E2DirectLaborR45,0)+IFERROR(E3DirectLaborR45,0)+IFERROR(E4DirectLaborR45,0)+IFERROR(E5DirectLaborR45,0)+IFERROR(E6DirectLaborR45,0)+IFERROR(E7DirectLaborR45,0)+IFERROR(E8DirectLaborR45,0)+IFERROR(E9DirectLaborR45,0)+IFERROR(E10DirectLaborR45,0)+IFERROR(E11DirectLaborR45,0)+IFERROR(E12DirectLaborR45,0)+IFERROR(E13DirectLaborR45,0)+IFERROR(E14DirectLaborR45,0)+IFERROR(E15DirectLaborR45,0)+IFERROR(E16DirectLaborR45,0)+IFERROR(E17DirectLaborR45,0)+IFERROR(E18DirectLaborR45,0)+IFERROR(E19DirectLaborR45,0)+IFERROR(E20DirectLaborR45,0)</f>
        <v>833.96937357500042</v>
      </c>
      <c r="S48" s="938" cm="1">
        <f t="array" ref="S48">S45+IFERROR(E2DirectLaborS45,0)+IFERROR(E3DirectLaborS45,0)+IFERROR(E4DirectLaborS45,0)+IFERROR(E5DirectLaborS45,0)+IFERROR(E6DirectLaborS45,0)+IFERROR(E7DirectLaborS45,0)+IFERROR(E8DirectLaborS45,0)+IFERROR(E9DirectLaborS45,0)+IFERROR(E10DirectLaborS45,0)+IFERROR(E11DirectLaborS45,0)+IFERROR(E12DirectLaborS45,0)+IFERROR(E13DirectLaborS45,0)+IFERROR(E14DirectLaborS45,0)+IFERROR(E15DirectLaborS45,0)+IFERROR(E16DirectLaborS45,0)+IFERROR(E17DirectLaborS45,0)+IFERROR(E18DirectLaborS45,0)+IFERROR(E19DirectLaborS45,0)+IFERROR(E20DirectLaborS45,0)</f>
        <v>783.599944152381</v>
      </c>
      <c r="T48" s="938" cm="1">
        <f t="array" ref="T48">T45+IFERROR(E2DirectLaborT45,0)+IFERROR(E3DirectLaborT45,0)+IFERROR(E4DirectLaborT45,0)+IFERROR(E5DirectLaborT45,0)+IFERROR(E6DirectLaborT45,0)+IFERROR(E7DirectLaborT45,0)+IFERROR(E8DirectLaborT45,0)+IFERROR(E9DirectLaborT45,0)+IFERROR(E10DirectLaborT45,0)+IFERROR(E11DirectLaborT45,0)+IFERROR(E12DirectLaborT45,0)+IFERROR(E13DirectLaborT45,0)+IFERROR(E14DirectLaborT45,0)+IFERROR(E15DirectLaborT45,0)+IFERROR(E16DirectLaborT45,0)+IFERROR(E17DirectLaborT45,0)+IFERROR(E18DirectLaborT45,0)+IFERROR(E19DirectLaborT45,0)+IFERROR(E20DirectLaborT45,0)</f>
        <v>763.89836208602571</v>
      </c>
      <c r="U48" s="938" cm="1">
        <f t="array" ref="U48">U45+IFERROR(E2DirectLaborU45,0)+IFERROR(E3DirectLaborU45,0)+IFERROR(E4DirectLaborU45,0)+IFERROR(E5DirectLaborU45,0)+IFERROR(E6DirectLaborU45,0)+IFERROR(E7DirectLaborU45,0)+IFERROR(E8DirectLaborU45,0)+IFERROR(E9DirectLaborU45,0)+IFERROR(E10DirectLaborU45,0)+IFERROR(E11DirectLaborU45,0)+IFERROR(E12DirectLaborU45,0)+IFERROR(E13DirectLaborU45,0)+IFERROR(E14DirectLaborU45,0)+IFERROR(E15DirectLaborU45,0)+IFERROR(E16DirectLaborU45,0)+IFERROR(E17DirectLaborU45,0)+IFERROR(E18DirectLaborU45,0)+IFERROR(E19DirectLaborU45,0)+IFERROR(E20DirectLaborU45,0)</f>
        <v>751.83520148750029</v>
      </c>
      <c r="V48" s="938" cm="1">
        <f t="array" ref="V48">V45+IFERROR(E2DirectLaborV45,0)+IFERROR(E3DirectLaborV45,0)+IFERROR(E4DirectLaborV45,0)+IFERROR(E5DirectLaborV45,0)+IFERROR(E6DirectLaborV45,0)+IFERROR(E7DirectLaborV45,0)+IFERROR(E8DirectLaborV45,0)+IFERROR(E9DirectLaborV45,0)+IFERROR(E10DirectLaborV45,0)+IFERROR(E11DirectLaborV45,0)+IFERROR(E12DirectLaborV45,0)+IFERROR(E13DirectLaborV45,0)+IFERROR(E14DirectLaborV45,0)+IFERROR(E15DirectLaborV45,0)+IFERROR(E16DirectLaborV45,0)+IFERROR(E17DirectLaborV45,0)+IFERROR(E18DirectLaborV45,0)+IFERROR(E19DirectLaborV45,0)+IFERROR(E20DirectLaborV45,0)</f>
        <v>749.7342150697674</v>
      </c>
      <c r="W48" s="938" cm="1">
        <f t="array" ref="W48">W45+IFERROR(E2DirectLaborW45,0)+IFERROR(E3DirectLaborW45,0)+IFERROR(E4DirectLaborW45,0)+IFERROR(E5DirectLaborW45,0)+IFERROR(E6DirectLaborW45,0)+IFERROR(E7DirectLaborW45,0)+IFERROR(E8DirectLaborW45,0)+IFERROR(E9DirectLaborW45,0)+IFERROR(E10DirectLaborW45,0)+IFERROR(E11DirectLaborW45,0)+IFERROR(E12DirectLaborW45,0)+IFERROR(E13DirectLaborW45,0)+IFERROR(E14DirectLaborW45,0)+IFERROR(E15DirectLaborW45,0)+IFERROR(E16DirectLaborW45,0)+IFERROR(E17DirectLaborW45,0)+IFERROR(E18DirectLaborW45,0)+IFERROR(E19DirectLaborW45,0)+IFERROR(E20DirectLaborW45,0)</f>
        <v>657.38149244444446</v>
      </c>
      <c r="X48" s="938" cm="1">
        <f t="array" ref="X48">X45+IFERROR(E2DirectLaborX45,0)+IFERROR(E3DirectLaborX45,0)+IFERROR(E4DirectLaborX45,0)+IFERROR(E5DirectLaborX45,0)+IFERROR(E6DirectLaborX45,0)+IFERROR(E7DirectLaborX45,0)+IFERROR(E8DirectLaborX45,0)+IFERROR(E9DirectLaborX45,0)+IFERROR(E10DirectLaborX45,0)+IFERROR(E11DirectLaborX45,0)+IFERROR(E12DirectLaborX45,0)+IFERROR(E13DirectLaborX45,0)+IFERROR(E14DirectLaborX45,0)+IFERROR(E15DirectLaborX45,0)+IFERROR(E16DirectLaborX45,0)+IFERROR(E17DirectLaborX45,0)+IFERROR(E18DirectLaborX45,0)+IFERROR(E19DirectLaborX45,0)+IFERROR(E20DirectLaborX45,0)</f>
        <v>638.3477366303033</v>
      </c>
      <c r="Y48" s="938" cm="1">
        <f t="array" ref="Y48">Y45+IFERROR(E2DirectLaborY45,0)+IFERROR(E3DirectLaborY45,0)+IFERROR(E4DirectLaborY45,0)+IFERROR(E5DirectLaborY45,0)+IFERROR(E6DirectLaborY45,0)+IFERROR(E7DirectLaborY45,0)+IFERROR(E8DirectLaborY45,0)+IFERROR(E9DirectLaborY45,0)+IFERROR(E10DirectLaborY45,0)+IFERROR(E11DirectLaborY45,0)+IFERROR(E12DirectLaborY45,0)+IFERROR(E13DirectLaborY45,0)+IFERROR(E14DirectLaborY45,0)+IFERROR(E15DirectLaborY45,0)+IFERROR(E16DirectLaborY45,0)+IFERROR(E17DirectLaborY45,0)+IFERROR(E18DirectLaborY45,0)+IFERROR(E19DirectLaborY45,0)+IFERROR(E20DirectLaborY45,0)</f>
        <v>622.42777905122784</v>
      </c>
      <c r="Z48" s="938" cm="1">
        <f t="array" ref="Z48">Z45+IFERROR(E2DirectLaborZ45,0)+IFERROR(E3DirectLaborZ45,0)+IFERROR(E4DirectLaborZ45,0)+IFERROR(E5DirectLaborZ45,0)+IFERROR(E6DirectLaborZ45,0)+IFERROR(E7DirectLaborZ45,0)+IFERROR(E8DirectLaborZ45,0)+IFERROR(E9DirectLaborZ45,0)+IFERROR(E10DirectLaborZ45,0)+IFERROR(E11DirectLaborZ45,0)+IFERROR(E12DirectLaborZ45,0)+IFERROR(E13DirectLaborZ45,0)+IFERROR(E14DirectLaborZ45,0)+IFERROR(E15DirectLaborZ45,0)+IFERROR(E16DirectLaborZ45,0)+IFERROR(E17DirectLaborZ45,0)+IFERROR(E18DirectLaborZ45,0)+IFERROR(E19DirectLaborZ45,0)+IFERROR(E20DirectLaborZ45,0)</f>
        <v>598.78478399999983</v>
      </c>
      <c r="AA48" s="938" cm="1">
        <f t="array" ref="AA48">AA45+IFERROR(E2DirectLaborAA45,0)+IFERROR(E3DirectLaborAA45,0)+IFERROR(E4DirectLaborAA45,0)+IFERROR(E5DirectLaborAA45,0)+IFERROR(E6DirectLaborAA45,0)+IFERROR(E7DirectLaborAA45,0)+IFERROR(E8DirectLaborAA45,0)+IFERROR(E9DirectLaborAA45,0)+IFERROR(E9DirectLaborAA45,0)+IFERROR(E11DirectLaborAA45,0)+IFERROR(E12DirectLaborAA45,0)+IFERROR(E13DirectLaborAA45,0)+IFERROR(E14DirectLaborAA45,0)+IFERROR(E15DirectLaborAA45,0)+IFERROR(E16DirectLaborAA45,0)+IFERROR(E17DirectLaborAA45,0)+IFERROR(E18DirectLaborAA45,0)+IFERROR(E19DirectLaborAA45,0)+IFERROR(E20DirectLaborAA45,0)</f>
        <v>527.6009303157897</v>
      </c>
      <c r="AB48" s="938" cm="1">
        <f t="array" ref="AB48">AB45+IFERROR(E2DirectLaborAB45,0)+IFERROR(E3DirectLaborAB45,0)+IFERROR(E4DirectLaborAB45,0)+IFERROR(E5DirectLaborAB45,0)+IFERROR(E6DirectLaborAB45,0)+IFERROR(E7DirectLaborAB45,0)+IFERROR(E8DirectLaborAB45,0)+IFERROR(E9DirectLaborAB45,0)+IFERROR(E10DirectLaborAB45,0)+IFERROR(E11DirectLaborAB45,0)+IFERROR(E12DirectLaborAB45,0)+IFERROR(E13DirectLaborAB45,0)+IFERROR(E14DirectLaborAB45,0)+IFERROR(E15DirectLaborAB45,0)+IFERROR(E16DirectLaborAB45,0)+IFERROR(E17DirectLaborAB45,0)+IFERROR(E18DirectLaborAB45,0)+IFERROR(E19DirectLaborAB45,0)+IFERROR(E20DirectLaborAB45,0)</f>
        <v>504.50815075555545</v>
      </c>
      <c r="AC48" s="938" cm="1">
        <f t="array" ref="AC48">AC45+IFERROR(E2DirectLaborAC45,0)+IFERROR(E3DirectLaborAC45,0)+IFERROR(E4DirectLaborAC45,0)+IFERROR(E5DirectLaborAC45,0)+IFERROR(E6DirectLaborAC45,0)+IFERROR(E7DirectLaborAC45,0)+IFERROR(E8DirectLaborAC45,0)+IFERROR(E9DirectLaborAC45,0)+IFERROR(E10DirectLaborAC45,0)+IFERROR(E11DirectLaborAC45,0)+IFERROR(E12DirectLaborAC45,0)+IFERROR(E13DirectLaborAC45,0)+IFERROR(E14DirectLaborAC45,0)+IFERROR(E15DirectLaborAC45,0)+IFERROR(E16DirectLaborAC45,0)+IFERROR(E17DirectLaborAC45,0)+IFERROR(E18DirectLaborAC45,0)+IFERROR(E19DirectLaborAC45,0)+IFERROR(E20DirectLaborAC45,0)</f>
        <v>429.97094400000003</v>
      </c>
      <c r="AD48" s="938" cm="1">
        <f t="array" ref="AD48">AD45+IFERROR(E2DirectLaborAD45,0)+IFERROR(E3DirectLaborAD45,0)+IFERROR(E4DirectLaborAD45,0)+IFERROR(E5DirectLaborAD45,0)+IFERROR(E6DirectLaborAD45,0)+IFERROR(E7DirectLaborAD45,0)+IFERROR(E8DirectLaborAD45,0)+IFERROR(E9DirectLaborAD45,0)+IFERROR(E10DirectLaborAD45,0)+IFERROR(E11DirectLaborAD45,0)+IFERROR(E12DirectLaborAD45,0)+IFERROR(E13DirectLaborAD45,0)+IFERROR(E14DirectLaborAD45,0)+IFERROR(E15DirectLaborAD45,0)+IFERROR(E16DirectLaborAD45,0)+IFERROR(E17DirectLaborAD45,0)+IFERROR(E18DirectLaborAD45,0)+IFERROR(E19DirectLaborAD45,0)+IFERROR(E20DirectLaborAD45,0)</f>
        <v>390.36461432558139</v>
      </c>
      <c r="AE48" s="938" cm="1">
        <f t="array" ref="AE48">AE45+IFERROR(E2DirectLaborAE45,0)+IFERROR(E3DirectLaborAE45,0)+IFERROR(E4DirectLaborAE45,0)+IFERROR(E5DirectLaborAE45,0)+IFERROR(E6DirectLaborAE45,0)+IFERROR(E7DirectLaborAE45,0)+IFERROR(E8DirectLaborAE45,0)+IFERROR(E9DirectLaborAE45,0)+IFERROR(E10DirectLaborAE45,0)+IFERROR(E11DirectLaborAE45,0)+IFERROR(E12DirectLaborAE45,0)+IFERROR(E13DirectLaborAE45,0)+IFERROR(E14DirectLaborAE45,0)+IFERROR(E15DirectLaborAE45,0)+IFERROR(E16DirectLaborAE45,0)+IFERROR(E17DirectLaborAE45,0)+IFERROR(E18DirectLaborAE45,0)+IFERROR(E19DirectLaborAE45,0)+IFERROR(E20DirectLaborAE45,0)</f>
        <v>367.34864510638312</v>
      </c>
      <c r="AF48" s="926"/>
      <c r="AG48" s="879"/>
    </row>
    <row r="49" spans="1:33" s="406" customFormat="1" ht="12.75" hidden="1" customHeight="1" x14ac:dyDescent="0.2">
      <c r="A49" s="914"/>
      <c r="B49" s="926"/>
      <c r="C49" s="930" t="s">
        <v>674</v>
      </c>
      <c r="D49" s="938" cm="1">
        <f t="array" ref="D49">D46+IFERROR(E2OverheadD46,0)+IFERROR(E3OverheadD46,0)+IFERROR(E4OverheadD46,0)+IFERROR(E5OverheadD46,0)+IFERROR(E6OverheadD46,0)+IFERROR(E7OverheadD46,)+IFERROR(E8OverheadD46,0)+IFERROR(E9OverheadD46,0)+IFERROR(E10OverheadD46,0)+IFERROR(E11OverheadD46,0)+IFERROR(E12OverheadD46,0)+IFERROR(E13OverheadD46,0)+IFERROR(E14OverheadD46,0)+IFERROR(E15OverheadD46,0)+IFERROR(E16OverheadD46,0)+IFERROR(E17OverheadD46,0)+IFERROR(E18OverheadD46,0)+IFERROR(E19OverheadD46,0)+IFERROR(E20OverheadD46,0)</f>
        <v>3781.6762241999977</v>
      </c>
      <c r="E49" s="938" cm="1">
        <f t="array" ref="E49">E46+IFERROR(E2OverheadE46,0)+IFERROR(E3OverheadE46,0)+IFERROR(E4OverheadE46,0)+IFERROR(E5OverheadE46,0)+IFERROR(E6OverheadE46,0)+IFERROR(E7OverheadE46,)+IFERROR(E8OverheadE46,0)+IFERROR(E9OverheadE46,0)+IFERROR(E10OverheadE46,0)+IFERROR(E11OverheadE46,0)+IFERROR(E12OverheadE46,0)+IFERROR(E13OverheadE46,0)+IFERROR(E14OverheadE46,0)+IFERROR(E15OverheadE46,0)+IFERROR(E16OverheadE46,0)+IFERROR(E17OverheadE46,0)+IFERROR(E18OverheadE46,0)+IFERROR(E19OverheadE46,0)+IFERROR(E20OverheadE46,0)</f>
        <v>3118.5488912759993</v>
      </c>
      <c r="F49" s="938" cm="1">
        <f t="array" ref="F49">F46+IFERROR(E2OverheadF46,0)+IFERROR(E3OverheadF46,0)+IFERROR(E4OverheadF46,0)+IFERROR(E5OverheadF46,0)+IFERROR(E6OverheadF46,0)+IFERROR(E7OverheadF46,)+IFERROR(E8OverheadF46,0)+IFERROR(E9OverheadF46,0)+IFERROR(E10OverheadF46,0)+IFERROR(E11OverheadF46,0)+IFERROR(E12OverheadF46,0)+IFERROR(E13OverheadF46,0)+IFERROR(E14OverheadF46,0)+IFERROR(E15OverheadF46,0)+IFERROR(E16OverheadF46,0)+IFERROR(E17OverheadF46,0)+IFERROR(E18OverheadF46,0)+IFERROR(E19OverheadF46,0)+IFERROR(E20OverheadF46,0)</f>
        <v>2697.499306814675</v>
      </c>
      <c r="G49" s="938" cm="1">
        <f t="array" ref="G49">G46+IFERROR(E2OverheadG46,0)+IFERROR(E3OverheadG46,0)+IFERROR(E4OverheadG46,0)+IFERROR(E5OverheadG46,0)+IFERROR(E6OverheadG46,0)+IFERROR(E7OverheadG46,)+IFERROR(E8OverheadG46,0)+IFERROR(E9OverheadG46,0)+IFERROR(E10OverheadG46,0)+IFERROR(E11OverheadG46,0)+IFERROR(E12OverheadG46,0)+IFERROR(E13OverheadG46,0)+IFERROR(E14OverheadG46,0)+IFERROR(E15OverheadG46,0)+IFERROR(E16OverheadG46,0)+IFERROR(E17OverheadG46,0)+IFERROR(E18OverheadG46,0)+IFERROR(E19OverheadG46,0)+IFERROR(E20OverheadG46,0)</f>
        <v>2625.369468850879</v>
      </c>
      <c r="H49" s="938" cm="1">
        <f t="array" ref="H49">H46+IFERROR(E2OverheadH46,0)+IFERROR(E3OverheadH46,0)+IFERROR(E4OverheadH46,0)+IFERROR(E5OverheadH46,0)+IFERROR(E6OverheadH46,0)+IFERROR(E7OverheadH46,)+IFERROR(E8OverheadH46,0)+IFERROR(E9OverheadH46,0)+IFERROR(E10OverheadH46,0)+IFERROR(E11OverheadH46,0)+IFERROR(E12OverheadH46,0)+IFERROR(E13OverheadH46,0)+IFERROR(E14OverheadH46,0)+IFERROR(E15OverheadH46,0)+IFERROR(E16OverheadH46,0)+IFERROR(E17OverheadH46,0)+IFERROR(E18OverheadH46,0)+IFERROR(E19OverheadH46,0)+IFERROR(E20OverheadH46,0)</f>
        <v>2330.9377018200003</v>
      </c>
      <c r="I49" s="938" cm="1">
        <f t="array" ref="I49">I46+IFERROR(E2OverheadI46,0)+IFERROR(E3OverheadI46,0)+IFERROR(E4OverheadI46,0)+IFERROR(E5OverheadI46,0)+IFERROR(E6OverheadI46,0)+IFERROR(E7OverheadI46,)+IFERROR(E8OverheadI46,0)+IFERROR(E9OverheadI46,0)+IFERROR(E10OverheadI46,0)+IFERROR(E11OverheadI46,0)+IFERROR(E12OverheadI46,0)+IFERROR(E13OverheadI46,0)+IFERROR(E14OverheadI46,0)+IFERROR(E15OverheadI46,0)+IFERROR(E16OverheadI46,0)+IFERROR(E17OverheadI46,0)+IFERROR(E18OverheadI46,0)+IFERROR(E19OverheadI46,0)+IFERROR(E20OverheadI46,0)</f>
        <v>2127.2870819199993</v>
      </c>
      <c r="J49" s="938" cm="1">
        <f t="array" ref="J49">J46+IFERROR(E2OverheadJ46,0)+IFERROR(E3OverheadJ46,0)+IFERROR(E4OverheadJ46,0)+IFERROR(E5OverheadJ46,0)+IFERROR(E6OverheadJ46,0)+IFERROR(E7OverheadJ46,)+IFERROR(E8OverheadJ46,0)+IFERROR(E9OverheadJ46,0)+IFERROR(E10OverheadJ46,0)+IFERROR(E11OverheadJ46,0)+IFERROR(E12OverheadJ46,0)+IFERROR(E13OverheadJ46,0)+IFERROR(E14OverheadJ46,0)+IFERROR(E15OverheadJ46,0)+IFERROR(E16OverheadJ46,0)+IFERROR(E17OverheadJ46,0)+IFERROR(E18OverheadJ46,0)+IFERROR(E19OverheadJ46,0)+IFERROR(E20OverheadJ46,0)</f>
        <v>2200.6052228160002</v>
      </c>
      <c r="K49" s="938" cm="1">
        <f t="array" ref="K49">K46+IFERROR(E2OverheadK46,0)+IFERROR(E3OverheadK46,0)+IFERROR(E4OverheadK46,0)+IFERROR(E5OverheadK46,0)+IFERROR(E6OverheadK46,0)+IFERROR(E7OverheadK46,)+IFERROR(E8OverheadK46,0)+IFERROR(E9OverheadK46,0)+IFERROR(E10OverheadK46,0)+IFERROR(E11OverheadK46,0)+IFERROR(E12OverheadK46,0)+IFERROR(E13OverheadK46,0)+IFERROR(E14OverheadK46,0)+IFERROR(E15OverheadK46,0)+IFERROR(E16OverheadK46,0)+IFERROR(E17OverheadK46,0)+IFERROR(E18OverheadK46,0)+IFERROR(E19OverheadK46,0)+IFERROR(E20OverheadK46,0)</f>
        <v>1952.73300463584</v>
      </c>
      <c r="L49" s="938" cm="1">
        <f t="array" ref="L49">L46+IFERROR(E2OverheadL46,0)+IFERROR(E3OverheadL46,0)+IFERROR(E4OverheadL46,0)+IFERROR(E5OverheadL46,0)+IFERROR(E6OverheadL46,0)+IFERROR(E7OverheadL46,)+IFERROR(E8OverheadL46,0)+IFERROR(E9OverheadL46,0)+IFERROR(E10OverheadL46,0)+IFERROR(E11OverheadL46,0)+IFERROR(E12OverheadL46,0)+IFERROR(E13OverheadL46,0)+IFERROR(E14OverheadL46,0)+IFERROR(E15OverheadL46,0)+IFERROR(E16OverheadL46,0)+IFERROR(E17OverheadL46,0)+IFERROR(E18OverheadL46,0)+IFERROR(E19OverheadL46,0)+IFERROR(E20OverheadL46,0)</f>
        <v>1839.8193257807995</v>
      </c>
      <c r="M49" s="938" cm="1">
        <f t="array" ref="M49">M46+IFERROR(E2OverheadM46,0)+IFERROR(E3OverheadM46,0)+IFERROR(E4OverheadM46,0)+IFERROR(E5OverheadM46,0)+IFERROR(E6OverheadM46,0)+IFERROR(E7OverheadM46,)+IFERROR(E8OverheadM46,0)+IFERROR(E9OverheadM46,0)+IFERROR(E10OverheadM46,0)+IFERROR(E11OverheadM46,0)+IFERROR(E12OverheadM46,0)+IFERROR(E13OverheadM46,0)+IFERROR(E14OverheadM46,0)+IFERROR(E15OverheadM46,0)+IFERROR(E16OverheadM46,0)+IFERROR(E17OverheadM46,0)+IFERROR(E18OverheadM46,0)+IFERROR(E19OverheadM46,0)+IFERROR(E20OverheadM46,0)</f>
        <v>1649.0793978309675</v>
      </c>
      <c r="N49" s="938" cm="1">
        <f t="array" ref="N49">N46+IFERROR(E2OverheadN46,0)+IFERROR(E3OverheadN46,0)+IFERROR(E4OverheadN46,0)+IFERROR(E5OverheadN46,0)+IFERROR(E6OverheadN46,0)+IFERROR(E7OverheadN46,)+IFERROR(E8OverheadN46,0)+IFERROR(E9OverheadN46,0)+IFERROR(E10OverheadN46,0)+IFERROR(E11OverheadN46,0)+IFERROR(E12OverheadN46,0)+IFERROR(E13OverheadN46,0)+IFERROR(E14OverheadN46,0)+IFERROR(E15OverheadN46,0)+IFERROR(E16OverheadN46,0)+IFERROR(E17OverheadN46,0)+IFERROR(E18OverheadN46,0)+IFERROR(E19OverheadN46,0)+IFERROR(E20OverheadN46,0)</f>
        <v>1543.7433440752343</v>
      </c>
      <c r="O49" s="938" cm="1">
        <f t="array" ref="O49">O46+IFERROR(E2OverheadO46,0)+IFERROR(E3OverheadO46,0)+IFERROR(E4OverheadO46,0)+IFERROR(E5OverheadO46,0)+IFERROR(E6OverheadO46,0)+IFERROR(E7OverheadO46,)+IFERROR(E8OverheadO46,0)+IFERROR(E9OverheadO46,0)+IFERROR(E10OverheadO46,0)+IFERROR(E11OverheadO46,0)+IFERROR(E12OverheadO46,0)+IFERROR(E13OverheadO46,0)+IFERROR(E14OverheadO46,0)+IFERROR(E15OverheadO46,0)+IFERROR(E16OverheadO46,0)+IFERROR(E17OverheadO46,0)+IFERROR(E18OverheadO46,0)+IFERROR(E19OverheadO46,0)+IFERROR(E20OverheadO46,0)</f>
        <v>1377.8765888160001</v>
      </c>
      <c r="P49" s="938" cm="1">
        <f t="array" ref="P49">P46+IFERROR(E2OverheadP46,0)+IFERROR(E3OverheadP46,0)+IFERROR(E4OverheadP46,0)+IFERROR(E5OverheadP46,0)+IFERROR(E6OverheadP46,0)+IFERROR(E7OverheadP46,)+IFERROR(E8OverheadP46,0)+IFERROR(E9OverheadP46,0)+IFERROR(E10OverheadP46,0)+IFERROR(E11OverheadP46,0)+IFERROR(E12OverheadP46,0)+IFERROR(E13OverheadP46,0)+IFERROR(E14OverheadP46,0)+IFERROR(E15OverheadP46,0)+IFERROR(E16OverheadP46,0)+IFERROR(E17OverheadP46,0)+IFERROR(E18OverheadP46,0)+IFERROR(E19OverheadP46,0)+IFERROR(E20OverheadP46,0)</f>
        <v>1375.3246724318399</v>
      </c>
      <c r="Q49" s="938" cm="1">
        <f t="array" ref="Q49">Q46+IFERROR(E2OverheadQ46,0)+IFERROR(E3OverheadQ46,0)+IFERROR(E4OverheadQ46,0)+IFERROR(E5OverheadQ46,0)+IFERROR(E6OverheadQ46,0)+IFERROR(E7OverheadQ46,)+IFERROR(E8OverheadQ46,0)+IFERROR(E9OverheadQ46,0)+IFERROR(E10OverheadQ46,0)+IFERROR(E11OverheadQ46,0)+IFERROR(E12OverheadQ46,0)+IFERROR(E13OverheadQ46,0)+IFERROR(E14OverheadQ46,0)+IFERROR(E15OverheadQ46,0)+IFERROR(E16OverheadQ46,0)+IFERROR(E17OverheadQ46,0)+IFERROR(E18OverheadQ46,0)+IFERROR(E19OverheadQ46,0)+IFERROR(E20OverheadQ46,0)</f>
        <v>1293.1133542594566</v>
      </c>
      <c r="R49" s="938" cm="1">
        <f t="array" ref="R49">R46+IFERROR(E2OverheadR46,0)+IFERROR(E3OverheadR46,0)+IFERROR(E4OverheadR46,0)+IFERROR(E5OverheadR46,0)+IFERROR(E6OverheadR46,0)+IFERROR(E7OverheadR46,)+IFERROR(E8OverheadR46,0)+IFERROR(E9OverheadR46,0)+IFERROR(E10OverheadR46,0)+IFERROR(E11OverheadR46,0)+IFERROR(E12OverheadR46,0)+IFERROR(E13OverheadR46,0)+IFERROR(E14OverheadR46,0)+IFERROR(E15OverheadR46,0)+IFERROR(E16OverheadR46,0)+IFERROR(E17OverheadR46,0)+IFERROR(E18OverheadR46,0)+IFERROR(E19OverheadR46,0)+IFERROR(E20OverheadR46,0)</f>
        <v>1225.9349791552499</v>
      </c>
      <c r="S49" s="938" cm="1">
        <f t="array" ref="S49">S46+IFERROR(E2OverheadS46,0)+IFERROR(E3OverheadS46,0)+IFERROR(E4OverheadS46,0)+IFERROR(E5OverheadS46,0)+IFERROR(E6OverheadS46,0)+IFERROR(E7OverheadS46,)+IFERROR(E8OverheadS46,0)+IFERROR(E9OverheadS46,0)+IFERROR(E10OverheadS46,0)+IFERROR(E11OverheadS46,0)+IFERROR(E12OverheadS46,0)+IFERROR(E13OverheadS46,0)+IFERROR(E14OverheadS46,0)+IFERROR(E15OverheadS46,0)+IFERROR(E16OverheadS46,0)+IFERROR(E17OverheadS46,0)+IFERROR(E18OverheadS46,0)+IFERROR(E19OverheadS46,0)+IFERROR(E20OverheadS46,0)</f>
        <v>1151.8919179040006</v>
      </c>
      <c r="T49" s="938" cm="1">
        <f t="array" ref="T49">T46+IFERROR(E2OverheadT46,0)+IFERROR(E3OverheadT46,0)+IFERROR(E4OverheadT46,0)+IFERROR(E5OverheadT46,0)+IFERROR(E6OverheadT46,0)+IFERROR(E7OverheadT46,)+IFERROR(E8OverheadT46,0)+IFERROR(E9OverheadT46,0)+IFERROR(E10OverheadT46,0)+IFERROR(E11OverheadT46,0)+IFERROR(E12OverheadT46,0)+IFERROR(E13OverheadT46,0)+IFERROR(E14OverheadT46,0)+IFERROR(E15OverheadT46,0)+IFERROR(E16OverheadT46,0)+IFERROR(E17OverheadT46,0)+IFERROR(E18OverheadT46,0)+IFERROR(E19OverheadT46,0)+IFERROR(E20OverheadT46,0)</f>
        <v>1122.9305922664576</v>
      </c>
      <c r="U49" s="938" cm="1">
        <f t="array" ref="U49">U46+IFERROR(E2OverheadU46,0)+IFERROR(E3OverheadU46,0)+IFERROR(E4OverheadU46,0)+IFERROR(E5OverheadU46,0)+IFERROR(E6OverheadU46,0)+IFERROR(E7OverheadU46,)+IFERROR(E8OverheadU46,0)+IFERROR(E9OverheadU46,0)+IFERROR(E10OverheadU46,0)+IFERROR(E11OverheadU46,0)+IFERROR(E12OverheadU46,0)+IFERROR(E13OverheadU46,0)+IFERROR(E14OverheadU46,0)+IFERROR(E15OverheadU46,0)+IFERROR(E16OverheadU46,0)+IFERROR(E17OverheadU46,0)+IFERROR(E18OverheadU46,0)+IFERROR(E19OverheadU46,0)+IFERROR(E20OverheadU46,0)</f>
        <v>1105.1977461866247</v>
      </c>
      <c r="V49" s="938" cm="1">
        <f t="array" ref="V49">V46+IFERROR(E2OverheadV46,0)+IFERROR(E3OverheadV46,0)+IFERROR(E4OverheadV46,0)+IFERROR(E5OverheadV46,0)+IFERROR(E6OverheadV46,0)+IFERROR(E7OverheadV46,)+IFERROR(E8OverheadV46,0)+IFERROR(E9OverheadV46,0)+IFERROR(E10OverheadV46,0)+IFERROR(E11OverheadV46,0)+IFERROR(E12OverheadV46,0)+IFERROR(E13OverheadV46,0)+IFERROR(E14OverheadV46,0)+IFERROR(E15OverheadV46,0)+IFERROR(E16OverheadV46,0)+IFERROR(E17OverheadV46,0)+IFERROR(E18OverheadV46,0)+IFERROR(E19OverheadV46,0)+IFERROR(E20OverheadV46,0)</f>
        <v>1102.1092961525576</v>
      </c>
      <c r="W49" s="938" cm="1">
        <f t="array" ref="W49">W46+IFERROR(E2OverheadW46,0)+IFERROR(E3OverheadW46,0)+IFERROR(E4OverheadW46,0)+IFERROR(E5OverheadW46,0)+IFERROR(E6OverheadW46,0)+IFERROR(E7OverheadW46,)+IFERROR(E8OverheadW46,0)+IFERROR(E9OverheadW46,0)+IFERROR(E10OverheadW46,0)+IFERROR(E11OverheadW46,0)+IFERROR(E12OverheadW46,0)+IFERROR(E13OverheadW46,0)+IFERROR(E14OverheadW46,0)+IFERROR(E15OverheadW46,0)+IFERROR(E16OverheadW46,0)+IFERROR(E17OverheadW46,0)+IFERROR(E18OverheadW46,0)+IFERROR(E19OverheadW46,0)+IFERROR(E20OverheadW46,0)</f>
        <v>966.3507938933335</v>
      </c>
      <c r="X49" s="938" cm="1">
        <f t="array" ref="X49">X46+IFERROR(E2OverheadX46,0)+IFERROR(E3OverheadX46,0)+IFERROR(E4OverheadX46,0)+IFERROR(E5OverheadX46,0)+IFERROR(E6OverheadX46,0)+IFERROR(E7OverheadX46,)+IFERROR(E8OverheadX46,0)+IFERROR(E9OverheadX46,0)+IFERROR(E10OverheadX46,0)+IFERROR(E11OverheadX46,0)+IFERROR(E12OverheadX46,0)+IFERROR(E13OverheadX46,0)+IFERROR(E14OverheadX46,0)+IFERROR(E15OverheadX46,0)+IFERROR(E16OverheadX46,0)+IFERROR(E17OverheadX46,0)+IFERROR(E18OverheadX46,0)+IFERROR(E19OverheadX46,0)+IFERROR(E20OverheadX46,0)</f>
        <v>938.37117284654585</v>
      </c>
      <c r="Y49" s="938" cm="1">
        <f t="array" ref="Y49">Y46+IFERROR(E2OverheadY46,0)+IFERROR(E3OverheadY46,0)+IFERROR(E4OverheadY46,0)+IFERROR(E5OverheadY46,0)+IFERROR(E6OverheadY46,0)+IFERROR(E7OverheadY46,)+IFERROR(E8OverheadY46,0)+IFERROR(E9OverheadY46,0)+IFERROR(E10OverheadY46,0)+IFERROR(E11OverheadY46,0)+IFERROR(E12OverheadY46,0)+IFERROR(E13OverheadY46,0)+IFERROR(E14OverheadY46,0)+IFERROR(E15OverheadY46,0)+IFERROR(E16OverheadY46,0)+IFERROR(E17OverheadY46,0)+IFERROR(E18OverheadY46,0)+IFERROR(E19OverheadY46,0)+IFERROR(E20OverheadY46,0)</f>
        <v>914.96883520530514</v>
      </c>
      <c r="Z49" s="938" cm="1">
        <f t="array" ref="Z49">Z46+IFERROR(E2OverheadZ46,0)+IFERROR(E3OverheadZ46,0)+IFERROR(E4OverheadZ46,0)+IFERROR(E5OverheadZ46,0)+IFERROR(E6OverheadZ46,0)+IFERROR(E7OverheadZ46,)+IFERROR(E8OverheadZ46,0)+IFERROR(E9OverheadZ46,0)+IFERROR(E10OverheadZ46,0)+IFERROR(E11OverheadZ46,0)+IFERROR(E12OverheadZ46,0)+IFERROR(E13OverheadZ46,0)+IFERROR(E14OverheadZ46,0)+IFERROR(E15OverheadZ46,0)+IFERROR(E16OverheadZ46,0)+IFERROR(E17OverheadZ46,0)+IFERROR(E18OverheadZ46,0)+IFERROR(E19OverheadZ46,0)+IFERROR(E20OverheadZ46,0)</f>
        <v>880.21363247999966</v>
      </c>
      <c r="AA49" s="938" cm="1">
        <f t="array" ref="AA49">AA46+IFERROR(E2OverheadAA46,0)+IFERROR(E3OverheadAA46,0)+IFERROR(E4OverheadAA46,0)+IFERROR(E5OverheadAA46,0)+IFERROR(E6OverheadAA46,0)+IFERROR(E7OverheadAA46,)+IFERROR(E8OverheadAA46,0)+IFERROR(E9OverheadAA46,0)+IFERROR(E10OverheadAA46,0)+IFERROR(E11OverheadAA46,0)+IFERROR(E12OverheadAA46,0)+IFERROR(E13OverheadAA46,0)+IFERROR(E14OverheadAA46,0)+IFERROR(E15OverheadAA46,0)+IFERROR(E16OverheadAA46,0)+IFERROR(E17OverheadAA46,0)+IFERROR(E18OverheadAA46,0)+IFERROR(E19OverheadAA46,0)+IFERROR(E20OverheadAA46,0)</f>
        <v>775.57336756421068</v>
      </c>
      <c r="AB49" s="938" cm="1">
        <f t="array" ref="AB49">AB46+IFERROR(E2OverheadAB46,0)+IFERROR(E3OverheadAB46,0)+IFERROR(E4OverheadAB46,0)+IFERROR(E5OverheadAB46,0)+IFERROR(E6OverheadAB46,0)+IFERROR(E7OverheadAB46,)+IFERROR(E8OverheadAB46,0)+IFERROR(E9OverheadAB46,0)+IFERROR(E10OverheadAB46,0)+IFERROR(E11OverheadAB46,0)+IFERROR(E12OverheadAB46,0)+IFERROR(E13OverheadAB46,0)+IFERROR(E14OverheadAB46,0)+IFERROR(E15OverheadAB46,0)+IFERROR(E16OverheadAB46,0)+IFERROR(E17OverheadAB46,0)+IFERROR(E18OverheadAB46,0)+IFERROR(E19OverheadAB46,0)+IFERROR(E20OverheadAB46,0)</f>
        <v>741.62698161066623</v>
      </c>
      <c r="AC49" s="938" cm="1">
        <f t="array" ref="AC49">AC46+IFERROR(E2OverheadAC46,0)+IFERROR(E3OverheadAC46,0)+IFERROR(E4OverheadAC46,0)+IFERROR(E5OverheadAC46,0)+IFERROR(E6OverheadAC46,0)+IFERROR(E7OverheadAC46,)+IFERROR(E8OverheadAC46,0)+IFERROR(E9OverheadAC46,0)+IFERROR(E10OverheadAC46,0)+IFERROR(E11OverheadAC46,0)+IFERROR(E12OverheadAC46,0)+IFERROR(E13OverheadAC46,0)+IFERROR(E14OverheadAC46,0)+IFERROR(E15OverheadAC46,0)+IFERROR(E16OverheadAC46,0)+IFERROR(E17OverheadAC46,0)+IFERROR(E18OverheadAC46,0)+IFERROR(E19OverheadAC46,0)+IFERROR(E20OverheadAC46,0)</f>
        <v>632.05728767999983</v>
      </c>
      <c r="AD49" s="938" cm="1">
        <f t="array" ref="AD49">AD46+IFERROR(E2OverheadAD46,0)+IFERROR(E3OverheadAD46,0)+IFERROR(E4OverheadAD46,0)+IFERROR(E5OverheadAD46,0)+IFERROR(E6OverheadAD46,0)+IFERROR(E7OverheadAD46,)+IFERROR(E8OverheadAD46,0)+IFERROR(E9OverheadAD46,0)+IFERROR(E10OverheadAD46,0)+IFERROR(E11OverheadAD46,0)+IFERROR(E12OverheadAD46,0)+IFERROR(E13OverheadAD46,0)+IFERROR(E14OverheadAD46,0)+IFERROR(E15OverheadAD46,0)+IFERROR(E16OverheadAD46,0)+IFERROR(E17OverheadAD46,0)+IFERROR(E18OverheadAD46,0)+IFERROR(E19OverheadAD46,0)+IFERROR(E20OverheadAD46,0)</f>
        <v>573.83598305860471</v>
      </c>
      <c r="AE49" s="938" cm="1">
        <f t="array" ref="AE49">AE46+IFERROR(E2OverheadAE46,0)+IFERROR(E3OverheadAE46,0)+IFERROR(E4OverheadAE46,0)+IFERROR(E5OverheadAE46,0)+IFERROR(E6OverheadAE46,0)+IFERROR(E7OverheadAE46,)+IFERROR(E8OverheadAE46,0)+IFERROR(E9OverheadAE46,0)+IFERROR(E10OverheadAE46,0)+IFERROR(E11OverheadAE46,0)+IFERROR(E12OverheadAE46,0)+IFERROR(E13OverheadAE46,0)+IFERROR(E14OverheadAE46,0)+IFERROR(E15OverheadAE46,0)+IFERROR(E16OverheadAE46,0)+IFERROR(E17OverheadAE46,0)+IFERROR(E18OverheadAE46,0)+IFERROR(E19OverheadAE46,0)+IFERROR(E20OverheadAE46,0)</f>
        <v>540.00250830638299</v>
      </c>
      <c r="AF49" s="926"/>
      <c r="AG49" s="879"/>
    </row>
    <row r="50" spans="1:33" hidden="1" x14ac:dyDescent="0.2">
      <c r="A50" s="914"/>
      <c r="B50" s="940"/>
      <c r="C50" s="930" t="s">
        <v>531</v>
      </c>
      <c r="D50" s="924">
        <f t="shared" ref="D50:AE50" si="13">SUMIFS($D$27:$AE$27,$D$5:$AE$5,D$42,$D$9:$AE$9,$C$50)</f>
        <v>0</v>
      </c>
      <c r="E50" s="924">
        <f t="shared" si="13"/>
        <v>0</v>
      </c>
      <c r="F50" s="924">
        <f t="shared" si="13"/>
        <v>0</v>
      </c>
      <c r="G50" s="924">
        <f t="shared" si="13"/>
        <v>0</v>
      </c>
      <c r="H50" s="924">
        <f t="shared" si="13"/>
        <v>0</v>
      </c>
      <c r="I50" s="924">
        <f t="shared" si="13"/>
        <v>0</v>
      </c>
      <c r="J50" s="924">
        <f t="shared" si="13"/>
        <v>0</v>
      </c>
      <c r="K50" s="924">
        <f t="shared" si="13"/>
        <v>0</v>
      </c>
      <c r="L50" s="924">
        <f t="shared" si="13"/>
        <v>0</v>
      </c>
      <c r="M50" s="924">
        <f t="shared" si="13"/>
        <v>0</v>
      </c>
      <c r="N50" s="924">
        <f t="shared" si="13"/>
        <v>0</v>
      </c>
      <c r="O50" s="924">
        <f t="shared" si="13"/>
        <v>0</v>
      </c>
      <c r="P50" s="924">
        <f t="shared" si="13"/>
        <v>0</v>
      </c>
      <c r="Q50" s="924">
        <f t="shared" si="13"/>
        <v>0</v>
      </c>
      <c r="R50" s="924">
        <f t="shared" si="13"/>
        <v>0</v>
      </c>
      <c r="S50" s="924">
        <f t="shared" si="13"/>
        <v>0</v>
      </c>
      <c r="T50" s="924">
        <f t="shared" si="13"/>
        <v>0</v>
      </c>
      <c r="U50" s="924">
        <f t="shared" si="13"/>
        <v>0</v>
      </c>
      <c r="V50" s="924">
        <f t="shared" si="13"/>
        <v>0</v>
      </c>
      <c r="W50" s="924">
        <f t="shared" si="13"/>
        <v>0</v>
      </c>
      <c r="X50" s="924">
        <f t="shared" si="13"/>
        <v>0</v>
      </c>
      <c r="Y50" s="924">
        <f t="shared" si="13"/>
        <v>0</v>
      </c>
      <c r="Z50" s="924">
        <f t="shared" si="13"/>
        <v>0</v>
      </c>
      <c r="AA50" s="924">
        <f t="shared" si="13"/>
        <v>0</v>
      </c>
      <c r="AB50" s="924">
        <f t="shared" si="13"/>
        <v>0</v>
      </c>
      <c r="AC50" s="924">
        <f t="shared" si="13"/>
        <v>0</v>
      </c>
      <c r="AD50" s="924">
        <f t="shared" si="13"/>
        <v>0</v>
      </c>
      <c r="AE50" s="924">
        <f t="shared" si="13"/>
        <v>0</v>
      </c>
      <c r="AF50" s="915"/>
      <c r="AG50" s="915"/>
    </row>
    <row r="51" spans="1:33" hidden="1" x14ac:dyDescent="0.2">
      <c r="A51" s="914"/>
      <c r="B51" s="940"/>
      <c r="C51" s="930"/>
      <c r="D51" s="924"/>
      <c r="E51" s="924"/>
      <c r="F51" s="924"/>
      <c r="G51" s="924"/>
      <c r="H51" s="924"/>
      <c r="I51" s="924"/>
      <c r="J51" s="924"/>
      <c r="K51" s="924"/>
      <c r="L51" s="924"/>
      <c r="M51" s="924"/>
      <c r="N51" s="924"/>
      <c r="O51" s="924"/>
      <c r="P51" s="924"/>
      <c r="Q51" s="924"/>
      <c r="R51" s="924"/>
      <c r="S51" s="924"/>
      <c r="T51" s="924"/>
      <c r="U51" s="924"/>
      <c r="V51" s="924"/>
      <c r="W51" s="924"/>
      <c r="X51" s="924"/>
      <c r="Y51" s="924"/>
      <c r="Z51" s="924"/>
      <c r="AA51" s="924"/>
      <c r="AB51" s="924"/>
      <c r="AC51" s="924"/>
      <c r="AD51" s="924"/>
      <c r="AE51" s="924"/>
      <c r="AF51" s="915"/>
      <c r="AG51" s="915"/>
    </row>
    <row r="52" spans="1:33" hidden="1" x14ac:dyDescent="0.2">
      <c r="A52" s="914"/>
      <c r="B52" s="940"/>
      <c r="C52" s="930" t="s">
        <v>380</v>
      </c>
      <c r="D52" s="924">
        <f t="shared" ref="D52:AE52" si="14">SUMIFS($D$27:$AE$27,$D$5:$AE$5,D$42,$D$8:$AE$8,$C$52)</f>
        <v>0</v>
      </c>
      <c r="E52" s="924">
        <f t="shared" si="14"/>
        <v>0</v>
      </c>
      <c r="F52" s="924">
        <f t="shared" si="14"/>
        <v>0</v>
      </c>
      <c r="G52" s="924">
        <f t="shared" si="14"/>
        <v>0</v>
      </c>
      <c r="H52" s="924">
        <f t="shared" si="14"/>
        <v>0</v>
      </c>
      <c r="I52" s="924">
        <f t="shared" si="14"/>
        <v>0</v>
      </c>
      <c r="J52" s="924">
        <f t="shared" si="14"/>
        <v>0</v>
      </c>
      <c r="K52" s="924">
        <f t="shared" si="14"/>
        <v>0</v>
      </c>
      <c r="L52" s="924">
        <f t="shared" si="14"/>
        <v>0</v>
      </c>
      <c r="M52" s="924">
        <f t="shared" si="14"/>
        <v>0</v>
      </c>
      <c r="N52" s="924">
        <f t="shared" si="14"/>
        <v>0</v>
      </c>
      <c r="O52" s="924">
        <f t="shared" si="14"/>
        <v>0</v>
      </c>
      <c r="P52" s="924">
        <f t="shared" si="14"/>
        <v>0</v>
      </c>
      <c r="Q52" s="924">
        <f t="shared" si="14"/>
        <v>0</v>
      </c>
      <c r="R52" s="924">
        <f t="shared" si="14"/>
        <v>0</v>
      </c>
      <c r="S52" s="924">
        <f t="shared" si="14"/>
        <v>0</v>
      </c>
      <c r="T52" s="924">
        <f t="shared" si="14"/>
        <v>0</v>
      </c>
      <c r="U52" s="924">
        <f t="shared" si="14"/>
        <v>0</v>
      </c>
      <c r="V52" s="924">
        <f t="shared" si="14"/>
        <v>0</v>
      </c>
      <c r="W52" s="924">
        <f t="shared" si="14"/>
        <v>0</v>
      </c>
      <c r="X52" s="924">
        <f t="shared" si="14"/>
        <v>0</v>
      </c>
      <c r="Y52" s="924">
        <f t="shared" si="14"/>
        <v>0</v>
      </c>
      <c r="Z52" s="924">
        <f t="shared" si="14"/>
        <v>0</v>
      </c>
      <c r="AA52" s="924">
        <f t="shared" si="14"/>
        <v>0</v>
      </c>
      <c r="AB52" s="924">
        <f t="shared" si="14"/>
        <v>0</v>
      </c>
      <c r="AC52" s="924">
        <f t="shared" si="14"/>
        <v>0</v>
      </c>
      <c r="AD52" s="924">
        <f t="shared" si="14"/>
        <v>0</v>
      </c>
      <c r="AE52" s="924">
        <f t="shared" si="14"/>
        <v>0</v>
      </c>
      <c r="AF52" s="915"/>
      <c r="AG52" s="915"/>
    </row>
    <row r="53" spans="1:33" hidden="1" x14ac:dyDescent="0.2">
      <c r="A53" s="914"/>
      <c r="B53" s="940"/>
      <c r="C53" s="930" t="s">
        <v>381</v>
      </c>
      <c r="D53" s="924">
        <f t="shared" ref="D53:AE53" si="15">SUMIFS($D$27:$AE$27,$D$5:$AE$5,D$42,$D$8:$AE$8,$C$53)</f>
        <v>0</v>
      </c>
      <c r="E53" s="924">
        <f t="shared" si="15"/>
        <v>0</v>
      </c>
      <c r="F53" s="924">
        <f t="shared" si="15"/>
        <v>0</v>
      </c>
      <c r="G53" s="924">
        <f t="shared" si="15"/>
        <v>0</v>
      </c>
      <c r="H53" s="924">
        <f t="shared" si="15"/>
        <v>0</v>
      </c>
      <c r="I53" s="924">
        <f t="shared" si="15"/>
        <v>0</v>
      </c>
      <c r="J53" s="924">
        <f t="shared" si="15"/>
        <v>0</v>
      </c>
      <c r="K53" s="924">
        <f t="shared" si="15"/>
        <v>0</v>
      </c>
      <c r="L53" s="924">
        <f t="shared" si="15"/>
        <v>0</v>
      </c>
      <c r="M53" s="924">
        <f t="shared" si="15"/>
        <v>0</v>
      </c>
      <c r="N53" s="924">
        <f t="shared" si="15"/>
        <v>0</v>
      </c>
      <c r="O53" s="924">
        <f t="shared" si="15"/>
        <v>0</v>
      </c>
      <c r="P53" s="924">
        <f t="shared" si="15"/>
        <v>0</v>
      </c>
      <c r="Q53" s="924">
        <f t="shared" si="15"/>
        <v>0</v>
      </c>
      <c r="R53" s="924">
        <f t="shared" si="15"/>
        <v>0</v>
      </c>
      <c r="S53" s="924">
        <f t="shared" si="15"/>
        <v>0</v>
      </c>
      <c r="T53" s="924">
        <f t="shared" si="15"/>
        <v>0</v>
      </c>
      <c r="U53" s="924">
        <f t="shared" si="15"/>
        <v>0</v>
      </c>
      <c r="V53" s="924">
        <f t="shared" si="15"/>
        <v>0</v>
      </c>
      <c r="W53" s="924">
        <f t="shared" si="15"/>
        <v>0</v>
      </c>
      <c r="X53" s="924">
        <f t="shared" si="15"/>
        <v>0</v>
      </c>
      <c r="Y53" s="924">
        <f t="shared" si="15"/>
        <v>0</v>
      </c>
      <c r="Z53" s="924">
        <f t="shared" si="15"/>
        <v>0</v>
      </c>
      <c r="AA53" s="924">
        <f t="shared" si="15"/>
        <v>0</v>
      </c>
      <c r="AB53" s="924">
        <f t="shared" si="15"/>
        <v>0</v>
      </c>
      <c r="AC53" s="924">
        <f t="shared" si="15"/>
        <v>0</v>
      </c>
      <c r="AD53" s="924">
        <f t="shared" si="15"/>
        <v>0</v>
      </c>
      <c r="AE53" s="924">
        <f t="shared" si="15"/>
        <v>0</v>
      </c>
      <c r="AF53" s="915"/>
      <c r="AG53" s="915"/>
    </row>
    <row r="54" spans="1:33" hidden="1" x14ac:dyDescent="0.2">
      <c r="A54" s="914"/>
      <c r="B54" s="940"/>
      <c r="C54" s="930" t="s">
        <v>522</v>
      </c>
      <c r="D54" s="924">
        <f t="shared" ref="D54:AE54" si="16">SUMIFS($D$27:$AE$27,$D$5:$AE$5,D$42,$D$8:$AE$8,$C$54)</f>
        <v>0</v>
      </c>
      <c r="E54" s="924">
        <f t="shared" si="16"/>
        <v>0</v>
      </c>
      <c r="F54" s="924">
        <f t="shared" si="16"/>
        <v>0</v>
      </c>
      <c r="G54" s="924">
        <f t="shared" si="16"/>
        <v>0</v>
      </c>
      <c r="H54" s="924">
        <f t="shared" si="16"/>
        <v>0</v>
      </c>
      <c r="I54" s="924">
        <f t="shared" si="16"/>
        <v>0</v>
      </c>
      <c r="J54" s="924">
        <f t="shared" si="16"/>
        <v>0</v>
      </c>
      <c r="K54" s="924">
        <f t="shared" si="16"/>
        <v>0</v>
      </c>
      <c r="L54" s="924">
        <f t="shared" si="16"/>
        <v>0</v>
      </c>
      <c r="M54" s="924">
        <f t="shared" si="16"/>
        <v>0</v>
      </c>
      <c r="N54" s="924">
        <f t="shared" si="16"/>
        <v>0</v>
      </c>
      <c r="O54" s="924">
        <f t="shared" si="16"/>
        <v>0</v>
      </c>
      <c r="P54" s="924">
        <f t="shared" si="16"/>
        <v>0</v>
      </c>
      <c r="Q54" s="924">
        <f t="shared" si="16"/>
        <v>0</v>
      </c>
      <c r="R54" s="924">
        <f t="shared" si="16"/>
        <v>0</v>
      </c>
      <c r="S54" s="924">
        <f t="shared" si="16"/>
        <v>0</v>
      </c>
      <c r="T54" s="924">
        <f t="shared" si="16"/>
        <v>0</v>
      </c>
      <c r="U54" s="924">
        <f t="shared" si="16"/>
        <v>0</v>
      </c>
      <c r="V54" s="924">
        <f t="shared" si="16"/>
        <v>0</v>
      </c>
      <c r="W54" s="924">
        <f t="shared" si="16"/>
        <v>0</v>
      </c>
      <c r="X54" s="924">
        <f t="shared" si="16"/>
        <v>0</v>
      </c>
      <c r="Y54" s="924">
        <f t="shared" si="16"/>
        <v>0</v>
      </c>
      <c r="Z54" s="924">
        <f t="shared" si="16"/>
        <v>0</v>
      </c>
      <c r="AA54" s="924">
        <f t="shared" si="16"/>
        <v>0</v>
      </c>
      <c r="AB54" s="924">
        <f t="shared" si="16"/>
        <v>0</v>
      </c>
      <c r="AC54" s="924">
        <f t="shared" si="16"/>
        <v>0</v>
      </c>
      <c r="AD54" s="924">
        <f t="shared" si="16"/>
        <v>0</v>
      </c>
      <c r="AE54" s="924">
        <f t="shared" si="16"/>
        <v>0</v>
      </c>
      <c r="AF54" s="915"/>
      <c r="AG54" s="915"/>
    </row>
    <row r="55" spans="1:33" hidden="1" x14ac:dyDescent="0.2">
      <c r="A55" s="914"/>
      <c r="B55" s="940"/>
      <c r="C55" s="930" t="s">
        <v>382</v>
      </c>
      <c r="D55" s="924">
        <f t="shared" ref="D55:AE55" si="17">SUMIFS($D$27:$AE$27,$D$5:$AE$5,D$42,$D$8:$AE$8,$C$55)</f>
        <v>0</v>
      </c>
      <c r="E55" s="924">
        <f t="shared" si="17"/>
        <v>0</v>
      </c>
      <c r="F55" s="924">
        <f t="shared" si="17"/>
        <v>0</v>
      </c>
      <c r="G55" s="924">
        <f t="shared" si="17"/>
        <v>0</v>
      </c>
      <c r="H55" s="924">
        <f t="shared" si="17"/>
        <v>0</v>
      </c>
      <c r="I55" s="924">
        <f t="shared" si="17"/>
        <v>0</v>
      </c>
      <c r="J55" s="924">
        <f t="shared" si="17"/>
        <v>0</v>
      </c>
      <c r="K55" s="924">
        <f t="shared" si="17"/>
        <v>0</v>
      </c>
      <c r="L55" s="924">
        <f t="shared" si="17"/>
        <v>0</v>
      </c>
      <c r="M55" s="924">
        <f t="shared" si="17"/>
        <v>0</v>
      </c>
      <c r="N55" s="924">
        <f t="shared" si="17"/>
        <v>0</v>
      </c>
      <c r="O55" s="924">
        <f t="shared" si="17"/>
        <v>0</v>
      </c>
      <c r="P55" s="924">
        <f t="shared" si="17"/>
        <v>0</v>
      </c>
      <c r="Q55" s="924">
        <f t="shared" si="17"/>
        <v>0</v>
      </c>
      <c r="R55" s="924">
        <f t="shared" si="17"/>
        <v>0</v>
      </c>
      <c r="S55" s="924">
        <f t="shared" si="17"/>
        <v>0</v>
      </c>
      <c r="T55" s="924">
        <f t="shared" si="17"/>
        <v>0</v>
      </c>
      <c r="U55" s="924">
        <f t="shared" si="17"/>
        <v>0</v>
      </c>
      <c r="V55" s="924">
        <f t="shared" si="17"/>
        <v>0</v>
      </c>
      <c r="W55" s="924">
        <f t="shared" si="17"/>
        <v>0</v>
      </c>
      <c r="X55" s="924">
        <f t="shared" si="17"/>
        <v>0</v>
      </c>
      <c r="Y55" s="924">
        <f t="shared" si="17"/>
        <v>0</v>
      </c>
      <c r="Z55" s="924">
        <f t="shared" si="17"/>
        <v>0</v>
      </c>
      <c r="AA55" s="924">
        <f t="shared" si="17"/>
        <v>0</v>
      </c>
      <c r="AB55" s="924">
        <f t="shared" si="17"/>
        <v>0</v>
      </c>
      <c r="AC55" s="924">
        <f t="shared" si="17"/>
        <v>0</v>
      </c>
      <c r="AD55" s="924">
        <f t="shared" si="17"/>
        <v>0</v>
      </c>
      <c r="AE55" s="924">
        <f t="shared" si="17"/>
        <v>0</v>
      </c>
      <c r="AF55" s="915"/>
      <c r="AG55" s="915"/>
    </row>
    <row r="56" spans="1:33" hidden="1" x14ac:dyDescent="0.2">
      <c r="A56" s="914"/>
      <c r="B56" s="940"/>
      <c r="C56" s="930" t="s">
        <v>383</v>
      </c>
      <c r="D56" s="924">
        <f t="shared" ref="D56:AE56" si="18">SUMIFS($D$27:$AE$27,$D$5:$AE$5,D$42,$D$8:$AE$8,$C$56)</f>
        <v>0</v>
      </c>
      <c r="E56" s="924">
        <f t="shared" si="18"/>
        <v>0</v>
      </c>
      <c r="F56" s="924">
        <f t="shared" si="18"/>
        <v>0</v>
      </c>
      <c r="G56" s="924">
        <f t="shared" si="18"/>
        <v>0</v>
      </c>
      <c r="H56" s="924">
        <f t="shared" si="18"/>
        <v>0</v>
      </c>
      <c r="I56" s="924">
        <f t="shared" si="18"/>
        <v>0</v>
      </c>
      <c r="J56" s="924">
        <f t="shared" si="18"/>
        <v>0</v>
      </c>
      <c r="K56" s="924">
        <f t="shared" si="18"/>
        <v>0</v>
      </c>
      <c r="L56" s="924">
        <f t="shared" si="18"/>
        <v>0</v>
      </c>
      <c r="M56" s="924">
        <f t="shared" si="18"/>
        <v>0</v>
      </c>
      <c r="N56" s="924">
        <f t="shared" si="18"/>
        <v>0</v>
      </c>
      <c r="O56" s="924">
        <f t="shared" si="18"/>
        <v>0</v>
      </c>
      <c r="P56" s="924">
        <f t="shared" si="18"/>
        <v>0</v>
      </c>
      <c r="Q56" s="924">
        <f t="shared" si="18"/>
        <v>0</v>
      </c>
      <c r="R56" s="924">
        <f t="shared" si="18"/>
        <v>0</v>
      </c>
      <c r="S56" s="924">
        <f t="shared" si="18"/>
        <v>0</v>
      </c>
      <c r="T56" s="924">
        <f t="shared" si="18"/>
        <v>0</v>
      </c>
      <c r="U56" s="924">
        <f t="shared" si="18"/>
        <v>0</v>
      </c>
      <c r="V56" s="924">
        <f t="shared" si="18"/>
        <v>0</v>
      </c>
      <c r="W56" s="924">
        <f t="shared" si="18"/>
        <v>0</v>
      </c>
      <c r="X56" s="924">
        <f t="shared" si="18"/>
        <v>0</v>
      </c>
      <c r="Y56" s="924">
        <f t="shared" si="18"/>
        <v>0</v>
      </c>
      <c r="Z56" s="924">
        <f t="shared" si="18"/>
        <v>0</v>
      </c>
      <c r="AA56" s="924">
        <f t="shared" si="18"/>
        <v>0</v>
      </c>
      <c r="AB56" s="924">
        <f t="shared" si="18"/>
        <v>0</v>
      </c>
      <c r="AC56" s="924">
        <f t="shared" si="18"/>
        <v>0</v>
      </c>
      <c r="AD56" s="924">
        <f t="shared" si="18"/>
        <v>0</v>
      </c>
      <c r="AE56" s="924">
        <f t="shared" si="18"/>
        <v>0</v>
      </c>
      <c r="AF56" s="915"/>
      <c r="AG56" s="915"/>
    </row>
    <row r="57" spans="1:33" hidden="1" x14ac:dyDescent="0.2">
      <c r="A57" s="914"/>
      <c r="B57" s="940"/>
      <c r="C57" s="930" t="s">
        <v>528</v>
      </c>
      <c r="D57" s="924">
        <f t="shared" ref="D57:AE57" si="19">SUMIFS($D$27:$AE$27,$D$5:$AE$5,D$42,$D$8:$AE$8,$C$57)</f>
        <v>3</v>
      </c>
      <c r="E57" s="924">
        <f t="shared" si="19"/>
        <v>1</v>
      </c>
      <c r="F57" s="924">
        <f t="shared" si="19"/>
        <v>1</v>
      </c>
      <c r="G57" s="924">
        <f t="shared" si="19"/>
        <v>1</v>
      </c>
      <c r="H57" s="924">
        <f t="shared" si="19"/>
        <v>1</v>
      </c>
      <c r="I57" s="924">
        <f t="shared" si="19"/>
        <v>1</v>
      </c>
      <c r="J57" s="924">
        <f t="shared" si="19"/>
        <v>1</v>
      </c>
      <c r="K57" s="924">
        <f t="shared" si="19"/>
        <v>1</v>
      </c>
      <c r="L57" s="924">
        <f t="shared" si="19"/>
        <v>1</v>
      </c>
      <c r="M57" s="924">
        <f t="shared" si="19"/>
        <v>1</v>
      </c>
      <c r="N57" s="924">
        <f t="shared" si="19"/>
        <v>1</v>
      </c>
      <c r="O57" s="924">
        <f t="shared" si="19"/>
        <v>1</v>
      </c>
      <c r="P57" s="924">
        <f t="shared" si="19"/>
        <v>1</v>
      </c>
      <c r="Q57" s="924">
        <f t="shared" si="19"/>
        <v>1</v>
      </c>
      <c r="R57" s="924">
        <f t="shared" si="19"/>
        <v>1</v>
      </c>
      <c r="S57" s="924">
        <f t="shared" si="19"/>
        <v>1</v>
      </c>
      <c r="T57" s="924">
        <f t="shared" si="19"/>
        <v>1</v>
      </c>
      <c r="U57" s="924">
        <f t="shared" si="19"/>
        <v>1</v>
      </c>
      <c r="V57" s="924">
        <f t="shared" si="19"/>
        <v>1</v>
      </c>
      <c r="W57" s="924">
        <f t="shared" si="19"/>
        <v>1</v>
      </c>
      <c r="X57" s="924">
        <f t="shared" si="19"/>
        <v>1</v>
      </c>
      <c r="Y57" s="924">
        <f t="shared" si="19"/>
        <v>1</v>
      </c>
      <c r="Z57" s="924">
        <f t="shared" si="19"/>
        <v>1</v>
      </c>
      <c r="AA57" s="924">
        <f t="shared" si="19"/>
        <v>1</v>
      </c>
      <c r="AB57" s="924">
        <f t="shared" si="19"/>
        <v>1</v>
      </c>
      <c r="AC57" s="924">
        <f t="shared" si="19"/>
        <v>1</v>
      </c>
      <c r="AD57" s="924">
        <f t="shared" si="19"/>
        <v>1</v>
      </c>
      <c r="AE57" s="924">
        <f t="shared" si="19"/>
        <v>1</v>
      </c>
      <c r="AF57" s="915"/>
      <c r="AG57" s="915"/>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row r="166" spans="31:32" x14ac:dyDescent="0.2">
      <c r="AE166" s="29"/>
      <c r="AF166" s="29"/>
    </row>
    <row r="167" spans="31:32" x14ac:dyDescent="0.2">
      <c r="AE167" s="29"/>
      <c r="AF167" s="29"/>
    </row>
    <row r="168" spans="31:32" x14ac:dyDescent="0.2">
      <c r="AE168" s="29"/>
      <c r="AF168" s="29"/>
    </row>
    <row r="169" spans="31:32" x14ac:dyDescent="0.2">
      <c r="AE169" s="29"/>
      <c r="AF169" s="29"/>
    </row>
  </sheetData>
  <sheetProtection algorithmName="SHA-512" hashValue="XxxiwGN8pCCvguQx0U2hKsYZdhDTT0ROp5bl4BuG18K8/yFnyGsvFHDzUmpuwahr2ZQXecT+OKz9ndUbJ+VOEw==" saltValue="/3B2HXuwu7NIdxk2XgEv2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444" priority="22">
      <formula>D$7=0</formula>
    </cfRule>
  </conditionalFormatting>
  <conditionalFormatting sqref="D16">
    <cfRule type="expression" dxfId="443" priority="21">
      <formula>D$7=0</formula>
    </cfRule>
  </conditionalFormatting>
  <conditionalFormatting sqref="E27:AE28">
    <cfRule type="expression" dxfId="442" priority="20">
      <formula>E$7=0</formula>
    </cfRule>
  </conditionalFormatting>
  <conditionalFormatting sqref="E16:AE16">
    <cfRule type="expression" dxfId="441" priority="19">
      <formula>E$7=0</formula>
    </cfRule>
  </conditionalFormatting>
  <conditionalFormatting sqref="D11">
    <cfRule type="expression" dxfId="440" priority="18">
      <formula>D$7=0</formula>
    </cfRule>
  </conditionalFormatting>
  <conditionalFormatting sqref="E11:AE11">
    <cfRule type="expression" dxfId="439" priority="17">
      <formula>E$7=0</formula>
    </cfRule>
  </conditionalFormatting>
  <conditionalFormatting sqref="D14:AE14">
    <cfRule type="cellIs" dxfId="438" priority="13" operator="between">
      <formula>0.25</formula>
      <formula>1</formula>
    </cfRule>
    <cfRule type="cellIs" dxfId="437" priority="14" operator="between">
      <formula>0.15</formula>
      <formula>0.25</formula>
    </cfRule>
    <cfRule type="cellIs" dxfId="436" priority="15" operator="between">
      <formula>0</formula>
      <formula>0.15</formula>
    </cfRule>
    <cfRule type="cellIs" dxfId="435" priority="16" operator="between">
      <formula>-0.5</formula>
      <formula>0</formula>
    </cfRule>
  </conditionalFormatting>
  <conditionalFormatting sqref="D17:AE17 D19 D21 D23 D25">
    <cfRule type="expression" dxfId="434" priority="12">
      <formula>D$7=0</formula>
    </cfRule>
  </conditionalFormatting>
  <conditionalFormatting sqref="E19:AE19">
    <cfRule type="expression" dxfId="433" priority="11">
      <formula>E$7=0</formula>
    </cfRule>
  </conditionalFormatting>
  <conditionalFormatting sqref="E20:AE20">
    <cfRule type="expression" dxfId="432" priority="10">
      <formula>E$7=0</formula>
    </cfRule>
  </conditionalFormatting>
  <conditionalFormatting sqref="E21:AE21">
    <cfRule type="expression" dxfId="431" priority="9">
      <formula>E$7=0</formula>
    </cfRule>
  </conditionalFormatting>
  <conditionalFormatting sqref="E22:AE22">
    <cfRule type="expression" dxfId="430" priority="8">
      <formula>E$7=0</formula>
    </cfRule>
  </conditionalFormatting>
  <conditionalFormatting sqref="E23:AE23">
    <cfRule type="expression" dxfId="429" priority="7">
      <formula>E$7=0</formula>
    </cfRule>
  </conditionalFormatting>
  <conditionalFormatting sqref="E24:AE24">
    <cfRule type="expression" dxfId="428" priority="6">
      <formula>E$7=0</formula>
    </cfRule>
  </conditionalFormatting>
  <conditionalFormatting sqref="E25:AE25">
    <cfRule type="expression" dxfId="427" priority="5">
      <formula>E$7=0</formula>
    </cfRule>
  </conditionalFormatting>
  <conditionalFormatting sqref="D26:AE26">
    <cfRule type="expression" dxfId="426" priority="4">
      <formula>D$7=0</formula>
    </cfRule>
  </conditionalFormatting>
  <conditionalFormatting sqref="D20">
    <cfRule type="expression" dxfId="425" priority="3">
      <formula>D$7=0</formula>
    </cfRule>
  </conditionalFormatting>
  <conditionalFormatting sqref="D22">
    <cfRule type="expression" dxfId="424" priority="2">
      <formula>D$7=0</formula>
    </cfRule>
  </conditionalFormatting>
  <conditionalFormatting sqref="D24">
    <cfRule type="expression" dxfId="423" priority="1">
      <formula>D$7=0</formula>
    </cfRule>
  </conditionalFormatting>
  <dataValidations count="2">
    <dataValidation type="list" allowBlank="1" showInputMessage="1" showErrorMessage="1" sqref="D15:AE15" xr:uid="{76B84067-54D4-48C8-ACDD-8838736C5157}">
      <formula1>$P$4:$S$4</formula1>
    </dataValidation>
    <dataValidation type="decimal" allowBlank="1" showErrorMessage="1" errorTitle="Invalid Entry" error="Values in these cells must be a number greater than 12.  Text entries are not allowed.  " sqref="D11:AE11" xr:uid="{C355DF0C-8662-4AA4-A3F2-068F2D60A140}">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1457"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1458"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9065A7D-331D-4E9C-A61A-1FEEBD31CE57}">
          <x14:formula1>
            <xm:f>'Labor &amp; Practice Lookups'!$R$4:$V$4</xm:f>
          </x14:formula1>
          <xm:sqref>D9:AE10</xm:sqref>
        </x14:dataValidation>
        <x14:dataValidation type="list" allowBlank="1" showInputMessage="1" showErrorMessage="1" xr:uid="{ED16F428-6732-4604-9479-00015E9BC353}">
          <x14:formula1>
            <xm:f>'Labor &amp; Practice Lookups'!$Q$5:$Q$11</xm:f>
          </x14:formula1>
          <xm:sqref>D8:AE8</xm:sqref>
        </x14:dataValidation>
        <x14:dataValidation type="list" allowBlank="1" showInputMessage="1" showErrorMessage="1" xr:uid="{E186F16D-0B63-4474-8EFF-2B31304C8D62}">
          <x14:formula1>
            <xm:f>INPUT!$F$5:$F$32</xm:f>
          </x14:formula1>
          <xm:sqref>D5:AE5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5382B-A13B-4E0F-9E42-26B608556AFC}">
  <sheetPr syncVertical="1" syncRef="G10" transitionEvaluation="1" transitionEntry="1" codeName="Sheet29">
    <pageSetUpPr fitToPage="1"/>
  </sheetPr>
  <dimension ref="A1:XFD165"/>
  <sheetViews>
    <sheetView view="pageBreakPreview" topLeftCell="G1" zoomScale="70" zoomScaleNormal="70" zoomScaleSheetLayoutView="70" workbookViewId="0">
      <pane ySplit="9" topLeftCell="A10" activePane="bottomLeft" state="frozen"/>
      <selection pane="bottomLeft" activeCell="R25" sqref="R25"/>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Element2</f>
        <v>Phase Name 2</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v>1</v>
      </c>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187</v>
      </c>
      <c r="AG17" s="262">
        <f>AF17</f>
        <v>187</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4685</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9btLu5VcyKAn4m1CesAGCk0RxH31bA6lZlG1EwaWOzKQ7bM/mfqmtftPk/1AAYB0j0mcKg1SUQnflnpIhxjlkg==" saltValue="BKmtPWeIy9DqaRP3E+KZig=="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422" priority="22">
      <formula>D$7=0</formula>
    </cfRule>
  </conditionalFormatting>
  <conditionalFormatting sqref="D16">
    <cfRule type="expression" dxfId="421" priority="21">
      <formula>D$7=0</formula>
    </cfRule>
  </conditionalFormatting>
  <conditionalFormatting sqref="E27:AE28">
    <cfRule type="expression" dxfId="420" priority="20">
      <formula>E$7=0</formula>
    </cfRule>
  </conditionalFormatting>
  <conditionalFormatting sqref="E16:AE16">
    <cfRule type="expression" dxfId="419" priority="19">
      <formula>E$7=0</formula>
    </cfRule>
  </conditionalFormatting>
  <conditionalFormatting sqref="D11">
    <cfRule type="expression" dxfId="418" priority="18">
      <formula>D$7=0</formula>
    </cfRule>
  </conditionalFormatting>
  <conditionalFormatting sqref="E11:AE11">
    <cfRule type="expression" dxfId="417" priority="17">
      <formula>E$7=0</formula>
    </cfRule>
  </conditionalFormatting>
  <conditionalFormatting sqref="D14:AE14">
    <cfRule type="cellIs" dxfId="416" priority="13" operator="between">
      <formula>0.25</formula>
      <formula>1</formula>
    </cfRule>
    <cfRule type="cellIs" dxfId="415" priority="14" operator="between">
      <formula>0.15</formula>
      <formula>0.25</formula>
    </cfRule>
    <cfRule type="cellIs" dxfId="414" priority="15" operator="between">
      <formula>0</formula>
      <formula>0.15</formula>
    </cfRule>
    <cfRule type="cellIs" dxfId="413" priority="16" operator="between">
      <formula>-0.5</formula>
      <formula>0</formula>
    </cfRule>
  </conditionalFormatting>
  <conditionalFormatting sqref="D17:AE17 D19 D21 D23 D25">
    <cfRule type="expression" dxfId="412" priority="12">
      <formula>D$7=0</formula>
    </cfRule>
  </conditionalFormatting>
  <conditionalFormatting sqref="E19:AE19">
    <cfRule type="expression" dxfId="411" priority="11">
      <formula>E$7=0</formula>
    </cfRule>
  </conditionalFormatting>
  <conditionalFormatting sqref="E20:AE20">
    <cfRule type="expression" dxfId="410" priority="10">
      <formula>E$7=0</formula>
    </cfRule>
  </conditionalFormatting>
  <conditionalFormatting sqref="E21:AE21">
    <cfRule type="expression" dxfId="409" priority="9">
      <formula>E$7=0</formula>
    </cfRule>
  </conditionalFormatting>
  <conditionalFormatting sqref="E22:AE22">
    <cfRule type="expression" dxfId="408" priority="8">
      <formula>E$7=0</formula>
    </cfRule>
  </conditionalFormatting>
  <conditionalFormatting sqref="E23:AE23">
    <cfRule type="expression" dxfId="407" priority="7">
      <formula>E$7=0</formula>
    </cfRule>
  </conditionalFormatting>
  <conditionalFormatting sqref="E24:AE24">
    <cfRule type="expression" dxfId="406" priority="6">
      <formula>E$7=0</formula>
    </cfRule>
  </conditionalFormatting>
  <conditionalFormatting sqref="E25:AE25">
    <cfRule type="expression" dxfId="405" priority="5">
      <formula>E$7=0</formula>
    </cfRule>
  </conditionalFormatting>
  <conditionalFormatting sqref="D26:AE26">
    <cfRule type="expression" dxfId="404" priority="4">
      <formula>D$7=0</formula>
    </cfRule>
  </conditionalFormatting>
  <conditionalFormatting sqref="D20">
    <cfRule type="expression" dxfId="403" priority="3">
      <formula>D$7=0</formula>
    </cfRule>
  </conditionalFormatting>
  <conditionalFormatting sqref="D22">
    <cfRule type="expression" dxfId="402" priority="2">
      <formula>D$7=0</formula>
    </cfRule>
  </conditionalFormatting>
  <conditionalFormatting sqref="D24">
    <cfRule type="expression" dxfId="401" priority="1">
      <formula>D$7=0</formula>
    </cfRule>
  </conditionalFormatting>
  <dataValidations count="2">
    <dataValidation type="list" allowBlank="1" showInputMessage="1" showErrorMessage="1" sqref="D15:AE15" xr:uid="{6E00903A-A79C-4074-8C7F-C0E3B5AD1F72}">
      <formula1>$P$4:$S$4</formula1>
    </dataValidation>
    <dataValidation type="decimal" allowBlank="1" showErrorMessage="1" errorTitle="Invalid Entry" error="Values in these cells must be a number greater than 12.  Text entries are not allowed.  " sqref="D11:AE11" xr:uid="{EDAB1206-FDDB-41A0-ACC9-1342CBBE8FCF}">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2481"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2482"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C8787C4D-7A96-4CB6-99C0-AB1737C6AA6E}">
          <x14:formula1>
            <xm:f>'Labor &amp; Practice Lookups'!$R$4:$V$4</xm:f>
          </x14:formula1>
          <xm:sqref>D9:AE10</xm:sqref>
        </x14:dataValidation>
        <x14:dataValidation type="list" allowBlank="1" showInputMessage="1" showErrorMessage="1" xr:uid="{9B5FFCCB-DC26-4BA5-8A10-1DE784309418}">
          <x14:formula1>
            <xm:f>'Labor &amp; Practice Lookups'!$Q$5:$Q$11</xm:f>
          </x14:formula1>
          <xm:sqref>D8:AE8</xm:sqref>
        </x14:dataValidation>
        <x14:dataValidation type="list" allowBlank="1" showInputMessage="1" showErrorMessage="1" xr:uid="{0FF13310-3346-4368-A431-03E87A3B030B}">
          <x14:formula1>
            <xm:f>INPUT!$F$5:$F$32</xm:f>
          </x14:formula1>
          <xm:sqref>D5:AE5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3ED37-7F7D-4CA1-82F0-C74480863143}">
  <sheetPr syncVertical="1" syncRef="A10" transitionEvaluation="1" transitionEntry="1" codeName="Sheet30">
    <pageSetUpPr fitToPage="1"/>
  </sheetPr>
  <dimension ref="A1:XFD165"/>
  <sheetViews>
    <sheetView view="pageBreakPreview" zoomScale="70" zoomScaleNormal="70" zoomScaleSheetLayoutView="70" workbookViewId="0">
      <pane ySplit="9" topLeftCell="A10" activePane="bottomLeft" state="frozen"/>
      <selection pane="bottomLeft" activeCell="I23" sqref="I23"/>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Element3</f>
        <v>Phase Name 3</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4872</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5kAirSNfZMgBmAH9M5xLEGOul/RtF5E02PPgFJN2Tqpkq1fXTo4FqUXMxjOsBjmz5lek7VSgY+Z+th4jhwoIaA==" saltValue="+z+69FmsaS4w4RLsFJOuQ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400" priority="22">
      <formula>D$7=0</formula>
    </cfRule>
  </conditionalFormatting>
  <conditionalFormatting sqref="D16">
    <cfRule type="expression" dxfId="399" priority="21">
      <formula>D$7=0</formula>
    </cfRule>
  </conditionalFormatting>
  <conditionalFormatting sqref="E27:AE28">
    <cfRule type="expression" dxfId="398" priority="20">
      <formula>E$7=0</formula>
    </cfRule>
  </conditionalFormatting>
  <conditionalFormatting sqref="E16:AE16">
    <cfRule type="expression" dxfId="397" priority="19">
      <formula>E$7=0</formula>
    </cfRule>
  </conditionalFormatting>
  <conditionalFormatting sqref="D11">
    <cfRule type="expression" dxfId="396" priority="18">
      <formula>D$7=0</formula>
    </cfRule>
  </conditionalFormatting>
  <conditionalFormatting sqref="E11:AE11">
    <cfRule type="expression" dxfId="395" priority="17">
      <formula>E$7=0</formula>
    </cfRule>
  </conditionalFormatting>
  <conditionalFormatting sqref="D14:AE14">
    <cfRule type="cellIs" dxfId="394" priority="13" operator="between">
      <formula>0.25</formula>
      <formula>1</formula>
    </cfRule>
    <cfRule type="cellIs" dxfId="393" priority="14" operator="between">
      <formula>0.15</formula>
      <formula>0.25</formula>
    </cfRule>
    <cfRule type="cellIs" dxfId="392" priority="15" operator="between">
      <formula>0</formula>
      <formula>0.15</formula>
    </cfRule>
    <cfRule type="cellIs" dxfId="391" priority="16" operator="between">
      <formula>-0.5</formula>
      <formula>0</formula>
    </cfRule>
  </conditionalFormatting>
  <conditionalFormatting sqref="D17:AE17 D19 D21 D23 D25">
    <cfRule type="expression" dxfId="390" priority="12">
      <formula>D$7=0</formula>
    </cfRule>
  </conditionalFormatting>
  <conditionalFormatting sqref="E19:AE19">
    <cfRule type="expression" dxfId="389" priority="11">
      <formula>E$7=0</formula>
    </cfRule>
  </conditionalFormatting>
  <conditionalFormatting sqref="E20:AE20">
    <cfRule type="expression" dxfId="388" priority="10">
      <formula>E$7=0</formula>
    </cfRule>
  </conditionalFormatting>
  <conditionalFormatting sqref="E21:AE21">
    <cfRule type="expression" dxfId="387" priority="9">
      <formula>E$7=0</formula>
    </cfRule>
  </conditionalFormatting>
  <conditionalFormatting sqref="E22:AE22">
    <cfRule type="expression" dxfId="386" priority="8">
      <formula>E$7=0</formula>
    </cfRule>
  </conditionalFormatting>
  <conditionalFormatting sqref="E23:AE23">
    <cfRule type="expression" dxfId="385" priority="7">
      <formula>E$7=0</formula>
    </cfRule>
  </conditionalFormatting>
  <conditionalFormatting sqref="E24:AE24">
    <cfRule type="expression" dxfId="384" priority="6">
      <formula>E$7=0</formula>
    </cfRule>
  </conditionalFormatting>
  <conditionalFormatting sqref="E25:AE25">
    <cfRule type="expression" dxfId="383" priority="5">
      <formula>E$7=0</formula>
    </cfRule>
  </conditionalFormatting>
  <conditionalFormatting sqref="D26:AE26">
    <cfRule type="expression" dxfId="382" priority="4">
      <formula>D$7=0</formula>
    </cfRule>
  </conditionalFormatting>
  <conditionalFormatting sqref="D20">
    <cfRule type="expression" dxfId="381" priority="3">
      <formula>D$7=0</formula>
    </cfRule>
  </conditionalFormatting>
  <conditionalFormatting sqref="D22">
    <cfRule type="expression" dxfId="380" priority="2">
      <formula>D$7=0</formula>
    </cfRule>
  </conditionalFormatting>
  <conditionalFormatting sqref="D24">
    <cfRule type="expression" dxfId="379" priority="1">
      <formula>D$7=0</formula>
    </cfRule>
  </conditionalFormatting>
  <dataValidations count="2">
    <dataValidation type="list" allowBlank="1" showInputMessage="1" showErrorMessage="1" sqref="D15:AE15" xr:uid="{7898C7C4-DA3C-48D4-BB3E-286410446077}">
      <formula1>$P$4:$S$4</formula1>
    </dataValidation>
    <dataValidation type="decimal" allowBlank="1" showErrorMessage="1" errorTitle="Invalid Entry" error="Values in these cells must be a number greater than 12.  Text entries are not allowed.  " sqref="D11:AE11" xr:uid="{79E877CC-5D38-4BB9-BBB1-4EDDE57CE790}">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3505"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3506"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96F9A889-0B37-4C9F-BE59-398B12DA2B02}">
          <x14:formula1>
            <xm:f>'Labor &amp; Practice Lookups'!$R$4:$V$4</xm:f>
          </x14:formula1>
          <xm:sqref>D9:AE10</xm:sqref>
        </x14:dataValidation>
        <x14:dataValidation type="list" allowBlank="1" showInputMessage="1" showErrorMessage="1" xr:uid="{6F1870C5-F9A9-4E72-A167-E05093A38066}">
          <x14:formula1>
            <xm:f>'Labor &amp; Practice Lookups'!$Q$5:$Q$11</xm:f>
          </x14:formula1>
          <xm:sqref>D8:AE8</xm:sqref>
        </x14:dataValidation>
        <x14:dataValidation type="list" allowBlank="1" showInputMessage="1" showErrorMessage="1" xr:uid="{166258BB-8682-47AC-AD25-0D90A74DE459}">
          <x14:formula1>
            <xm:f>INPUT!$F$5:$F$32</xm:f>
          </x14:formula1>
          <xm:sqref>D5:AE5</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68E3D-35B3-4637-88FF-B06327211A8D}">
  <sheetPr syncVertical="1" syncRef="A10" transitionEvaluation="1" transitionEntry="1" codeName="Sheet31">
    <pageSetUpPr fitToPage="1"/>
  </sheetPr>
  <dimension ref="A1:XFD165"/>
  <sheetViews>
    <sheetView view="pageBreakPreview" zoomScale="70" zoomScaleNormal="70" zoomScaleSheetLayoutView="70" workbookViewId="0">
      <pane ySplit="9" topLeftCell="A10" activePane="bottomLeft" state="frozen"/>
      <selection pane="bottomLeft" activeCell="O25" sqref="O25"/>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Element4</f>
        <v>Phase Name 4</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v>1</v>
      </c>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193</v>
      </c>
      <c r="AG17" s="262">
        <f>AF17</f>
        <v>193</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4679</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LlwQi/0PI0hyVbK5xx8b7ehLcmpgPtGlsvC/0cWvztSyETZhshBl1ik3hABCHa8aE4npl+eEQLUHzz4vgkqHzg==" saltValue="3+IYf9DxgD0A5ngk82gaG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378" priority="22">
      <formula>D$7=0</formula>
    </cfRule>
  </conditionalFormatting>
  <conditionalFormatting sqref="D16">
    <cfRule type="expression" dxfId="377" priority="21">
      <formula>D$7=0</formula>
    </cfRule>
  </conditionalFormatting>
  <conditionalFormatting sqref="E27:AE28">
    <cfRule type="expression" dxfId="376" priority="20">
      <formula>E$7=0</formula>
    </cfRule>
  </conditionalFormatting>
  <conditionalFormatting sqref="E16:AE16">
    <cfRule type="expression" dxfId="375" priority="19">
      <formula>E$7=0</formula>
    </cfRule>
  </conditionalFormatting>
  <conditionalFormatting sqref="D11">
    <cfRule type="expression" dxfId="374" priority="18">
      <formula>D$7=0</formula>
    </cfRule>
  </conditionalFormatting>
  <conditionalFormatting sqref="E11:AE11">
    <cfRule type="expression" dxfId="373" priority="17">
      <formula>E$7=0</formula>
    </cfRule>
  </conditionalFormatting>
  <conditionalFormatting sqref="D14:AE14">
    <cfRule type="cellIs" dxfId="372" priority="13" operator="between">
      <formula>0.25</formula>
      <formula>1</formula>
    </cfRule>
    <cfRule type="cellIs" dxfId="371" priority="14" operator="between">
      <formula>0.15</formula>
      <formula>0.25</formula>
    </cfRule>
    <cfRule type="cellIs" dxfId="370" priority="15" operator="between">
      <formula>0</formula>
      <formula>0.15</formula>
    </cfRule>
    <cfRule type="cellIs" dxfId="369" priority="16" operator="between">
      <formula>-0.5</formula>
      <formula>0</formula>
    </cfRule>
  </conditionalFormatting>
  <conditionalFormatting sqref="D17:AE17 D19 D21 D23 D25">
    <cfRule type="expression" dxfId="368" priority="12">
      <formula>D$7=0</formula>
    </cfRule>
  </conditionalFormatting>
  <conditionalFormatting sqref="E19:AE19">
    <cfRule type="expression" dxfId="367" priority="11">
      <formula>E$7=0</formula>
    </cfRule>
  </conditionalFormatting>
  <conditionalFormatting sqref="E20:AE20">
    <cfRule type="expression" dxfId="366" priority="10">
      <formula>E$7=0</formula>
    </cfRule>
  </conditionalFormatting>
  <conditionalFormatting sqref="E21:AE21">
    <cfRule type="expression" dxfId="365" priority="9">
      <formula>E$7=0</formula>
    </cfRule>
  </conditionalFormatting>
  <conditionalFormatting sqref="E22:AE22">
    <cfRule type="expression" dxfId="364" priority="8">
      <formula>E$7=0</formula>
    </cfRule>
  </conditionalFormatting>
  <conditionalFormatting sqref="E23:AE23">
    <cfRule type="expression" dxfId="363" priority="7">
      <formula>E$7=0</formula>
    </cfRule>
  </conditionalFormatting>
  <conditionalFormatting sqref="E24:AE24">
    <cfRule type="expression" dxfId="362" priority="6">
      <formula>E$7=0</formula>
    </cfRule>
  </conditionalFormatting>
  <conditionalFormatting sqref="E25:AE25">
    <cfRule type="expression" dxfId="361" priority="5">
      <formula>E$7=0</formula>
    </cfRule>
  </conditionalFormatting>
  <conditionalFormatting sqref="D26:AE26">
    <cfRule type="expression" dxfId="360" priority="4">
      <formula>D$7=0</formula>
    </cfRule>
  </conditionalFormatting>
  <conditionalFormatting sqref="D20">
    <cfRule type="expression" dxfId="359" priority="3">
      <formula>D$7=0</formula>
    </cfRule>
  </conditionalFormatting>
  <conditionalFormatting sqref="D22">
    <cfRule type="expression" dxfId="358" priority="2">
      <formula>D$7=0</formula>
    </cfRule>
  </conditionalFormatting>
  <conditionalFormatting sqref="D24">
    <cfRule type="expression" dxfId="357" priority="1">
      <formula>D$7=0</formula>
    </cfRule>
  </conditionalFormatting>
  <dataValidations count="2">
    <dataValidation type="list" allowBlank="1" showInputMessage="1" showErrorMessage="1" sqref="D15:AE15" xr:uid="{CEB80BCD-AB3A-44C9-A103-0318E2F91F52}">
      <formula1>$P$4:$S$4</formula1>
    </dataValidation>
    <dataValidation type="decimal" allowBlank="1" showErrorMessage="1" errorTitle="Invalid Entry" error="Values in these cells must be a number greater than 12.  Text entries are not allowed.  " sqref="D11:AE11" xr:uid="{04AA90E3-E80C-4702-8BDB-C69D669AF5B9}">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4529"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4530"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94A63B3C-1E1A-4A88-8398-407B01A67C0B}">
          <x14:formula1>
            <xm:f>'Labor &amp; Practice Lookups'!$R$4:$V$4</xm:f>
          </x14:formula1>
          <xm:sqref>D9:AE10</xm:sqref>
        </x14:dataValidation>
        <x14:dataValidation type="list" allowBlank="1" showInputMessage="1" showErrorMessage="1" xr:uid="{DEDB053D-D734-4D7E-895A-D71DFFF380AB}">
          <x14:formula1>
            <xm:f>'Labor &amp; Practice Lookups'!$Q$5:$Q$11</xm:f>
          </x14:formula1>
          <xm:sqref>D8:AE8</xm:sqref>
        </x14:dataValidation>
        <x14:dataValidation type="list" allowBlank="1" showInputMessage="1" showErrorMessage="1" xr:uid="{5A4A5EBB-3884-4B66-9693-C6EFFD6A8F52}">
          <x14:formula1>
            <xm:f>INPUT!$F$5:$F$32</xm:f>
          </x14:formula1>
          <xm:sqref>D5:AE5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56641-6010-49E8-819D-FFFBBC185923}">
  <sheetPr syncVertical="1" syncRef="G10" transitionEvaluation="1" transitionEntry="1" codeName="Sheet32">
    <pageSetUpPr fitToPage="1"/>
  </sheetPr>
  <dimension ref="A1:XFD166"/>
  <sheetViews>
    <sheetView view="pageBreakPreview" topLeftCell="G1" zoomScale="70" zoomScaleNormal="70" zoomScaleSheetLayoutView="70" workbookViewId="0">
      <pane ySplit="9" topLeftCell="A10" activePane="bottomLeft" state="frozen"/>
      <selection pane="bottomLeft" activeCell="Q21" sqref="Q21"/>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Element5</f>
        <v>Phase Name 5</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IF(D29=0,"",VLOOKUP(D5,'Labor &amp; Practice Lookups'!$A$4:$I$32,D40))</f>
        <v>111.85081999999998</v>
      </c>
      <c r="E12" s="483">
        <f>IF(E29=0,"",VLOOKUP(E5,'Labor &amp; Practice Lookups'!$A$4:$I$32,E40))</f>
        <v>101.02199194285713</v>
      </c>
      <c r="F12" s="483">
        <f>IF(F29=0,"",VLOOKUP(F5,'Labor &amp; Practice Lookups'!$A$4:$I$32,F40))</f>
        <v>87.382549621466637</v>
      </c>
      <c r="G12" s="483">
        <f>IF(G29=0,"",VLOOKUP(G5,'Labor &amp; Practice Lookups'!$A$4:$I$32,G40))</f>
        <v>85.045982146125013</v>
      </c>
      <c r="H12" s="483">
        <f>IF(H29=0,"",VLOOKUP(H5,'Labor &amp; Practice Lookups'!$A$4:$I$32,H40))</f>
        <v>75.508185999999995</v>
      </c>
      <c r="I12" s="483">
        <f>IF(I29=0,"",VLOOKUP(I5,'Labor &amp; Practice Lookups'!$A$4:$I$32,I40))</f>
        <v>72.356703466666659</v>
      </c>
      <c r="J12" s="483">
        <f>IF(J29=0,"",VLOOKUP(J5,'Labor &amp; Practice Lookups'!$A$4:$I$32,J40))</f>
        <v>71.286207412244877</v>
      </c>
      <c r="K12" s="483">
        <f>IF(K29=0,"",VLOOKUP(K5,'Labor &amp; Practice Lookups'!$A$4:$I$32,K40))</f>
        <v>63.256657098666665</v>
      </c>
      <c r="L12" s="483">
        <f>IF(L29=0,"",VLOOKUP(L5,'Labor &amp; Practice Lookups'!$A$4:$I$32,L40))</f>
        <v>62.578888631999988</v>
      </c>
      <c r="M12" s="483">
        <f>IF(M29=0,"",VLOOKUP(M5,'Labor &amp; Practice Lookups'!$A$4:$I$32,M40))</f>
        <v>59.043301032258057</v>
      </c>
      <c r="N12" s="483">
        <f>IF(N29=0,"",VLOOKUP(N5,'Labor &amp; Practice Lookups'!$A$4:$I$32,N40))</f>
        <v>55.271870536170226</v>
      </c>
      <c r="O12" s="483">
        <f>IF(O29=0,"",VLOOKUP(O5,'Labor &amp; Practice Lookups'!$A$4:$I$32,O40))</f>
        <v>49.333211200000001</v>
      </c>
      <c r="P12" s="483">
        <f>IF(P29=0,"",VLOOKUP(P5,'Labor &amp; Practice Lookups'!$A$4:$I$32,P40))</f>
        <v>49.241842908408145</v>
      </c>
      <c r="Q12" s="483">
        <f>IF(Q29=0,"",VLOOKUP(Q5,'Labor &amp; Practice Lookups'!$A$4:$I$32,Q40))</f>
        <v>46.29836570925373</v>
      </c>
      <c r="R12" s="483">
        <f>IF(R29=0,"",VLOOKUP(R5,'Labor &amp; Practice Lookups'!$A$4:$I$32,R40))</f>
        <v>43.893124925000002</v>
      </c>
      <c r="S12" s="483">
        <f>IF(S29=0,"",VLOOKUP(S5,'Labor &amp; Practice Lookups'!$A$4:$I$32,S40))</f>
        <v>41.24210232380954</v>
      </c>
      <c r="T12" s="483">
        <f>IF(T29=0,"",VLOOKUP(T5,'Labor &amp; Practice Lookups'!$A$4:$I$32,T40))</f>
        <v>40.2051769518961</v>
      </c>
      <c r="U12" s="483">
        <f>IF(U29=0,"",VLOOKUP(U5,'Labor &amp; Practice Lookups'!$A$4:$I$32,U40))</f>
        <v>39.570273762500001</v>
      </c>
      <c r="V12" s="483">
        <f>IF(V29=0,"",VLOOKUP(V5,'Labor &amp; Practice Lookups'!$A$4:$I$32,V40))</f>
        <v>37.486710753488367</v>
      </c>
      <c r="W12" s="483">
        <f>IF(W29=0,"",VLOOKUP(W5,'Labor &amp; Practice Lookups'!$A$4:$I$32,W40))</f>
        <v>32.869074622222222</v>
      </c>
      <c r="X12" s="483">
        <f>IF(X29=0,"",VLOOKUP(X5,'Labor &amp; Practice Lookups'!$A$4:$I$32,X40))</f>
        <v>31.917386831515167</v>
      </c>
      <c r="Y12" s="483">
        <f>IF(Y29=0,"",VLOOKUP(Y5,'Labor &amp; Practice Lookups'!$A$4:$I$32,Y40))</f>
        <v>31.1213889525614</v>
      </c>
      <c r="Z12" s="483">
        <f>IF(Z29=0,"",VLOOKUP(Z5,'Labor &amp; Practice Lookups'!$A$4:$I$32,Z40))</f>
        <v>29.939239200000003</v>
      </c>
      <c r="AA12" s="483">
        <f>IF(AA29=0,"",VLOOKUP(AA5,'Labor &amp; Practice Lookups'!$A$4:$I$32,AA40))</f>
        <v>26.380046515789477</v>
      </c>
      <c r="AB12" s="483">
        <f>IF(AB29=0,"",VLOOKUP(AB5,'Labor &amp; Practice Lookups'!$A$4:$I$32,AB40))</f>
        <v>25.225407537777777</v>
      </c>
      <c r="AC12" s="483">
        <f>IF(AC29=0,"",VLOOKUP(AC5,'Labor &amp; Practice Lookups'!$A$4:$I$32,AC40))</f>
        <v>21.498547199999997</v>
      </c>
      <c r="AD12" s="483">
        <f>IF(AD29=0,"",VLOOKUP(AD5,'Labor &amp; Practice Lookups'!$A$4:$I$32,AD40))</f>
        <v>19.518230716279074</v>
      </c>
      <c r="AE12" s="484">
        <f>IF(AE29=0,"",VLOOKUP(AE5,'Labor &amp; Practice Lookups'!$A$4:$I$32,AE40))</f>
        <v>18.367432255319155</v>
      </c>
      <c r="AF12" s="29"/>
      <c r="AG12" s="404"/>
    </row>
    <row r="13" spans="1:42 16384:16384" x14ac:dyDescent="0.2">
      <c r="A13" s="463"/>
      <c r="B13" s="465"/>
      <c r="C13" s="470" t="s">
        <v>656</v>
      </c>
      <c r="D13" s="471">
        <f t="shared" ref="D13:AE13" si="0">IF(D29=0,"",IF(D11=0,D7/D12,D7/D11))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IF(D35="","",D35/D29)</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v>1</v>
      </c>
      <c r="E17" s="411">
        <v>1</v>
      </c>
      <c r="F17" s="411">
        <v>1</v>
      </c>
      <c r="G17" s="411">
        <v>1</v>
      </c>
      <c r="H17" s="411">
        <v>1</v>
      </c>
      <c r="I17" s="411">
        <v>1</v>
      </c>
      <c r="J17" s="411">
        <v>1</v>
      </c>
      <c r="K17" s="411">
        <v>1</v>
      </c>
      <c r="L17" s="411">
        <v>1</v>
      </c>
      <c r="M17" s="411">
        <v>1</v>
      </c>
      <c r="N17" s="411">
        <v>1</v>
      </c>
      <c r="O17" s="411">
        <v>1</v>
      </c>
      <c r="P17" s="411">
        <v>1</v>
      </c>
      <c r="Q17" s="411">
        <v>1</v>
      </c>
      <c r="R17" s="411">
        <v>1</v>
      </c>
      <c r="S17" s="411">
        <v>1</v>
      </c>
      <c r="T17" s="411">
        <v>1</v>
      </c>
      <c r="U17" s="411">
        <v>1</v>
      </c>
      <c r="V17" s="411">
        <v>1</v>
      </c>
      <c r="W17" s="411">
        <v>1</v>
      </c>
      <c r="X17" s="411">
        <v>1</v>
      </c>
      <c r="Y17" s="411">
        <v>1</v>
      </c>
      <c r="Z17" s="411">
        <v>1</v>
      </c>
      <c r="AA17" s="411">
        <v>1</v>
      </c>
      <c r="AB17" s="411">
        <v>1</v>
      </c>
      <c r="AC17" s="411">
        <v>1</v>
      </c>
      <c r="AD17" s="411">
        <v>1</v>
      </c>
      <c r="AE17" s="411">
        <v>1</v>
      </c>
      <c r="AF17" s="261">
        <f t="shared" ref="AF17:AF26" si="2">(D$7*D17)+(E$7*E17)+(F$7*F17)+(G$7*G17)+(H$7*H17)+(I$7*I17)+(J$7*J17)+(K$7*K17)+(L$7*L17)+(M$7*M17)+(N$7*N17)+(O$7*O17)+(P$7*P17)+(Q$7*Q17)+(R$7*R17)+(S$7*S17)+(T$7*T17)+(U$7*U17)+(V$7*V17)+(W$7*W17)+(X$7*X17)+(Y$7*Y17)+(Z$7*Z17)+(AA$7*AA17)+(AB$7*AB17)+(AC$7*AC17)+(AD$7*AD17)+(AE$7*AE17)</f>
        <v>4872</v>
      </c>
      <c r="AG17" s="262">
        <f>AF17</f>
        <v>4872</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s="1231" customFormat="1" ht="18" customHeight="1" x14ac:dyDescent="0.2">
      <c r="A27" s="1227">
        <v>11</v>
      </c>
      <c r="B27" s="1533"/>
      <c r="C27" s="1534"/>
      <c r="D27" s="1228"/>
      <c r="E27" s="1228"/>
      <c r="F27" s="1228"/>
      <c r="G27" s="1228"/>
      <c r="H27" s="1228"/>
      <c r="I27" s="1228"/>
      <c r="J27" s="1228"/>
      <c r="K27" s="1228"/>
      <c r="L27" s="1228"/>
      <c r="M27" s="1228"/>
      <c r="N27" s="1228"/>
      <c r="O27" s="1228"/>
      <c r="P27" s="1228"/>
      <c r="Q27" s="1228"/>
      <c r="R27" s="1228"/>
      <c r="S27" s="1228"/>
      <c r="T27" s="1228"/>
      <c r="U27" s="1228"/>
      <c r="V27" s="1228"/>
      <c r="W27" s="1228"/>
      <c r="X27" s="1228"/>
      <c r="Y27" s="1228"/>
      <c r="Z27" s="1228"/>
      <c r="AA27" s="1228"/>
      <c r="AB27" s="1228"/>
      <c r="AC27" s="1228"/>
      <c r="AD27" s="1228"/>
      <c r="AE27" s="1228"/>
      <c r="AF27" s="1229">
        <f t="shared" ref="AF27" si="4">(D$7*D27)+(E$7*E27)+(F$7*F27)+(G$7*G27)+(H$7*H27)+(I$7*I27)+(J$7*J27)+(K$7*K27)+(L$7*L27)+(M$7*M27)+(N$7*N27)+(O$7*O27)+(P$7*P27)+(Q$7*Q27)+(R$7*R27)+(S$7*S27)+(T$7*T27)+(U$7*U27)+(V$7*V27)+(W$7*W27)+(X$7*X27)+(Y$7*Y27)+(Z$7*Z27)+(AA$7*AA27)+(AB$7*AB27)+(AC$7*AC27)+(AD$7*AD27)+(AE$7*AE27)</f>
        <v>0</v>
      </c>
      <c r="AG27" s="1230">
        <f>AF27+ AG26</f>
        <v>4872</v>
      </c>
    </row>
    <row r="28" spans="1:34" ht="15" customHeight="1" x14ac:dyDescent="0.2">
      <c r="A28" s="981"/>
      <c r="B28" s="1237" t="str">
        <f>UPPER($A$1) &amp; "   " &amp; UPPER($AK$1) &amp; " TOTAL (HOURS) "</f>
        <v xml:space="preserve">PHASE   PAGE 1 TOTAL (HOURS) </v>
      </c>
      <c r="C28" s="1238"/>
      <c r="D28" s="982">
        <f t="shared" ref="D28:AE28" si="5">SUM(D16:D27)</f>
        <v>1</v>
      </c>
      <c r="E28" s="983">
        <f t="shared" si="5"/>
        <v>1</v>
      </c>
      <c r="F28" s="983">
        <f t="shared" si="5"/>
        <v>1</v>
      </c>
      <c r="G28" s="984">
        <f t="shared" si="5"/>
        <v>1</v>
      </c>
      <c r="H28" s="982">
        <f t="shared" si="5"/>
        <v>1</v>
      </c>
      <c r="I28" s="983">
        <f t="shared" si="5"/>
        <v>1</v>
      </c>
      <c r="J28" s="983">
        <f t="shared" si="5"/>
        <v>1</v>
      </c>
      <c r="K28" s="984">
        <f t="shared" si="5"/>
        <v>1</v>
      </c>
      <c r="L28" s="982">
        <f t="shared" si="5"/>
        <v>1</v>
      </c>
      <c r="M28" s="983">
        <f t="shared" si="5"/>
        <v>1</v>
      </c>
      <c r="N28" s="983">
        <f t="shared" si="5"/>
        <v>1</v>
      </c>
      <c r="O28" s="984">
        <f t="shared" si="5"/>
        <v>1</v>
      </c>
      <c r="P28" s="982">
        <f t="shared" si="5"/>
        <v>1</v>
      </c>
      <c r="Q28" s="983">
        <f t="shared" si="5"/>
        <v>1</v>
      </c>
      <c r="R28" s="983">
        <f t="shared" si="5"/>
        <v>1</v>
      </c>
      <c r="S28" s="984">
        <f t="shared" si="5"/>
        <v>1</v>
      </c>
      <c r="T28" s="982">
        <f t="shared" si="5"/>
        <v>1</v>
      </c>
      <c r="U28" s="983">
        <f t="shared" si="5"/>
        <v>1</v>
      </c>
      <c r="V28" s="983">
        <f t="shared" si="5"/>
        <v>1</v>
      </c>
      <c r="W28" s="984">
        <f t="shared" si="5"/>
        <v>1</v>
      </c>
      <c r="X28" s="982">
        <f t="shared" si="5"/>
        <v>1</v>
      </c>
      <c r="Y28" s="983">
        <f t="shared" si="5"/>
        <v>1</v>
      </c>
      <c r="Z28" s="983">
        <f t="shared" si="5"/>
        <v>1</v>
      </c>
      <c r="AA28" s="984">
        <f t="shared" si="5"/>
        <v>1</v>
      </c>
      <c r="AB28" s="982">
        <f t="shared" si="5"/>
        <v>1</v>
      </c>
      <c r="AC28" s="983">
        <f t="shared" si="5"/>
        <v>1</v>
      </c>
      <c r="AD28" s="983">
        <f t="shared" si="5"/>
        <v>1</v>
      </c>
      <c r="AE28" s="984">
        <f t="shared" si="5"/>
        <v>1</v>
      </c>
      <c r="AF28" s="985"/>
      <c r="AG28" s="986"/>
      <c r="AH28" s="546" t="str">
        <f>IF(AG29=AG45, "Check","Error")</f>
        <v>Check</v>
      </c>
    </row>
    <row r="29" spans="1:34" ht="13.5" thickBot="1" x14ac:dyDescent="0.25">
      <c r="A29" s="258"/>
      <c r="B29" s="1239" t="str">
        <f>UPPER($A$1) &amp; "   " &amp; " CUMULATIVE SUB-TOTAL"</f>
        <v>PHASE    CUMULATIVE SUB-TOTAL</v>
      </c>
      <c r="C29" s="1240"/>
      <c r="D29" s="275">
        <f t="shared" ref="D29:AE29" si="6">D28*D7</f>
        <v>363</v>
      </c>
      <c r="E29" s="276">
        <f t="shared" si="6"/>
        <v>316</v>
      </c>
      <c r="F29" s="276">
        <f t="shared" si="6"/>
        <v>283</v>
      </c>
      <c r="G29" s="277">
        <f t="shared" si="6"/>
        <v>262</v>
      </c>
      <c r="H29" s="275">
        <f t="shared" si="6"/>
        <v>254</v>
      </c>
      <c r="I29" s="276">
        <f t="shared" si="6"/>
        <v>235</v>
      </c>
      <c r="J29" s="276">
        <f t="shared" si="6"/>
        <v>229</v>
      </c>
      <c r="K29" s="277">
        <f t="shared" si="6"/>
        <v>219</v>
      </c>
      <c r="L29" s="275">
        <f t="shared" si="6"/>
        <v>211</v>
      </c>
      <c r="M29" s="276">
        <f t="shared" si="6"/>
        <v>201</v>
      </c>
      <c r="N29" s="276">
        <f t="shared" si="6"/>
        <v>193</v>
      </c>
      <c r="O29" s="277">
        <f t="shared" si="6"/>
        <v>187</v>
      </c>
      <c r="P29" s="275">
        <f t="shared" si="6"/>
        <v>178</v>
      </c>
      <c r="Q29" s="276">
        <f t="shared" si="6"/>
        <v>169</v>
      </c>
      <c r="R29" s="276">
        <f t="shared" si="6"/>
        <v>162</v>
      </c>
      <c r="S29" s="277">
        <f t="shared" si="6"/>
        <v>155</v>
      </c>
      <c r="T29" s="275">
        <f t="shared" si="6"/>
        <v>147</v>
      </c>
      <c r="U29" s="276">
        <f t="shared" si="6"/>
        <v>139</v>
      </c>
      <c r="V29" s="276">
        <f t="shared" si="6"/>
        <v>133</v>
      </c>
      <c r="W29" s="277">
        <f t="shared" si="6"/>
        <v>123</v>
      </c>
      <c r="X29" s="275">
        <f t="shared" si="6"/>
        <v>117</v>
      </c>
      <c r="Y29" s="276">
        <f t="shared" si="6"/>
        <v>110</v>
      </c>
      <c r="Z29" s="276">
        <f t="shared" si="6"/>
        <v>101</v>
      </c>
      <c r="AA29" s="277">
        <f t="shared" si="6"/>
        <v>94</v>
      </c>
      <c r="AB29" s="275">
        <f t="shared" si="6"/>
        <v>85</v>
      </c>
      <c r="AC29" s="276">
        <f t="shared" si="6"/>
        <v>78</v>
      </c>
      <c r="AD29" s="276">
        <f t="shared" si="6"/>
        <v>71</v>
      </c>
      <c r="AE29" s="277">
        <f t="shared" si="6"/>
        <v>57</v>
      </c>
      <c r="AF29" s="547"/>
      <c r="AG29" s="548">
        <f>AG27</f>
        <v>4872</v>
      </c>
    </row>
    <row r="30" spans="1:34" ht="13.5" thickBot="1" x14ac:dyDescent="0.25">
      <c r="D30" s="51">
        <f>SUM(D16:D25)</f>
        <v>1</v>
      </c>
    </row>
    <row r="31" spans="1:34" x14ac:dyDescent="0.2">
      <c r="A31" s="529"/>
      <c r="B31" s="525"/>
      <c r="C31" s="526"/>
      <c r="D31" s="527"/>
      <c r="E31" s="527"/>
      <c r="F31" s="527"/>
      <c r="G31" s="527"/>
      <c r="H31" s="527"/>
      <c r="I31" s="527"/>
      <c r="J31" s="527"/>
      <c r="K31" s="527"/>
      <c r="L31" s="527"/>
      <c r="M31" s="527"/>
      <c r="N31" s="527"/>
      <c r="O31" s="527"/>
      <c r="P31" s="527"/>
      <c r="Q31" s="527"/>
      <c r="R31" s="527"/>
      <c r="S31" s="527"/>
      <c r="T31" s="527"/>
      <c r="U31" s="527"/>
      <c r="V31" s="527"/>
      <c r="W31" s="527"/>
      <c r="X31" s="527"/>
      <c r="Y31" s="527"/>
      <c r="Z31" s="527"/>
      <c r="AA31" s="527"/>
      <c r="AB31" s="527"/>
      <c r="AC31" s="527"/>
      <c r="AD31" s="527"/>
      <c r="AE31" s="530"/>
    </row>
    <row r="32" spans="1:34" x14ac:dyDescent="0.2">
      <c r="A32" s="977"/>
      <c r="AE32" s="531"/>
    </row>
    <row r="33" spans="1:34" x14ac:dyDescent="0.2">
      <c r="A33" s="528"/>
      <c r="AE33" s="531"/>
    </row>
    <row r="34" spans="1:34" x14ac:dyDescent="0.2">
      <c r="A34" s="528"/>
      <c r="AE34" s="531"/>
    </row>
    <row r="35" spans="1:34" hidden="1" x14ac:dyDescent="0.2">
      <c r="A35" s="914"/>
      <c r="B35" s="915"/>
      <c r="C35" s="916" t="s">
        <v>658</v>
      </c>
      <c r="D35" s="917">
        <f t="shared" ref="D35:AE35" si="7">D29-(D36+D38)</f>
        <v>86.728474600000027</v>
      </c>
      <c r="E35" s="917">
        <f t="shared" si="7"/>
        <v>66.475679901142882</v>
      </c>
      <c r="F35" s="917">
        <f t="shared" si="7"/>
        <v>67.165102434977399</v>
      </c>
      <c r="G35" s="917">
        <f t="shared" si="7"/>
        <v>51.936424099071218</v>
      </c>
      <c r="H35" s="917">
        <f t="shared" si="7"/>
        <v>67.494780579999997</v>
      </c>
      <c r="I35" s="917">
        <f t="shared" si="7"/>
        <v>56.278942437333342</v>
      </c>
      <c r="J35" s="917">
        <f t="shared" si="7"/>
        <v>52.923067691755136</v>
      </c>
      <c r="K35" s="917">
        <f t="shared" si="7"/>
        <v>62.756056966293329</v>
      </c>
      <c r="L35" s="917">
        <f t="shared" si="7"/>
        <v>56.430145078960038</v>
      </c>
      <c r="M35" s="917">
        <f t="shared" si="7"/>
        <v>55.163046450322611</v>
      </c>
      <c r="N35" s="917">
        <f t="shared" si="7"/>
        <v>56.478479775659537</v>
      </c>
      <c r="O35" s="917">
        <f t="shared" si="7"/>
        <v>65.146968335999986</v>
      </c>
      <c r="P35" s="917">
        <f t="shared" si="7"/>
        <v>56.372648016231878</v>
      </c>
      <c r="Q35" s="917">
        <f t="shared" si="7"/>
        <v>54.643036698143291</v>
      </c>
      <c r="R35" s="917">
        <f t="shared" si="7"/>
        <v>53.583981435249996</v>
      </c>
      <c r="S35" s="917">
        <f t="shared" si="7"/>
        <v>53.132007260190434</v>
      </c>
      <c r="T35" s="917">
        <f t="shared" si="7"/>
        <v>47.693212928816635</v>
      </c>
      <c r="U35" s="917">
        <f t="shared" si="7"/>
        <v>41.261423806625004</v>
      </c>
      <c r="V35" s="917">
        <f t="shared" si="7"/>
        <v>40.407824438883736</v>
      </c>
      <c r="W35" s="917">
        <f t="shared" si="7"/>
        <v>41.813385683111107</v>
      </c>
      <c r="X35" s="917">
        <f t="shared" si="7"/>
        <v>38.164054526157543</v>
      </c>
      <c r="Y35" s="917">
        <f t="shared" si="7"/>
        <v>33.130169287173345</v>
      </c>
      <c r="Z35" s="917">
        <f t="shared" si="7"/>
        <v>27.050079175999997</v>
      </c>
      <c r="AA35" s="917">
        <f t="shared" si="7"/>
        <v>28.841285105999987</v>
      </c>
      <c r="AB35" s="917">
        <f t="shared" si="7"/>
        <v>22.693243381688895</v>
      </c>
      <c r="AC35" s="917">
        <f t="shared" si="7"/>
        <v>24.89858841600001</v>
      </c>
      <c r="AD35" s="917">
        <f t="shared" si="7"/>
        <v>22.789970130790692</v>
      </c>
      <c r="AE35" s="917">
        <f t="shared" si="7"/>
        <v>11.632442329361687</v>
      </c>
      <c r="AF35" s="915"/>
      <c r="AG35" s="918"/>
      <c r="AH35" s="385" t="s">
        <v>654</v>
      </c>
    </row>
    <row r="36" spans="1:34" ht="13.5" hidden="1" thickBot="1" x14ac:dyDescent="0.25">
      <c r="A36" s="914"/>
      <c r="B36" s="915"/>
      <c r="C36" s="916" t="s">
        <v>654</v>
      </c>
      <c r="D36" s="919">
        <f t="shared" ref="D36:AE36" si="8">IF(D11="",D12*D28,D11*D28)</f>
        <v>111.85081999999998</v>
      </c>
      <c r="E36" s="919">
        <f t="shared" si="8"/>
        <v>101.02199194285713</v>
      </c>
      <c r="F36" s="919">
        <f t="shared" si="8"/>
        <v>87.382549621466637</v>
      </c>
      <c r="G36" s="919">
        <f t="shared" si="8"/>
        <v>85.045982146125013</v>
      </c>
      <c r="H36" s="919">
        <f t="shared" si="8"/>
        <v>75.508185999999995</v>
      </c>
      <c r="I36" s="919">
        <f t="shared" si="8"/>
        <v>72.356703466666659</v>
      </c>
      <c r="J36" s="919">
        <f t="shared" si="8"/>
        <v>71.286207412244877</v>
      </c>
      <c r="K36" s="919">
        <f t="shared" si="8"/>
        <v>63.256657098666665</v>
      </c>
      <c r="L36" s="919">
        <f t="shared" si="8"/>
        <v>62.578888631999988</v>
      </c>
      <c r="M36" s="919">
        <f t="shared" si="8"/>
        <v>59.043301032258057</v>
      </c>
      <c r="N36" s="919">
        <f t="shared" si="8"/>
        <v>55.271870536170226</v>
      </c>
      <c r="O36" s="919">
        <f t="shared" si="8"/>
        <v>49.333211200000001</v>
      </c>
      <c r="P36" s="919">
        <f t="shared" si="8"/>
        <v>49.241842908408145</v>
      </c>
      <c r="Q36" s="919">
        <f t="shared" si="8"/>
        <v>46.29836570925373</v>
      </c>
      <c r="R36" s="919">
        <f t="shared" si="8"/>
        <v>43.893124925000002</v>
      </c>
      <c r="S36" s="919">
        <f t="shared" si="8"/>
        <v>41.24210232380954</v>
      </c>
      <c r="T36" s="919">
        <f t="shared" si="8"/>
        <v>40.2051769518961</v>
      </c>
      <c r="U36" s="919">
        <f t="shared" si="8"/>
        <v>39.570273762500001</v>
      </c>
      <c r="V36" s="919">
        <f t="shared" si="8"/>
        <v>37.486710753488367</v>
      </c>
      <c r="W36" s="919">
        <f t="shared" si="8"/>
        <v>32.869074622222222</v>
      </c>
      <c r="X36" s="919">
        <f t="shared" si="8"/>
        <v>31.917386831515167</v>
      </c>
      <c r="Y36" s="919">
        <f t="shared" si="8"/>
        <v>31.1213889525614</v>
      </c>
      <c r="Z36" s="919">
        <f t="shared" si="8"/>
        <v>29.939239200000003</v>
      </c>
      <c r="AA36" s="919">
        <f t="shared" si="8"/>
        <v>26.380046515789477</v>
      </c>
      <c r="AB36" s="919">
        <f t="shared" si="8"/>
        <v>25.225407537777777</v>
      </c>
      <c r="AC36" s="919">
        <f t="shared" si="8"/>
        <v>21.498547199999997</v>
      </c>
      <c r="AD36" s="919">
        <f t="shared" si="8"/>
        <v>19.518230716279074</v>
      </c>
      <c r="AE36" s="919">
        <f t="shared" si="8"/>
        <v>18.367432255319155</v>
      </c>
      <c r="AF36" s="915"/>
      <c r="AG36" s="920">
        <f>SUM(D36:AE36)</f>
        <v>1428.7107202542752</v>
      </c>
    </row>
    <row r="37" spans="1:34" hidden="1" x14ac:dyDescent="0.2">
      <c r="A37" s="914"/>
      <c r="B37" s="915"/>
      <c r="C37" s="916" t="s">
        <v>652</v>
      </c>
      <c r="D37" s="921">
        <f>VLOOKUP(D8,'Labor &amp; Practice Lookups'!$Q$4:$V$11,D41,FALSE)</f>
        <v>1.47</v>
      </c>
      <c r="E37" s="921">
        <f>VLOOKUP(E8,'Labor &amp; Practice Lookups'!$Q$4:$V$11,E41,FALSE)</f>
        <v>1.47</v>
      </c>
      <c r="F37" s="921">
        <f>VLOOKUP(F8,'Labor &amp; Practice Lookups'!$Q$4:$V$11,F41,FALSE)</f>
        <v>1.47</v>
      </c>
      <c r="G37" s="921">
        <f>VLOOKUP(G8,'Labor &amp; Practice Lookups'!$Q$4:$V$11,G41,FALSE)</f>
        <v>1.47</v>
      </c>
      <c r="H37" s="921">
        <f>VLOOKUP(H8,'Labor &amp; Practice Lookups'!$Q$4:$V$11,H41,FALSE)</f>
        <v>1.47</v>
      </c>
      <c r="I37" s="921">
        <f>VLOOKUP(I8,'Labor &amp; Practice Lookups'!$Q$4:$V$11,I41,FALSE)</f>
        <v>1.47</v>
      </c>
      <c r="J37" s="921">
        <f>VLOOKUP(J8,'Labor &amp; Practice Lookups'!$Q$4:$V$11,J41,FALSE)</f>
        <v>1.47</v>
      </c>
      <c r="K37" s="921">
        <f>VLOOKUP(K8,'Labor &amp; Practice Lookups'!$Q$4:$V$11,K41,FALSE)</f>
        <v>1.47</v>
      </c>
      <c r="L37" s="921">
        <f>VLOOKUP(L8,'Labor &amp; Practice Lookups'!$Q$4:$V$11,L41,FALSE)</f>
        <v>1.47</v>
      </c>
      <c r="M37" s="921">
        <f>VLOOKUP(M8,'Labor &amp; Practice Lookups'!$Q$4:$V$11,M41,FALSE)</f>
        <v>1.47</v>
      </c>
      <c r="N37" s="921">
        <f>VLOOKUP(N8,'Labor &amp; Practice Lookups'!$Q$4:$V$11,N41,FALSE)</f>
        <v>1.47</v>
      </c>
      <c r="O37" s="921">
        <f>VLOOKUP(O8,'Labor &amp; Practice Lookups'!$Q$4:$V$11,O41,FALSE)</f>
        <v>1.47</v>
      </c>
      <c r="P37" s="921">
        <f>VLOOKUP(P8,'Labor &amp; Practice Lookups'!$Q$4:$V$11,P41,FALSE)</f>
        <v>1.47</v>
      </c>
      <c r="Q37" s="921">
        <f>VLOOKUP(Q8,'Labor &amp; Practice Lookups'!$Q$4:$V$11,Q41,FALSE)</f>
        <v>1.47</v>
      </c>
      <c r="R37" s="921">
        <f>VLOOKUP(R8,'Labor &amp; Practice Lookups'!$Q$4:$V$11,R41,FALSE)</f>
        <v>1.47</v>
      </c>
      <c r="S37" s="921">
        <f>VLOOKUP(S8,'Labor &amp; Practice Lookups'!$Q$4:$V$11,S41,FALSE)</f>
        <v>1.47</v>
      </c>
      <c r="T37" s="921">
        <f>VLOOKUP(T8,'Labor &amp; Practice Lookups'!$Q$4:$V$11,T41,FALSE)</f>
        <v>1.47</v>
      </c>
      <c r="U37" s="921">
        <f>VLOOKUP(U8,'Labor &amp; Practice Lookups'!$Q$4:$V$11,U41,FALSE)</f>
        <v>1.47</v>
      </c>
      <c r="V37" s="921">
        <f>VLOOKUP(V8,'Labor &amp; Practice Lookups'!$Q$4:$V$11,V41,FALSE)</f>
        <v>1.47</v>
      </c>
      <c r="W37" s="921">
        <f>VLOOKUP(W8,'Labor &amp; Practice Lookups'!$Q$4:$V$11,W41,FALSE)</f>
        <v>1.47</v>
      </c>
      <c r="X37" s="921">
        <f>VLOOKUP(X8,'Labor &amp; Practice Lookups'!$Q$4:$V$11,X41,FALSE)</f>
        <v>1.47</v>
      </c>
      <c r="Y37" s="921">
        <f>VLOOKUP(Y8,'Labor &amp; Practice Lookups'!$Q$4:$V$11,Y41,FALSE)</f>
        <v>1.47</v>
      </c>
      <c r="Z37" s="921">
        <f>VLOOKUP(Z8,'Labor &amp; Practice Lookups'!$Q$4:$V$11,Z41,FALSE)</f>
        <v>1.47</v>
      </c>
      <c r="AA37" s="921">
        <f>VLOOKUP(AA8,'Labor &amp; Practice Lookups'!$Q$4:$V$11,AA41,FALSE)</f>
        <v>1.47</v>
      </c>
      <c r="AB37" s="921">
        <f>VLOOKUP(AB8,'Labor &amp; Practice Lookups'!$Q$4:$V$11,AB41,FALSE)</f>
        <v>1.47</v>
      </c>
      <c r="AC37" s="921">
        <f>VLOOKUP(AC8,'Labor &amp; Practice Lookups'!$Q$4:$V$11,AC41,FALSE)</f>
        <v>1.47</v>
      </c>
      <c r="AD37" s="921">
        <f>VLOOKUP(AD8,'Labor &amp; Practice Lookups'!$Q$4:$V$11,AD41,FALSE)</f>
        <v>1.47</v>
      </c>
      <c r="AE37" s="921">
        <f>VLOOKUP(AE8,'Labor &amp; Practice Lookups'!$Q$4:$V$11,AE41,FALSE)</f>
        <v>1.47</v>
      </c>
      <c r="AF37" s="915"/>
      <c r="AG37" s="922"/>
      <c r="AH37" s="385" t="s">
        <v>385</v>
      </c>
    </row>
    <row r="38" spans="1:34" ht="13.5" hidden="1" thickBot="1" x14ac:dyDescent="0.25">
      <c r="A38" s="914"/>
      <c r="B38" s="915"/>
      <c r="C38" s="916" t="s">
        <v>385</v>
      </c>
      <c r="D38" s="923">
        <f>D37*D36</f>
        <v>164.42070539999997</v>
      </c>
      <c r="E38" s="923">
        <f>E37*E36</f>
        <v>148.50232815599998</v>
      </c>
      <c r="F38" s="923">
        <f>F37*F36</f>
        <v>128.45234794355596</v>
      </c>
      <c r="G38" s="923">
        <f t="shared" ref="G38:AE38" si="9">G37*G36</f>
        <v>125.01759375480377</v>
      </c>
      <c r="H38" s="923">
        <f t="shared" si="9"/>
        <v>110.99703341999999</v>
      </c>
      <c r="I38" s="923">
        <f t="shared" si="9"/>
        <v>106.36435409599999</v>
      </c>
      <c r="J38" s="923">
        <f t="shared" si="9"/>
        <v>104.79072489599997</v>
      </c>
      <c r="K38" s="923">
        <f t="shared" si="9"/>
        <v>92.987285935039992</v>
      </c>
      <c r="L38" s="923">
        <f t="shared" si="9"/>
        <v>91.990966289039974</v>
      </c>
      <c r="M38" s="923">
        <f t="shared" si="9"/>
        <v>86.793652517419346</v>
      </c>
      <c r="N38" s="923">
        <f t="shared" si="9"/>
        <v>81.249649688170237</v>
      </c>
      <c r="O38" s="923">
        <f t="shared" si="9"/>
        <v>72.519820464000006</v>
      </c>
      <c r="P38" s="923">
        <f t="shared" si="9"/>
        <v>72.385509075359977</v>
      </c>
      <c r="Q38" s="923">
        <f t="shared" si="9"/>
        <v>68.058597592602979</v>
      </c>
      <c r="R38" s="923">
        <f t="shared" si="9"/>
        <v>64.522893639749995</v>
      </c>
      <c r="S38" s="923">
        <f t="shared" si="9"/>
        <v>60.625890416000026</v>
      </c>
      <c r="T38" s="923">
        <f t="shared" si="9"/>
        <v>59.101610119287265</v>
      </c>
      <c r="U38" s="923">
        <f t="shared" si="9"/>
        <v>58.168302430875002</v>
      </c>
      <c r="V38" s="923">
        <f t="shared" si="9"/>
        <v>55.105464807627897</v>
      </c>
      <c r="W38" s="923">
        <f t="shared" si="9"/>
        <v>48.317539694666664</v>
      </c>
      <c r="X38" s="923">
        <f t="shared" si="9"/>
        <v>46.918558642327291</v>
      </c>
      <c r="Y38" s="923">
        <f t="shared" si="9"/>
        <v>45.748441760265258</v>
      </c>
      <c r="Z38" s="923">
        <f t="shared" si="9"/>
        <v>44.010681624</v>
      </c>
      <c r="AA38" s="923">
        <f t="shared" si="9"/>
        <v>38.778668378210533</v>
      </c>
      <c r="AB38" s="923">
        <f t="shared" si="9"/>
        <v>37.081349080533329</v>
      </c>
      <c r="AC38" s="923">
        <f t="shared" si="9"/>
        <v>31.602864383999997</v>
      </c>
      <c r="AD38" s="923">
        <f t="shared" si="9"/>
        <v>28.691799152930237</v>
      </c>
      <c r="AE38" s="923">
        <f t="shared" si="9"/>
        <v>27.000125415319157</v>
      </c>
      <c r="AF38" s="915"/>
      <c r="AG38" s="920">
        <f>SUM(D38:AE38)</f>
        <v>2100.2047587737843</v>
      </c>
    </row>
    <row r="39" spans="1:34" hidden="1" x14ac:dyDescent="0.2">
      <c r="A39" s="914"/>
      <c r="B39" s="915"/>
      <c r="C39" s="924"/>
      <c r="D39" s="924"/>
      <c r="E39" s="924"/>
      <c r="F39" s="924"/>
      <c r="G39" s="924"/>
      <c r="H39" s="924"/>
      <c r="I39" s="924"/>
      <c r="J39" s="924"/>
      <c r="K39" s="924"/>
      <c r="L39" s="924"/>
      <c r="M39" s="924"/>
      <c r="N39" s="924"/>
      <c r="O39" s="924"/>
      <c r="P39" s="924"/>
      <c r="Q39" s="924"/>
      <c r="R39" s="924"/>
      <c r="S39" s="924"/>
      <c r="T39" s="924"/>
      <c r="U39" s="924"/>
      <c r="V39" s="924"/>
      <c r="W39" s="924"/>
      <c r="X39" s="924"/>
      <c r="Y39" s="924"/>
      <c r="Z39" s="924"/>
      <c r="AA39" s="924"/>
      <c r="AB39" s="924"/>
      <c r="AC39" s="924"/>
      <c r="AD39" s="924"/>
      <c r="AE39" s="924"/>
      <c r="AF39" s="915"/>
      <c r="AG39" s="915"/>
    </row>
    <row r="40" spans="1:34" hidden="1" x14ac:dyDescent="0.2">
      <c r="A40" s="914"/>
      <c r="B40" s="915"/>
      <c r="C40" s="925" t="s">
        <v>650</v>
      </c>
      <c r="D40" s="925">
        <f>VLOOKUP(D8,'Labor &amp; Practice Lookups'!$K$4:$L$10,2,FALSE)</f>
        <v>9</v>
      </c>
      <c r="E40" s="925">
        <f>VLOOKUP(E8,'Labor &amp; Practice Lookups'!$K$4:$L$10,2,FALSE)</f>
        <v>9</v>
      </c>
      <c r="F40" s="925">
        <f>VLOOKUP(F8,'Labor &amp; Practice Lookups'!$K$4:$L$10,2,FALSE)</f>
        <v>9</v>
      </c>
      <c r="G40" s="925">
        <f>VLOOKUP(G8,'Labor &amp; Practice Lookups'!$K$4:$L$10,2,FALSE)</f>
        <v>9</v>
      </c>
      <c r="H40" s="925">
        <f>VLOOKUP(H8,'Labor &amp; Practice Lookups'!$K$4:$L$10,2,FALSE)</f>
        <v>9</v>
      </c>
      <c r="I40" s="925">
        <f>VLOOKUP(I8,'Labor &amp; Practice Lookups'!$K$4:$L$10,2,FALSE)</f>
        <v>9</v>
      </c>
      <c r="J40" s="925">
        <f>VLOOKUP(J8,'Labor &amp; Practice Lookups'!$K$4:$L$10,2,FALSE)</f>
        <v>9</v>
      </c>
      <c r="K40" s="925">
        <f>VLOOKUP(K8,'Labor &amp; Practice Lookups'!$K$4:$L$10,2,FALSE)</f>
        <v>9</v>
      </c>
      <c r="L40" s="925">
        <f>VLOOKUP(L8,'Labor &amp; Practice Lookups'!$K$4:$L$10,2,FALSE)</f>
        <v>9</v>
      </c>
      <c r="M40" s="925">
        <f>VLOOKUP(M8,'Labor &amp; Practice Lookups'!$K$4:$L$10,2,FALSE)</f>
        <v>9</v>
      </c>
      <c r="N40" s="925">
        <f>VLOOKUP(N8,'Labor &amp; Practice Lookups'!$K$4:$L$10,2,FALSE)</f>
        <v>9</v>
      </c>
      <c r="O40" s="925">
        <f>VLOOKUP(O8,'Labor &amp; Practice Lookups'!$K$4:$L$10,2,FALSE)</f>
        <v>9</v>
      </c>
      <c r="P40" s="925">
        <f>VLOOKUP(P8,'Labor &amp; Practice Lookups'!$K$4:$L$10,2,FALSE)</f>
        <v>9</v>
      </c>
      <c r="Q40" s="925">
        <f>VLOOKUP(Q8,'Labor &amp; Practice Lookups'!$K$4:$L$10,2,FALSE)</f>
        <v>9</v>
      </c>
      <c r="R40" s="925">
        <f>VLOOKUP(R8,'Labor &amp; Practice Lookups'!$K$4:$L$10,2,FALSE)</f>
        <v>9</v>
      </c>
      <c r="S40" s="925">
        <f>VLOOKUP(S8,'Labor &amp; Practice Lookups'!$K$4:$L$10,2,FALSE)</f>
        <v>9</v>
      </c>
      <c r="T40" s="925">
        <f>VLOOKUP(T8,'Labor &amp; Practice Lookups'!$K$4:$L$10,2,FALSE)</f>
        <v>9</v>
      </c>
      <c r="U40" s="925">
        <f>VLOOKUP(U8,'Labor &amp; Practice Lookups'!$K$4:$L$10,2,FALSE)</f>
        <v>9</v>
      </c>
      <c r="V40" s="925">
        <f>VLOOKUP(V8,'Labor &amp; Practice Lookups'!$K$4:$L$10,2,FALSE)</f>
        <v>9</v>
      </c>
      <c r="W40" s="925">
        <f>VLOOKUP(W8,'Labor &amp; Practice Lookups'!$K$4:$L$10,2,FALSE)</f>
        <v>9</v>
      </c>
      <c r="X40" s="925">
        <f>VLOOKUP(X8,'Labor &amp; Practice Lookups'!$K$4:$L$10,2,FALSE)</f>
        <v>9</v>
      </c>
      <c r="Y40" s="925">
        <f>VLOOKUP(Y8,'Labor &amp; Practice Lookups'!$K$4:$L$10,2,FALSE)</f>
        <v>9</v>
      </c>
      <c r="Z40" s="925">
        <f>VLOOKUP(Z8,'Labor &amp; Practice Lookups'!$K$4:$L$10,2,FALSE)</f>
        <v>9</v>
      </c>
      <c r="AA40" s="925">
        <f>VLOOKUP(AA8,'Labor &amp; Practice Lookups'!$K$4:$L$10,2,FALSE)</f>
        <v>9</v>
      </c>
      <c r="AB40" s="925">
        <f>VLOOKUP(AB8,'Labor &amp; Practice Lookups'!$K$4:$L$10,2,FALSE)</f>
        <v>9</v>
      </c>
      <c r="AC40" s="925">
        <f>VLOOKUP(AC8,'Labor &amp; Practice Lookups'!$K$4:$L$10,2,FALSE)</f>
        <v>9</v>
      </c>
      <c r="AD40" s="925">
        <f>VLOOKUP(AD8,'Labor &amp; Practice Lookups'!$K$4:$L$10,2,FALSE)</f>
        <v>9</v>
      </c>
      <c r="AE40" s="925">
        <f>VLOOKUP(AE8,'Labor &amp; Practice Lookups'!$K$4:$L$10,2,FALSE)</f>
        <v>9</v>
      </c>
      <c r="AF40" s="915"/>
      <c r="AG40" s="915"/>
    </row>
    <row r="41" spans="1:34" ht="12.75" hidden="1" customHeight="1" x14ac:dyDescent="0.2">
      <c r="A41" s="914"/>
      <c r="B41" s="915"/>
      <c r="C41" s="925" t="s">
        <v>649</v>
      </c>
      <c r="D41" s="925">
        <f>VLOOKUP(D9,'Labor &amp; Practice Lookups'!$X$4:$Y$8,2,FALSE)</f>
        <v>2</v>
      </c>
      <c r="E41" s="925">
        <f>VLOOKUP(E9,'Labor &amp; Practice Lookups'!$X$4:$Y$8,2,FALSE)</f>
        <v>2</v>
      </c>
      <c r="F41" s="925">
        <f>VLOOKUP(F9,'Labor &amp; Practice Lookups'!$X$4:$Y$8,2,FALSE)</f>
        <v>2</v>
      </c>
      <c r="G41" s="925">
        <f>VLOOKUP(G9,'Labor &amp; Practice Lookups'!$X$4:$Y$8,2,FALSE)</f>
        <v>2</v>
      </c>
      <c r="H41" s="925">
        <f>VLOOKUP(H9,'Labor &amp; Practice Lookups'!$X$4:$Y$8,2,FALSE)</f>
        <v>2</v>
      </c>
      <c r="I41" s="925">
        <f>VLOOKUP(I9,'Labor &amp; Practice Lookups'!$X$4:$Y$8,2,FALSE)</f>
        <v>2</v>
      </c>
      <c r="J41" s="925">
        <f>VLOOKUP(J9,'Labor &amp; Practice Lookups'!$X$4:$Y$8,2,FALSE)</f>
        <v>2</v>
      </c>
      <c r="K41" s="925">
        <f>VLOOKUP(K9,'Labor &amp; Practice Lookups'!$X$4:$Y$8,2,FALSE)</f>
        <v>2</v>
      </c>
      <c r="L41" s="925">
        <f>VLOOKUP(L9,'Labor &amp; Practice Lookups'!$X$4:$Y$8,2,FALSE)</f>
        <v>2</v>
      </c>
      <c r="M41" s="925">
        <f>VLOOKUP(M9,'Labor &amp; Practice Lookups'!$X$4:$Y$8,2,FALSE)</f>
        <v>2</v>
      </c>
      <c r="N41" s="925">
        <f>VLOOKUP(N9,'Labor &amp; Practice Lookups'!$X$4:$Y$8,2,FALSE)</f>
        <v>2</v>
      </c>
      <c r="O41" s="925">
        <f>VLOOKUP(O9,'Labor &amp; Practice Lookups'!$X$4:$Y$8,2,FALSE)</f>
        <v>2</v>
      </c>
      <c r="P41" s="925">
        <f>VLOOKUP(P9,'Labor &amp; Practice Lookups'!$X$4:$Y$8,2,FALSE)</f>
        <v>2</v>
      </c>
      <c r="Q41" s="925">
        <f>VLOOKUP(Q9,'Labor &amp; Practice Lookups'!$X$4:$Y$8,2,FALSE)</f>
        <v>2</v>
      </c>
      <c r="R41" s="925">
        <f>VLOOKUP(R9,'Labor &amp; Practice Lookups'!$X$4:$Y$8,2,FALSE)</f>
        <v>2</v>
      </c>
      <c r="S41" s="925">
        <f>VLOOKUP(S9,'Labor &amp; Practice Lookups'!$X$4:$Y$8,2,FALSE)</f>
        <v>2</v>
      </c>
      <c r="T41" s="925">
        <f>VLOOKUP(T9,'Labor &amp; Practice Lookups'!$X$4:$Y$8,2,FALSE)</f>
        <v>2</v>
      </c>
      <c r="U41" s="925">
        <f>VLOOKUP(U9,'Labor &amp; Practice Lookups'!$X$4:$Y$8,2,FALSE)</f>
        <v>2</v>
      </c>
      <c r="V41" s="925">
        <f>VLOOKUP(V9,'Labor &amp; Practice Lookups'!$X$4:$Y$8,2,FALSE)</f>
        <v>2</v>
      </c>
      <c r="W41" s="925">
        <f>VLOOKUP(W9,'Labor &amp; Practice Lookups'!$X$4:$Y$8,2,FALSE)</f>
        <v>2</v>
      </c>
      <c r="X41" s="925">
        <f>VLOOKUP(X9,'Labor &amp; Practice Lookups'!$X$4:$Y$8,2,FALSE)</f>
        <v>2</v>
      </c>
      <c r="Y41" s="925">
        <f>VLOOKUP(Y9,'Labor &amp; Practice Lookups'!$X$4:$Y$8,2,FALSE)</f>
        <v>2</v>
      </c>
      <c r="Z41" s="925">
        <f>VLOOKUP(Z9,'Labor &amp; Practice Lookups'!$X$4:$Y$8,2,FALSE)</f>
        <v>2</v>
      </c>
      <c r="AA41" s="925">
        <f>VLOOKUP(AA9,'Labor &amp; Practice Lookups'!$X$4:$Y$8,2,FALSE)</f>
        <v>2</v>
      </c>
      <c r="AB41" s="925">
        <f>VLOOKUP(AB9,'Labor &amp; Practice Lookups'!$X$4:$Y$8,2,FALSE)</f>
        <v>2</v>
      </c>
      <c r="AC41" s="925">
        <f>VLOOKUP(AC9,'Labor &amp; Practice Lookups'!$X$4:$Y$8,2,FALSE)</f>
        <v>2</v>
      </c>
      <c r="AD41" s="925">
        <f>VLOOKUP(AD9,'Labor &amp; Practice Lookups'!$X$4:$Y$8,2,FALSE)</f>
        <v>2</v>
      </c>
      <c r="AE41" s="925">
        <f>VLOOKUP(AE9,'Labor &amp; Practice Lookups'!$X$4:$Y$8,2,FALSE)</f>
        <v>2</v>
      </c>
      <c r="AF41" s="915"/>
      <c r="AG41" s="915"/>
    </row>
    <row r="42" spans="1:34" ht="12.75" hidden="1" customHeight="1" thickBot="1" x14ac:dyDescent="0.25">
      <c r="A42" s="914"/>
      <c r="B42" s="940"/>
      <c r="C42" s="915"/>
      <c r="D42" s="924"/>
      <c r="E42" s="924"/>
      <c r="F42" s="924"/>
      <c r="G42" s="924"/>
      <c r="H42" s="924"/>
      <c r="I42" s="924"/>
      <c r="J42" s="924"/>
      <c r="K42" s="924"/>
      <c r="L42" s="924"/>
      <c r="M42" s="924"/>
      <c r="N42" s="924"/>
      <c r="O42" s="924"/>
      <c r="P42" s="924"/>
      <c r="Q42" s="924"/>
      <c r="R42" s="924"/>
      <c r="S42" s="924"/>
      <c r="T42" s="924"/>
      <c r="U42" s="924"/>
      <c r="V42" s="924"/>
      <c r="W42" s="924"/>
      <c r="X42" s="924"/>
      <c r="Y42" s="924"/>
      <c r="Z42" s="924"/>
      <c r="AA42" s="924"/>
      <c r="AB42" s="924"/>
      <c r="AC42" s="924"/>
      <c r="AD42" s="924"/>
      <c r="AE42" s="915"/>
      <c r="AF42" s="915"/>
      <c r="AG42" s="915"/>
    </row>
    <row r="43" spans="1:34" ht="12.75" hidden="1" customHeight="1" x14ac:dyDescent="0.2">
      <c r="A43" s="914"/>
      <c r="B43" s="940"/>
      <c r="C43" s="924"/>
      <c r="D43" s="927" t="s">
        <v>785</v>
      </c>
      <c r="E43" s="928" t="s">
        <v>786</v>
      </c>
      <c r="F43" s="928" t="s">
        <v>787</v>
      </c>
      <c r="G43" s="928" t="s">
        <v>788</v>
      </c>
      <c r="H43" s="928" t="s">
        <v>789</v>
      </c>
      <c r="I43" s="928" t="s">
        <v>790</v>
      </c>
      <c r="J43" s="928" t="s">
        <v>791</v>
      </c>
      <c r="K43" s="928" t="s">
        <v>792</v>
      </c>
      <c r="L43" s="928" t="s">
        <v>793</v>
      </c>
      <c r="M43" s="928" t="s">
        <v>794</v>
      </c>
      <c r="N43" s="928" t="s">
        <v>795</v>
      </c>
      <c r="O43" s="928" t="s">
        <v>796</v>
      </c>
      <c r="P43" s="928" t="s">
        <v>797</v>
      </c>
      <c r="Q43" s="928" t="s">
        <v>798</v>
      </c>
      <c r="R43" s="928" t="s">
        <v>799</v>
      </c>
      <c r="S43" s="928" t="s">
        <v>800</v>
      </c>
      <c r="T43" s="928" t="s">
        <v>801</v>
      </c>
      <c r="U43" s="928" t="s">
        <v>802</v>
      </c>
      <c r="V43" s="928" t="s">
        <v>803</v>
      </c>
      <c r="W43" s="928" t="s">
        <v>804</v>
      </c>
      <c r="X43" s="928" t="s">
        <v>805</v>
      </c>
      <c r="Y43" s="928" t="s">
        <v>806</v>
      </c>
      <c r="Z43" s="928" t="s">
        <v>807</v>
      </c>
      <c r="AA43" s="928" t="s">
        <v>808</v>
      </c>
      <c r="AB43" s="928" t="s">
        <v>809</v>
      </c>
      <c r="AC43" s="928" t="s">
        <v>810</v>
      </c>
      <c r="AD43" s="928" t="s">
        <v>811</v>
      </c>
      <c r="AE43" s="929" t="s">
        <v>812</v>
      </c>
      <c r="AF43" s="915"/>
      <c r="AG43" s="915"/>
    </row>
    <row r="44" spans="1:34" ht="12.75" hidden="1" customHeight="1" x14ac:dyDescent="0.2">
      <c r="A44" s="914"/>
      <c r="B44" s="940"/>
      <c r="C44" s="930" t="s">
        <v>753</v>
      </c>
      <c r="D44" s="931">
        <f t="shared" ref="D44:AE44" si="10">SUMIF($D$5:$AE$5,D43,$D$28:$AE$28)</f>
        <v>1</v>
      </c>
      <c r="E44" s="932">
        <f t="shared" si="10"/>
        <v>1</v>
      </c>
      <c r="F44" s="932">
        <f t="shared" si="10"/>
        <v>1</v>
      </c>
      <c r="G44" s="932">
        <f t="shared" si="10"/>
        <v>1</v>
      </c>
      <c r="H44" s="932">
        <f t="shared" si="10"/>
        <v>1</v>
      </c>
      <c r="I44" s="932">
        <f t="shared" si="10"/>
        <v>1</v>
      </c>
      <c r="J44" s="932">
        <f t="shared" si="10"/>
        <v>1</v>
      </c>
      <c r="K44" s="932">
        <f t="shared" si="10"/>
        <v>1</v>
      </c>
      <c r="L44" s="932">
        <f t="shared" si="10"/>
        <v>1</v>
      </c>
      <c r="M44" s="932">
        <f t="shared" si="10"/>
        <v>1</v>
      </c>
      <c r="N44" s="932">
        <f t="shared" si="10"/>
        <v>1</v>
      </c>
      <c r="O44" s="932">
        <f t="shared" si="10"/>
        <v>1</v>
      </c>
      <c r="P44" s="932">
        <f t="shared" si="10"/>
        <v>1</v>
      </c>
      <c r="Q44" s="932">
        <f t="shared" si="10"/>
        <v>1</v>
      </c>
      <c r="R44" s="932">
        <f t="shared" si="10"/>
        <v>1</v>
      </c>
      <c r="S44" s="932">
        <f t="shared" si="10"/>
        <v>1</v>
      </c>
      <c r="T44" s="932">
        <f t="shared" si="10"/>
        <v>1</v>
      </c>
      <c r="U44" s="932">
        <f t="shared" si="10"/>
        <v>1</v>
      </c>
      <c r="V44" s="932">
        <f t="shared" si="10"/>
        <v>1</v>
      </c>
      <c r="W44" s="932">
        <f t="shared" si="10"/>
        <v>1</v>
      </c>
      <c r="X44" s="932">
        <f t="shared" si="10"/>
        <v>1</v>
      </c>
      <c r="Y44" s="932">
        <f t="shared" si="10"/>
        <v>1</v>
      </c>
      <c r="Z44" s="932">
        <f t="shared" si="10"/>
        <v>1</v>
      </c>
      <c r="AA44" s="932">
        <f t="shared" si="10"/>
        <v>1</v>
      </c>
      <c r="AB44" s="932">
        <f t="shared" si="10"/>
        <v>1</v>
      </c>
      <c r="AC44" s="932">
        <f t="shared" si="10"/>
        <v>1</v>
      </c>
      <c r="AD44" s="932">
        <f t="shared" si="10"/>
        <v>1</v>
      </c>
      <c r="AE44" s="933">
        <f t="shared" si="10"/>
        <v>1</v>
      </c>
      <c r="AF44" s="915"/>
      <c r="AG44" s="915"/>
    </row>
    <row r="45" spans="1:34" ht="12.75" hidden="1" customHeight="1" thickBot="1" x14ac:dyDescent="0.25">
      <c r="A45" s="914"/>
      <c r="B45" s="940"/>
      <c r="C45" s="930" t="s">
        <v>754</v>
      </c>
      <c r="D45" s="934">
        <f t="shared" ref="D45:AE45" si="11">SUMIF($D$5:$AE$5,D43,$D$29:$AE$29)</f>
        <v>363</v>
      </c>
      <c r="E45" s="935">
        <f t="shared" si="11"/>
        <v>316</v>
      </c>
      <c r="F45" s="935">
        <f t="shared" si="11"/>
        <v>283</v>
      </c>
      <c r="G45" s="935">
        <f t="shared" si="11"/>
        <v>262</v>
      </c>
      <c r="H45" s="935">
        <f t="shared" si="11"/>
        <v>254</v>
      </c>
      <c r="I45" s="935">
        <f t="shared" si="11"/>
        <v>235</v>
      </c>
      <c r="J45" s="935">
        <f t="shared" si="11"/>
        <v>229</v>
      </c>
      <c r="K45" s="935">
        <f t="shared" si="11"/>
        <v>219</v>
      </c>
      <c r="L45" s="935">
        <f t="shared" si="11"/>
        <v>211</v>
      </c>
      <c r="M45" s="935">
        <f t="shared" si="11"/>
        <v>201</v>
      </c>
      <c r="N45" s="935">
        <f t="shared" si="11"/>
        <v>193</v>
      </c>
      <c r="O45" s="935">
        <f t="shared" si="11"/>
        <v>187</v>
      </c>
      <c r="P45" s="935">
        <f t="shared" si="11"/>
        <v>178</v>
      </c>
      <c r="Q45" s="935">
        <f t="shared" si="11"/>
        <v>169</v>
      </c>
      <c r="R45" s="935">
        <f t="shared" si="11"/>
        <v>162</v>
      </c>
      <c r="S45" s="935">
        <f t="shared" si="11"/>
        <v>155</v>
      </c>
      <c r="T45" s="935">
        <f t="shared" si="11"/>
        <v>147</v>
      </c>
      <c r="U45" s="935">
        <f t="shared" si="11"/>
        <v>139</v>
      </c>
      <c r="V45" s="935">
        <f t="shared" si="11"/>
        <v>133</v>
      </c>
      <c r="W45" s="935">
        <f t="shared" si="11"/>
        <v>123</v>
      </c>
      <c r="X45" s="935">
        <f t="shared" si="11"/>
        <v>117</v>
      </c>
      <c r="Y45" s="935">
        <f t="shared" si="11"/>
        <v>110</v>
      </c>
      <c r="Z45" s="935">
        <f t="shared" si="11"/>
        <v>101</v>
      </c>
      <c r="AA45" s="935">
        <f t="shared" si="11"/>
        <v>94</v>
      </c>
      <c r="AB45" s="935">
        <f t="shared" si="11"/>
        <v>85</v>
      </c>
      <c r="AC45" s="935">
        <f t="shared" si="11"/>
        <v>78</v>
      </c>
      <c r="AD45" s="935">
        <f t="shared" si="11"/>
        <v>71</v>
      </c>
      <c r="AE45" s="936">
        <f t="shared" si="11"/>
        <v>57</v>
      </c>
      <c r="AF45" s="915"/>
      <c r="AG45" s="915">
        <f>SUM(D45:AE45)</f>
        <v>4872</v>
      </c>
    </row>
    <row r="46" spans="1:34" ht="12.75" hidden="1" customHeight="1" x14ac:dyDescent="0.2">
      <c r="A46" s="914"/>
      <c r="B46" s="915"/>
      <c r="C46" s="916" t="s">
        <v>671</v>
      </c>
      <c r="D46" s="937">
        <f t="shared" ref="D46:AE46" si="12">SUMIF($D$5:$AE$5,D43,$D$36:$AE$36)</f>
        <v>111.85081999999998</v>
      </c>
      <c r="E46" s="937">
        <f t="shared" si="12"/>
        <v>101.02199194285713</v>
      </c>
      <c r="F46" s="937">
        <f t="shared" si="12"/>
        <v>87.382549621466637</v>
      </c>
      <c r="G46" s="937">
        <f t="shared" si="12"/>
        <v>85.045982146125013</v>
      </c>
      <c r="H46" s="937">
        <f t="shared" si="12"/>
        <v>75.508185999999995</v>
      </c>
      <c r="I46" s="937">
        <f t="shared" si="12"/>
        <v>72.356703466666659</v>
      </c>
      <c r="J46" s="937">
        <f t="shared" si="12"/>
        <v>71.286207412244877</v>
      </c>
      <c r="K46" s="937">
        <f t="shared" si="12"/>
        <v>63.256657098666665</v>
      </c>
      <c r="L46" s="937">
        <f t="shared" si="12"/>
        <v>62.578888631999988</v>
      </c>
      <c r="M46" s="937">
        <f t="shared" si="12"/>
        <v>59.043301032258057</v>
      </c>
      <c r="N46" s="937">
        <f t="shared" si="12"/>
        <v>55.271870536170226</v>
      </c>
      <c r="O46" s="937">
        <f t="shared" si="12"/>
        <v>49.333211200000001</v>
      </c>
      <c r="P46" s="937">
        <f t="shared" si="12"/>
        <v>49.241842908408145</v>
      </c>
      <c r="Q46" s="937">
        <f t="shared" si="12"/>
        <v>46.29836570925373</v>
      </c>
      <c r="R46" s="937">
        <f t="shared" si="12"/>
        <v>43.893124925000002</v>
      </c>
      <c r="S46" s="937">
        <f t="shared" si="12"/>
        <v>41.24210232380954</v>
      </c>
      <c r="T46" s="937">
        <f t="shared" si="12"/>
        <v>40.2051769518961</v>
      </c>
      <c r="U46" s="937">
        <f t="shared" si="12"/>
        <v>39.570273762500001</v>
      </c>
      <c r="V46" s="937">
        <f t="shared" si="12"/>
        <v>37.486710753488367</v>
      </c>
      <c r="W46" s="937">
        <f t="shared" si="12"/>
        <v>32.869074622222222</v>
      </c>
      <c r="X46" s="937">
        <f t="shared" si="12"/>
        <v>31.917386831515167</v>
      </c>
      <c r="Y46" s="937">
        <f t="shared" si="12"/>
        <v>31.1213889525614</v>
      </c>
      <c r="Z46" s="937">
        <f t="shared" si="12"/>
        <v>29.939239200000003</v>
      </c>
      <c r="AA46" s="937">
        <f t="shared" si="12"/>
        <v>26.380046515789477</v>
      </c>
      <c r="AB46" s="937">
        <f t="shared" si="12"/>
        <v>25.225407537777777</v>
      </c>
      <c r="AC46" s="937">
        <f t="shared" si="12"/>
        <v>21.498547199999997</v>
      </c>
      <c r="AD46" s="937">
        <f t="shared" si="12"/>
        <v>19.518230716279074</v>
      </c>
      <c r="AE46" s="937">
        <f t="shared" si="12"/>
        <v>18.367432255319155</v>
      </c>
      <c r="AF46" s="915"/>
      <c r="AG46" s="915"/>
    </row>
    <row r="47" spans="1:34" ht="12.75" hidden="1" customHeight="1" x14ac:dyDescent="0.2">
      <c r="A47" s="914"/>
      <c r="B47" s="915"/>
      <c r="C47" s="916" t="s">
        <v>672</v>
      </c>
      <c r="D47" s="937">
        <f t="shared" ref="D47:AE47" si="13">SUMIF($D$5:$AE$5,D43,$D$38:$AE$38)</f>
        <v>164.42070539999997</v>
      </c>
      <c r="E47" s="937">
        <f t="shared" si="13"/>
        <v>148.50232815599998</v>
      </c>
      <c r="F47" s="937">
        <f t="shared" si="13"/>
        <v>128.45234794355596</v>
      </c>
      <c r="G47" s="937">
        <f t="shared" si="13"/>
        <v>125.01759375480377</v>
      </c>
      <c r="H47" s="937">
        <f t="shared" si="13"/>
        <v>110.99703341999999</v>
      </c>
      <c r="I47" s="937">
        <f t="shared" si="13"/>
        <v>106.36435409599999</v>
      </c>
      <c r="J47" s="937">
        <f t="shared" si="13"/>
        <v>104.79072489599997</v>
      </c>
      <c r="K47" s="937">
        <f t="shared" si="13"/>
        <v>92.987285935039992</v>
      </c>
      <c r="L47" s="937">
        <f t="shared" si="13"/>
        <v>91.990966289039974</v>
      </c>
      <c r="M47" s="937">
        <f t="shared" si="13"/>
        <v>86.793652517419346</v>
      </c>
      <c r="N47" s="937">
        <f t="shared" si="13"/>
        <v>81.249649688170237</v>
      </c>
      <c r="O47" s="937">
        <f t="shared" si="13"/>
        <v>72.519820464000006</v>
      </c>
      <c r="P47" s="937">
        <f t="shared" si="13"/>
        <v>72.385509075359977</v>
      </c>
      <c r="Q47" s="937">
        <f t="shared" si="13"/>
        <v>68.058597592602979</v>
      </c>
      <c r="R47" s="937">
        <f t="shared" si="13"/>
        <v>64.522893639749995</v>
      </c>
      <c r="S47" s="937">
        <f t="shared" si="13"/>
        <v>60.625890416000026</v>
      </c>
      <c r="T47" s="937">
        <f t="shared" si="13"/>
        <v>59.101610119287265</v>
      </c>
      <c r="U47" s="937">
        <f t="shared" si="13"/>
        <v>58.168302430875002</v>
      </c>
      <c r="V47" s="937">
        <f t="shared" si="13"/>
        <v>55.105464807627897</v>
      </c>
      <c r="W47" s="937">
        <f t="shared" si="13"/>
        <v>48.317539694666664</v>
      </c>
      <c r="X47" s="937">
        <f t="shared" si="13"/>
        <v>46.918558642327291</v>
      </c>
      <c r="Y47" s="937">
        <f t="shared" si="13"/>
        <v>45.748441760265258</v>
      </c>
      <c r="Z47" s="937">
        <f t="shared" si="13"/>
        <v>44.010681624</v>
      </c>
      <c r="AA47" s="937">
        <f t="shared" si="13"/>
        <v>38.778668378210533</v>
      </c>
      <c r="AB47" s="937">
        <f t="shared" si="13"/>
        <v>37.081349080533329</v>
      </c>
      <c r="AC47" s="937">
        <f t="shared" si="13"/>
        <v>31.602864383999997</v>
      </c>
      <c r="AD47" s="937">
        <f t="shared" si="13"/>
        <v>28.691799152930237</v>
      </c>
      <c r="AE47" s="937">
        <f t="shared" si="13"/>
        <v>27.000125415319157</v>
      </c>
      <c r="AF47" s="915"/>
      <c r="AG47" s="915"/>
    </row>
    <row r="48" spans="1:34" ht="12.75" hidden="1" customHeight="1" x14ac:dyDescent="0.2">
      <c r="A48" s="914"/>
      <c r="B48" s="915"/>
      <c r="C48" s="916"/>
      <c r="D48" s="937"/>
      <c r="E48" s="937"/>
      <c r="F48" s="937"/>
      <c r="G48" s="937"/>
      <c r="H48" s="937"/>
      <c r="I48" s="937"/>
      <c r="J48" s="937"/>
      <c r="K48" s="937"/>
      <c r="L48" s="937"/>
      <c r="M48" s="937"/>
      <c r="N48" s="937"/>
      <c r="O48" s="937"/>
      <c r="P48" s="937"/>
      <c r="Q48" s="937"/>
      <c r="R48" s="937"/>
      <c r="S48" s="937"/>
      <c r="T48" s="937"/>
      <c r="U48" s="937"/>
      <c r="V48" s="937"/>
      <c r="W48" s="937"/>
      <c r="X48" s="937"/>
      <c r="Y48" s="937"/>
      <c r="Z48" s="937"/>
      <c r="AA48" s="937"/>
      <c r="AB48" s="937"/>
      <c r="AC48" s="937"/>
      <c r="AD48" s="937"/>
      <c r="AE48" s="937"/>
      <c r="AF48" s="915"/>
      <c r="AG48" s="915"/>
    </row>
    <row r="49" spans="1:33" hidden="1" x14ac:dyDescent="0.2">
      <c r="A49" s="914"/>
      <c r="B49" s="940"/>
      <c r="C49" s="930" t="s">
        <v>531</v>
      </c>
      <c r="D49" s="924">
        <f t="shared" ref="D49:AE49" si="14">SUMIFS($D$28:$AE$28,$D$5:$AE$5,D$43,$D$9:$AE$9,$C$49)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381</v>
      </c>
      <c r="D50" s="924">
        <f t="shared" ref="D50:AE50" si="15">SUMIFS($D$28:$AE$28,$D$5:$AE$5,D$43,$D$8:$AE$8,$C$50)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522</v>
      </c>
      <c r="D51" s="924">
        <f t="shared" ref="D51:AE51" si="16">SUMIFS($D$28:$AE$28,$D$5:$AE$5,D$43,$D$8:$AE$8,$C$51)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382</v>
      </c>
      <c r="D52" s="924">
        <f t="shared" ref="D52:AE52" si="17">SUMIFS($D$28:$AE$28,$D$5:$AE$5,D$43,$D$8:$AE$8,$C$52)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383</v>
      </c>
      <c r="D53" s="924">
        <f t="shared" ref="D53:AE53" si="18">SUMIFS($D$28:$AE$28,$D$5:$AE$5,D$43,$D$8:$AE$8,$C$53)</f>
        <v>0</v>
      </c>
      <c r="E53" s="924">
        <f t="shared" si="18"/>
        <v>0</v>
      </c>
      <c r="F53" s="924">
        <f t="shared" si="18"/>
        <v>0</v>
      </c>
      <c r="G53" s="924">
        <f t="shared" si="18"/>
        <v>0</v>
      </c>
      <c r="H53" s="924">
        <f t="shared" si="18"/>
        <v>0</v>
      </c>
      <c r="I53" s="924">
        <f t="shared" si="18"/>
        <v>0</v>
      </c>
      <c r="J53" s="924">
        <f t="shared" si="18"/>
        <v>0</v>
      </c>
      <c r="K53" s="924">
        <f t="shared" si="18"/>
        <v>0</v>
      </c>
      <c r="L53" s="924">
        <f t="shared" si="18"/>
        <v>0</v>
      </c>
      <c r="M53" s="924">
        <f t="shared" si="18"/>
        <v>0</v>
      </c>
      <c r="N53" s="924">
        <f t="shared" si="18"/>
        <v>0</v>
      </c>
      <c r="O53" s="924">
        <f t="shared" si="18"/>
        <v>0</v>
      </c>
      <c r="P53" s="924">
        <f t="shared" si="18"/>
        <v>0</v>
      </c>
      <c r="Q53" s="924">
        <f t="shared" si="18"/>
        <v>0</v>
      </c>
      <c r="R53" s="924">
        <f t="shared" si="18"/>
        <v>0</v>
      </c>
      <c r="S53" s="924">
        <f t="shared" si="18"/>
        <v>0</v>
      </c>
      <c r="T53" s="924">
        <f t="shared" si="18"/>
        <v>0</v>
      </c>
      <c r="U53" s="924">
        <f t="shared" si="18"/>
        <v>0</v>
      </c>
      <c r="V53" s="924">
        <f t="shared" si="18"/>
        <v>0</v>
      </c>
      <c r="W53" s="924">
        <f t="shared" si="18"/>
        <v>0</v>
      </c>
      <c r="X53" s="924">
        <f t="shared" si="18"/>
        <v>0</v>
      </c>
      <c r="Y53" s="924">
        <f t="shared" si="18"/>
        <v>0</v>
      </c>
      <c r="Z53" s="924">
        <f t="shared" si="18"/>
        <v>0</v>
      </c>
      <c r="AA53" s="924">
        <f t="shared" si="18"/>
        <v>0</v>
      </c>
      <c r="AB53" s="924">
        <f t="shared" si="18"/>
        <v>0</v>
      </c>
      <c r="AC53" s="924">
        <f t="shared" si="18"/>
        <v>0</v>
      </c>
      <c r="AD53" s="924">
        <f t="shared" si="18"/>
        <v>0</v>
      </c>
      <c r="AE53" s="924">
        <f t="shared" si="18"/>
        <v>0</v>
      </c>
      <c r="AF53" s="915"/>
      <c r="AG53" s="915"/>
    </row>
    <row r="54" spans="1:33" hidden="1" x14ac:dyDescent="0.2">
      <c r="A54" s="914"/>
      <c r="B54" s="940"/>
      <c r="C54" s="930" t="s">
        <v>528</v>
      </c>
      <c r="D54" s="924">
        <f t="shared" ref="D54:AE54" si="19">SUMIFS($D$28:$AE$28,$D$5:$AE$5,D$43,$D$8:$AE$8,$C$54)</f>
        <v>1</v>
      </c>
      <c r="E54" s="924">
        <f t="shared" si="19"/>
        <v>1</v>
      </c>
      <c r="F54" s="924">
        <f t="shared" si="19"/>
        <v>1</v>
      </c>
      <c r="G54" s="924">
        <f t="shared" si="19"/>
        <v>1</v>
      </c>
      <c r="H54" s="924">
        <f t="shared" si="19"/>
        <v>1</v>
      </c>
      <c r="I54" s="924">
        <f t="shared" si="19"/>
        <v>1</v>
      </c>
      <c r="J54" s="924">
        <f t="shared" si="19"/>
        <v>1</v>
      </c>
      <c r="K54" s="924">
        <f t="shared" si="19"/>
        <v>1</v>
      </c>
      <c r="L54" s="924">
        <f t="shared" si="19"/>
        <v>1</v>
      </c>
      <c r="M54" s="924">
        <f t="shared" si="19"/>
        <v>1</v>
      </c>
      <c r="N54" s="924">
        <f t="shared" si="19"/>
        <v>1</v>
      </c>
      <c r="O54" s="924">
        <f t="shared" si="19"/>
        <v>1</v>
      </c>
      <c r="P54" s="924">
        <f t="shared" si="19"/>
        <v>1</v>
      </c>
      <c r="Q54" s="924">
        <f t="shared" si="19"/>
        <v>1</v>
      </c>
      <c r="R54" s="924">
        <f t="shared" si="19"/>
        <v>1</v>
      </c>
      <c r="S54" s="924">
        <f t="shared" si="19"/>
        <v>1</v>
      </c>
      <c r="T54" s="924">
        <f t="shared" si="19"/>
        <v>1</v>
      </c>
      <c r="U54" s="924">
        <f t="shared" si="19"/>
        <v>1</v>
      </c>
      <c r="V54" s="924">
        <f t="shared" si="19"/>
        <v>1</v>
      </c>
      <c r="W54" s="924">
        <f t="shared" si="19"/>
        <v>1</v>
      </c>
      <c r="X54" s="924">
        <f t="shared" si="19"/>
        <v>1</v>
      </c>
      <c r="Y54" s="924">
        <f t="shared" si="19"/>
        <v>1</v>
      </c>
      <c r="Z54" s="924">
        <f t="shared" si="19"/>
        <v>1</v>
      </c>
      <c r="AA54" s="924">
        <f t="shared" si="19"/>
        <v>1</v>
      </c>
      <c r="AB54" s="924">
        <f t="shared" si="19"/>
        <v>1</v>
      </c>
      <c r="AC54" s="924">
        <f t="shared" si="19"/>
        <v>1</v>
      </c>
      <c r="AD54" s="924">
        <f t="shared" si="19"/>
        <v>1</v>
      </c>
      <c r="AE54" s="924">
        <f t="shared" si="19"/>
        <v>1</v>
      </c>
      <c r="AF54" s="915"/>
      <c r="AG54" s="915"/>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row r="166" spans="31:32" x14ac:dyDescent="0.2">
      <c r="AE166" s="29"/>
      <c r="AF166" s="29"/>
    </row>
  </sheetData>
  <sheetProtection algorithmName="SHA-512" hashValue="8TkRN5d2exdBKANkbs8aYwBHkrzH5ajw2kjmsQiKqTJJUgdptNG3kKLQlZ+Xqig1a020pHcKrCXHeE35zMkxAw==" saltValue="KUWHwyIjhBbwtA5NQA+wMw==" spinCount="100000" sheet="1" objects="1" scenarios="1"/>
  <protectedRanges>
    <protectedRange sqref="A31:AE34" name="Notes"/>
    <protectedRange sqref="D18:AE18 D20 D22 D24" name="Data Entry_1"/>
    <protectedRange sqref="D16:AE16 B17:C27"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7" name="Data Entry_3"/>
  </protectedRanges>
  <mergeCells count="21">
    <mergeCell ref="B21:C21"/>
    <mergeCell ref="A1:B1"/>
    <mergeCell ref="A2:B2"/>
    <mergeCell ref="A3:B3"/>
    <mergeCell ref="A4:B4"/>
    <mergeCell ref="A5:B5"/>
    <mergeCell ref="A6:A7"/>
    <mergeCell ref="B6:C7"/>
    <mergeCell ref="B16:C16"/>
    <mergeCell ref="B17:C17"/>
    <mergeCell ref="B18:C18"/>
    <mergeCell ref="B19:C19"/>
    <mergeCell ref="B20:C20"/>
    <mergeCell ref="B29:C29"/>
    <mergeCell ref="B27:C27"/>
    <mergeCell ref="B22:C22"/>
    <mergeCell ref="B23:C23"/>
    <mergeCell ref="B24:C24"/>
    <mergeCell ref="B25:C25"/>
    <mergeCell ref="B26:C26"/>
    <mergeCell ref="B28:C28"/>
  </mergeCells>
  <conditionalFormatting sqref="D28:D29 D18:AE18">
    <cfRule type="expression" dxfId="356" priority="23">
      <formula>D$7=0</formula>
    </cfRule>
  </conditionalFormatting>
  <conditionalFormatting sqref="D16">
    <cfRule type="expression" dxfId="355" priority="22">
      <formula>D$7=0</formula>
    </cfRule>
  </conditionalFormatting>
  <conditionalFormatting sqref="E28:AE29">
    <cfRule type="expression" dxfId="354" priority="21">
      <formula>E$7=0</formula>
    </cfRule>
  </conditionalFormatting>
  <conditionalFormatting sqref="E16:AE16">
    <cfRule type="expression" dxfId="353" priority="20">
      <formula>E$7=0</formula>
    </cfRule>
  </conditionalFormatting>
  <conditionalFormatting sqref="D11">
    <cfRule type="expression" dxfId="352" priority="19">
      <formula>D$7=0</formula>
    </cfRule>
  </conditionalFormatting>
  <conditionalFormatting sqref="E11:AE11">
    <cfRule type="expression" dxfId="351" priority="18">
      <formula>E$7=0</formula>
    </cfRule>
  </conditionalFormatting>
  <conditionalFormatting sqref="D14:AE14">
    <cfRule type="cellIs" dxfId="350" priority="14" operator="between">
      <formula>0.25</formula>
      <formula>1</formula>
    </cfRule>
    <cfRule type="cellIs" dxfId="349" priority="15" operator="between">
      <formula>0.15</formula>
      <formula>0.25</formula>
    </cfRule>
    <cfRule type="cellIs" dxfId="348" priority="16" operator="between">
      <formula>0</formula>
      <formula>0.15</formula>
    </cfRule>
    <cfRule type="cellIs" dxfId="347" priority="17" operator="between">
      <formula>-0.5</formula>
      <formula>0</formula>
    </cfRule>
  </conditionalFormatting>
  <conditionalFormatting sqref="D17:AE17 D19 D21 D23 D25">
    <cfRule type="expression" dxfId="346" priority="13">
      <formula>D$7=0</formula>
    </cfRule>
  </conditionalFormatting>
  <conditionalFormatting sqref="E19:AE19">
    <cfRule type="expression" dxfId="345" priority="12">
      <formula>E$7=0</formula>
    </cfRule>
  </conditionalFormatting>
  <conditionalFormatting sqref="E20:AE20">
    <cfRule type="expression" dxfId="344" priority="11">
      <formula>E$7=0</formula>
    </cfRule>
  </conditionalFormatting>
  <conditionalFormatting sqref="E21:AE21">
    <cfRule type="expression" dxfId="343" priority="10">
      <formula>E$7=0</formula>
    </cfRule>
  </conditionalFormatting>
  <conditionalFormatting sqref="E22:AE22">
    <cfRule type="expression" dxfId="342" priority="9">
      <formula>E$7=0</formula>
    </cfRule>
  </conditionalFormatting>
  <conditionalFormatting sqref="E23:AE23">
    <cfRule type="expression" dxfId="341" priority="8">
      <formula>E$7=0</formula>
    </cfRule>
  </conditionalFormatting>
  <conditionalFormatting sqref="E24:AE24">
    <cfRule type="expression" dxfId="340" priority="7">
      <formula>E$7=0</formula>
    </cfRule>
  </conditionalFormatting>
  <conditionalFormatting sqref="E25:AE25">
    <cfRule type="expression" dxfId="339" priority="6">
      <formula>E$7=0</formula>
    </cfRule>
  </conditionalFormatting>
  <conditionalFormatting sqref="D26:AE26">
    <cfRule type="expression" dxfId="338" priority="5">
      <formula>D$7=0</formula>
    </cfRule>
  </conditionalFormatting>
  <conditionalFormatting sqref="D20">
    <cfRule type="expression" dxfId="337" priority="4">
      <formula>D$7=0</formula>
    </cfRule>
  </conditionalFormatting>
  <conditionalFormatting sqref="D22">
    <cfRule type="expression" dxfId="336" priority="3">
      <formula>D$7=0</formula>
    </cfRule>
  </conditionalFormatting>
  <conditionalFormatting sqref="D24">
    <cfRule type="expression" dxfId="335" priority="2">
      <formula>D$7=0</formula>
    </cfRule>
  </conditionalFormatting>
  <conditionalFormatting sqref="D27:AE27">
    <cfRule type="expression" dxfId="334" priority="1">
      <formula>D$7=0</formula>
    </cfRule>
  </conditionalFormatting>
  <dataValidations count="2">
    <dataValidation type="list" allowBlank="1" showInputMessage="1" showErrorMessage="1" sqref="D15:AE15" xr:uid="{37604203-626E-497D-8128-4165A40F1E67}">
      <formula1>$P$4:$S$4</formula1>
    </dataValidation>
    <dataValidation type="decimal" allowBlank="1" showErrorMessage="1" errorTitle="Invalid Entry" error="Values in these cells must be a number greater than 12.  Text entries are not allowed.  " sqref="D11:AE11" xr:uid="{6CD138EF-CE53-4068-AD46-7C500CFE6DBF}">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4"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5553" r:id="rId4" name="Button 1">
              <controlPr defaultSize="0" print="0" autoFill="0" autoPict="0" macro="[0]!Button3_CopyRowAndInsertNewRow">
                <anchor moveWithCells="1" sizeWithCells="1">
                  <from>
                    <xdr:col>1</xdr:col>
                    <xdr:colOff>142875</xdr:colOff>
                    <xdr:row>30</xdr:row>
                    <xdr:rowOff>57150</xdr:rowOff>
                  </from>
                  <to>
                    <xdr:col>2</xdr:col>
                    <xdr:colOff>1714500</xdr:colOff>
                    <xdr:row>33</xdr:row>
                    <xdr:rowOff>95250</xdr:rowOff>
                  </to>
                </anchor>
              </controlPr>
            </control>
          </mc:Choice>
        </mc:AlternateContent>
        <mc:AlternateContent xmlns:mc="http://schemas.openxmlformats.org/markup-compatibility/2006">
          <mc:Choice Requires="x14">
            <control shapeId="1815554" r:id="rId5" name="Button 2">
              <controlPr defaultSize="0" print="0" autoFill="0" autoPict="0" macro="[0]!Phase_Template_RemoveLastRow">
                <anchor moveWithCells="1" sizeWithCells="1">
                  <from>
                    <xdr:col>3</xdr:col>
                    <xdr:colOff>28575</xdr:colOff>
                    <xdr:row>30</xdr:row>
                    <xdr:rowOff>28575</xdr:rowOff>
                  </from>
                  <to>
                    <xdr:col>6</xdr:col>
                    <xdr:colOff>38100</xdr:colOff>
                    <xdr:row>33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B1754515-78A5-479A-B77D-8F69D5B7AD74}">
          <x14:formula1>
            <xm:f>'Labor &amp; Practice Lookups'!$R$4:$V$4</xm:f>
          </x14:formula1>
          <xm:sqref>D9:AE10</xm:sqref>
        </x14:dataValidation>
        <x14:dataValidation type="list" allowBlank="1" showInputMessage="1" showErrorMessage="1" xr:uid="{8F440B4A-EC81-4154-8478-4EEB3DC25D24}">
          <x14:formula1>
            <xm:f>'Labor &amp; Practice Lookups'!$Q$5:$Q$11</xm:f>
          </x14:formula1>
          <xm:sqref>D8:AE8</xm:sqref>
        </x14:dataValidation>
        <x14:dataValidation type="list" allowBlank="1" showInputMessage="1" showErrorMessage="1" xr:uid="{029EAD33-0AE4-45D0-A10D-84200AAF7324}">
          <x14:formula1>
            <xm:f>INPUT!$F$5:$F$32</xm:f>
          </x14:formula1>
          <xm:sqref>D5:AE5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82D2A-DBAF-4CCF-88BB-842F257DE6B9}">
  <sheetPr syncVertical="1" syncRef="B10" transitionEvaluation="1" transitionEntry="1" codeName="Sheet33">
    <pageSetUpPr fitToPage="1"/>
  </sheetPr>
  <dimension ref="A1:XFD165"/>
  <sheetViews>
    <sheetView view="pageBreakPreview" topLeftCell="B1" zoomScale="70" zoomScaleNormal="70" zoomScaleSheetLayoutView="70" workbookViewId="0">
      <pane ySplit="9" topLeftCell="A10" activePane="bottomLeft" state="frozen"/>
      <selection pane="bottomLeft" activeCell="J22" sqref="J22"/>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Element6</f>
        <v>Phase Name 6</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q1utLwQLAbeRt4oaOz2TZmbM/GgDcmFIZPyQEsDbr9xciN6gfrAb9GWm9EmbWmvA+oyflAqrAppp9xQ28nofPA==" saltValue="EnuHAMTntzAar5bUPb1SQg=="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333" priority="22">
      <formula>D$7=0</formula>
    </cfRule>
  </conditionalFormatting>
  <conditionalFormatting sqref="D16">
    <cfRule type="expression" dxfId="332" priority="21">
      <formula>D$7=0</formula>
    </cfRule>
  </conditionalFormatting>
  <conditionalFormatting sqref="E27:AE28">
    <cfRule type="expression" dxfId="331" priority="20">
      <formula>E$7=0</formula>
    </cfRule>
  </conditionalFormatting>
  <conditionalFormatting sqref="E16:AE16">
    <cfRule type="expression" dxfId="330" priority="19">
      <formula>E$7=0</formula>
    </cfRule>
  </conditionalFormatting>
  <conditionalFormatting sqref="D11">
    <cfRule type="expression" dxfId="329" priority="18">
      <formula>D$7=0</formula>
    </cfRule>
  </conditionalFormatting>
  <conditionalFormatting sqref="E11:AE11">
    <cfRule type="expression" dxfId="328" priority="17">
      <formula>E$7=0</formula>
    </cfRule>
  </conditionalFormatting>
  <conditionalFormatting sqref="D14:AE14">
    <cfRule type="cellIs" dxfId="327" priority="13" operator="between">
      <formula>0.25</formula>
      <formula>1</formula>
    </cfRule>
    <cfRule type="cellIs" dxfId="326" priority="14" operator="between">
      <formula>0.15</formula>
      <formula>0.25</formula>
    </cfRule>
    <cfRule type="cellIs" dxfId="325" priority="15" operator="between">
      <formula>0</formula>
      <formula>0.15</formula>
    </cfRule>
    <cfRule type="cellIs" dxfId="324" priority="16" operator="between">
      <formula>-0.5</formula>
      <formula>0</formula>
    </cfRule>
  </conditionalFormatting>
  <conditionalFormatting sqref="D17:AE17 D19 D21 D23 D25">
    <cfRule type="expression" dxfId="323" priority="12">
      <formula>D$7=0</formula>
    </cfRule>
  </conditionalFormatting>
  <conditionalFormatting sqref="E19:AE19">
    <cfRule type="expression" dxfId="322" priority="11">
      <formula>E$7=0</formula>
    </cfRule>
  </conditionalFormatting>
  <conditionalFormatting sqref="E20:AE20">
    <cfRule type="expression" dxfId="321" priority="10">
      <formula>E$7=0</formula>
    </cfRule>
  </conditionalFormatting>
  <conditionalFormatting sqref="E21:AE21">
    <cfRule type="expression" dxfId="320" priority="9">
      <formula>E$7=0</formula>
    </cfRule>
  </conditionalFormatting>
  <conditionalFormatting sqref="E22:AE22">
    <cfRule type="expression" dxfId="319" priority="8">
      <formula>E$7=0</formula>
    </cfRule>
  </conditionalFormatting>
  <conditionalFormatting sqref="E23:AE23">
    <cfRule type="expression" dxfId="318" priority="7">
      <formula>E$7=0</formula>
    </cfRule>
  </conditionalFormatting>
  <conditionalFormatting sqref="E24:AE24">
    <cfRule type="expression" dxfId="317" priority="6">
      <formula>E$7=0</formula>
    </cfRule>
  </conditionalFormatting>
  <conditionalFormatting sqref="E25:AE25">
    <cfRule type="expression" dxfId="316" priority="5">
      <formula>E$7=0</formula>
    </cfRule>
  </conditionalFormatting>
  <conditionalFormatting sqref="D26:AE26">
    <cfRule type="expression" dxfId="315" priority="4">
      <formula>D$7=0</formula>
    </cfRule>
  </conditionalFormatting>
  <conditionalFormatting sqref="D20">
    <cfRule type="expression" dxfId="314" priority="3">
      <formula>D$7=0</formula>
    </cfRule>
  </conditionalFormatting>
  <conditionalFormatting sqref="D22">
    <cfRule type="expression" dxfId="313" priority="2">
      <formula>D$7=0</formula>
    </cfRule>
  </conditionalFormatting>
  <conditionalFormatting sqref="D24">
    <cfRule type="expression" dxfId="312" priority="1">
      <formula>D$7=0</formula>
    </cfRule>
  </conditionalFormatting>
  <dataValidations count="2">
    <dataValidation type="list" allowBlank="1" showInputMessage="1" showErrorMessage="1" sqref="D15:AE15" xr:uid="{50456B31-A77F-4A24-9D0D-1C8658971EF0}">
      <formula1>$P$4:$S$4</formula1>
    </dataValidation>
    <dataValidation type="decimal" allowBlank="1" showErrorMessage="1" errorTitle="Invalid Entry" error="Values in these cells must be a number greater than 12.  Text entries are not allowed.  " sqref="D11:AE11" xr:uid="{29C9AEC0-9493-49BE-9113-B3DE23DA7D38}">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6577"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6578"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9050827-2C20-4779-9C11-0ADE2682B433}">
          <x14:formula1>
            <xm:f>'Labor &amp; Practice Lookups'!$R$4:$V$4</xm:f>
          </x14:formula1>
          <xm:sqref>D9:AE10</xm:sqref>
        </x14:dataValidation>
        <x14:dataValidation type="list" allowBlank="1" showInputMessage="1" showErrorMessage="1" xr:uid="{DDCE7A59-C7CF-4970-8A9F-AE80823606BA}">
          <x14:formula1>
            <xm:f>'Labor &amp; Practice Lookups'!$Q$5:$Q$11</xm:f>
          </x14:formula1>
          <xm:sqref>D8:AE8</xm:sqref>
        </x14:dataValidation>
        <x14:dataValidation type="list" allowBlank="1" showInputMessage="1" showErrorMessage="1" xr:uid="{59907968-DF23-49F3-B74C-6A6F2B3F808A}">
          <x14:formula1>
            <xm:f>INPUT!$F$5:$F$32</xm:f>
          </x14:formula1>
          <xm:sqref>D5:AE5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6441E-2DEA-4813-ADBF-2B3F6D2B2FB2}">
  <sheetPr syncVertical="1" syncRef="A10" transitionEvaluation="1" transitionEntry="1" codeName="Sheet34">
    <pageSetUpPr fitToPage="1"/>
  </sheetPr>
  <dimension ref="A1:XFD165"/>
  <sheetViews>
    <sheetView view="pageBreakPreview" zoomScale="70" zoomScaleNormal="70" zoomScaleSheetLayoutView="70" workbookViewId="0">
      <pane ySplit="9" topLeftCell="A10" activePane="bottomLeft" state="frozen"/>
      <selection pane="bottomLeft" activeCell="A19" sqref="A19"/>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Element7</f>
        <v>Phase Name 7</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Wsz3p1FDlJqlam3L2uygZppFcAKV2J+QmUDPJsRzsEzvyMaxzz6z2TB0rLjH0axCElvskyaH6aOXqP43OthC0A==" saltValue="5D87yULzz6IQ1F90h4HTk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311" priority="22">
      <formula>D$7=0</formula>
    </cfRule>
  </conditionalFormatting>
  <conditionalFormatting sqref="D16">
    <cfRule type="expression" dxfId="310" priority="21">
      <formula>D$7=0</formula>
    </cfRule>
  </conditionalFormatting>
  <conditionalFormatting sqref="E27:AE28">
    <cfRule type="expression" dxfId="309" priority="20">
      <formula>E$7=0</formula>
    </cfRule>
  </conditionalFormatting>
  <conditionalFormatting sqref="E16:AE16">
    <cfRule type="expression" dxfId="308" priority="19">
      <formula>E$7=0</formula>
    </cfRule>
  </conditionalFormatting>
  <conditionalFormatting sqref="D11">
    <cfRule type="expression" dxfId="307" priority="18">
      <formula>D$7=0</formula>
    </cfRule>
  </conditionalFormatting>
  <conditionalFormatting sqref="E11:AE11">
    <cfRule type="expression" dxfId="306" priority="17">
      <formula>E$7=0</formula>
    </cfRule>
  </conditionalFormatting>
  <conditionalFormatting sqref="D14:AE14">
    <cfRule type="cellIs" dxfId="305" priority="13" operator="between">
      <formula>0.25</formula>
      <formula>1</formula>
    </cfRule>
    <cfRule type="cellIs" dxfId="304" priority="14" operator="between">
      <formula>0.15</formula>
      <formula>0.25</formula>
    </cfRule>
    <cfRule type="cellIs" dxfId="303" priority="15" operator="between">
      <formula>0</formula>
      <formula>0.15</formula>
    </cfRule>
    <cfRule type="cellIs" dxfId="302" priority="16" operator="between">
      <formula>-0.5</formula>
      <formula>0</formula>
    </cfRule>
  </conditionalFormatting>
  <conditionalFormatting sqref="D17:AE17 D19 D21 D23 D25">
    <cfRule type="expression" dxfId="301" priority="12">
      <formula>D$7=0</formula>
    </cfRule>
  </conditionalFormatting>
  <conditionalFormatting sqref="E19:AE19">
    <cfRule type="expression" dxfId="300" priority="11">
      <formula>E$7=0</formula>
    </cfRule>
  </conditionalFormatting>
  <conditionalFormatting sqref="E20:AE20">
    <cfRule type="expression" dxfId="299" priority="10">
      <formula>E$7=0</formula>
    </cfRule>
  </conditionalFormatting>
  <conditionalFormatting sqref="E21:AE21">
    <cfRule type="expression" dxfId="298" priority="9">
      <formula>E$7=0</formula>
    </cfRule>
  </conditionalFormatting>
  <conditionalFormatting sqref="E22:AE22">
    <cfRule type="expression" dxfId="297" priority="8">
      <formula>E$7=0</formula>
    </cfRule>
  </conditionalFormatting>
  <conditionalFormatting sqref="E23:AE23">
    <cfRule type="expression" dxfId="296" priority="7">
      <formula>E$7=0</formula>
    </cfRule>
  </conditionalFormatting>
  <conditionalFormatting sqref="E24:AE24">
    <cfRule type="expression" dxfId="295" priority="6">
      <formula>E$7=0</formula>
    </cfRule>
  </conditionalFormatting>
  <conditionalFormatting sqref="E25:AE25">
    <cfRule type="expression" dxfId="294" priority="5">
      <formula>E$7=0</formula>
    </cfRule>
  </conditionalFormatting>
  <conditionalFormatting sqref="D26:AE26">
    <cfRule type="expression" dxfId="293" priority="4">
      <formula>D$7=0</formula>
    </cfRule>
  </conditionalFormatting>
  <conditionalFormatting sqref="D20">
    <cfRule type="expression" dxfId="292" priority="3">
      <formula>D$7=0</formula>
    </cfRule>
  </conditionalFormatting>
  <conditionalFormatting sqref="D22">
    <cfRule type="expression" dxfId="291" priority="2">
      <formula>D$7=0</formula>
    </cfRule>
  </conditionalFormatting>
  <conditionalFormatting sqref="D24">
    <cfRule type="expression" dxfId="290" priority="1">
      <formula>D$7=0</formula>
    </cfRule>
  </conditionalFormatting>
  <dataValidations count="2">
    <dataValidation type="list" allowBlank="1" showInputMessage="1" showErrorMessage="1" sqref="D15:AE15" xr:uid="{2482E601-966F-4F60-8C20-693AEA876FE0}">
      <formula1>$P$4:$S$4</formula1>
    </dataValidation>
    <dataValidation type="decimal" allowBlank="1" showErrorMessage="1" errorTitle="Invalid Entry" error="Values in these cells must be a number greater than 12.  Text entries are not allowed.  " sqref="D11:AE11" xr:uid="{EB027D57-1505-42E4-9B27-45A39F8445C3}">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7601"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7602"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8877181-59F2-4F08-A808-CAAEDAB6FFA3}">
          <x14:formula1>
            <xm:f>'Labor &amp; Practice Lookups'!$R$4:$V$4</xm:f>
          </x14:formula1>
          <xm:sqref>D9:AE10</xm:sqref>
        </x14:dataValidation>
        <x14:dataValidation type="list" allowBlank="1" showInputMessage="1" showErrorMessage="1" xr:uid="{DCE71991-480C-4D15-B415-4A788818AE64}">
          <x14:formula1>
            <xm:f>'Labor &amp; Practice Lookups'!$Q$5:$Q$11</xm:f>
          </x14:formula1>
          <xm:sqref>D8:AE8</xm:sqref>
        </x14:dataValidation>
        <x14:dataValidation type="list" allowBlank="1" showInputMessage="1" showErrorMessage="1" xr:uid="{DC635FF9-1E67-4FCB-93F5-7B1F1536D42C}">
          <x14:formula1>
            <xm:f>INPUT!$F$5:$F$32</xm:f>
          </x14:formula1>
          <xm:sqref>D5:AE5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452E-1F95-426D-86BC-6A36A7993266}">
  <sheetPr syncVertical="1" syncRef="E10" transitionEvaluation="1" transitionEntry="1" codeName="Sheet35">
    <pageSetUpPr fitToPage="1"/>
  </sheetPr>
  <dimension ref="A1:XFD165"/>
  <sheetViews>
    <sheetView view="pageBreakPreview" topLeftCell="E1" zoomScale="70" zoomScaleNormal="70" zoomScaleSheetLayoutView="70" workbookViewId="0">
      <pane ySplit="9" topLeftCell="A10" activePane="bottomLeft" state="frozen"/>
      <selection pane="bottomLeft" activeCell="W24" sqref="W24"/>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Element8</f>
        <v>Phase Name 8</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4872</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iczVGofzkGY4Oyyjkfj7zsCkZT9JRTtnOKvwOoextbpwZQ9/D9PbrHO/OqctuhMJ3xZyZFjxhCDzkZMyE8mn6w==" saltValue="BCkxZxzgmOfMWg6EIZezbw=="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289" priority="22">
      <formula>D$7=0</formula>
    </cfRule>
  </conditionalFormatting>
  <conditionalFormatting sqref="D16">
    <cfRule type="expression" dxfId="288" priority="21">
      <formula>D$7=0</formula>
    </cfRule>
  </conditionalFormatting>
  <conditionalFormatting sqref="E27:AE28">
    <cfRule type="expression" dxfId="287" priority="20">
      <formula>E$7=0</formula>
    </cfRule>
  </conditionalFormatting>
  <conditionalFormatting sqref="E16:AE16">
    <cfRule type="expression" dxfId="286" priority="19">
      <formula>E$7=0</formula>
    </cfRule>
  </conditionalFormatting>
  <conditionalFormatting sqref="D11">
    <cfRule type="expression" dxfId="285" priority="18">
      <formula>D$7=0</formula>
    </cfRule>
  </conditionalFormatting>
  <conditionalFormatting sqref="E11:AE11">
    <cfRule type="expression" dxfId="284" priority="17">
      <formula>E$7=0</formula>
    </cfRule>
  </conditionalFormatting>
  <conditionalFormatting sqref="D14:AE14">
    <cfRule type="cellIs" dxfId="283" priority="13" operator="between">
      <formula>0.25</formula>
      <formula>1</formula>
    </cfRule>
    <cfRule type="cellIs" dxfId="282" priority="14" operator="between">
      <formula>0.15</formula>
      <formula>0.25</formula>
    </cfRule>
    <cfRule type="cellIs" dxfId="281" priority="15" operator="between">
      <formula>0</formula>
      <formula>0.15</formula>
    </cfRule>
    <cfRule type="cellIs" dxfId="280" priority="16" operator="between">
      <formula>-0.5</formula>
      <formula>0</formula>
    </cfRule>
  </conditionalFormatting>
  <conditionalFormatting sqref="D17:AE17 D19 D21 D23 D25">
    <cfRule type="expression" dxfId="279" priority="12">
      <formula>D$7=0</formula>
    </cfRule>
  </conditionalFormatting>
  <conditionalFormatting sqref="E19:AE19">
    <cfRule type="expression" dxfId="278" priority="11">
      <formula>E$7=0</formula>
    </cfRule>
  </conditionalFormatting>
  <conditionalFormatting sqref="E20:AE20">
    <cfRule type="expression" dxfId="277" priority="10">
      <formula>E$7=0</formula>
    </cfRule>
  </conditionalFormatting>
  <conditionalFormatting sqref="E21:AE21">
    <cfRule type="expression" dxfId="276" priority="9">
      <formula>E$7=0</formula>
    </cfRule>
  </conditionalFormatting>
  <conditionalFormatting sqref="E22:AE22">
    <cfRule type="expression" dxfId="275" priority="8">
      <formula>E$7=0</formula>
    </cfRule>
  </conditionalFormatting>
  <conditionalFormatting sqref="E23:AE23">
    <cfRule type="expression" dxfId="274" priority="7">
      <formula>E$7=0</formula>
    </cfRule>
  </conditionalFormatting>
  <conditionalFormatting sqref="E24:AE24">
    <cfRule type="expression" dxfId="273" priority="6">
      <formula>E$7=0</formula>
    </cfRule>
  </conditionalFormatting>
  <conditionalFormatting sqref="E25:AE25">
    <cfRule type="expression" dxfId="272" priority="5">
      <formula>E$7=0</formula>
    </cfRule>
  </conditionalFormatting>
  <conditionalFormatting sqref="D26:AE26">
    <cfRule type="expression" dxfId="271" priority="4">
      <formula>D$7=0</formula>
    </cfRule>
  </conditionalFormatting>
  <conditionalFormatting sqref="D20">
    <cfRule type="expression" dxfId="270" priority="3">
      <formula>D$7=0</formula>
    </cfRule>
  </conditionalFormatting>
  <conditionalFormatting sqref="D22">
    <cfRule type="expression" dxfId="269" priority="2">
      <formula>D$7=0</formula>
    </cfRule>
  </conditionalFormatting>
  <conditionalFormatting sqref="D24">
    <cfRule type="expression" dxfId="268" priority="1">
      <formula>D$7=0</formula>
    </cfRule>
  </conditionalFormatting>
  <dataValidations count="2">
    <dataValidation type="list" allowBlank="1" showInputMessage="1" showErrorMessage="1" sqref="D15:AE15" xr:uid="{C7660FC7-B47B-4417-A70F-B60724317F0F}">
      <formula1>$P$4:$S$4</formula1>
    </dataValidation>
    <dataValidation type="decimal" allowBlank="1" showErrorMessage="1" errorTitle="Invalid Entry" error="Values in these cells must be a number greater than 12.  Text entries are not allowed.  " sqref="D11:AE11" xr:uid="{26E71D79-58EB-4EEC-BE8C-3D154B423D13}">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8625"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8626"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FB0907B5-1825-47B0-A137-CF0E6AAFF59B}">
          <x14:formula1>
            <xm:f>'Labor &amp; Practice Lookups'!$R$4:$V$4</xm:f>
          </x14:formula1>
          <xm:sqref>D9:AE10</xm:sqref>
        </x14:dataValidation>
        <x14:dataValidation type="list" allowBlank="1" showInputMessage="1" showErrorMessage="1" xr:uid="{95400793-7F95-424C-A636-6C9D33015F54}">
          <x14:formula1>
            <xm:f>'Labor &amp; Practice Lookups'!$Q$5:$Q$11</xm:f>
          </x14:formula1>
          <xm:sqref>D8:AE8</xm:sqref>
        </x14:dataValidation>
        <x14:dataValidation type="list" allowBlank="1" showInputMessage="1" showErrorMessage="1" xr:uid="{1805F53E-7C92-4985-9E03-A28D11465631}">
          <x14:formula1>
            <xm:f>INPUT!$F$5:$F$32</xm:f>
          </x14:formula1>
          <xm:sqref>D5:AE5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4B119-A7C8-4B9F-A552-16ABB49ACE38}">
  <sheetPr syncVertical="1" syncRef="F10" transitionEvaluation="1" transitionEntry="1" codeName="Sheet36">
    <pageSetUpPr fitToPage="1"/>
  </sheetPr>
  <dimension ref="A1:XFD165"/>
  <sheetViews>
    <sheetView view="pageBreakPreview" topLeftCell="F1" zoomScale="70" zoomScaleNormal="70" zoomScaleSheetLayoutView="70" workbookViewId="0">
      <pane ySplit="9" topLeftCell="A10" activePane="bottomLeft" state="frozen"/>
      <selection pane="bottomLeft" activeCell="W22" sqref="W22"/>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Element9</f>
        <v>Phase Name 9</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4872</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iPXjyRccKf8DPaWUoCtOWO4nf6jRan0j/ErY5XXWNrtzWOmzmCHLuudcagjXheq4yzeneKwiSg7/BbgGb3zugw==" saltValue="lpcsC0XUzzs8Ms8MmBrej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267" priority="22">
      <formula>D$7=0</formula>
    </cfRule>
  </conditionalFormatting>
  <conditionalFormatting sqref="D16">
    <cfRule type="expression" dxfId="266" priority="21">
      <formula>D$7=0</formula>
    </cfRule>
  </conditionalFormatting>
  <conditionalFormatting sqref="E27:AE28">
    <cfRule type="expression" dxfId="265" priority="20">
      <formula>E$7=0</formula>
    </cfRule>
  </conditionalFormatting>
  <conditionalFormatting sqref="E16:AE16">
    <cfRule type="expression" dxfId="264" priority="19">
      <formula>E$7=0</formula>
    </cfRule>
  </conditionalFormatting>
  <conditionalFormatting sqref="D11">
    <cfRule type="expression" dxfId="263" priority="18">
      <formula>D$7=0</formula>
    </cfRule>
  </conditionalFormatting>
  <conditionalFormatting sqref="E11:AE11">
    <cfRule type="expression" dxfId="262" priority="17">
      <formula>E$7=0</formula>
    </cfRule>
  </conditionalFormatting>
  <conditionalFormatting sqref="D14:AE14">
    <cfRule type="cellIs" dxfId="261" priority="13" operator="between">
      <formula>0.25</formula>
      <formula>1</formula>
    </cfRule>
    <cfRule type="cellIs" dxfId="260" priority="14" operator="between">
      <formula>0.15</formula>
      <formula>0.25</formula>
    </cfRule>
    <cfRule type="cellIs" dxfId="259" priority="15" operator="between">
      <formula>0</formula>
      <formula>0.15</formula>
    </cfRule>
    <cfRule type="cellIs" dxfId="258" priority="16" operator="between">
      <formula>-0.5</formula>
      <formula>0</formula>
    </cfRule>
  </conditionalFormatting>
  <conditionalFormatting sqref="D17:AE17 D19 D21 D23 D25">
    <cfRule type="expression" dxfId="257" priority="12">
      <formula>D$7=0</formula>
    </cfRule>
  </conditionalFormatting>
  <conditionalFormatting sqref="E19:AE19">
    <cfRule type="expression" dxfId="256" priority="11">
      <formula>E$7=0</formula>
    </cfRule>
  </conditionalFormatting>
  <conditionalFormatting sqref="E20:AE20">
    <cfRule type="expression" dxfId="255" priority="10">
      <formula>E$7=0</formula>
    </cfRule>
  </conditionalFormatting>
  <conditionalFormatting sqref="E21:AE21">
    <cfRule type="expression" dxfId="254" priority="9">
      <formula>E$7=0</formula>
    </cfRule>
  </conditionalFormatting>
  <conditionalFormatting sqref="E22:AE22">
    <cfRule type="expression" dxfId="253" priority="8">
      <formula>E$7=0</formula>
    </cfRule>
  </conditionalFormatting>
  <conditionalFormatting sqref="E23:AE23">
    <cfRule type="expression" dxfId="252" priority="7">
      <formula>E$7=0</formula>
    </cfRule>
  </conditionalFormatting>
  <conditionalFormatting sqref="E24:AE24">
    <cfRule type="expression" dxfId="251" priority="6">
      <formula>E$7=0</formula>
    </cfRule>
  </conditionalFormatting>
  <conditionalFormatting sqref="E25:AE25">
    <cfRule type="expression" dxfId="250" priority="5">
      <formula>E$7=0</formula>
    </cfRule>
  </conditionalFormatting>
  <conditionalFormatting sqref="D26:AE26">
    <cfRule type="expression" dxfId="249" priority="4">
      <formula>D$7=0</formula>
    </cfRule>
  </conditionalFormatting>
  <conditionalFormatting sqref="D20">
    <cfRule type="expression" dxfId="248" priority="3">
      <formula>D$7=0</formula>
    </cfRule>
  </conditionalFormatting>
  <conditionalFormatting sqref="D22">
    <cfRule type="expression" dxfId="247" priority="2">
      <formula>D$7=0</formula>
    </cfRule>
  </conditionalFormatting>
  <conditionalFormatting sqref="D24">
    <cfRule type="expression" dxfId="246" priority="1">
      <formula>D$7=0</formula>
    </cfRule>
  </conditionalFormatting>
  <dataValidations count="2">
    <dataValidation type="list" allowBlank="1" showInputMessage="1" showErrorMessage="1" sqref="D15:AE15" xr:uid="{CC7E7845-09D3-42A3-B498-EEA0FE50FACF}">
      <formula1>$P$4:$S$4</formula1>
    </dataValidation>
    <dataValidation type="decimal" allowBlank="1" showErrorMessage="1" errorTitle="Invalid Entry" error="Values in these cells must be a number greater than 12.  Text entries are not allowed.  " sqref="D11:AE11" xr:uid="{4DE0A7D6-552B-4536-80E3-06FEB47F1976}">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19649"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19650"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65C76C7-35CA-4ED5-98D0-EBE8F28C5412}">
          <x14:formula1>
            <xm:f>'Labor &amp; Practice Lookups'!$R$4:$V$4</xm:f>
          </x14:formula1>
          <xm:sqref>D9:AE10</xm:sqref>
        </x14:dataValidation>
        <x14:dataValidation type="list" allowBlank="1" showInputMessage="1" showErrorMessage="1" xr:uid="{5B410445-5DFD-4B34-876B-F199DCE2ECE8}">
          <x14:formula1>
            <xm:f>'Labor &amp; Practice Lookups'!$Q$5:$Q$11</xm:f>
          </x14:formula1>
          <xm:sqref>D8:AE8</xm:sqref>
        </x14:dataValidation>
        <x14:dataValidation type="list" allowBlank="1" showInputMessage="1" showErrorMessage="1" xr:uid="{673E64B8-C058-402B-89BE-9D1D2D5089E6}">
          <x14:formula1>
            <xm:f>INPUT!$F$5:$F$32</xm:f>
          </x14:formula1>
          <xm:sqref>D5:AE5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BA404-65D3-473A-BE3B-ADE93223FC86}">
  <sheetPr syncVertical="1" syncRef="E10" transitionEvaluation="1" transitionEntry="1" codeName="Sheet37">
    <pageSetUpPr fitToPage="1"/>
  </sheetPr>
  <dimension ref="A1:XFD165"/>
  <sheetViews>
    <sheetView view="pageBreakPreview" topLeftCell="E1" zoomScale="70" zoomScaleNormal="70" zoomScaleSheetLayoutView="70" workbookViewId="0">
      <pane ySplit="9" topLeftCell="A10" activePane="bottomLeft" state="frozen"/>
      <selection pane="bottomLeft" activeCell="T20" sqref="T20"/>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Element10</f>
        <v>Phase Name 10</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v>1</v>
      </c>
      <c r="E17" s="411">
        <v>1</v>
      </c>
      <c r="F17" s="411">
        <v>1</v>
      </c>
      <c r="G17" s="411">
        <v>1</v>
      </c>
      <c r="H17" s="411">
        <v>1</v>
      </c>
      <c r="I17" s="411">
        <v>1</v>
      </c>
      <c r="J17" s="411">
        <v>1</v>
      </c>
      <c r="K17" s="411">
        <v>1</v>
      </c>
      <c r="L17" s="411">
        <v>1</v>
      </c>
      <c r="M17" s="411">
        <v>1</v>
      </c>
      <c r="N17" s="411">
        <v>1</v>
      </c>
      <c r="O17" s="411">
        <v>1</v>
      </c>
      <c r="P17" s="411">
        <v>1</v>
      </c>
      <c r="Q17" s="411">
        <v>1</v>
      </c>
      <c r="R17" s="411">
        <v>1</v>
      </c>
      <c r="S17" s="411">
        <v>1</v>
      </c>
      <c r="T17" s="411">
        <v>1</v>
      </c>
      <c r="U17" s="411">
        <v>1</v>
      </c>
      <c r="V17" s="411">
        <v>1</v>
      </c>
      <c r="W17" s="411">
        <v>1</v>
      </c>
      <c r="X17" s="411">
        <v>1</v>
      </c>
      <c r="Y17" s="411">
        <v>1</v>
      </c>
      <c r="Z17" s="411">
        <v>1</v>
      </c>
      <c r="AA17" s="411">
        <v>1</v>
      </c>
      <c r="AB17" s="411">
        <v>1</v>
      </c>
      <c r="AC17" s="411">
        <v>1</v>
      </c>
      <c r="AD17" s="411">
        <v>1</v>
      </c>
      <c r="AE17" s="411">
        <v>1</v>
      </c>
      <c r="AF17" s="261">
        <f t="shared" ref="AF17:AF26" si="2">(D$7*D17)+(E$7*E17)+(F$7*F17)+(G$7*G17)+(H$7*H17)+(I$7*I17)+(J$7*J17)+(K$7*K17)+(L$7*L17)+(M$7*M17)+(N$7*N17)+(O$7*O17)+(P$7*P17)+(Q$7*Q17)+(R$7*R17)+(S$7*S17)+(T$7*T17)+(U$7*U17)+(V$7*V17)+(W$7*W17)+(X$7*X17)+(Y$7*Y17)+(Z$7*Z17)+(AA$7*AA17)+(AB$7*AB17)+(AC$7*AC17)+(AD$7*AD17)+(AE$7*AE17)</f>
        <v>4872</v>
      </c>
      <c r="AG17" s="262">
        <f>AF17</f>
        <v>4872</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vqBqvkAnJxl4T59sN28eozD2JEfxGvT5n1Q1SGSFtnhB/70+Gr1J9DQctHitMtkmWlOo6EFeo/yRBqZd1Gv/fA==" saltValue="lCUfTTScVIZPAXyrMNw4+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245" priority="22">
      <formula>D$7=0</formula>
    </cfRule>
  </conditionalFormatting>
  <conditionalFormatting sqref="D16">
    <cfRule type="expression" dxfId="244" priority="21">
      <formula>D$7=0</formula>
    </cfRule>
  </conditionalFormatting>
  <conditionalFormatting sqref="E27:AE28">
    <cfRule type="expression" dxfId="243" priority="20">
      <formula>E$7=0</formula>
    </cfRule>
  </conditionalFormatting>
  <conditionalFormatting sqref="E16:AE16">
    <cfRule type="expression" dxfId="242" priority="19">
      <formula>E$7=0</formula>
    </cfRule>
  </conditionalFormatting>
  <conditionalFormatting sqref="D11">
    <cfRule type="expression" dxfId="241" priority="18">
      <formula>D$7=0</formula>
    </cfRule>
  </conditionalFormatting>
  <conditionalFormatting sqref="E11:AE11">
    <cfRule type="expression" dxfId="240" priority="17">
      <formula>E$7=0</formula>
    </cfRule>
  </conditionalFormatting>
  <conditionalFormatting sqref="D14:AE14">
    <cfRule type="cellIs" dxfId="239" priority="13" operator="between">
      <formula>0.25</formula>
      <formula>1</formula>
    </cfRule>
    <cfRule type="cellIs" dxfId="238" priority="14" operator="between">
      <formula>0.15</formula>
      <formula>0.25</formula>
    </cfRule>
    <cfRule type="cellIs" dxfId="237" priority="15" operator="between">
      <formula>0</formula>
      <formula>0.15</formula>
    </cfRule>
    <cfRule type="cellIs" dxfId="236" priority="16" operator="between">
      <formula>-0.5</formula>
      <formula>0</formula>
    </cfRule>
  </conditionalFormatting>
  <conditionalFormatting sqref="D17:AE17 D19 D21 D23 D25">
    <cfRule type="expression" dxfId="235" priority="12">
      <formula>D$7=0</formula>
    </cfRule>
  </conditionalFormatting>
  <conditionalFormatting sqref="E19:AE19">
    <cfRule type="expression" dxfId="234" priority="11">
      <formula>E$7=0</formula>
    </cfRule>
  </conditionalFormatting>
  <conditionalFormatting sqref="E20:AE20">
    <cfRule type="expression" dxfId="233" priority="10">
      <formula>E$7=0</formula>
    </cfRule>
  </conditionalFormatting>
  <conditionalFormatting sqref="E21:AE21">
    <cfRule type="expression" dxfId="232" priority="9">
      <formula>E$7=0</formula>
    </cfRule>
  </conditionalFormatting>
  <conditionalFormatting sqref="E22:AE22">
    <cfRule type="expression" dxfId="231" priority="8">
      <formula>E$7=0</formula>
    </cfRule>
  </conditionalFormatting>
  <conditionalFormatting sqref="E23:AE23">
    <cfRule type="expression" dxfId="230" priority="7">
      <formula>E$7=0</formula>
    </cfRule>
  </conditionalFormatting>
  <conditionalFormatting sqref="E24:AE24">
    <cfRule type="expression" dxfId="229" priority="6">
      <formula>E$7=0</formula>
    </cfRule>
  </conditionalFormatting>
  <conditionalFormatting sqref="E25:AE25">
    <cfRule type="expression" dxfId="228" priority="5">
      <formula>E$7=0</formula>
    </cfRule>
  </conditionalFormatting>
  <conditionalFormatting sqref="D26:AE26">
    <cfRule type="expression" dxfId="227" priority="4">
      <formula>D$7=0</formula>
    </cfRule>
  </conditionalFormatting>
  <conditionalFormatting sqref="D20">
    <cfRule type="expression" dxfId="226" priority="3">
      <formula>D$7=0</formula>
    </cfRule>
  </conditionalFormatting>
  <conditionalFormatting sqref="D22">
    <cfRule type="expression" dxfId="225" priority="2">
      <formula>D$7=0</formula>
    </cfRule>
  </conditionalFormatting>
  <conditionalFormatting sqref="D24">
    <cfRule type="expression" dxfId="224" priority="1">
      <formula>D$7=0</formula>
    </cfRule>
  </conditionalFormatting>
  <dataValidations count="2">
    <dataValidation type="list" allowBlank="1" showInputMessage="1" showErrorMessage="1" sqref="D15:AE15" xr:uid="{B80EFB09-D634-41F7-91DB-47C007C7C17B}">
      <formula1>$P$4:$S$4</formula1>
    </dataValidation>
    <dataValidation type="decimal" allowBlank="1" showErrorMessage="1" errorTitle="Invalid Entry" error="Values in these cells must be a number greater than 12.  Text entries are not allowed.  " sqref="D11:AE11" xr:uid="{C17046F3-21F5-483D-A79A-7599BE18C870}">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0673"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0674"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B42095C1-92D1-4CEE-B714-0DBC0C97F236}">
          <x14:formula1>
            <xm:f>'Labor &amp; Practice Lookups'!$R$4:$V$4</xm:f>
          </x14:formula1>
          <xm:sqref>D9:AE10</xm:sqref>
        </x14:dataValidation>
        <x14:dataValidation type="list" allowBlank="1" showInputMessage="1" showErrorMessage="1" xr:uid="{4AB166EA-9E6A-4F8F-83B9-F0B226F8FF09}">
          <x14:formula1>
            <xm:f>'Labor &amp; Practice Lookups'!$Q$5:$Q$11</xm:f>
          </x14:formula1>
          <xm:sqref>D8:AE8</xm:sqref>
        </x14:dataValidation>
        <x14:dataValidation type="list" allowBlank="1" showInputMessage="1" showErrorMessage="1" xr:uid="{7A89EF2A-3A2F-4176-AEFE-F9547CCCCEDE}">
          <x14:formula1>
            <xm:f>INPUT!$F$5:$F$32</xm:f>
          </x14:formula1>
          <xm:sqref>D5:AE5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F7207-EF18-45D0-87C5-AF4C090749FC}">
  <sheetPr syncVertical="1" syncRef="D10" transitionEvaluation="1" transitionEntry="1" codeName="Sheet38">
    <pageSetUpPr fitToPage="1"/>
  </sheetPr>
  <dimension ref="A1:XFD165"/>
  <sheetViews>
    <sheetView view="pageBreakPreview" topLeftCell="D1" zoomScale="70" zoomScaleNormal="70" zoomScaleSheetLayoutView="70" workbookViewId="0">
      <pane ySplit="9" topLeftCell="A10" activePane="bottomLeft" state="frozen"/>
      <selection pane="bottomLeft" activeCell="L23" sqref="L23"/>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Element11</f>
        <v>Phase Name 11</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gY33X+rwbz7HrQ1E6fhEMQIJsVIUObhQ0w7s/lvbsZ6+OTif4ZbrzSIQXXJeiVZSc4DjhIS10vVurObrVJib2A==" saltValue="o7HZcTHZdWn/UQEzq64Wkw=="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223" priority="22">
      <formula>D$7=0</formula>
    </cfRule>
  </conditionalFormatting>
  <conditionalFormatting sqref="D16">
    <cfRule type="expression" dxfId="222" priority="21">
      <formula>D$7=0</formula>
    </cfRule>
  </conditionalFormatting>
  <conditionalFormatting sqref="E27:AE28">
    <cfRule type="expression" dxfId="221" priority="20">
      <formula>E$7=0</formula>
    </cfRule>
  </conditionalFormatting>
  <conditionalFormatting sqref="E16:AE16">
    <cfRule type="expression" dxfId="220" priority="19">
      <formula>E$7=0</formula>
    </cfRule>
  </conditionalFormatting>
  <conditionalFormatting sqref="D11">
    <cfRule type="expression" dxfId="219" priority="18">
      <formula>D$7=0</formula>
    </cfRule>
  </conditionalFormatting>
  <conditionalFormatting sqref="E11:AE11">
    <cfRule type="expression" dxfId="218" priority="17">
      <formula>E$7=0</formula>
    </cfRule>
  </conditionalFormatting>
  <conditionalFormatting sqref="D14:AE14">
    <cfRule type="cellIs" dxfId="217" priority="13" operator="between">
      <formula>0.25</formula>
      <formula>1</formula>
    </cfRule>
    <cfRule type="cellIs" dxfId="216" priority="14" operator="between">
      <formula>0.15</formula>
      <formula>0.25</formula>
    </cfRule>
    <cfRule type="cellIs" dxfId="215" priority="15" operator="between">
      <formula>0</formula>
      <formula>0.15</formula>
    </cfRule>
    <cfRule type="cellIs" dxfId="214" priority="16" operator="between">
      <formula>-0.5</formula>
      <formula>0</formula>
    </cfRule>
  </conditionalFormatting>
  <conditionalFormatting sqref="D17:AE17 D19 D21 D23 D25">
    <cfRule type="expression" dxfId="213" priority="12">
      <formula>D$7=0</formula>
    </cfRule>
  </conditionalFormatting>
  <conditionalFormatting sqref="E19:AE19">
    <cfRule type="expression" dxfId="212" priority="11">
      <formula>E$7=0</formula>
    </cfRule>
  </conditionalFormatting>
  <conditionalFormatting sqref="E20:AE20">
    <cfRule type="expression" dxfId="211" priority="10">
      <formula>E$7=0</formula>
    </cfRule>
  </conditionalFormatting>
  <conditionalFormatting sqref="E21:AE21">
    <cfRule type="expression" dxfId="210" priority="9">
      <formula>E$7=0</formula>
    </cfRule>
  </conditionalFormatting>
  <conditionalFormatting sqref="E22:AE22">
    <cfRule type="expression" dxfId="209" priority="8">
      <formula>E$7=0</formula>
    </cfRule>
  </conditionalFormatting>
  <conditionalFormatting sqref="E23:AE23">
    <cfRule type="expression" dxfId="208" priority="7">
      <formula>E$7=0</formula>
    </cfRule>
  </conditionalFormatting>
  <conditionalFormatting sqref="E24:AE24">
    <cfRule type="expression" dxfId="207" priority="6">
      <formula>E$7=0</formula>
    </cfRule>
  </conditionalFormatting>
  <conditionalFormatting sqref="E25:AE25">
    <cfRule type="expression" dxfId="206" priority="5">
      <formula>E$7=0</formula>
    </cfRule>
  </conditionalFormatting>
  <conditionalFormatting sqref="D26:AE26">
    <cfRule type="expression" dxfId="205" priority="4">
      <formula>D$7=0</formula>
    </cfRule>
  </conditionalFormatting>
  <conditionalFormatting sqref="D20">
    <cfRule type="expression" dxfId="204" priority="3">
      <formula>D$7=0</formula>
    </cfRule>
  </conditionalFormatting>
  <conditionalFormatting sqref="D22">
    <cfRule type="expression" dxfId="203" priority="2">
      <formula>D$7=0</formula>
    </cfRule>
  </conditionalFormatting>
  <conditionalFormatting sqref="D24">
    <cfRule type="expression" dxfId="202" priority="1">
      <formula>D$7=0</formula>
    </cfRule>
  </conditionalFormatting>
  <dataValidations count="2">
    <dataValidation type="list" allowBlank="1" showInputMessage="1" showErrorMessage="1" sqref="D15:AE15" xr:uid="{8F176102-EE51-46D0-9D30-4743495B979E}">
      <formula1>$P$4:$S$4</formula1>
    </dataValidation>
    <dataValidation type="decimal" allowBlank="1" showErrorMessage="1" errorTitle="Invalid Entry" error="Values in these cells must be a number greater than 12.  Text entries are not allowed.  " sqref="D11:AE11" xr:uid="{765DF1F1-ECEB-4385-999C-FC025CBE08D4}">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1697"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1698"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B2DA1BF-A463-4BF7-B21A-B9BE292DF5F5}">
          <x14:formula1>
            <xm:f>'Labor &amp; Practice Lookups'!$R$4:$V$4</xm:f>
          </x14:formula1>
          <xm:sqref>D9:AE10</xm:sqref>
        </x14:dataValidation>
        <x14:dataValidation type="list" allowBlank="1" showInputMessage="1" showErrorMessage="1" xr:uid="{725936AD-3250-4327-95D8-6E30987DDA03}">
          <x14:formula1>
            <xm:f>'Labor &amp; Practice Lookups'!$Q$5:$Q$11</xm:f>
          </x14:formula1>
          <xm:sqref>D8:AE8</xm:sqref>
        </x14:dataValidation>
        <x14:dataValidation type="list" allowBlank="1" showInputMessage="1" showErrorMessage="1" xr:uid="{12A74D52-34A0-417C-9B00-FEBA9360969B}">
          <x14:formula1>
            <xm:f>INPUT!$F$5:$F$32</xm:f>
          </x14:formula1>
          <xm:sqref>D5:AE5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287B6-341C-491A-872B-9B79C3CC0559}">
  <sheetPr syncVertical="1" syncRef="D10" transitionEvaluation="1" transitionEntry="1" codeName="Sheet40">
    <pageSetUpPr fitToPage="1"/>
  </sheetPr>
  <dimension ref="A1:XFD165"/>
  <sheetViews>
    <sheetView view="pageBreakPreview" topLeftCell="D1" zoomScale="70" zoomScaleNormal="70" zoomScaleSheetLayoutView="70" workbookViewId="0">
      <pane ySplit="9" topLeftCell="A10" activePane="bottomLeft" state="frozen"/>
      <selection pane="bottomLeft" activeCell="V23" sqref="V23"/>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Element12</f>
        <v>Phase Name 12</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eLND5+FLuHZMJDRm/0ZlroXClzKXQeeAYWro1WT71/Sbj75XXfOzjf4XvypzSPtYbQme+HZf/NUJtfeaNSFCVg==" saltValue="V/ks0wovU67kp0QxpQeVL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201" priority="22">
      <formula>D$7=0</formula>
    </cfRule>
  </conditionalFormatting>
  <conditionalFormatting sqref="D16">
    <cfRule type="expression" dxfId="200" priority="21">
      <formula>D$7=0</formula>
    </cfRule>
  </conditionalFormatting>
  <conditionalFormatting sqref="E27:AE28">
    <cfRule type="expression" dxfId="199" priority="20">
      <formula>E$7=0</formula>
    </cfRule>
  </conditionalFormatting>
  <conditionalFormatting sqref="E16:AE16">
    <cfRule type="expression" dxfId="198" priority="19">
      <formula>E$7=0</formula>
    </cfRule>
  </conditionalFormatting>
  <conditionalFormatting sqref="D11">
    <cfRule type="expression" dxfId="197" priority="18">
      <formula>D$7=0</formula>
    </cfRule>
  </conditionalFormatting>
  <conditionalFormatting sqref="E11:AE11">
    <cfRule type="expression" dxfId="196" priority="17">
      <formula>E$7=0</formula>
    </cfRule>
  </conditionalFormatting>
  <conditionalFormatting sqref="D14:AE14">
    <cfRule type="cellIs" dxfId="195" priority="13" operator="between">
      <formula>0.25</formula>
      <formula>1</formula>
    </cfRule>
    <cfRule type="cellIs" dxfId="194" priority="14" operator="between">
      <formula>0.15</formula>
      <formula>0.25</formula>
    </cfRule>
    <cfRule type="cellIs" dxfId="193" priority="15" operator="between">
      <formula>0</formula>
      <formula>0.15</formula>
    </cfRule>
    <cfRule type="cellIs" dxfId="192" priority="16" operator="between">
      <formula>-0.5</formula>
      <formula>0</formula>
    </cfRule>
  </conditionalFormatting>
  <conditionalFormatting sqref="D17:AE17 D19 D21 D23 D25">
    <cfRule type="expression" dxfId="191" priority="12">
      <formula>D$7=0</formula>
    </cfRule>
  </conditionalFormatting>
  <conditionalFormatting sqref="E19:AE19">
    <cfRule type="expression" dxfId="190" priority="11">
      <formula>E$7=0</formula>
    </cfRule>
  </conditionalFormatting>
  <conditionalFormatting sqref="E20:AE20">
    <cfRule type="expression" dxfId="189" priority="10">
      <formula>E$7=0</formula>
    </cfRule>
  </conditionalFormatting>
  <conditionalFormatting sqref="E21:AE21">
    <cfRule type="expression" dxfId="188" priority="9">
      <formula>E$7=0</formula>
    </cfRule>
  </conditionalFormatting>
  <conditionalFormatting sqref="E22:AE22">
    <cfRule type="expression" dxfId="187" priority="8">
      <formula>E$7=0</formula>
    </cfRule>
  </conditionalFormatting>
  <conditionalFormatting sqref="E23:AE23">
    <cfRule type="expression" dxfId="186" priority="7">
      <formula>E$7=0</formula>
    </cfRule>
  </conditionalFormatting>
  <conditionalFormatting sqref="E24:AE24">
    <cfRule type="expression" dxfId="185" priority="6">
      <formula>E$7=0</formula>
    </cfRule>
  </conditionalFormatting>
  <conditionalFormatting sqref="E25:AE25">
    <cfRule type="expression" dxfId="184" priority="5">
      <formula>E$7=0</formula>
    </cfRule>
  </conditionalFormatting>
  <conditionalFormatting sqref="D26:AE26">
    <cfRule type="expression" dxfId="183" priority="4">
      <formula>D$7=0</formula>
    </cfRule>
  </conditionalFormatting>
  <conditionalFormatting sqref="D20">
    <cfRule type="expression" dxfId="182" priority="3">
      <formula>D$7=0</formula>
    </cfRule>
  </conditionalFormatting>
  <conditionalFormatting sqref="D22">
    <cfRule type="expression" dxfId="181" priority="2">
      <formula>D$7=0</formula>
    </cfRule>
  </conditionalFormatting>
  <conditionalFormatting sqref="D24">
    <cfRule type="expression" dxfId="180" priority="1">
      <formula>D$7=0</formula>
    </cfRule>
  </conditionalFormatting>
  <dataValidations count="2">
    <dataValidation type="list" allowBlank="1" showInputMessage="1" showErrorMessage="1" sqref="D15:AE15" xr:uid="{C111AAF4-86E2-4220-A016-BB7E24AB8EE9}">
      <formula1>$P$4:$S$4</formula1>
    </dataValidation>
    <dataValidation type="decimal" allowBlank="1" showErrorMessage="1" errorTitle="Invalid Entry" error="Values in these cells must be a number greater than 12.  Text entries are not allowed.  " sqref="D11:AE11" xr:uid="{C0408E56-2C11-4F55-8395-5C58BDCBD9DE}">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2721"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2722"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E46D4F09-3953-4FAE-910D-E9D6881AA247}">
          <x14:formula1>
            <xm:f>'Labor &amp; Practice Lookups'!$R$4:$V$4</xm:f>
          </x14:formula1>
          <xm:sqref>D9:AE10</xm:sqref>
        </x14:dataValidation>
        <x14:dataValidation type="list" allowBlank="1" showInputMessage="1" showErrorMessage="1" xr:uid="{5207A085-44AF-411C-A803-3C1B791BEB1F}">
          <x14:formula1>
            <xm:f>'Labor &amp; Practice Lookups'!$Q$5:$Q$11</xm:f>
          </x14:formula1>
          <xm:sqref>D8:AE8</xm:sqref>
        </x14:dataValidation>
        <x14:dataValidation type="list" allowBlank="1" showInputMessage="1" showErrorMessage="1" xr:uid="{C3F16BC2-7918-41AD-BA9F-FC8A9CBF1656}">
          <x14:formula1>
            <xm:f>INPUT!$F$5:$F$32</xm:f>
          </x14:formula1>
          <xm:sqref>D5:AE5</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B6A22-1578-4196-84D1-20E74851F5AB}">
  <sheetPr syncVertical="1" syncRef="D10" transitionEvaluation="1" transitionEntry="1" codeName="Sheet41">
    <pageSetUpPr fitToPage="1"/>
  </sheetPr>
  <dimension ref="A1:XFD165"/>
  <sheetViews>
    <sheetView view="pageBreakPreview" topLeftCell="D1" zoomScale="70" zoomScaleNormal="70" zoomScaleSheetLayoutView="70" workbookViewId="0">
      <pane ySplit="9" topLeftCell="A10" activePane="bottomLeft" state="frozen"/>
      <selection pane="bottomLeft" activeCell="L25" sqref="L25"/>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Element13</f>
        <v>Phase Name 13</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7ibbMalddWZBGNtoEc5qjZ0FhSmRScq9Evh9QJNtyakZNgTRn1In33zPiRJr8Qy5ulnpPOO+wpsu+jyh9SZZbQ==" saltValue="7S6RK2Lze4k2fBvdhKmGwQ=="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179" priority="22">
      <formula>D$7=0</formula>
    </cfRule>
  </conditionalFormatting>
  <conditionalFormatting sqref="D16">
    <cfRule type="expression" dxfId="178" priority="21">
      <formula>D$7=0</formula>
    </cfRule>
  </conditionalFormatting>
  <conditionalFormatting sqref="E27:AE28">
    <cfRule type="expression" dxfId="177" priority="20">
      <formula>E$7=0</formula>
    </cfRule>
  </conditionalFormatting>
  <conditionalFormatting sqref="E16:AE16">
    <cfRule type="expression" dxfId="176" priority="19">
      <formula>E$7=0</formula>
    </cfRule>
  </conditionalFormatting>
  <conditionalFormatting sqref="D11">
    <cfRule type="expression" dxfId="175" priority="18">
      <formula>D$7=0</formula>
    </cfRule>
  </conditionalFormatting>
  <conditionalFormatting sqref="E11:AE11">
    <cfRule type="expression" dxfId="174" priority="17">
      <formula>E$7=0</formula>
    </cfRule>
  </conditionalFormatting>
  <conditionalFormatting sqref="D14:AE14">
    <cfRule type="cellIs" dxfId="173" priority="13" operator="between">
      <formula>0.25</formula>
      <formula>1</formula>
    </cfRule>
    <cfRule type="cellIs" dxfId="172" priority="14" operator="between">
      <formula>0.15</formula>
      <formula>0.25</formula>
    </cfRule>
    <cfRule type="cellIs" dxfId="171" priority="15" operator="between">
      <formula>0</formula>
      <formula>0.15</formula>
    </cfRule>
    <cfRule type="cellIs" dxfId="170" priority="16" operator="between">
      <formula>-0.5</formula>
      <formula>0</formula>
    </cfRule>
  </conditionalFormatting>
  <conditionalFormatting sqref="D17:AE17 D19 D21 D23 D25">
    <cfRule type="expression" dxfId="169" priority="12">
      <formula>D$7=0</formula>
    </cfRule>
  </conditionalFormatting>
  <conditionalFormatting sqref="E19:AE19">
    <cfRule type="expression" dxfId="168" priority="11">
      <formula>E$7=0</formula>
    </cfRule>
  </conditionalFormatting>
  <conditionalFormatting sqref="E20:AE20">
    <cfRule type="expression" dxfId="167" priority="10">
      <formula>E$7=0</formula>
    </cfRule>
  </conditionalFormatting>
  <conditionalFormatting sqref="E21:AE21">
    <cfRule type="expression" dxfId="166" priority="9">
      <formula>E$7=0</formula>
    </cfRule>
  </conditionalFormatting>
  <conditionalFormatting sqref="E22:AE22">
    <cfRule type="expression" dxfId="165" priority="8">
      <formula>E$7=0</formula>
    </cfRule>
  </conditionalFormatting>
  <conditionalFormatting sqref="E23:AE23">
    <cfRule type="expression" dxfId="164" priority="7">
      <formula>E$7=0</formula>
    </cfRule>
  </conditionalFormatting>
  <conditionalFormatting sqref="E24:AE24">
    <cfRule type="expression" dxfId="163" priority="6">
      <formula>E$7=0</formula>
    </cfRule>
  </conditionalFormatting>
  <conditionalFormatting sqref="E25:AE25">
    <cfRule type="expression" dxfId="162" priority="5">
      <formula>E$7=0</formula>
    </cfRule>
  </conditionalFormatting>
  <conditionalFormatting sqref="D26:AE26">
    <cfRule type="expression" dxfId="161" priority="4">
      <formula>D$7=0</formula>
    </cfRule>
  </conditionalFormatting>
  <conditionalFormatting sqref="D20">
    <cfRule type="expression" dxfId="160" priority="3">
      <formula>D$7=0</formula>
    </cfRule>
  </conditionalFormatting>
  <conditionalFormatting sqref="D22">
    <cfRule type="expression" dxfId="159" priority="2">
      <formula>D$7=0</formula>
    </cfRule>
  </conditionalFormatting>
  <conditionalFormatting sqref="D24">
    <cfRule type="expression" dxfId="158" priority="1">
      <formula>D$7=0</formula>
    </cfRule>
  </conditionalFormatting>
  <dataValidations count="2">
    <dataValidation type="list" allowBlank="1" showInputMessage="1" showErrorMessage="1" sqref="D15:AE15" xr:uid="{E275711C-5EAA-4E59-9869-75E984F1EDAD}">
      <formula1>$P$4:$S$4</formula1>
    </dataValidation>
    <dataValidation type="decimal" allowBlank="1" showErrorMessage="1" errorTitle="Invalid Entry" error="Values in these cells must be a number greater than 12.  Text entries are not allowed.  " sqref="D11:AE11" xr:uid="{359F53E8-6798-4EC6-B16E-DEFA0C761FBD}">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3745"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3746"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EB080A1-4536-4626-B24E-40F4911997AA}">
          <x14:formula1>
            <xm:f>'Labor &amp; Practice Lookups'!$R$4:$V$4</xm:f>
          </x14:formula1>
          <xm:sqref>D9:AE10</xm:sqref>
        </x14:dataValidation>
        <x14:dataValidation type="list" allowBlank="1" showInputMessage="1" showErrorMessage="1" xr:uid="{3685B2CB-E1B7-4AAC-9FAD-C11905216C4C}">
          <x14:formula1>
            <xm:f>'Labor &amp; Practice Lookups'!$Q$5:$Q$11</xm:f>
          </x14:formula1>
          <xm:sqref>D8:AE8</xm:sqref>
        </x14:dataValidation>
        <x14:dataValidation type="list" allowBlank="1" showInputMessage="1" showErrorMessage="1" xr:uid="{464F44CD-483B-4E6C-86F3-1867AC8D0F48}">
          <x14:formula1>
            <xm:f>INPUT!$F$5:$F$32</xm:f>
          </x14:formula1>
          <xm:sqref>D5:AE5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FFF01-7F31-4DFB-B35E-2BBC977CB5D6}">
  <sheetPr syncVertical="1" syncRef="E10" transitionEvaluation="1" transitionEntry="1" codeName="Sheet42">
    <pageSetUpPr fitToPage="1"/>
  </sheetPr>
  <dimension ref="A1:XFD165"/>
  <sheetViews>
    <sheetView view="pageBreakPreview" topLeftCell="E1" zoomScale="70" zoomScaleNormal="70" zoomScaleSheetLayoutView="70" workbookViewId="0">
      <pane ySplit="9" topLeftCell="A10" activePane="bottomLeft" state="frozen"/>
      <selection pane="bottomLeft" activeCell="U22" sqref="U22"/>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Element14</f>
        <v>Phase Name 14</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4872</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WdhdPlO4Gz81fU4g/ClNNKSvniMlQr04vMns8mHTnH2K8a1tAxCNCGl+Nwe7TmcyLOQEhYiy9zxYx9wVqjmAaw==" saltValue="0AkBWBUU2fgoQvCDzIvoa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157" priority="22">
      <formula>D$7=0</formula>
    </cfRule>
  </conditionalFormatting>
  <conditionalFormatting sqref="D16">
    <cfRule type="expression" dxfId="156" priority="21">
      <formula>D$7=0</formula>
    </cfRule>
  </conditionalFormatting>
  <conditionalFormatting sqref="E27:AE28">
    <cfRule type="expression" dxfId="155" priority="20">
      <formula>E$7=0</formula>
    </cfRule>
  </conditionalFormatting>
  <conditionalFormatting sqref="E16:AE16">
    <cfRule type="expression" dxfId="154" priority="19">
      <formula>E$7=0</formula>
    </cfRule>
  </conditionalFormatting>
  <conditionalFormatting sqref="D11">
    <cfRule type="expression" dxfId="153" priority="18">
      <formula>D$7=0</formula>
    </cfRule>
  </conditionalFormatting>
  <conditionalFormatting sqref="E11:AE11">
    <cfRule type="expression" dxfId="152" priority="17">
      <formula>E$7=0</formula>
    </cfRule>
  </conditionalFormatting>
  <conditionalFormatting sqref="D14:AE14">
    <cfRule type="cellIs" dxfId="151" priority="13" operator="between">
      <formula>0.25</formula>
      <formula>1</formula>
    </cfRule>
    <cfRule type="cellIs" dxfId="150" priority="14" operator="between">
      <formula>0.15</formula>
      <formula>0.25</formula>
    </cfRule>
    <cfRule type="cellIs" dxfId="149" priority="15" operator="between">
      <formula>0</formula>
      <formula>0.15</formula>
    </cfRule>
    <cfRule type="cellIs" dxfId="148" priority="16" operator="between">
      <formula>-0.5</formula>
      <formula>0</formula>
    </cfRule>
  </conditionalFormatting>
  <conditionalFormatting sqref="D17:AE17 D19 D21 D23 D25">
    <cfRule type="expression" dxfId="147" priority="12">
      <formula>D$7=0</formula>
    </cfRule>
  </conditionalFormatting>
  <conditionalFormatting sqref="E19:AE19">
    <cfRule type="expression" dxfId="146" priority="11">
      <formula>E$7=0</formula>
    </cfRule>
  </conditionalFormatting>
  <conditionalFormatting sqref="E20:AE20">
    <cfRule type="expression" dxfId="145" priority="10">
      <formula>E$7=0</formula>
    </cfRule>
  </conditionalFormatting>
  <conditionalFormatting sqref="E21:AE21">
    <cfRule type="expression" dxfId="144" priority="9">
      <formula>E$7=0</formula>
    </cfRule>
  </conditionalFormatting>
  <conditionalFormatting sqref="E22:AE22">
    <cfRule type="expression" dxfId="143" priority="8">
      <formula>E$7=0</formula>
    </cfRule>
  </conditionalFormatting>
  <conditionalFormatting sqref="E23:AE23">
    <cfRule type="expression" dxfId="142" priority="7">
      <formula>E$7=0</formula>
    </cfRule>
  </conditionalFormatting>
  <conditionalFormatting sqref="E24:AE24">
    <cfRule type="expression" dxfId="141" priority="6">
      <formula>E$7=0</formula>
    </cfRule>
  </conditionalFormatting>
  <conditionalFormatting sqref="E25:AE25">
    <cfRule type="expression" dxfId="140" priority="5">
      <formula>E$7=0</formula>
    </cfRule>
  </conditionalFormatting>
  <conditionalFormatting sqref="D26:AE26">
    <cfRule type="expression" dxfId="139" priority="4">
      <formula>D$7=0</formula>
    </cfRule>
  </conditionalFormatting>
  <conditionalFormatting sqref="D20">
    <cfRule type="expression" dxfId="138" priority="3">
      <formula>D$7=0</formula>
    </cfRule>
  </conditionalFormatting>
  <conditionalFormatting sqref="D22">
    <cfRule type="expression" dxfId="137" priority="2">
      <formula>D$7=0</formula>
    </cfRule>
  </conditionalFormatting>
  <conditionalFormatting sqref="D24">
    <cfRule type="expression" dxfId="136" priority="1">
      <formula>D$7=0</formula>
    </cfRule>
  </conditionalFormatting>
  <dataValidations count="2">
    <dataValidation type="list" allowBlank="1" showInputMessage="1" showErrorMessage="1" sqref="D15:AE15" xr:uid="{F92C83E2-85FA-4772-B7CE-41BF88C78F27}">
      <formula1>$P$4:$S$4</formula1>
    </dataValidation>
    <dataValidation type="decimal" allowBlank="1" showErrorMessage="1" errorTitle="Invalid Entry" error="Values in these cells must be a number greater than 12.  Text entries are not allowed.  " sqref="D11:AE11" xr:uid="{6E7D3C36-BF57-4A52-9EDA-42249CBACC23}">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4769"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4770"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64D7F9-0164-40A2-95EC-DD2E4B18164D}">
          <x14:formula1>
            <xm:f>'Labor &amp; Practice Lookups'!$R$4:$V$4</xm:f>
          </x14:formula1>
          <xm:sqref>D9:AE10</xm:sqref>
        </x14:dataValidation>
        <x14:dataValidation type="list" allowBlank="1" showInputMessage="1" showErrorMessage="1" xr:uid="{99FD40CA-ED3F-4838-8491-858B3F631425}">
          <x14:formula1>
            <xm:f>'Labor &amp; Practice Lookups'!$Q$5:$Q$11</xm:f>
          </x14:formula1>
          <xm:sqref>D8:AE8</xm:sqref>
        </x14:dataValidation>
        <x14:dataValidation type="list" allowBlank="1" showInputMessage="1" showErrorMessage="1" xr:uid="{222F44AD-1D38-4A9A-844C-894C1844E6EA}">
          <x14:formula1>
            <xm:f>INPUT!$F$5:$F$32</xm:f>
          </x14:formula1>
          <xm:sqref>D5:AE5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79EAA-8D5B-44D2-AA72-4CB80977ACE3}">
  <sheetPr syncVertical="1" syncRef="E10" transitionEvaluation="1" transitionEntry="1" codeName="Sheet43">
    <pageSetUpPr fitToPage="1"/>
  </sheetPr>
  <dimension ref="A1:XFD165"/>
  <sheetViews>
    <sheetView view="pageBreakPreview" topLeftCell="E1" zoomScale="70" zoomScaleNormal="70" zoomScaleSheetLayoutView="70" workbookViewId="0">
      <pane ySplit="9" topLeftCell="A10" activePane="bottomLeft" state="frozen"/>
      <selection pane="bottomLeft" activeCell="AB18" sqref="AB18"/>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Element15</f>
        <v>Phase Name 15</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4872</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O2IweG46I4f7jxzujBCBXRurtUIp5LsDFLZYG95xO9EemSVqAWtj4QUMchy00g9j17HoPoapyf4frwU+a/YmiA==" saltValue="TmwcE73f5NE7gXBDYFSCBg=="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135" priority="22">
      <formula>D$7=0</formula>
    </cfRule>
  </conditionalFormatting>
  <conditionalFormatting sqref="D16">
    <cfRule type="expression" dxfId="134" priority="21">
      <formula>D$7=0</formula>
    </cfRule>
  </conditionalFormatting>
  <conditionalFormatting sqref="E27:AE28">
    <cfRule type="expression" dxfId="133" priority="20">
      <formula>E$7=0</formula>
    </cfRule>
  </conditionalFormatting>
  <conditionalFormatting sqref="E16:AE16">
    <cfRule type="expression" dxfId="132" priority="19">
      <formula>E$7=0</formula>
    </cfRule>
  </conditionalFormatting>
  <conditionalFormatting sqref="D11">
    <cfRule type="expression" dxfId="131" priority="18">
      <formula>D$7=0</formula>
    </cfRule>
  </conditionalFormatting>
  <conditionalFormatting sqref="E11:AE11">
    <cfRule type="expression" dxfId="130" priority="17">
      <formula>E$7=0</formula>
    </cfRule>
  </conditionalFormatting>
  <conditionalFormatting sqref="D14:AE14">
    <cfRule type="cellIs" dxfId="129" priority="13" operator="between">
      <formula>0.25</formula>
      <formula>1</formula>
    </cfRule>
    <cfRule type="cellIs" dxfId="128" priority="14" operator="between">
      <formula>0.15</formula>
      <formula>0.25</formula>
    </cfRule>
    <cfRule type="cellIs" dxfId="127" priority="15" operator="between">
      <formula>0</formula>
      <formula>0.15</formula>
    </cfRule>
    <cfRule type="cellIs" dxfId="126" priority="16" operator="between">
      <formula>-0.5</formula>
      <formula>0</formula>
    </cfRule>
  </conditionalFormatting>
  <conditionalFormatting sqref="D17:AE17 D19 D21 D23 D25">
    <cfRule type="expression" dxfId="125" priority="12">
      <formula>D$7=0</formula>
    </cfRule>
  </conditionalFormatting>
  <conditionalFormatting sqref="E19:AE19">
    <cfRule type="expression" dxfId="124" priority="11">
      <formula>E$7=0</formula>
    </cfRule>
  </conditionalFormatting>
  <conditionalFormatting sqref="E20:AE20">
    <cfRule type="expression" dxfId="123" priority="10">
      <formula>E$7=0</formula>
    </cfRule>
  </conditionalFormatting>
  <conditionalFormatting sqref="E21:AE21">
    <cfRule type="expression" dxfId="122" priority="9">
      <formula>E$7=0</formula>
    </cfRule>
  </conditionalFormatting>
  <conditionalFormatting sqref="E22:AE22">
    <cfRule type="expression" dxfId="121" priority="8">
      <formula>E$7=0</formula>
    </cfRule>
  </conditionalFormatting>
  <conditionalFormatting sqref="E23:AE23">
    <cfRule type="expression" dxfId="120" priority="7">
      <formula>E$7=0</formula>
    </cfRule>
  </conditionalFormatting>
  <conditionalFormatting sqref="E24:AE24">
    <cfRule type="expression" dxfId="119" priority="6">
      <formula>E$7=0</formula>
    </cfRule>
  </conditionalFormatting>
  <conditionalFormatting sqref="E25:AE25">
    <cfRule type="expression" dxfId="118" priority="5">
      <formula>E$7=0</formula>
    </cfRule>
  </conditionalFormatting>
  <conditionalFormatting sqref="D26:AE26">
    <cfRule type="expression" dxfId="117" priority="4">
      <formula>D$7=0</formula>
    </cfRule>
  </conditionalFormatting>
  <conditionalFormatting sqref="D20">
    <cfRule type="expression" dxfId="116" priority="3">
      <formula>D$7=0</formula>
    </cfRule>
  </conditionalFormatting>
  <conditionalFormatting sqref="D22">
    <cfRule type="expression" dxfId="115" priority="2">
      <formula>D$7=0</formula>
    </cfRule>
  </conditionalFormatting>
  <conditionalFormatting sqref="D24">
    <cfRule type="expression" dxfId="114" priority="1">
      <formula>D$7=0</formula>
    </cfRule>
  </conditionalFormatting>
  <dataValidations count="2">
    <dataValidation type="list" allowBlank="1" showInputMessage="1" showErrorMessage="1" sqref="D15:AE15" xr:uid="{9DE657E2-1DDA-4868-AC77-922A8E2810D7}">
      <formula1>$P$4:$S$4</formula1>
    </dataValidation>
    <dataValidation type="decimal" allowBlank="1" showErrorMessage="1" errorTitle="Invalid Entry" error="Values in these cells must be a number greater than 12.  Text entries are not allowed.  " sqref="D11:AE11" xr:uid="{5BEAA22E-A0BE-4F9E-BB5F-C6956A6143D8}">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5793"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5794"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4ABEF0F2-B854-48CB-B06D-024F5A45718D}">
          <x14:formula1>
            <xm:f>'Labor &amp; Practice Lookups'!$R$4:$V$4</xm:f>
          </x14:formula1>
          <xm:sqref>D9:AE10</xm:sqref>
        </x14:dataValidation>
        <x14:dataValidation type="list" allowBlank="1" showInputMessage="1" showErrorMessage="1" xr:uid="{229B4D55-6769-4B1C-A653-FD477D7B1256}">
          <x14:formula1>
            <xm:f>'Labor &amp; Practice Lookups'!$Q$5:$Q$11</xm:f>
          </x14:formula1>
          <xm:sqref>D8:AE8</xm:sqref>
        </x14:dataValidation>
        <x14:dataValidation type="list" allowBlank="1" showInputMessage="1" showErrorMessage="1" xr:uid="{C99718C6-50CB-4B81-B2C0-73C15F189D31}">
          <x14:formula1>
            <xm:f>INPUT!$F$5:$F$32</xm:f>
          </x14:formula1>
          <xm:sqref>D5:AE5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99178-7C63-43EB-81A6-493C2D7EBB6A}">
  <sheetPr syncVertical="1" syncRef="A10" transitionEvaluation="1" transitionEntry="1" codeName="Sheet44">
    <pageSetUpPr fitToPage="1"/>
  </sheetPr>
  <dimension ref="A1:XFD166"/>
  <sheetViews>
    <sheetView view="pageBreakPreview" zoomScale="70" zoomScaleNormal="70" zoomScaleSheetLayoutView="70" workbookViewId="0">
      <pane ySplit="9" topLeftCell="A10" activePane="bottomLeft" state="frozen"/>
      <selection pane="bottomLeft" activeCell="H33" sqref="H33"/>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Element16</f>
        <v>Phase Name 16</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IF(D29=0,"",VLOOKUP(D5,'Labor &amp; Practice Lookups'!$A$4:$I$32,D40))</f>
        <v>111.85081999999998</v>
      </c>
      <c r="E12" s="483">
        <f>IF(E29=0,"",VLOOKUP(E5,'Labor &amp; Practice Lookups'!$A$4:$I$32,E40))</f>
        <v>101.02199194285713</v>
      </c>
      <c r="F12" s="483">
        <f>IF(F29=0,"",VLOOKUP(F5,'Labor &amp; Practice Lookups'!$A$4:$I$32,F40))</f>
        <v>87.382549621466637</v>
      </c>
      <c r="G12" s="483">
        <f>IF(G29=0,"",VLOOKUP(G5,'Labor &amp; Practice Lookups'!$A$4:$I$32,G40))</f>
        <v>85.045982146125013</v>
      </c>
      <c r="H12" s="483">
        <f>IF(H29=0,"",VLOOKUP(H5,'Labor &amp; Practice Lookups'!$A$4:$I$32,H40))</f>
        <v>75.508185999999995</v>
      </c>
      <c r="I12" s="483">
        <f>IF(I29=0,"",VLOOKUP(I5,'Labor &amp; Practice Lookups'!$A$4:$I$32,I40))</f>
        <v>72.356703466666659</v>
      </c>
      <c r="J12" s="483">
        <f>IF(J29=0,"",VLOOKUP(J5,'Labor &amp; Practice Lookups'!$A$4:$I$32,J40))</f>
        <v>71.286207412244877</v>
      </c>
      <c r="K12" s="483">
        <f>IF(K29=0,"",VLOOKUP(K5,'Labor &amp; Practice Lookups'!$A$4:$I$32,K40))</f>
        <v>63.256657098666665</v>
      </c>
      <c r="L12" s="483">
        <f>IF(L29=0,"",VLOOKUP(L5,'Labor &amp; Practice Lookups'!$A$4:$I$32,L40))</f>
        <v>62.578888631999988</v>
      </c>
      <c r="M12" s="483">
        <f>IF(M29=0,"",VLOOKUP(M5,'Labor &amp; Practice Lookups'!$A$4:$I$32,M40))</f>
        <v>59.043301032258057</v>
      </c>
      <c r="N12" s="483">
        <f>IF(N29=0,"",VLOOKUP(N5,'Labor &amp; Practice Lookups'!$A$4:$I$32,N40))</f>
        <v>55.271870536170226</v>
      </c>
      <c r="O12" s="483">
        <f>IF(O29=0,"",VLOOKUP(O5,'Labor &amp; Practice Lookups'!$A$4:$I$32,O40))</f>
        <v>49.333211200000001</v>
      </c>
      <c r="P12" s="483">
        <f>IF(P29=0,"",VLOOKUP(P5,'Labor &amp; Practice Lookups'!$A$4:$I$32,P40))</f>
        <v>49.241842908408145</v>
      </c>
      <c r="Q12" s="483">
        <f>IF(Q29=0,"",VLOOKUP(Q5,'Labor &amp; Practice Lookups'!$A$4:$I$32,Q40))</f>
        <v>46.29836570925373</v>
      </c>
      <c r="R12" s="483">
        <f>IF(R29=0,"",VLOOKUP(R5,'Labor &amp; Practice Lookups'!$A$4:$I$32,R40))</f>
        <v>43.893124925000002</v>
      </c>
      <c r="S12" s="483">
        <f>IF(S29=0,"",VLOOKUP(S5,'Labor &amp; Practice Lookups'!$A$4:$I$32,S40))</f>
        <v>41.24210232380954</v>
      </c>
      <c r="T12" s="483">
        <f>IF(T29=0,"",VLOOKUP(T5,'Labor &amp; Practice Lookups'!$A$4:$I$32,T40))</f>
        <v>40.2051769518961</v>
      </c>
      <c r="U12" s="483">
        <f>IF(U29=0,"",VLOOKUP(U5,'Labor &amp; Practice Lookups'!$A$4:$I$32,U40))</f>
        <v>39.570273762500001</v>
      </c>
      <c r="V12" s="483">
        <f>IF(V29=0,"",VLOOKUP(V5,'Labor &amp; Practice Lookups'!$A$4:$I$32,V40))</f>
        <v>37.486710753488367</v>
      </c>
      <c r="W12" s="483">
        <f>IF(W29=0,"",VLOOKUP(W5,'Labor &amp; Practice Lookups'!$A$4:$I$32,W40))</f>
        <v>32.869074622222222</v>
      </c>
      <c r="X12" s="483">
        <f>IF(X29=0,"",VLOOKUP(X5,'Labor &amp; Practice Lookups'!$A$4:$I$32,X40))</f>
        <v>31.917386831515167</v>
      </c>
      <c r="Y12" s="483">
        <f>IF(Y29=0,"",VLOOKUP(Y5,'Labor &amp; Practice Lookups'!$A$4:$I$32,Y40))</f>
        <v>31.1213889525614</v>
      </c>
      <c r="Z12" s="483">
        <f>IF(Z29=0,"",VLOOKUP(Z5,'Labor &amp; Practice Lookups'!$A$4:$I$32,Z40))</f>
        <v>29.939239200000003</v>
      </c>
      <c r="AA12" s="483">
        <f>IF(AA29=0,"",VLOOKUP(AA5,'Labor &amp; Practice Lookups'!$A$4:$I$32,AA40))</f>
        <v>26.380046515789477</v>
      </c>
      <c r="AB12" s="483">
        <f>IF(AB29=0,"",VLOOKUP(AB5,'Labor &amp; Practice Lookups'!$A$4:$I$32,AB40))</f>
        <v>25.225407537777777</v>
      </c>
      <c r="AC12" s="483">
        <f>IF(AC29=0,"",VLOOKUP(AC5,'Labor &amp; Practice Lookups'!$A$4:$I$32,AC40))</f>
        <v>21.498547199999997</v>
      </c>
      <c r="AD12" s="483">
        <f>IF(AD29=0,"",VLOOKUP(AD5,'Labor &amp; Practice Lookups'!$A$4:$I$32,AD40))</f>
        <v>19.518230716279074</v>
      </c>
      <c r="AE12" s="484">
        <f>IF(AE29=0,"",VLOOKUP(AE5,'Labor &amp; Practice Lookups'!$A$4:$I$32,AE40))</f>
        <v>18.367432255319155</v>
      </c>
      <c r="AF12" s="29"/>
      <c r="AG12" s="404"/>
    </row>
    <row r="13" spans="1:42 16384:16384" x14ac:dyDescent="0.2">
      <c r="A13" s="463"/>
      <c r="B13" s="465"/>
      <c r="C13" s="470" t="s">
        <v>656</v>
      </c>
      <c r="D13" s="471">
        <f t="shared" ref="D13:AE13" si="0">IF(D29=0,"",IF(D11=0,D7/D12,D7/D11))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IF(D35="","",D35/D29)</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v>1</v>
      </c>
      <c r="W20" s="979">
        <v>1</v>
      </c>
      <c r="X20" s="979">
        <v>1</v>
      </c>
      <c r="Y20" s="979">
        <v>1</v>
      </c>
      <c r="Z20" s="979">
        <v>1</v>
      </c>
      <c r="AA20" s="979">
        <v>1</v>
      </c>
      <c r="AB20" s="979">
        <v>1</v>
      </c>
      <c r="AC20" s="979">
        <v>1</v>
      </c>
      <c r="AD20" s="979">
        <v>1</v>
      </c>
      <c r="AE20" s="979">
        <v>1</v>
      </c>
      <c r="AF20" s="987">
        <f t="shared" si="2"/>
        <v>969</v>
      </c>
      <c r="AG20" s="988">
        <f t="shared" si="3"/>
        <v>5841</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5841</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5841</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5841</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5841</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5841</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5841</v>
      </c>
    </row>
    <row r="27" spans="1:34" s="1231" customFormat="1" ht="18" customHeight="1" x14ac:dyDescent="0.2">
      <c r="A27" s="1227">
        <v>11</v>
      </c>
      <c r="B27" s="1533"/>
      <c r="C27" s="1534"/>
      <c r="D27" s="1228">
        <v>1</v>
      </c>
      <c r="E27" s="1228">
        <v>1</v>
      </c>
      <c r="F27" s="1228">
        <v>1</v>
      </c>
      <c r="G27" s="1228">
        <v>1</v>
      </c>
      <c r="H27" s="1228">
        <v>1</v>
      </c>
      <c r="I27" s="1228"/>
      <c r="J27" s="1228">
        <v>1</v>
      </c>
      <c r="K27" s="1228">
        <v>1</v>
      </c>
      <c r="L27" s="1228">
        <v>1</v>
      </c>
      <c r="M27" s="1228"/>
      <c r="N27" s="1228"/>
      <c r="O27" s="1228"/>
      <c r="P27" s="1228"/>
      <c r="Q27" s="1228"/>
      <c r="R27" s="1228"/>
      <c r="S27" s="1228"/>
      <c r="T27" s="1228"/>
      <c r="U27" s="1228"/>
      <c r="V27" s="1228"/>
      <c r="W27" s="1228"/>
      <c r="X27" s="1228"/>
      <c r="Y27" s="1228"/>
      <c r="Z27" s="1228"/>
      <c r="AA27" s="1228"/>
      <c r="AB27" s="1228"/>
      <c r="AC27" s="1228"/>
      <c r="AD27" s="1228"/>
      <c r="AE27" s="1228"/>
      <c r="AF27" s="1229">
        <f t="shared" ref="AF27" si="4">(D$7*D27)+(E$7*E27)+(F$7*F27)+(G$7*G27)+(H$7*H27)+(I$7*I27)+(J$7*J27)+(K$7*K27)+(L$7*L27)+(M$7*M27)+(N$7*N27)+(O$7*O27)+(P$7*P27)+(Q$7*Q27)+(R$7*R27)+(S$7*S27)+(T$7*T27)+(U$7*U27)+(V$7*V27)+(W$7*W27)+(X$7*X27)+(Y$7*Y27)+(Z$7*Z27)+(AA$7*AA27)+(AB$7*AB27)+(AC$7*AC27)+(AD$7*AD27)+(AE$7*AE27)</f>
        <v>2137</v>
      </c>
      <c r="AG27" s="1230">
        <f>AF27+ AG26</f>
        <v>7978</v>
      </c>
    </row>
    <row r="28" spans="1:34" ht="15" customHeight="1" x14ac:dyDescent="0.2">
      <c r="A28" s="981"/>
      <c r="B28" s="1237" t="str">
        <f>UPPER($A$1) &amp; "   " &amp; UPPER($AK$1) &amp; " TOTAL (HOURS) "</f>
        <v xml:space="preserve">PHASE   PAGE 1 TOTAL (HOURS) </v>
      </c>
      <c r="C28" s="1238"/>
      <c r="D28" s="982">
        <f>SUM(D16:D27)</f>
        <v>2</v>
      </c>
      <c r="E28" s="983">
        <f>SUM(E16:E27)</f>
        <v>2</v>
      </c>
      <c r="F28" s="983">
        <f>SUM(F16:F27)</f>
        <v>2</v>
      </c>
      <c r="G28" s="984">
        <f>SUM(G16:G27)</f>
        <v>2</v>
      </c>
      <c r="H28" s="982">
        <f>SUM(H16:H27)</f>
        <v>2</v>
      </c>
      <c r="I28" s="983">
        <f>SUM(I16:I27)</f>
        <v>1</v>
      </c>
      <c r="J28" s="983">
        <f>SUM(J16:J27)</f>
        <v>2</v>
      </c>
      <c r="K28" s="984">
        <f>SUM(K16:K27)</f>
        <v>2</v>
      </c>
      <c r="L28" s="982">
        <f>SUM(L16:L27)</f>
        <v>2</v>
      </c>
      <c r="M28" s="983">
        <f>SUM(M16:M27)</f>
        <v>1</v>
      </c>
      <c r="N28" s="983">
        <f>SUM(N16:N27)</f>
        <v>1</v>
      </c>
      <c r="O28" s="984">
        <f>SUM(O16:O27)</f>
        <v>1</v>
      </c>
      <c r="P28" s="982">
        <f>SUM(P16:P27)</f>
        <v>1</v>
      </c>
      <c r="Q28" s="983">
        <f>SUM(Q16:Q27)</f>
        <v>1</v>
      </c>
      <c r="R28" s="983">
        <f>SUM(R16:R27)</f>
        <v>1</v>
      </c>
      <c r="S28" s="984">
        <f>SUM(S16:S27)</f>
        <v>1</v>
      </c>
      <c r="T28" s="982">
        <f>SUM(T16:T27)</f>
        <v>1</v>
      </c>
      <c r="U28" s="983">
        <f>SUM(U16:U27)</f>
        <v>1</v>
      </c>
      <c r="V28" s="983">
        <f>SUM(V16:V27)</f>
        <v>2</v>
      </c>
      <c r="W28" s="984">
        <f>SUM(W16:W27)</f>
        <v>2</v>
      </c>
      <c r="X28" s="982">
        <f>SUM(X16:X27)</f>
        <v>2</v>
      </c>
      <c r="Y28" s="983">
        <f>SUM(Y16:Y27)</f>
        <v>2</v>
      </c>
      <c r="Z28" s="983">
        <f>SUM(Z16:Z27)</f>
        <v>2</v>
      </c>
      <c r="AA28" s="984">
        <f>SUM(AA16:AA27)</f>
        <v>2</v>
      </c>
      <c r="AB28" s="982">
        <f>SUM(AB16:AB27)</f>
        <v>2</v>
      </c>
      <c r="AC28" s="983">
        <f>SUM(AC16:AC27)</f>
        <v>2</v>
      </c>
      <c r="AD28" s="983">
        <f>SUM(AD16:AD27)</f>
        <v>2</v>
      </c>
      <c r="AE28" s="984">
        <f>SUM(AE16:AE27)</f>
        <v>2</v>
      </c>
      <c r="AF28" s="985"/>
      <c r="AG28" s="986"/>
      <c r="AH28" s="546" t="str">
        <f>IF(AG29=AG45, "Check","Error")</f>
        <v>Check</v>
      </c>
    </row>
    <row r="29" spans="1:34" ht="13.5" thickBot="1" x14ac:dyDescent="0.25">
      <c r="A29" s="258"/>
      <c r="B29" s="1239" t="str">
        <f>UPPER($A$1) &amp; "   " &amp; " CUMULATIVE SUB-TOTAL"</f>
        <v>PHASE    CUMULATIVE SUB-TOTAL</v>
      </c>
      <c r="C29" s="1240"/>
      <c r="D29" s="275">
        <f t="shared" ref="D29:AE29" si="5">D28*D7</f>
        <v>726</v>
      </c>
      <c r="E29" s="276">
        <f t="shared" si="5"/>
        <v>632</v>
      </c>
      <c r="F29" s="276">
        <f t="shared" si="5"/>
        <v>566</v>
      </c>
      <c r="G29" s="277">
        <f t="shared" si="5"/>
        <v>524</v>
      </c>
      <c r="H29" s="275">
        <f t="shared" si="5"/>
        <v>508</v>
      </c>
      <c r="I29" s="276">
        <f t="shared" si="5"/>
        <v>235</v>
      </c>
      <c r="J29" s="276">
        <f t="shared" si="5"/>
        <v>458</v>
      </c>
      <c r="K29" s="277">
        <f t="shared" si="5"/>
        <v>438</v>
      </c>
      <c r="L29" s="275">
        <f t="shared" si="5"/>
        <v>422</v>
      </c>
      <c r="M29" s="276">
        <f t="shared" si="5"/>
        <v>201</v>
      </c>
      <c r="N29" s="276">
        <f t="shared" si="5"/>
        <v>193</v>
      </c>
      <c r="O29" s="277">
        <f t="shared" si="5"/>
        <v>187</v>
      </c>
      <c r="P29" s="275">
        <f t="shared" si="5"/>
        <v>178</v>
      </c>
      <c r="Q29" s="276">
        <f t="shared" si="5"/>
        <v>169</v>
      </c>
      <c r="R29" s="276">
        <f t="shared" si="5"/>
        <v>162</v>
      </c>
      <c r="S29" s="277">
        <f t="shared" si="5"/>
        <v>155</v>
      </c>
      <c r="T29" s="275">
        <f t="shared" si="5"/>
        <v>147</v>
      </c>
      <c r="U29" s="276">
        <f t="shared" si="5"/>
        <v>139</v>
      </c>
      <c r="V29" s="276">
        <f t="shared" si="5"/>
        <v>266</v>
      </c>
      <c r="W29" s="277">
        <f t="shared" si="5"/>
        <v>246</v>
      </c>
      <c r="X29" s="275">
        <f t="shared" si="5"/>
        <v>234</v>
      </c>
      <c r="Y29" s="276">
        <f t="shared" si="5"/>
        <v>220</v>
      </c>
      <c r="Z29" s="276">
        <f t="shared" si="5"/>
        <v>202</v>
      </c>
      <c r="AA29" s="277">
        <f t="shared" si="5"/>
        <v>188</v>
      </c>
      <c r="AB29" s="275">
        <f t="shared" si="5"/>
        <v>170</v>
      </c>
      <c r="AC29" s="276">
        <f t="shared" si="5"/>
        <v>156</v>
      </c>
      <c r="AD29" s="276">
        <f t="shared" si="5"/>
        <v>142</v>
      </c>
      <c r="AE29" s="277">
        <f t="shared" si="5"/>
        <v>114</v>
      </c>
      <c r="AF29" s="547"/>
      <c r="AG29" s="548">
        <f>AG27</f>
        <v>7978</v>
      </c>
    </row>
    <row r="30" spans="1:34" ht="13.5" thickBot="1" x14ac:dyDescent="0.25">
      <c r="D30" s="51">
        <f>SUM(D16:D25)</f>
        <v>1</v>
      </c>
    </row>
    <row r="31" spans="1:34" x14ac:dyDescent="0.2">
      <c r="A31" s="529"/>
      <c r="B31" s="525"/>
      <c r="C31" s="526"/>
      <c r="D31" s="527"/>
      <c r="E31" s="527"/>
      <c r="F31" s="527"/>
      <c r="G31" s="527"/>
      <c r="H31" s="527"/>
      <c r="I31" s="527"/>
      <c r="J31" s="527"/>
      <c r="K31" s="527"/>
      <c r="L31" s="527"/>
      <c r="M31" s="527"/>
      <c r="N31" s="527"/>
      <c r="O31" s="527"/>
      <c r="P31" s="527"/>
      <c r="Q31" s="527"/>
      <c r="R31" s="527"/>
      <c r="S31" s="527"/>
      <c r="T31" s="527"/>
      <c r="U31" s="527"/>
      <c r="V31" s="527"/>
      <c r="W31" s="527"/>
      <c r="X31" s="527"/>
      <c r="Y31" s="527"/>
      <c r="Z31" s="527"/>
      <c r="AA31" s="527"/>
      <c r="AB31" s="527"/>
      <c r="AC31" s="527"/>
      <c r="AD31" s="527"/>
      <c r="AE31" s="530"/>
    </row>
    <row r="32" spans="1:34" x14ac:dyDescent="0.2">
      <c r="A32" s="977"/>
      <c r="AE32" s="531"/>
    </row>
    <row r="33" spans="1:34" x14ac:dyDescent="0.2">
      <c r="A33" s="528"/>
      <c r="AE33" s="531"/>
    </row>
    <row r="34" spans="1:34" x14ac:dyDescent="0.2">
      <c r="A34" s="528"/>
      <c r="AE34" s="531"/>
    </row>
    <row r="35" spans="1:34" hidden="1" x14ac:dyDescent="0.2">
      <c r="A35" s="914"/>
      <c r="B35" s="915"/>
      <c r="C35" s="916" t="s">
        <v>658</v>
      </c>
      <c r="D35" s="917">
        <f t="shared" ref="D35:AE35" si="6">D29-(D36+D38)</f>
        <v>173.45694920000005</v>
      </c>
      <c r="E35" s="917">
        <f t="shared" si="6"/>
        <v>132.95135980228576</v>
      </c>
      <c r="F35" s="917">
        <f t="shared" si="6"/>
        <v>134.3302048699548</v>
      </c>
      <c r="G35" s="917">
        <f t="shared" si="6"/>
        <v>103.87284819814244</v>
      </c>
      <c r="H35" s="917">
        <f t="shared" si="6"/>
        <v>134.98956115999999</v>
      </c>
      <c r="I35" s="917">
        <f t="shared" si="6"/>
        <v>56.278942437333342</v>
      </c>
      <c r="J35" s="917">
        <f t="shared" si="6"/>
        <v>105.84613538351027</v>
      </c>
      <c r="K35" s="917">
        <f t="shared" si="6"/>
        <v>125.51211393258666</v>
      </c>
      <c r="L35" s="917">
        <f t="shared" si="6"/>
        <v>112.86029015792008</v>
      </c>
      <c r="M35" s="917">
        <f t="shared" si="6"/>
        <v>55.163046450322611</v>
      </c>
      <c r="N35" s="917">
        <f t="shared" si="6"/>
        <v>56.478479775659537</v>
      </c>
      <c r="O35" s="917">
        <f t="shared" si="6"/>
        <v>65.146968335999986</v>
      </c>
      <c r="P35" s="917">
        <f t="shared" si="6"/>
        <v>56.372648016231878</v>
      </c>
      <c r="Q35" s="917">
        <f t="shared" si="6"/>
        <v>54.643036698143291</v>
      </c>
      <c r="R35" s="917">
        <f t="shared" si="6"/>
        <v>53.583981435249996</v>
      </c>
      <c r="S35" s="917">
        <f t="shared" si="6"/>
        <v>53.132007260190434</v>
      </c>
      <c r="T35" s="917">
        <f t="shared" si="6"/>
        <v>47.693212928816635</v>
      </c>
      <c r="U35" s="917">
        <f t="shared" si="6"/>
        <v>41.261423806625004</v>
      </c>
      <c r="V35" s="917">
        <f t="shared" si="6"/>
        <v>80.815648877767472</v>
      </c>
      <c r="W35" s="917">
        <f t="shared" si="6"/>
        <v>83.626771366222215</v>
      </c>
      <c r="X35" s="917">
        <f t="shared" si="6"/>
        <v>76.328109052315085</v>
      </c>
      <c r="Y35" s="917">
        <f t="shared" si="6"/>
        <v>66.26033857434669</v>
      </c>
      <c r="Z35" s="917">
        <f t="shared" si="6"/>
        <v>54.100158351999994</v>
      </c>
      <c r="AA35" s="917">
        <f t="shared" si="6"/>
        <v>57.682570211999973</v>
      </c>
      <c r="AB35" s="917">
        <f t="shared" si="6"/>
        <v>45.386486763377789</v>
      </c>
      <c r="AC35" s="917">
        <f t="shared" si="6"/>
        <v>49.797176832000019</v>
      </c>
      <c r="AD35" s="917">
        <f t="shared" si="6"/>
        <v>45.579940261581385</v>
      </c>
      <c r="AE35" s="917">
        <f t="shared" si="6"/>
        <v>23.264884658723375</v>
      </c>
      <c r="AF35" s="915"/>
      <c r="AG35" s="918"/>
      <c r="AH35" s="385" t="s">
        <v>654</v>
      </c>
    </row>
    <row r="36" spans="1:34" ht="13.5" hidden="1" thickBot="1" x14ac:dyDescent="0.25">
      <c r="A36" s="914"/>
      <c r="B36" s="915"/>
      <c r="C36" s="916" t="s">
        <v>654</v>
      </c>
      <c r="D36" s="919">
        <f t="shared" ref="D36:AE36" si="7">IF(D11="",D12*D28,D11*D28)</f>
        <v>223.70163999999997</v>
      </c>
      <c r="E36" s="919">
        <f t="shared" si="7"/>
        <v>202.04398388571425</v>
      </c>
      <c r="F36" s="919">
        <f t="shared" si="7"/>
        <v>174.76509924293327</v>
      </c>
      <c r="G36" s="919">
        <f t="shared" si="7"/>
        <v>170.09196429225003</v>
      </c>
      <c r="H36" s="919">
        <f t="shared" si="7"/>
        <v>151.01637199999999</v>
      </c>
      <c r="I36" s="919">
        <f t="shared" si="7"/>
        <v>72.356703466666659</v>
      </c>
      <c r="J36" s="919">
        <f t="shared" si="7"/>
        <v>142.57241482448975</v>
      </c>
      <c r="K36" s="919">
        <f t="shared" si="7"/>
        <v>126.51331419733333</v>
      </c>
      <c r="L36" s="919">
        <f t="shared" si="7"/>
        <v>125.15777726399998</v>
      </c>
      <c r="M36" s="919">
        <f t="shared" si="7"/>
        <v>59.043301032258057</v>
      </c>
      <c r="N36" s="919">
        <f t="shared" si="7"/>
        <v>55.271870536170226</v>
      </c>
      <c r="O36" s="919">
        <f t="shared" si="7"/>
        <v>49.333211200000001</v>
      </c>
      <c r="P36" s="919">
        <f t="shared" si="7"/>
        <v>49.241842908408145</v>
      </c>
      <c r="Q36" s="919">
        <f t="shared" si="7"/>
        <v>46.29836570925373</v>
      </c>
      <c r="R36" s="919">
        <f t="shared" si="7"/>
        <v>43.893124925000002</v>
      </c>
      <c r="S36" s="919">
        <f t="shared" si="7"/>
        <v>41.24210232380954</v>
      </c>
      <c r="T36" s="919">
        <f t="shared" si="7"/>
        <v>40.2051769518961</v>
      </c>
      <c r="U36" s="919">
        <f t="shared" si="7"/>
        <v>39.570273762500001</v>
      </c>
      <c r="V36" s="919">
        <f t="shared" si="7"/>
        <v>74.973421506976734</v>
      </c>
      <c r="W36" s="919">
        <f t="shared" si="7"/>
        <v>65.738149244444443</v>
      </c>
      <c r="X36" s="919">
        <f t="shared" si="7"/>
        <v>63.834773663030333</v>
      </c>
      <c r="Y36" s="919">
        <f t="shared" si="7"/>
        <v>62.2427779051228</v>
      </c>
      <c r="Z36" s="919">
        <f t="shared" si="7"/>
        <v>59.878478400000006</v>
      </c>
      <c r="AA36" s="919">
        <f t="shared" si="7"/>
        <v>52.760093031578954</v>
      </c>
      <c r="AB36" s="919">
        <f t="shared" si="7"/>
        <v>50.450815075555553</v>
      </c>
      <c r="AC36" s="919">
        <f t="shared" si="7"/>
        <v>42.997094399999995</v>
      </c>
      <c r="AD36" s="919">
        <f t="shared" si="7"/>
        <v>39.036461432558148</v>
      </c>
      <c r="AE36" s="919">
        <f t="shared" si="7"/>
        <v>36.73486451063831</v>
      </c>
      <c r="AF36" s="915"/>
      <c r="AG36" s="920">
        <f>SUM(D36:AE36)</f>
        <v>2360.9654676925879</v>
      </c>
    </row>
    <row r="37" spans="1:34" hidden="1" x14ac:dyDescent="0.2">
      <c r="A37" s="914"/>
      <c r="B37" s="915"/>
      <c r="C37" s="916" t="s">
        <v>652</v>
      </c>
      <c r="D37" s="921">
        <f>VLOOKUP(D8,'Labor &amp; Practice Lookups'!$Q$4:$V$11,D41,FALSE)</f>
        <v>1.47</v>
      </c>
      <c r="E37" s="921">
        <f>VLOOKUP(E8,'Labor &amp; Practice Lookups'!$Q$4:$V$11,E41,FALSE)</f>
        <v>1.47</v>
      </c>
      <c r="F37" s="921">
        <f>VLOOKUP(F8,'Labor &amp; Practice Lookups'!$Q$4:$V$11,F41,FALSE)</f>
        <v>1.47</v>
      </c>
      <c r="G37" s="921">
        <f>VLOOKUP(G8,'Labor &amp; Practice Lookups'!$Q$4:$V$11,G41,FALSE)</f>
        <v>1.47</v>
      </c>
      <c r="H37" s="921">
        <f>VLOOKUP(H8,'Labor &amp; Practice Lookups'!$Q$4:$V$11,H41,FALSE)</f>
        <v>1.47</v>
      </c>
      <c r="I37" s="921">
        <f>VLOOKUP(I8,'Labor &amp; Practice Lookups'!$Q$4:$V$11,I41,FALSE)</f>
        <v>1.47</v>
      </c>
      <c r="J37" s="921">
        <f>VLOOKUP(J8,'Labor &amp; Practice Lookups'!$Q$4:$V$11,J41,FALSE)</f>
        <v>1.47</v>
      </c>
      <c r="K37" s="921">
        <f>VLOOKUP(K8,'Labor &amp; Practice Lookups'!$Q$4:$V$11,K41,FALSE)</f>
        <v>1.47</v>
      </c>
      <c r="L37" s="921">
        <f>VLOOKUP(L8,'Labor &amp; Practice Lookups'!$Q$4:$V$11,L41,FALSE)</f>
        <v>1.47</v>
      </c>
      <c r="M37" s="921">
        <f>VLOOKUP(M8,'Labor &amp; Practice Lookups'!$Q$4:$V$11,M41,FALSE)</f>
        <v>1.47</v>
      </c>
      <c r="N37" s="921">
        <f>VLOOKUP(N8,'Labor &amp; Practice Lookups'!$Q$4:$V$11,N41,FALSE)</f>
        <v>1.47</v>
      </c>
      <c r="O37" s="921">
        <f>VLOOKUP(O8,'Labor &amp; Practice Lookups'!$Q$4:$V$11,O41,FALSE)</f>
        <v>1.47</v>
      </c>
      <c r="P37" s="921">
        <f>VLOOKUP(P8,'Labor &amp; Practice Lookups'!$Q$4:$V$11,P41,FALSE)</f>
        <v>1.47</v>
      </c>
      <c r="Q37" s="921">
        <f>VLOOKUP(Q8,'Labor &amp; Practice Lookups'!$Q$4:$V$11,Q41,FALSE)</f>
        <v>1.47</v>
      </c>
      <c r="R37" s="921">
        <f>VLOOKUP(R8,'Labor &amp; Practice Lookups'!$Q$4:$V$11,R41,FALSE)</f>
        <v>1.47</v>
      </c>
      <c r="S37" s="921">
        <f>VLOOKUP(S8,'Labor &amp; Practice Lookups'!$Q$4:$V$11,S41,FALSE)</f>
        <v>1.47</v>
      </c>
      <c r="T37" s="921">
        <f>VLOOKUP(T8,'Labor &amp; Practice Lookups'!$Q$4:$V$11,T41,FALSE)</f>
        <v>1.47</v>
      </c>
      <c r="U37" s="921">
        <f>VLOOKUP(U8,'Labor &amp; Practice Lookups'!$Q$4:$V$11,U41,FALSE)</f>
        <v>1.47</v>
      </c>
      <c r="V37" s="921">
        <f>VLOOKUP(V8,'Labor &amp; Practice Lookups'!$Q$4:$V$11,V41,FALSE)</f>
        <v>1.47</v>
      </c>
      <c r="W37" s="921">
        <f>VLOOKUP(W8,'Labor &amp; Practice Lookups'!$Q$4:$V$11,W41,FALSE)</f>
        <v>1.47</v>
      </c>
      <c r="X37" s="921">
        <f>VLOOKUP(X8,'Labor &amp; Practice Lookups'!$Q$4:$V$11,X41,FALSE)</f>
        <v>1.47</v>
      </c>
      <c r="Y37" s="921">
        <f>VLOOKUP(Y8,'Labor &amp; Practice Lookups'!$Q$4:$V$11,Y41,FALSE)</f>
        <v>1.47</v>
      </c>
      <c r="Z37" s="921">
        <f>VLOOKUP(Z8,'Labor &amp; Practice Lookups'!$Q$4:$V$11,Z41,FALSE)</f>
        <v>1.47</v>
      </c>
      <c r="AA37" s="921">
        <f>VLOOKUP(AA8,'Labor &amp; Practice Lookups'!$Q$4:$V$11,AA41,FALSE)</f>
        <v>1.47</v>
      </c>
      <c r="AB37" s="921">
        <f>VLOOKUP(AB8,'Labor &amp; Practice Lookups'!$Q$4:$V$11,AB41,FALSE)</f>
        <v>1.47</v>
      </c>
      <c r="AC37" s="921">
        <f>VLOOKUP(AC8,'Labor &amp; Practice Lookups'!$Q$4:$V$11,AC41,FALSE)</f>
        <v>1.47</v>
      </c>
      <c r="AD37" s="921">
        <f>VLOOKUP(AD8,'Labor &amp; Practice Lookups'!$Q$4:$V$11,AD41,FALSE)</f>
        <v>1.47</v>
      </c>
      <c r="AE37" s="921">
        <f>VLOOKUP(AE8,'Labor &amp; Practice Lookups'!$Q$4:$V$11,AE41,FALSE)</f>
        <v>1.47</v>
      </c>
      <c r="AF37" s="915"/>
      <c r="AG37" s="922"/>
      <c r="AH37" s="385" t="s">
        <v>385</v>
      </c>
    </row>
    <row r="38" spans="1:34" ht="13.5" hidden="1" thickBot="1" x14ac:dyDescent="0.25">
      <c r="A38" s="914"/>
      <c r="B38" s="915"/>
      <c r="C38" s="916" t="s">
        <v>385</v>
      </c>
      <c r="D38" s="923">
        <f>D37*D36</f>
        <v>328.84141079999995</v>
      </c>
      <c r="E38" s="923">
        <f>E37*E36</f>
        <v>297.00465631199995</v>
      </c>
      <c r="F38" s="923">
        <f>F37*F36</f>
        <v>256.90469588711193</v>
      </c>
      <c r="G38" s="923">
        <f t="shared" ref="G38:AE38" si="8">G37*G36</f>
        <v>250.03518750960754</v>
      </c>
      <c r="H38" s="923">
        <f t="shared" si="8"/>
        <v>221.99406683999999</v>
      </c>
      <c r="I38" s="923">
        <f t="shared" si="8"/>
        <v>106.36435409599999</v>
      </c>
      <c r="J38" s="923">
        <f t="shared" si="8"/>
        <v>209.58144979199994</v>
      </c>
      <c r="K38" s="923">
        <f t="shared" si="8"/>
        <v>185.97457187007998</v>
      </c>
      <c r="L38" s="923">
        <f t="shared" si="8"/>
        <v>183.98193257807995</v>
      </c>
      <c r="M38" s="923">
        <f t="shared" si="8"/>
        <v>86.793652517419346</v>
      </c>
      <c r="N38" s="923">
        <f t="shared" si="8"/>
        <v>81.249649688170237</v>
      </c>
      <c r="O38" s="923">
        <f t="shared" si="8"/>
        <v>72.519820464000006</v>
      </c>
      <c r="P38" s="923">
        <f t="shared" si="8"/>
        <v>72.385509075359977</v>
      </c>
      <c r="Q38" s="923">
        <f t="shared" si="8"/>
        <v>68.058597592602979</v>
      </c>
      <c r="R38" s="923">
        <f t="shared" si="8"/>
        <v>64.522893639749995</v>
      </c>
      <c r="S38" s="923">
        <f t="shared" si="8"/>
        <v>60.625890416000026</v>
      </c>
      <c r="T38" s="923">
        <f t="shared" si="8"/>
        <v>59.101610119287265</v>
      </c>
      <c r="U38" s="923">
        <f t="shared" si="8"/>
        <v>58.168302430875002</v>
      </c>
      <c r="V38" s="923">
        <f t="shared" si="8"/>
        <v>110.21092961525579</v>
      </c>
      <c r="W38" s="923">
        <f t="shared" si="8"/>
        <v>96.635079389333328</v>
      </c>
      <c r="X38" s="923">
        <f t="shared" si="8"/>
        <v>93.837117284654582</v>
      </c>
      <c r="Y38" s="923">
        <f t="shared" si="8"/>
        <v>91.496883520530517</v>
      </c>
      <c r="Z38" s="923">
        <f t="shared" si="8"/>
        <v>88.021363248</v>
      </c>
      <c r="AA38" s="923">
        <f t="shared" si="8"/>
        <v>77.557336756421066</v>
      </c>
      <c r="AB38" s="923">
        <f t="shared" si="8"/>
        <v>74.162698161066658</v>
      </c>
      <c r="AC38" s="923">
        <f t="shared" si="8"/>
        <v>63.205728767999993</v>
      </c>
      <c r="AD38" s="923">
        <f t="shared" si="8"/>
        <v>57.383598305860474</v>
      </c>
      <c r="AE38" s="923">
        <f t="shared" si="8"/>
        <v>54.000250830638315</v>
      </c>
      <c r="AF38" s="915"/>
      <c r="AG38" s="920">
        <f>SUM(D38:AE38)</f>
        <v>3470.6192375081046</v>
      </c>
    </row>
    <row r="39" spans="1:34" hidden="1" x14ac:dyDescent="0.2">
      <c r="A39" s="914"/>
      <c r="B39" s="915"/>
      <c r="C39" s="924"/>
      <c r="D39" s="924"/>
      <c r="E39" s="924"/>
      <c r="F39" s="924"/>
      <c r="G39" s="924"/>
      <c r="H39" s="924"/>
      <c r="I39" s="924"/>
      <c r="J39" s="924"/>
      <c r="K39" s="924"/>
      <c r="L39" s="924"/>
      <c r="M39" s="924"/>
      <c r="N39" s="924"/>
      <c r="O39" s="924"/>
      <c r="P39" s="924"/>
      <c r="Q39" s="924"/>
      <c r="R39" s="924"/>
      <c r="S39" s="924"/>
      <c r="T39" s="924"/>
      <c r="U39" s="924"/>
      <c r="V39" s="924"/>
      <c r="W39" s="924"/>
      <c r="X39" s="924"/>
      <c r="Y39" s="924"/>
      <c r="Z39" s="924"/>
      <c r="AA39" s="924"/>
      <c r="AB39" s="924"/>
      <c r="AC39" s="924"/>
      <c r="AD39" s="924"/>
      <c r="AE39" s="924"/>
      <c r="AF39" s="915"/>
      <c r="AG39" s="915"/>
    </row>
    <row r="40" spans="1:34" hidden="1" x14ac:dyDescent="0.2">
      <c r="A40" s="914"/>
      <c r="B40" s="915"/>
      <c r="C40" s="925" t="s">
        <v>650</v>
      </c>
      <c r="D40" s="925">
        <f>VLOOKUP(D8,'Labor &amp; Practice Lookups'!$K$4:$L$10,2,FALSE)</f>
        <v>9</v>
      </c>
      <c r="E40" s="925">
        <f>VLOOKUP(E8,'Labor &amp; Practice Lookups'!$K$4:$L$10,2,FALSE)</f>
        <v>9</v>
      </c>
      <c r="F40" s="925">
        <f>VLOOKUP(F8,'Labor &amp; Practice Lookups'!$K$4:$L$10,2,FALSE)</f>
        <v>9</v>
      </c>
      <c r="G40" s="925">
        <f>VLOOKUP(G8,'Labor &amp; Practice Lookups'!$K$4:$L$10,2,FALSE)</f>
        <v>9</v>
      </c>
      <c r="H40" s="925">
        <f>VLOOKUP(H8,'Labor &amp; Practice Lookups'!$K$4:$L$10,2,FALSE)</f>
        <v>9</v>
      </c>
      <c r="I40" s="925">
        <f>VLOOKUP(I8,'Labor &amp; Practice Lookups'!$K$4:$L$10,2,FALSE)</f>
        <v>9</v>
      </c>
      <c r="J40" s="925">
        <f>VLOOKUP(J8,'Labor &amp; Practice Lookups'!$K$4:$L$10,2,FALSE)</f>
        <v>9</v>
      </c>
      <c r="K40" s="925">
        <f>VLOOKUP(K8,'Labor &amp; Practice Lookups'!$K$4:$L$10,2,FALSE)</f>
        <v>9</v>
      </c>
      <c r="L40" s="925">
        <f>VLOOKUP(L8,'Labor &amp; Practice Lookups'!$K$4:$L$10,2,FALSE)</f>
        <v>9</v>
      </c>
      <c r="M40" s="925">
        <f>VLOOKUP(M8,'Labor &amp; Practice Lookups'!$K$4:$L$10,2,FALSE)</f>
        <v>9</v>
      </c>
      <c r="N40" s="925">
        <f>VLOOKUP(N8,'Labor &amp; Practice Lookups'!$K$4:$L$10,2,FALSE)</f>
        <v>9</v>
      </c>
      <c r="O40" s="925">
        <f>VLOOKUP(O8,'Labor &amp; Practice Lookups'!$K$4:$L$10,2,FALSE)</f>
        <v>9</v>
      </c>
      <c r="P40" s="925">
        <f>VLOOKUP(P8,'Labor &amp; Practice Lookups'!$K$4:$L$10,2,FALSE)</f>
        <v>9</v>
      </c>
      <c r="Q40" s="925">
        <f>VLOOKUP(Q8,'Labor &amp; Practice Lookups'!$K$4:$L$10,2,FALSE)</f>
        <v>9</v>
      </c>
      <c r="R40" s="925">
        <f>VLOOKUP(R8,'Labor &amp; Practice Lookups'!$K$4:$L$10,2,FALSE)</f>
        <v>9</v>
      </c>
      <c r="S40" s="925">
        <f>VLOOKUP(S8,'Labor &amp; Practice Lookups'!$K$4:$L$10,2,FALSE)</f>
        <v>9</v>
      </c>
      <c r="T40" s="925">
        <f>VLOOKUP(T8,'Labor &amp; Practice Lookups'!$K$4:$L$10,2,FALSE)</f>
        <v>9</v>
      </c>
      <c r="U40" s="925">
        <f>VLOOKUP(U8,'Labor &amp; Practice Lookups'!$K$4:$L$10,2,FALSE)</f>
        <v>9</v>
      </c>
      <c r="V40" s="925">
        <f>VLOOKUP(V8,'Labor &amp; Practice Lookups'!$K$4:$L$10,2,FALSE)</f>
        <v>9</v>
      </c>
      <c r="W40" s="925">
        <f>VLOOKUP(W8,'Labor &amp; Practice Lookups'!$K$4:$L$10,2,FALSE)</f>
        <v>9</v>
      </c>
      <c r="X40" s="925">
        <f>VLOOKUP(X8,'Labor &amp; Practice Lookups'!$K$4:$L$10,2,FALSE)</f>
        <v>9</v>
      </c>
      <c r="Y40" s="925">
        <f>VLOOKUP(Y8,'Labor &amp; Practice Lookups'!$K$4:$L$10,2,FALSE)</f>
        <v>9</v>
      </c>
      <c r="Z40" s="925">
        <f>VLOOKUP(Z8,'Labor &amp; Practice Lookups'!$K$4:$L$10,2,FALSE)</f>
        <v>9</v>
      </c>
      <c r="AA40" s="925">
        <f>VLOOKUP(AA8,'Labor &amp; Practice Lookups'!$K$4:$L$10,2,FALSE)</f>
        <v>9</v>
      </c>
      <c r="AB40" s="925">
        <f>VLOOKUP(AB8,'Labor &amp; Practice Lookups'!$K$4:$L$10,2,FALSE)</f>
        <v>9</v>
      </c>
      <c r="AC40" s="925">
        <f>VLOOKUP(AC8,'Labor &amp; Practice Lookups'!$K$4:$L$10,2,FALSE)</f>
        <v>9</v>
      </c>
      <c r="AD40" s="925">
        <f>VLOOKUP(AD8,'Labor &amp; Practice Lookups'!$K$4:$L$10,2,FALSE)</f>
        <v>9</v>
      </c>
      <c r="AE40" s="925">
        <f>VLOOKUP(AE8,'Labor &amp; Practice Lookups'!$K$4:$L$10,2,FALSE)</f>
        <v>9</v>
      </c>
      <c r="AF40" s="915"/>
      <c r="AG40" s="915"/>
    </row>
    <row r="41" spans="1:34" ht="12.75" hidden="1" customHeight="1" x14ac:dyDescent="0.2">
      <c r="A41" s="914"/>
      <c r="B41" s="915"/>
      <c r="C41" s="925" t="s">
        <v>649</v>
      </c>
      <c r="D41" s="925">
        <f>VLOOKUP(D9,'Labor &amp; Practice Lookups'!$X$4:$Y$8,2,FALSE)</f>
        <v>2</v>
      </c>
      <c r="E41" s="925">
        <f>VLOOKUP(E9,'Labor &amp; Practice Lookups'!$X$4:$Y$8,2,FALSE)</f>
        <v>2</v>
      </c>
      <c r="F41" s="925">
        <f>VLOOKUP(F9,'Labor &amp; Practice Lookups'!$X$4:$Y$8,2,FALSE)</f>
        <v>2</v>
      </c>
      <c r="G41" s="925">
        <f>VLOOKUP(G9,'Labor &amp; Practice Lookups'!$X$4:$Y$8,2,FALSE)</f>
        <v>2</v>
      </c>
      <c r="H41" s="925">
        <f>VLOOKUP(H9,'Labor &amp; Practice Lookups'!$X$4:$Y$8,2,FALSE)</f>
        <v>2</v>
      </c>
      <c r="I41" s="925">
        <f>VLOOKUP(I9,'Labor &amp; Practice Lookups'!$X$4:$Y$8,2,FALSE)</f>
        <v>2</v>
      </c>
      <c r="J41" s="925">
        <f>VLOOKUP(J9,'Labor &amp; Practice Lookups'!$X$4:$Y$8,2,FALSE)</f>
        <v>2</v>
      </c>
      <c r="K41" s="925">
        <f>VLOOKUP(K9,'Labor &amp; Practice Lookups'!$X$4:$Y$8,2,FALSE)</f>
        <v>2</v>
      </c>
      <c r="L41" s="925">
        <f>VLOOKUP(L9,'Labor &amp; Practice Lookups'!$X$4:$Y$8,2,FALSE)</f>
        <v>2</v>
      </c>
      <c r="M41" s="925">
        <f>VLOOKUP(M9,'Labor &amp; Practice Lookups'!$X$4:$Y$8,2,FALSE)</f>
        <v>2</v>
      </c>
      <c r="N41" s="925">
        <f>VLOOKUP(N9,'Labor &amp; Practice Lookups'!$X$4:$Y$8,2,FALSE)</f>
        <v>2</v>
      </c>
      <c r="O41" s="925">
        <f>VLOOKUP(O9,'Labor &amp; Practice Lookups'!$X$4:$Y$8,2,FALSE)</f>
        <v>2</v>
      </c>
      <c r="P41" s="925">
        <f>VLOOKUP(P9,'Labor &amp; Practice Lookups'!$X$4:$Y$8,2,FALSE)</f>
        <v>2</v>
      </c>
      <c r="Q41" s="925">
        <f>VLOOKUP(Q9,'Labor &amp; Practice Lookups'!$X$4:$Y$8,2,FALSE)</f>
        <v>2</v>
      </c>
      <c r="R41" s="925">
        <f>VLOOKUP(R9,'Labor &amp; Practice Lookups'!$X$4:$Y$8,2,FALSE)</f>
        <v>2</v>
      </c>
      <c r="S41" s="925">
        <f>VLOOKUP(S9,'Labor &amp; Practice Lookups'!$X$4:$Y$8,2,FALSE)</f>
        <v>2</v>
      </c>
      <c r="T41" s="925">
        <f>VLOOKUP(T9,'Labor &amp; Practice Lookups'!$X$4:$Y$8,2,FALSE)</f>
        <v>2</v>
      </c>
      <c r="U41" s="925">
        <f>VLOOKUP(U9,'Labor &amp; Practice Lookups'!$X$4:$Y$8,2,FALSE)</f>
        <v>2</v>
      </c>
      <c r="V41" s="925">
        <f>VLOOKUP(V9,'Labor &amp; Practice Lookups'!$X$4:$Y$8,2,FALSE)</f>
        <v>2</v>
      </c>
      <c r="W41" s="925">
        <f>VLOOKUP(W9,'Labor &amp; Practice Lookups'!$X$4:$Y$8,2,FALSE)</f>
        <v>2</v>
      </c>
      <c r="X41" s="925">
        <f>VLOOKUP(X9,'Labor &amp; Practice Lookups'!$X$4:$Y$8,2,FALSE)</f>
        <v>2</v>
      </c>
      <c r="Y41" s="925">
        <f>VLOOKUP(Y9,'Labor &amp; Practice Lookups'!$X$4:$Y$8,2,FALSE)</f>
        <v>2</v>
      </c>
      <c r="Z41" s="925">
        <f>VLOOKUP(Z9,'Labor &amp; Practice Lookups'!$X$4:$Y$8,2,FALSE)</f>
        <v>2</v>
      </c>
      <c r="AA41" s="925">
        <f>VLOOKUP(AA9,'Labor &amp; Practice Lookups'!$X$4:$Y$8,2,FALSE)</f>
        <v>2</v>
      </c>
      <c r="AB41" s="925">
        <f>VLOOKUP(AB9,'Labor &amp; Practice Lookups'!$X$4:$Y$8,2,FALSE)</f>
        <v>2</v>
      </c>
      <c r="AC41" s="925">
        <f>VLOOKUP(AC9,'Labor &amp; Practice Lookups'!$X$4:$Y$8,2,FALSE)</f>
        <v>2</v>
      </c>
      <c r="AD41" s="925">
        <f>VLOOKUP(AD9,'Labor &amp; Practice Lookups'!$X$4:$Y$8,2,FALSE)</f>
        <v>2</v>
      </c>
      <c r="AE41" s="925">
        <f>VLOOKUP(AE9,'Labor &amp; Practice Lookups'!$X$4:$Y$8,2,FALSE)</f>
        <v>2</v>
      </c>
      <c r="AF41" s="915"/>
      <c r="AG41" s="915"/>
    </row>
    <row r="42" spans="1:34" ht="12.75" hidden="1" customHeight="1" thickBot="1" x14ac:dyDescent="0.25">
      <c r="A42" s="914"/>
      <c r="B42" s="940"/>
      <c r="C42" s="915"/>
      <c r="D42" s="924"/>
      <c r="E42" s="924"/>
      <c r="F42" s="924"/>
      <c r="G42" s="924"/>
      <c r="H42" s="924"/>
      <c r="I42" s="924"/>
      <c r="J42" s="924"/>
      <c r="K42" s="924"/>
      <c r="L42" s="924"/>
      <c r="M42" s="924"/>
      <c r="N42" s="924"/>
      <c r="O42" s="924"/>
      <c r="P42" s="924"/>
      <c r="Q42" s="924"/>
      <c r="R42" s="924"/>
      <c r="S42" s="924"/>
      <c r="T42" s="924"/>
      <c r="U42" s="924"/>
      <c r="V42" s="924"/>
      <c r="W42" s="924"/>
      <c r="X42" s="924"/>
      <c r="Y42" s="924"/>
      <c r="Z42" s="924"/>
      <c r="AA42" s="924"/>
      <c r="AB42" s="924"/>
      <c r="AC42" s="924"/>
      <c r="AD42" s="924"/>
      <c r="AE42" s="915"/>
      <c r="AF42" s="915"/>
      <c r="AG42" s="915"/>
    </row>
    <row r="43" spans="1:34" ht="12.75" hidden="1" customHeight="1" x14ac:dyDescent="0.2">
      <c r="A43" s="914"/>
      <c r="B43" s="940"/>
      <c r="C43" s="924"/>
      <c r="D43" s="927" t="s">
        <v>785</v>
      </c>
      <c r="E43" s="928" t="s">
        <v>786</v>
      </c>
      <c r="F43" s="928" t="s">
        <v>787</v>
      </c>
      <c r="G43" s="928" t="s">
        <v>788</v>
      </c>
      <c r="H43" s="928" t="s">
        <v>789</v>
      </c>
      <c r="I43" s="928" t="s">
        <v>790</v>
      </c>
      <c r="J43" s="928" t="s">
        <v>791</v>
      </c>
      <c r="K43" s="928" t="s">
        <v>792</v>
      </c>
      <c r="L43" s="928" t="s">
        <v>793</v>
      </c>
      <c r="M43" s="928" t="s">
        <v>794</v>
      </c>
      <c r="N43" s="928" t="s">
        <v>795</v>
      </c>
      <c r="O43" s="928" t="s">
        <v>796</v>
      </c>
      <c r="P43" s="928" t="s">
        <v>797</v>
      </c>
      <c r="Q43" s="928" t="s">
        <v>798</v>
      </c>
      <c r="R43" s="928" t="s">
        <v>799</v>
      </c>
      <c r="S43" s="928" t="s">
        <v>800</v>
      </c>
      <c r="T43" s="928" t="s">
        <v>801</v>
      </c>
      <c r="U43" s="928" t="s">
        <v>802</v>
      </c>
      <c r="V43" s="928" t="s">
        <v>803</v>
      </c>
      <c r="W43" s="928" t="s">
        <v>804</v>
      </c>
      <c r="X43" s="928" t="s">
        <v>805</v>
      </c>
      <c r="Y43" s="928" t="s">
        <v>806</v>
      </c>
      <c r="Z43" s="928" t="s">
        <v>807</v>
      </c>
      <c r="AA43" s="928" t="s">
        <v>808</v>
      </c>
      <c r="AB43" s="928" t="s">
        <v>809</v>
      </c>
      <c r="AC43" s="928" t="s">
        <v>810</v>
      </c>
      <c r="AD43" s="928" t="s">
        <v>811</v>
      </c>
      <c r="AE43" s="929" t="s">
        <v>812</v>
      </c>
      <c r="AF43" s="915"/>
      <c r="AG43" s="915"/>
    </row>
    <row r="44" spans="1:34" ht="12.75" hidden="1" customHeight="1" x14ac:dyDescent="0.2">
      <c r="A44" s="914"/>
      <c r="B44" s="940"/>
      <c r="C44" s="930" t="s">
        <v>753</v>
      </c>
      <c r="D44" s="931">
        <f t="shared" ref="D44:AE44" si="9">SUMIF($D$5:$AE$5,D43,$D$28:$AE$28)</f>
        <v>2</v>
      </c>
      <c r="E44" s="932">
        <f t="shared" si="9"/>
        <v>2</v>
      </c>
      <c r="F44" s="932">
        <f t="shared" si="9"/>
        <v>2</v>
      </c>
      <c r="G44" s="932">
        <f t="shared" si="9"/>
        <v>2</v>
      </c>
      <c r="H44" s="932">
        <f t="shared" si="9"/>
        <v>2</v>
      </c>
      <c r="I44" s="932">
        <f t="shared" si="9"/>
        <v>1</v>
      </c>
      <c r="J44" s="932">
        <f t="shared" si="9"/>
        <v>2</v>
      </c>
      <c r="K44" s="932">
        <f t="shared" si="9"/>
        <v>2</v>
      </c>
      <c r="L44" s="932">
        <f t="shared" si="9"/>
        <v>2</v>
      </c>
      <c r="M44" s="932">
        <f t="shared" si="9"/>
        <v>1</v>
      </c>
      <c r="N44" s="932">
        <f t="shared" si="9"/>
        <v>1</v>
      </c>
      <c r="O44" s="932">
        <f t="shared" si="9"/>
        <v>1</v>
      </c>
      <c r="P44" s="932">
        <f t="shared" si="9"/>
        <v>1</v>
      </c>
      <c r="Q44" s="932">
        <f t="shared" si="9"/>
        <v>1</v>
      </c>
      <c r="R44" s="932">
        <f t="shared" si="9"/>
        <v>1</v>
      </c>
      <c r="S44" s="932">
        <f t="shared" si="9"/>
        <v>1</v>
      </c>
      <c r="T44" s="932">
        <f t="shared" si="9"/>
        <v>1</v>
      </c>
      <c r="U44" s="932">
        <f t="shared" si="9"/>
        <v>1</v>
      </c>
      <c r="V44" s="932">
        <f t="shared" si="9"/>
        <v>2</v>
      </c>
      <c r="W44" s="932">
        <f t="shared" si="9"/>
        <v>2</v>
      </c>
      <c r="X44" s="932">
        <f t="shared" si="9"/>
        <v>2</v>
      </c>
      <c r="Y44" s="932">
        <f t="shared" si="9"/>
        <v>2</v>
      </c>
      <c r="Z44" s="932">
        <f t="shared" si="9"/>
        <v>2</v>
      </c>
      <c r="AA44" s="932">
        <f t="shared" si="9"/>
        <v>2</v>
      </c>
      <c r="AB44" s="932">
        <f t="shared" si="9"/>
        <v>2</v>
      </c>
      <c r="AC44" s="932">
        <f t="shared" si="9"/>
        <v>2</v>
      </c>
      <c r="AD44" s="932">
        <f t="shared" si="9"/>
        <v>2</v>
      </c>
      <c r="AE44" s="933">
        <f t="shared" si="9"/>
        <v>2</v>
      </c>
      <c r="AF44" s="915"/>
      <c r="AG44" s="915"/>
    </row>
    <row r="45" spans="1:34" ht="12.75" hidden="1" customHeight="1" thickBot="1" x14ac:dyDescent="0.25">
      <c r="A45" s="914"/>
      <c r="B45" s="940"/>
      <c r="C45" s="930" t="s">
        <v>754</v>
      </c>
      <c r="D45" s="934">
        <f t="shared" ref="D45:AE45" si="10">SUMIF($D$5:$AE$5,D43,$D$29:$AE$29)</f>
        <v>726</v>
      </c>
      <c r="E45" s="935">
        <f t="shared" si="10"/>
        <v>632</v>
      </c>
      <c r="F45" s="935">
        <f t="shared" si="10"/>
        <v>566</v>
      </c>
      <c r="G45" s="935">
        <f t="shared" si="10"/>
        <v>524</v>
      </c>
      <c r="H45" s="935">
        <f t="shared" si="10"/>
        <v>508</v>
      </c>
      <c r="I45" s="935">
        <f t="shared" si="10"/>
        <v>235</v>
      </c>
      <c r="J45" s="935">
        <f t="shared" si="10"/>
        <v>458</v>
      </c>
      <c r="K45" s="935">
        <f t="shared" si="10"/>
        <v>438</v>
      </c>
      <c r="L45" s="935">
        <f t="shared" si="10"/>
        <v>422</v>
      </c>
      <c r="M45" s="935">
        <f t="shared" si="10"/>
        <v>201</v>
      </c>
      <c r="N45" s="935">
        <f t="shared" si="10"/>
        <v>193</v>
      </c>
      <c r="O45" s="935">
        <f t="shared" si="10"/>
        <v>187</v>
      </c>
      <c r="P45" s="935">
        <f t="shared" si="10"/>
        <v>178</v>
      </c>
      <c r="Q45" s="935">
        <f t="shared" si="10"/>
        <v>169</v>
      </c>
      <c r="R45" s="935">
        <f t="shared" si="10"/>
        <v>162</v>
      </c>
      <c r="S45" s="935">
        <f t="shared" si="10"/>
        <v>155</v>
      </c>
      <c r="T45" s="935">
        <f t="shared" si="10"/>
        <v>147</v>
      </c>
      <c r="U45" s="935">
        <f t="shared" si="10"/>
        <v>139</v>
      </c>
      <c r="V45" s="935">
        <f t="shared" si="10"/>
        <v>266</v>
      </c>
      <c r="W45" s="935">
        <f t="shared" si="10"/>
        <v>246</v>
      </c>
      <c r="X45" s="935">
        <f t="shared" si="10"/>
        <v>234</v>
      </c>
      <c r="Y45" s="935">
        <f t="shared" si="10"/>
        <v>220</v>
      </c>
      <c r="Z45" s="935">
        <f t="shared" si="10"/>
        <v>202</v>
      </c>
      <c r="AA45" s="935">
        <f t="shared" si="10"/>
        <v>188</v>
      </c>
      <c r="AB45" s="935">
        <f t="shared" si="10"/>
        <v>170</v>
      </c>
      <c r="AC45" s="935">
        <f t="shared" si="10"/>
        <v>156</v>
      </c>
      <c r="AD45" s="935">
        <f t="shared" si="10"/>
        <v>142</v>
      </c>
      <c r="AE45" s="936">
        <f t="shared" si="10"/>
        <v>114</v>
      </c>
      <c r="AF45" s="915"/>
      <c r="AG45" s="915">
        <f>SUM(D45:AE45)</f>
        <v>7978</v>
      </c>
    </row>
    <row r="46" spans="1:34" ht="12.75" hidden="1" customHeight="1" x14ac:dyDescent="0.2">
      <c r="A46" s="914"/>
      <c r="B46" s="915"/>
      <c r="C46" s="916" t="s">
        <v>671</v>
      </c>
      <c r="D46" s="937">
        <f t="shared" ref="D46:AE46" si="11">SUMIF($D$5:$AE$5,D43,$D$36:$AE$36)</f>
        <v>223.70163999999997</v>
      </c>
      <c r="E46" s="937">
        <f t="shared" si="11"/>
        <v>202.04398388571425</v>
      </c>
      <c r="F46" s="937">
        <f t="shared" si="11"/>
        <v>174.76509924293327</v>
      </c>
      <c r="G46" s="937">
        <f t="shared" si="11"/>
        <v>170.09196429225003</v>
      </c>
      <c r="H46" s="937">
        <f t="shared" si="11"/>
        <v>151.01637199999999</v>
      </c>
      <c r="I46" s="937">
        <f t="shared" si="11"/>
        <v>72.356703466666659</v>
      </c>
      <c r="J46" s="937">
        <f t="shared" si="11"/>
        <v>142.57241482448975</v>
      </c>
      <c r="K46" s="937">
        <f t="shared" si="11"/>
        <v>126.51331419733333</v>
      </c>
      <c r="L46" s="937">
        <f t="shared" si="11"/>
        <v>125.15777726399998</v>
      </c>
      <c r="M46" s="937">
        <f t="shared" si="11"/>
        <v>59.043301032258057</v>
      </c>
      <c r="N46" s="937">
        <f t="shared" si="11"/>
        <v>55.271870536170226</v>
      </c>
      <c r="O46" s="937">
        <f t="shared" si="11"/>
        <v>49.333211200000001</v>
      </c>
      <c r="P46" s="937">
        <f t="shared" si="11"/>
        <v>49.241842908408145</v>
      </c>
      <c r="Q46" s="937">
        <f t="shared" si="11"/>
        <v>46.29836570925373</v>
      </c>
      <c r="R46" s="937">
        <f t="shared" si="11"/>
        <v>43.893124925000002</v>
      </c>
      <c r="S46" s="937">
        <f t="shared" si="11"/>
        <v>41.24210232380954</v>
      </c>
      <c r="T46" s="937">
        <f t="shared" si="11"/>
        <v>40.2051769518961</v>
      </c>
      <c r="U46" s="937">
        <f t="shared" si="11"/>
        <v>39.570273762500001</v>
      </c>
      <c r="V46" s="937">
        <f t="shared" si="11"/>
        <v>74.973421506976734</v>
      </c>
      <c r="W46" s="937">
        <f t="shared" si="11"/>
        <v>65.738149244444443</v>
      </c>
      <c r="X46" s="937">
        <f t="shared" si="11"/>
        <v>63.834773663030333</v>
      </c>
      <c r="Y46" s="937">
        <f t="shared" si="11"/>
        <v>62.2427779051228</v>
      </c>
      <c r="Z46" s="937">
        <f t="shared" si="11"/>
        <v>59.878478400000006</v>
      </c>
      <c r="AA46" s="937">
        <f t="shared" si="11"/>
        <v>52.760093031578954</v>
      </c>
      <c r="AB46" s="937">
        <f t="shared" si="11"/>
        <v>50.450815075555553</v>
      </c>
      <c r="AC46" s="937">
        <f t="shared" si="11"/>
        <v>42.997094399999995</v>
      </c>
      <c r="AD46" s="937">
        <f t="shared" si="11"/>
        <v>39.036461432558148</v>
      </c>
      <c r="AE46" s="937">
        <f t="shared" si="11"/>
        <v>36.73486451063831</v>
      </c>
      <c r="AF46" s="915"/>
      <c r="AG46" s="915"/>
    </row>
    <row r="47" spans="1:34" ht="12.75" hidden="1" customHeight="1" x14ac:dyDescent="0.2">
      <c r="A47" s="914"/>
      <c r="B47" s="915"/>
      <c r="C47" s="916" t="s">
        <v>672</v>
      </c>
      <c r="D47" s="937">
        <f t="shared" ref="D47:AE47" si="12">SUMIF($D$5:$AE$5,D43,$D$38:$AE$38)</f>
        <v>328.84141079999995</v>
      </c>
      <c r="E47" s="937">
        <f t="shared" si="12"/>
        <v>297.00465631199995</v>
      </c>
      <c r="F47" s="937">
        <f t="shared" si="12"/>
        <v>256.90469588711193</v>
      </c>
      <c r="G47" s="937">
        <f t="shared" si="12"/>
        <v>250.03518750960754</v>
      </c>
      <c r="H47" s="937">
        <f t="shared" si="12"/>
        <v>221.99406683999999</v>
      </c>
      <c r="I47" s="937">
        <f t="shared" si="12"/>
        <v>106.36435409599999</v>
      </c>
      <c r="J47" s="937">
        <f t="shared" si="12"/>
        <v>209.58144979199994</v>
      </c>
      <c r="K47" s="937">
        <f t="shared" si="12"/>
        <v>185.97457187007998</v>
      </c>
      <c r="L47" s="937">
        <f t="shared" si="12"/>
        <v>183.98193257807995</v>
      </c>
      <c r="M47" s="937">
        <f t="shared" si="12"/>
        <v>86.793652517419346</v>
      </c>
      <c r="N47" s="937">
        <f t="shared" si="12"/>
        <v>81.249649688170237</v>
      </c>
      <c r="O47" s="937">
        <f t="shared" si="12"/>
        <v>72.519820464000006</v>
      </c>
      <c r="P47" s="937">
        <f t="shared" si="12"/>
        <v>72.385509075359977</v>
      </c>
      <c r="Q47" s="937">
        <f t="shared" si="12"/>
        <v>68.058597592602979</v>
      </c>
      <c r="R47" s="937">
        <f t="shared" si="12"/>
        <v>64.522893639749995</v>
      </c>
      <c r="S47" s="937">
        <f t="shared" si="12"/>
        <v>60.625890416000026</v>
      </c>
      <c r="T47" s="937">
        <f t="shared" si="12"/>
        <v>59.101610119287265</v>
      </c>
      <c r="U47" s="937">
        <f t="shared" si="12"/>
        <v>58.168302430875002</v>
      </c>
      <c r="V47" s="937">
        <f t="shared" si="12"/>
        <v>110.21092961525579</v>
      </c>
      <c r="W47" s="937">
        <f t="shared" si="12"/>
        <v>96.635079389333328</v>
      </c>
      <c r="X47" s="937">
        <f t="shared" si="12"/>
        <v>93.837117284654582</v>
      </c>
      <c r="Y47" s="937">
        <f t="shared" si="12"/>
        <v>91.496883520530517</v>
      </c>
      <c r="Z47" s="937">
        <f t="shared" si="12"/>
        <v>88.021363248</v>
      </c>
      <c r="AA47" s="937">
        <f t="shared" si="12"/>
        <v>77.557336756421066</v>
      </c>
      <c r="AB47" s="937">
        <f t="shared" si="12"/>
        <v>74.162698161066658</v>
      </c>
      <c r="AC47" s="937">
        <f t="shared" si="12"/>
        <v>63.205728767999993</v>
      </c>
      <c r="AD47" s="937">
        <f t="shared" si="12"/>
        <v>57.383598305860474</v>
      </c>
      <c r="AE47" s="937">
        <f t="shared" si="12"/>
        <v>54.000250830638315</v>
      </c>
      <c r="AF47" s="915"/>
      <c r="AG47" s="915"/>
    </row>
    <row r="48" spans="1:34" ht="12.75" hidden="1" customHeight="1" x14ac:dyDescent="0.2">
      <c r="A48" s="914"/>
      <c r="B48" s="915"/>
      <c r="C48" s="916"/>
      <c r="D48" s="937"/>
      <c r="E48" s="937"/>
      <c r="F48" s="937"/>
      <c r="G48" s="937"/>
      <c r="H48" s="937"/>
      <c r="I48" s="937"/>
      <c r="J48" s="937"/>
      <c r="K48" s="937"/>
      <c r="L48" s="937"/>
      <c r="M48" s="937"/>
      <c r="N48" s="937"/>
      <c r="O48" s="937"/>
      <c r="P48" s="937"/>
      <c r="Q48" s="937"/>
      <c r="R48" s="937"/>
      <c r="S48" s="937"/>
      <c r="T48" s="937"/>
      <c r="U48" s="937"/>
      <c r="V48" s="937"/>
      <c r="W48" s="937"/>
      <c r="X48" s="937"/>
      <c r="Y48" s="937"/>
      <c r="Z48" s="937"/>
      <c r="AA48" s="937"/>
      <c r="AB48" s="937"/>
      <c r="AC48" s="937"/>
      <c r="AD48" s="937"/>
      <c r="AE48" s="937"/>
      <c r="AF48" s="915"/>
      <c r="AG48" s="915"/>
    </row>
    <row r="49" spans="1:33" hidden="1" x14ac:dyDescent="0.2">
      <c r="A49" s="914"/>
      <c r="B49" s="940"/>
      <c r="C49" s="930" t="s">
        <v>531</v>
      </c>
      <c r="D49" s="924">
        <f t="shared" ref="D49:AE49" si="13">SUMIFS($D$28:$AE$28,$D$5:$AE$5,D$43,$D$9:$AE$9,$C$49)</f>
        <v>0</v>
      </c>
      <c r="E49" s="924">
        <f t="shared" si="13"/>
        <v>0</v>
      </c>
      <c r="F49" s="924">
        <f t="shared" si="13"/>
        <v>0</v>
      </c>
      <c r="G49" s="924">
        <f t="shared" si="13"/>
        <v>0</v>
      </c>
      <c r="H49" s="924">
        <f t="shared" si="13"/>
        <v>0</v>
      </c>
      <c r="I49" s="924">
        <f t="shared" si="13"/>
        <v>0</v>
      </c>
      <c r="J49" s="924">
        <f t="shared" si="13"/>
        <v>0</v>
      </c>
      <c r="K49" s="924">
        <f t="shared" si="13"/>
        <v>0</v>
      </c>
      <c r="L49" s="924">
        <f t="shared" si="13"/>
        <v>0</v>
      </c>
      <c r="M49" s="924">
        <f t="shared" si="13"/>
        <v>0</v>
      </c>
      <c r="N49" s="924">
        <f t="shared" si="13"/>
        <v>0</v>
      </c>
      <c r="O49" s="924">
        <f t="shared" si="13"/>
        <v>0</v>
      </c>
      <c r="P49" s="924">
        <f t="shared" si="13"/>
        <v>0</v>
      </c>
      <c r="Q49" s="924">
        <f t="shared" si="13"/>
        <v>0</v>
      </c>
      <c r="R49" s="924">
        <f t="shared" si="13"/>
        <v>0</v>
      </c>
      <c r="S49" s="924">
        <f t="shared" si="13"/>
        <v>0</v>
      </c>
      <c r="T49" s="924">
        <f t="shared" si="13"/>
        <v>0</v>
      </c>
      <c r="U49" s="924">
        <f t="shared" si="13"/>
        <v>0</v>
      </c>
      <c r="V49" s="924">
        <f t="shared" si="13"/>
        <v>0</v>
      </c>
      <c r="W49" s="924">
        <f t="shared" si="13"/>
        <v>0</v>
      </c>
      <c r="X49" s="924">
        <f t="shared" si="13"/>
        <v>0</v>
      </c>
      <c r="Y49" s="924">
        <f t="shared" si="13"/>
        <v>0</v>
      </c>
      <c r="Z49" s="924">
        <f t="shared" si="13"/>
        <v>0</v>
      </c>
      <c r="AA49" s="924">
        <f t="shared" si="13"/>
        <v>0</v>
      </c>
      <c r="AB49" s="924">
        <f t="shared" si="13"/>
        <v>0</v>
      </c>
      <c r="AC49" s="924">
        <f t="shared" si="13"/>
        <v>0</v>
      </c>
      <c r="AD49" s="924">
        <f t="shared" si="13"/>
        <v>0</v>
      </c>
      <c r="AE49" s="924">
        <f t="shared" si="13"/>
        <v>0</v>
      </c>
      <c r="AF49" s="915"/>
      <c r="AG49" s="915"/>
    </row>
    <row r="50" spans="1:33" hidden="1" x14ac:dyDescent="0.2">
      <c r="A50" s="914"/>
      <c r="B50" s="940"/>
      <c r="C50" s="930" t="s">
        <v>381</v>
      </c>
      <c r="D50" s="924">
        <f t="shared" ref="D50:AE50" si="14">SUMIFS($D$28:$AE$28,$D$5:$AE$5,D$43,$D$8:$AE$8,$C$50)</f>
        <v>0</v>
      </c>
      <c r="E50" s="924">
        <f t="shared" si="14"/>
        <v>0</v>
      </c>
      <c r="F50" s="924">
        <f t="shared" si="14"/>
        <v>0</v>
      </c>
      <c r="G50" s="924">
        <f t="shared" si="14"/>
        <v>0</v>
      </c>
      <c r="H50" s="924">
        <f t="shared" si="14"/>
        <v>0</v>
      </c>
      <c r="I50" s="924">
        <f t="shared" si="14"/>
        <v>0</v>
      </c>
      <c r="J50" s="924">
        <f t="shared" si="14"/>
        <v>0</v>
      </c>
      <c r="K50" s="924">
        <f t="shared" si="14"/>
        <v>0</v>
      </c>
      <c r="L50" s="924">
        <f t="shared" si="14"/>
        <v>0</v>
      </c>
      <c r="M50" s="924">
        <f t="shared" si="14"/>
        <v>0</v>
      </c>
      <c r="N50" s="924">
        <f t="shared" si="14"/>
        <v>0</v>
      </c>
      <c r="O50" s="924">
        <f t="shared" si="14"/>
        <v>0</v>
      </c>
      <c r="P50" s="924">
        <f t="shared" si="14"/>
        <v>0</v>
      </c>
      <c r="Q50" s="924">
        <f t="shared" si="14"/>
        <v>0</v>
      </c>
      <c r="R50" s="924">
        <f t="shared" si="14"/>
        <v>0</v>
      </c>
      <c r="S50" s="924">
        <f t="shared" si="14"/>
        <v>0</v>
      </c>
      <c r="T50" s="924">
        <f t="shared" si="14"/>
        <v>0</v>
      </c>
      <c r="U50" s="924">
        <f t="shared" si="14"/>
        <v>0</v>
      </c>
      <c r="V50" s="924">
        <f t="shared" si="14"/>
        <v>0</v>
      </c>
      <c r="W50" s="924">
        <f t="shared" si="14"/>
        <v>0</v>
      </c>
      <c r="X50" s="924">
        <f t="shared" si="14"/>
        <v>0</v>
      </c>
      <c r="Y50" s="924">
        <f t="shared" si="14"/>
        <v>0</v>
      </c>
      <c r="Z50" s="924">
        <f t="shared" si="14"/>
        <v>0</v>
      </c>
      <c r="AA50" s="924">
        <f t="shared" si="14"/>
        <v>0</v>
      </c>
      <c r="AB50" s="924">
        <f t="shared" si="14"/>
        <v>0</v>
      </c>
      <c r="AC50" s="924">
        <f t="shared" si="14"/>
        <v>0</v>
      </c>
      <c r="AD50" s="924">
        <f t="shared" si="14"/>
        <v>0</v>
      </c>
      <c r="AE50" s="924">
        <f t="shared" si="14"/>
        <v>0</v>
      </c>
      <c r="AF50" s="915"/>
      <c r="AG50" s="915"/>
    </row>
    <row r="51" spans="1:33" hidden="1" x14ac:dyDescent="0.2">
      <c r="A51" s="914"/>
      <c r="B51" s="940"/>
      <c r="C51" s="930" t="s">
        <v>522</v>
      </c>
      <c r="D51" s="924">
        <f t="shared" ref="D51:AE51" si="15">SUMIFS($D$28:$AE$28,$D$5:$AE$5,D$43,$D$8:$AE$8,$C$51)</f>
        <v>0</v>
      </c>
      <c r="E51" s="924">
        <f t="shared" si="15"/>
        <v>0</v>
      </c>
      <c r="F51" s="924">
        <f t="shared" si="15"/>
        <v>0</v>
      </c>
      <c r="G51" s="924">
        <f t="shared" si="15"/>
        <v>0</v>
      </c>
      <c r="H51" s="924">
        <f t="shared" si="15"/>
        <v>0</v>
      </c>
      <c r="I51" s="924">
        <f t="shared" si="15"/>
        <v>0</v>
      </c>
      <c r="J51" s="924">
        <f t="shared" si="15"/>
        <v>0</v>
      </c>
      <c r="K51" s="924">
        <f t="shared" si="15"/>
        <v>0</v>
      </c>
      <c r="L51" s="924">
        <f t="shared" si="15"/>
        <v>0</v>
      </c>
      <c r="M51" s="924">
        <f t="shared" si="15"/>
        <v>0</v>
      </c>
      <c r="N51" s="924">
        <f t="shared" si="15"/>
        <v>0</v>
      </c>
      <c r="O51" s="924">
        <f t="shared" si="15"/>
        <v>0</v>
      </c>
      <c r="P51" s="924">
        <f t="shared" si="15"/>
        <v>0</v>
      </c>
      <c r="Q51" s="924">
        <f t="shared" si="15"/>
        <v>0</v>
      </c>
      <c r="R51" s="924">
        <f t="shared" si="15"/>
        <v>0</v>
      </c>
      <c r="S51" s="924">
        <f t="shared" si="15"/>
        <v>0</v>
      </c>
      <c r="T51" s="924">
        <f t="shared" si="15"/>
        <v>0</v>
      </c>
      <c r="U51" s="924">
        <f t="shared" si="15"/>
        <v>0</v>
      </c>
      <c r="V51" s="924">
        <f t="shared" si="15"/>
        <v>0</v>
      </c>
      <c r="W51" s="924">
        <f t="shared" si="15"/>
        <v>0</v>
      </c>
      <c r="X51" s="924">
        <f t="shared" si="15"/>
        <v>0</v>
      </c>
      <c r="Y51" s="924">
        <f t="shared" si="15"/>
        <v>0</v>
      </c>
      <c r="Z51" s="924">
        <f t="shared" si="15"/>
        <v>0</v>
      </c>
      <c r="AA51" s="924">
        <f t="shared" si="15"/>
        <v>0</v>
      </c>
      <c r="AB51" s="924">
        <f t="shared" si="15"/>
        <v>0</v>
      </c>
      <c r="AC51" s="924">
        <f t="shared" si="15"/>
        <v>0</v>
      </c>
      <c r="AD51" s="924">
        <f t="shared" si="15"/>
        <v>0</v>
      </c>
      <c r="AE51" s="924">
        <f t="shared" si="15"/>
        <v>0</v>
      </c>
      <c r="AF51" s="915"/>
      <c r="AG51" s="915"/>
    </row>
    <row r="52" spans="1:33" hidden="1" x14ac:dyDescent="0.2">
      <c r="A52" s="914"/>
      <c r="B52" s="940"/>
      <c r="C52" s="930" t="s">
        <v>382</v>
      </c>
      <c r="D52" s="924">
        <f t="shared" ref="D52:AE52" si="16">SUMIFS($D$28:$AE$28,$D$5:$AE$5,D$43,$D$8:$AE$8,$C$52)</f>
        <v>0</v>
      </c>
      <c r="E52" s="924">
        <f t="shared" si="16"/>
        <v>0</v>
      </c>
      <c r="F52" s="924">
        <f t="shared" si="16"/>
        <v>0</v>
      </c>
      <c r="G52" s="924">
        <f t="shared" si="16"/>
        <v>0</v>
      </c>
      <c r="H52" s="924">
        <f t="shared" si="16"/>
        <v>0</v>
      </c>
      <c r="I52" s="924">
        <f t="shared" si="16"/>
        <v>0</v>
      </c>
      <c r="J52" s="924">
        <f t="shared" si="16"/>
        <v>0</v>
      </c>
      <c r="K52" s="924">
        <f t="shared" si="16"/>
        <v>0</v>
      </c>
      <c r="L52" s="924">
        <f t="shared" si="16"/>
        <v>0</v>
      </c>
      <c r="M52" s="924">
        <f t="shared" si="16"/>
        <v>0</v>
      </c>
      <c r="N52" s="924">
        <f t="shared" si="16"/>
        <v>0</v>
      </c>
      <c r="O52" s="924">
        <f t="shared" si="16"/>
        <v>0</v>
      </c>
      <c r="P52" s="924">
        <f t="shared" si="16"/>
        <v>0</v>
      </c>
      <c r="Q52" s="924">
        <f t="shared" si="16"/>
        <v>0</v>
      </c>
      <c r="R52" s="924">
        <f t="shared" si="16"/>
        <v>0</v>
      </c>
      <c r="S52" s="924">
        <f t="shared" si="16"/>
        <v>0</v>
      </c>
      <c r="T52" s="924">
        <f t="shared" si="16"/>
        <v>0</v>
      </c>
      <c r="U52" s="924">
        <f t="shared" si="16"/>
        <v>0</v>
      </c>
      <c r="V52" s="924">
        <f t="shared" si="16"/>
        <v>0</v>
      </c>
      <c r="W52" s="924">
        <f t="shared" si="16"/>
        <v>0</v>
      </c>
      <c r="X52" s="924">
        <f t="shared" si="16"/>
        <v>0</v>
      </c>
      <c r="Y52" s="924">
        <f t="shared" si="16"/>
        <v>0</v>
      </c>
      <c r="Z52" s="924">
        <f t="shared" si="16"/>
        <v>0</v>
      </c>
      <c r="AA52" s="924">
        <f t="shared" si="16"/>
        <v>0</v>
      </c>
      <c r="AB52" s="924">
        <f t="shared" si="16"/>
        <v>0</v>
      </c>
      <c r="AC52" s="924">
        <f t="shared" si="16"/>
        <v>0</v>
      </c>
      <c r="AD52" s="924">
        <f t="shared" si="16"/>
        <v>0</v>
      </c>
      <c r="AE52" s="924">
        <f t="shared" si="16"/>
        <v>0</v>
      </c>
      <c r="AF52" s="915"/>
      <c r="AG52" s="915"/>
    </row>
    <row r="53" spans="1:33" hidden="1" x14ac:dyDescent="0.2">
      <c r="A53" s="914"/>
      <c r="B53" s="940"/>
      <c r="C53" s="930" t="s">
        <v>383</v>
      </c>
      <c r="D53" s="924">
        <f t="shared" ref="D53:AE53" si="17">SUMIFS($D$28:$AE$28,$D$5:$AE$5,D$43,$D$8:$AE$8,$C$53)</f>
        <v>0</v>
      </c>
      <c r="E53" s="924">
        <f t="shared" si="17"/>
        <v>0</v>
      </c>
      <c r="F53" s="924">
        <f t="shared" si="17"/>
        <v>0</v>
      </c>
      <c r="G53" s="924">
        <f t="shared" si="17"/>
        <v>0</v>
      </c>
      <c r="H53" s="924">
        <f t="shared" si="17"/>
        <v>0</v>
      </c>
      <c r="I53" s="924">
        <f t="shared" si="17"/>
        <v>0</v>
      </c>
      <c r="J53" s="924">
        <f t="shared" si="17"/>
        <v>0</v>
      </c>
      <c r="K53" s="924">
        <f t="shared" si="17"/>
        <v>0</v>
      </c>
      <c r="L53" s="924">
        <f t="shared" si="17"/>
        <v>0</v>
      </c>
      <c r="M53" s="924">
        <f t="shared" si="17"/>
        <v>0</v>
      </c>
      <c r="N53" s="924">
        <f t="shared" si="17"/>
        <v>0</v>
      </c>
      <c r="O53" s="924">
        <f t="shared" si="17"/>
        <v>0</v>
      </c>
      <c r="P53" s="924">
        <f t="shared" si="17"/>
        <v>0</v>
      </c>
      <c r="Q53" s="924">
        <f t="shared" si="17"/>
        <v>0</v>
      </c>
      <c r="R53" s="924">
        <f t="shared" si="17"/>
        <v>0</v>
      </c>
      <c r="S53" s="924">
        <f t="shared" si="17"/>
        <v>0</v>
      </c>
      <c r="T53" s="924">
        <f t="shared" si="17"/>
        <v>0</v>
      </c>
      <c r="U53" s="924">
        <f t="shared" si="17"/>
        <v>0</v>
      </c>
      <c r="V53" s="924">
        <f t="shared" si="17"/>
        <v>0</v>
      </c>
      <c r="W53" s="924">
        <f t="shared" si="17"/>
        <v>0</v>
      </c>
      <c r="X53" s="924">
        <f t="shared" si="17"/>
        <v>0</v>
      </c>
      <c r="Y53" s="924">
        <f t="shared" si="17"/>
        <v>0</v>
      </c>
      <c r="Z53" s="924">
        <f t="shared" si="17"/>
        <v>0</v>
      </c>
      <c r="AA53" s="924">
        <f t="shared" si="17"/>
        <v>0</v>
      </c>
      <c r="AB53" s="924">
        <f t="shared" si="17"/>
        <v>0</v>
      </c>
      <c r="AC53" s="924">
        <f t="shared" si="17"/>
        <v>0</v>
      </c>
      <c r="AD53" s="924">
        <f t="shared" si="17"/>
        <v>0</v>
      </c>
      <c r="AE53" s="924">
        <f t="shared" si="17"/>
        <v>0</v>
      </c>
      <c r="AF53" s="915"/>
      <c r="AG53" s="915"/>
    </row>
    <row r="54" spans="1:33" hidden="1" x14ac:dyDescent="0.2">
      <c r="A54" s="914"/>
      <c r="B54" s="940"/>
      <c r="C54" s="930" t="s">
        <v>528</v>
      </c>
      <c r="D54" s="924">
        <f t="shared" ref="D54:AE54" si="18">SUMIFS($D$28:$AE$28,$D$5:$AE$5,D$43,$D$8:$AE$8,$C$54)</f>
        <v>2</v>
      </c>
      <c r="E54" s="924">
        <f t="shared" si="18"/>
        <v>2</v>
      </c>
      <c r="F54" s="924">
        <f t="shared" si="18"/>
        <v>2</v>
      </c>
      <c r="G54" s="924">
        <f t="shared" si="18"/>
        <v>2</v>
      </c>
      <c r="H54" s="924">
        <f t="shared" si="18"/>
        <v>2</v>
      </c>
      <c r="I54" s="924">
        <f t="shared" si="18"/>
        <v>1</v>
      </c>
      <c r="J54" s="924">
        <f t="shared" si="18"/>
        <v>2</v>
      </c>
      <c r="K54" s="924">
        <f t="shared" si="18"/>
        <v>2</v>
      </c>
      <c r="L54" s="924">
        <f t="shared" si="18"/>
        <v>2</v>
      </c>
      <c r="M54" s="924">
        <f t="shared" si="18"/>
        <v>1</v>
      </c>
      <c r="N54" s="924">
        <f t="shared" si="18"/>
        <v>1</v>
      </c>
      <c r="O54" s="924">
        <f t="shared" si="18"/>
        <v>1</v>
      </c>
      <c r="P54" s="924">
        <f t="shared" si="18"/>
        <v>1</v>
      </c>
      <c r="Q54" s="924">
        <f t="shared" si="18"/>
        <v>1</v>
      </c>
      <c r="R54" s="924">
        <f t="shared" si="18"/>
        <v>1</v>
      </c>
      <c r="S54" s="924">
        <f t="shared" si="18"/>
        <v>1</v>
      </c>
      <c r="T54" s="924">
        <f t="shared" si="18"/>
        <v>1</v>
      </c>
      <c r="U54" s="924">
        <f t="shared" si="18"/>
        <v>1</v>
      </c>
      <c r="V54" s="924">
        <f t="shared" si="18"/>
        <v>2</v>
      </c>
      <c r="W54" s="924">
        <f t="shared" si="18"/>
        <v>2</v>
      </c>
      <c r="X54" s="924">
        <f t="shared" si="18"/>
        <v>2</v>
      </c>
      <c r="Y54" s="924">
        <f t="shared" si="18"/>
        <v>2</v>
      </c>
      <c r="Z54" s="924">
        <f t="shared" si="18"/>
        <v>2</v>
      </c>
      <c r="AA54" s="924">
        <f t="shared" si="18"/>
        <v>2</v>
      </c>
      <c r="AB54" s="924">
        <f t="shared" si="18"/>
        <v>2</v>
      </c>
      <c r="AC54" s="924">
        <f t="shared" si="18"/>
        <v>2</v>
      </c>
      <c r="AD54" s="924">
        <f t="shared" si="18"/>
        <v>2</v>
      </c>
      <c r="AE54" s="924">
        <f t="shared" si="18"/>
        <v>2</v>
      </c>
      <c r="AF54" s="915"/>
      <c r="AG54" s="915"/>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1:30" s="29" customFormat="1" x14ac:dyDescent="0.2">
      <c r="A161" s="250"/>
      <c r="B161" s="50"/>
      <c r="D161" s="51"/>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row>
    <row r="162" spans="1:30" s="29" customFormat="1" x14ac:dyDescent="0.2">
      <c r="A162" s="250"/>
      <c r="B162" s="50"/>
      <c r="D162" s="51"/>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row>
    <row r="163" spans="1:30" s="29" customFormat="1" x14ac:dyDescent="0.2">
      <c r="A163" s="250"/>
      <c r="B163" s="50"/>
      <c r="D163" s="51"/>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row>
    <row r="164" spans="1:30" s="29" customFormat="1" x14ac:dyDescent="0.2">
      <c r="A164" s="250"/>
      <c r="B164" s="50"/>
      <c r="D164" s="51"/>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row>
    <row r="165" spans="1:30" s="29" customFormat="1" x14ac:dyDescent="0.2">
      <c r="A165" s="250"/>
      <c r="B165" s="50"/>
      <c r="D165" s="51"/>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row>
    <row r="166" spans="1:30" s="29" customFormat="1" x14ac:dyDescent="0.2">
      <c r="A166" s="250"/>
      <c r="B166" s="50"/>
      <c r="D166" s="51"/>
      <c r="E166" s="51"/>
      <c r="F166" s="51"/>
      <c r="G166" s="51"/>
      <c r="H166" s="51"/>
      <c r="I166" s="51"/>
      <c r="J166" s="51"/>
      <c r="K166" s="51"/>
      <c r="L166" s="51"/>
      <c r="M166" s="51"/>
      <c r="N166" s="51"/>
      <c r="O166" s="51"/>
      <c r="P166" s="51"/>
      <c r="Q166" s="51"/>
      <c r="R166" s="51"/>
      <c r="S166" s="51"/>
      <c r="T166" s="51"/>
      <c r="U166" s="51"/>
      <c r="V166" s="51"/>
      <c r="W166" s="51"/>
      <c r="X166" s="51"/>
      <c r="Y166" s="51"/>
      <c r="Z166" s="51"/>
      <c r="AA166" s="51"/>
      <c r="AB166" s="51"/>
      <c r="AC166" s="51"/>
      <c r="AD166" s="51"/>
    </row>
  </sheetData>
  <sheetProtection algorithmName="SHA-512" hashValue="lb/cjS1GoD9tWT+gjlWcXy6Z1Y3t7ek+0knxaWvzvks6/qNY/RQ0ftj9N3zxehTAJl5lxHDKkDpeZFxcdjSiWQ==" saltValue="5GFCSLchjoTbKqIcNmf/EQ==" spinCount="100000" sheet="1" objects="1" scenarios="1"/>
  <protectedRanges>
    <protectedRange sqref="A31:AE34" name="Notes"/>
    <protectedRange sqref="D18:AE18 D20 D22 D24" name="Data Entry_1"/>
    <protectedRange sqref="D16:AE16 B17:C27"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7" name="Data Entry_3"/>
  </protectedRanges>
  <mergeCells count="21">
    <mergeCell ref="B21:C21"/>
    <mergeCell ref="A1:B1"/>
    <mergeCell ref="A2:B2"/>
    <mergeCell ref="A3:B3"/>
    <mergeCell ref="A4:B4"/>
    <mergeCell ref="A5:B5"/>
    <mergeCell ref="A6:A7"/>
    <mergeCell ref="B6:C7"/>
    <mergeCell ref="B16:C16"/>
    <mergeCell ref="B17:C17"/>
    <mergeCell ref="B18:C18"/>
    <mergeCell ref="B19:C19"/>
    <mergeCell ref="B20:C20"/>
    <mergeCell ref="B29:C29"/>
    <mergeCell ref="B22:C22"/>
    <mergeCell ref="B23:C23"/>
    <mergeCell ref="B24:C24"/>
    <mergeCell ref="B25:C25"/>
    <mergeCell ref="B26:C26"/>
    <mergeCell ref="B28:C28"/>
    <mergeCell ref="B27:C27"/>
  </mergeCells>
  <conditionalFormatting sqref="D28:D29 D18:AE18">
    <cfRule type="expression" dxfId="113" priority="23">
      <formula>D$7=0</formula>
    </cfRule>
  </conditionalFormatting>
  <conditionalFormatting sqref="D16">
    <cfRule type="expression" dxfId="112" priority="22">
      <formula>D$7=0</formula>
    </cfRule>
  </conditionalFormatting>
  <conditionalFormatting sqref="E28:AE29">
    <cfRule type="expression" dxfId="111" priority="21">
      <formula>E$7=0</formula>
    </cfRule>
  </conditionalFormatting>
  <conditionalFormatting sqref="E16:AE16">
    <cfRule type="expression" dxfId="110" priority="20">
      <formula>E$7=0</formula>
    </cfRule>
  </conditionalFormatting>
  <conditionalFormatting sqref="D11">
    <cfRule type="expression" dxfId="109" priority="19">
      <formula>D$7=0</formula>
    </cfRule>
  </conditionalFormatting>
  <conditionalFormatting sqref="E11:AE11">
    <cfRule type="expression" dxfId="108" priority="18">
      <formula>E$7=0</formula>
    </cfRule>
  </conditionalFormatting>
  <conditionalFormatting sqref="D14:AE14">
    <cfRule type="cellIs" dxfId="107" priority="14" operator="between">
      <formula>0.25</formula>
      <formula>1</formula>
    </cfRule>
    <cfRule type="cellIs" dxfId="106" priority="15" operator="between">
      <formula>0.15</formula>
      <formula>0.25</formula>
    </cfRule>
    <cfRule type="cellIs" dxfId="105" priority="16" operator="between">
      <formula>0</formula>
      <formula>0.15</formula>
    </cfRule>
    <cfRule type="cellIs" dxfId="104" priority="17" operator="between">
      <formula>-0.5</formula>
      <formula>0</formula>
    </cfRule>
  </conditionalFormatting>
  <conditionalFormatting sqref="D17:AE17 D19 D21 D23 D25">
    <cfRule type="expression" dxfId="103" priority="13">
      <formula>D$7=0</formula>
    </cfRule>
  </conditionalFormatting>
  <conditionalFormatting sqref="E19:AE19">
    <cfRule type="expression" dxfId="102" priority="12">
      <formula>E$7=0</formula>
    </cfRule>
  </conditionalFormatting>
  <conditionalFormatting sqref="E20:AE20">
    <cfRule type="expression" dxfId="101" priority="11">
      <formula>E$7=0</formula>
    </cfRule>
  </conditionalFormatting>
  <conditionalFormatting sqref="E21:AE21">
    <cfRule type="expression" dxfId="100" priority="10">
      <formula>E$7=0</formula>
    </cfRule>
  </conditionalFormatting>
  <conditionalFormatting sqref="E22:AE22">
    <cfRule type="expression" dxfId="99" priority="9">
      <formula>E$7=0</formula>
    </cfRule>
  </conditionalFormatting>
  <conditionalFormatting sqref="E23:AE23">
    <cfRule type="expression" dxfId="98" priority="8">
      <formula>E$7=0</formula>
    </cfRule>
  </conditionalFormatting>
  <conditionalFormatting sqref="E24:AE24">
    <cfRule type="expression" dxfId="97" priority="7">
      <formula>E$7=0</formula>
    </cfRule>
  </conditionalFormatting>
  <conditionalFormatting sqref="E25:AE25">
    <cfRule type="expression" dxfId="96" priority="6">
      <formula>E$7=0</formula>
    </cfRule>
  </conditionalFormatting>
  <conditionalFormatting sqref="D26:AE26">
    <cfRule type="expression" dxfId="95" priority="5">
      <formula>D$7=0</formula>
    </cfRule>
  </conditionalFormatting>
  <conditionalFormatting sqref="D20">
    <cfRule type="expression" dxfId="94" priority="4">
      <formula>D$7=0</formula>
    </cfRule>
  </conditionalFormatting>
  <conditionalFormatting sqref="D22">
    <cfRule type="expression" dxfId="93" priority="3">
      <formula>D$7=0</formula>
    </cfRule>
  </conditionalFormatting>
  <conditionalFormatting sqref="D24">
    <cfRule type="expression" dxfId="92" priority="2">
      <formula>D$7=0</formula>
    </cfRule>
  </conditionalFormatting>
  <conditionalFormatting sqref="D27:AE27">
    <cfRule type="expression" dxfId="0" priority="1">
      <formula>D$7=0</formula>
    </cfRule>
  </conditionalFormatting>
  <dataValidations count="2">
    <dataValidation type="list" allowBlank="1" showInputMessage="1" showErrorMessage="1" sqref="D15:AE15" xr:uid="{A5DC8B02-0034-4F0F-97B2-01C87C9DF093}">
      <formula1>$P$4:$S$4</formula1>
    </dataValidation>
    <dataValidation type="decimal" allowBlank="1" showErrorMessage="1" errorTitle="Invalid Entry" error="Values in these cells must be a number greater than 12.  Text entries are not allowed.  " sqref="D11:AE11" xr:uid="{65C4C006-93B7-4A90-AF52-2BDB1B9A0065}">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4"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6817" r:id="rId4" name="Button 1">
              <controlPr defaultSize="0" print="0" autoFill="0" autoPict="0" macro="[0]!Button3_CopyRowAndInsertNewRow">
                <anchor moveWithCells="1" sizeWithCells="1">
                  <from>
                    <xdr:col>1</xdr:col>
                    <xdr:colOff>142875</xdr:colOff>
                    <xdr:row>30</xdr:row>
                    <xdr:rowOff>57150</xdr:rowOff>
                  </from>
                  <to>
                    <xdr:col>2</xdr:col>
                    <xdr:colOff>1714500</xdr:colOff>
                    <xdr:row>33</xdr:row>
                    <xdr:rowOff>95250</xdr:rowOff>
                  </to>
                </anchor>
              </controlPr>
            </control>
          </mc:Choice>
        </mc:AlternateContent>
        <mc:AlternateContent xmlns:mc="http://schemas.openxmlformats.org/markup-compatibility/2006">
          <mc:Choice Requires="x14">
            <control shapeId="1826818" r:id="rId5" name="Button 2">
              <controlPr defaultSize="0" print="0" autoFill="0" autoPict="0" macro="[0]!Phase_Template_RemoveLastRow">
                <anchor moveWithCells="1" sizeWithCells="1">
                  <from>
                    <xdr:col>3</xdr:col>
                    <xdr:colOff>28575</xdr:colOff>
                    <xdr:row>30</xdr:row>
                    <xdr:rowOff>28575</xdr:rowOff>
                  </from>
                  <to>
                    <xdr:col>6</xdr:col>
                    <xdr:colOff>38100</xdr:colOff>
                    <xdr:row>33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9FB9CD9-CFAA-483B-8084-DB65E23441EC}">
          <x14:formula1>
            <xm:f>'Labor &amp; Practice Lookups'!$R$4:$V$4</xm:f>
          </x14:formula1>
          <xm:sqref>D9:AE10</xm:sqref>
        </x14:dataValidation>
        <x14:dataValidation type="list" allowBlank="1" showInputMessage="1" showErrorMessage="1" xr:uid="{EFC02E57-AB86-4E61-B7C0-A0D6C5DC020E}">
          <x14:formula1>
            <xm:f>'Labor &amp; Practice Lookups'!$Q$5:$Q$11</xm:f>
          </x14:formula1>
          <xm:sqref>D8:AE8</xm:sqref>
        </x14:dataValidation>
        <x14:dataValidation type="list" allowBlank="1" showInputMessage="1" showErrorMessage="1" xr:uid="{EDDD6830-FE87-450C-BDD7-05D09BC9A002}">
          <x14:formula1>
            <xm:f>INPUT!$F$5:$F$32</xm:f>
          </x14:formula1>
          <xm:sqref>D5:AE5</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51A92-7BB6-4FA2-9F1F-2D706751687B}">
  <sheetPr syncVertical="1" syncRef="F10" transitionEvaluation="1" transitionEntry="1" codeName="Sheet45">
    <pageSetUpPr fitToPage="1"/>
  </sheetPr>
  <dimension ref="A1:XFD165"/>
  <sheetViews>
    <sheetView view="pageBreakPreview" topLeftCell="F1" zoomScale="70" zoomScaleNormal="70" zoomScaleSheetLayoutView="70" workbookViewId="0">
      <pane ySplit="9" topLeftCell="A10" activePane="bottomLeft" state="frozen"/>
      <selection pane="bottomLeft" activeCell="O22" sqref="O22"/>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Element17</f>
        <v>Phase Name 17</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j1DuK1tVkfxL2sF9nu5Bq6s52/UEBzj2ahLhsQ6SXsi6wYyqiBz39uPuWqwNbXgj3su+i4xbwN1/XbyOGkqQ9g==" saltValue="iQ63tAVy8TiobnRMfTBrmw=="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91" priority="22">
      <formula>D$7=0</formula>
    </cfRule>
  </conditionalFormatting>
  <conditionalFormatting sqref="D16">
    <cfRule type="expression" dxfId="90" priority="21">
      <formula>D$7=0</formula>
    </cfRule>
  </conditionalFormatting>
  <conditionalFormatting sqref="E27:AE28">
    <cfRule type="expression" dxfId="89" priority="20">
      <formula>E$7=0</formula>
    </cfRule>
  </conditionalFormatting>
  <conditionalFormatting sqref="E16:AE16">
    <cfRule type="expression" dxfId="88" priority="19">
      <formula>E$7=0</formula>
    </cfRule>
  </conditionalFormatting>
  <conditionalFormatting sqref="D11">
    <cfRule type="expression" dxfId="87" priority="18">
      <formula>D$7=0</formula>
    </cfRule>
  </conditionalFormatting>
  <conditionalFormatting sqref="E11:AE11">
    <cfRule type="expression" dxfId="86" priority="17">
      <formula>E$7=0</formula>
    </cfRule>
  </conditionalFormatting>
  <conditionalFormatting sqref="D14:AE14">
    <cfRule type="cellIs" dxfId="85" priority="13" operator="between">
      <formula>0.25</formula>
      <formula>1</formula>
    </cfRule>
    <cfRule type="cellIs" dxfId="84" priority="14" operator="between">
      <formula>0.15</formula>
      <formula>0.25</formula>
    </cfRule>
    <cfRule type="cellIs" dxfId="83" priority="15" operator="between">
      <formula>0</formula>
      <formula>0.15</formula>
    </cfRule>
    <cfRule type="cellIs" dxfId="82" priority="16" operator="between">
      <formula>-0.5</formula>
      <formula>0</formula>
    </cfRule>
  </conditionalFormatting>
  <conditionalFormatting sqref="D17:AE17 D19 D21 D23 D25">
    <cfRule type="expression" dxfId="81" priority="12">
      <formula>D$7=0</formula>
    </cfRule>
  </conditionalFormatting>
  <conditionalFormatting sqref="E19:AE19">
    <cfRule type="expression" dxfId="80" priority="11">
      <formula>E$7=0</formula>
    </cfRule>
  </conditionalFormatting>
  <conditionalFormatting sqref="E20:AE20">
    <cfRule type="expression" dxfId="79" priority="10">
      <formula>E$7=0</formula>
    </cfRule>
  </conditionalFormatting>
  <conditionalFormatting sqref="E21:AE21">
    <cfRule type="expression" dxfId="78" priority="9">
      <formula>E$7=0</formula>
    </cfRule>
  </conditionalFormatting>
  <conditionalFormatting sqref="E22:AE22">
    <cfRule type="expression" dxfId="77" priority="8">
      <formula>E$7=0</formula>
    </cfRule>
  </conditionalFormatting>
  <conditionalFormatting sqref="E23:AE23">
    <cfRule type="expression" dxfId="76" priority="7">
      <formula>E$7=0</formula>
    </cfRule>
  </conditionalFormatting>
  <conditionalFormatting sqref="E24:AE24">
    <cfRule type="expression" dxfId="75" priority="6">
      <formula>E$7=0</formula>
    </cfRule>
  </conditionalFormatting>
  <conditionalFormatting sqref="E25:AE25">
    <cfRule type="expression" dxfId="74" priority="5">
      <formula>E$7=0</formula>
    </cfRule>
  </conditionalFormatting>
  <conditionalFormatting sqref="D26:AE26">
    <cfRule type="expression" dxfId="73" priority="4">
      <formula>D$7=0</formula>
    </cfRule>
  </conditionalFormatting>
  <conditionalFormatting sqref="D20">
    <cfRule type="expression" dxfId="72" priority="3">
      <formula>D$7=0</formula>
    </cfRule>
  </conditionalFormatting>
  <conditionalFormatting sqref="D22">
    <cfRule type="expression" dxfId="71" priority="2">
      <formula>D$7=0</formula>
    </cfRule>
  </conditionalFormatting>
  <conditionalFormatting sqref="D24">
    <cfRule type="expression" dxfId="70" priority="1">
      <formula>D$7=0</formula>
    </cfRule>
  </conditionalFormatting>
  <dataValidations count="2">
    <dataValidation type="list" allowBlank="1" showInputMessage="1" showErrorMessage="1" sqref="D15:AE15" xr:uid="{5E7820CF-C376-4FDE-8706-F090BDCA581B}">
      <formula1>$P$4:$S$4</formula1>
    </dataValidation>
    <dataValidation type="decimal" allowBlank="1" showErrorMessage="1" errorTitle="Invalid Entry" error="Values in these cells must be a number greater than 12.  Text entries are not allowed.  " sqref="D11:AE11" xr:uid="{DADFF4A3-BAB1-4884-8527-F8652AD87453}">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7841"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7842"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99F41753-5EDB-45D5-9A20-5EA6B2F6E264}">
          <x14:formula1>
            <xm:f>'Labor &amp; Practice Lookups'!$R$4:$V$4</xm:f>
          </x14:formula1>
          <xm:sqref>D9:AE10</xm:sqref>
        </x14:dataValidation>
        <x14:dataValidation type="list" allowBlank="1" showInputMessage="1" showErrorMessage="1" xr:uid="{2CC7B310-CD65-4447-AD8B-A533F47800CD}">
          <x14:formula1>
            <xm:f>'Labor &amp; Practice Lookups'!$Q$5:$Q$11</xm:f>
          </x14:formula1>
          <xm:sqref>D8:AE8</xm:sqref>
        </x14:dataValidation>
        <x14:dataValidation type="list" allowBlank="1" showInputMessage="1" showErrorMessage="1" xr:uid="{90659998-E770-4EA4-A766-2AE562512FC8}">
          <x14:formula1>
            <xm:f>INPUT!$F$5:$F$32</xm:f>
          </x14:formula1>
          <xm:sqref>D5:AE5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C345C-3420-434B-8253-E9D680BF3F72}">
  <sheetPr syncVertical="1" syncRef="B10" transitionEvaluation="1" transitionEntry="1" codeName="Sheet46">
    <pageSetUpPr fitToPage="1"/>
  </sheetPr>
  <dimension ref="A1:XFD165"/>
  <sheetViews>
    <sheetView view="pageBreakPreview" topLeftCell="B1" zoomScale="70" zoomScaleNormal="70" zoomScaleSheetLayoutView="70" workbookViewId="0">
      <pane ySplit="9" topLeftCell="A10" activePane="bottomLeft" state="frozen"/>
      <selection pane="bottomLeft" activeCell="AA22" sqref="AA22"/>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Element18</f>
        <v>Phase Name 18</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259">
        <f t="shared" si="2"/>
        <v>0</v>
      </c>
      <c r="AG18" s="260">
        <f t="shared" ref="AG18:AG26" si="3">AG17+AF18</f>
        <v>0</v>
      </c>
    </row>
    <row r="19" spans="1:34" s="993" customFormat="1" ht="18" customHeight="1" x14ac:dyDescent="0.2">
      <c r="A19" s="989">
        <v>3</v>
      </c>
      <c r="B19" s="1241"/>
      <c r="C19" s="1242"/>
      <c r="D19" s="411">
        <v>1</v>
      </c>
      <c r="E19" s="990">
        <v>1</v>
      </c>
      <c r="F19" s="990">
        <v>1</v>
      </c>
      <c r="G19" s="990">
        <v>1</v>
      </c>
      <c r="H19" s="990">
        <v>1</v>
      </c>
      <c r="I19" s="990">
        <v>1</v>
      </c>
      <c r="J19" s="990">
        <v>1</v>
      </c>
      <c r="K19" s="990">
        <v>1</v>
      </c>
      <c r="L19" s="990">
        <v>1</v>
      </c>
      <c r="M19" s="990">
        <v>1</v>
      </c>
      <c r="N19" s="990">
        <v>1</v>
      </c>
      <c r="O19" s="990">
        <v>1</v>
      </c>
      <c r="P19" s="990">
        <v>1</v>
      </c>
      <c r="Q19" s="990">
        <v>1</v>
      </c>
      <c r="R19" s="990">
        <v>1</v>
      </c>
      <c r="S19" s="990">
        <v>1</v>
      </c>
      <c r="T19" s="990">
        <v>1</v>
      </c>
      <c r="U19" s="990">
        <v>1</v>
      </c>
      <c r="V19" s="990">
        <v>1</v>
      </c>
      <c r="W19" s="990">
        <v>1</v>
      </c>
      <c r="X19" s="990">
        <v>1</v>
      </c>
      <c r="Y19" s="990">
        <v>1</v>
      </c>
      <c r="Z19" s="990">
        <v>1</v>
      </c>
      <c r="AA19" s="990">
        <v>1</v>
      </c>
      <c r="AB19" s="990">
        <v>1</v>
      </c>
      <c r="AC19" s="990">
        <v>1</v>
      </c>
      <c r="AD19" s="990">
        <v>1</v>
      </c>
      <c r="AE19" s="990">
        <v>1</v>
      </c>
      <c r="AF19" s="991">
        <f t="shared" si="2"/>
        <v>4872</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1SBWq6t8fMWIPHki5QIzQwLZPPi22QaEy1YmOrUgNuC6rR9LI6O+AA/xEXtSnKFtdwX+yOMkQ1by9EwUDtlPYw==" saltValue="AYeZEqHOQtlUeNZDmPrX6w=="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69" priority="22">
      <formula>D$7=0</formula>
    </cfRule>
  </conditionalFormatting>
  <conditionalFormatting sqref="D16">
    <cfRule type="expression" dxfId="68" priority="21">
      <formula>D$7=0</formula>
    </cfRule>
  </conditionalFormatting>
  <conditionalFormatting sqref="E27:AE28">
    <cfRule type="expression" dxfId="67" priority="20">
      <formula>E$7=0</formula>
    </cfRule>
  </conditionalFormatting>
  <conditionalFormatting sqref="E16:AE16">
    <cfRule type="expression" dxfId="66" priority="19">
      <formula>E$7=0</formula>
    </cfRule>
  </conditionalFormatting>
  <conditionalFormatting sqref="D11">
    <cfRule type="expression" dxfId="65" priority="18">
      <formula>D$7=0</formula>
    </cfRule>
  </conditionalFormatting>
  <conditionalFormatting sqref="E11:AE11">
    <cfRule type="expression" dxfId="64" priority="17">
      <formula>E$7=0</formula>
    </cfRule>
  </conditionalFormatting>
  <conditionalFormatting sqref="D14:AE14">
    <cfRule type="cellIs" dxfId="63" priority="13" operator="between">
      <formula>0.25</formula>
      <formula>1</formula>
    </cfRule>
    <cfRule type="cellIs" dxfId="62" priority="14" operator="between">
      <formula>0.15</formula>
      <formula>0.25</formula>
    </cfRule>
    <cfRule type="cellIs" dxfId="61" priority="15" operator="between">
      <formula>0</formula>
      <formula>0.15</formula>
    </cfRule>
    <cfRule type="cellIs" dxfId="60" priority="16" operator="between">
      <formula>-0.5</formula>
      <formula>0</formula>
    </cfRule>
  </conditionalFormatting>
  <conditionalFormatting sqref="D17:AE17 D19 D21 D23 D25">
    <cfRule type="expression" dxfId="59" priority="12">
      <formula>D$7=0</formula>
    </cfRule>
  </conditionalFormatting>
  <conditionalFormatting sqref="E19:AE19">
    <cfRule type="expression" dxfId="58" priority="11">
      <formula>E$7=0</formula>
    </cfRule>
  </conditionalFormatting>
  <conditionalFormatting sqref="E20:AE20">
    <cfRule type="expression" dxfId="57" priority="10">
      <formula>E$7=0</formula>
    </cfRule>
  </conditionalFormatting>
  <conditionalFormatting sqref="E21:AE21">
    <cfRule type="expression" dxfId="56" priority="9">
      <formula>E$7=0</formula>
    </cfRule>
  </conditionalFormatting>
  <conditionalFormatting sqref="E22:AE22">
    <cfRule type="expression" dxfId="55" priority="8">
      <formula>E$7=0</formula>
    </cfRule>
  </conditionalFormatting>
  <conditionalFormatting sqref="E23:AE23">
    <cfRule type="expression" dxfId="54" priority="7">
      <formula>E$7=0</formula>
    </cfRule>
  </conditionalFormatting>
  <conditionalFormatting sqref="E24:AE24">
    <cfRule type="expression" dxfId="53" priority="6">
      <formula>E$7=0</formula>
    </cfRule>
  </conditionalFormatting>
  <conditionalFormatting sqref="E25:AE25">
    <cfRule type="expression" dxfId="52" priority="5">
      <formula>E$7=0</formula>
    </cfRule>
  </conditionalFormatting>
  <conditionalFormatting sqref="D26:AE26">
    <cfRule type="expression" dxfId="51" priority="4">
      <formula>D$7=0</formula>
    </cfRule>
  </conditionalFormatting>
  <conditionalFormatting sqref="D20">
    <cfRule type="expression" dxfId="50" priority="3">
      <formula>D$7=0</formula>
    </cfRule>
  </conditionalFormatting>
  <conditionalFormatting sqref="D22">
    <cfRule type="expression" dxfId="49" priority="2">
      <formula>D$7=0</formula>
    </cfRule>
  </conditionalFormatting>
  <conditionalFormatting sqref="D24">
    <cfRule type="expression" dxfId="48" priority="1">
      <formula>D$7=0</formula>
    </cfRule>
  </conditionalFormatting>
  <dataValidations count="2">
    <dataValidation type="list" allowBlank="1" showInputMessage="1" showErrorMessage="1" sqref="D15:AE15" xr:uid="{A183C574-208F-4297-B8F2-D0E65AC7FA5C}">
      <formula1>$P$4:$S$4</formula1>
    </dataValidation>
    <dataValidation type="decimal" allowBlank="1" showErrorMessage="1" errorTitle="Invalid Entry" error="Values in these cells must be a number greater than 12.  Text entries are not allowed.  " sqref="D11:AE11" xr:uid="{50E80BAE-61CC-42E7-A7C7-D2BFCEA4B2D9}">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28865"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28866"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489400D0-EC3D-4982-AB26-16257E39ADBE}">
          <x14:formula1>
            <xm:f>'Labor &amp; Practice Lookups'!$R$4:$V$4</xm:f>
          </x14:formula1>
          <xm:sqref>D9:AE10</xm:sqref>
        </x14:dataValidation>
        <x14:dataValidation type="list" allowBlank="1" showInputMessage="1" showErrorMessage="1" xr:uid="{0C79BC0E-5854-4E3A-A0C1-72E3A91D4D00}">
          <x14:formula1>
            <xm:f>'Labor &amp; Practice Lookups'!$Q$5:$Q$11</xm:f>
          </x14:formula1>
          <xm:sqref>D8:AE8</xm:sqref>
        </x14:dataValidation>
        <x14:dataValidation type="list" allowBlank="1" showInputMessage="1" showErrorMessage="1" xr:uid="{415E3B4A-881A-49BA-8879-3A0AD3DE0892}">
          <x14:formula1>
            <xm:f>INPUT!$F$5:$F$32</xm:f>
          </x14:formula1>
          <xm:sqref>D5:AE5</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0665-7B0A-42E8-991F-C7675AD153E0}">
  <sheetPr syncVertical="1" syncRef="C10" transitionEvaluation="1" transitionEntry="1" codeName="Sheet47">
    <pageSetUpPr fitToPage="1"/>
  </sheetPr>
  <dimension ref="A1:XFD165"/>
  <sheetViews>
    <sheetView view="pageBreakPreview" topLeftCell="C1" zoomScale="70" zoomScaleNormal="70" zoomScaleSheetLayoutView="70" workbookViewId="0">
      <pane ySplit="9" topLeftCell="A10" activePane="bottomLeft" state="frozen"/>
      <selection pane="bottomLeft" activeCell="P56" sqref="P56"/>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Element19</f>
        <v>Phase Name 19</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f>IF(L28=0,"",VLOOKUP(L5,'Labor &amp; Practice Lookups'!$A$4:$I$32,L39))</f>
        <v>62.578888631999988</v>
      </c>
      <c r="M12" s="483">
        <f>IF(M28=0,"",VLOOKUP(M5,'Labor &amp; Practice Lookups'!$A$4:$I$32,M39))</f>
        <v>59.043301032258057</v>
      </c>
      <c r="N12" s="483">
        <f>IF(N28=0,"",VLOOKUP(N5,'Labor &amp; Practice Lookups'!$A$4:$I$32,N39))</f>
        <v>55.271870536170226</v>
      </c>
      <c r="O12" s="483">
        <f>IF(O28=0,"",VLOOKUP(O5,'Labor &amp; Practice Lookups'!$A$4:$I$32,O39))</f>
        <v>49.333211200000001</v>
      </c>
      <c r="P12" s="483">
        <f>IF(P28=0,"",VLOOKUP(P5,'Labor &amp; Practice Lookups'!$A$4:$I$32,P39))</f>
        <v>49.241842908408145</v>
      </c>
      <c r="Q12" s="483">
        <f>IF(Q28=0,"",VLOOKUP(Q5,'Labor &amp; Practice Lookups'!$A$4:$I$32,Q39))</f>
        <v>46.29836570925373</v>
      </c>
      <c r="R12" s="483">
        <f>IF(R28=0,"",VLOOKUP(R5,'Labor &amp; Practice Lookups'!$A$4:$I$32,R39))</f>
        <v>43.893124925000002</v>
      </c>
      <c r="S12" s="483">
        <f>IF(S28=0,"",VLOOKUP(S5,'Labor &amp; Practice Lookups'!$A$4:$I$32,S39))</f>
        <v>41.24210232380954</v>
      </c>
      <c r="T12" s="483">
        <f>IF(T28=0,"",VLOOKUP(T5,'Labor &amp; Practice Lookups'!$A$4:$I$32,T39))</f>
        <v>40.2051769518961</v>
      </c>
      <c r="U12" s="483">
        <f>IF(U28=0,"",VLOOKUP(U5,'Labor &amp; Practice Lookups'!$A$4:$I$32,U39))</f>
        <v>39.570273762500001</v>
      </c>
      <c r="V12" s="483">
        <f>IF(V28=0,"",VLOOKUP(V5,'Labor &amp; Practice Lookups'!$A$4:$I$32,V39))</f>
        <v>37.486710753488367</v>
      </c>
      <c r="W12" s="483">
        <f>IF(W28=0,"",VLOOKUP(W5,'Labor &amp; Practice Lookups'!$A$4:$I$32,W39))</f>
        <v>32.869074622222222</v>
      </c>
      <c r="X12" s="483">
        <f>IF(X28=0,"",VLOOKUP(X5,'Labor &amp; Practice Lookups'!$A$4:$I$32,X39))</f>
        <v>31.917386831515167</v>
      </c>
      <c r="Y12" s="483">
        <f>IF(Y28=0,"",VLOOKUP(Y5,'Labor &amp; Practice Lookups'!$A$4:$I$32,Y39))</f>
        <v>31.1213889525614</v>
      </c>
      <c r="Z12" s="483">
        <f>IF(Z28=0,"",VLOOKUP(Z5,'Labor &amp; Practice Lookups'!$A$4:$I$32,Z39))</f>
        <v>29.939239200000003</v>
      </c>
      <c r="AA12" s="483">
        <f>IF(AA28=0,"",VLOOKUP(AA5,'Labor &amp; Practice Lookups'!$A$4:$I$32,AA39))</f>
        <v>26.380046515789477</v>
      </c>
      <c r="AB12" s="483">
        <f>IF(AB28=0,"",VLOOKUP(AB5,'Labor &amp; Practice Lookups'!$A$4:$I$32,AB39))</f>
        <v>25.225407537777777</v>
      </c>
      <c r="AC12" s="483">
        <f>IF(AC28=0,"",VLOOKUP(AC5,'Labor &amp; Practice Lookups'!$A$4:$I$32,AC39))</f>
        <v>21.498547199999997</v>
      </c>
      <c r="AD12" s="483">
        <f>IF(AD28=0,"",VLOOKUP(AD5,'Labor &amp; Practice Lookups'!$A$4:$I$32,AD39))</f>
        <v>19.518230716279074</v>
      </c>
      <c r="AE12" s="484">
        <f>IF(AE28=0,"",VLOOKUP(AE5,'Labor &amp; Practice Lookups'!$A$4:$I$32,AE39))</f>
        <v>18.367432255319155</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f t="shared" si="0"/>
        <v>3.3717441234982917</v>
      </c>
      <c r="M13" s="471">
        <f t="shared" si="0"/>
        <v>3.4042812052494238</v>
      </c>
      <c r="N13" s="471">
        <f t="shared" si="0"/>
        <v>3.4918304397478228</v>
      </c>
      <c r="O13" s="471">
        <f t="shared" si="0"/>
        <v>3.7905499247127867</v>
      </c>
      <c r="P13" s="471">
        <f t="shared" si="0"/>
        <v>3.6148119056203343</v>
      </c>
      <c r="Q13" s="471">
        <f t="shared" si="0"/>
        <v>3.6502368368959877</v>
      </c>
      <c r="R13" s="471">
        <f t="shared" si="0"/>
        <v>3.6907830161741439</v>
      </c>
      <c r="S13" s="471">
        <f t="shared" si="0"/>
        <v>3.7582953163499795</v>
      </c>
      <c r="T13" s="471">
        <f t="shared" si="0"/>
        <v>3.6562455669795875</v>
      </c>
      <c r="U13" s="471">
        <f t="shared" si="0"/>
        <v>3.5127378909298237</v>
      </c>
      <c r="V13" s="471">
        <f t="shared" si="0"/>
        <v>3.5479239796365314</v>
      </c>
      <c r="W13" s="471">
        <f t="shared" si="0"/>
        <v>3.7421193451196766</v>
      </c>
      <c r="X13" s="471">
        <f t="shared" si="0"/>
        <v>3.6657136318088055</v>
      </c>
      <c r="Y13" s="471">
        <f t="shared" si="0"/>
        <v>3.534546615759147</v>
      </c>
      <c r="Z13" s="471">
        <f t="shared" si="0"/>
        <v>3.3734992170408922</v>
      </c>
      <c r="AA13" s="471">
        <f t="shared" si="0"/>
        <v>3.5632992513389756</v>
      </c>
      <c r="AB13" s="471">
        <f t="shared" si="0"/>
        <v>3.3696185035941761</v>
      </c>
      <c r="AC13" s="471">
        <f t="shared" si="0"/>
        <v>3.6281521385779971</v>
      </c>
      <c r="AD13" s="471">
        <f t="shared" si="0"/>
        <v>3.6376247945866753</v>
      </c>
      <c r="AE13" s="472">
        <f t="shared" si="0"/>
        <v>3.1033189183802743</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f t="shared" si="1"/>
        <v>0.26744144587184854</v>
      </c>
      <c r="M14" s="474">
        <f t="shared" si="1"/>
        <v>0.27444301716578412</v>
      </c>
      <c r="N14" s="474">
        <f t="shared" si="1"/>
        <v>0.29263461023657789</v>
      </c>
      <c r="O14" s="474">
        <f t="shared" si="1"/>
        <v>0.34837950981818172</v>
      </c>
      <c r="P14" s="474">
        <f t="shared" si="1"/>
        <v>0.3167002697541117</v>
      </c>
      <c r="Q14" s="474">
        <f t="shared" si="1"/>
        <v>0.32333157809552243</v>
      </c>
      <c r="R14" s="474">
        <f t="shared" si="1"/>
        <v>0.3307653175015432</v>
      </c>
      <c r="S14" s="474">
        <f t="shared" si="1"/>
        <v>0.34278714361413182</v>
      </c>
      <c r="T14" s="474">
        <f t="shared" si="1"/>
        <v>0.32444362536609955</v>
      </c>
      <c r="U14" s="474">
        <f t="shared" si="1"/>
        <v>0.29684477558723027</v>
      </c>
      <c r="V14" s="474">
        <f t="shared" si="1"/>
        <v>0.30381822886378751</v>
      </c>
      <c r="W14" s="474">
        <f t="shared" si="1"/>
        <v>0.33994622506594396</v>
      </c>
      <c r="X14" s="474">
        <f t="shared" si="1"/>
        <v>0.32618850022356877</v>
      </c>
      <c r="Y14" s="474">
        <f t="shared" si="1"/>
        <v>0.30118335715612132</v>
      </c>
      <c r="Z14" s="474">
        <f t="shared" si="1"/>
        <v>0.2678225660990099</v>
      </c>
      <c r="AA14" s="474">
        <f t="shared" si="1"/>
        <v>0.30682218197872324</v>
      </c>
      <c r="AB14" s="474">
        <f t="shared" si="1"/>
        <v>0.26697933390222228</v>
      </c>
      <c r="AC14" s="474">
        <f t="shared" si="1"/>
        <v>0.31921267200000014</v>
      </c>
      <c r="AD14" s="474">
        <f t="shared" si="1"/>
        <v>0.32098549479986893</v>
      </c>
      <c r="AE14" s="475">
        <f t="shared" si="1"/>
        <v>0.20407793560283663</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v>1</v>
      </c>
      <c r="M18" s="491">
        <v>1</v>
      </c>
      <c r="N18" s="491">
        <v>1</v>
      </c>
      <c r="O18" s="491">
        <v>1</v>
      </c>
      <c r="P18" s="491">
        <v>1</v>
      </c>
      <c r="Q18" s="491">
        <v>1</v>
      </c>
      <c r="R18" s="491">
        <v>1</v>
      </c>
      <c r="S18" s="491">
        <v>1</v>
      </c>
      <c r="T18" s="491">
        <v>1</v>
      </c>
      <c r="U18" s="491">
        <v>1</v>
      </c>
      <c r="V18" s="491">
        <v>1</v>
      </c>
      <c r="W18" s="491">
        <v>1</v>
      </c>
      <c r="X18" s="491">
        <v>1</v>
      </c>
      <c r="Y18" s="491">
        <v>1</v>
      </c>
      <c r="Z18" s="491">
        <v>1</v>
      </c>
      <c r="AA18" s="491">
        <v>1</v>
      </c>
      <c r="AB18" s="491">
        <v>1</v>
      </c>
      <c r="AC18" s="491">
        <v>1</v>
      </c>
      <c r="AD18" s="491">
        <v>1</v>
      </c>
      <c r="AE18" s="491">
        <v>1</v>
      </c>
      <c r="AF18" s="259">
        <f t="shared" si="2"/>
        <v>4872</v>
      </c>
      <c r="AG18" s="260">
        <f t="shared" ref="AG18:AG26" si="3">AG17+AF18</f>
        <v>4872</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4872</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4872</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4872</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4872</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4872</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4872</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4872</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4872</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1</v>
      </c>
      <c r="M27" s="983">
        <f t="shared" si="4"/>
        <v>1</v>
      </c>
      <c r="N27" s="983">
        <f t="shared" si="4"/>
        <v>1</v>
      </c>
      <c r="O27" s="984">
        <f t="shared" si="4"/>
        <v>1</v>
      </c>
      <c r="P27" s="982">
        <f t="shared" si="4"/>
        <v>1</v>
      </c>
      <c r="Q27" s="983">
        <f t="shared" si="4"/>
        <v>1</v>
      </c>
      <c r="R27" s="983">
        <f t="shared" si="4"/>
        <v>1</v>
      </c>
      <c r="S27" s="984">
        <f t="shared" si="4"/>
        <v>1</v>
      </c>
      <c r="T27" s="982">
        <f t="shared" si="4"/>
        <v>1</v>
      </c>
      <c r="U27" s="983">
        <f t="shared" si="4"/>
        <v>1</v>
      </c>
      <c r="V27" s="983">
        <f t="shared" si="4"/>
        <v>1</v>
      </c>
      <c r="W27" s="984">
        <f t="shared" si="4"/>
        <v>1</v>
      </c>
      <c r="X27" s="982">
        <f t="shared" si="4"/>
        <v>1</v>
      </c>
      <c r="Y27" s="983">
        <f t="shared" si="4"/>
        <v>1</v>
      </c>
      <c r="Z27" s="983">
        <f t="shared" si="4"/>
        <v>1</v>
      </c>
      <c r="AA27" s="984">
        <f t="shared" si="4"/>
        <v>1</v>
      </c>
      <c r="AB27" s="982">
        <f t="shared" si="4"/>
        <v>1</v>
      </c>
      <c r="AC27" s="983">
        <f t="shared" si="4"/>
        <v>1</v>
      </c>
      <c r="AD27" s="983">
        <f t="shared" si="4"/>
        <v>1</v>
      </c>
      <c r="AE27" s="984">
        <f t="shared" si="4"/>
        <v>1</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211</v>
      </c>
      <c r="M28" s="276">
        <f t="shared" si="5"/>
        <v>201</v>
      </c>
      <c r="N28" s="276">
        <f t="shared" si="5"/>
        <v>193</v>
      </c>
      <c r="O28" s="277">
        <f t="shared" si="5"/>
        <v>187</v>
      </c>
      <c r="P28" s="275">
        <f t="shared" si="5"/>
        <v>178</v>
      </c>
      <c r="Q28" s="276">
        <f t="shared" si="5"/>
        <v>169</v>
      </c>
      <c r="R28" s="276">
        <f t="shared" si="5"/>
        <v>162</v>
      </c>
      <c r="S28" s="277">
        <f t="shared" si="5"/>
        <v>155</v>
      </c>
      <c r="T28" s="275">
        <f t="shared" si="5"/>
        <v>147</v>
      </c>
      <c r="U28" s="276">
        <f t="shared" si="5"/>
        <v>139</v>
      </c>
      <c r="V28" s="276">
        <f t="shared" si="5"/>
        <v>133</v>
      </c>
      <c r="W28" s="277">
        <f t="shared" si="5"/>
        <v>123</v>
      </c>
      <c r="X28" s="275">
        <f t="shared" si="5"/>
        <v>117</v>
      </c>
      <c r="Y28" s="276">
        <f t="shared" si="5"/>
        <v>110</v>
      </c>
      <c r="Z28" s="276">
        <f t="shared" si="5"/>
        <v>101</v>
      </c>
      <c r="AA28" s="277">
        <f t="shared" si="5"/>
        <v>94</v>
      </c>
      <c r="AB28" s="275">
        <f t="shared" si="5"/>
        <v>85</v>
      </c>
      <c r="AC28" s="276">
        <f t="shared" si="5"/>
        <v>78</v>
      </c>
      <c r="AD28" s="276">
        <f t="shared" si="5"/>
        <v>71</v>
      </c>
      <c r="AE28" s="277">
        <f t="shared" si="5"/>
        <v>57</v>
      </c>
      <c r="AF28" s="547"/>
      <c r="AG28" s="548">
        <f>AG26</f>
        <v>4872</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56.430145078960038</v>
      </c>
      <c r="M34" s="917">
        <f t="shared" si="6"/>
        <v>55.163046450322611</v>
      </c>
      <c r="N34" s="917">
        <f t="shared" si="6"/>
        <v>56.478479775659537</v>
      </c>
      <c r="O34" s="917">
        <f t="shared" si="6"/>
        <v>65.146968335999986</v>
      </c>
      <c r="P34" s="917">
        <f t="shared" si="6"/>
        <v>56.372648016231878</v>
      </c>
      <c r="Q34" s="917">
        <f t="shared" si="6"/>
        <v>54.643036698143291</v>
      </c>
      <c r="R34" s="917">
        <f t="shared" si="6"/>
        <v>53.583981435249996</v>
      </c>
      <c r="S34" s="917">
        <f t="shared" si="6"/>
        <v>53.132007260190434</v>
      </c>
      <c r="T34" s="917">
        <f t="shared" si="6"/>
        <v>47.693212928816635</v>
      </c>
      <c r="U34" s="917">
        <f t="shared" si="6"/>
        <v>41.261423806625004</v>
      </c>
      <c r="V34" s="917">
        <f t="shared" si="6"/>
        <v>40.407824438883736</v>
      </c>
      <c r="W34" s="917">
        <f t="shared" si="6"/>
        <v>41.813385683111107</v>
      </c>
      <c r="X34" s="917">
        <f t="shared" si="6"/>
        <v>38.164054526157543</v>
      </c>
      <c r="Y34" s="917">
        <f t="shared" si="6"/>
        <v>33.130169287173345</v>
      </c>
      <c r="Z34" s="917">
        <f t="shared" si="6"/>
        <v>27.050079175999997</v>
      </c>
      <c r="AA34" s="917">
        <f t="shared" si="6"/>
        <v>28.841285105999987</v>
      </c>
      <c r="AB34" s="917">
        <f t="shared" si="6"/>
        <v>22.693243381688895</v>
      </c>
      <c r="AC34" s="917">
        <f t="shared" si="6"/>
        <v>24.89858841600001</v>
      </c>
      <c r="AD34" s="917">
        <f t="shared" si="6"/>
        <v>22.789970130790692</v>
      </c>
      <c r="AE34" s="917">
        <f t="shared" si="6"/>
        <v>11.632442329361687</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62.578888631999988</v>
      </c>
      <c r="M35" s="919">
        <f t="shared" si="7"/>
        <v>59.043301032258057</v>
      </c>
      <c r="N35" s="919">
        <f t="shared" si="7"/>
        <v>55.271870536170226</v>
      </c>
      <c r="O35" s="919">
        <f t="shared" si="7"/>
        <v>49.333211200000001</v>
      </c>
      <c r="P35" s="919">
        <f t="shared" si="7"/>
        <v>49.241842908408145</v>
      </c>
      <c r="Q35" s="919">
        <f t="shared" si="7"/>
        <v>46.29836570925373</v>
      </c>
      <c r="R35" s="919">
        <f t="shared" si="7"/>
        <v>43.893124925000002</v>
      </c>
      <c r="S35" s="919">
        <f t="shared" si="7"/>
        <v>41.24210232380954</v>
      </c>
      <c r="T35" s="919">
        <f t="shared" si="7"/>
        <v>40.2051769518961</v>
      </c>
      <c r="U35" s="919">
        <f t="shared" si="7"/>
        <v>39.570273762500001</v>
      </c>
      <c r="V35" s="919">
        <f t="shared" si="7"/>
        <v>37.486710753488367</v>
      </c>
      <c r="W35" s="919">
        <f t="shared" si="7"/>
        <v>32.869074622222222</v>
      </c>
      <c r="X35" s="919">
        <f t="shared" si="7"/>
        <v>31.917386831515167</v>
      </c>
      <c r="Y35" s="919">
        <f t="shared" si="7"/>
        <v>31.1213889525614</v>
      </c>
      <c r="Z35" s="919">
        <f t="shared" si="7"/>
        <v>29.939239200000003</v>
      </c>
      <c r="AA35" s="919">
        <f t="shared" si="7"/>
        <v>26.380046515789477</v>
      </c>
      <c r="AB35" s="919">
        <f t="shared" si="7"/>
        <v>25.225407537777777</v>
      </c>
      <c r="AC35" s="919">
        <f t="shared" si="7"/>
        <v>21.498547199999997</v>
      </c>
      <c r="AD35" s="919">
        <f t="shared" si="7"/>
        <v>19.518230716279074</v>
      </c>
      <c r="AE35" s="919">
        <f t="shared" si="7"/>
        <v>18.367432255319155</v>
      </c>
      <c r="AF35" s="915"/>
      <c r="AG35" s="920">
        <f>SUM(D35:AE35)</f>
        <v>1428.7107202542752</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91.990966289039974</v>
      </c>
      <c r="M37" s="923">
        <f t="shared" si="8"/>
        <v>86.793652517419346</v>
      </c>
      <c r="N37" s="923">
        <f t="shared" si="8"/>
        <v>81.249649688170237</v>
      </c>
      <c r="O37" s="923">
        <f t="shared" si="8"/>
        <v>72.519820464000006</v>
      </c>
      <c r="P37" s="923">
        <f t="shared" si="8"/>
        <v>72.385509075359977</v>
      </c>
      <c r="Q37" s="923">
        <f t="shared" si="8"/>
        <v>68.058597592602979</v>
      </c>
      <c r="R37" s="923">
        <f t="shared" si="8"/>
        <v>64.522893639749995</v>
      </c>
      <c r="S37" s="923">
        <f t="shared" si="8"/>
        <v>60.625890416000026</v>
      </c>
      <c r="T37" s="923">
        <f t="shared" si="8"/>
        <v>59.101610119287265</v>
      </c>
      <c r="U37" s="923">
        <f t="shared" si="8"/>
        <v>58.168302430875002</v>
      </c>
      <c r="V37" s="923">
        <f t="shared" si="8"/>
        <v>55.105464807627897</v>
      </c>
      <c r="W37" s="923">
        <f t="shared" si="8"/>
        <v>48.317539694666664</v>
      </c>
      <c r="X37" s="923">
        <f t="shared" si="8"/>
        <v>46.918558642327291</v>
      </c>
      <c r="Y37" s="923">
        <f t="shared" si="8"/>
        <v>45.748441760265258</v>
      </c>
      <c r="Z37" s="923">
        <f t="shared" si="8"/>
        <v>44.010681624</v>
      </c>
      <c r="AA37" s="923">
        <f t="shared" si="8"/>
        <v>38.778668378210533</v>
      </c>
      <c r="AB37" s="923">
        <f t="shared" si="8"/>
        <v>37.081349080533329</v>
      </c>
      <c r="AC37" s="923">
        <f t="shared" si="8"/>
        <v>31.602864383999997</v>
      </c>
      <c r="AD37" s="923">
        <f t="shared" si="8"/>
        <v>28.691799152930237</v>
      </c>
      <c r="AE37" s="923">
        <f t="shared" si="8"/>
        <v>27.000125415319157</v>
      </c>
      <c r="AF37" s="915"/>
      <c r="AG37" s="920">
        <f>SUM(D37:AE37)</f>
        <v>2100.2047587737843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915"/>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915"/>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915"/>
    </row>
    <row r="43" spans="1:34" ht="12.75" hidden="1" customHeight="1" x14ac:dyDescent="0.2">
      <c r="A43" s="914"/>
      <c r="B43" s="940"/>
      <c r="C43" s="930" t="s">
        <v>753</v>
      </c>
      <c r="D43" s="931">
        <f t="shared" ref="D43:AE43" si="9">SUMIF($D$5:$AE$5,D42,$D$27:$AE$27)</f>
        <v>1</v>
      </c>
      <c r="E43" s="932">
        <f t="shared" si="9"/>
        <v>1</v>
      </c>
      <c r="F43" s="932">
        <f t="shared" si="9"/>
        <v>1</v>
      </c>
      <c r="G43" s="932">
        <f t="shared" si="9"/>
        <v>1</v>
      </c>
      <c r="H43" s="932">
        <f t="shared" si="9"/>
        <v>1</v>
      </c>
      <c r="I43" s="932">
        <f t="shared" si="9"/>
        <v>1</v>
      </c>
      <c r="J43" s="932">
        <f t="shared" si="9"/>
        <v>1</v>
      </c>
      <c r="K43" s="932">
        <f t="shared" si="9"/>
        <v>1</v>
      </c>
      <c r="L43" s="932">
        <f t="shared" si="9"/>
        <v>1</v>
      </c>
      <c r="M43" s="932">
        <f t="shared" si="9"/>
        <v>1</v>
      </c>
      <c r="N43" s="932">
        <f t="shared" si="9"/>
        <v>1</v>
      </c>
      <c r="O43" s="932">
        <f t="shared" si="9"/>
        <v>1</v>
      </c>
      <c r="P43" s="932">
        <f t="shared" si="9"/>
        <v>1</v>
      </c>
      <c r="Q43" s="932">
        <f t="shared" si="9"/>
        <v>1</v>
      </c>
      <c r="R43" s="932">
        <f t="shared" si="9"/>
        <v>1</v>
      </c>
      <c r="S43" s="932">
        <f t="shared" si="9"/>
        <v>1</v>
      </c>
      <c r="T43" s="932">
        <f t="shared" si="9"/>
        <v>1</v>
      </c>
      <c r="U43" s="932">
        <f t="shared" si="9"/>
        <v>1</v>
      </c>
      <c r="V43" s="932">
        <f t="shared" si="9"/>
        <v>1</v>
      </c>
      <c r="W43" s="932">
        <f t="shared" si="9"/>
        <v>1</v>
      </c>
      <c r="X43" s="932">
        <f t="shared" si="9"/>
        <v>1</v>
      </c>
      <c r="Y43" s="932">
        <f t="shared" si="9"/>
        <v>1</v>
      </c>
      <c r="Z43" s="932">
        <f t="shared" si="9"/>
        <v>1</v>
      </c>
      <c r="AA43" s="932">
        <f t="shared" si="9"/>
        <v>1</v>
      </c>
      <c r="AB43" s="932">
        <f t="shared" si="9"/>
        <v>1</v>
      </c>
      <c r="AC43" s="932">
        <f t="shared" si="9"/>
        <v>1</v>
      </c>
      <c r="AD43" s="932">
        <f t="shared" si="9"/>
        <v>1</v>
      </c>
      <c r="AE43" s="933">
        <f t="shared" si="9"/>
        <v>1</v>
      </c>
      <c r="AF43" s="915"/>
      <c r="AG43" s="915"/>
    </row>
    <row r="44" spans="1:34" ht="12.75" hidden="1" customHeight="1" thickBot="1" x14ac:dyDescent="0.25">
      <c r="A44" s="914"/>
      <c r="B44" s="940"/>
      <c r="C44" s="930" t="s">
        <v>754</v>
      </c>
      <c r="D44" s="934">
        <f t="shared" ref="D44:AE44" si="10">SUMIF($D$5:$AE$5,D42,$D$28:$AE$28)</f>
        <v>363</v>
      </c>
      <c r="E44" s="935">
        <f t="shared" si="10"/>
        <v>316</v>
      </c>
      <c r="F44" s="935">
        <f t="shared" si="10"/>
        <v>283</v>
      </c>
      <c r="G44" s="935">
        <f t="shared" si="10"/>
        <v>262</v>
      </c>
      <c r="H44" s="935">
        <f t="shared" si="10"/>
        <v>254</v>
      </c>
      <c r="I44" s="935">
        <f t="shared" si="10"/>
        <v>235</v>
      </c>
      <c r="J44" s="935">
        <f t="shared" si="10"/>
        <v>229</v>
      </c>
      <c r="K44" s="935">
        <f t="shared" si="10"/>
        <v>219</v>
      </c>
      <c r="L44" s="935">
        <f t="shared" si="10"/>
        <v>211</v>
      </c>
      <c r="M44" s="935">
        <f t="shared" si="10"/>
        <v>201</v>
      </c>
      <c r="N44" s="935">
        <f t="shared" si="10"/>
        <v>193</v>
      </c>
      <c r="O44" s="935">
        <f t="shared" si="10"/>
        <v>187</v>
      </c>
      <c r="P44" s="935">
        <f t="shared" si="10"/>
        <v>178</v>
      </c>
      <c r="Q44" s="935">
        <f t="shared" si="10"/>
        <v>169</v>
      </c>
      <c r="R44" s="935">
        <f t="shared" si="10"/>
        <v>162</v>
      </c>
      <c r="S44" s="935">
        <f t="shared" si="10"/>
        <v>155</v>
      </c>
      <c r="T44" s="935">
        <f t="shared" si="10"/>
        <v>147</v>
      </c>
      <c r="U44" s="935">
        <f t="shared" si="10"/>
        <v>139</v>
      </c>
      <c r="V44" s="935">
        <f t="shared" si="10"/>
        <v>133</v>
      </c>
      <c r="W44" s="935">
        <f t="shared" si="10"/>
        <v>123</v>
      </c>
      <c r="X44" s="935">
        <f t="shared" si="10"/>
        <v>117</v>
      </c>
      <c r="Y44" s="935">
        <f t="shared" si="10"/>
        <v>110</v>
      </c>
      <c r="Z44" s="935">
        <f t="shared" si="10"/>
        <v>101</v>
      </c>
      <c r="AA44" s="935">
        <f t="shared" si="10"/>
        <v>94</v>
      </c>
      <c r="AB44" s="935">
        <f t="shared" si="10"/>
        <v>85</v>
      </c>
      <c r="AC44" s="935">
        <f t="shared" si="10"/>
        <v>78</v>
      </c>
      <c r="AD44" s="935">
        <f t="shared" si="10"/>
        <v>71</v>
      </c>
      <c r="AE44" s="936">
        <f t="shared" si="10"/>
        <v>57</v>
      </c>
      <c r="AF44" s="915"/>
      <c r="AG44" s="915">
        <f>SUM(D44:AE44)</f>
        <v>4872</v>
      </c>
    </row>
    <row r="45" spans="1:34" ht="12.75" hidden="1" customHeight="1" x14ac:dyDescent="0.2">
      <c r="A45" s="914"/>
      <c r="B45" s="915"/>
      <c r="C45" s="916" t="s">
        <v>671</v>
      </c>
      <c r="D45" s="937">
        <f t="shared" ref="D45:AE45" si="11">SUMIF($D$5:$AE$5,D42,$D$35:$AE$35)</f>
        <v>111.85081999999998</v>
      </c>
      <c r="E45" s="937">
        <f t="shared" si="11"/>
        <v>101.02199194285713</v>
      </c>
      <c r="F45" s="937">
        <f t="shared" si="11"/>
        <v>87.382549621466637</v>
      </c>
      <c r="G45" s="937">
        <f t="shared" si="11"/>
        <v>85.045982146125013</v>
      </c>
      <c r="H45" s="937">
        <f t="shared" si="11"/>
        <v>75.508185999999995</v>
      </c>
      <c r="I45" s="937">
        <f t="shared" si="11"/>
        <v>72.356703466666659</v>
      </c>
      <c r="J45" s="937">
        <f t="shared" si="11"/>
        <v>71.286207412244877</v>
      </c>
      <c r="K45" s="937">
        <f t="shared" si="11"/>
        <v>63.256657098666665</v>
      </c>
      <c r="L45" s="937">
        <f t="shared" si="11"/>
        <v>62.578888631999988</v>
      </c>
      <c r="M45" s="937">
        <f t="shared" si="11"/>
        <v>59.043301032258057</v>
      </c>
      <c r="N45" s="937">
        <f t="shared" si="11"/>
        <v>55.271870536170226</v>
      </c>
      <c r="O45" s="937">
        <f t="shared" si="11"/>
        <v>49.333211200000001</v>
      </c>
      <c r="P45" s="937">
        <f t="shared" si="11"/>
        <v>49.241842908408145</v>
      </c>
      <c r="Q45" s="937">
        <f t="shared" si="11"/>
        <v>46.29836570925373</v>
      </c>
      <c r="R45" s="937">
        <f t="shared" si="11"/>
        <v>43.893124925000002</v>
      </c>
      <c r="S45" s="937">
        <f t="shared" si="11"/>
        <v>41.24210232380954</v>
      </c>
      <c r="T45" s="937">
        <f t="shared" si="11"/>
        <v>40.2051769518961</v>
      </c>
      <c r="U45" s="937">
        <f t="shared" si="11"/>
        <v>39.570273762500001</v>
      </c>
      <c r="V45" s="937">
        <f t="shared" si="11"/>
        <v>37.486710753488367</v>
      </c>
      <c r="W45" s="937">
        <f t="shared" si="11"/>
        <v>32.869074622222222</v>
      </c>
      <c r="X45" s="937">
        <f t="shared" si="11"/>
        <v>31.917386831515167</v>
      </c>
      <c r="Y45" s="937">
        <f t="shared" si="11"/>
        <v>31.1213889525614</v>
      </c>
      <c r="Z45" s="937">
        <f t="shared" si="11"/>
        <v>29.939239200000003</v>
      </c>
      <c r="AA45" s="937">
        <f t="shared" si="11"/>
        <v>26.380046515789477</v>
      </c>
      <c r="AB45" s="937">
        <f t="shared" si="11"/>
        <v>25.225407537777777</v>
      </c>
      <c r="AC45" s="937">
        <f t="shared" si="11"/>
        <v>21.498547199999997</v>
      </c>
      <c r="AD45" s="937">
        <f t="shared" si="11"/>
        <v>19.518230716279074</v>
      </c>
      <c r="AE45" s="937">
        <f t="shared" si="11"/>
        <v>18.367432255319155</v>
      </c>
      <c r="AF45" s="915"/>
      <c r="AG45" s="915"/>
    </row>
    <row r="46" spans="1:34" ht="12.75" hidden="1" customHeight="1" x14ac:dyDescent="0.2">
      <c r="A46" s="914"/>
      <c r="B46" s="915"/>
      <c r="C46" s="916" t="s">
        <v>672</v>
      </c>
      <c r="D46" s="937">
        <f t="shared" ref="D46:AE46" si="12">SUMIF($D$5:$AE$5,D42,$D$37:$AE$37)</f>
        <v>164.42070539999997</v>
      </c>
      <c r="E46" s="937">
        <f t="shared" si="12"/>
        <v>148.50232815599998</v>
      </c>
      <c r="F46" s="937">
        <f t="shared" si="12"/>
        <v>128.45234794355596</v>
      </c>
      <c r="G46" s="937">
        <f t="shared" si="12"/>
        <v>125.01759375480377</v>
      </c>
      <c r="H46" s="937">
        <f t="shared" si="12"/>
        <v>110.99703341999999</v>
      </c>
      <c r="I46" s="937">
        <f t="shared" si="12"/>
        <v>106.36435409599999</v>
      </c>
      <c r="J46" s="937">
        <f t="shared" si="12"/>
        <v>104.79072489599997</v>
      </c>
      <c r="K46" s="937">
        <f t="shared" si="12"/>
        <v>92.987285935039992</v>
      </c>
      <c r="L46" s="937">
        <f t="shared" si="12"/>
        <v>91.990966289039974</v>
      </c>
      <c r="M46" s="937">
        <f t="shared" si="12"/>
        <v>86.793652517419346</v>
      </c>
      <c r="N46" s="937">
        <f t="shared" si="12"/>
        <v>81.249649688170237</v>
      </c>
      <c r="O46" s="937">
        <f t="shared" si="12"/>
        <v>72.519820464000006</v>
      </c>
      <c r="P46" s="937">
        <f t="shared" si="12"/>
        <v>72.385509075359977</v>
      </c>
      <c r="Q46" s="937">
        <f t="shared" si="12"/>
        <v>68.058597592602979</v>
      </c>
      <c r="R46" s="937">
        <f t="shared" si="12"/>
        <v>64.522893639749995</v>
      </c>
      <c r="S46" s="937">
        <f t="shared" si="12"/>
        <v>60.625890416000026</v>
      </c>
      <c r="T46" s="937">
        <f t="shared" si="12"/>
        <v>59.101610119287265</v>
      </c>
      <c r="U46" s="937">
        <f t="shared" si="12"/>
        <v>58.168302430875002</v>
      </c>
      <c r="V46" s="937">
        <f t="shared" si="12"/>
        <v>55.105464807627897</v>
      </c>
      <c r="W46" s="937">
        <f t="shared" si="12"/>
        <v>48.317539694666664</v>
      </c>
      <c r="X46" s="937">
        <f t="shared" si="12"/>
        <v>46.918558642327291</v>
      </c>
      <c r="Y46" s="937">
        <f t="shared" si="12"/>
        <v>45.748441760265258</v>
      </c>
      <c r="Z46" s="937">
        <f t="shared" si="12"/>
        <v>44.010681624</v>
      </c>
      <c r="AA46" s="937">
        <f t="shared" si="12"/>
        <v>38.778668378210533</v>
      </c>
      <c r="AB46" s="937">
        <f t="shared" si="12"/>
        <v>37.081349080533329</v>
      </c>
      <c r="AC46" s="937">
        <f t="shared" si="12"/>
        <v>31.602864383999997</v>
      </c>
      <c r="AD46" s="937">
        <f t="shared" si="12"/>
        <v>28.691799152930237</v>
      </c>
      <c r="AE46" s="937">
        <f t="shared" si="12"/>
        <v>27.000125415319157</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 t="shared" ref="D48:AE48" si="13">SUMIFS($D$27:$AE$27,$D$5:$AE$5,D$42,$D$9:$AE$9,$C$48)</f>
        <v>0</v>
      </c>
      <c r="E48" s="924">
        <f t="shared" si="13"/>
        <v>0</v>
      </c>
      <c r="F48" s="924">
        <f t="shared" si="13"/>
        <v>0</v>
      </c>
      <c r="G48" s="924">
        <f t="shared" si="13"/>
        <v>0</v>
      </c>
      <c r="H48" s="924">
        <f t="shared" si="13"/>
        <v>0</v>
      </c>
      <c r="I48" s="924">
        <f t="shared" si="13"/>
        <v>0</v>
      </c>
      <c r="J48" s="924">
        <f t="shared" si="13"/>
        <v>0</v>
      </c>
      <c r="K48" s="924">
        <f t="shared" si="13"/>
        <v>0</v>
      </c>
      <c r="L48" s="924">
        <f t="shared" si="13"/>
        <v>0</v>
      </c>
      <c r="M48" s="924">
        <f t="shared" si="13"/>
        <v>0</v>
      </c>
      <c r="N48" s="924">
        <f t="shared" si="13"/>
        <v>0</v>
      </c>
      <c r="O48" s="924">
        <f t="shared" si="13"/>
        <v>0</v>
      </c>
      <c r="P48" s="924">
        <f t="shared" si="13"/>
        <v>0</v>
      </c>
      <c r="Q48" s="924">
        <f t="shared" si="13"/>
        <v>0</v>
      </c>
      <c r="R48" s="924">
        <f t="shared" si="13"/>
        <v>0</v>
      </c>
      <c r="S48" s="924">
        <f t="shared" si="13"/>
        <v>0</v>
      </c>
      <c r="T48" s="924">
        <f t="shared" si="13"/>
        <v>0</v>
      </c>
      <c r="U48" s="924">
        <f t="shared" si="13"/>
        <v>0</v>
      </c>
      <c r="V48" s="924">
        <f t="shared" si="13"/>
        <v>0</v>
      </c>
      <c r="W48" s="924">
        <f t="shared" si="13"/>
        <v>0</v>
      </c>
      <c r="X48" s="924">
        <f t="shared" si="13"/>
        <v>0</v>
      </c>
      <c r="Y48" s="924">
        <f t="shared" si="13"/>
        <v>0</v>
      </c>
      <c r="Z48" s="924">
        <f t="shared" si="13"/>
        <v>0</v>
      </c>
      <c r="AA48" s="924">
        <f t="shared" si="13"/>
        <v>0</v>
      </c>
      <c r="AB48" s="924">
        <f t="shared" si="13"/>
        <v>0</v>
      </c>
      <c r="AC48" s="924">
        <f t="shared" si="13"/>
        <v>0</v>
      </c>
      <c r="AD48" s="924">
        <f t="shared" si="13"/>
        <v>0</v>
      </c>
      <c r="AE48" s="924">
        <f t="shared" si="13"/>
        <v>0</v>
      </c>
      <c r="AF48" s="915"/>
      <c r="AG48" s="915"/>
    </row>
    <row r="49" spans="1:33" hidden="1" x14ac:dyDescent="0.2">
      <c r="A49" s="914"/>
      <c r="B49" s="940"/>
      <c r="C49" s="930" t="s">
        <v>381</v>
      </c>
      <c r="D49" s="924">
        <f t="shared" ref="D49:AE49" si="14">SUMIFS($D$27:$AE$27,$D$5:$AE$5,D$42,$D$8:$AE$8,$C$49)</f>
        <v>0</v>
      </c>
      <c r="E49" s="924">
        <f t="shared" si="14"/>
        <v>0</v>
      </c>
      <c r="F49" s="924">
        <f t="shared" si="14"/>
        <v>0</v>
      </c>
      <c r="G49" s="924">
        <f t="shared" si="14"/>
        <v>0</v>
      </c>
      <c r="H49" s="924">
        <f t="shared" si="14"/>
        <v>0</v>
      </c>
      <c r="I49" s="924">
        <f t="shared" si="14"/>
        <v>0</v>
      </c>
      <c r="J49" s="924">
        <f t="shared" si="14"/>
        <v>0</v>
      </c>
      <c r="K49" s="924">
        <f t="shared" si="14"/>
        <v>0</v>
      </c>
      <c r="L49" s="924">
        <f t="shared" si="14"/>
        <v>0</v>
      </c>
      <c r="M49" s="924">
        <f t="shared" si="14"/>
        <v>0</v>
      </c>
      <c r="N49" s="924">
        <f t="shared" si="14"/>
        <v>0</v>
      </c>
      <c r="O49" s="924">
        <f t="shared" si="14"/>
        <v>0</v>
      </c>
      <c r="P49" s="924">
        <f t="shared" si="14"/>
        <v>0</v>
      </c>
      <c r="Q49" s="924">
        <f t="shared" si="14"/>
        <v>0</v>
      </c>
      <c r="R49" s="924">
        <f t="shared" si="14"/>
        <v>0</v>
      </c>
      <c r="S49" s="924">
        <f t="shared" si="14"/>
        <v>0</v>
      </c>
      <c r="T49" s="924">
        <f t="shared" si="14"/>
        <v>0</v>
      </c>
      <c r="U49" s="924">
        <f t="shared" si="14"/>
        <v>0</v>
      </c>
      <c r="V49" s="924">
        <f t="shared" si="14"/>
        <v>0</v>
      </c>
      <c r="W49" s="924">
        <f t="shared" si="14"/>
        <v>0</v>
      </c>
      <c r="X49" s="924">
        <f t="shared" si="14"/>
        <v>0</v>
      </c>
      <c r="Y49" s="924">
        <f t="shared" si="14"/>
        <v>0</v>
      </c>
      <c r="Z49" s="924">
        <f t="shared" si="14"/>
        <v>0</v>
      </c>
      <c r="AA49" s="924">
        <f t="shared" si="14"/>
        <v>0</v>
      </c>
      <c r="AB49" s="924">
        <f t="shared" si="14"/>
        <v>0</v>
      </c>
      <c r="AC49" s="924">
        <f t="shared" si="14"/>
        <v>0</v>
      </c>
      <c r="AD49" s="924">
        <f t="shared" si="14"/>
        <v>0</v>
      </c>
      <c r="AE49" s="924">
        <f t="shared" si="14"/>
        <v>0</v>
      </c>
      <c r="AF49" s="915"/>
      <c r="AG49" s="915"/>
    </row>
    <row r="50" spans="1:33" hidden="1" x14ac:dyDescent="0.2">
      <c r="A50" s="914"/>
      <c r="B50" s="940"/>
      <c r="C50" s="930" t="s">
        <v>522</v>
      </c>
      <c r="D50" s="924">
        <f t="shared" ref="D50:AE50" si="15">SUMIFS($D$27:$AE$27,$D$5:$AE$5,D$42,$D$8:$AE$8,$C$50)</f>
        <v>0</v>
      </c>
      <c r="E50" s="924">
        <f t="shared" si="15"/>
        <v>0</v>
      </c>
      <c r="F50" s="924">
        <f t="shared" si="15"/>
        <v>0</v>
      </c>
      <c r="G50" s="924">
        <f t="shared" si="15"/>
        <v>0</v>
      </c>
      <c r="H50" s="924">
        <f t="shared" si="15"/>
        <v>0</v>
      </c>
      <c r="I50" s="924">
        <f t="shared" si="15"/>
        <v>0</v>
      </c>
      <c r="J50" s="924">
        <f t="shared" si="15"/>
        <v>0</v>
      </c>
      <c r="K50" s="924">
        <f t="shared" si="15"/>
        <v>0</v>
      </c>
      <c r="L50" s="924">
        <f t="shared" si="15"/>
        <v>0</v>
      </c>
      <c r="M50" s="924">
        <f t="shared" si="15"/>
        <v>0</v>
      </c>
      <c r="N50" s="924">
        <f t="shared" si="15"/>
        <v>0</v>
      </c>
      <c r="O50" s="924">
        <f t="shared" si="15"/>
        <v>0</v>
      </c>
      <c r="P50" s="924">
        <f t="shared" si="15"/>
        <v>0</v>
      </c>
      <c r="Q50" s="924">
        <f t="shared" si="15"/>
        <v>0</v>
      </c>
      <c r="R50" s="924">
        <f t="shared" si="15"/>
        <v>0</v>
      </c>
      <c r="S50" s="924">
        <f t="shared" si="15"/>
        <v>0</v>
      </c>
      <c r="T50" s="924">
        <f t="shared" si="15"/>
        <v>0</v>
      </c>
      <c r="U50" s="924">
        <f t="shared" si="15"/>
        <v>0</v>
      </c>
      <c r="V50" s="924">
        <f t="shared" si="15"/>
        <v>0</v>
      </c>
      <c r="W50" s="924">
        <f t="shared" si="15"/>
        <v>0</v>
      </c>
      <c r="X50" s="924">
        <f t="shared" si="15"/>
        <v>0</v>
      </c>
      <c r="Y50" s="924">
        <f t="shared" si="15"/>
        <v>0</v>
      </c>
      <c r="Z50" s="924">
        <f t="shared" si="15"/>
        <v>0</v>
      </c>
      <c r="AA50" s="924">
        <f t="shared" si="15"/>
        <v>0</v>
      </c>
      <c r="AB50" s="924">
        <f t="shared" si="15"/>
        <v>0</v>
      </c>
      <c r="AC50" s="924">
        <f t="shared" si="15"/>
        <v>0</v>
      </c>
      <c r="AD50" s="924">
        <f t="shared" si="15"/>
        <v>0</v>
      </c>
      <c r="AE50" s="924">
        <f t="shared" si="15"/>
        <v>0</v>
      </c>
      <c r="AF50" s="915"/>
      <c r="AG50" s="915"/>
    </row>
    <row r="51" spans="1:33" hidden="1" x14ac:dyDescent="0.2">
      <c r="A51" s="914"/>
      <c r="B51" s="940"/>
      <c r="C51" s="930" t="s">
        <v>382</v>
      </c>
      <c r="D51" s="924">
        <f t="shared" ref="D51:AE51" si="16">SUMIFS($D$27:$AE$27,$D$5:$AE$5,D$42,$D$8:$AE$8,$C$51)</f>
        <v>0</v>
      </c>
      <c r="E51" s="924">
        <f t="shared" si="16"/>
        <v>0</v>
      </c>
      <c r="F51" s="924">
        <f t="shared" si="16"/>
        <v>0</v>
      </c>
      <c r="G51" s="924">
        <f t="shared" si="16"/>
        <v>0</v>
      </c>
      <c r="H51" s="924">
        <f t="shared" si="16"/>
        <v>0</v>
      </c>
      <c r="I51" s="924">
        <f t="shared" si="16"/>
        <v>0</v>
      </c>
      <c r="J51" s="924">
        <f t="shared" si="16"/>
        <v>0</v>
      </c>
      <c r="K51" s="924">
        <f t="shared" si="16"/>
        <v>0</v>
      </c>
      <c r="L51" s="924">
        <f t="shared" si="16"/>
        <v>0</v>
      </c>
      <c r="M51" s="924">
        <f t="shared" si="16"/>
        <v>0</v>
      </c>
      <c r="N51" s="924">
        <f t="shared" si="16"/>
        <v>0</v>
      </c>
      <c r="O51" s="924">
        <f t="shared" si="16"/>
        <v>0</v>
      </c>
      <c r="P51" s="924">
        <f t="shared" si="16"/>
        <v>0</v>
      </c>
      <c r="Q51" s="924">
        <f t="shared" si="16"/>
        <v>0</v>
      </c>
      <c r="R51" s="924">
        <f t="shared" si="16"/>
        <v>0</v>
      </c>
      <c r="S51" s="924">
        <f t="shared" si="16"/>
        <v>0</v>
      </c>
      <c r="T51" s="924">
        <f t="shared" si="16"/>
        <v>0</v>
      </c>
      <c r="U51" s="924">
        <f t="shared" si="16"/>
        <v>0</v>
      </c>
      <c r="V51" s="924">
        <f t="shared" si="16"/>
        <v>0</v>
      </c>
      <c r="W51" s="924">
        <f t="shared" si="16"/>
        <v>0</v>
      </c>
      <c r="X51" s="924">
        <f t="shared" si="16"/>
        <v>0</v>
      </c>
      <c r="Y51" s="924">
        <f t="shared" si="16"/>
        <v>0</v>
      </c>
      <c r="Z51" s="924">
        <f t="shared" si="16"/>
        <v>0</v>
      </c>
      <c r="AA51" s="924">
        <f t="shared" si="16"/>
        <v>0</v>
      </c>
      <c r="AB51" s="924">
        <f t="shared" si="16"/>
        <v>0</v>
      </c>
      <c r="AC51" s="924">
        <f t="shared" si="16"/>
        <v>0</v>
      </c>
      <c r="AD51" s="924">
        <f t="shared" si="16"/>
        <v>0</v>
      </c>
      <c r="AE51" s="924">
        <f t="shared" si="16"/>
        <v>0</v>
      </c>
      <c r="AF51" s="915"/>
      <c r="AG51" s="915"/>
    </row>
    <row r="52" spans="1:33" hidden="1" x14ac:dyDescent="0.2">
      <c r="A52" s="914"/>
      <c r="B52" s="940"/>
      <c r="C52" s="930" t="s">
        <v>383</v>
      </c>
      <c r="D52" s="924">
        <f t="shared" ref="D52:AE52" si="17">SUMIFS($D$27:$AE$27,$D$5:$AE$5,D$42,$D$8:$AE$8,$C$52)</f>
        <v>0</v>
      </c>
      <c r="E52" s="924">
        <f t="shared" si="17"/>
        <v>0</v>
      </c>
      <c r="F52" s="924">
        <f t="shared" si="17"/>
        <v>0</v>
      </c>
      <c r="G52" s="924">
        <f t="shared" si="17"/>
        <v>0</v>
      </c>
      <c r="H52" s="924">
        <f t="shared" si="17"/>
        <v>0</v>
      </c>
      <c r="I52" s="924">
        <f t="shared" si="17"/>
        <v>0</v>
      </c>
      <c r="J52" s="924">
        <f t="shared" si="17"/>
        <v>0</v>
      </c>
      <c r="K52" s="924">
        <f t="shared" si="17"/>
        <v>0</v>
      </c>
      <c r="L52" s="924">
        <f t="shared" si="17"/>
        <v>0</v>
      </c>
      <c r="M52" s="924">
        <f t="shared" si="17"/>
        <v>0</v>
      </c>
      <c r="N52" s="924">
        <f t="shared" si="17"/>
        <v>0</v>
      </c>
      <c r="O52" s="924">
        <f t="shared" si="17"/>
        <v>0</v>
      </c>
      <c r="P52" s="924">
        <f t="shared" si="17"/>
        <v>0</v>
      </c>
      <c r="Q52" s="924">
        <f t="shared" si="17"/>
        <v>0</v>
      </c>
      <c r="R52" s="924">
        <f t="shared" si="17"/>
        <v>0</v>
      </c>
      <c r="S52" s="924">
        <f t="shared" si="17"/>
        <v>0</v>
      </c>
      <c r="T52" s="924">
        <f t="shared" si="17"/>
        <v>0</v>
      </c>
      <c r="U52" s="924">
        <f t="shared" si="17"/>
        <v>0</v>
      </c>
      <c r="V52" s="924">
        <f t="shared" si="17"/>
        <v>0</v>
      </c>
      <c r="W52" s="924">
        <f t="shared" si="17"/>
        <v>0</v>
      </c>
      <c r="X52" s="924">
        <f t="shared" si="17"/>
        <v>0</v>
      </c>
      <c r="Y52" s="924">
        <f t="shared" si="17"/>
        <v>0</v>
      </c>
      <c r="Z52" s="924">
        <f t="shared" si="17"/>
        <v>0</v>
      </c>
      <c r="AA52" s="924">
        <f t="shared" si="17"/>
        <v>0</v>
      </c>
      <c r="AB52" s="924">
        <f t="shared" si="17"/>
        <v>0</v>
      </c>
      <c r="AC52" s="924">
        <f t="shared" si="17"/>
        <v>0</v>
      </c>
      <c r="AD52" s="924">
        <f t="shared" si="17"/>
        <v>0</v>
      </c>
      <c r="AE52" s="924">
        <f t="shared" si="17"/>
        <v>0</v>
      </c>
      <c r="AF52" s="915"/>
      <c r="AG52" s="915"/>
    </row>
    <row r="53" spans="1:33" hidden="1" x14ac:dyDescent="0.2">
      <c r="A53" s="914"/>
      <c r="B53" s="940"/>
      <c r="C53" s="930" t="s">
        <v>528</v>
      </c>
      <c r="D53" s="924">
        <f t="shared" ref="D53:AE53" si="18">SUMIFS($D$27:$AE$27,$D$5:$AE$5,D$42,$D$8:$AE$8,$C$53)</f>
        <v>1</v>
      </c>
      <c r="E53" s="924">
        <f t="shared" si="18"/>
        <v>1</v>
      </c>
      <c r="F53" s="924">
        <f t="shared" si="18"/>
        <v>1</v>
      </c>
      <c r="G53" s="924">
        <f t="shared" si="18"/>
        <v>1</v>
      </c>
      <c r="H53" s="924">
        <f t="shared" si="18"/>
        <v>1</v>
      </c>
      <c r="I53" s="924">
        <f t="shared" si="18"/>
        <v>1</v>
      </c>
      <c r="J53" s="924">
        <f t="shared" si="18"/>
        <v>1</v>
      </c>
      <c r="K53" s="924">
        <f t="shared" si="18"/>
        <v>1</v>
      </c>
      <c r="L53" s="924">
        <f t="shared" si="18"/>
        <v>1</v>
      </c>
      <c r="M53" s="924">
        <f t="shared" si="18"/>
        <v>1</v>
      </c>
      <c r="N53" s="924">
        <f t="shared" si="18"/>
        <v>1</v>
      </c>
      <c r="O53" s="924">
        <f t="shared" si="18"/>
        <v>1</v>
      </c>
      <c r="P53" s="924">
        <f t="shared" si="18"/>
        <v>1</v>
      </c>
      <c r="Q53" s="924">
        <f t="shared" si="18"/>
        <v>1</v>
      </c>
      <c r="R53" s="924">
        <f t="shared" si="18"/>
        <v>1</v>
      </c>
      <c r="S53" s="924">
        <f t="shared" si="18"/>
        <v>1</v>
      </c>
      <c r="T53" s="924">
        <f t="shared" si="18"/>
        <v>1</v>
      </c>
      <c r="U53" s="924">
        <f t="shared" si="18"/>
        <v>1</v>
      </c>
      <c r="V53" s="924">
        <f t="shared" si="18"/>
        <v>1</v>
      </c>
      <c r="W53" s="924">
        <f t="shared" si="18"/>
        <v>1</v>
      </c>
      <c r="X53" s="924">
        <f t="shared" si="18"/>
        <v>1</v>
      </c>
      <c r="Y53" s="924">
        <f t="shared" si="18"/>
        <v>1</v>
      </c>
      <c r="Z53" s="924">
        <f t="shared" si="18"/>
        <v>1</v>
      </c>
      <c r="AA53" s="924">
        <f t="shared" si="18"/>
        <v>1</v>
      </c>
      <c r="AB53" s="924">
        <f t="shared" si="18"/>
        <v>1</v>
      </c>
      <c r="AC53" s="924">
        <f t="shared" si="18"/>
        <v>1</v>
      </c>
      <c r="AD53" s="924">
        <f t="shared" si="18"/>
        <v>1</v>
      </c>
      <c r="AE53" s="924">
        <f t="shared" si="18"/>
        <v>1</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aAYvF5yoXMP1KxkBOR1DuS0kGshmzLXFPeej/+DACZaisrWFmpuhbTT9N4qr1kB6XEn5PKYXpf14Jh/InUg7Kw==" saltValue="YDmiGBxz0gNv4Yz2yY0A8A=="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1:C21"/>
    <mergeCell ref="A1:B1"/>
    <mergeCell ref="A2:B2"/>
    <mergeCell ref="A3:B3"/>
    <mergeCell ref="A4:B4"/>
    <mergeCell ref="A5:B5"/>
    <mergeCell ref="A6:A7"/>
    <mergeCell ref="B6:C7"/>
    <mergeCell ref="B16:C16"/>
    <mergeCell ref="B17:C17"/>
    <mergeCell ref="B18:C18"/>
    <mergeCell ref="B19:C19"/>
    <mergeCell ref="B20:C20"/>
    <mergeCell ref="B28:C28"/>
    <mergeCell ref="B22:C22"/>
    <mergeCell ref="B23:C23"/>
    <mergeCell ref="B24:C24"/>
    <mergeCell ref="B25:C25"/>
    <mergeCell ref="B26:C26"/>
    <mergeCell ref="B27:C27"/>
  </mergeCells>
  <conditionalFormatting sqref="D27:D28 D18:AE18">
    <cfRule type="expression" dxfId="47" priority="22">
      <formula>D$7=0</formula>
    </cfRule>
  </conditionalFormatting>
  <conditionalFormatting sqref="D16">
    <cfRule type="expression" dxfId="46" priority="21">
      <formula>D$7=0</formula>
    </cfRule>
  </conditionalFormatting>
  <conditionalFormatting sqref="E27:AE28">
    <cfRule type="expression" dxfId="45" priority="20">
      <formula>E$7=0</formula>
    </cfRule>
  </conditionalFormatting>
  <conditionalFormatting sqref="E16:AE16">
    <cfRule type="expression" dxfId="44" priority="19">
      <formula>E$7=0</formula>
    </cfRule>
  </conditionalFormatting>
  <conditionalFormatting sqref="D11">
    <cfRule type="expression" dxfId="43" priority="18">
      <formula>D$7=0</formula>
    </cfRule>
  </conditionalFormatting>
  <conditionalFormatting sqref="E11:AE11">
    <cfRule type="expression" dxfId="42" priority="17">
      <formula>E$7=0</formula>
    </cfRule>
  </conditionalFormatting>
  <conditionalFormatting sqref="D14:AE14">
    <cfRule type="cellIs" dxfId="41" priority="13" operator="between">
      <formula>0.25</formula>
      <formula>1</formula>
    </cfRule>
    <cfRule type="cellIs" dxfId="40" priority="14" operator="between">
      <formula>0.15</formula>
      <formula>0.25</formula>
    </cfRule>
    <cfRule type="cellIs" dxfId="39" priority="15" operator="between">
      <formula>0</formula>
      <formula>0.15</formula>
    </cfRule>
    <cfRule type="cellIs" dxfId="38" priority="16" operator="between">
      <formula>-0.5</formula>
      <formula>0</formula>
    </cfRule>
  </conditionalFormatting>
  <conditionalFormatting sqref="D17:AE17 D19 D21 D23 D25">
    <cfRule type="expression" dxfId="37" priority="12">
      <formula>D$7=0</formula>
    </cfRule>
  </conditionalFormatting>
  <conditionalFormatting sqref="E19:AE19">
    <cfRule type="expression" dxfId="36" priority="11">
      <formula>E$7=0</formula>
    </cfRule>
  </conditionalFormatting>
  <conditionalFormatting sqref="E20:AE20">
    <cfRule type="expression" dxfId="35" priority="10">
      <formula>E$7=0</formula>
    </cfRule>
  </conditionalFormatting>
  <conditionalFormatting sqref="E21:AE21">
    <cfRule type="expression" dxfId="34" priority="9">
      <formula>E$7=0</formula>
    </cfRule>
  </conditionalFormatting>
  <conditionalFormatting sqref="E22:AE22">
    <cfRule type="expression" dxfId="33" priority="8">
      <formula>E$7=0</formula>
    </cfRule>
  </conditionalFormatting>
  <conditionalFormatting sqref="E23:AE23">
    <cfRule type="expression" dxfId="32" priority="7">
      <formula>E$7=0</formula>
    </cfRule>
  </conditionalFormatting>
  <conditionalFormatting sqref="E24:AE24">
    <cfRule type="expression" dxfId="31" priority="6">
      <formula>E$7=0</formula>
    </cfRule>
  </conditionalFormatting>
  <conditionalFormatting sqref="E25:AE25">
    <cfRule type="expression" dxfId="30" priority="5">
      <formula>E$7=0</formula>
    </cfRule>
  </conditionalFormatting>
  <conditionalFormatting sqref="D26:AE26">
    <cfRule type="expression" dxfId="29" priority="4">
      <formula>D$7=0</formula>
    </cfRule>
  </conditionalFormatting>
  <conditionalFormatting sqref="D20">
    <cfRule type="expression" dxfId="28" priority="3">
      <formula>D$7=0</formula>
    </cfRule>
  </conditionalFormatting>
  <conditionalFormatting sqref="D22">
    <cfRule type="expression" dxfId="27" priority="2">
      <formula>D$7=0</formula>
    </cfRule>
  </conditionalFormatting>
  <conditionalFormatting sqref="D24">
    <cfRule type="expression" dxfId="26" priority="1">
      <formula>D$7=0</formula>
    </cfRule>
  </conditionalFormatting>
  <dataValidations count="2">
    <dataValidation type="list" allowBlank="1" showInputMessage="1" showErrorMessage="1" sqref="D15:AE15" xr:uid="{3E0FEE85-4476-4C53-8381-DAE4D9B8D7FA}">
      <formula1>$P$4:$S$4</formula1>
    </dataValidation>
    <dataValidation type="decimal" allowBlank="1" showErrorMessage="1" errorTitle="Invalid Entry" error="Values in these cells must be a number greater than 12.  Text entries are not allowed.  " sqref="D11:AE11" xr:uid="{A76E3915-945D-44C1-82B7-381B9E47BE55}">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32961"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32962"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F229721-F2F3-4C62-9644-5C0AEB3C4182}">
          <x14:formula1>
            <xm:f>'Labor &amp; Practice Lookups'!$R$4:$V$4</xm:f>
          </x14:formula1>
          <xm:sqref>D9:AE10</xm:sqref>
        </x14:dataValidation>
        <x14:dataValidation type="list" allowBlank="1" showInputMessage="1" showErrorMessage="1" xr:uid="{B6736792-5032-4FC8-A1F3-8B7DF156CAC5}">
          <x14:formula1>
            <xm:f>'Labor &amp; Practice Lookups'!$Q$5:$Q$11</xm:f>
          </x14:formula1>
          <xm:sqref>D8:AE8</xm:sqref>
        </x14:dataValidation>
        <x14:dataValidation type="list" allowBlank="1" showInputMessage="1" showErrorMessage="1" xr:uid="{314742D8-A68D-4E84-B809-C014D97E6E8A}">
          <x14:formula1>
            <xm:f>INPUT!$F$5:$F$32</xm:f>
          </x14:formula1>
          <xm:sqref>D5:AE5</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A8A4E-3BB4-45AB-A0AB-D731CA71C970}">
  <sheetPr syncVertical="1" syncRef="A1" transitionEvaluation="1" transitionEntry="1" codeName="Sheet48">
    <pageSetUpPr fitToPage="1"/>
  </sheetPr>
  <dimension ref="A1:XFD165"/>
  <sheetViews>
    <sheetView view="pageBreakPreview" zoomScale="70" zoomScaleNormal="70" zoomScaleSheetLayoutView="70" workbookViewId="0">
      <pane ySplit="9" topLeftCell="A10" activePane="bottomLeft" state="frozen"/>
      <selection pane="bottomLeft" activeCell="G21" sqref="G21"/>
    </sheetView>
  </sheetViews>
  <sheetFormatPr defaultColWidth="6.42578125" defaultRowHeight="12.75" x14ac:dyDescent="0.2"/>
  <cols>
    <col min="1" max="1" width="6.42578125" style="250" customWidth="1"/>
    <col min="2" max="2" width="8" style="50" customWidth="1"/>
    <col min="3" max="3" width="44.42578125" style="29" customWidth="1"/>
    <col min="4" max="6" width="9.28515625" style="51" customWidth="1"/>
    <col min="7" max="7" width="9.5703125" style="51" customWidth="1"/>
    <col min="8" max="8" width="9.28515625" style="51" customWidth="1"/>
    <col min="9" max="9" width="10.140625" style="51" customWidth="1"/>
    <col min="10" max="11" width="10" style="51" customWidth="1"/>
    <col min="12" max="12" width="10.28515625" style="51" customWidth="1"/>
    <col min="13" max="13" width="9.7109375" style="51" customWidth="1"/>
    <col min="14" max="14" width="10.7109375" style="51" customWidth="1"/>
    <col min="15" max="15" width="9.5703125" style="51" customWidth="1"/>
    <col min="16" max="16" width="10.140625" style="51" customWidth="1"/>
    <col min="17" max="17" width="9.28515625" style="51" customWidth="1"/>
    <col min="18" max="19" width="9.5703125" style="51" customWidth="1"/>
    <col min="20" max="20" width="9.7109375" style="51" customWidth="1"/>
    <col min="21" max="21" width="9.85546875" style="51" customWidth="1"/>
    <col min="22" max="22" width="10.140625" style="51" customWidth="1"/>
    <col min="23" max="31" width="8.7109375" style="51" customWidth="1"/>
    <col min="32" max="32" width="9.140625" style="51" bestFit="1" customWidth="1"/>
    <col min="33" max="33" width="12.7109375" style="29" customWidth="1"/>
    <col min="34" max="34" width="8.7109375" style="29" customWidth="1"/>
    <col min="35" max="36" width="6.42578125" style="29"/>
    <col min="37" max="37" width="7.7109375" style="29" bestFit="1" customWidth="1"/>
    <col min="38" max="16384" width="6.42578125" style="29"/>
  </cols>
  <sheetData>
    <row r="1" spans="1:42 16384:16384" ht="20.25" customHeight="1" thickBot="1" x14ac:dyDescent="0.35">
      <c r="A1" s="1243" t="s">
        <v>659</v>
      </c>
      <c r="B1" s="1244"/>
      <c r="C1" s="87" t="str">
        <f>Element20</f>
        <v>Phase Name 20</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78"/>
      <c r="AK1" s="29" t="s">
        <v>82</v>
      </c>
      <c r="AL1" s="29" t="str">
        <f>RIGHT(AK1,LEN(AK1)-5)</f>
        <v>1</v>
      </c>
      <c r="AP1" s="29" t="s">
        <v>109</v>
      </c>
    </row>
    <row r="2" spans="1:42 16384:16384" ht="12.75" hidden="1" customHeight="1" x14ac:dyDescent="0.2">
      <c r="A2" s="1245" t="s">
        <v>0</v>
      </c>
      <c r="B2" s="1244"/>
      <c r="C2" s="48">
        <f>ProjectName</f>
        <v>0</v>
      </c>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78"/>
    </row>
    <row r="3" spans="1:42 16384:16384" ht="12.75" hidden="1" customHeight="1" x14ac:dyDescent="0.2">
      <c r="A3" s="1246" t="s">
        <v>371</v>
      </c>
      <c r="B3" s="1244"/>
      <c r="C3" s="48">
        <f>ProjectNumber</f>
        <v>0</v>
      </c>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row>
    <row r="4" spans="1:42 16384:16384" ht="12.75" hidden="1" customHeight="1" thickBot="1" x14ac:dyDescent="0.25">
      <c r="A4" s="1245" t="s">
        <v>2</v>
      </c>
      <c r="B4" s="1244"/>
      <c r="C4" s="48">
        <f>PreparedBy</f>
        <v>0</v>
      </c>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row>
    <row r="5" spans="1:42 16384:16384" ht="12.75" customHeight="1" thickBot="1" x14ac:dyDescent="0.25">
      <c r="A5" s="1247"/>
      <c r="B5" s="1248"/>
      <c r="C5" s="466" t="s">
        <v>524</v>
      </c>
      <c r="D5" s="541" t="s">
        <v>785</v>
      </c>
      <c r="E5" s="441" t="s">
        <v>786</v>
      </c>
      <c r="F5" s="441" t="s">
        <v>787</v>
      </c>
      <c r="G5" s="444" t="s">
        <v>788</v>
      </c>
      <c r="H5" s="445" t="s">
        <v>789</v>
      </c>
      <c r="I5" s="441" t="s">
        <v>790</v>
      </c>
      <c r="J5" s="441" t="s">
        <v>791</v>
      </c>
      <c r="K5" s="442" t="s">
        <v>792</v>
      </c>
      <c r="L5" s="443" t="s">
        <v>793</v>
      </c>
      <c r="M5" s="441" t="s">
        <v>794</v>
      </c>
      <c r="N5" s="441" t="s">
        <v>795</v>
      </c>
      <c r="O5" s="444" t="s">
        <v>796</v>
      </c>
      <c r="P5" s="445" t="s">
        <v>797</v>
      </c>
      <c r="Q5" s="441" t="s">
        <v>798</v>
      </c>
      <c r="R5" s="441" t="s">
        <v>799</v>
      </c>
      <c r="S5" s="444" t="s">
        <v>800</v>
      </c>
      <c r="T5" s="445" t="s">
        <v>801</v>
      </c>
      <c r="U5" s="441" t="s">
        <v>802</v>
      </c>
      <c r="V5" s="441" t="s">
        <v>803</v>
      </c>
      <c r="W5" s="442" t="s">
        <v>804</v>
      </c>
      <c r="X5" s="443" t="s">
        <v>805</v>
      </c>
      <c r="Y5" s="441" t="s">
        <v>806</v>
      </c>
      <c r="Z5" s="441" t="s">
        <v>807</v>
      </c>
      <c r="AA5" s="442" t="s">
        <v>808</v>
      </c>
      <c r="AB5" s="443" t="s">
        <v>809</v>
      </c>
      <c r="AC5" s="441" t="s">
        <v>810</v>
      </c>
      <c r="AD5" s="441" t="s">
        <v>811</v>
      </c>
      <c r="AE5" s="444" t="s">
        <v>812</v>
      </c>
      <c r="AF5" s="29"/>
      <c r="AG5" s="30"/>
    </row>
    <row r="6" spans="1:42 16384:16384" ht="70.150000000000006" customHeight="1" x14ac:dyDescent="0.2">
      <c r="A6" s="1249" t="s">
        <v>81</v>
      </c>
      <c r="B6" s="1251" t="s">
        <v>39</v>
      </c>
      <c r="C6" s="1252"/>
      <c r="D6" s="256" t="str">
        <f>VLOOKUP(D5,INPUT!$F$4:$I$32,2,FALSE)</f>
        <v>PRINCIPAL/ TECH DIRECT 4</v>
      </c>
      <c r="E6" s="254" t="str">
        <f>VLOOKUP(E5,INPUT!$F$4:$I$32,2,FALSE)</f>
        <v>PRINCIPAL/ TECH DIRECT 3</v>
      </c>
      <c r="F6" s="254" t="str">
        <f>VLOOKUP(F5,INPUT!$F$4:$I$32,2,FALSE)</f>
        <v>PRINCIPAL/ TECH DIRECT 2</v>
      </c>
      <c r="G6" s="257" t="str">
        <f>VLOOKUP(G5,INPUT!$F$4:$I$32,2,FALSE)</f>
        <v>PRINCIPAL/ TECH DIRECT 1</v>
      </c>
      <c r="H6" s="256" t="str">
        <f>VLOOKUP(H5,INPUT!$F$4:$I$32,2,FALSE)</f>
        <v>PROG MGR/SR TECH MGR 4</v>
      </c>
      <c r="I6" s="254" t="str">
        <f>VLOOKUP(I5,INPUT!$F$4:$I$32,2,FALSE)</f>
        <v>PROG MGR/SR TECH MGR 3</v>
      </c>
      <c r="J6" s="254" t="str">
        <f>VLOOKUP(J5,INPUT!$F$4:$I$32,2,FALSE)</f>
        <v>PROG MGR/SR TECH MGR 2</v>
      </c>
      <c r="K6" s="257" t="str">
        <f>VLOOKUP(K5,INPUT!$F$4:$I$32,2,FALSE)</f>
        <v>PROG MGR/SR TECH MGR 1</v>
      </c>
      <c r="L6" s="256" t="str">
        <f>VLOOKUP(L5,INPUT!$F$4:$I$32,2,FALSE)</f>
        <v xml:space="preserve">PROJECT/  
TECH MGR 4   </v>
      </c>
      <c r="M6" s="254" t="str">
        <f>VLOOKUP(M5,INPUT!$F$4:$I$32,2,FALSE)</f>
        <v>PROJECT/  
TECH MGR 3</v>
      </c>
      <c r="N6" s="254" t="str">
        <f>VLOOKUP(N5,INPUT!$F$4:$I$32,2,FALSE)</f>
        <v>PROJECT/  
TECH MGR 2</v>
      </c>
      <c r="O6" s="257" t="str">
        <f>VLOOKUP(O5,INPUT!$F$4:$I$32,2,FALSE)</f>
        <v>PROJECT/  
TECH MGR 1</v>
      </c>
      <c r="P6" s="256" t="str">
        <f>VLOOKUP(P5,INPUT!$F$4:$I$32,2,FALSE)</f>
        <v>SR SCI/ENG/ SPECIALIST 4</v>
      </c>
      <c r="Q6" s="254" t="str">
        <f>VLOOKUP(Q5,INPUT!$F$4:$I$32,2,FALSE)</f>
        <v>SR SCI/ENG/ SPECIALIST 3</v>
      </c>
      <c r="R6" s="254" t="str">
        <f>VLOOKUP(R5,INPUT!$F$4:$I$32,2,FALSE)</f>
        <v>SR SCI/ENG/ SPECIALIST 2</v>
      </c>
      <c r="S6" s="257" t="str">
        <f>VLOOKUP(S5,INPUT!$F$4:$I$32,2,FALSE)</f>
        <v>SR SCI/ENG/ SPECIALIST 1</v>
      </c>
      <c r="T6" s="256" t="str">
        <f>VLOOKUP(T5,INPUT!$F$4:$I$32,2,FALSE)</f>
        <v>PROJ SCI/ENG/ SPECIALIST 4</v>
      </c>
      <c r="U6" s="254" t="str">
        <f>VLOOKUP(U5,INPUT!$F$4:$I$32,2,FALSE)</f>
        <v>PROJ SCI/ENG/ SPECIALIST 3</v>
      </c>
      <c r="V6" s="254" t="str">
        <f>VLOOKUP(V5,INPUT!$F$4:$I$32,2,FALSE)</f>
        <v>PROJ SCI/ENG/ SPECIALIST 2</v>
      </c>
      <c r="W6" s="257" t="str">
        <f>VLOOKUP(W5,INPUT!$F$4:$I$32,2,FALSE)</f>
        <v>PROJ SCI/ENG/ SPECIALIST 1</v>
      </c>
      <c r="X6" s="256" t="str">
        <f>VLOOKUP(X5,INPUT!$F$4:$I$32,2,FALSE)</f>
        <v>SCI/ENG/SPEC/ TECH/SPRT 8</v>
      </c>
      <c r="Y6" s="254" t="str">
        <f>VLOOKUP(Y5,INPUT!$F$4:$I$32,2,FALSE)</f>
        <v>SCI/ENG/SPEC/ TECH/SPRT 7</v>
      </c>
      <c r="Z6" s="254" t="str">
        <f>VLOOKUP(Z5,INPUT!$F$4:$I$32,2,FALSE)</f>
        <v>SCI/ENG/SPEC/ TECH/SPRT 6</v>
      </c>
      <c r="AA6" s="257" t="str">
        <f>VLOOKUP(AA5,INPUT!$F$4:$I$32,2,FALSE)</f>
        <v>SCI/ENG/SPEC/ TECH/SPRT 5</v>
      </c>
      <c r="AB6" s="256" t="str">
        <f>VLOOKUP(AB5,INPUT!$F$4:$I$32,2,FALSE)</f>
        <v>SCI/ENG/SPEC/ TECH/SPRT 4</v>
      </c>
      <c r="AC6" s="254" t="str">
        <f>VLOOKUP(AC5,INPUT!$F$4:$I$32,2,FALSE)</f>
        <v>SCI/ENG/SPEC/ TECH/SPRT 3</v>
      </c>
      <c r="AD6" s="254" t="str">
        <f>VLOOKUP(AD5,INPUT!$F$4:$I$32,2,FALSE)</f>
        <v>SCI/ENG/SPEC/ TECH/SPRT 2</v>
      </c>
      <c r="AE6" s="257" t="str">
        <f>VLOOKUP(AE5,INPUT!$F$4:$I$32,2,FALSE)</f>
        <v>SCI/ENG/SPEC/ TECH/SPRT 1</v>
      </c>
      <c r="AF6"/>
      <c r="AG6"/>
    </row>
    <row r="7" spans="1:42 16384:16384" x14ac:dyDescent="0.2">
      <c r="A7" s="1250"/>
      <c r="B7" s="1253"/>
      <c r="C7" s="1254"/>
      <c r="D7" s="542">
        <f>IF(AND(Multiplier&gt;0,D11&gt;0),D11*Multiplier,IF(UserLaborDiscountRate&gt;0,(+VLOOKUP(D5,INPUT!$F$4:$L$32,7,FALSE)),(+VLOOKUP(D5,INPUT!$F$4:$K$32,6,FALSE))))</f>
        <v>363</v>
      </c>
      <c r="E7" s="543">
        <f>IF(AND(Multiplier&gt;0,E11&gt;0),E11*Multiplier,IF(UserLaborDiscountRate&gt;0,(+VLOOKUP(E5,INPUT!$F$4:$L$32,7,FALSE)),(+VLOOKUP(E5,INPUT!$F$4:$K$32,6,FALSE))))</f>
        <v>316</v>
      </c>
      <c r="F7" s="543">
        <f>IF(AND(Multiplier&gt;0,F11&gt;0),F11*Multiplier,IF(UserLaborDiscountRate&gt;0,(+VLOOKUP(F5,INPUT!$F$4:$L$32,7,FALSE)),(+VLOOKUP(F5,INPUT!$F$4:$K$32,6,FALSE))))</f>
        <v>283</v>
      </c>
      <c r="G7" s="544">
        <f>IF(AND(Multiplier&gt;0,G11&gt;0),G11*Multiplier,IF(UserLaborDiscountRate&gt;0,(+VLOOKUP(G5,INPUT!$F$4:$L$32,7,FALSE)),(+VLOOKUP(G5,INPUT!$F$4:$K$32,6,FALSE))))</f>
        <v>262</v>
      </c>
      <c r="H7" s="543">
        <f>IF(AND(Multiplier&gt;0,H11&gt;0),H11*Multiplier,IF(UserLaborDiscountRate&gt;0,(+VLOOKUP(H5,INPUT!$F$4:$L$32,7,FALSE)),(+VLOOKUP(H5,INPUT!$F$4:$K$32,6,FALSE))))</f>
        <v>254</v>
      </c>
      <c r="I7" s="543">
        <f>IF(AND(Multiplier&gt;0,I11&gt;0),I11*Multiplier,IF(UserLaborDiscountRate&gt;0,(+VLOOKUP(I5,INPUT!$F$4:$L$32,7,FALSE)),(+VLOOKUP(I5,INPUT!$F$4:$K$32,6,FALSE))))</f>
        <v>235</v>
      </c>
      <c r="J7" s="543">
        <f>IF(AND(Multiplier&gt;0,J11&gt;0),J11*Multiplier,IF(UserLaborDiscountRate&gt;0,(+VLOOKUP(J5,INPUT!$F$4:$L$32,7,FALSE)),(+VLOOKUP(J5,INPUT!$F$4:$K$32,6,FALSE))))</f>
        <v>229</v>
      </c>
      <c r="K7" s="545">
        <f>IF(AND(Multiplier&gt;0,K11&gt;0),K11*Multiplier,IF(UserLaborDiscountRate&gt;0,(+VLOOKUP(K5,INPUT!$F$4:$L$32,7,FALSE)),(+VLOOKUP(K5,INPUT!$F$4:$K$32,6,FALSE))))</f>
        <v>219</v>
      </c>
      <c r="L7" s="542">
        <f>IF(AND(Multiplier&gt;0,L11&gt;0),L11*Multiplier,IF(UserLaborDiscountRate&gt;0,(+VLOOKUP(L5,INPUT!$F$4:$L$32,7,FALSE)),(+VLOOKUP(L5,INPUT!$F$4:$K$32,6,FALSE))))</f>
        <v>211</v>
      </c>
      <c r="M7" s="543">
        <f>IF(AND(Multiplier&gt;0,M11&gt;0),M11*Multiplier,IF(UserLaborDiscountRate&gt;0,(+VLOOKUP(M5,INPUT!$F$4:$L$32,7,FALSE)),(+VLOOKUP(M5,INPUT!$F$4:$K$32,6,FALSE))))</f>
        <v>201</v>
      </c>
      <c r="N7" s="543">
        <f>IF(AND(Multiplier&gt;0,N11&gt;0),N11*Multiplier,IF(UserLaborDiscountRate&gt;0,(+VLOOKUP(N5,INPUT!$F$4:$L$32,7,FALSE)),(+VLOOKUP(N5,INPUT!$F$4:$K$32,6,FALSE))))</f>
        <v>193</v>
      </c>
      <c r="O7" s="544">
        <f>IF(AND(Multiplier&gt;0,O11&gt;0),O11*Multiplier,IF(UserLaborDiscountRate&gt;0,(+VLOOKUP(O5,INPUT!$F$4:$L$32,7,FALSE)),(+VLOOKUP(O5,INPUT!$F$4:$K$32,6,FALSE))))</f>
        <v>187</v>
      </c>
      <c r="P7" s="543">
        <f>IF(AND(Multiplier&gt;0,P11&gt;0),P11*Multiplier,IF(UserLaborDiscountRate&gt;0,(+VLOOKUP(P5,INPUT!$F$4:$L$32,7,FALSE)),(+VLOOKUP(P5,INPUT!$F$4:$K$32,6,FALSE))))</f>
        <v>178</v>
      </c>
      <c r="Q7" s="543">
        <f>IF(AND(Multiplier&gt;0,Q11&gt;0),Q11*Multiplier,IF(UserLaborDiscountRate&gt;0,(+VLOOKUP(Q5,INPUT!$F$4:$L$32,7,FALSE)),(+VLOOKUP(Q5,INPUT!$F$4:$K$32,6,FALSE))))</f>
        <v>169</v>
      </c>
      <c r="R7" s="543">
        <f>IF(AND(Multiplier&gt;0,R11&gt;0),R11*Multiplier,IF(UserLaborDiscountRate&gt;0,(+VLOOKUP(R5,INPUT!$F$4:$L$32,7,FALSE)),(+VLOOKUP(R5,INPUT!$F$4:$K$32,6,FALSE))))</f>
        <v>162</v>
      </c>
      <c r="S7" s="543">
        <f>IF(AND(Multiplier&gt;0,S11&gt;0),S11*Multiplier,IF(UserLaborDiscountRate&gt;0,(+VLOOKUP(S5,INPUT!$F$4:$L$32,7,FALSE)),(+VLOOKUP(S5,INPUT!$F$4:$K$32,6,FALSE))))</f>
        <v>155</v>
      </c>
      <c r="T7" s="543">
        <f>IF(AND(Multiplier&gt;0,T11&gt;0),T11*Multiplier,IF(UserLaborDiscountRate&gt;0,(+VLOOKUP(T5,INPUT!$F$4:$L$32,7,FALSE)),(+VLOOKUP(T5,INPUT!$F$4:$K$32,6,FALSE))))</f>
        <v>147</v>
      </c>
      <c r="U7" s="543">
        <f>IF(AND(Multiplier&gt;0,U11&gt;0),U11*Multiplier,IF(UserLaborDiscountRate&gt;0,(+VLOOKUP(U5,INPUT!$F$4:$L$32,7,FALSE)),(+VLOOKUP(U5,INPUT!$F$4:$K$32,6,FALSE))))</f>
        <v>139</v>
      </c>
      <c r="V7" s="543">
        <f>IF(AND(Multiplier&gt;0,V11&gt;0),V11*Multiplier,IF(UserLaborDiscountRate&gt;0,(+VLOOKUP(V5,INPUT!$F$4:$L$32,7,FALSE)),(+VLOOKUP(V5,INPUT!$F$4:$K$32,6,FALSE))))</f>
        <v>133</v>
      </c>
      <c r="W7" s="543">
        <f>IF(AND(Multiplier&gt;0,W11&gt;0),W11*Multiplier,IF(UserLaborDiscountRate&gt;0,(+VLOOKUP(W5,INPUT!$F$4:$L$32,7,FALSE)),(+VLOOKUP(W5,INPUT!$F$4:$K$32,6,FALSE))))</f>
        <v>123</v>
      </c>
      <c r="X7" s="543">
        <f>IF(AND(Multiplier&gt;0,X11&gt;0),X11*Multiplier,IF(UserLaborDiscountRate&gt;0,(+VLOOKUP(X5,INPUT!$F$4:$L$32,7,FALSE)),(+VLOOKUP(X5,INPUT!$F$4:$K$32,6,FALSE))))</f>
        <v>117</v>
      </c>
      <c r="Y7" s="543">
        <f>IF(AND(Multiplier&gt;0,Y11&gt;0),Y11*Multiplier,IF(UserLaborDiscountRate&gt;0,(+VLOOKUP(Y5,INPUT!$F$4:$L$32,7,FALSE)),(+VLOOKUP(Y5,INPUT!$F$4:$K$32,6,FALSE))))</f>
        <v>110</v>
      </c>
      <c r="Z7" s="543">
        <f>IF(AND(Multiplier&gt;0,Z11&gt;0),Z11*Multiplier,IF(UserLaborDiscountRate&gt;0,(+VLOOKUP(Z5,INPUT!$F$4:$L$32,7,FALSE)),(+VLOOKUP(Z5,INPUT!$F$4:$K$32,6,FALSE))))</f>
        <v>101</v>
      </c>
      <c r="AA7" s="545">
        <f>IF(AND(Multiplier&gt;0,AA11&gt;0),AA11*Multiplier,IF(UserLaborDiscountRate&gt;0,(+VLOOKUP(AA5,INPUT!$F$4:$L$32,7,FALSE)),(+VLOOKUP(AA5,INPUT!$F$4:$K$32,6,FALSE))))</f>
        <v>94</v>
      </c>
      <c r="AB7" s="542">
        <f>IF(AND(Multiplier&gt;0,AB11&gt;0),AB11*Multiplier,IF(UserLaborDiscountRate&gt;0,(+VLOOKUP(AB5,INPUT!$F$4:$L$32,7,FALSE)),(+VLOOKUP(AB5,INPUT!$F$4:$K$32,6,FALSE))))</f>
        <v>85</v>
      </c>
      <c r="AC7" s="543">
        <f>IF(AND(Multiplier&gt;0,AC11&gt;0),AC11*Multiplier,IF(UserLaborDiscountRate&gt;0,(+VLOOKUP(AC5,INPUT!$F$4:$L$32,7,FALSE)),(+VLOOKUP(AC5,INPUT!$F$4:$K$32,6,FALSE))))</f>
        <v>78</v>
      </c>
      <c r="AD7" s="543">
        <f>IF(AND(Multiplier&gt;0,AD11&gt;0),AD11*Multiplier,IF(UserLaborDiscountRate&gt;0,(+VLOOKUP(AD5,INPUT!$F$4:$L$32,7,FALSE)),(+VLOOKUP(AD5,INPUT!$F$4:$K$32,6,FALSE))))</f>
        <v>71</v>
      </c>
      <c r="AE7" s="544">
        <f>IF(AND(Multiplier&gt;0,AE11&gt;0),AE11*Multiplier,IF(UserLaborDiscountRate&gt;0,(+VLOOKUP(AE5,INPUT!$F$4:$L$32,7,FALSE)),(+VLOOKUP(AE5,INPUT!$F$4:$K$32,6,FALSE))))</f>
        <v>57</v>
      </c>
      <c r="AF7"/>
      <c r="AG7"/>
    </row>
    <row r="8" spans="1:42 16384:16384" ht="12.75" customHeight="1" x14ac:dyDescent="0.2">
      <c r="A8" s="485"/>
      <c r="B8" s="469"/>
      <c r="C8" s="452" t="s">
        <v>525</v>
      </c>
      <c r="D8" s="448" t="s">
        <v>528</v>
      </c>
      <c r="E8" s="449" t="s">
        <v>528</v>
      </c>
      <c r="F8" s="449" t="s">
        <v>528</v>
      </c>
      <c r="G8" s="450" t="s">
        <v>528</v>
      </c>
      <c r="H8" s="448" t="s">
        <v>528</v>
      </c>
      <c r="I8" s="449" t="s">
        <v>528</v>
      </c>
      <c r="J8" s="449" t="s">
        <v>528</v>
      </c>
      <c r="K8" s="450" t="s">
        <v>528</v>
      </c>
      <c r="L8" s="448" t="s">
        <v>528</v>
      </c>
      <c r="M8" s="449" t="s">
        <v>528</v>
      </c>
      <c r="N8" s="449" t="s">
        <v>528</v>
      </c>
      <c r="O8" s="450" t="s">
        <v>528</v>
      </c>
      <c r="P8" s="448" t="s">
        <v>528</v>
      </c>
      <c r="Q8" s="449" t="s">
        <v>528</v>
      </c>
      <c r="R8" s="449" t="s">
        <v>528</v>
      </c>
      <c r="S8" s="450" t="s">
        <v>528</v>
      </c>
      <c r="T8" s="448" t="s">
        <v>528</v>
      </c>
      <c r="U8" s="449" t="s">
        <v>528</v>
      </c>
      <c r="V8" s="449" t="s">
        <v>528</v>
      </c>
      <c r="W8" s="450" t="s">
        <v>528</v>
      </c>
      <c r="X8" s="448" t="s">
        <v>528</v>
      </c>
      <c r="Y8" s="449" t="s">
        <v>528</v>
      </c>
      <c r="Z8" s="449" t="s">
        <v>528</v>
      </c>
      <c r="AA8" s="450" t="s">
        <v>528</v>
      </c>
      <c r="AB8" s="448" t="s">
        <v>528</v>
      </c>
      <c r="AC8" s="449" t="s">
        <v>528</v>
      </c>
      <c r="AD8" s="449" t="s">
        <v>528</v>
      </c>
      <c r="AE8" s="450" t="s">
        <v>528</v>
      </c>
      <c r="AF8"/>
      <c r="AG8"/>
    </row>
    <row r="9" spans="1:42 16384:16384" ht="12.75" customHeight="1" x14ac:dyDescent="0.2">
      <c r="A9" s="485"/>
      <c r="B9" s="469"/>
      <c r="C9" s="452" t="s">
        <v>526</v>
      </c>
      <c r="D9" s="451" t="s">
        <v>529</v>
      </c>
      <c r="E9" s="446" t="s">
        <v>529</v>
      </c>
      <c r="F9" s="446" t="s">
        <v>529</v>
      </c>
      <c r="G9" s="447" t="s">
        <v>529</v>
      </c>
      <c r="H9" s="451" t="s">
        <v>529</v>
      </c>
      <c r="I9" s="446" t="s">
        <v>529</v>
      </c>
      <c r="J9" s="446" t="s">
        <v>529</v>
      </c>
      <c r="K9" s="447" t="s">
        <v>529</v>
      </c>
      <c r="L9" s="451" t="s">
        <v>529</v>
      </c>
      <c r="M9" s="446" t="s">
        <v>529</v>
      </c>
      <c r="N9" s="446" t="s">
        <v>529</v>
      </c>
      <c r="O9" s="447" t="s">
        <v>529</v>
      </c>
      <c r="P9" s="451" t="s">
        <v>529</v>
      </c>
      <c r="Q9" s="446" t="s">
        <v>529</v>
      </c>
      <c r="R9" s="446" t="s">
        <v>529</v>
      </c>
      <c r="S9" s="447" t="s">
        <v>529</v>
      </c>
      <c r="T9" s="451" t="s">
        <v>529</v>
      </c>
      <c r="U9" s="446" t="s">
        <v>529</v>
      </c>
      <c r="V9" s="446" t="s">
        <v>529</v>
      </c>
      <c r="W9" s="447" t="s">
        <v>529</v>
      </c>
      <c r="X9" s="451" t="s">
        <v>529</v>
      </c>
      <c r="Y9" s="446" t="s">
        <v>529</v>
      </c>
      <c r="Z9" s="446" t="s">
        <v>529</v>
      </c>
      <c r="AA9" s="447" t="s">
        <v>529</v>
      </c>
      <c r="AB9" s="451" t="s">
        <v>529</v>
      </c>
      <c r="AC9" s="446" t="s">
        <v>529</v>
      </c>
      <c r="AD9" s="446" t="s">
        <v>529</v>
      </c>
      <c r="AE9" s="447" t="s">
        <v>529</v>
      </c>
      <c r="AF9"/>
      <c r="AG9"/>
    </row>
    <row r="10" spans="1:42 16384:16384" ht="5.0999999999999996" customHeight="1" thickBot="1" x14ac:dyDescent="0.25">
      <c r="A10" s="480"/>
      <c r="B10" s="457"/>
      <c r="C10" s="458"/>
      <c r="D10" s="481"/>
      <c r="E10" s="459"/>
      <c r="F10" s="459"/>
      <c r="G10" s="482"/>
      <c r="H10" s="481"/>
      <c r="I10" s="459"/>
      <c r="J10" s="459"/>
      <c r="K10" s="482"/>
      <c r="L10" s="481"/>
      <c r="M10" s="459"/>
      <c r="N10" s="459"/>
      <c r="O10" s="482"/>
      <c r="P10" s="481"/>
      <c r="Q10" s="459"/>
      <c r="R10" s="459"/>
      <c r="S10" s="482"/>
      <c r="T10" s="481"/>
      <c r="U10" s="459"/>
      <c r="V10" s="459"/>
      <c r="W10" s="482"/>
      <c r="X10" s="481"/>
      <c r="Y10" s="459"/>
      <c r="Z10" s="459"/>
      <c r="AA10" s="482"/>
      <c r="AB10" s="481"/>
      <c r="AC10" s="459"/>
      <c r="AD10" s="459"/>
      <c r="AE10" s="482"/>
      <c r="AF10" s="456"/>
      <c r="AG10"/>
    </row>
    <row r="11" spans="1:42 16384:16384" customFormat="1" ht="18" customHeight="1" thickBot="1" x14ac:dyDescent="0.25">
      <c r="A11" s="463"/>
      <c r="B11" s="464"/>
      <c r="C11" s="462" t="s">
        <v>655</v>
      </c>
      <c r="D11" s="492"/>
      <c r="E11" s="492"/>
      <c r="F11" s="492"/>
      <c r="G11" s="492"/>
      <c r="H11" s="492"/>
      <c r="I11" s="492"/>
      <c r="J11" s="492"/>
      <c r="K11" s="492"/>
      <c r="L11" s="492"/>
      <c r="M11" s="492"/>
      <c r="N11" s="492"/>
      <c r="O11" s="492"/>
      <c r="P11" s="492"/>
      <c r="Q11" s="492"/>
      <c r="R11" s="492"/>
      <c r="S11" s="492"/>
      <c r="T11" s="492"/>
      <c r="U11" s="492"/>
      <c r="V11" s="492"/>
      <c r="W11" s="492"/>
      <c r="X11" s="492"/>
      <c r="Y11" s="492"/>
      <c r="Z11" s="492"/>
      <c r="AA11" s="492"/>
      <c r="AB11" s="492"/>
      <c r="AC11" s="492"/>
      <c r="AD11" s="492"/>
      <c r="AE11" s="493"/>
      <c r="AF11" s="396"/>
    </row>
    <row r="12" spans="1:42 16384:16384" x14ac:dyDescent="0.2">
      <c r="A12" s="463"/>
      <c r="B12" s="465"/>
      <c r="C12" s="470" t="s">
        <v>653</v>
      </c>
      <c r="D12" s="483">
        <f>IF(D28=0,"",VLOOKUP(D5,'Labor &amp; Practice Lookups'!$A$4:$I$32,D39))</f>
        <v>111.85081999999998</v>
      </c>
      <c r="E12" s="483">
        <f>IF(E28=0,"",VLOOKUP(E5,'Labor &amp; Practice Lookups'!$A$4:$I$32,E39))</f>
        <v>101.02199194285713</v>
      </c>
      <c r="F12" s="483">
        <f>IF(F28=0,"",VLOOKUP(F5,'Labor &amp; Practice Lookups'!$A$4:$I$32,F39))</f>
        <v>87.382549621466637</v>
      </c>
      <c r="G12" s="483">
        <f>IF(G28=0,"",VLOOKUP(G5,'Labor &amp; Practice Lookups'!$A$4:$I$32,G39))</f>
        <v>85.045982146125013</v>
      </c>
      <c r="H12" s="483">
        <f>IF(H28=0,"",VLOOKUP(H5,'Labor &amp; Practice Lookups'!$A$4:$I$32,H39))</f>
        <v>75.508185999999995</v>
      </c>
      <c r="I12" s="483">
        <f>IF(I28=0,"",VLOOKUP(I5,'Labor &amp; Practice Lookups'!$A$4:$I$32,I39))</f>
        <v>72.356703466666659</v>
      </c>
      <c r="J12" s="483">
        <f>IF(J28=0,"",VLOOKUP(J5,'Labor &amp; Practice Lookups'!$A$4:$I$32,J39))</f>
        <v>71.286207412244877</v>
      </c>
      <c r="K12" s="483">
        <f>IF(K28=0,"",VLOOKUP(K5,'Labor &amp; Practice Lookups'!$A$4:$I$32,K39))</f>
        <v>63.256657098666665</v>
      </c>
      <c r="L12" s="483" t="str">
        <f>IF(L28=0,"",VLOOKUP(L5,'Labor &amp; Practice Lookups'!$A$4:$I$32,L39))</f>
        <v/>
      </c>
      <c r="M12" s="483" t="str">
        <f>IF(M28=0,"",VLOOKUP(M5,'Labor &amp; Practice Lookups'!$A$4:$I$32,M39))</f>
        <v/>
      </c>
      <c r="N12" s="483" t="str">
        <f>IF(N28=0,"",VLOOKUP(N5,'Labor &amp; Practice Lookups'!$A$4:$I$32,N39))</f>
        <v/>
      </c>
      <c r="O12" s="483" t="str">
        <f>IF(O28=0,"",VLOOKUP(O5,'Labor &amp; Practice Lookups'!$A$4:$I$32,O39))</f>
        <v/>
      </c>
      <c r="P12" s="483" t="str">
        <f>IF(P28=0,"",VLOOKUP(P5,'Labor &amp; Practice Lookups'!$A$4:$I$32,P39))</f>
        <v/>
      </c>
      <c r="Q12" s="483" t="str">
        <f>IF(Q28=0,"",VLOOKUP(Q5,'Labor &amp; Practice Lookups'!$A$4:$I$32,Q39))</f>
        <v/>
      </c>
      <c r="R12" s="483" t="str">
        <f>IF(R28=0,"",VLOOKUP(R5,'Labor &amp; Practice Lookups'!$A$4:$I$32,R39))</f>
        <v/>
      </c>
      <c r="S12" s="483" t="str">
        <f>IF(S28=0,"",VLOOKUP(S5,'Labor &amp; Practice Lookups'!$A$4:$I$32,S39))</f>
        <v/>
      </c>
      <c r="T12" s="483" t="str">
        <f>IF(T28=0,"",VLOOKUP(T5,'Labor &amp; Practice Lookups'!$A$4:$I$32,T39))</f>
        <v/>
      </c>
      <c r="U12" s="483" t="str">
        <f>IF(U28=0,"",VLOOKUP(U5,'Labor &amp; Practice Lookups'!$A$4:$I$32,U39))</f>
        <v/>
      </c>
      <c r="V12" s="483" t="str">
        <f>IF(V28=0,"",VLOOKUP(V5,'Labor &amp; Practice Lookups'!$A$4:$I$32,V39))</f>
        <v/>
      </c>
      <c r="W12" s="483" t="str">
        <f>IF(W28=0,"",VLOOKUP(W5,'Labor &amp; Practice Lookups'!$A$4:$I$32,W39))</f>
        <v/>
      </c>
      <c r="X12" s="483" t="str">
        <f>IF(X28=0,"",VLOOKUP(X5,'Labor &amp; Practice Lookups'!$A$4:$I$32,X39))</f>
        <v/>
      </c>
      <c r="Y12" s="483" t="str">
        <f>IF(Y28=0,"",VLOOKUP(Y5,'Labor &amp; Practice Lookups'!$A$4:$I$32,Y39))</f>
        <v/>
      </c>
      <c r="Z12" s="483" t="str">
        <f>IF(Z28=0,"",VLOOKUP(Z5,'Labor &amp; Practice Lookups'!$A$4:$I$32,Z39))</f>
        <v/>
      </c>
      <c r="AA12" s="483" t="str">
        <f>IF(AA28=0,"",VLOOKUP(AA5,'Labor &amp; Practice Lookups'!$A$4:$I$32,AA39))</f>
        <v/>
      </c>
      <c r="AB12" s="483" t="str">
        <f>IF(AB28=0,"",VLOOKUP(AB5,'Labor &amp; Practice Lookups'!$A$4:$I$32,AB39))</f>
        <v/>
      </c>
      <c r="AC12" s="483" t="str">
        <f>IF(AC28=0,"",VLOOKUP(AC5,'Labor &amp; Practice Lookups'!$A$4:$I$32,AC39))</f>
        <v/>
      </c>
      <c r="AD12" s="483" t="str">
        <f>IF(AD28=0,"",VLOOKUP(AD5,'Labor &amp; Practice Lookups'!$A$4:$I$32,AD39))</f>
        <v/>
      </c>
      <c r="AE12" s="484" t="str">
        <f>IF(AE28=0,"",VLOOKUP(AE5,'Labor &amp; Practice Lookups'!$A$4:$I$32,AE39))</f>
        <v/>
      </c>
      <c r="AF12" s="29"/>
      <c r="AG12" s="404"/>
    </row>
    <row r="13" spans="1:42 16384:16384" x14ac:dyDescent="0.2">
      <c r="A13" s="463"/>
      <c r="B13" s="465"/>
      <c r="C13" s="470" t="s">
        <v>656</v>
      </c>
      <c r="D13" s="471">
        <f t="shared" ref="D13:AE13" si="0">IF(D28=0,"",IF(D11=0,D7/D12,D7/D11))</f>
        <v>3.2453941777092026</v>
      </c>
      <c r="E13" s="471">
        <f t="shared" si="0"/>
        <v>3.1280317673674927</v>
      </c>
      <c r="F13" s="471">
        <f t="shared" si="0"/>
        <v>3.2386328989704536</v>
      </c>
      <c r="G13" s="471">
        <f t="shared" si="0"/>
        <v>3.0806863932717556</v>
      </c>
      <c r="H13" s="471">
        <f t="shared" si="0"/>
        <v>3.363873686490098</v>
      </c>
      <c r="I13" s="471">
        <f t="shared" si="0"/>
        <v>3.247798596964274</v>
      </c>
      <c r="J13" s="471">
        <f t="shared" si="0"/>
        <v>3.2124026275616471</v>
      </c>
      <c r="K13" s="471">
        <f t="shared" si="0"/>
        <v>3.4620862063325211</v>
      </c>
      <c r="L13" s="471" t="str">
        <f t="shared" si="0"/>
        <v/>
      </c>
      <c r="M13" s="471" t="str">
        <f t="shared" si="0"/>
        <v/>
      </c>
      <c r="N13" s="471" t="str">
        <f t="shared" si="0"/>
        <v/>
      </c>
      <c r="O13" s="471" t="str">
        <f t="shared" si="0"/>
        <v/>
      </c>
      <c r="P13" s="471" t="str">
        <f t="shared" si="0"/>
        <v/>
      </c>
      <c r="Q13" s="471" t="str">
        <f t="shared" si="0"/>
        <v/>
      </c>
      <c r="R13" s="471" t="str">
        <f t="shared" si="0"/>
        <v/>
      </c>
      <c r="S13" s="471" t="str">
        <f t="shared" si="0"/>
        <v/>
      </c>
      <c r="T13" s="471" t="str">
        <f t="shared" si="0"/>
        <v/>
      </c>
      <c r="U13" s="471" t="str">
        <f t="shared" si="0"/>
        <v/>
      </c>
      <c r="V13" s="471" t="str">
        <f t="shared" si="0"/>
        <v/>
      </c>
      <c r="W13" s="471" t="str">
        <f t="shared" si="0"/>
        <v/>
      </c>
      <c r="X13" s="471" t="str">
        <f t="shared" si="0"/>
        <v/>
      </c>
      <c r="Y13" s="471" t="str">
        <f t="shared" si="0"/>
        <v/>
      </c>
      <c r="Z13" s="471" t="str">
        <f t="shared" si="0"/>
        <v/>
      </c>
      <c r="AA13" s="471" t="str">
        <f t="shared" si="0"/>
        <v/>
      </c>
      <c r="AB13" s="471" t="str">
        <f t="shared" si="0"/>
        <v/>
      </c>
      <c r="AC13" s="471" t="str">
        <f t="shared" si="0"/>
        <v/>
      </c>
      <c r="AD13" s="471" t="str">
        <f t="shared" si="0"/>
        <v/>
      </c>
      <c r="AE13" s="472" t="str">
        <f t="shared" si="0"/>
        <v/>
      </c>
      <c r="AF13" s="29"/>
      <c r="AG13" s="404"/>
      <c r="XFD13" s="412"/>
    </row>
    <row r="14" spans="1:42 16384:16384" ht="13.5" thickBot="1" x14ac:dyDescent="0.25">
      <c r="A14" s="463"/>
      <c r="B14" s="465"/>
      <c r="C14" s="473" t="s">
        <v>657</v>
      </c>
      <c r="D14" s="474">
        <f t="shared" ref="D14:AE14" si="1">IF(D34="","",D34/D28)</f>
        <v>0.23892141763085406</v>
      </c>
      <c r="E14" s="474">
        <f t="shared" si="1"/>
        <v>0.21036607563652812</v>
      </c>
      <c r="F14" s="474">
        <f t="shared" si="1"/>
        <v>0.23733251743808267</v>
      </c>
      <c r="G14" s="474">
        <f t="shared" si="1"/>
        <v>0.1982306263323329</v>
      </c>
      <c r="H14" s="474">
        <f t="shared" si="1"/>
        <v>0.26572748259842516</v>
      </c>
      <c r="I14" s="474">
        <f t="shared" si="1"/>
        <v>0.23948486143546102</v>
      </c>
      <c r="J14" s="474">
        <f t="shared" si="1"/>
        <v>0.23110509909063379</v>
      </c>
      <c r="K14" s="474">
        <f t="shared" si="1"/>
        <v>0.28655733774563164</v>
      </c>
      <c r="L14" s="474" t="str">
        <f t="shared" si="1"/>
        <v/>
      </c>
      <c r="M14" s="474" t="str">
        <f t="shared" si="1"/>
        <v/>
      </c>
      <c r="N14" s="474" t="str">
        <f t="shared" si="1"/>
        <v/>
      </c>
      <c r="O14" s="474" t="str">
        <f t="shared" si="1"/>
        <v/>
      </c>
      <c r="P14" s="474" t="str">
        <f t="shared" si="1"/>
        <v/>
      </c>
      <c r="Q14" s="474" t="str">
        <f t="shared" si="1"/>
        <v/>
      </c>
      <c r="R14" s="474" t="str">
        <f t="shared" si="1"/>
        <v/>
      </c>
      <c r="S14" s="474" t="str">
        <f t="shared" si="1"/>
        <v/>
      </c>
      <c r="T14" s="474" t="str">
        <f t="shared" si="1"/>
        <v/>
      </c>
      <c r="U14" s="474" t="str">
        <f t="shared" si="1"/>
        <v/>
      </c>
      <c r="V14" s="474" t="str">
        <f t="shared" si="1"/>
        <v/>
      </c>
      <c r="W14" s="474" t="str">
        <f t="shared" si="1"/>
        <v/>
      </c>
      <c r="X14" s="474" t="str">
        <f t="shared" si="1"/>
        <v/>
      </c>
      <c r="Y14" s="474" t="str">
        <f t="shared" si="1"/>
        <v/>
      </c>
      <c r="Z14" s="474" t="str">
        <f t="shared" si="1"/>
        <v/>
      </c>
      <c r="AA14" s="474" t="str">
        <f t="shared" si="1"/>
        <v/>
      </c>
      <c r="AB14" s="474" t="str">
        <f t="shared" si="1"/>
        <v/>
      </c>
      <c r="AC14" s="474" t="str">
        <f t="shared" si="1"/>
        <v/>
      </c>
      <c r="AD14" s="474" t="str">
        <f t="shared" si="1"/>
        <v/>
      </c>
      <c r="AE14" s="475" t="str">
        <f t="shared" si="1"/>
        <v/>
      </c>
      <c r="AF14"/>
      <c r="AG14"/>
      <c r="XFD14" s="412"/>
    </row>
    <row r="15" spans="1:42 16384:16384" ht="5.0999999999999996" customHeight="1" thickBot="1" x14ac:dyDescent="0.25">
      <c r="A15" s="480"/>
      <c r="B15" s="457"/>
      <c r="C15" s="458"/>
      <c r="D15" s="481"/>
      <c r="E15" s="459"/>
      <c r="F15" s="459"/>
      <c r="G15" s="482"/>
      <c r="H15" s="481"/>
      <c r="I15" s="459"/>
      <c r="J15" s="459"/>
      <c r="K15" s="482"/>
      <c r="L15" s="481"/>
      <c r="M15" s="459"/>
      <c r="N15" s="459"/>
      <c r="O15" s="482"/>
      <c r="P15" s="481"/>
      <c r="Q15" s="459"/>
      <c r="R15" s="459"/>
      <c r="S15" s="482"/>
      <c r="T15" s="481"/>
      <c r="U15" s="459"/>
      <c r="V15" s="459"/>
      <c r="W15" s="482"/>
      <c r="X15" s="481"/>
      <c r="Y15" s="459"/>
      <c r="Z15" s="459"/>
      <c r="AA15" s="482"/>
      <c r="AB15" s="481"/>
      <c r="AC15" s="459"/>
      <c r="AD15" s="459"/>
      <c r="AE15" s="482"/>
      <c r="AF15" s="460"/>
      <c r="AG15" s="461"/>
    </row>
    <row r="16" spans="1:42 16384:16384" ht="32.1" customHeight="1" thickBot="1" x14ac:dyDescent="0.4">
      <c r="A16" s="263"/>
      <c r="B16" s="1255" t="s">
        <v>781</v>
      </c>
      <c r="C16" s="1256"/>
      <c r="D16" s="407"/>
      <c r="E16" s="408"/>
      <c r="F16" s="408"/>
      <c r="G16" s="409"/>
      <c r="H16" s="407"/>
      <c r="I16" s="408"/>
      <c r="J16" s="408"/>
      <c r="K16" s="409"/>
      <c r="L16" s="407"/>
      <c r="M16" s="408"/>
      <c r="N16" s="408"/>
      <c r="O16" s="409"/>
      <c r="P16" s="407"/>
      <c r="Q16" s="408"/>
      <c r="R16" s="408"/>
      <c r="S16" s="409"/>
      <c r="T16" s="407"/>
      <c r="U16" s="408"/>
      <c r="V16" s="408"/>
      <c r="W16" s="409"/>
      <c r="X16" s="407"/>
      <c r="Y16" s="408"/>
      <c r="Z16" s="408"/>
      <c r="AA16" s="409"/>
      <c r="AB16" s="407"/>
      <c r="AC16" s="408"/>
      <c r="AD16" s="408"/>
      <c r="AE16" s="409"/>
      <c r="AF16" s="476" t="s">
        <v>699</v>
      </c>
      <c r="AG16" s="477" t="s">
        <v>700</v>
      </c>
    </row>
    <row r="17" spans="1:34" ht="18" customHeight="1" x14ac:dyDescent="0.2">
      <c r="A17" s="467">
        <v>1</v>
      </c>
      <c r="B17" s="1257"/>
      <c r="C17" s="1258"/>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261">
        <f t="shared" ref="AF17:AF26" si="2">(D$7*D17)+(E$7*E17)+(F$7*F17)+(G$7*G17)+(H$7*H17)+(I$7*I17)+(J$7*J17)+(K$7*K17)+(L$7*L17)+(M$7*M17)+(N$7*N17)+(O$7*O17)+(P$7*P17)+(Q$7*Q17)+(R$7*R17)+(S$7*S17)+(T$7*T17)+(U$7*U17)+(V$7*V17)+(W$7*W17)+(X$7*X17)+(Y$7*Y17)+(Z$7*Z17)+(AA$7*AA17)+(AB$7*AB17)+(AC$7*AC17)+(AD$7*AD17)+(AE$7*AE17)</f>
        <v>0</v>
      </c>
      <c r="AG17" s="262">
        <f>AF17</f>
        <v>0</v>
      </c>
    </row>
    <row r="18" spans="1:34" ht="18" customHeight="1" x14ac:dyDescent="0.2">
      <c r="A18" s="468">
        <v>2</v>
      </c>
      <c r="B18" s="1259"/>
      <c r="C18" s="1260"/>
      <c r="D18" s="491">
        <v>1</v>
      </c>
      <c r="E18" s="491">
        <v>1</v>
      </c>
      <c r="F18" s="491">
        <v>1</v>
      </c>
      <c r="G18" s="491">
        <v>1</v>
      </c>
      <c r="H18" s="491">
        <v>1</v>
      </c>
      <c r="I18" s="491">
        <v>1</v>
      </c>
      <c r="J18" s="491">
        <v>1</v>
      </c>
      <c r="K18" s="491">
        <v>1</v>
      </c>
      <c r="L18" s="491"/>
      <c r="M18" s="491"/>
      <c r="N18" s="491"/>
      <c r="O18" s="491"/>
      <c r="P18" s="491"/>
      <c r="Q18" s="491"/>
      <c r="R18" s="491"/>
      <c r="S18" s="491"/>
      <c r="T18" s="491"/>
      <c r="U18" s="491"/>
      <c r="V18" s="491"/>
      <c r="W18" s="491"/>
      <c r="X18" s="491"/>
      <c r="Y18" s="491"/>
      <c r="Z18" s="491"/>
      <c r="AA18" s="491"/>
      <c r="AB18" s="491"/>
      <c r="AC18" s="491"/>
      <c r="AD18" s="491"/>
      <c r="AE18" s="491"/>
      <c r="AF18" s="259">
        <f t="shared" si="2"/>
        <v>2161</v>
      </c>
      <c r="AG18" s="260">
        <f t="shared" ref="AG18:AG26" si="3">AG17+AF18</f>
        <v>2161</v>
      </c>
    </row>
    <row r="19" spans="1:34" s="993" customFormat="1" ht="18" customHeight="1" x14ac:dyDescent="0.2">
      <c r="A19" s="989">
        <v>3</v>
      </c>
      <c r="B19" s="1241"/>
      <c r="C19" s="1242"/>
      <c r="D19" s="411"/>
      <c r="E19" s="990"/>
      <c r="F19" s="990"/>
      <c r="G19" s="990"/>
      <c r="H19" s="990"/>
      <c r="I19" s="990"/>
      <c r="J19" s="990"/>
      <c r="K19" s="990"/>
      <c r="L19" s="990"/>
      <c r="M19" s="990"/>
      <c r="N19" s="990"/>
      <c r="O19" s="990"/>
      <c r="P19" s="990"/>
      <c r="Q19" s="990"/>
      <c r="R19" s="990"/>
      <c r="S19" s="990"/>
      <c r="T19" s="990"/>
      <c r="U19" s="990"/>
      <c r="V19" s="990"/>
      <c r="W19" s="990"/>
      <c r="X19" s="990"/>
      <c r="Y19" s="990"/>
      <c r="Z19" s="990"/>
      <c r="AA19" s="990"/>
      <c r="AB19" s="990"/>
      <c r="AC19" s="990"/>
      <c r="AD19" s="990"/>
      <c r="AE19" s="990"/>
      <c r="AF19" s="991">
        <f t="shared" si="2"/>
        <v>0</v>
      </c>
      <c r="AG19" s="992">
        <f t="shared" si="3"/>
        <v>2161</v>
      </c>
    </row>
    <row r="20" spans="1:34" s="980" customFormat="1" ht="18" customHeight="1" x14ac:dyDescent="0.2">
      <c r="A20" s="978">
        <v>4</v>
      </c>
      <c r="B20" s="1235"/>
      <c r="C20" s="1236"/>
      <c r="D20" s="491"/>
      <c r="E20" s="979"/>
      <c r="F20" s="979"/>
      <c r="G20" s="979"/>
      <c r="H20" s="979"/>
      <c r="I20" s="979"/>
      <c r="J20" s="979"/>
      <c r="K20" s="979"/>
      <c r="L20" s="979"/>
      <c r="M20" s="979"/>
      <c r="N20" s="979"/>
      <c r="O20" s="979"/>
      <c r="P20" s="979"/>
      <c r="Q20" s="979"/>
      <c r="R20" s="979"/>
      <c r="S20" s="979"/>
      <c r="T20" s="979"/>
      <c r="U20" s="979"/>
      <c r="V20" s="979"/>
      <c r="W20" s="979"/>
      <c r="X20" s="979"/>
      <c r="Y20" s="979"/>
      <c r="Z20" s="979"/>
      <c r="AA20" s="979"/>
      <c r="AB20" s="979"/>
      <c r="AC20" s="979"/>
      <c r="AD20" s="979"/>
      <c r="AE20" s="979"/>
      <c r="AF20" s="987">
        <f t="shared" si="2"/>
        <v>0</v>
      </c>
      <c r="AG20" s="988">
        <f t="shared" si="3"/>
        <v>2161</v>
      </c>
    </row>
    <row r="21" spans="1:34" s="993" customFormat="1" ht="18" customHeight="1" x14ac:dyDescent="0.2">
      <c r="A21" s="989">
        <v>5</v>
      </c>
      <c r="B21" s="1241"/>
      <c r="C21" s="1242"/>
      <c r="D21" s="411"/>
      <c r="E21" s="990"/>
      <c r="F21" s="990"/>
      <c r="G21" s="990"/>
      <c r="H21" s="990"/>
      <c r="I21" s="990"/>
      <c r="J21" s="990"/>
      <c r="K21" s="990"/>
      <c r="L21" s="990"/>
      <c r="M21" s="990"/>
      <c r="N21" s="990"/>
      <c r="O21" s="990"/>
      <c r="P21" s="990"/>
      <c r="Q21" s="990"/>
      <c r="R21" s="990"/>
      <c r="S21" s="990"/>
      <c r="T21" s="990"/>
      <c r="U21" s="990"/>
      <c r="V21" s="990"/>
      <c r="W21" s="990"/>
      <c r="X21" s="990"/>
      <c r="Y21" s="990"/>
      <c r="Z21" s="990"/>
      <c r="AA21" s="990"/>
      <c r="AB21" s="990"/>
      <c r="AC21" s="990"/>
      <c r="AD21" s="990"/>
      <c r="AE21" s="990"/>
      <c r="AF21" s="991">
        <f t="shared" si="2"/>
        <v>0</v>
      </c>
      <c r="AG21" s="992">
        <f t="shared" si="3"/>
        <v>2161</v>
      </c>
    </row>
    <row r="22" spans="1:34" s="980" customFormat="1" ht="18" customHeight="1" x14ac:dyDescent="0.2">
      <c r="A22" s="978">
        <v>6</v>
      </c>
      <c r="B22" s="1235"/>
      <c r="C22" s="1236"/>
      <c r="D22" s="491"/>
      <c r="E22" s="979"/>
      <c r="F22" s="979"/>
      <c r="G22" s="979"/>
      <c r="H22" s="979"/>
      <c r="I22" s="979"/>
      <c r="J22" s="979"/>
      <c r="K22" s="979"/>
      <c r="L22" s="979"/>
      <c r="M22" s="979"/>
      <c r="N22" s="979"/>
      <c r="O22" s="979"/>
      <c r="P22" s="979"/>
      <c r="Q22" s="979"/>
      <c r="R22" s="979"/>
      <c r="S22" s="979"/>
      <c r="T22" s="979"/>
      <c r="U22" s="979"/>
      <c r="V22" s="979"/>
      <c r="W22" s="979"/>
      <c r="X22" s="979"/>
      <c r="Y22" s="979"/>
      <c r="Z22" s="979"/>
      <c r="AA22" s="979"/>
      <c r="AB22" s="979"/>
      <c r="AC22" s="979"/>
      <c r="AD22" s="979"/>
      <c r="AE22" s="979"/>
      <c r="AF22" s="987">
        <f t="shared" si="2"/>
        <v>0</v>
      </c>
      <c r="AG22" s="988">
        <f t="shared" si="3"/>
        <v>2161</v>
      </c>
    </row>
    <row r="23" spans="1:34" s="993" customFormat="1" ht="18" customHeight="1" x14ac:dyDescent="0.2">
      <c r="A23" s="989">
        <v>7</v>
      </c>
      <c r="B23" s="1241"/>
      <c r="C23" s="1242"/>
      <c r="D23" s="411"/>
      <c r="E23" s="990"/>
      <c r="F23" s="990"/>
      <c r="G23" s="990"/>
      <c r="H23" s="990"/>
      <c r="I23" s="990"/>
      <c r="J23" s="990"/>
      <c r="K23" s="990"/>
      <c r="L23" s="990"/>
      <c r="M23" s="990"/>
      <c r="N23" s="990"/>
      <c r="O23" s="990"/>
      <c r="P23" s="990"/>
      <c r="Q23" s="990"/>
      <c r="R23" s="990"/>
      <c r="S23" s="990"/>
      <c r="T23" s="990"/>
      <c r="U23" s="990"/>
      <c r="V23" s="990"/>
      <c r="W23" s="990"/>
      <c r="X23" s="990"/>
      <c r="Y23" s="990"/>
      <c r="Z23" s="990"/>
      <c r="AA23" s="990"/>
      <c r="AB23" s="990"/>
      <c r="AC23" s="990"/>
      <c r="AD23" s="990"/>
      <c r="AE23" s="990"/>
      <c r="AF23" s="991">
        <f t="shared" si="2"/>
        <v>0</v>
      </c>
      <c r="AG23" s="992">
        <f t="shared" si="3"/>
        <v>2161</v>
      </c>
    </row>
    <row r="24" spans="1:34" s="980" customFormat="1" ht="18" customHeight="1" x14ac:dyDescent="0.2">
      <c r="A24" s="978">
        <v>8</v>
      </c>
      <c r="B24" s="1235"/>
      <c r="C24" s="1236"/>
      <c r="D24" s="491"/>
      <c r="E24" s="979"/>
      <c r="F24" s="979"/>
      <c r="G24" s="979"/>
      <c r="H24" s="979"/>
      <c r="I24" s="979"/>
      <c r="J24" s="979"/>
      <c r="K24" s="979"/>
      <c r="L24" s="979"/>
      <c r="M24" s="979"/>
      <c r="N24" s="979"/>
      <c r="O24" s="979"/>
      <c r="P24" s="979"/>
      <c r="Q24" s="979"/>
      <c r="R24" s="979"/>
      <c r="S24" s="979"/>
      <c r="T24" s="979"/>
      <c r="U24" s="979"/>
      <c r="V24" s="979"/>
      <c r="W24" s="979"/>
      <c r="X24" s="979"/>
      <c r="Y24" s="979"/>
      <c r="Z24" s="979"/>
      <c r="AA24" s="979"/>
      <c r="AB24" s="979"/>
      <c r="AC24" s="979"/>
      <c r="AD24" s="979"/>
      <c r="AE24" s="979"/>
      <c r="AF24" s="987">
        <f t="shared" si="2"/>
        <v>0</v>
      </c>
      <c r="AG24" s="988">
        <f t="shared" si="3"/>
        <v>2161</v>
      </c>
    </row>
    <row r="25" spans="1:34" s="993" customFormat="1" ht="18" customHeight="1" x14ac:dyDescent="0.2">
      <c r="A25" s="989">
        <v>9</v>
      </c>
      <c r="B25" s="1241"/>
      <c r="C25" s="1242"/>
      <c r="D25" s="411"/>
      <c r="E25" s="990"/>
      <c r="F25" s="990"/>
      <c r="G25" s="990"/>
      <c r="H25" s="990"/>
      <c r="I25" s="990"/>
      <c r="J25" s="990"/>
      <c r="K25" s="990"/>
      <c r="L25" s="990"/>
      <c r="M25" s="990"/>
      <c r="N25" s="990"/>
      <c r="O25" s="990"/>
      <c r="P25" s="990"/>
      <c r="Q25" s="990"/>
      <c r="R25" s="990"/>
      <c r="S25" s="990"/>
      <c r="T25" s="990"/>
      <c r="U25" s="990"/>
      <c r="V25" s="990"/>
      <c r="W25" s="990"/>
      <c r="X25" s="990"/>
      <c r="Y25" s="990"/>
      <c r="Z25" s="990"/>
      <c r="AA25" s="990"/>
      <c r="AB25" s="990"/>
      <c r="AC25" s="990"/>
      <c r="AD25" s="990"/>
      <c r="AE25" s="990"/>
      <c r="AF25" s="991">
        <f t="shared" si="2"/>
        <v>0</v>
      </c>
      <c r="AG25" s="992">
        <f t="shared" si="3"/>
        <v>2161</v>
      </c>
    </row>
    <row r="26" spans="1:34" s="980" customFormat="1" ht="18" customHeight="1" x14ac:dyDescent="0.2">
      <c r="A26" s="978">
        <v>10</v>
      </c>
      <c r="B26" s="1235"/>
      <c r="C26" s="1236"/>
      <c r="D26" s="979"/>
      <c r="E26" s="979"/>
      <c r="F26" s="979"/>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D26" s="979"/>
      <c r="AE26" s="979"/>
      <c r="AF26" s="987">
        <f t="shared" si="2"/>
        <v>0</v>
      </c>
      <c r="AG26" s="988">
        <f t="shared" si="3"/>
        <v>2161</v>
      </c>
    </row>
    <row r="27" spans="1:34" ht="15" customHeight="1" x14ac:dyDescent="0.2">
      <c r="A27" s="981"/>
      <c r="B27" s="1237" t="str">
        <f>UPPER($A$1) &amp; "   " &amp; UPPER($AK$1) &amp; " TOTAL (HOURS) "</f>
        <v xml:space="preserve">PHASE   PAGE 1 TOTAL (HOURS) </v>
      </c>
      <c r="C27" s="1238"/>
      <c r="D27" s="982">
        <f t="shared" ref="D27:AE27" si="4">SUM(D16:D26)</f>
        <v>1</v>
      </c>
      <c r="E27" s="983">
        <f t="shared" si="4"/>
        <v>1</v>
      </c>
      <c r="F27" s="983">
        <f t="shared" si="4"/>
        <v>1</v>
      </c>
      <c r="G27" s="984">
        <f t="shared" si="4"/>
        <v>1</v>
      </c>
      <c r="H27" s="982">
        <f t="shared" si="4"/>
        <v>1</v>
      </c>
      <c r="I27" s="983">
        <f t="shared" si="4"/>
        <v>1</v>
      </c>
      <c r="J27" s="983">
        <f t="shared" si="4"/>
        <v>1</v>
      </c>
      <c r="K27" s="984">
        <f t="shared" si="4"/>
        <v>1</v>
      </c>
      <c r="L27" s="982">
        <f t="shared" si="4"/>
        <v>0</v>
      </c>
      <c r="M27" s="983">
        <f t="shared" si="4"/>
        <v>0</v>
      </c>
      <c r="N27" s="983">
        <f t="shared" si="4"/>
        <v>0</v>
      </c>
      <c r="O27" s="984">
        <f t="shared" si="4"/>
        <v>0</v>
      </c>
      <c r="P27" s="982">
        <f t="shared" si="4"/>
        <v>0</v>
      </c>
      <c r="Q27" s="983">
        <f t="shared" si="4"/>
        <v>0</v>
      </c>
      <c r="R27" s="983">
        <f t="shared" si="4"/>
        <v>0</v>
      </c>
      <c r="S27" s="984">
        <f t="shared" si="4"/>
        <v>0</v>
      </c>
      <c r="T27" s="982">
        <f t="shared" si="4"/>
        <v>0</v>
      </c>
      <c r="U27" s="983">
        <f t="shared" si="4"/>
        <v>0</v>
      </c>
      <c r="V27" s="983">
        <f t="shared" si="4"/>
        <v>0</v>
      </c>
      <c r="W27" s="984">
        <f t="shared" si="4"/>
        <v>0</v>
      </c>
      <c r="X27" s="982">
        <f t="shared" si="4"/>
        <v>0</v>
      </c>
      <c r="Y27" s="983">
        <f t="shared" si="4"/>
        <v>0</v>
      </c>
      <c r="Z27" s="983">
        <f t="shared" si="4"/>
        <v>0</v>
      </c>
      <c r="AA27" s="984">
        <f t="shared" si="4"/>
        <v>0</v>
      </c>
      <c r="AB27" s="982">
        <f t="shared" si="4"/>
        <v>0</v>
      </c>
      <c r="AC27" s="983">
        <f t="shared" si="4"/>
        <v>0</v>
      </c>
      <c r="AD27" s="983">
        <f t="shared" si="4"/>
        <v>0</v>
      </c>
      <c r="AE27" s="984">
        <f t="shared" si="4"/>
        <v>0</v>
      </c>
      <c r="AF27" s="985"/>
      <c r="AG27" s="986"/>
      <c r="AH27" s="546" t="str">
        <f>IF(AG28=AG44, "Check","Error")</f>
        <v>Check</v>
      </c>
    </row>
    <row r="28" spans="1:34" ht="13.5" thickBot="1" x14ac:dyDescent="0.25">
      <c r="A28" s="258"/>
      <c r="B28" s="1239" t="str">
        <f>UPPER($A$1) &amp; "   " &amp; " CUMULATIVE SUB-TOTAL"</f>
        <v>PHASE    CUMULATIVE SUB-TOTAL</v>
      </c>
      <c r="C28" s="1240"/>
      <c r="D28" s="275">
        <f t="shared" ref="D28:AE28" si="5">D27*D7</f>
        <v>363</v>
      </c>
      <c r="E28" s="276">
        <f t="shared" si="5"/>
        <v>316</v>
      </c>
      <c r="F28" s="276">
        <f t="shared" si="5"/>
        <v>283</v>
      </c>
      <c r="G28" s="277">
        <f t="shared" si="5"/>
        <v>262</v>
      </c>
      <c r="H28" s="275">
        <f t="shared" si="5"/>
        <v>254</v>
      </c>
      <c r="I28" s="276">
        <f t="shared" si="5"/>
        <v>235</v>
      </c>
      <c r="J28" s="276">
        <f t="shared" si="5"/>
        <v>229</v>
      </c>
      <c r="K28" s="277">
        <f t="shared" si="5"/>
        <v>219</v>
      </c>
      <c r="L28" s="275">
        <f t="shared" si="5"/>
        <v>0</v>
      </c>
      <c r="M28" s="276">
        <f t="shared" si="5"/>
        <v>0</v>
      </c>
      <c r="N28" s="276">
        <f t="shared" si="5"/>
        <v>0</v>
      </c>
      <c r="O28" s="277">
        <f t="shared" si="5"/>
        <v>0</v>
      </c>
      <c r="P28" s="275">
        <f t="shared" si="5"/>
        <v>0</v>
      </c>
      <c r="Q28" s="276">
        <f t="shared" si="5"/>
        <v>0</v>
      </c>
      <c r="R28" s="276">
        <f t="shared" si="5"/>
        <v>0</v>
      </c>
      <c r="S28" s="277">
        <f t="shared" si="5"/>
        <v>0</v>
      </c>
      <c r="T28" s="275">
        <f t="shared" si="5"/>
        <v>0</v>
      </c>
      <c r="U28" s="276">
        <f t="shared" si="5"/>
        <v>0</v>
      </c>
      <c r="V28" s="276">
        <f t="shared" si="5"/>
        <v>0</v>
      </c>
      <c r="W28" s="277">
        <f t="shared" si="5"/>
        <v>0</v>
      </c>
      <c r="X28" s="275">
        <f t="shared" si="5"/>
        <v>0</v>
      </c>
      <c r="Y28" s="276">
        <f t="shared" si="5"/>
        <v>0</v>
      </c>
      <c r="Z28" s="276">
        <f t="shared" si="5"/>
        <v>0</v>
      </c>
      <c r="AA28" s="277">
        <f t="shared" si="5"/>
        <v>0</v>
      </c>
      <c r="AB28" s="275">
        <f t="shared" si="5"/>
        <v>0</v>
      </c>
      <c r="AC28" s="276">
        <f t="shared" si="5"/>
        <v>0</v>
      </c>
      <c r="AD28" s="276">
        <f t="shared" si="5"/>
        <v>0</v>
      </c>
      <c r="AE28" s="277">
        <f t="shared" si="5"/>
        <v>0</v>
      </c>
      <c r="AF28" s="547"/>
      <c r="AG28" s="548">
        <f>AG26</f>
        <v>2161</v>
      </c>
    </row>
    <row r="29" spans="1:34" ht="13.5" thickBot="1" x14ac:dyDescent="0.25">
      <c r="D29" s="51">
        <f>SUM(D16:D25)</f>
        <v>1</v>
      </c>
    </row>
    <row r="30" spans="1:34" x14ac:dyDescent="0.2">
      <c r="A30" s="529"/>
      <c r="B30" s="525"/>
      <c r="C30" s="526"/>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30"/>
    </row>
    <row r="31" spans="1:34" x14ac:dyDescent="0.2">
      <c r="A31" s="977"/>
      <c r="AE31" s="531"/>
    </row>
    <row r="32" spans="1:34" x14ac:dyDescent="0.2">
      <c r="A32" s="528"/>
      <c r="AE32" s="531"/>
    </row>
    <row r="33" spans="1:34" x14ac:dyDescent="0.2">
      <c r="A33" s="528"/>
      <c r="AE33" s="531"/>
    </row>
    <row r="34" spans="1:34" hidden="1" x14ac:dyDescent="0.2">
      <c r="A34" s="914"/>
      <c r="B34" s="915"/>
      <c r="C34" s="916" t="s">
        <v>658</v>
      </c>
      <c r="D34" s="917">
        <f t="shared" ref="D34:AE34" si="6">D28-(D35+D37)</f>
        <v>86.728474600000027</v>
      </c>
      <c r="E34" s="917">
        <f t="shared" si="6"/>
        <v>66.475679901142882</v>
      </c>
      <c r="F34" s="917">
        <f t="shared" si="6"/>
        <v>67.165102434977399</v>
      </c>
      <c r="G34" s="917">
        <f t="shared" si="6"/>
        <v>51.936424099071218</v>
      </c>
      <c r="H34" s="917">
        <f t="shared" si="6"/>
        <v>67.494780579999997</v>
      </c>
      <c r="I34" s="917">
        <f t="shared" si="6"/>
        <v>56.278942437333342</v>
      </c>
      <c r="J34" s="917">
        <f t="shared" si="6"/>
        <v>52.923067691755136</v>
      </c>
      <c r="K34" s="917">
        <f t="shared" si="6"/>
        <v>62.756056966293329</v>
      </c>
      <c r="L34" s="917">
        <f t="shared" si="6"/>
        <v>0</v>
      </c>
      <c r="M34" s="917">
        <f t="shared" si="6"/>
        <v>0</v>
      </c>
      <c r="N34" s="917">
        <f t="shared" si="6"/>
        <v>0</v>
      </c>
      <c r="O34" s="917">
        <f t="shared" si="6"/>
        <v>0</v>
      </c>
      <c r="P34" s="917">
        <f t="shared" si="6"/>
        <v>0</v>
      </c>
      <c r="Q34" s="917">
        <f t="shared" si="6"/>
        <v>0</v>
      </c>
      <c r="R34" s="917">
        <f t="shared" si="6"/>
        <v>0</v>
      </c>
      <c r="S34" s="917">
        <f t="shared" si="6"/>
        <v>0</v>
      </c>
      <c r="T34" s="917">
        <f t="shared" si="6"/>
        <v>0</v>
      </c>
      <c r="U34" s="917">
        <f t="shared" si="6"/>
        <v>0</v>
      </c>
      <c r="V34" s="917">
        <f t="shared" si="6"/>
        <v>0</v>
      </c>
      <c r="W34" s="917">
        <f t="shared" si="6"/>
        <v>0</v>
      </c>
      <c r="X34" s="917">
        <f t="shared" si="6"/>
        <v>0</v>
      </c>
      <c r="Y34" s="917">
        <f t="shared" si="6"/>
        <v>0</v>
      </c>
      <c r="Z34" s="917">
        <f t="shared" si="6"/>
        <v>0</v>
      </c>
      <c r="AA34" s="917">
        <f t="shared" si="6"/>
        <v>0</v>
      </c>
      <c r="AB34" s="917">
        <f t="shared" si="6"/>
        <v>0</v>
      </c>
      <c r="AC34" s="917">
        <f t="shared" si="6"/>
        <v>0</v>
      </c>
      <c r="AD34" s="917">
        <f t="shared" si="6"/>
        <v>0</v>
      </c>
      <c r="AE34" s="917">
        <f t="shared" si="6"/>
        <v>0</v>
      </c>
      <c r="AF34" s="915"/>
      <c r="AG34" s="918"/>
      <c r="AH34" s="385" t="s">
        <v>654</v>
      </c>
    </row>
    <row r="35" spans="1:34" ht="13.5" hidden="1" thickBot="1" x14ac:dyDescent="0.25">
      <c r="A35" s="914"/>
      <c r="B35" s="915"/>
      <c r="C35" s="916" t="s">
        <v>654</v>
      </c>
      <c r="D35" s="919">
        <f t="shared" ref="D35:AE35" si="7">IF(D11="",D12*D27,D11*D27)</f>
        <v>111.85081999999998</v>
      </c>
      <c r="E35" s="919">
        <f t="shared" si="7"/>
        <v>101.02199194285713</v>
      </c>
      <c r="F35" s="919">
        <f t="shared" si="7"/>
        <v>87.382549621466637</v>
      </c>
      <c r="G35" s="919">
        <f t="shared" si="7"/>
        <v>85.045982146125013</v>
      </c>
      <c r="H35" s="919">
        <f t="shared" si="7"/>
        <v>75.508185999999995</v>
      </c>
      <c r="I35" s="919">
        <f t="shared" si="7"/>
        <v>72.356703466666659</v>
      </c>
      <c r="J35" s="919">
        <f t="shared" si="7"/>
        <v>71.286207412244877</v>
      </c>
      <c r="K35" s="919">
        <f t="shared" si="7"/>
        <v>63.256657098666665</v>
      </c>
      <c r="L35" s="919">
        <f t="shared" si="7"/>
        <v>0</v>
      </c>
      <c r="M35" s="919">
        <f t="shared" si="7"/>
        <v>0</v>
      </c>
      <c r="N35" s="919">
        <f t="shared" si="7"/>
        <v>0</v>
      </c>
      <c r="O35" s="919">
        <f t="shared" si="7"/>
        <v>0</v>
      </c>
      <c r="P35" s="919">
        <f t="shared" si="7"/>
        <v>0</v>
      </c>
      <c r="Q35" s="919">
        <f t="shared" si="7"/>
        <v>0</v>
      </c>
      <c r="R35" s="919">
        <f t="shared" si="7"/>
        <v>0</v>
      </c>
      <c r="S35" s="919">
        <f t="shared" si="7"/>
        <v>0</v>
      </c>
      <c r="T35" s="919">
        <f t="shared" si="7"/>
        <v>0</v>
      </c>
      <c r="U35" s="919">
        <f t="shared" si="7"/>
        <v>0</v>
      </c>
      <c r="V35" s="919">
        <f t="shared" si="7"/>
        <v>0</v>
      </c>
      <c r="W35" s="919">
        <f t="shared" si="7"/>
        <v>0</v>
      </c>
      <c r="X35" s="919">
        <f t="shared" si="7"/>
        <v>0</v>
      </c>
      <c r="Y35" s="919">
        <f t="shared" si="7"/>
        <v>0</v>
      </c>
      <c r="Z35" s="919">
        <f t="shared" si="7"/>
        <v>0</v>
      </c>
      <c r="AA35" s="919">
        <f t="shared" si="7"/>
        <v>0</v>
      </c>
      <c r="AB35" s="919">
        <f t="shared" si="7"/>
        <v>0</v>
      </c>
      <c r="AC35" s="919">
        <f t="shared" si="7"/>
        <v>0</v>
      </c>
      <c r="AD35" s="919">
        <f t="shared" si="7"/>
        <v>0</v>
      </c>
      <c r="AE35" s="919">
        <f t="shared" si="7"/>
        <v>0</v>
      </c>
      <c r="AF35" s="915"/>
      <c r="AG35" s="920">
        <f>SUM(D35:AE35)</f>
        <v>667.70909768802687</v>
      </c>
    </row>
    <row r="36" spans="1:34" hidden="1" x14ac:dyDescent="0.2">
      <c r="A36" s="914"/>
      <c r="B36" s="915"/>
      <c r="C36" s="916" t="s">
        <v>652</v>
      </c>
      <c r="D36" s="921">
        <f>VLOOKUP(D8,'Labor &amp; Practice Lookups'!$Q$4:$V$11,D40,FALSE)</f>
        <v>1.47</v>
      </c>
      <c r="E36" s="921">
        <f>VLOOKUP(E8,'Labor &amp; Practice Lookups'!$Q$4:$V$11,E40,FALSE)</f>
        <v>1.47</v>
      </c>
      <c r="F36" s="921">
        <f>VLOOKUP(F8,'Labor &amp; Practice Lookups'!$Q$4:$V$11,F40,FALSE)</f>
        <v>1.47</v>
      </c>
      <c r="G36" s="921">
        <f>VLOOKUP(G8,'Labor &amp; Practice Lookups'!$Q$4:$V$11,G40,FALSE)</f>
        <v>1.47</v>
      </c>
      <c r="H36" s="921">
        <f>VLOOKUP(H8,'Labor &amp; Practice Lookups'!$Q$4:$V$11,H40,FALSE)</f>
        <v>1.47</v>
      </c>
      <c r="I36" s="921">
        <f>VLOOKUP(I8,'Labor &amp; Practice Lookups'!$Q$4:$V$11,I40,FALSE)</f>
        <v>1.47</v>
      </c>
      <c r="J36" s="921">
        <f>VLOOKUP(J8,'Labor &amp; Practice Lookups'!$Q$4:$V$11,J40,FALSE)</f>
        <v>1.47</v>
      </c>
      <c r="K36" s="921">
        <f>VLOOKUP(K8,'Labor &amp; Practice Lookups'!$Q$4:$V$11,K40,FALSE)</f>
        <v>1.47</v>
      </c>
      <c r="L36" s="921">
        <f>VLOOKUP(L8,'Labor &amp; Practice Lookups'!$Q$4:$V$11,L40,FALSE)</f>
        <v>1.47</v>
      </c>
      <c r="M36" s="921">
        <f>VLOOKUP(M8,'Labor &amp; Practice Lookups'!$Q$4:$V$11,M40,FALSE)</f>
        <v>1.47</v>
      </c>
      <c r="N36" s="921">
        <f>VLOOKUP(N8,'Labor &amp; Practice Lookups'!$Q$4:$V$11,N40,FALSE)</f>
        <v>1.47</v>
      </c>
      <c r="O36" s="921">
        <f>VLOOKUP(O8,'Labor &amp; Practice Lookups'!$Q$4:$V$11,O40,FALSE)</f>
        <v>1.47</v>
      </c>
      <c r="P36" s="921">
        <f>VLOOKUP(P8,'Labor &amp; Practice Lookups'!$Q$4:$V$11,P40,FALSE)</f>
        <v>1.47</v>
      </c>
      <c r="Q36" s="921">
        <f>VLOOKUP(Q8,'Labor &amp; Practice Lookups'!$Q$4:$V$11,Q40,FALSE)</f>
        <v>1.47</v>
      </c>
      <c r="R36" s="921">
        <f>VLOOKUP(R8,'Labor &amp; Practice Lookups'!$Q$4:$V$11,R40,FALSE)</f>
        <v>1.47</v>
      </c>
      <c r="S36" s="921">
        <f>VLOOKUP(S8,'Labor &amp; Practice Lookups'!$Q$4:$V$11,S40,FALSE)</f>
        <v>1.47</v>
      </c>
      <c r="T36" s="921">
        <f>VLOOKUP(T8,'Labor &amp; Practice Lookups'!$Q$4:$V$11,T40,FALSE)</f>
        <v>1.47</v>
      </c>
      <c r="U36" s="921">
        <f>VLOOKUP(U8,'Labor &amp; Practice Lookups'!$Q$4:$V$11,U40,FALSE)</f>
        <v>1.47</v>
      </c>
      <c r="V36" s="921">
        <f>VLOOKUP(V8,'Labor &amp; Practice Lookups'!$Q$4:$V$11,V40,FALSE)</f>
        <v>1.47</v>
      </c>
      <c r="W36" s="921">
        <f>VLOOKUP(W8,'Labor &amp; Practice Lookups'!$Q$4:$V$11,W40,FALSE)</f>
        <v>1.47</v>
      </c>
      <c r="X36" s="921">
        <f>VLOOKUP(X8,'Labor &amp; Practice Lookups'!$Q$4:$V$11,X40,FALSE)</f>
        <v>1.47</v>
      </c>
      <c r="Y36" s="921">
        <f>VLOOKUP(Y8,'Labor &amp; Practice Lookups'!$Q$4:$V$11,Y40,FALSE)</f>
        <v>1.47</v>
      </c>
      <c r="Z36" s="921">
        <f>VLOOKUP(Z8,'Labor &amp; Practice Lookups'!$Q$4:$V$11,Z40,FALSE)</f>
        <v>1.47</v>
      </c>
      <c r="AA36" s="921">
        <f>VLOOKUP(AA8,'Labor &amp; Practice Lookups'!$Q$4:$V$11,AA40,FALSE)</f>
        <v>1.47</v>
      </c>
      <c r="AB36" s="921">
        <f>VLOOKUP(AB8,'Labor &amp; Practice Lookups'!$Q$4:$V$11,AB40,FALSE)</f>
        <v>1.47</v>
      </c>
      <c r="AC36" s="921">
        <f>VLOOKUP(AC8,'Labor &amp; Practice Lookups'!$Q$4:$V$11,AC40,FALSE)</f>
        <v>1.47</v>
      </c>
      <c r="AD36" s="921">
        <f>VLOOKUP(AD8,'Labor &amp; Practice Lookups'!$Q$4:$V$11,AD40,FALSE)</f>
        <v>1.47</v>
      </c>
      <c r="AE36" s="921">
        <f>VLOOKUP(AE8,'Labor &amp; Practice Lookups'!$Q$4:$V$11,AE40,FALSE)</f>
        <v>1.47</v>
      </c>
      <c r="AF36" s="915"/>
      <c r="AG36" s="922"/>
      <c r="AH36" s="385" t="s">
        <v>385</v>
      </c>
    </row>
    <row r="37" spans="1:34" ht="13.5" hidden="1" thickBot="1" x14ac:dyDescent="0.25">
      <c r="A37" s="914"/>
      <c r="B37" s="915"/>
      <c r="C37" s="916" t="s">
        <v>385</v>
      </c>
      <c r="D37" s="923">
        <f>D36*D35</f>
        <v>164.42070539999997</v>
      </c>
      <c r="E37" s="923">
        <f>E36*E35</f>
        <v>148.50232815599998</v>
      </c>
      <c r="F37" s="923">
        <f>F36*F35</f>
        <v>128.45234794355596</v>
      </c>
      <c r="G37" s="923">
        <f t="shared" ref="G37:AE37" si="8">G36*G35</f>
        <v>125.01759375480377</v>
      </c>
      <c r="H37" s="923">
        <f t="shared" si="8"/>
        <v>110.99703341999999</v>
      </c>
      <c r="I37" s="923">
        <f t="shared" si="8"/>
        <v>106.36435409599999</v>
      </c>
      <c r="J37" s="923">
        <f t="shared" si="8"/>
        <v>104.79072489599997</v>
      </c>
      <c r="K37" s="923">
        <f t="shared" si="8"/>
        <v>92.987285935039992</v>
      </c>
      <c r="L37" s="923">
        <f t="shared" si="8"/>
        <v>0</v>
      </c>
      <c r="M37" s="923">
        <f t="shared" si="8"/>
        <v>0</v>
      </c>
      <c r="N37" s="923">
        <f t="shared" si="8"/>
        <v>0</v>
      </c>
      <c r="O37" s="923">
        <f t="shared" si="8"/>
        <v>0</v>
      </c>
      <c r="P37" s="923">
        <f t="shared" si="8"/>
        <v>0</v>
      </c>
      <c r="Q37" s="923">
        <f t="shared" si="8"/>
        <v>0</v>
      </c>
      <c r="R37" s="923">
        <f t="shared" si="8"/>
        <v>0</v>
      </c>
      <c r="S37" s="923">
        <f t="shared" si="8"/>
        <v>0</v>
      </c>
      <c r="T37" s="923">
        <f t="shared" si="8"/>
        <v>0</v>
      </c>
      <c r="U37" s="923">
        <f t="shared" si="8"/>
        <v>0</v>
      </c>
      <c r="V37" s="923">
        <f t="shared" si="8"/>
        <v>0</v>
      </c>
      <c r="W37" s="923">
        <f t="shared" si="8"/>
        <v>0</v>
      </c>
      <c r="X37" s="923">
        <f t="shared" si="8"/>
        <v>0</v>
      </c>
      <c r="Y37" s="923">
        <f t="shared" si="8"/>
        <v>0</v>
      </c>
      <c r="Z37" s="923">
        <f t="shared" si="8"/>
        <v>0</v>
      </c>
      <c r="AA37" s="923">
        <f t="shared" si="8"/>
        <v>0</v>
      </c>
      <c r="AB37" s="923">
        <f t="shared" si="8"/>
        <v>0</v>
      </c>
      <c r="AC37" s="923">
        <f t="shared" si="8"/>
        <v>0</v>
      </c>
      <c r="AD37" s="923">
        <f t="shared" si="8"/>
        <v>0</v>
      </c>
      <c r="AE37" s="923">
        <f t="shared" si="8"/>
        <v>0</v>
      </c>
      <c r="AF37" s="915"/>
      <c r="AG37" s="920">
        <f>SUM(D37:AE37)</f>
        <v>981.53237360139963</v>
      </c>
    </row>
    <row r="38" spans="1:34" hidden="1" x14ac:dyDescent="0.2">
      <c r="A38" s="914"/>
      <c r="B38" s="915"/>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15"/>
      <c r="AG38" s="915"/>
    </row>
    <row r="39" spans="1:34" hidden="1" x14ac:dyDescent="0.2">
      <c r="A39" s="914"/>
      <c r="B39" s="915"/>
      <c r="C39" s="925" t="s">
        <v>650</v>
      </c>
      <c r="D39" s="925">
        <f>VLOOKUP(D8,'Labor &amp; Practice Lookups'!$K$4:$L$10,2,FALSE)</f>
        <v>9</v>
      </c>
      <c r="E39" s="925">
        <f>VLOOKUP(E8,'Labor &amp; Practice Lookups'!$K$4:$L$10,2,FALSE)</f>
        <v>9</v>
      </c>
      <c r="F39" s="925">
        <f>VLOOKUP(F8,'Labor &amp; Practice Lookups'!$K$4:$L$10,2,FALSE)</f>
        <v>9</v>
      </c>
      <c r="G39" s="925">
        <f>VLOOKUP(G8,'Labor &amp; Practice Lookups'!$K$4:$L$10,2,FALSE)</f>
        <v>9</v>
      </c>
      <c r="H39" s="925">
        <f>VLOOKUP(H8,'Labor &amp; Practice Lookups'!$K$4:$L$10,2,FALSE)</f>
        <v>9</v>
      </c>
      <c r="I39" s="925">
        <f>VLOOKUP(I8,'Labor &amp; Practice Lookups'!$K$4:$L$10,2,FALSE)</f>
        <v>9</v>
      </c>
      <c r="J39" s="925">
        <f>VLOOKUP(J8,'Labor &amp; Practice Lookups'!$K$4:$L$10,2,FALSE)</f>
        <v>9</v>
      </c>
      <c r="K39" s="925">
        <f>VLOOKUP(K8,'Labor &amp; Practice Lookups'!$K$4:$L$10,2,FALSE)</f>
        <v>9</v>
      </c>
      <c r="L39" s="925">
        <f>VLOOKUP(L8,'Labor &amp; Practice Lookups'!$K$4:$L$10,2,FALSE)</f>
        <v>9</v>
      </c>
      <c r="M39" s="925">
        <f>VLOOKUP(M8,'Labor &amp; Practice Lookups'!$K$4:$L$10,2,FALSE)</f>
        <v>9</v>
      </c>
      <c r="N39" s="925">
        <f>VLOOKUP(N8,'Labor &amp; Practice Lookups'!$K$4:$L$10,2,FALSE)</f>
        <v>9</v>
      </c>
      <c r="O39" s="925">
        <f>VLOOKUP(O8,'Labor &amp; Practice Lookups'!$K$4:$L$10,2,FALSE)</f>
        <v>9</v>
      </c>
      <c r="P39" s="925">
        <f>VLOOKUP(P8,'Labor &amp; Practice Lookups'!$K$4:$L$10,2,FALSE)</f>
        <v>9</v>
      </c>
      <c r="Q39" s="925">
        <f>VLOOKUP(Q8,'Labor &amp; Practice Lookups'!$K$4:$L$10,2,FALSE)</f>
        <v>9</v>
      </c>
      <c r="R39" s="925">
        <f>VLOOKUP(R8,'Labor &amp; Practice Lookups'!$K$4:$L$10,2,FALSE)</f>
        <v>9</v>
      </c>
      <c r="S39" s="925">
        <f>VLOOKUP(S8,'Labor &amp; Practice Lookups'!$K$4:$L$10,2,FALSE)</f>
        <v>9</v>
      </c>
      <c r="T39" s="925">
        <f>VLOOKUP(T8,'Labor &amp; Practice Lookups'!$K$4:$L$10,2,FALSE)</f>
        <v>9</v>
      </c>
      <c r="U39" s="925">
        <f>VLOOKUP(U8,'Labor &amp; Practice Lookups'!$K$4:$L$10,2,FALSE)</f>
        <v>9</v>
      </c>
      <c r="V39" s="925">
        <f>VLOOKUP(V8,'Labor &amp; Practice Lookups'!$K$4:$L$10,2,FALSE)</f>
        <v>9</v>
      </c>
      <c r="W39" s="925">
        <f>VLOOKUP(W8,'Labor &amp; Practice Lookups'!$K$4:$L$10,2,FALSE)</f>
        <v>9</v>
      </c>
      <c r="X39" s="925">
        <f>VLOOKUP(X8,'Labor &amp; Practice Lookups'!$K$4:$L$10,2,FALSE)</f>
        <v>9</v>
      </c>
      <c r="Y39" s="925">
        <f>VLOOKUP(Y8,'Labor &amp; Practice Lookups'!$K$4:$L$10,2,FALSE)</f>
        <v>9</v>
      </c>
      <c r="Z39" s="925">
        <f>VLOOKUP(Z8,'Labor &amp; Practice Lookups'!$K$4:$L$10,2,FALSE)</f>
        <v>9</v>
      </c>
      <c r="AA39" s="925">
        <f>VLOOKUP(AA8,'Labor &amp; Practice Lookups'!$K$4:$L$10,2,FALSE)</f>
        <v>9</v>
      </c>
      <c r="AB39" s="925">
        <f>VLOOKUP(AB8,'Labor &amp; Practice Lookups'!$K$4:$L$10,2,FALSE)</f>
        <v>9</v>
      </c>
      <c r="AC39" s="925">
        <f>VLOOKUP(AC8,'Labor &amp; Practice Lookups'!$K$4:$L$10,2,FALSE)</f>
        <v>9</v>
      </c>
      <c r="AD39" s="925">
        <f>VLOOKUP(AD8,'Labor &amp; Practice Lookups'!$K$4:$L$10,2,FALSE)</f>
        <v>9</v>
      </c>
      <c r="AE39" s="925">
        <f>VLOOKUP(AE8,'Labor &amp; Practice Lookups'!$K$4:$L$10,2,FALSE)</f>
        <v>9</v>
      </c>
      <c r="AF39" s="915"/>
      <c r="AG39" s="915"/>
    </row>
    <row r="40" spans="1:34" ht="12.75" hidden="1" customHeight="1" x14ac:dyDescent="0.2">
      <c r="A40" s="914"/>
      <c r="B40" s="915"/>
      <c r="C40" s="925" t="s">
        <v>649</v>
      </c>
      <c r="D40" s="925">
        <f>VLOOKUP(D9,'Labor &amp; Practice Lookups'!$X$4:$Y$8,2,FALSE)</f>
        <v>2</v>
      </c>
      <c r="E40" s="925">
        <f>VLOOKUP(E9,'Labor &amp; Practice Lookups'!$X$4:$Y$8,2,FALSE)</f>
        <v>2</v>
      </c>
      <c r="F40" s="925">
        <f>VLOOKUP(F9,'Labor &amp; Practice Lookups'!$X$4:$Y$8,2,FALSE)</f>
        <v>2</v>
      </c>
      <c r="G40" s="925">
        <f>VLOOKUP(G9,'Labor &amp; Practice Lookups'!$X$4:$Y$8,2,FALSE)</f>
        <v>2</v>
      </c>
      <c r="H40" s="925">
        <f>VLOOKUP(H9,'Labor &amp; Practice Lookups'!$X$4:$Y$8,2,FALSE)</f>
        <v>2</v>
      </c>
      <c r="I40" s="925">
        <f>VLOOKUP(I9,'Labor &amp; Practice Lookups'!$X$4:$Y$8,2,FALSE)</f>
        <v>2</v>
      </c>
      <c r="J40" s="925">
        <f>VLOOKUP(J9,'Labor &amp; Practice Lookups'!$X$4:$Y$8,2,FALSE)</f>
        <v>2</v>
      </c>
      <c r="K40" s="925">
        <f>VLOOKUP(K9,'Labor &amp; Practice Lookups'!$X$4:$Y$8,2,FALSE)</f>
        <v>2</v>
      </c>
      <c r="L40" s="925">
        <f>VLOOKUP(L9,'Labor &amp; Practice Lookups'!$X$4:$Y$8,2,FALSE)</f>
        <v>2</v>
      </c>
      <c r="M40" s="925">
        <f>VLOOKUP(M9,'Labor &amp; Practice Lookups'!$X$4:$Y$8,2,FALSE)</f>
        <v>2</v>
      </c>
      <c r="N40" s="925">
        <f>VLOOKUP(N9,'Labor &amp; Practice Lookups'!$X$4:$Y$8,2,FALSE)</f>
        <v>2</v>
      </c>
      <c r="O40" s="925">
        <f>VLOOKUP(O9,'Labor &amp; Practice Lookups'!$X$4:$Y$8,2,FALSE)</f>
        <v>2</v>
      </c>
      <c r="P40" s="925">
        <f>VLOOKUP(P9,'Labor &amp; Practice Lookups'!$X$4:$Y$8,2,FALSE)</f>
        <v>2</v>
      </c>
      <c r="Q40" s="925">
        <f>VLOOKUP(Q9,'Labor &amp; Practice Lookups'!$X$4:$Y$8,2,FALSE)</f>
        <v>2</v>
      </c>
      <c r="R40" s="925">
        <f>VLOOKUP(R9,'Labor &amp; Practice Lookups'!$X$4:$Y$8,2,FALSE)</f>
        <v>2</v>
      </c>
      <c r="S40" s="925">
        <f>VLOOKUP(S9,'Labor &amp; Practice Lookups'!$X$4:$Y$8,2,FALSE)</f>
        <v>2</v>
      </c>
      <c r="T40" s="925">
        <f>VLOOKUP(T9,'Labor &amp; Practice Lookups'!$X$4:$Y$8,2,FALSE)</f>
        <v>2</v>
      </c>
      <c r="U40" s="925">
        <f>VLOOKUP(U9,'Labor &amp; Practice Lookups'!$X$4:$Y$8,2,FALSE)</f>
        <v>2</v>
      </c>
      <c r="V40" s="925">
        <f>VLOOKUP(V9,'Labor &amp; Practice Lookups'!$X$4:$Y$8,2,FALSE)</f>
        <v>2</v>
      </c>
      <c r="W40" s="925">
        <f>VLOOKUP(W9,'Labor &amp; Practice Lookups'!$X$4:$Y$8,2,FALSE)</f>
        <v>2</v>
      </c>
      <c r="X40" s="925">
        <f>VLOOKUP(X9,'Labor &amp; Practice Lookups'!$X$4:$Y$8,2,FALSE)</f>
        <v>2</v>
      </c>
      <c r="Y40" s="925">
        <f>VLOOKUP(Y9,'Labor &amp; Practice Lookups'!$X$4:$Y$8,2,FALSE)</f>
        <v>2</v>
      </c>
      <c r="Z40" s="925">
        <f>VLOOKUP(Z9,'Labor &amp; Practice Lookups'!$X$4:$Y$8,2,FALSE)</f>
        <v>2</v>
      </c>
      <c r="AA40" s="925">
        <f>VLOOKUP(AA9,'Labor &amp; Practice Lookups'!$X$4:$Y$8,2,FALSE)</f>
        <v>2</v>
      </c>
      <c r="AB40" s="925">
        <f>VLOOKUP(AB9,'Labor &amp; Practice Lookups'!$X$4:$Y$8,2,FALSE)</f>
        <v>2</v>
      </c>
      <c r="AC40" s="925">
        <f>VLOOKUP(AC9,'Labor &amp; Practice Lookups'!$X$4:$Y$8,2,FALSE)</f>
        <v>2</v>
      </c>
      <c r="AD40" s="925">
        <f>VLOOKUP(AD9,'Labor &amp; Practice Lookups'!$X$4:$Y$8,2,FALSE)</f>
        <v>2</v>
      </c>
      <c r="AE40" s="925">
        <f>VLOOKUP(AE9,'Labor &amp; Practice Lookups'!$X$4:$Y$8,2,FALSE)</f>
        <v>2</v>
      </c>
      <c r="AF40" s="915"/>
      <c r="AG40" s="1547"/>
    </row>
    <row r="41" spans="1:34" ht="12.75" hidden="1" customHeight="1" thickBot="1" x14ac:dyDescent="0.25">
      <c r="A41" s="914"/>
      <c r="B41" s="940"/>
      <c r="C41" s="915"/>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15"/>
      <c r="AF41" s="915"/>
      <c r="AG41" s="1547"/>
    </row>
    <row r="42" spans="1:34" ht="12.75" hidden="1" customHeight="1" x14ac:dyDescent="0.2">
      <c r="A42" s="914"/>
      <c r="B42" s="940"/>
      <c r="C42" s="924"/>
      <c r="D42" s="927" t="s">
        <v>785</v>
      </c>
      <c r="E42" s="928" t="s">
        <v>786</v>
      </c>
      <c r="F42" s="928" t="s">
        <v>787</v>
      </c>
      <c r="G42" s="928" t="s">
        <v>788</v>
      </c>
      <c r="H42" s="928" t="s">
        <v>789</v>
      </c>
      <c r="I42" s="928" t="s">
        <v>790</v>
      </c>
      <c r="J42" s="928" t="s">
        <v>791</v>
      </c>
      <c r="K42" s="928" t="s">
        <v>792</v>
      </c>
      <c r="L42" s="928" t="s">
        <v>793</v>
      </c>
      <c r="M42" s="928" t="s">
        <v>794</v>
      </c>
      <c r="N42" s="928" t="s">
        <v>795</v>
      </c>
      <c r="O42" s="928" t="s">
        <v>796</v>
      </c>
      <c r="P42" s="928" t="s">
        <v>797</v>
      </c>
      <c r="Q42" s="928" t="s">
        <v>798</v>
      </c>
      <c r="R42" s="928" t="s">
        <v>799</v>
      </c>
      <c r="S42" s="928" t="s">
        <v>800</v>
      </c>
      <c r="T42" s="928" t="s">
        <v>801</v>
      </c>
      <c r="U42" s="928" t="s">
        <v>802</v>
      </c>
      <c r="V42" s="928" t="s">
        <v>803</v>
      </c>
      <c r="W42" s="928" t="s">
        <v>804</v>
      </c>
      <c r="X42" s="928" t="s">
        <v>805</v>
      </c>
      <c r="Y42" s="928" t="s">
        <v>806</v>
      </c>
      <c r="Z42" s="928" t="s">
        <v>807</v>
      </c>
      <c r="AA42" s="928" t="s">
        <v>808</v>
      </c>
      <c r="AB42" s="928" t="s">
        <v>809</v>
      </c>
      <c r="AC42" s="928" t="s">
        <v>810</v>
      </c>
      <c r="AD42" s="928" t="s">
        <v>811</v>
      </c>
      <c r="AE42" s="929" t="s">
        <v>812</v>
      </c>
      <c r="AF42" s="915"/>
      <c r="AG42" s="1547"/>
    </row>
    <row r="43" spans="1:34" ht="12.75" hidden="1" customHeight="1" x14ac:dyDescent="0.2">
      <c r="A43" s="914"/>
      <c r="B43" s="940"/>
      <c r="C43" s="930" t="s">
        <v>753</v>
      </c>
      <c r="D43" s="931">
        <f>SUMIF($D$5:$AE$5,D42,$D$27:$AE$27)</f>
        <v>1</v>
      </c>
      <c r="E43" s="932">
        <f>SUMIF($D$5:$AE$5,E42,$D$27:$AE$27)</f>
        <v>1</v>
      </c>
      <c r="F43" s="932">
        <f>SUMIF($D$5:$AE$5,F42,$D$27:$AE$27)</f>
        <v>1</v>
      </c>
      <c r="G43" s="932">
        <f>SUMIF($D$5:$AE$5,G42,$D$27:$AE$27)</f>
        <v>1</v>
      </c>
      <c r="H43" s="932">
        <f>SUMIF($D$5:$AE$5,H42,$D$27:$AE$27)</f>
        <v>1</v>
      </c>
      <c r="I43" s="932">
        <f>SUMIF($D$5:$AE$5,I42,$D$27:$AE$27)</f>
        <v>1</v>
      </c>
      <c r="J43" s="932">
        <f>SUMIF($D$5:$AE$5,J42,$D$27:$AE$27)</f>
        <v>1</v>
      </c>
      <c r="K43" s="932">
        <f>SUMIF($D$5:$AE$5,K42,$D$27:$AE$27)</f>
        <v>1</v>
      </c>
      <c r="L43" s="932">
        <f>SUMIF($D$5:$AE$5,L42,$D$27:$AE$27)</f>
        <v>0</v>
      </c>
      <c r="M43" s="932">
        <f>SUMIF($D$5:$AE$5,M42,$D$27:$AE$27)</f>
        <v>0</v>
      </c>
      <c r="N43" s="932">
        <f>SUMIF($D$5:$AE$5,N42,$D$27:$AE$27)</f>
        <v>0</v>
      </c>
      <c r="O43" s="932">
        <f>SUMIF($D$5:$AE$5,O42,$D$27:$AE$27)</f>
        <v>0</v>
      </c>
      <c r="P43" s="932">
        <f>SUMIF($D$5:$AE$5,P42,$D$27:$AE$27)</f>
        <v>0</v>
      </c>
      <c r="Q43" s="932">
        <f>SUMIF($D$5:$AE$5,Q42,$D$27:$AE$27)</f>
        <v>0</v>
      </c>
      <c r="R43" s="932">
        <f>SUMIF($D$5:$AE$5,R42,$D$27:$AE$27)</f>
        <v>0</v>
      </c>
      <c r="S43" s="932">
        <f>SUMIF($D$5:$AE$5,S42,$D$27:$AE$27)</f>
        <v>0</v>
      </c>
      <c r="T43" s="932">
        <f>SUMIF($D$5:$AE$5,T42,$D$27:$AE$27)</f>
        <v>0</v>
      </c>
      <c r="U43" s="932">
        <f>SUMIF($D$5:$AE$5,U42,$D$27:$AE$27)</f>
        <v>0</v>
      </c>
      <c r="V43" s="932">
        <f>SUMIF($D$5:$AE$5,V42,$D$27:$AE$27)</f>
        <v>0</v>
      </c>
      <c r="W43" s="932">
        <f>SUMIF($D$5:$AE$5,W42,$D$27:$AE$27)</f>
        <v>0</v>
      </c>
      <c r="X43" s="932">
        <f>SUMIF($D$5:$AE$5,X42,$D$27:$AE$27)</f>
        <v>0</v>
      </c>
      <c r="Y43" s="932">
        <f>SUMIF($D$5:$AE$5,Y42,$D$27:$AE$27)</f>
        <v>0</v>
      </c>
      <c r="Z43" s="932">
        <f>SUMIF($D$5:$AE$5,Z42,$D$27:$AE$27)</f>
        <v>0</v>
      </c>
      <c r="AA43" s="932">
        <f>SUMIF($D$5:$AE$5,AA42,$D$27:$AE$27)</f>
        <v>0</v>
      </c>
      <c r="AB43" s="932">
        <f>SUMIF($D$5:$AE$5,AB42,$D$27:$AE$27)</f>
        <v>0</v>
      </c>
      <c r="AC43" s="932">
        <f>SUMIF($D$5:$AE$5,AC42,$D$27:$AE$27)</f>
        <v>0</v>
      </c>
      <c r="AD43" s="932">
        <f>SUMIF($D$5:$AE$5,AD42,$D$27:$AE$27)</f>
        <v>0</v>
      </c>
      <c r="AE43" s="933">
        <f>SUMIF($D$5:$AE$5,AE42,$D$27:$AE$27)</f>
        <v>0</v>
      </c>
      <c r="AF43" s="915"/>
      <c r="AG43" s="915"/>
    </row>
    <row r="44" spans="1:34" ht="12.75" hidden="1" customHeight="1" thickBot="1" x14ac:dyDescent="0.25">
      <c r="A44" s="914"/>
      <c r="B44" s="940"/>
      <c r="C44" s="930" t="s">
        <v>754</v>
      </c>
      <c r="D44" s="934">
        <f t="shared" ref="D44:AE44" si="9">SUMIF($D$5:$AE$5,D42,$D$28:$AE$28)</f>
        <v>363</v>
      </c>
      <c r="E44" s="935">
        <f t="shared" si="9"/>
        <v>316</v>
      </c>
      <c r="F44" s="935">
        <f t="shared" si="9"/>
        <v>283</v>
      </c>
      <c r="G44" s="935">
        <f t="shared" si="9"/>
        <v>262</v>
      </c>
      <c r="H44" s="935">
        <f t="shared" si="9"/>
        <v>254</v>
      </c>
      <c r="I44" s="935">
        <f t="shared" si="9"/>
        <v>235</v>
      </c>
      <c r="J44" s="935">
        <f t="shared" si="9"/>
        <v>229</v>
      </c>
      <c r="K44" s="935">
        <f t="shared" si="9"/>
        <v>219</v>
      </c>
      <c r="L44" s="935">
        <f t="shared" si="9"/>
        <v>0</v>
      </c>
      <c r="M44" s="935">
        <f t="shared" si="9"/>
        <v>0</v>
      </c>
      <c r="N44" s="935">
        <f t="shared" si="9"/>
        <v>0</v>
      </c>
      <c r="O44" s="935">
        <f t="shared" si="9"/>
        <v>0</v>
      </c>
      <c r="P44" s="935">
        <f t="shared" si="9"/>
        <v>0</v>
      </c>
      <c r="Q44" s="935">
        <f t="shared" si="9"/>
        <v>0</v>
      </c>
      <c r="R44" s="935">
        <f t="shared" si="9"/>
        <v>0</v>
      </c>
      <c r="S44" s="935">
        <f t="shared" si="9"/>
        <v>0</v>
      </c>
      <c r="T44" s="935">
        <f t="shared" si="9"/>
        <v>0</v>
      </c>
      <c r="U44" s="935">
        <f t="shared" si="9"/>
        <v>0</v>
      </c>
      <c r="V44" s="935">
        <f t="shared" si="9"/>
        <v>0</v>
      </c>
      <c r="W44" s="935">
        <f t="shared" si="9"/>
        <v>0</v>
      </c>
      <c r="X44" s="935">
        <f t="shared" si="9"/>
        <v>0</v>
      </c>
      <c r="Y44" s="935">
        <f t="shared" si="9"/>
        <v>0</v>
      </c>
      <c r="Z44" s="935">
        <f t="shared" si="9"/>
        <v>0</v>
      </c>
      <c r="AA44" s="935">
        <f t="shared" si="9"/>
        <v>0</v>
      </c>
      <c r="AB44" s="935">
        <f t="shared" si="9"/>
        <v>0</v>
      </c>
      <c r="AC44" s="935">
        <f t="shared" si="9"/>
        <v>0</v>
      </c>
      <c r="AD44" s="935">
        <f t="shared" si="9"/>
        <v>0</v>
      </c>
      <c r="AE44" s="936">
        <f t="shared" si="9"/>
        <v>0</v>
      </c>
      <c r="AF44" s="915"/>
      <c r="AG44" s="915">
        <f>SUM(D44:AE44)</f>
        <v>2161</v>
      </c>
    </row>
    <row r="45" spans="1:34" ht="12.75" hidden="1" customHeight="1" x14ac:dyDescent="0.2">
      <c r="A45" s="914"/>
      <c r="B45" s="915"/>
      <c r="C45" s="916" t="s">
        <v>671</v>
      </c>
      <c r="D45" s="937">
        <f t="shared" ref="D45:AE45" si="10">SUMIF($D$5:$AE$5,D42,$D$35:$AE$35)</f>
        <v>111.85081999999998</v>
      </c>
      <c r="E45" s="937">
        <f t="shared" si="10"/>
        <v>101.02199194285713</v>
      </c>
      <c r="F45" s="937">
        <f t="shared" si="10"/>
        <v>87.382549621466637</v>
      </c>
      <c r="G45" s="937">
        <f t="shared" si="10"/>
        <v>85.045982146125013</v>
      </c>
      <c r="H45" s="937">
        <f t="shared" si="10"/>
        <v>75.508185999999995</v>
      </c>
      <c r="I45" s="937">
        <f t="shared" si="10"/>
        <v>72.356703466666659</v>
      </c>
      <c r="J45" s="937">
        <f t="shared" si="10"/>
        <v>71.286207412244877</v>
      </c>
      <c r="K45" s="937">
        <f t="shared" si="10"/>
        <v>63.256657098666665</v>
      </c>
      <c r="L45" s="937">
        <f t="shared" si="10"/>
        <v>0</v>
      </c>
      <c r="M45" s="937">
        <f t="shared" si="10"/>
        <v>0</v>
      </c>
      <c r="N45" s="937">
        <f t="shared" si="10"/>
        <v>0</v>
      </c>
      <c r="O45" s="937">
        <f t="shared" si="10"/>
        <v>0</v>
      </c>
      <c r="P45" s="937">
        <f t="shared" si="10"/>
        <v>0</v>
      </c>
      <c r="Q45" s="937">
        <f t="shared" si="10"/>
        <v>0</v>
      </c>
      <c r="R45" s="937">
        <f t="shared" si="10"/>
        <v>0</v>
      </c>
      <c r="S45" s="937">
        <f t="shared" si="10"/>
        <v>0</v>
      </c>
      <c r="T45" s="937">
        <f t="shared" si="10"/>
        <v>0</v>
      </c>
      <c r="U45" s="937">
        <f t="shared" si="10"/>
        <v>0</v>
      </c>
      <c r="V45" s="937">
        <f t="shared" si="10"/>
        <v>0</v>
      </c>
      <c r="W45" s="937">
        <f t="shared" si="10"/>
        <v>0</v>
      </c>
      <c r="X45" s="937">
        <f t="shared" si="10"/>
        <v>0</v>
      </c>
      <c r="Y45" s="937">
        <f t="shared" si="10"/>
        <v>0</v>
      </c>
      <c r="Z45" s="937">
        <f t="shared" si="10"/>
        <v>0</v>
      </c>
      <c r="AA45" s="937">
        <f t="shared" si="10"/>
        <v>0</v>
      </c>
      <c r="AB45" s="937">
        <f t="shared" si="10"/>
        <v>0</v>
      </c>
      <c r="AC45" s="937">
        <f t="shared" si="10"/>
        <v>0</v>
      </c>
      <c r="AD45" s="937">
        <f t="shared" si="10"/>
        <v>0</v>
      </c>
      <c r="AE45" s="937">
        <f t="shared" si="10"/>
        <v>0</v>
      </c>
      <c r="AF45" s="915"/>
      <c r="AG45" s="915"/>
    </row>
    <row r="46" spans="1:34" ht="12.75" hidden="1" customHeight="1" x14ac:dyDescent="0.2">
      <c r="A46" s="914"/>
      <c r="B46" s="915"/>
      <c r="C46" s="916" t="s">
        <v>672</v>
      </c>
      <c r="D46" s="937">
        <f t="shared" ref="D46:AE46" si="11">SUMIF($D$5:$AE$5,D42,$D$37:$AE$37)</f>
        <v>164.42070539999997</v>
      </c>
      <c r="E46" s="937">
        <f t="shared" si="11"/>
        <v>148.50232815599998</v>
      </c>
      <c r="F46" s="937">
        <f t="shared" si="11"/>
        <v>128.45234794355596</v>
      </c>
      <c r="G46" s="937">
        <f t="shared" si="11"/>
        <v>125.01759375480377</v>
      </c>
      <c r="H46" s="937">
        <f t="shared" si="11"/>
        <v>110.99703341999999</v>
      </c>
      <c r="I46" s="937">
        <f t="shared" si="11"/>
        <v>106.36435409599999</v>
      </c>
      <c r="J46" s="937">
        <f t="shared" si="11"/>
        <v>104.79072489599997</v>
      </c>
      <c r="K46" s="937">
        <f t="shared" si="11"/>
        <v>92.987285935039992</v>
      </c>
      <c r="L46" s="937">
        <f t="shared" si="11"/>
        <v>0</v>
      </c>
      <c r="M46" s="937">
        <f t="shared" si="11"/>
        <v>0</v>
      </c>
      <c r="N46" s="937">
        <f t="shared" si="11"/>
        <v>0</v>
      </c>
      <c r="O46" s="937">
        <f t="shared" si="11"/>
        <v>0</v>
      </c>
      <c r="P46" s="937">
        <f t="shared" si="11"/>
        <v>0</v>
      </c>
      <c r="Q46" s="937">
        <f t="shared" si="11"/>
        <v>0</v>
      </c>
      <c r="R46" s="937">
        <f t="shared" si="11"/>
        <v>0</v>
      </c>
      <c r="S46" s="937">
        <f t="shared" si="11"/>
        <v>0</v>
      </c>
      <c r="T46" s="937">
        <f t="shared" si="11"/>
        <v>0</v>
      </c>
      <c r="U46" s="937">
        <f t="shared" si="11"/>
        <v>0</v>
      </c>
      <c r="V46" s="937">
        <f t="shared" si="11"/>
        <v>0</v>
      </c>
      <c r="W46" s="937">
        <f t="shared" si="11"/>
        <v>0</v>
      </c>
      <c r="X46" s="937">
        <f t="shared" si="11"/>
        <v>0</v>
      </c>
      <c r="Y46" s="937">
        <f t="shared" si="11"/>
        <v>0</v>
      </c>
      <c r="Z46" s="937">
        <f t="shared" si="11"/>
        <v>0</v>
      </c>
      <c r="AA46" s="937">
        <f t="shared" si="11"/>
        <v>0</v>
      </c>
      <c r="AB46" s="937">
        <f t="shared" si="11"/>
        <v>0</v>
      </c>
      <c r="AC46" s="937">
        <f t="shared" si="11"/>
        <v>0</v>
      </c>
      <c r="AD46" s="937">
        <f t="shared" si="11"/>
        <v>0</v>
      </c>
      <c r="AE46" s="937">
        <f t="shared" si="11"/>
        <v>0</v>
      </c>
      <c r="AF46" s="915"/>
      <c r="AG46" s="915"/>
    </row>
    <row r="47" spans="1:34" ht="12.75" hidden="1" customHeight="1" x14ac:dyDescent="0.2">
      <c r="A47" s="914"/>
      <c r="B47" s="915"/>
      <c r="C47" s="916"/>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15"/>
      <c r="AG47" s="915"/>
    </row>
    <row r="48" spans="1:34" hidden="1" x14ac:dyDescent="0.2">
      <c r="A48" s="914"/>
      <c r="B48" s="940"/>
      <c r="C48" s="930" t="s">
        <v>531</v>
      </c>
      <c r="D48" s="924">
        <f>SUMIFS($D$27:$AE$27,$D$5:$AE$5,D$42,$D$9:$AE$9,$C$48)</f>
        <v>0</v>
      </c>
      <c r="E48" s="924">
        <f>SUMIFS($D$27:$AE$27,$D$5:$AE$5,E$42,$D$9:$AE$9,$C$48)</f>
        <v>0</v>
      </c>
      <c r="F48" s="924">
        <f>SUMIFS($D$27:$AE$27,$D$5:$AE$5,F$42,$D$9:$AE$9,$C$48)</f>
        <v>0</v>
      </c>
      <c r="G48" s="924">
        <f>SUMIFS($D$27:$AE$27,$D$5:$AE$5,G$42,$D$9:$AE$9,$C$48)</f>
        <v>0</v>
      </c>
      <c r="H48" s="924">
        <f>SUMIFS($D$27:$AE$27,$D$5:$AE$5,H$42,$D$9:$AE$9,$C$48)</f>
        <v>0</v>
      </c>
      <c r="I48" s="924">
        <f>SUMIFS($D$27:$AE$27,$D$5:$AE$5,I$42,$D$9:$AE$9,$C$48)</f>
        <v>0</v>
      </c>
      <c r="J48" s="924">
        <f>SUMIFS($D$27:$AE$27,$D$5:$AE$5,J$42,$D$9:$AE$9,$C$48)</f>
        <v>0</v>
      </c>
      <c r="K48" s="924">
        <f>SUMIFS($D$27:$AE$27,$D$5:$AE$5,K$42,$D$9:$AE$9,$C$48)</f>
        <v>0</v>
      </c>
      <c r="L48" s="924">
        <f>SUMIFS($D$27:$AE$27,$D$5:$AE$5,L$42,$D$9:$AE$9,$C$48)</f>
        <v>0</v>
      </c>
      <c r="M48" s="924">
        <f>SUMIFS($D$27:$AE$27,$D$5:$AE$5,M$42,$D$9:$AE$9,$C$48)</f>
        <v>0</v>
      </c>
      <c r="N48" s="924">
        <f>SUMIFS($D$27:$AE$27,$D$5:$AE$5,N$42,$D$9:$AE$9,$C$48)</f>
        <v>0</v>
      </c>
      <c r="O48" s="924">
        <f>SUMIFS($D$27:$AE$27,$D$5:$AE$5,O$42,$D$9:$AE$9,$C$48)</f>
        <v>0</v>
      </c>
      <c r="P48" s="924">
        <f>SUMIFS($D$27:$AE$27,$D$5:$AE$5,P$42,$D$9:$AE$9,$C$48)</f>
        <v>0</v>
      </c>
      <c r="Q48" s="924">
        <f>SUMIFS($D$27:$AE$27,$D$5:$AE$5,Q$42,$D$9:$AE$9,$C$48)</f>
        <v>0</v>
      </c>
      <c r="R48" s="924">
        <f>SUMIFS($D$27:$AE$27,$D$5:$AE$5,R$42,$D$9:$AE$9,$C$48)</f>
        <v>0</v>
      </c>
      <c r="S48" s="924">
        <f>SUMIFS($D$27:$AE$27,$D$5:$AE$5,S$42,$D$9:$AE$9,$C$48)</f>
        <v>0</v>
      </c>
      <c r="T48" s="924">
        <f>SUMIFS($D$27:$AE$27,$D$5:$AE$5,T$42,$D$9:$AE$9,$C$48)</f>
        <v>0</v>
      </c>
      <c r="U48" s="924">
        <f>SUMIFS($D$27:$AE$27,$D$5:$AE$5,U$42,$D$9:$AE$9,$C$48)</f>
        <v>0</v>
      </c>
      <c r="V48" s="924">
        <f>SUMIFS($D$27:$AE$27,$D$5:$AE$5,V$42,$D$9:$AE$9,$C$48)</f>
        <v>0</v>
      </c>
      <c r="W48" s="924">
        <f>SUMIFS($D$27:$AE$27,$D$5:$AE$5,W$42,$D$9:$AE$9,$C$48)</f>
        <v>0</v>
      </c>
      <c r="X48" s="924">
        <f>SUMIFS($D$27:$AE$27,$D$5:$AE$5,X$42,$D$9:$AE$9,$C$48)</f>
        <v>0</v>
      </c>
      <c r="Y48" s="924">
        <f>SUMIFS($D$27:$AE$27,$D$5:$AE$5,Y$42,$D$9:$AE$9,$C$48)</f>
        <v>0</v>
      </c>
      <c r="Z48" s="924">
        <f>SUMIFS($D$27:$AE$27,$D$5:$AE$5,Z$42,$D$9:$AE$9,$C$48)</f>
        <v>0</v>
      </c>
      <c r="AA48" s="924">
        <f>SUMIFS($D$27:$AE$27,$D$5:$AE$5,AA$42,$D$9:$AE$9,$C$48)</f>
        <v>0</v>
      </c>
      <c r="AB48" s="924">
        <f>SUMIFS($D$27:$AE$27,$D$5:$AE$5,AB$42,$D$9:$AE$9,$C$48)</f>
        <v>0</v>
      </c>
      <c r="AC48" s="924">
        <f>SUMIFS($D$27:$AE$27,$D$5:$AE$5,AC$42,$D$9:$AE$9,$C$48)</f>
        <v>0</v>
      </c>
      <c r="AD48" s="924">
        <f>SUMIFS($D$27:$AE$27,$D$5:$AE$5,AD$42,$D$9:$AE$9,$C$48)</f>
        <v>0</v>
      </c>
      <c r="AE48" s="924">
        <f>SUMIFS($D$27:$AE$27,$D$5:$AE$5,AE$42,$D$9:$AE$9,$C$48)</f>
        <v>0</v>
      </c>
      <c r="AF48" s="915"/>
      <c r="AG48" s="915"/>
    </row>
    <row r="49" spans="1:33" hidden="1" x14ac:dyDescent="0.2">
      <c r="A49" s="914"/>
      <c r="B49" s="940"/>
      <c r="C49" s="930" t="s">
        <v>381</v>
      </c>
      <c r="D49" s="924">
        <f>SUMIFS($D$27:$AE$27,$D$5:$AE$5,D$42,$D$8:$AE$8,$C$49)</f>
        <v>0</v>
      </c>
      <c r="E49" s="924">
        <f>SUMIFS($D$27:$AE$27,$D$5:$AE$5,E$42,$D$8:$AE$8,$C$49)</f>
        <v>0</v>
      </c>
      <c r="F49" s="924">
        <f>SUMIFS($D$27:$AE$27,$D$5:$AE$5,F$42,$D$8:$AE$8,$C$49)</f>
        <v>0</v>
      </c>
      <c r="G49" s="924">
        <f>SUMIFS($D$27:$AE$27,$D$5:$AE$5,G$42,$D$8:$AE$8,$C$49)</f>
        <v>0</v>
      </c>
      <c r="H49" s="924">
        <f>SUMIFS($D$27:$AE$27,$D$5:$AE$5,H$42,$D$8:$AE$8,$C$49)</f>
        <v>0</v>
      </c>
      <c r="I49" s="924">
        <f>SUMIFS($D$27:$AE$27,$D$5:$AE$5,I$42,$D$8:$AE$8,$C$49)</f>
        <v>0</v>
      </c>
      <c r="J49" s="924">
        <f>SUMIFS($D$27:$AE$27,$D$5:$AE$5,J$42,$D$8:$AE$8,$C$49)</f>
        <v>0</v>
      </c>
      <c r="K49" s="924">
        <f>SUMIFS($D$27:$AE$27,$D$5:$AE$5,K$42,$D$8:$AE$8,$C$49)</f>
        <v>0</v>
      </c>
      <c r="L49" s="924">
        <f>SUMIFS($D$27:$AE$27,$D$5:$AE$5,L$42,$D$8:$AE$8,$C$49)</f>
        <v>0</v>
      </c>
      <c r="M49" s="924">
        <f>SUMIFS($D$27:$AE$27,$D$5:$AE$5,M$42,$D$8:$AE$8,$C$49)</f>
        <v>0</v>
      </c>
      <c r="N49" s="924">
        <f>SUMIFS($D$27:$AE$27,$D$5:$AE$5,N$42,$D$8:$AE$8,$C$49)</f>
        <v>0</v>
      </c>
      <c r="O49" s="924">
        <f>SUMIFS($D$27:$AE$27,$D$5:$AE$5,O$42,$D$8:$AE$8,$C$49)</f>
        <v>0</v>
      </c>
      <c r="P49" s="924">
        <f>SUMIFS($D$27:$AE$27,$D$5:$AE$5,P$42,$D$8:$AE$8,$C$49)</f>
        <v>0</v>
      </c>
      <c r="Q49" s="924">
        <f>SUMIFS($D$27:$AE$27,$D$5:$AE$5,Q$42,$D$8:$AE$8,$C$49)</f>
        <v>0</v>
      </c>
      <c r="R49" s="924">
        <f>SUMIFS($D$27:$AE$27,$D$5:$AE$5,R$42,$D$8:$AE$8,$C$49)</f>
        <v>0</v>
      </c>
      <c r="S49" s="924">
        <f>SUMIFS($D$27:$AE$27,$D$5:$AE$5,S$42,$D$8:$AE$8,$C$49)</f>
        <v>0</v>
      </c>
      <c r="T49" s="924">
        <f>SUMIFS($D$27:$AE$27,$D$5:$AE$5,T$42,$D$8:$AE$8,$C$49)</f>
        <v>0</v>
      </c>
      <c r="U49" s="924">
        <f>SUMIFS($D$27:$AE$27,$D$5:$AE$5,U$42,$D$8:$AE$8,$C$49)</f>
        <v>0</v>
      </c>
      <c r="V49" s="924">
        <f>SUMIFS($D$27:$AE$27,$D$5:$AE$5,V$42,$D$8:$AE$8,$C$49)</f>
        <v>0</v>
      </c>
      <c r="W49" s="924">
        <f>SUMIFS($D$27:$AE$27,$D$5:$AE$5,W$42,$D$8:$AE$8,$C$49)</f>
        <v>0</v>
      </c>
      <c r="X49" s="924">
        <f>SUMIFS($D$27:$AE$27,$D$5:$AE$5,X$42,$D$8:$AE$8,$C$49)</f>
        <v>0</v>
      </c>
      <c r="Y49" s="924">
        <f>SUMIFS($D$27:$AE$27,$D$5:$AE$5,Y$42,$D$8:$AE$8,$C$49)</f>
        <v>0</v>
      </c>
      <c r="Z49" s="924">
        <f>SUMIFS($D$27:$AE$27,$D$5:$AE$5,Z$42,$D$8:$AE$8,$C$49)</f>
        <v>0</v>
      </c>
      <c r="AA49" s="924">
        <f>SUMIFS($D$27:$AE$27,$D$5:$AE$5,AA$42,$D$8:$AE$8,$C$49)</f>
        <v>0</v>
      </c>
      <c r="AB49" s="924">
        <f>SUMIFS($D$27:$AE$27,$D$5:$AE$5,AB$42,$D$8:$AE$8,$C$49)</f>
        <v>0</v>
      </c>
      <c r="AC49" s="924">
        <f>SUMIFS($D$27:$AE$27,$D$5:$AE$5,AC$42,$D$8:$AE$8,$C$49)</f>
        <v>0</v>
      </c>
      <c r="AD49" s="924">
        <f>SUMIFS($D$27:$AE$27,$D$5:$AE$5,AD$42,$D$8:$AE$8,$C$49)</f>
        <v>0</v>
      </c>
      <c r="AE49" s="924">
        <f>SUMIFS($D$27:$AE$27,$D$5:$AE$5,AE$42,$D$8:$AE$8,$C$49)</f>
        <v>0</v>
      </c>
      <c r="AF49" s="915"/>
      <c r="AG49" s="915"/>
    </row>
    <row r="50" spans="1:33" hidden="1" x14ac:dyDescent="0.2">
      <c r="A50" s="914"/>
      <c r="B50" s="940"/>
      <c r="C50" s="930" t="s">
        <v>522</v>
      </c>
      <c r="D50" s="924">
        <f>SUMIFS($D$27:$AE$27,$D$5:$AE$5,D$42,$D$8:$AE$8,$C$50)</f>
        <v>0</v>
      </c>
      <c r="E50" s="924">
        <f>SUMIFS($D$27:$AE$27,$D$5:$AE$5,E$42,$D$8:$AE$8,$C$50)</f>
        <v>0</v>
      </c>
      <c r="F50" s="924">
        <f>SUMIFS($D$27:$AE$27,$D$5:$AE$5,F$42,$D$8:$AE$8,$C$50)</f>
        <v>0</v>
      </c>
      <c r="G50" s="924">
        <f>SUMIFS($D$27:$AE$27,$D$5:$AE$5,G$42,$D$8:$AE$8,$C$50)</f>
        <v>0</v>
      </c>
      <c r="H50" s="924">
        <f>SUMIFS($D$27:$AE$27,$D$5:$AE$5,H$42,$D$8:$AE$8,$C$50)</f>
        <v>0</v>
      </c>
      <c r="I50" s="924">
        <f>SUMIFS($D$27:$AE$27,$D$5:$AE$5,I$42,$D$8:$AE$8,$C$50)</f>
        <v>0</v>
      </c>
      <c r="J50" s="924">
        <f>SUMIFS($D$27:$AE$27,$D$5:$AE$5,J$42,$D$8:$AE$8,$C$50)</f>
        <v>0</v>
      </c>
      <c r="K50" s="924">
        <f>SUMIFS($D$27:$AE$27,$D$5:$AE$5,K$42,$D$8:$AE$8,$C$50)</f>
        <v>0</v>
      </c>
      <c r="L50" s="924">
        <f>SUMIFS($D$27:$AE$27,$D$5:$AE$5,L$42,$D$8:$AE$8,$C$50)</f>
        <v>0</v>
      </c>
      <c r="M50" s="924">
        <f>SUMIFS($D$27:$AE$27,$D$5:$AE$5,M$42,$D$8:$AE$8,$C$50)</f>
        <v>0</v>
      </c>
      <c r="N50" s="924">
        <f>SUMIFS($D$27:$AE$27,$D$5:$AE$5,N$42,$D$8:$AE$8,$C$50)</f>
        <v>0</v>
      </c>
      <c r="O50" s="924">
        <f>SUMIFS($D$27:$AE$27,$D$5:$AE$5,O$42,$D$8:$AE$8,$C$50)</f>
        <v>0</v>
      </c>
      <c r="P50" s="924">
        <f>SUMIFS($D$27:$AE$27,$D$5:$AE$5,P$42,$D$8:$AE$8,$C$50)</f>
        <v>0</v>
      </c>
      <c r="Q50" s="924">
        <f>SUMIFS($D$27:$AE$27,$D$5:$AE$5,Q$42,$D$8:$AE$8,$C$50)</f>
        <v>0</v>
      </c>
      <c r="R50" s="924">
        <f>SUMIFS($D$27:$AE$27,$D$5:$AE$5,R$42,$D$8:$AE$8,$C$50)</f>
        <v>0</v>
      </c>
      <c r="S50" s="924">
        <f>SUMIFS($D$27:$AE$27,$D$5:$AE$5,S$42,$D$8:$AE$8,$C$50)</f>
        <v>0</v>
      </c>
      <c r="T50" s="924">
        <f>SUMIFS($D$27:$AE$27,$D$5:$AE$5,T$42,$D$8:$AE$8,$C$50)</f>
        <v>0</v>
      </c>
      <c r="U50" s="924">
        <f>SUMIFS($D$27:$AE$27,$D$5:$AE$5,U$42,$D$8:$AE$8,$C$50)</f>
        <v>0</v>
      </c>
      <c r="V50" s="924">
        <f>SUMIFS($D$27:$AE$27,$D$5:$AE$5,V$42,$D$8:$AE$8,$C$50)</f>
        <v>0</v>
      </c>
      <c r="W50" s="924">
        <f>SUMIFS($D$27:$AE$27,$D$5:$AE$5,W$42,$D$8:$AE$8,$C$50)</f>
        <v>0</v>
      </c>
      <c r="X50" s="924">
        <f>SUMIFS($D$27:$AE$27,$D$5:$AE$5,X$42,$D$8:$AE$8,$C$50)</f>
        <v>0</v>
      </c>
      <c r="Y50" s="924">
        <f>SUMIFS($D$27:$AE$27,$D$5:$AE$5,Y$42,$D$8:$AE$8,$C$50)</f>
        <v>0</v>
      </c>
      <c r="Z50" s="924">
        <f>SUMIFS($D$27:$AE$27,$D$5:$AE$5,Z$42,$D$8:$AE$8,$C$50)</f>
        <v>0</v>
      </c>
      <c r="AA50" s="924">
        <f>SUMIFS($D$27:$AE$27,$D$5:$AE$5,AA$42,$D$8:$AE$8,$C$50)</f>
        <v>0</v>
      </c>
      <c r="AB50" s="924">
        <f>SUMIFS($D$27:$AE$27,$D$5:$AE$5,AB$42,$D$8:$AE$8,$C$50)</f>
        <v>0</v>
      </c>
      <c r="AC50" s="924">
        <f>SUMIFS($D$27:$AE$27,$D$5:$AE$5,AC$42,$D$8:$AE$8,$C$50)</f>
        <v>0</v>
      </c>
      <c r="AD50" s="924">
        <f>SUMIFS($D$27:$AE$27,$D$5:$AE$5,AD$42,$D$8:$AE$8,$C$50)</f>
        <v>0</v>
      </c>
      <c r="AE50" s="924">
        <f>SUMIFS($D$27:$AE$27,$D$5:$AE$5,AE$42,$D$8:$AE$8,$C$50)</f>
        <v>0</v>
      </c>
      <c r="AF50" s="915"/>
      <c r="AG50" s="915"/>
    </row>
    <row r="51" spans="1:33" hidden="1" x14ac:dyDescent="0.2">
      <c r="A51" s="914"/>
      <c r="B51" s="940"/>
      <c r="C51" s="930" t="s">
        <v>382</v>
      </c>
      <c r="D51" s="924">
        <f>SUMIFS($D$27:$AE$27,$D$5:$AE$5,D$42,$D$8:$AE$8,$C$51)</f>
        <v>0</v>
      </c>
      <c r="E51" s="924">
        <f>SUMIFS($D$27:$AE$27,$D$5:$AE$5,E$42,$D$8:$AE$8,$C$51)</f>
        <v>0</v>
      </c>
      <c r="F51" s="924">
        <f>SUMIFS($D$27:$AE$27,$D$5:$AE$5,F$42,$D$8:$AE$8,$C$51)</f>
        <v>0</v>
      </c>
      <c r="G51" s="924">
        <f>SUMIFS($D$27:$AE$27,$D$5:$AE$5,G$42,$D$8:$AE$8,$C$51)</f>
        <v>0</v>
      </c>
      <c r="H51" s="924">
        <f>SUMIFS($D$27:$AE$27,$D$5:$AE$5,H$42,$D$8:$AE$8,$C$51)</f>
        <v>0</v>
      </c>
      <c r="I51" s="924">
        <f>SUMIFS($D$27:$AE$27,$D$5:$AE$5,I$42,$D$8:$AE$8,$C$51)</f>
        <v>0</v>
      </c>
      <c r="J51" s="924">
        <f>SUMIFS($D$27:$AE$27,$D$5:$AE$5,J$42,$D$8:$AE$8,$C$51)</f>
        <v>0</v>
      </c>
      <c r="K51" s="924">
        <f>SUMIFS($D$27:$AE$27,$D$5:$AE$5,K$42,$D$8:$AE$8,$C$51)</f>
        <v>0</v>
      </c>
      <c r="L51" s="924">
        <f>SUMIFS($D$27:$AE$27,$D$5:$AE$5,L$42,$D$8:$AE$8,$C$51)</f>
        <v>0</v>
      </c>
      <c r="M51" s="924">
        <f>SUMIFS($D$27:$AE$27,$D$5:$AE$5,M$42,$D$8:$AE$8,$C$51)</f>
        <v>0</v>
      </c>
      <c r="N51" s="924">
        <f>SUMIFS($D$27:$AE$27,$D$5:$AE$5,N$42,$D$8:$AE$8,$C$51)</f>
        <v>0</v>
      </c>
      <c r="O51" s="924">
        <f>SUMIFS($D$27:$AE$27,$D$5:$AE$5,O$42,$D$8:$AE$8,$C$51)</f>
        <v>0</v>
      </c>
      <c r="P51" s="924">
        <f>SUMIFS($D$27:$AE$27,$D$5:$AE$5,P$42,$D$8:$AE$8,$C$51)</f>
        <v>0</v>
      </c>
      <c r="Q51" s="924">
        <f>SUMIFS($D$27:$AE$27,$D$5:$AE$5,Q$42,$D$8:$AE$8,$C$51)</f>
        <v>0</v>
      </c>
      <c r="R51" s="924">
        <f>SUMIFS($D$27:$AE$27,$D$5:$AE$5,R$42,$D$8:$AE$8,$C$51)</f>
        <v>0</v>
      </c>
      <c r="S51" s="924">
        <f>SUMIFS($D$27:$AE$27,$D$5:$AE$5,S$42,$D$8:$AE$8,$C$51)</f>
        <v>0</v>
      </c>
      <c r="T51" s="924">
        <f>SUMIFS($D$27:$AE$27,$D$5:$AE$5,T$42,$D$8:$AE$8,$C$51)</f>
        <v>0</v>
      </c>
      <c r="U51" s="924">
        <f>SUMIFS($D$27:$AE$27,$D$5:$AE$5,U$42,$D$8:$AE$8,$C$51)</f>
        <v>0</v>
      </c>
      <c r="V51" s="924">
        <f>SUMIFS($D$27:$AE$27,$D$5:$AE$5,V$42,$D$8:$AE$8,$C$51)</f>
        <v>0</v>
      </c>
      <c r="W51" s="924">
        <f>SUMIFS($D$27:$AE$27,$D$5:$AE$5,W$42,$D$8:$AE$8,$C$51)</f>
        <v>0</v>
      </c>
      <c r="X51" s="924">
        <f>SUMIFS($D$27:$AE$27,$D$5:$AE$5,X$42,$D$8:$AE$8,$C$51)</f>
        <v>0</v>
      </c>
      <c r="Y51" s="924">
        <f>SUMIFS($D$27:$AE$27,$D$5:$AE$5,Y$42,$D$8:$AE$8,$C$51)</f>
        <v>0</v>
      </c>
      <c r="Z51" s="924">
        <f>SUMIFS($D$27:$AE$27,$D$5:$AE$5,Z$42,$D$8:$AE$8,$C$51)</f>
        <v>0</v>
      </c>
      <c r="AA51" s="924">
        <f>SUMIFS($D$27:$AE$27,$D$5:$AE$5,AA$42,$D$8:$AE$8,$C$51)</f>
        <v>0</v>
      </c>
      <c r="AB51" s="924">
        <f>SUMIFS($D$27:$AE$27,$D$5:$AE$5,AB$42,$D$8:$AE$8,$C$51)</f>
        <v>0</v>
      </c>
      <c r="AC51" s="924">
        <f>SUMIFS($D$27:$AE$27,$D$5:$AE$5,AC$42,$D$8:$AE$8,$C$51)</f>
        <v>0</v>
      </c>
      <c r="AD51" s="924">
        <f>SUMIFS($D$27:$AE$27,$D$5:$AE$5,AD$42,$D$8:$AE$8,$C$51)</f>
        <v>0</v>
      </c>
      <c r="AE51" s="924">
        <f>SUMIFS($D$27:$AE$27,$D$5:$AE$5,AE$42,$D$8:$AE$8,$C$51)</f>
        <v>0</v>
      </c>
      <c r="AF51" s="915"/>
      <c r="AG51" s="915"/>
    </row>
    <row r="52" spans="1:33" hidden="1" x14ac:dyDescent="0.2">
      <c r="A52" s="914"/>
      <c r="B52" s="940"/>
      <c r="C52" s="930" t="s">
        <v>383</v>
      </c>
      <c r="D52" s="924">
        <f>SUMIFS($D$27:$AE$27,$D$5:$AE$5,D$42,$D$8:$AE$8,$C$52)</f>
        <v>0</v>
      </c>
      <c r="E52" s="924">
        <f>SUMIFS($D$27:$AE$27,$D$5:$AE$5,E$42,$D$8:$AE$8,$C$52)</f>
        <v>0</v>
      </c>
      <c r="F52" s="924">
        <f>SUMIFS($D$27:$AE$27,$D$5:$AE$5,F$42,$D$8:$AE$8,$C$52)</f>
        <v>0</v>
      </c>
      <c r="G52" s="924">
        <f>SUMIFS($D$27:$AE$27,$D$5:$AE$5,G$42,$D$8:$AE$8,$C$52)</f>
        <v>0</v>
      </c>
      <c r="H52" s="924">
        <f>SUMIFS($D$27:$AE$27,$D$5:$AE$5,H$42,$D$8:$AE$8,$C$52)</f>
        <v>0</v>
      </c>
      <c r="I52" s="924">
        <f>SUMIFS($D$27:$AE$27,$D$5:$AE$5,I$42,$D$8:$AE$8,$C$52)</f>
        <v>0</v>
      </c>
      <c r="J52" s="924">
        <f>SUMIFS($D$27:$AE$27,$D$5:$AE$5,J$42,$D$8:$AE$8,$C$52)</f>
        <v>0</v>
      </c>
      <c r="K52" s="924">
        <f>SUMIFS($D$27:$AE$27,$D$5:$AE$5,K$42,$D$8:$AE$8,$C$52)</f>
        <v>0</v>
      </c>
      <c r="L52" s="924">
        <f>SUMIFS($D$27:$AE$27,$D$5:$AE$5,L$42,$D$8:$AE$8,$C$52)</f>
        <v>0</v>
      </c>
      <c r="M52" s="924">
        <f>SUMIFS($D$27:$AE$27,$D$5:$AE$5,M$42,$D$8:$AE$8,$C$52)</f>
        <v>0</v>
      </c>
      <c r="N52" s="924">
        <f>SUMIFS($D$27:$AE$27,$D$5:$AE$5,N$42,$D$8:$AE$8,$C$52)</f>
        <v>0</v>
      </c>
      <c r="O52" s="924">
        <f>SUMIFS($D$27:$AE$27,$D$5:$AE$5,O$42,$D$8:$AE$8,$C$52)</f>
        <v>0</v>
      </c>
      <c r="P52" s="924">
        <f>SUMIFS($D$27:$AE$27,$D$5:$AE$5,P$42,$D$8:$AE$8,$C$52)</f>
        <v>0</v>
      </c>
      <c r="Q52" s="924">
        <f>SUMIFS($D$27:$AE$27,$D$5:$AE$5,Q$42,$D$8:$AE$8,$C$52)</f>
        <v>0</v>
      </c>
      <c r="R52" s="924">
        <f>SUMIFS($D$27:$AE$27,$D$5:$AE$5,R$42,$D$8:$AE$8,$C$52)</f>
        <v>0</v>
      </c>
      <c r="S52" s="924">
        <f>SUMIFS($D$27:$AE$27,$D$5:$AE$5,S$42,$D$8:$AE$8,$C$52)</f>
        <v>0</v>
      </c>
      <c r="T52" s="924">
        <f>SUMIFS($D$27:$AE$27,$D$5:$AE$5,T$42,$D$8:$AE$8,$C$52)</f>
        <v>0</v>
      </c>
      <c r="U52" s="924">
        <f>SUMIFS($D$27:$AE$27,$D$5:$AE$5,U$42,$D$8:$AE$8,$C$52)</f>
        <v>0</v>
      </c>
      <c r="V52" s="924">
        <f>SUMIFS($D$27:$AE$27,$D$5:$AE$5,V$42,$D$8:$AE$8,$C$52)</f>
        <v>0</v>
      </c>
      <c r="W52" s="924">
        <f>SUMIFS($D$27:$AE$27,$D$5:$AE$5,W$42,$D$8:$AE$8,$C$52)</f>
        <v>0</v>
      </c>
      <c r="X52" s="924">
        <f>SUMIFS($D$27:$AE$27,$D$5:$AE$5,X$42,$D$8:$AE$8,$C$52)</f>
        <v>0</v>
      </c>
      <c r="Y52" s="924">
        <f>SUMIFS($D$27:$AE$27,$D$5:$AE$5,Y$42,$D$8:$AE$8,$C$52)</f>
        <v>0</v>
      </c>
      <c r="Z52" s="924">
        <f>SUMIFS($D$27:$AE$27,$D$5:$AE$5,Z$42,$D$8:$AE$8,$C$52)</f>
        <v>0</v>
      </c>
      <c r="AA52" s="924">
        <f>SUMIFS($D$27:$AE$27,$D$5:$AE$5,AA$42,$D$8:$AE$8,$C$52)</f>
        <v>0</v>
      </c>
      <c r="AB52" s="924">
        <f>SUMIFS($D$27:$AE$27,$D$5:$AE$5,AB$42,$D$8:$AE$8,$C$52)</f>
        <v>0</v>
      </c>
      <c r="AC52" s="924">
        <f>SUMIFS($D$27:$AE$27,$D$5:$AE$5,AC$42,$D$8:$AE$8,$C$52)</f>
        <v>0</v>
      </c>
      <c r="AD52" s="924">
        <f>SUMIFS($D$27:$AE$27,$D$5:$AE$5,AD$42,$D$8:$AE$8,$C$52)</f>
        <v>0</v>
      </c>
      <c r="AE52" s="924">
        <f>SUMIFS($D$27:$AE$27,$D$5:$AE$5,AE$42,$D$8:$AE$8,$C$52)</f>
        <v>0</v>
      </c>
      <c r="AF52" s="915"/>
      <c r="AG52" s="915"/>
    </row>
    <row r="53" spans="1:33" hidden="1" x14ac:dyDescent="0.2">
      <c r="A53" s="914"/>
      <c r="B53" s="940"/>
      <c r="C53" s="930" t="s">
        <v>528</v>
      </c>
      <c r="D53" s="924">
        <f>SUMIFS($D$27:$AE$27,$D$5:$AE$5,D$42,$D$8:$AE$8,$C$53)</f>
        <v>1</v>
      </c>
      <c r="E53" s="924">
        <f>SUMIFS($D$27:$AE$27,$D$5:$AE$5,E$42,$D$8:$AE$8,$C$53)</f>
        <v>1</v>
      </c>
      <c r="F53" s="924">
        <f>SUMIFS($D$27:$AE$27,$D$5:$AE$5,F$42,$D$8:$AE$8,$C$53)</f>
        <v>1</v>
      </c>
      <c r="G53" s="924">
        <f>SUMIFS($D$27:$AE$27,$D$5:$AE$5,G$42,$D$8:$AE$8,$C$53)</f>
        <v>1</v>
      </c>
      <c r="H53" s="924">
        <f>SUMIFS($D$27:$AE$27,$D$5:$AE$5,H$42,$D$8:$AE$8,$C$53)</f>
        <v>1</v>
      </c>
      <c r="I53" s="924">
        <f>SUMIFS($D$27:$AE$27,$D$5:$AE$5,I$42,$D$8:$AE$8,$C$53)</f>
        <v>1</v>
      </c>
      <c r="J53" s="924">
        <f>SUMIFS($D$27:$AE$27,$D$5:$AE$5,J$42,$D$8:$AE$8,$C$53)</f>
        <v>1</v>
      </c>
      <c r="K53" s="924">
        <f>SUMIFS($D$27:$AE$27,$D$5:$AE$5,K$42,$D$8:$AE$8,$C$53)</f>
        <v>1</v>
      </c>
      <c r="L53" s="924">
        <f>SUMIFS($D$27:$AE$27,$D$5:$AE$5,L$42,$D$8:$AE$8,$C$53)</f>
        <v>0</v>
      </c>
      <c r="M53" s="924">
        <f>SUMIFS($D$27:$AE$27,$D$5:$AE$5,M$42,$D$8:$AE$8,$C$53)</f>
        <v>0</v>
      </c>
      <c r="N53" s="924">
        <f>SUMIFS($D$27:$AE$27,$D$5:$AE$5,N$42,$D$8:$AE$8,$C$53)</f>
        <v>0</v>
      </c>
      <c r="O53" s="924">
        <f>SUMIFS($D$27:$AE$27,$D$5:$AE$5,O$42,$D$8:$AE$8,$C$53)</f>
        <v>0</v>
      </c>
      <c r="P53" s="924">
        <f>SUMIFS($D$27:$AE$27,$D$5:$AE$5,P$42,$D$8:$AE$8,$C$53)</f>
        <v>0</v>
      </c>
      <c r="Q53" s="924">
        <f>SUMIFS($D$27:$AE$27,$D$5:$AE$5,Q$42,$D$8:$AE$8,$C$53)</f>
        <v>0</v>
      </c>
      <c r="R53" s="924">
        <f>SUMIFS($D$27:$AE$27,$D$5:$AE$5,R$42,$D$8:$AE$8,$C$53)</f>
        <v>0</v>
      </c>
      <c r="S53" s="924">
        <f>SUMIFS($D$27:$AE$27,$D$5:$AE$5,S$42,$D$8:$AE$8,$C$53)</f>
        <v>0</v>
      </c>
      <c r="T53" s="924">
        <f>SUMIFS($D$27:$AE$27,$D$5:$AE$5,T$42,$D$8:$AE$8,$C$53)</f>
        <v>0</v>
      </c>
      <c r="U53" s="924">
        <f>SUMIFS($D$27:$AE$27,$D$5:$AE$5,U$42,$D$8:$AE$8,$C$53)</f>
        <v>0</v>
      </c>
      <c r="V53" s="924">
        <f>SUMIFS($D$27:$AE$27,$D$5:$AE$5,V$42,$D$8:$AE$8,$C$53)</f>
        <v>0</v>
      </c>
      <c r="W53" s="924">
        <f>SUMIFS($D$27:$AE$27,$D$5:$AE$5,W$42,$D$8:$AE$8,$C$53)</f>
        <v>0</v>
      </c>
      <c r="X53" s="924">
        <f>SUMIFS($D$27:$AE$27,$D$5:$AE$5,X$42,$D$8:$AE$8,$C$53)</f>
        <v>0</v>
      </c>
      <c r="Y53" s="924">
        <f>SUMIFS($D$27:$AE$27,$D$5:$AE$5,Y$42,$D$8:$AE$8,$C$53)</f>
        <v>0</v>
      </c>
      <c r="Z53" s="924">
        <f>SUMIFS($D$27:$AE$27,$D$5:$AE$5,Z$42,$D$8:$AE$8,$C$53)</f>
        <v>0</v>
      </c>
      <c r="AA53" s="924">
        <f>SUMIFS($D$27:$AE$27,$D$5:$AE$5,AA$42,$D$8:$AE$8,$C$53)</f>
        <v>0</v>
      </c>
      <c r="AB53" s="924">
        <f>SUMIFS($D$27:$AE$27,$D$5:$AE$5,AB$42,$D$8:$AE$8,$C$53)</f>
        <v>0</v>
      </c>
      <c r="AC53" s="924">
        <f>SUMIFS($D$27:$AE$27,$D$5:$AE$5,AC$42,$D$8:$AE$8,$C$53)</f>
        <v>0</v>
      </c>
      <c r="AD53" s="924">
        <f>SUMIFS($D$27:$AE$27,$D$5:$AE$5,AD$42,$D$8:$AE$8,$C$53)</f>
        <v>0</v>
      </c>
      <c r="AE53" s="924">
        <f>SUMIFS($D$27:$AE$27,$D$5:$AE$5,AE$42,$D$8:$AE$8,$C$53)</f>
        <v>0</v>
      </c>
      <c r="AF53" s="915"/>
      <c r="AG53" s="915"/>
    </row>
    <row r="54" spans="1:33" x14ac:dyDescent="0.2">
      <c r="AE54" s="29"/>
      <c r="AF54" s="29"/>
    </row>
    <row r="55" spans="1:33" x14ac:dyDescent="0.2">
      <c r="AE55" s="29"/>
      <c r="AF55" s="29"/>
    </row>
    <row r="56" spans="1:33" x14ac:dyDescent="0.2">
      <c r="AE56" s="29"/>
      <c r="AF56" s="29"/>
    </row>
    <row r="57" spans="1:33" x14ac:dyDescent="0.2">
      <c r="AE57" s="29"/>
      <c r="AF57" s="29"/>
    </row>
    <row r="58" spans="1:33" x14ac:dyDescent="0.2">
      <c r="AE58" s="29"/>
      <c r="AF58" s="29"/>
    </row>
    <row r="59" spans="1:33" x14ac:dyDescent="0.2">
      <c r="AE59" s="29"/>
      <c r="AF59" s="29"/>
    </row>
    <row r="60" spans="1:33" x14ac:dyDescent="0.2">
      <c r="AE60" s="29"/>
      <c r="AF60" s="29"/>
    </row>
    <row r="61" spans="1:33" x14ac:dyDescent="0.2">
      <c r="AE61" s="29"/>
      <c r="AF61" s="29"/>
    </row>
    <row r="62" spans="1:33" x14ac:dyDescent="0.2">
      <c r="AE62" s="29"/>
      <c r="AF62" s="29"/>
    </row>
    <row r="63" spans="1:33" x14ac:dyDescent="0.2">
      <c r="AE63" s="29"/>
      <c r="AF63" s="29"/>
    </row>
    <row r="64" spans="1:33" x14ac:dyDescent="0.2">
      <c r="AE64" s="29"/>
      <c r="AF64" s="29"/>
    </row>
    <row r="65" spans="1:30" s="29" customFormat="1" x14ac:dyDescent="0.2">
      <c r="A65" s="250"/>
      <c r="B65" s="50"/>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row>
    <row r="66" spans="1:30" s="29" customFormat="1" x14ac:dyDescent="0.2">
      <c r="A66" s="250"/>
      <c r="B66" s="50"/>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row>
    <row r="67" spans="1:30" s="29" customFormat="1" x14ac:dyDescent="0.2">
      <c r="A67" s="250"/>
      <c r="B67" s="50"/>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row>
    <row r="68" spans="1:30" s="29" customFormat="1" x14ac:dyDescent="0.2">
      <c r="A68" s="250"/>
      <c r="B68" s="50"/>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row>
    <row r="69" spans="1:30" s="29" customFormat="1" x14ac:dyDescent="0.2">
      <c r="A69" s="250"/>
      <c r="B69" s="50"/>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row>
    <row r="70" spans="1:30" s="29" customFormat="1" x14ac:dyDescent="0.2">
      <c r="A70" s="250"/>
      <c r="B70" s="50"/>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row>
    <row r="71" spans="1:30" s="29" customFormat="1" x14ac:dyDescent="0.2">
      <c r="A71" s="250"/>
      <c r="B71" s="50"/>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row>
    <row r="72" spans="1:30" s="29" customFormat="1" x14ac:dyDescent="0.2">
      <c r="A72" s="250"/>
      <c r="B72" s="50"/>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row>
    <row r="73" spans="1:30" s="29" customFormat="1" x14ac:dyDescent="0.2">
      <c r="A73" s="250"/>
      <c r="B73" s="50"/>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row>
    <row r="74" spans="1:30" s="29" customFormat="1" x14ac:dyDescent="0.2">
      <c r="A74" s="250"/>
      <c r="B74" s="50"/>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row>
    <row r="75" spans="1:30" s="29" customFormat="1" x14ac:dyDescent="0.2">
      <c r="A75" s="250"/>
      <c r="B75" s="50"/>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row>
    <row r="76" spans="1:30" s="29" customFormat="1" x14ac:dyDescent="0.2">
      <c r="A76" s="250"/>
      <c r="B76" s="50"/>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row>
    <row r="77" spans="1:30" s="29" customFormat="1" x14ac:dyDescent="0.2">
      <c r="A77" s="250"/>
      <c r="B77" s="50"/>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row>
    <row r="78" spans="1:30" s="29" customFormat="1" x14ac:dyDescent="0.2">
      <c r="A78" s="250"/>
      <c r="B78" s="50"/>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row>
    <row r="79" spans="1:30" s="29" customFormat="1" x14ac:dyDescent="0.2">
      <c r="A79" s="250"/>
      <c r="B79" s="50"/>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row>
    <row r="80" spans="1:30" s="29" customFormat="1" x14ac:dyDescent="0.2">
      <c r="A80" s="250"/>
      <c r="B80" s="50"/>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row>
    <row r="81" spans="1:30" s="29" customFormat="1" x14ac:dyDescent="0.2">
      <c r="A81" s="250"/>
      <c r="B81" s="50"/>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row>
    <row r="82" spans="1:30" s="29" customFormat="1" x14ac:dyDescent="0.2">
      <c r="A82" s="250"/>
      <c r="B82" s="50"/>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row>
    <row r="83" spans="1:30" s="29" customFormat="1" x14ac:dyDescent="0.2">
      <c r="A83" s="250"/>
      <c r="B83" s="50"/>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row>
    <row r="84" spans="1:30" s="29" customFormat="1" x14ac:dyDescent="0.2">
      <c r="A84" s="250"/>
      <c r="B84" s="50"/>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row>
    <row r="85" spans="1:30" s="29" customFormat="1" x14ac:dyDescent="0.2">
      <c r="A85" s="250"/>
      <c r="B85" s="50"/>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row>
    <row r="86" spans="1:30" s="29" customFormat="1" x14ac:dyDescent="0.2">
      <c r="A86" s="250"/>
      <c r="B86" s="50"/>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row>
    <row r="87" spans="1:30" s="29" customFormat="1" x14ac:dyDescent="0.2">
      <c r="A87" s="250"/>
      <c r="B87" s="50"/>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row>
    <row r="88" spans="1:30" s="29" customFormat="1" x14ac:dyDescent="0.2">
      <c r="A88" s="250"/>
      <c r="B88" s="50"/>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row>
    <row r="89" spans="1:30" s="29" customFormat="1" x14ac:dyDescent="0.2">
      <c r="A89" s="250"/>
      <c r="B89" s="50"/>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row>
    <row r="90" spans="1:30" s="29" customFormat="1" x14ac:dyDescent="0.2">
      <c r="A90" s="250"/>
      <c r="B90" s="50"/>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row>
    <row r="91" spans="1:30" s="29" customFormat="1" x14ac:dyDescent="0.2">
      <c r="A91" s="250"/>
      <c r="B91" s="50"/>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row>
    <row r="92" spans="1:30" s="29" customFormat="1" x14ac:dyDescent="0.2">
      <c r="A92" s="250"/>
      <c r="B92" s="50"/>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row>
    <row r="93" spans="1:30" s="29" customFormat="1" x14ac:dyDescent="0.2">
      <c r="A93" s="250"/>
      <c r="B93" s="50"/>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row>
    <row r="94" spans="1:30" s="29" customFormat="1" x14ac:dyDescent="0.2">
      <c r="A94" s="250"/>
      <c r="B94" s="50"/>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row>
    <row r="95" spans="1:30" s="29" customFormat="1" x14ac:dyDescent="0.2">
      <c r="A95" s="250"/>
      <c r="B95" s="50"/>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row>
    <row r="96" spans="1:30" s="29" customFormat="1" x14ac:dyDescent="0.2">
      <c r="A96" s="250"/>
      <c r="B96" s="50"/>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row>
    <row r="97" spans="1:30" s="29" customFormat="1" x14ac:dyDescent="0.2">
      <c r="A97" s="250"/>
      <c r="B97" s="50"/>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row>
    <row r="98" spans="1:30" s="29" customFormat="1" x14ac:dyDescent="0.2">
      <c r="A98" s="250"/>
      <c r="B98" s="50"/>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row>
    <row r="99" spans="1:30" s="29" customFormat="1" x14ac:dyDescent="0.2">
      <c r="A99" s="250"/>
      <c r="B99" s="50"/>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row>
    <row r="100" spans="1:30" s="29" customFormat="1" x14ac:dyDescent="0.2">
      <c r="A100" s="250"/>
      <c r="B100" s="50"/>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row>
    <row r="101" spans="1:30" s="29" customFormat="1" x14ac:dyDescent="0.2">
      <c r="A101" s="250"/>
      <c r="B101" s="50"/>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row>
    <row r="102" spans="1:30" s="29" customFormat="1" x14ac:dyDescent="0.2">
      <c r="A102" s="250"/>
      <c r="B102" s="50"/>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row>
    <row r="103" spans="1:30" s="29" customFormat="1" x14ac:dyDescent="0.2">
      <c r="A103" s="250"/>
      <c r="B103" s="50"/>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row>
    <row r="104" spans="1:30" s="29" customFormat="1" x14ac:dyDescent="0.2">
      <c r="A104" s="250"/>
      <c r="B104" s="50"/>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row>
    <row r="105" spans="1:30" s="29" customFormat="1" x14ac:dyDescent="0.2">
      <c r="A105" s="250"/>
      <c r="B105" s="50"/>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row>
    <row r="106" spans="1:30" s="29" customFormat="1" x14ac:dyDescent="0.2">
      <c r="A106" s="250"/>
      <c r="B106" s="50"/>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row>
    <row r="107" spans="1:30" s="29" customFormat="1" x14ac:dyDescent="0.2">
      <c r="A107" s="250"/>
      <c r="B107" s="50"/>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row>
    <row r="108" spans="1:30" s="29" customFormat="1" x14ac:dyDescent="0.2">
      <c r="A108" s="250"/>
      <c r="B108" s="50"/>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row>
    <row r="109" spans="1:30" s="29" customFormat="1" x14ac:dyDescent="0.2">
      <c r="A109" s="250"/>
      <c r="B109" s="50"/>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row>
    <row r="110" spans="1:30" s="29" customFormat="1" x14ac:dyDescent="0.2">
      <c r="A110" s="250"/>
      <c r="B110" s="50"/>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row>
    <row r="111" spans="1:30" s="29" customFormat="1" x14ac:dyDescent="0.2">
      <c r="A111" s="250"/>
      <c r="B111" s="50"/>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row>
    <row r="112" spans="1:30" s="29" customFormat="1" x14ac:dyDescent="0.2">
      <c r="A112" s="250"/>
      <c r="B112" s="50"/>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row>
    <row r="113" spans="1:30" s="29" customFormat="1" x14ac:dyDescent="0.2">
      <c r="A113" s="250"/>
      <c r="B113" s="50"/>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row>
    <row r="114" spans="1:30" s="29" customFormat="1" x14ac:dyDescent="0.2">
      <c r="A114" s="250"/>
      <c r="B114" s="50"/>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row>
    <row r="115" spans="1:30" s="29" customFormat="1" x14ac:dyDescent="0.2">
      <c r="A115" s="250"/>
      <c r="B115" s="50"/>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row>
    <row r="116" spans="1:30" s="29" customFormat="1" x14ac:dyDescent="0.2">
      <c r="A116" s="250"/>
      <c r="B116" s="50"/>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row>
    <row r="117" spans="1:30" s="29" customFormat="1" x14ac:dyDescent="0.2">
      <c r="A117" s="250"/>
      <c r="B117" s="50"/>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row>
    <row r="118" spans="1:30" s="29" customFormat="1" x14ac:dyDescent="0.2">
      <c r="A118" s="250"/>
      <c r="B118" s="50"/>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row>
    <row r="119" spans="1:30" s="29" customFormat="1" x14ac:dyDescent="0.2">
      <c r="A119" s="250"/>
      <c r="B119" s="50"/>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row>
    <row r="120" spans="1:30" s="29" customFormat="1" x14ac:dyDescent="0.2">
      <c r="A120" s="250"/>
      <c r="B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row>
    <row r="121" spans="1:30" s="29" customFormat="1" x14ac:dyDescent="0.2">
      <c r="A121" s="250"/>
      <c r="B121" s="50"/>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row>
    <row r="122" spans="1:30" s="29" customFormat="1" x14ac:dyDescent="0.2">
      <c r="A122" s="250"/>
      <c r="B122" s="50"/>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row>
    <row r="123" spans="1:30" s="29" customFormat="1" x14ac:dyDescent="0.2">
      <c r="A123" s="250"/>
      <c r="B123" s="50"/>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row>
    <row r="124" spans="1:30" s="29" customFormat="1" x14ac:dyDescent="0.2">
      <c r="A124" s="250"/>
      <c r="B124" s="50"/>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row>
    <row r="125" spans="1:30" s="29" customFormat="1" x14ac:dyDescent="0.2">
      <c r="A125" s="250"/>
      <c r="B125" s="50"/>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row>
    <row r="126" spans="1:30" s="29" customFormat="1" x14ac:dyDescent="0.2">
      <c r="A126" s="250"/>
      <c r="B126" s="50"/>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row>
    <row r="127" spans="1:30" s="29" customFormat="1" x14ac:dyDescent="0.2">
      <c r="A127" s="250"/>
      <c r="B127" s="50"/>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row>
    <row r="128" spans="1:30" s="29" customFormat="1" x14ac:dyDescent="0.2">
      <c r="A128" s="250"/>
      <c r="B128" s="50"/>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row>
    <row r="129" spans="1:30" s="29" customFormat="1" x14ac:dyDescent="0.2">
      <c r="A129" s="250"/>
      <c r="B129" s="50"/>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row>
    <row r="130" spans="1:30" s="29" customFormat="1" x14ac:dyDescent="0.2">
      <c r="A130" s="250"/>
      <c r="B130" s="50"/>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row>
    <row r="131" spans="1:30" s="29" customFormat="1" x14ac:dyDescent="0.2">
      <c r="A131" s="250"/>
      <c r="B131" s="50"/>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row>
    <row r="132" spans="1:30" s="29" customFormat="1" x14ac:dyDescent="0.2">
      <c r="A132" s="250"/>
      <c r="B132" s="50"/>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row>
    <row r="133" spans="1:30" s="29" customFormat="1" x14ac:dyDescent="0.2">
      <c r="A133" s="250"/>
      <c r="B133" s="50"/>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row>
    <row r="134" spans="1:30" s="29" customFormat="1" x14ac:dyDescent="0.2">
      <c r="A134" s="250"/>
      <c r="B134" s="50"/>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row>
    <row r="135" spans="1:30" s="29" customFormat="1" x14ac:dyDescent="0.2">
      <c r="A135" s="250"/>
      <c r="B135" s="50"/>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row>
    <row r="136" spans="1:30" s="29" customFormat="1" x14ac:dyDescent="0.2">
      <c r="A136" s="250"/>
      <c r="B136" s="50"/>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row>
    <row r="137" spans="1:30" s="29" customFormat="1" x14ac:dyDescent="0.2">
      <c r="A137" s="250"/>
      <c r="B137" s="50"/>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row>
    <row r="138" spans="1:30" s="29" customFormat="1" x14ac:dyDescent="0.2">
      <c r="A138" s="250"/>
      <c r="B138" s="50"/>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row>
    <row r="139" spans="1:30" s="29" customFormat="1" x14ac:dyDescent="0.2">
      <c r="A139" s="250"/>
      <c r="B139" s="50"/>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row>
    <row r="140" spans="1:30" s="29" customFormat="1" x14ac:dyDescent="0.2">
      <c r="A140" s="250"/>
      <c r="B140" s="50"/>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row>
    <row r="141" spans="1:30" s="29" customFormat="1" x14ac:dyDescent="0.2">
      <c r="A141" s="250"/>
      <c r="B141" s="50"/>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row>
    <row r="142" spans="1:30" s="29" customFormat="1" x14ac:dyDescent="0.2">
      <c r="A142" s="250"/>
      <c r="B142" s="50"/>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row>
    <row r="143" spans="1:30" s="29" customFormat="1" x14ac:dyDescent="0.2">
      <c r="A143" s="250"/>
      <c r="B143" s="50"/>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row>
    <row r="144" spans="1:30" s="29" customFormat="1" x14ac:dyDescent="0.2">
      <c r="A144" s="250"/>
      <c r="B144" s="50"/>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row>
    <row r="145" spans="1:30" s="29" customFormat="1" x14ac:dyDescent="0.2">
      <c r="A145" s="250"/>
      <c r="B145" s="50"/>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row>
    <row r="146" spans="1:30" s="29" customFormat="1" x14ac:dyDescent="0.2">
      <c r="A146" s="250"/>
      <c r="B146" s="50"/>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row>
    <row r="147" spans="1:30" s="29" customFormat="1" x14ac:dyDescent="0.2">
      <c r="A147" s="250"/>
      <c r="B147" s="50"/>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row>
    <row r="148" spans="1:30" s="29" customFormat="1" x14ac:dyDescent="0.2">
      <c r="A148" s="250"/>
      <c r="B148" s="50"/>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row>
    <row r="149" spans="1:30" s="29" customFormat="1" x14ac:dyDescent="0.2">
      <c r="A149" s="250"/>
      <c r="B149" s="50"/>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row>
    <row r="150" spans="1:30" s="29" customFormat="1" x14ac:dyDescent="0.2">
      <c r="A150" s="250"/>
      <c r="B150" s="50"/>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row>
    <row r="151" spans="1:30" s="29" customFormat="1" x14ac:dyDescent="0.2">
      <c r="A151" s="250"/>
      <c r="B151" s="50"/>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row>
    <row r="152" spans="1:30" s="29" customFormat="1" x14ac:dyDescent="0.2">
      <c r="A152" s="250"/>
      <c r="B152" s="50"/>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row>
    <row r="153" spans="1:30" s="29" customFormat="1" x14ac:dyDescent="0.2">
      <c r="A153" s="250"/>
      <c r="B153" s="50"/>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row>
    <row r="154" spans="1:30" s="29" customFormat="1" x14ac:dyDescent="0.2">
      <c r="A154" s="250"/>
      <c r="B154" s="50"/>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row>
    <row r="155" spans="1:30" s="29" customFormat="1" x14ac:dyDescent="0.2">
      <c r="A155" s="250"/>
      <c r="B155" s="50"/>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row>
    <row r="156" spans="1:30" s="29" customFormat="1" x14ac:dyDescent="0.2">
      <c r="A156" s="250"/>
      <c r="B156" s="50"/>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row>
    <row r="157" spans="1:30" s="29" customFormat="1" x14ac:dyDescent="0.2">
      <c r="A157" s="250"/>
      <c r="B157" s="50"/>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row>
    <row r="158" spans="1:30" s="29" customFormat="1" x14ac:dyDescent="0.2">
      <c r="A158" s="250"/>
      <c r="B158" s="50"/>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row>
    <row r="159" spans="1:30" s="29" customFormat="1" x14ac:dyDescent="0.2">
      <c r="A159" s="250"/>
      <c r="B159" s="50"/>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row>
    <row r="160" spans="1:30" s="29" customFormat="1" x14ac:dyDescent="0.2">
      <c r="A160" s="250"/>
      <c r="B160" s="50"/>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row>
    <row r="161" spans="31:32" x14ac:dyDescent="0.2">
      <c r="AE161" s="29"/>
      <c r="AF161" s="29"/>
    </row>
    <row r="162" spans="31:32" x14ac:dyDescent="0.2">
      <c r="AE162" s="29"/>
      <c r="AF162" s="29"/>
    </row>
    <row r="163" spans="31:32" x14ac:dyDescent="0.2">
      <c r="AE163" s="29"/>
      <c r="AF163" s="29"/>
    </row>
    <row r="164" spans="31:32" x14ac:dyDescent="0.2">
      <c r="AE164" s="29"/>
      <c r="AF164" s="29"/>
    </row>
    <row r="165" spans="31:32" x14ac:dyDescent="0.2">
      <c r="AE165" s="29"/>
      <c r="AF165" s="29"/>
    </row>
  </sheetData>
  <sheetProtection algorithmName="SHA-512" hashValue="+CDTkyvrdmv7WIfFGn0ggz1kifm5U6GqJ4viEKujji2fYAjfzk/doJ0LhoORGAjGlUfyw6VXyob7eQPPRjJ3AQ==" saltValue="MjMMNWkZ1oe4DxxEerCZIQ==" spinCount="100000" sheet="1" objects="1" scenarios="1"/>
  <protectedRanges>
    <protectedRange sqref="A30:AE33" name="Notes"/>
    <protectedRange sqref="D18:AE18 D20 D22 D24" name="Data Entry_1"/>
    <protectedRange sqref="D16:AE16 B17:C26" name="Data Entry"/>
    <protectedRange sqref="D8:AE8" name="EV Practice"/>
    <protectedRange sqref="D5:AE5" name="EV Rate Code"/>
    <protectedRange sqref="D9:AE9" name="Staff Type"/>
    <protectedRange sqref="D11:AE11" name="Direct Rate Adjust"/>
    <protectedRange sqref="B16:C16" name="Data Entry_4"/>
    <protectedRange sqref="D17:AE17 D19:AE19 D21:AE21 E20:AE20 D23:AE23 E22:AE22 E24:AE24 D25:AE26" name="Data Entry_3"/>
  </protectedRanges>
  <mergeCells count="20">
    <mergeCell ref="B28:C28"/>
    <mergeCell ref="B22:C22"/>
    <mergeCell ref="B23:C23"/>
    <mergeCell ref="B24:C24"/>
    <mergeCell ref="B25:C25"/>
    <mergeCell ref="B26:C26"/>
    <mergeCell ref="B27:C27"/>
    <mergeCell ref="B16:C16"/>
    <mergeCell ref="B17:C17"/>
    <mergeCell ref="B18:C18"/>
    <mergeCell ref="B19:C19"/>
    <mergeCell ref="B20:C20"/>
    <mergeCell ref="B21:C21"/>
    <mergeCell ref="A1:B1"/>
    <mergeCell ref="A2:B2"/>
    <mergeCell ref="A3:B3"/>
    <mergeCell ref="A4:B4"/>
    <mergeCell ref="A5:B5"/>
    <mergeCell ref="A6:A7"/>
    <mergeCell ref="B6:C7"/>
  </mergeCells>
  <conditionalFormatting sqref="D27:D28 D18:AE18">
    <cfRule type="expression" dxfId="25" priority="22">
      <formula>D$7=0</formula>
    </cfRule>
  </conditionalFormatting>
  <conditionalFormatting sqref="D16">
    <cfRule type="expression" dxfId="24" priority="21">
      <formula>D$7=0</formula>
    </cfRule>
  </conditionalFormatting>
  <conditionalFormatting sqref="E27:AE28">
    <cfRule type="expression" dxfId="23" priority="20">
      <formula>E$7=0</formula>
    </cfRule>
  </conditionalFormatting>
  <conditionalFormatting sqref="E16:AE16">
    <cfRule type="expression" dxfId="22" priority="19">
      <formula>E$7=0</formula>
    </cfRule>
  </conditionalFormatting>
  <conditionalFormatting sqref="D11">
    <cfRule type="expression" dxfId="21" priority="18">
      <formula>D$7=0</formula>
    </cfRule>
  </conditionalFormatting>
  <conditionalFormatting sqref="E11:AE11">
    <cfRule type="expression" dxfId="20" priority="17">
      <formula>E$7=0</formula>
    </cfRule>
  </conditionalFormatting>
  <conditionalFormatting sqref="D14:AE14">
    <cfRule type="cellIs" dxfId="19" priority="13" operator="between">
      <formula>0.25</formula>
      <formula>1</formula>
    </cfRule>
    <cfRule type="cellIs" dxfId="18" priority="14" operator="between">
      <formula>0.15</formula>
      <formula>0.25</formula>
    </cfRule>
    <cfRule type="cellIs" dxfId="17" priority="15" operator="between">
      <formula>0</formula>
      <formula>0.15</formula>
    </cfRule>
    <cfRule type="cellIs" dxfId="16" priority="16" operator="between">
      <formula>-0.5</formula>
      <formula>0</formula>
    </cfRule>
  </conditionalFormatting>
  <conditionalFormatting sqref="D17:AE17 D19 D21 D23 D25">
    <cfRule type="expression" dxfId="15" priority="12">
      <formula>D$7=0</formula>
    </cfRule>
  </conditionalFormatting>
  <conditionalFormatting sqref="E19:AE19">
    <cfRule type="expression" dxfId="14" priority="11">
      <formula>E$7=0</formula>
    </cfRule>
  </conditionalFormatting>
  <conditionalFormatting sqref="E20:AE20">
    <cfRule type="expression" dxfId="13" priority="10">
      <formula>E$7=0</formula>
    </cfRule>
  </conditionalFormatting>
  <conditionalFormatting sqref="E21:AE21">
    <cfRule type="expression" dxfId="12" priority="9">
      <formula>E$7=0</formula>
    </cfRule>
  </conditionalFormatting>
  <conditionalFormatting sqref="E22:AE22">
    <cfRule type="expression" dxfId="11" priority="8">
      <formula>E$7=0</formula>
    </cfRule>
  </conditionalFormatting>
  <conditionalFormatting sqref="E23:AE23">
    <cfRule type="expression" dxfId="10" priority="7">
      <formula>E$7=0</formula>
    </cfRule>
  </conditionalFormatting>
  <conditionalFormatting sqref="E24:AE24">
    <cfRule type="expression" dxfId="9" priority="6">
      <formula>E$7=0</formula>
    </cfRule>
  </conditionalFormatting>
  <conditionalFormatting sqref="E25:AE25">
    <cfRule type="expression" dxfId="8" priority="5">
      <formula>E$7=0</formula>
    </cfRule>
  </conditionalFormatting>
  <conditionalFormatting sqref="D26:AE26">
    <cfRule type="expression" dxfId="7" priority="4">
      <formula>D$7=0</formula>
    </cfRule>
  </conditionalFormatting>
  <conditionalFormatting sqref="D20">
    <cfRule type="expression" dxfId="6" priority="3">
      <formula>D$7=0</formula>
    </cfRule>
  </conditionalFormatting>
  <conditionalFormatting sqref="D22">
    <cfRule type="expression" dxfId="5" priority="2">
      <formula>D$7=0</formula>
    </cfRule>
  </conditionalFormatting>
  <conditionalFormatting sqref="D24">
    <cfRule type="expression" dxfId="4" priority="1">
      <formula>D$7=0</formula>
    </cfRule>
  </conditionalFormatting>
  <dataValidations count="2">
    <dataValidation type="list" allowBlank="1" showInputMessage="1" showErrorMessage="1" sqref="D15:AE15" xr:uid="{15DBBBBE-3500-4EFA-BFB2-5CEA632A4AB3}">
      <formula1>$P$4:$S$4</formula1>
    </dataValidation>
    <dataValidation type="decimal" allowBlank="1" showErrorMessage="1" errorTitle="Invalid Entry" error="Values in these cells must be a number greater than 12.  Text entries are not allowed.  " sqref="D11:AE11" xr:uid="{5EC44EE1-B57C-4F37-89ED-5C3B7D2D9711}">
      <formula1>12</formula1>
      <formula2>250</formula2>
    </dataValidation>
  </dataValidations>
  <printOptions horizontalCentered="1"/>
  <pageMargins left="0.3" right="0.3" top="0.75" bottom="0.75" header="0.5" footer="0.5"/>
  <pageSetup scale="39" orientation="landscape" verticalDpi="300" r:id="rId1"/>
  <headerFooter alignWithMargins="0">
    <oddFooter xml:space="preserve">&amp;R&amp;6&amp;Z&amp;F   &amp;D
&amp;7© 2016 TRC   All rights reserved. </oddFooter>
  </headerFooter>
  <rowBreaks count="1" manualBreakCount="1">
    <brk id="3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850369" r:id="rId4" name="Button 1">
              <controlPr defaultSize="0" print="0" autoFill="0" autoPict="0" macro="[0]!Button3_CopyRowAndInsertNewRow">
                <anchor moveWithCells="1" sizeWithCells="1">
                  <from>
                    <xdr:col>1</xdr:col>
                    <xdr:colOff>142875</xdr:colOff>
                    <xdr:row>29</xdr:row>
                    <xdr:rowOff>57150</xdr:rowOff>
                  </from>
                  <to>
                    <xdr:col>2</xdr:col>
                    <xdr:colOff>1714500</xdr:colOff>
                    <xdr:row>32</xdr:row>
                    <xdr:rowOff>95250</xdr:rowOff>
                  </to>
                </anchor>
              </controlPr>
            </control>
          </mc:Choice>
        </mc:AlternateContent>
        <mc:AlternateContent xmlns:mc="http://schemas.openxmlformats.org/markup-compatibility/2006">
          <mc:Choice Requires="x14">
            <control shapeId="1850370" r:id="rId5" name="Button 2">
              <controlPr defaultSize="0" print="0" autoFill="0" autoPict="0" macro="[0]!Phase_Template_RemoveLastRow">
                <anchor moveWithCells="1" sizeWithCells="1">
                  <from>
                    <xdr:col>3</xdr:col>
                    <xdr:colOff>28575</xdr:colOff>
                    <xdr:row>29</xdr:row>
                    <xdr:rowOff>28575</xdr:rowOff>
                  </from>
                  <to>
                    <xdr:col>6</xdr:col>
                    <xdr:colOff>38100</xdr:colOff>
                    <xdr:row>32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48873BB-B77B-4705-8235-B5928FD718DB}">
          <x14:formula1>
            <xm:f>'Labor &amp; Practice Lookups'!$R$4:$V$4</xm:f>
          </x14:formula1>
          <xm:sqref>D9:AE10</xm:sqref>
        </x14:dataValidation>
        <x14:dataValidation type="list" allowBlank="1" showInputMessage="1" showErrorMessage="1" xr:uid="{E4DA001A-DCDD-4769-B151-DB3F637B16C6}">
          <x14:formula1>
            <xm:f>'Labor &amp; Practice Lookups'!$Q$5:$Q$11</xm:f>
          </x14:formula1>
          <xm:sqref>D8:AE8</xm:sqref>
        </x14:dataValidation>
        <x14:dataValidation type="list" allowBlank="1" showInputMessage="1" showErrorMessage="1" xr:uid="{0B32D78D-722E-431E-BC55-87D05193B198}">
          <x14:formula1>
            <xm:f>INPUT!$F$5:$F$32</xm:f>
          </x14:formula1>
          <xm:sqref>D5:AE5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8">
    <tabColor rgb="FFFF6600"/>
    <pageSetUpPr fitToPage="1"/>
  </sheetPr>
  <dimension ref="A1:CD104"/>
  <sheetViews>
    <sheetView topLeftCell="A25" zoomScale="85" zoomScaleNormal="85" workbookViewId="0">
      <selection activeCell="A60" sqref="A60:XFD62"/>
    </sheetView>
  </sheetViews>
  <sheetFormatPr defaultColWidth="9.140625" defaultRowHeight="12.75" x14ac:dyDescent="0.2"/>
  <cols>
    <col min="1" max="1" width="10.7109375" style="4" customWidth="1"/>
    <col min="2" max="2" width="37.5703125" style="4" bestFit="1" customWidth="1"/>
    <col min="3" max="3" width="14.42578125" style="4" bestFit="1" customWidth="1"/>
    <col min="4" max="4" width="7.28515625" style="3" bestFit="1" customWidth="1"/>
    <col min="5" max="5" width="7.7109375" style="3" bestFit="1" customWidth="1"/>
    <col min="6" max="11" width="7.28515625" style="3" bestFit="1" customWidth="1"/>
    <col min="12" max="12" width="7.7109375" style="3" bestFit="1" customWidth="1"/>
    <col min="13" max="14" width="7.28515625" style="3" bestFit="1" customWidth="1"/>
    <col min="15" max="15" width="8.42578125" style="3" bestFit="1" customWidth="1"/>
    <col min="16" max="21" width="7.28515625" style="3" bestFit="1" customWidth="1"/>
    <col min="22" max="22" width="7.140625" style="3" customWidth="1"/>
    <col min="23" max="23" width="7.28515625" style="3" customWidth="1"/>
    <col min="24" max="30" width="7" style="3" bestFit="1" customWidth="1"/>
    <col min="31" max="31" width="7.7109375" style="3" bestFit="1" customWidth="1"/>
    <col min="32" max="32" width="6.7109375" style="3" bestFit="1" customWidth="1"/>
    <col min="33" max="34" width="6.7109375" style="209" bestFit="1" customWidth="1"/>
    <col min="35" max="35" width="5.5703125" style="3" bestFit="1" customWidth="1"/>
    <col min="36" max="36" width="4.7109375" style="243" bestFit="1" customWidth="1"/>
    <col min="37" max="37" width="5.5703125" style="4" bestFit="1" customWidth="1"/>
    <col min="38" max="38" width="9" style="4" bestFit="1" customWidth="1"/>
    <col min="39" max="39" width="7" style="4" bestFit="1" customWidth="1"/>
    <col min="40" max="41" width="2.140625" style="4" bestFit="1" customWidth="1"/>
    <col min="42" max="42" width="7" style="4" bestFit="1" customWidth="1"/>
    <col min="43" max="44" width="12.7109375" style="4" customWidth="1"/>
    <col min="45" max="45" width="15.7109375" style="4" bestFit="1" customWidth="1"/>
    <col min="46" max="46" width="24" style="4" customWidth="1"/>
    <col min="47" max="47" width="15.7109375" style="4" customWidth="1"/>
    <col min="48" max="48" width="12.7109375" style="4" customWidth="1"/>
    <col min="49" max="49" width="9.28515625" style="4" bestFit="1" customWidth="1"/>
    <col min="50" max="50" width="12.7109375" style="4" customWidth="1"/>
    <col min="51" max="51" width="23" style="4" bestFit="1" customWidth="1"/>
    <col min="52" max="52" width="20.7109375" style="4" bestFit="1" customWidth="1"/>
    <col min="53" max="54" width="12.7109375" style="4" customWidth="1"/>
    <col min="55" max="55" width="2.7109375" style="4" bestFit="1" customWidth="1"/>
    <col min="56" max="56" width="12.7109375" style="4" customWidth="1"/>
    <col min="57" max="57" width="22.140625" style="4" bestFit="1" customWidth="1"/>
    <col min="58" max="59" width="12.7109375" style="4" customWidth="1"/>
    <col min="60" max="60" width="4.42578125" style="4" bestFit="1" customWidth="1"/>
    <col min="61" max="72" width="12.7109375" style="4" customWidth="1"/>
    <col min="73" max="16384" width="9.140625" style="4"/>
  </cols>
  <sheetData>
    <row r="1" spans="1:82" s="882" customFormat="1" ht="26.25" hidden="1" customHeight="1" x14ac:dyDescent="0.2">
      <c r="A1" s="954">
        <v>1</v>
      </c>
      <c r="B1" s="954"/>
      <c r="C1" s="954"/>
      <c r="D1" s="955"/>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7"/>
      <c r="AH1" s="957"/>
      <c r="AI1" s="956"/>
      <c r="AJ1" s="958"/>
      <c r="AL1" s="959" t="s">
        <v>660</v>
      </c>
      <c r="AM1" s="954" t="b">
        <v>0</v>
      </c>
      <c r="AN1" s="954">
        <v>1</v>
      </c>
      <c r="AO1" s="954">
        <v>1</v>
      </c>
      <c r="AP1" s="954" t="b">
        <v>0</v>
      </c>
      <c r="AR1" s="960" t="s">
        <v>295</v>
      </c>
      <c r="AS1" s="961" t="s">
        <v>165</v>
      </c>
      <c r="AT1" s="960" t="s">
        <v>295</v>
      </c>
      <c r="AU1" s="961" t="s">
        <v>165</v>
      </c>
      <c r="AW1" s="962" t="s">
        <v>296</v>
      </c>
      <c r="AY1" s="963" t="s">
        <v>359</v>
      </c>
      <c r="AZ1" s="1535" t="s">
        <v>329</v>
      </c>
      <c r="BA1" s="1535"/>
      <c r="BB1" s="1535"/>
      <c r="BC1" s="887" t="s">
        <v>24</v>
      </c>
      <c r="BE1" s="1535" t="s">
        <v>329</v>
      </c>
      <c r="BF1" s="1535"/>
      <c r="BG1" s="1535"/>
      <c r="BH1" s="887" t="s">
        <v>24</v>
      </c>
      <c r="BN1" s="965"/>
      <c r="BO1" s="965"/>
      <c r="BP1" s="965"/>
      <c r="BQ1" s="965"/>
      <c r="BR1" s="965"/>
      <c r="BS1" s="965"/>
      <c r="BT1" s="965"/>
      <c r="BU1" s="965"/>
      <c r="BX1" s="965"/>
      <c r="BZ1" s="965"/>
      <c r="CA1" s="965"/>
      <c r="CB1" s="965"/>
      <c r="CD1" s="965"/>
    </row>
    <row r="2" spans="1:82" s="882" customFormat="1" ht="12.75" hidden="1" customHeight="1" x14ac:dyDescent="0.2">
      <c r="A2" s="954" t="b">
        <v>1</v>
      </c>
      <c r="B2" s="966"/>
      <c r="C2" s="954"/>
      <c r="D2" s="955"/>
      <c r="E2" s="956"/>
      <c r="F2" s="956"/>
      <c r="G2" s="956"/>
      <c r="H2" s="956"/>
      <c r="I2" s="956"/>
      <c r="J2" s="956"/>
      <c r="K2" s="956"/>
      <c r="L2" s="956"/>
      <c r="M2" s="956"/>
      <c r="N2" s="956"/>
      <c r="O2" s="956"/>
      <c r="P2" s="956"/>
      <c r="Q2" s="956"/>
      <c r="R2" s="956"/>
      <c r="S2" s="956"/>
      <c r="T2" s="956"/>
      <c r="U2" s="956"/>
      <c r="V2" s="956"/>
      <c r="W2" s="956"/>
      <c r="X2" s="956"/>
      <c r="Y2" s="956"/>
      <c r="Z2" s="956"/>
      <c r="AA2" s="956"/>
      <c r="AB2" s="956"/>
      <c r="AC2" s="956"/>
      <c r="AD2" s="956"/>
      <c r="AE2" s="956"/>
      <c r="AF2" s="956"/>
      <c r="AG2" s="957"/>
      <c r="AH2" s="957"/>
      <c r="AI2" s="956"/>
      <c r="AJ2" s="958"/>
      <c r="AL2" s="959" t="s">
        <v>661</v>
      </c>
      <c r="AM2" s="954" t="b">
        <v>0</v>
      </c>
      <c r="AN2" s="954">
        <v>1</v>
      </c>
      <c r="AO2" s="954">
        <v>1</v>
      </c>
      <c r="AP2" s="954" t="b">
        <v>0</v>
      </c>
      <c r="AR2" s="959" t="s">
        <v>1384</v>
      </c>
      <c r="AS2" s="959">
        <f t="shared" ref="AS2:AS21" si="0">ABS(RIGHT(AR2,LEN(AR2)-6))</f>
        <v>1</v>
      </c>
      <c r="AT2" s="959" t="s">
        <v>1681</v>
      </c>
      <c r="AU2" s="959">
        <f>INPUT!B28</f>
        <v>11</v>
      </c>
      <c r="AW2" s="959" t="str">
        <f t="shared" ref="AW2:AW11" si="1">Element1</f>
        <v>Phase Name 1</v>
      </c>
      <c r="AZ2" s="1535" t="s">
        <v>330</v>
      </c>
      <c r="BA2" s="1535"/>
      <c r="BB2" s="1535"/>
      <c r="BC2" s="887" t="s">
        <v>27</v>
      </c>
      <c r="BE2" s="1535" t="s">
        <v>357</v>
      </c>
      <c r="BF2" s="1535"/>
      <c r="BG2" s="1535"/>
      <c r="BH2" s="887" t="s">
        <v>358</v>
      </c>
    </row>
    <row r="3" spans="1:82" s="882" customFormat="1" hidden="1" x14ac:dyDescent="0.2">
      <c r="A3" s="954" t="s">
        <v>348</v>
      </c>
      <c r="B3" s="966">
        <f>VLOOKUP(RateSchedule,FeeTable,33,FALSE)</f>
        <v>0.06</v>
      </c>
      <c r="C3" s="967"/>
      <c r="D3" s="955"/>
      <c r="E3" s="956"/>
      <c r="F3" s="956"/>
      <c r="G3" s="956"/>
      <c r="H3" s="956"/>
      <c r="I3" s="956"/>
      <c r="J3" s="956"/>
      <c r="K3" s="956"/>
      <c r="L3" s="956"/>
      <c r="M3" s="956"/>
      <c r="N3" s="956"/>
      <c r="O3" s="956"/>
      <c r="P3" s="956"/>
      <c r="Q3" s="956"/>
      <c r="R3" s="956"/>
      <c r="S3" s="956"/>
      <c r="T3" s="956"/>
      <c r="U3" s="956"/>
      <c r="V3" s="956"/>
      <c r="W3" s="956"/>
      <c r="X3" s="956"/>
      <c r="Y3" s="956"/>
      <c r="Z3" s="956"/>
      <c r="AA3" s="956"/>
      <c r="AB3" s="956"/>
      <c r="AC3" s="956"/>
      <c r="AD3" s="956"/>
      <c r="AE3" s="956"/>
      <c r="AF3" s="956"/>
      <c r="AG3" s="957"/>
      <c r="AH3" s="957"/>
      <c r="AI3" s="956"/>
      <c r="AJ3" s="958"/>
      <c r="AL3" s="959" t="s">
        <v>662</v>
      </c>
      <c r="AM3" s="954" t="b">
        <v>0</v>
      </c>
      <c r="AN3" s="954">
        <v>1</v>
      </c>
      <c r="AO3" s="954">
        <v>1</v>
      </c>
      <c r="AP3" s="954" t="b">
        <v>0</v>
      </c>
      <c r="AR3" s="959" t="s">
        <v>1383</v>
      </c>
      <c r="AS3" s="959">
        <f t="shared" si="0"/>
        <v>2</v>
      </c>
      <c r="AT3" s="959" t="s">
        <v>1680</v>
      </c>
      <c r="AU3" s="959">
        <f>INPUT!B29</f>
        <v>12</v>
      </c>
      <c r="AW3" s="959" t="str">
        <f t="shared" si="1"/>
        <v>Phase Name 1</v>
      </c>
      <c r="AZ3" s="1535" t="s">
        <v>331</v>
      </c>
      <c r="BA3" s="1535"/>
      <c r="BB3" s="1535"/>
      <c r="BC3" s="887" t="s">
        <v>44</v>
      </c>
      <c r="BE3" s="1535" t="s">
        <v>332</v>
      </c>
      <c r="BF3" s="1535"/>
      <c r="BG3" s="1535"/>
      <c r="BH3" s="887" t="s">
        <v>45</v>
      </c>
    </row>
    <row r="4" spans="1:82" s="882" customFormat="1" ht="15" hidden="1" customHeight="1" x14ac:dyDescent="0.2">
      <c r="A4" s="954" t="s">
        <v>516</v>
      </c>
      <c r="B4" s="966">
        <f>VLOOKUP(RateSchedule,FeeTable,31,FALSE)</f>
        <v>0.15</v>
      </c>
      <c r="C4" s="967"/>
      <c r="D4" s="955"/>
      <c r="E4" s="956"/>
      <c r="F4" s="956"/>
      <c r="G4" s="956"/>
      <c r="H4" s="956"/>
      <c r="I4" s="956"/>
      <c r="J4" s="956"/>
      <c r="K4" s="956"/>
      <c r="L4" s="956"/>
      <c r="M4" s="956"/>
      <c r="N4" s="956"/>
      <c r="O4" s="956"/>
      <c r="P4" s="956"/>
      <c r="Q4" s="956"/>
      <c r="R4" s="956"/>
      <c r="S4" s="956"/>
      <c r="T4" s="956"/>
      <c r="U4" s="956"/>
      <c r="V4" s="956"/>
      <c r="W4" s="956"/>
      <c r="X4" s="956"/>
      <c r="Y4" s="965"/>
      <c r="Z4" s="956"/>
      <c r="AA4" s="965"/>
      <c r="AB4" s="956"/>
      <c r="AC4" s="956"/>
      <c r="AD4" s="965"/>
      <c r="AE4" s="956"/>
      <c r="AF4" s="965"/>
      <c r="AG4" s="957"/>
      <c r="AH4" s="957"/>
      <c r="AI4" s="965"/>
      <c r="AJ4" s="968"/>
      <c r="AL4" s="959" t="s">
        <v>663</v>
      </c>
      <c r="AM4" s="954" t="b">
        <v>0</v>
      </c>
      <c r="AN4" s="954">
        <v>1</v>
      </c>
      <c r="AO4" s="954">
        <v>1</v>
      </c>
      <c r="AP4" s="954" t="b">
        <v>0</v>
      </c>
      <c r="AR4" s="959" t="s">
        <v>1494</v>
      </c>
      <c r="AS4" s="959">
        <f t="shared" si="0"/>
        <v>3</v>
      </c>
      <c r="AT4" s="959" t="s">
        <v>1679</v>
      </c>
      <c r="AU4" s="959">
        <f>INPUT!B30</f>
        <v>13</v>
      </c>
      <c r="AV4" s="965"/>
      <c r="AW4" s="959" t="str">
        <f t="shared" si="1"/>
        <v>Phase Name 1</v>
      </c>
      <c r="AX4" s="965"/>
      <c r="AZ4" s="1535" t="s">
        <v>332</v>
      </c>
      <c r="BA4" s="1535"/>
      <c r="BB4" s="1535"/>
      <c r="BC4" s="887" t="s">
        <v>45</v>
      </c>
      <c r="BE4" s="1535" t="s">
        <v>333</v>
      </c>
      <c r="BF4" s="1535"/>
      <c r="BG4" s="1535"/>
      <c r="BH4" s="887" t="s">
        <v>35</v>
      </c>
    </row>
    <row r="5" spans="1:82" s="882" customFormat="1" ht="15" hidden="1" customHeight="1" x14ac:dyDescent="0.2">
      <c r="A5" s="954" t="s">
        <v>517</v>
      </c>
      <c r="B5" s="966">
        <f>VLOOKUP(RateSchedule,FeeTable,32,FALSE)</f>
        <v>0.15</v>
      </c>
      <c r="C5" s="967"/>
      <c r="D5" s="955"/>
      <c r="E5" s="956"/>
      <c r="F5" s="956"/>
      <c r="G5" s="956"/>
      <c r="H5" s="956"/>
      <c r="I5" s="956"/>
      <c r="J5" s="956"/>
      <c r="K5" s="956"/>
      <c r="L5" s="956"/>
      <c r="M5" s="956"/>
      <c r="N5" s="956"/>
      <c r="O5" s="956"/>
      <c r="P5" s="956"/>
      <c r="Q5" s="956"/>
      <c r="R5" s="956"/>
      <c r="S5" s="956"/>
      <c r="T5" s="956"/>
      <c r="U5" s="956"/>
      <c r="V5" s="956"/>
      <c r="W5" s="956"/>
      <c r="X5" s="956"/>
      <c r="Y5" s="965"/>
      <c r="Z5" s="956"/>
      <c r="AA5" s="965"/>
      <c r="AB5" s="956"/>
      <c r="AC5" s="956"/>
      <c r="AD5" s="965"/>
      <c r="AE5" s="956"/>
      <c r="AF5" s="965"/>
      <c r="AG5" s="957"/>
      <c r="AH5" s="957"/>
      <c r="AI5" s="965"/>
      <c r="AJ5" s="968"/>
      <c r="AL5" s="959" t="s">
        <v>664</v>
      </c>
      <c r="AM5" s="954" t="b">
        <v>0</v>
      </c>
      <c r="AN5" s="954">
        <v>1</v>
      </c>
      <c r="AO5" s="954">
        <v>1</v>
      </c>
      <c r="AP5" s="954" t="b">
        <v>0</v>
      </c>
      <c r="AQ5" s="969"/>
      <c r="AR5" s="959" t="s">
        <v>1495</v>
      </c>
      <c r="AS5" s="959">
        <f t="shared" si="0"/>
        <v>4</v>
      </c>
      <c r="AT5" s="959" t="s">
        <v>1678</v>
      </c>
      <c r="AU5" s="959">
        <f>INPUT!B31</f>
        <v>14</v>
      </c>
      <c r="AV5" s="969"/>
      <c r="AW5" s="959" t="str">
        <f t="shared" si="1"/>
        <v>Phase Name 1</v>
      </c>
      <c r="AX5" s="969"/>
      <c r="AY5" s="969"/>
      <c r="AZ5" s="964" t="s">
        <v>333</v>
      </c>
      <c r="BA5" s="964"/>
      <c r="BB5" s="964"/>
      <c r="BC5" s="887" t="s">
        <v>35</v>
      </c>
      <c r="BE5" s="964" t="s">
        <v>334</v>
      </c>
      <c r="BF5" s="964"/>
      <c r="BG5" s="964"/>
      <c r="BH5" s="887" t="s">
        <v>46</v>
      </c>
    </row>
    <row r="6" spans="1:82" s="882" customFormat="1" ht="15" hidden="1" customHeight="1" x14ac:dyDescent="0.2">
      <c r="A6" s="954" t="s">
        <v>817</v>
      </c>
      <c r="B6" s="966">
        <f>VLOOKUP(RateSchedule,FeeTable,34,FALSE)</f>
        <v>0.02</v>
      </c>
      <c r="C6" s="967"/>
      <c r="D6" s="955"/>
      <c r="E6" s="956"/>
      <c r="F6" s="956"/>
      <c r="G6" s="956"/>
      <c r="H6" s="956"/>
      <c r="I6" s="956"/>
      <c r="J6" s="956"/>
      <c r="K6" s="956"/>
      <c r="L6" s="956"/>
      <c r="M6" s="956"/>
      <c r="N6" s="956"/>
      <c r="O6" s="956"/>
      <c r="P6" s="956"/>
      <c r="Q6" s="956"/>
      <c r="R6" s="956"/>
      <c r="S6" s="956"/>
      <c r="T6" s="956"/>
      <c r="U6" s="956"/>
      <c r="V6" s="956"/>
      <c r="W6" s="956"/>
      <c r="X6" s="956"/>
      <c r="Y6" s="965"/>
      <c r="Z6" s="956"/>
      <c r="AA6" s="965"/>
      <c r="AB6" s="956"/>
      <c r="AC6" s="956"/>
      <c r="AD6" s="965"/>
      <c r="AE6" s="956"/>
      <c r="AF6" s="965"/>
      <c r="AG6" s="957"/>
      <c r="AH6" s="957"/>
      <c r="AI6" s="965"/>
      <c r="AJ6" s="968"/>
      <c r="AL6" s="959" t="s">
        <v>665</v>
      </c>
      <c r="AM6" s="954" t="b">
        <v>0</v>
      </c>
      <c r="AN6" s="954">
        <v>1</v>
      </c>
      <c r="AO6" s="954">
        <v>1</v>
      </c>
      <c r="AP6" s="954" t="b">
        <v>0</v>
      </c>
      <c r="AR6" s="959" t="s">
        <v>1496</v>
      </c>
      <c r="AS6" s="959">
        <f t="shared" si="0"/>
        <v>5</v>
      </c>
      <c r="AT6" s="959" t="s">
        <v>1677</v>
      </c>
      <c r="AU6" s="959">
        <f>INPUT!B32</f>
        <v>15</v>
      </c>
      <c r="AW6" s="959" t="str">
        <f t="shared" si="1"/>
        <v>Phase Name 1</v>
      </c>
      <c r="AZ6" s="964" t="s">
        <v>334</v>
      </c>
      <c r="BA6" s="964"/>
      <c r="BB6" s="964"/>
      <c r="BC6" s="887" t="s">
        <v>46</v>
      </c>
      <c r="BE6" s="964" t="s">
        <v>335</v>
      </c>
      <c r="BF6" s="964"/>
      <c r="BG6" s="964"/>
      <c r="BH6" s="887" t="s">
        <v>47</v>
      </c>
    </row>
    <row r="7" spans="1:82" s="882" customFormat="1" ht="15" hidden="1" customHeight="1" x14ac:dyDescent="0.2">
      <c r="A7" s="882" t="s">
        <v>349</v>
      </c>
      <c r="B7" s="966">
        <f>VLOOKUP(RateSchedule,FeeTable,35,FALSE)</f>
        <v>0</v>
      </c>
      <c r="C7" s="967"/>
      <c r="D7" s="956"/>
      <c r="E7" s="956"/>
      <c r="F7" s="956"/>
      <c r="G7" s="956"/>
      <c r="H7" s="956"/>
      <c r="I7" s="956"/>
      <c r="J7" s="956"/>
      <c r="K7" s="956"/>
      <c r="L7" s="956"/>
      <c r="M7" s="956"/>
      <c r="N7" s="956"/>
      <c r="O7" s="956"/>
      <c r="P7" s="956"/>
      <c r="Q7" s="956"/>
      <c r="R7" s="956"/>
      <c r="S7" s="956"/>
      <c r="T7" s="956"/>
      <c r="U7" s="956"/>
      <c r="V7" s="956"/>
      <c r="W7" s="956"/>
      <c r="X7" s="969"/>
      <c r="Y7" s="969"/>
      <c r="Z7" s="969"/>
      <c r="AA7" s="969"/>
      <c r="AB7" s="969"/>
      <c r="AC7" s="969"/>
      <c r="AD7" s="969"/>
      <c r="AE7" s="969"/>
      <c r="AF7" s="969"/>
      <c r="AG7" s="970"/>
      <c r="AH7" s="970"/>
      <c r="AI7" s="969"/>
      <c r="AJ7" s="971"/>
      <c r="AK7" s="969"/>
      <c r="AL7" s="959" t="s">
        <v>666</v>
      </c>
      <c r="AM7" s="954" t="b">
        <v>0</v>
      </c>
      <c r="AN7" s="954">
        <v>1</v>
      </c>
      <c r="AO7" s="954">
        <v>1</v>
      </c>
      <c r="AP7" s="954" t="b">
        <v>0</v>
      </c>
      <c r="AR7" s="959" t="s">
        <v>1497</v>
      </c>
      <c r="AS7" s="959">
        <f t="shared" si="0"/>
        <v>6</v>
      </c>
      <c r="AT7" s="959" t="s">
        <v>1676</v>
      </c>
      <c r="AU7" s="959">
        <f>INPUT!B33</f>
        <v>16</v>
      </c>
      <c r="AW7" s="959" t="str">
        <f t="shared" si="1"/>
        <v>Phase Name 1</v>
      </c>
      <c r="AZ7" s="964" t="s">
        <v>335</v>
      </c>
      <c r="BA7" s="964"/>
      <c r="BB7" s="964"/>
      <c r="BC7" s="887" t="s">
        <v>47</v>
      </c>
      <c r="BE7" s="964" t="s">
        <v>336</v>
      </c>
      <c r="BF7" s="964"/>
      <c r="BG7" s="964"/>
      <c r="BH7" s="887" t="s">
        <v>25</v>
      </c>
    </row>
    <row r="8" spans="1:82" s="882" customFormat="1" hidden="1" x14ac:dyDescent="0.2">
      <c r="A8" s="954" t="s">
        <v>355</v>
      </c>
      <c r="B8" s="972">
        <f>VLOOKUP(RateSchedule,FeeTable,36,FALSE)</f>
        <v>0</v>
      </c>
      <c r="C8" s="967"/>
      <c r="D8" s="956"/>
      <c r="E8" s="956"/>
      <c r="F8" s="956"/>
      <c r="G8" s="956"/>
      <c r="H8" s="973"/>
      <c r="I8" s="973"/>
      <c r="J8" s="973"/>
      <c r="K8" s="973"/>
      <c r="L8" s="973"/>
      <c r="M8" s="973"/>
      <c r="N8" s="973"/>
      <c r="O8" s="973"/>
      <c r="P8" s="973"/>
      <c r="Q8" s="973"/>
      <c r="R8" s="973"/>
      <c r="S8" s="973"/>
      <c r="T8" s="956"/>
      <c r="U8" s="956"/>
      <c r="V8" s="956"/>
      <c r="W8" s="956"/>
      <c r="X8" s="956"/>
      <c r="Y8" s="956"/>
      <c r="Z8" s="956"/>
      <c r="AA8" s="956"/>
      <c r="AB8" s="956"/>
      <c r="AC8" s="956"/>
      <c r="AD8" s="956"/>
      <c r="AE8" s="956"/>
      <c r="AF8" s="956"/>
      <c r="AG8" s="957"/>
      <c r="AH8" s="957"/>
      <c r="AI8" s="956"/>
      <c r="AJ8" s="958"/>
      <c r="AL8" s="959" t="s">
        <v>667</v>
      </c>
      <c r="AM8" s="954" t="b">
        <v>0</v>
      </c>
      <c r="AN8" s="954">
        <v>1</v>
      </c>
      <c r="AO8" s="954">
        <v>1</v>
      </c>
      <c r="AP8" s="954" t="b">
        <v>0</v>
      </c>
      <c r="AR8" s="959" t="s">
        <v>1498</v>
      </c>
      <c r="AS8" s="959">
        <f t="shared" si="0"/>
        <v>7</v>
      </c>
      <c r="AT8" s="959" t="s">
        <v>1675</v>
      </c>
      <c r="AU8" s="959">
        <f>INPUT!B34</f>
        <v>17</v>
      </c>
      <c r="AW8" s="959" t="str">
        <f t="shared" si="1"/>
        <v>Phase Name 1</v>
      </c>
      <c r="AZ8" s="964" t="s">
        <v>336</v>
      </c>
      <c r="BA8" s="964"/>
      <c r="BB8" s="964"/>
      <c r="BC8" s="887" t="s">
        <v>25</v>
      </c>
      <c r="BE8" s="964" t="s">
        <v>337</v>
      </c>
      <c r="BF8" s="964"/>
      <c r="BG8" s="964"/>
      <c r="BH8" s="887" t="s">
        <v>48</v>
      </c>
    </row>
    <row r="9" spans="1:82" s="882" customFormat="1" hidden="1" x14ac:dyDescent="0.2">
      <c r="A9" s="954" t="s">
        <v>518</v>
      </c>
      <c r="B9" s="974" t="str">
        <f>VLOOKUP(RateSchedule,FeeTable,37,FALSE)</f>
        <v>Y</v>
      </c>
      <c r="C9" s="967"/>
      <c r="D9" s="956"/>
      <c r="E9" s="956"/>
      <c r="F9" s="956"/>
      <c r="G9" s="956"/>
      <c r="H9" s="973"/>
      <c r="I9" s="973"/>
      <c r="J9" s="973"/>
      <c r="K9" s="973"/>
      <c r="L9" s="973"/>
      <c r="M9" s="973"/>
      <c r="N9" s="973"/>
      <c r="O9" s="973"/>
      <c r="P9" s="973"/>
      <c r="Q9" s="973"/>
      <c r="R9" s="973"/>
      <c r="S9" s="973"/>
      <c r="T9" s="956"/>
      <c r="U9" s="956"/>
      <c r="V9" s="956"/>
      <c r="W9" s="956"/>
      <c r="X9" s="956"/>
      <c r="Y9" s="956"/>
      <c r="Z9" s="956"/>
      <c r="AA9" s="956"/>
      <c r="AB9" s="956"/>
      <c r="AC9" s="956"/>
      <c r="AD9" s="956"/>
      <c r="AE9" s="956"/>
      <c r="AF9" s="956"/>
      <c r="AG9" s="957"/>
      <c r="AH9" s="957"/>
      <c r="AI9" s="956"/>
      <c r="AJ9" s="958"/>
      <c r="AL9" s="959" t="s">
        <v>668</v>
      </c>
      <c r="AM9" s="954" t="b">
        <v>0</v>
      </c>
      <c r="AN9" s="954">
        <v>1</v>
      </c>
      <c r="AO9" s="954">
        <v>1</v>
      </c>
      <c r="AP9" s="954" t="b">
        <v>0</v>
      </c>
      <c r="AR9" s="959" t="s">
        <v>1499</v>
      </c>
      <c r="AS9" s="959">
        <f t="shared" si="0"/>
        <v>8</v>
      </c>
      <c r="AT9" s="959" t="s">
        <v>1674</v>
      </c>
      <c r="AU9" s="959">
        <f>INPUT!B35</f>
        <v>18</v>
      </c>
      <c r="AW9" s="959" t="str">
        <f t="shared" si="1"/>
        <v>Phase Name 1</v>
      </c>
      <c r="AZ9" s="964" t="s">
        <v>337</v>
      </c>
      <c r="BA9" s="964"/>
      <c r="BB9" s="964"/>
      <c r="BC9" s="887" t="s">
        <v>48</v>
      </c>
      <c r="BE9" s="964" t="s">
        <v>338</v>
      </c>
      <c r="BF9" s="964"/>
      <c r="BG9" s="964"/>
      <c r="BH9" s="887" t="s">
        <v>49</v>
      </c>
    </row>
    <row r="10" spans="1:82" s="882" customFormat="1" hidden="1" x14ac:dyDescent="0.2">
      <c r="A10" s="954"/>
      <c r="B10" s="967"/>
      <c r="C10" s="967"/>
      <c r="D10" s="956"/>
      <c r="E10" s="956"/>
      <c r="F10" s="956"/>
      <c r="G10" s="956"/>
      <c r="H10" s="973"/>
      <c r="I10" s="973"/>
      <c r="J10" s="973"/>
      <c r="K10" s="973"/>
      <c r="L10" s="973"/>
      <c r="M10" s="973"/>
      <c r="N10" s="973"/>
      <c r="O10" s="973"/>
      <c r="P10" s="973"/>
      <c r="Q10" s="973"/>
      <c r="R10" s="973"/>
      <c r="S10" s="973"/>
      <c r="T10" s="956"/>
      <c r="U10" s="956"/>
      <c r="V10" s="956"/>
      <c r="W10" s="956"/>
      <c r="X10" s="956"/>
      <c r="Y10" s="956"/>
      <c r="Z10" s="956"/>
      <c r="AA10" s="956"/>
      <c r="AB10" s="956"/>
      <c r="AC10" s="956"/>
      <c r="AD10" s="956"/>
      <c r="AE10" s="956"/>
      <c r="AF10" s="956"/>
      <c r="AG10" s="957"/>
      <c r="AH10" s="957"/>
      <c r="AI10" s="956"/>
      <c r="AJ10" s="958"/>
      <c r="AL10" s="959" t="s">
        <v>669</v>
      </c>
      <c r="AM10" s="954" t="b">
        <v>0</v>
      </c>
      <c r="AN10" s="954">
        <v>1</v>
      </c>
      <c r="AO10" s="954">
        <v>1</v>
      </c>
      <c r="AP10" s="954" t="b">
        <v>0</v>
      </c>
      <c r="AR10" s="959" t="s">
        <v>1500</v>
      </c>
      <c r="AS10" s="959">
        <f t="shared" si="0"/>
        <v>9</v>
      </c>
      <c r="AT10" s="959" t="s">
        <v>1673</v>
      </c>
      <c r="AU10" s="959">
        <f>INPUT!B36</f>
        <v>19</v>
      </c>
      <c r="AW10" s="959" t="str">
        <f t="shared" si="1"/>
        <v>Phase Name 1</v>
      </c>
      <c r="AZ10" s="964" t="s">
        <v>338</v>
      </c>
      <c r="BA10" s="964"/>
      <c r="BB10" s="964"/>
      <c r="BC10" s="887" t="s">
        <v>49</v>
      </c>
      <c r="BE10" s="964" t="s">
        <v>339</v>
      </c>
      <c r="BF10" s="964"/>
      <c r="BG10" s="964"/>
      <c r="BH10" s="887" t="s">
        <v>50</v>
      </c>
    </row>
    <row r="11" spans="1:82" s="882" customFormat="1" hidden="1" x14ac:dyDescent="0.2">
      <c r="A11" s="954"/>
      <c r="B11" s="967"/>
      <c r="C11" s="967"/>
      <c r="D11" s="956"/>
      <c r="E11" s="956"/>
      <c r="F11" s="956"/>
      <c r="G11" s="956"/>
      <c r="H11" s="973"/>
      <c r="I11" s="973"/>
      <c r="J11" s="973"/>
      <c r="K11" s="973"/>
      <c r="L11" s="973"/>
      <c r="M11" s="973"/>
      <c r="N11" s="973"/>
      <c r="O11" s="973"/>
      <c r="P11" s="973"/>
      <c r="Q11" s="973"/>
      <c r="R11" s="973"/>
      <c r="S11" s="973"/>
      <c r="T11" s="956"/>
      <c r="U11" s="956"/>
      <c r="V11" s="956"/>
      <c r="W11" s="956"/>
      <c r="X11" s="956"/>
      <c r="Y11" s="956"/>
      <c r="Z11" s="956"/>
      <c r="AA11" s="956"/>
      <c r="AB11" s="956"/>
      <c r="AC11" s="956"/>
      <c r="AD11" s="956"/>
      <c r="AE11" s="956"/>
      <c r="AF11" s="956"/>
      <c r="AG11" s="957"/>
      <c r="AH11" s="957"/>
      <c r="AI11" s="956"/>
      <c r="AJ11" s="958"/>
      <c r="AR11" s="959" t="s">
        <v>1682</v>
      </c>
      <c r="AS11" s="959">
        <f t="shared" si="0"/>
        <v>10</v>
      </c>
      <c r="AT11" s="959" t="s">
        <v>1672</v>
      </c>
      <c r="AU11" s="959">
        <f>INPUT!B38</f>
        <v>0</v>
      </c>
      <c r="AW11" s="959" t="str">
        <f t="shared" si="1"/>
        <v>Phase Name 1</v>
      </c>
      <c r="AZ11" s="964" t="s">
        <v>339</v>
      </c>
      <c r="BA11" s="964"/>
      <c r="BB11" s="964"/>
      <c r="BC11" s="887" t="s">
        <v>50</v>
      </c>
      <c r="BE11" s="964" t="s">
        <v>340</v>
      </c>
      <c r="BF11" s="964"/>
      <c r="BG11" s="964"/>
      <c r="BH11" s="887" t="s">
        <v>26</v>
      </c>
    </row>
    <row r="12" spans="1:82" s="882" customFormat="1" hidden="1" x14ac:dyDescent="0.2">
      <c r="A12" s="954"/>
      <c r="B12" s="967"/>
      <c r="C12" s="967"/>
      <c r="D12" s="956"/>
      <c r="E12" s="956"/>
      <c r="F12" s="956"/>
      <c r="G12" s="956"/>
      <c r="H12" s="973"/>
      <c r="I12" s="973"/>
      <c r="J12" s="973"/>
      <c r="K12" s="973"/>
      <c r="L12" s="973"/>
      <c r="M12" s="973"/>
      <c r="N12" s="973"/>
      <c r="O12" s="973"/>
      <c r="P12" s="973"/>
      <c r="Q12" s="973"/>
      <c r="R12" s="973"/>
      <c r="S12" s="973"/>
      <c r="T12" s="956"/>
      <c r="U12" s="956"/>
      <c r="V12" s="956"/>
      <c r="W12" s="956"/>
      <c r="X12" s="956"/>
      <c r="Y12" s="956"/>
      <c r="Z12" s="956"/>
      <c r="AA12" s="956"/>
      <c r="AB12" s="956"/>
      <c r="AC12" s="956"/>
      <c r="AD12" s="956"/>
      <c r="AE12" s="956"/>
      <c r="AF12" s="956"/>
      <c r="AG12" s="957"/>
      <c r="AH12" s="957"/>
      <c r="AI12" s="956"/>
      <c r="AJ12" s="958"/>
      <c r="AR12" s="959" t="s">
        <v>1681</v>
      </c>
      <c r="AS12" s="959">
        <f t="shared" si="0"/>
        <v>11</v>
      </c>
      <c r="AZ12" s="964" t="s">
        <v>340</v>
      </c>
      <c r="BA12" s="964"/>
      <c r="BB12" s="964"/>
      <c r="BC12" s="887" t="s">
        <v>26</v>
      </c>
      <c r="BE12" s="964" t="s">
        <v>341</v>
      </c>
      <c r="BF12" s="964"/>
      <c r="BG12" s="964"/>
      <c r="BH12" s="887" t="s">
        <v>32</v>
      </c>
    </row>
    <row r="13" spans="1:82" s="882" customFormat="1" hidden="1" x14ac:dyDescent="0.2">
      <c r="A13" s="954"/>
      <c r="B13" s="967"/>
      <c r="C13" s="967"/>
      <c r="D13" s="956"/>
      <c r="E13" s="956"/>
      <c r="F13" s="956"/>
      <c r="G13" s="956"/>
      <c r="H13" s="973"/>
      <c r="I13" s="973"/>
      <c r="J13" s="973"/>
      <c r="K13" s="973"/>
      <c r="L13" s="973"/>
      <c r="M13" s="973"/>
      <c r="N13" s="973"/>
      <c r="O13" s="973"/>
      <c r="P13" s="973"/>
      <c r="Q13" s="973"/>
      <c r="R13" s="973"/>
      <c r="S13" s="973"/>
      <c r="T13" s="956"/>
      <c r="U13" s="956"/>
      <c r="V13" s="956"/>
      <c r="W13" s="956"/>
      <c r="X13" s="956"/>
      <c r="Y13" s="956"/>
      <c r="Z13" s="956"/>
      <c r="AA13" s="956"/>
      <c r="AB13" s="956"/>
      <c r="AC13" s="956"/>
      <c r="AD13" s="956"/>
      <c r="AE13" s="956"/>
      <c r="AF13" s="956"/>
      <c r="AG13" s="957"/>
      <c r="AH13" s="957"/>
      <c r="AI13" s="956"/>
      <c r="AJ13" s="958"/>
      <c r="AR13" s="959" t="s">
        <v>1680</v>
      </c>
      <c r="AS13" s="959">
        <f t="shared" si="0"/>
        <v>12</v>
      </c>
      <c r="AZ13" s="964" t="s">
        <v>341</v>
      </c>
      <c r="BA13" s="964"/>
      <c r="BB13" s="964"/>
      <c r="BC13" s="887" t="s">
        <v>32</v>
      </c>
      <c r="BE13" s="964" t="s">
        <v>342</v>
      </c>
      <c r="BF13" s="964"/>
      <c r="BG13" s="964"/>
      <c r="BH13" s="887" t="s">
        <v>51</v>
      </c>
    </row>
    <row r="14" spans="1:82" s="882" customFormat="1" hidden="1" x14ac:dyDescent="0.2">
      <c r="A14" s="954"/>
      <c r="B14" s="967"/>
      <c r="C14" s="967"/>
      <c r="D14" s="956"/>
      <c r="E14" s="956"/>
      <c r="F14" s="956"/>
      <c r="G14" s="956"/>
      <c r="H14" s="973"/>
      <c r="I14" s="973"/>
      <c r="J14" s="973"/>
      <c r="K14" s="973"/>
      <c r="L14" s="973"/>
      <c r="M14" s="973"/>
      <c r="N14" s="973"/>
      <c r="O14" s="973"/>
      <c r="P14" s="973"/>
      <c r="Q14" s="973"/>
      <c r="R14" s="973"/>
      <c r="S14" s="973"/>
      <c r="T14" s="956"/>
      <c r="U14" s="956"/>
      <c r="V14" s="956"/>
      <c r="W14" s="956"/>
      <c r="X14" s="956"/>
      <c r="Y14" s="956"/>
      <c r="Z14" s="956"/>
      <c r="AA14" s="956"/>
      <c r="AB14" s="956"/>
      <c r="AC14" s="956"/>
      <c r="AD14" s="956"/>
      <c r="AE14" s="956"/>
      <c r="AF14" s="956"/>
      <c r="AG14" s="957"/>
      <c r="AH14" s="957"/>
      <c r="AI14" s="956"/>
      <c r="AJ14" s="958"/>
      <c r="AR14" s="959" t="s">
        <v>1679</v>
      </c>
      <c r="AS14" s="959">
        <f t="shared" si="0"/>
        <v>13</v>
      </c>
      <c r="AZ14" s="1535" t="s">
        <v>342</v>
      </c>
      <c r="BA14" s="1535"/>
      <c r="BB14" s="1535"/>
      <c r="BC14" s="887" t="s">
        <v>51</v>
      </c>
      <c r="BE14" s="1535" t="s">
        <v>343</v>
      </c>
      <c r="BF14" s="1535"/>
      <c r="BG14" s="1535"/>
      <c r="BH14" s="887" t="s">
        <v>52</v>
      </c>
    </row>
    <row r="15" spans="1:82" s="882" customFormat="1" hidden="1" x14ac:dyDescent="0.2">
      <c r="A15" s="954"/>
      <c r="B15" s="967"/>
      <c r="C15" s="967"/>
      <c r="D15" s="956"/>
      <c r="E15" s="956"/>
      <c r="F15" s="956"/>
      <c r="G15" s="956"/>
      <c r="H15" s="973"/>
      <c r="I15" s="973"/>
      <c r="J15" s="973"/>
      <c r="K15" s="973"/>
      <c r="L15" s="973"/>
      <c r="M15" s="973"/>
      <c r="N15" s="973"/>
      <c r="O15" s="973"/>
      <c r="P15" s="973"/>
      <c r="Q15" s="973"/>
      <c r="R15" s="973"/>
      <c r="S15" s="973"/>
      <c r="T15" s="956"/>
      <c r="U15" s="956"/>
      <c r="V15" s="956"/>
      <c r="W15" s="956"/>
      <c r="X15" s="956"/>
      <c r="Y15" s="956"/>
      <c r="Z15" s="956"/>
      <c r="AA15" s="956"/>
      <c r="AB15" s="956"/>
      <c r="AC15" s="956"/>
      <c r="AD15" s="956"/>
      <c r="AE15" s="956"/>
      <c r="AF15" s="956"/>
      <c r="AG15" s="957"/>
      <c r="AH15" s="957"/>
      <c r="AI15" s="956"/>
      <c r="AJ15" s="958"/>
      <c r="AR15" s="959" t="s">
        <v>1678</v>
      </c>
      <c r="AS15" s="959">
        <f t="shared" si="0"/>
        <v>14</v>
      </c>
      <c r="AZ15" s="964"/>
      <c r="BA15" s="964"/>
      <c r="BB15" s="964"/>
      <c r="BC15" s="887"/>
      <c r="BE15" s="964"/>
      <c r="BF15" s="964"/>
      <c r="BG15" s="964"/>
      <c r="BH15" s="887"/>
    </row>
    <row r="16" spans="1:82" s="882" customFormat="1" hidden="1" x14ac:dyDescent="0.2">
      <c r="A16" s="954"/>
      <c r="B16" s="967"/>
      <c r="C16" s="967"/>
      <c r="D16" s="956"/>
      <c r="E16" s="956"/>
      <c r="F16" s="956"/>
      <c r="G16" s="956"/>
      <c r="H16" s="973"/>
      <c r="I16" s="973"/>
      <c r="J16" s="973"/>
      <c r="K16" s="973"/>
      <c r="L16" s="973"/>
      <c r="M16" s="973"/>
      <c r="N16" s="973"/>
      <c r="O16" s="973"/>
      <c r="P16" s="973"/>
      <c r="Q16" s="973"/>
      <c r="R16" s="973"/>
      <c r="S16" s="973"/>
      <c r="T16" s="956"/>
      <c r="U16" s="956"/>
      <c r="V16" s="956"/>
      <c r="W16" s="956"/>
      <c r="X16" s="956"/>
      <c r="Y16" s="956"/>
      <c r="Z16" s="956"/>
      <c r="AA16" s="956"/>
      <c r="AB16" s="956"/>
      <c r="AC16" s="956"/>
      <c r="AD16" s="956"/>
      <c r="AE16" s="956"/>
      <c r="AF16" s="956"/>
      <c r="AG16" s="957"/>
      <c r="AH16" s="957"/>
      <c r="AI16" s="956"/>
      <c r="AJ16" s="958"/>
      <c r="AR16" s="959" t="s">
        <v>1677</v>
      </c>
      <c r="AS16" s="959">
        <f t="shared" si="0"/>
        <v>15</v>
      </c>
      <c r="AZ16" s="964"/>
      <c r="BA16" s="964"/>
      <c r="BB16" s="964"/>
      <c r="BC16" s="887"/>
      <c r="BE16" s="964"/>
      <c r="BF16" s="964"/>
      <c r="BG16" s="964"/>
      <c r="BH16" s="887"/>
    </row>
    <row r="17" spans="1:77" s="882" customFormat="1" hidden="1" x14ac:dyDescent="0.2">
      <c r="A17" s="954"/>
      <c r="B17" s="967"/>
      <c r="C17" s="967"/>
      <c r="D17" s="956"/>
      <c r="E17" s="956"/>
      <c r="F17" s="956"/>
      <c r="G17" s="956"/>
      <c r="H17" s="973"/>
      <c r="I17" s="973"/>
      <c r="J17" s="973"/>
      <c r="K17" s="973"/>
      <c r="L17" s="973"/>
      <c r="M17" s="973"/>
      <c r="N17" s="973"/>
      <c r="O17" s="973"/>
      <c r="P17" s="973"/>
      <c r="Q17" s="973"/>
      <c r="R17" s="973"/>
      <c r="S17" s="973"/>
      <c r="T17" s="956"/>
      <c r="U17" s="956"/>
      <c r="V17" s="956"/>
      <c r="W17" s="956"/>
      <c r="X17" s="956"/>
      <c r="Y17" s="956"/>
      <c r="Z17" s="956"/>
      <c r="AA17" s="956"/>
      <c r="AB17" s="956"/>
      <c r="AC17" s="956"/>
      <c r="AD17" s="956"/>
      <c r="AE17" s="956"/>
      <c r="AF17" s="956"/>
      <c r="AG17" s="957"/>
      <c r="AH17" s="957"/>
      <c r="AI17" s="956"/>
      <c r="AJ17" s="958"/>
      <c r="AR17" s="959" t="s">
        <v>1676</v>
      </c>
      <c r="AS17" s="959">
        <f t="shared" si="0"/>
        <v>16</v>
      </c>
      <c r="AZ17" s="964"/>
      <c r="BA17" s="964"/>
      <c r="BB17" s="964"/>
      <c r="BC17" s="887"/>
      <c r="BE17" s="964"/>
      <c r="BF17" s="964"/>
      <c r="BG17" s="964"/>
      <c r="BH17" s="887"/>
    </row>
    <row r="18" spans="1:77" s="882" customFormat="1" hidden="1" x14ac:dyDescent="0.2">
      <c r="A18" s="954"/>
      <c r="B18" s="967"/>
      <c r="C18" s="967"/>
      <c r="D18" s="956"/>
      <c r="E18" s="956"/>
      <c r="F18" s="956"/>
      <c r="G18" s="956"/>
      <c r="H18" s="973"/>
      <c r="I18" s="973"/>
      <c r="J18" s="973"/>
      <c r="K18" s="973"/>
      <c r="L18" s="973"/>
      <c r="M18" s="973"/>
      <c r="N18" s="973"/>
      <c r="O18" s="973"/>
      <c r="P18" s="973"/>
      <c r="Q18" s="973"/>
      <c r="R18" s="973"/>
      <c r="S18" s="973"/>
      <c r="T18" s="956"/>
      <c r="U18" s="956"/>
      <c r="V18" s="956"/>
      <c r="W18" s="956"/>
      <c r="X18" s="956"/>
      <c r="Y18" s="956"/>
      <c r="Z18" s="956"/>
      <c r="AA18" s="956"/>
      <c r="AB18" s="956"/>
      <c r="AC18" s="956"/>
      <c r="AD18" s="956"/>
      <c r="AE18" s="956"/>
      <c r="AF18" s="956"/>
      <c r="AG18" s="957"/>
      <c r="AH18" s="957"/>
      <c r="AI18" s="956"/>
      <c r="AJ18" s="958"/>
      <c r="AR18" s="959" t="s">
        <v>1675</v>
      </c>
      <c r="AS18" s="959">
        <f t="shared" si="0"/>
        <v>17</v>
      </c>
      <c r="AZ18" s="964"/>
      <c r="BA18" s="964"/>
      <c r="BB18" s="964"/>
      <c r="BC18" s="887"/>
      <c r="BE18" s="964"/>
      <c r="BF18" s="964"/>
      <c r="BG18" s="964"/>
      <c r="BH18" s="887"/>
    </row>
    <row r="19" spans="1:77" s="882" customFormat="1" hidden="1" x14ac:dyDescent="0.2">
      <c r="A19" s="954"/>
      <c r="B19" s="967"/>
      <c r="C19" s="967"/>
      <c r="D19" s="956"/>
      <c r="E19" s="956"/>
      <c r="F19" s="956"/>
      <c r="G19" s="956"/>
      <c r="H19" s="973"/>
      <c r="I19" s="973"/>
      <c r="J19" s="973"/>
      <c r="K19" s="973"/>
      <c r="L19" s="973"/>
      <c r="M19" s="973"/>
      <c r="N19" s="973"/>
      <c r="O19" s="973"/>
      <c r="P19" s="973"/>
      <c r="Q19" s="973"/>
      <c r="R19" s="973"/>
      <c r="S19" s="973"/>
      <c r="T19" s="956"/>
      <c r="U19" s="956"/>
      <c r="V19" s="956"/>
      <c r="W19" s="956"/>
      <c r="X19" s="956"/>
      <c r="Y19" s="956"/>
      <c r="Z19" s="956"/>
      <c r="AA19" s="956"/>
      <c r="AB19" s="956"/>
      <c r="AC19" s="956"/>
      <c r="AD19" s="956"/>
      <c r="AE19" s="956"/>
      <c r="AF19" s="956"/>
      <c r="AG19" s="957"/>
      <c r="AH19" s="957"/>
      <c r="AI19" s="956"/>
      <c r="AJ19" s="958"/>
      <c r="AR19" s="959" t="s">
        <v>1674</v>
      </c>
      <c r="AS19" s="959">
        <f t="shared" si="0"/>
        <v>18</v>
      </c>
      <c r="AZ19" s="964"/>
      <c r="BA19" s="964"/>
      <c r="BB19" s="964"/>
      <c r="BC19" s="887"/>
      <c r="BE19" s="964"/>
      <c r="BF19" s="964"/>
      <c r="BG19" s="964"/>
      <c r="BH19" s="887"/>
    </row>
    <row r="20" spans="1:77" s="882" customFormat="1" hidden="1" x14ac:dyDescent="0.2">
      <c r="A20" s="954"/>
      <c r="B20" s="967"/>
      <c r="C20" s="967"/>
      <c r="D20" s="956"/>
      <c r="E20" s="956"/>
      <c r="F20" s="956"/>
      <c r="G20" s="956"/>
      <c r="H20" s="973"/>
      <c r="I20" s="973"/>
      <c r="J20" s="973"/>
      <c r="K20" s="973"/>
      <c r="L20" s="973"/>
      <c r="M20" s="973"/>
      <c r="N20" s="973"/>
      <c r="O20" s="973"/>
      <c r="P20" s="973"/>
      <c r="Q20" s="973"/>
      <c r="R20" s="973"/>
      <c r="S20" s="973"/>
      <c r="T20" s="956"/>
      <c r="U20" s="956"/>
      <c r="V20" s="956"/>
      <c r="W20" s="956"/>
      <c r="X20" s="956"/>
      <c r="Y20" s="956"/>
      <c r="Z20" s="956"/>
      <c r="AA20" s="956"/>
      <c r="AB20" s="956"/>
      <c r="AC20" s="956"/>
      <c r="AD20" s="956"/>
      <c r="AE20" s="956"/>
      <c r="AF20" s="956"/>
      <c r="AG20" s="957"/>
      <c r="AH20" s="957"/>
      <c r="AI20" s="956"/>
      <c r="AJ20" s="958"/>
      <c r="AR20" s="959" t="s">
        <v>1673</v>
      </c>
      <c r="AS20" s="959">
        <f t="shared" si="0"/>
        <v>19</v>
      </c>
      <c r="AZ20" s="964"/>
      <c r="BA20" s="964"/>
      <c r="BB20" s="964"/>
      <c r="BC20" s="887"/>
      <c r="BE20" s="964"/>
      <c r="BF20" s="964"/>
      <c r="BG20" s="964"/>
      <c r="BH20" s="887"/>
    </row>
    <row r="21" spans="1:77" s="882" customFormat="1" hidden="1" x14ac:dyDescent="0.2">
      <c r="A21" s="954"/>
      <c r="B21" s="967"/>
      <c r="C21" s="967"/>
      <c r="D21" s="956"/>
      <c r="E21" s="956"/>
      <c r="F21" s="956"/>
      <c r="G21" s="956"/>
      <c r="H21" s="973"/>
      <c r="I21" s="973"/>
      <c r="J21" s="973"/>
      <c r="K21" s="973"/>
      <c r="L21" s="973"/>
      <c r="M21" s="973"/>
      <c r="N21" s="973"/>
      <c r="O21" s="973"/>
      <c r="P21" s="973"/>
      <c r="Q21" s="973"/>
      <c r="R21" s="973"/>
      <c r="S21" s="973"/>
      <c r="T21" s="956"/>
      <c r="U21" s="956"/>
      <c r="V21" s="956"/>
      <c r="W21" s="956"/>
      <c r="X21" s="956"/>
      <c r="Y21" s="956"/>
      <c r="Z21" s="956"/>
      <c r="AA21" s="956"/>
      <c r="AB21" s="956"/>
      <c r="AC21" s="956"/>
      <c r="AD21" s="956"/>
      <c r="AE21" s="956"/>
      <c r="AF21" s="956"/>
      <c r="AG21" s="957"/>
      <c r="AH21" s="957"/>
      <c r="AI21" s="956"/>
      <c r="AJ21" s="958"/>
      <c r="AR21" s="959" t="s">
        <v>1672</v>
      </c>
      <c r="AS21" s="959">
        <f t="shared" si="0"/>
        <v>20</v>
      </c>
      <c r="AZ21" s="964"/>
      <c r="BA21" s="964"/>
      <c r="BB21" s="964"/>
      <c r="BC21" s="887"/>
      <c r="BE21" s="964"/>
      <c r="BF21" s="964"/>
      <c r="BG21" s="964"/>
      <c r="BH21" s="887"/>
    </row>
    <row r="22" spans="1:77" s="882" customFormat="1" hidden="1" x14ac:dyDescent="0.2">
      <c r="A22" s="954"/>
      <c r="B22" s="967"/>
      <c r="C22" s="967"/>
      <c r="D22" s="956"/>
      <c r="E22" s="956"/>
      <c r="F22" s="956"/>
      <c r="G22" s="956"/>
      <c r="H22" s="973"/>
      <c r="I22" s="973"/>
      <c r="J22" s="973"/>
      <c r="K22" s="973"/>
      <c r="L22" s="973"/>
      <c r="M22" s="973"/>
      <c r="N22" s="973"/>
      <c r="O22" s="973"/>
      <c r="P22" s="973"/>
      <c r="Q22" s="973"/>
      <c r="R22" s="973"/>
      <c r="S22" s="973"/>
      <c r="T22" s="956"/>
      <c r="U22" s="956"/>
      <c r="V22" s="956"/>
      <c r="W22" s="956"/>
      <c r="X22" s="956"/>
      <c r="Y22" s="956"/>
      <c r="Z22" s="956"/>
      <c r="AA22" s="956"/>
      <c r="AB22" s="956"/>
      <c r="AC22" s="956"/>
      <c r="AD22" s="956"/>
      <c r="AE22" s="956"/>
      <c r="AF22" s="956"/>
      <c r="AG22" s="957"/>
      <c r="AH22" s="957"/>
      <c r="AI22" s="956"/>
      <c r="AJ22" s="958"/>
      <c r="AZ22" s="964"/>
      <c r="BA22" s="964"/>
      <c r="BB22" s="964"/>
      <c r="BC22" s="887"/>
      <c r="BE22" s="964"/>
      <c r="BF22" s="964"/>
      <c r="BG22" s="964"/>
      <c r="BH22" s="887"/>
    </row>
    <row r="23" spans="1:77" s="39" customFormat="1" x14ac:dyDescent="0.2">
      <c r="A23" s="226">
        <v>1</v>
      </c>
      <c r="B23" s="226">
        <v>2</v>
      </c>
      <c r="C23" s="226">
        <v>3</v>
      </c>
      <c r="D23" s="226">
        <v>4</v>
      </c>
      <c r="E23" s="226">
        <v>5</v>
      </c>
      <c r="F23" s="226">
        <v>6</v>
      </c>
      <c r="G23" s="226">
        <v>7</v>
      </c>
      <c r="H23" s="226">
        <v>8</v>
      </c>
      <c r="I23" s="226">
        <v>9</v>
      </c>
      <c r="J23" s="226">
        <v>10</v>
      </c>
      <c r="K23" s="226">
        <v>11</v>
      </c>
      <c r="L23" s="226">
        <v>12</v>
      </c>
      <c r="M23" s="226">
        <v>13</v>
      </c>
      <c r="N23" s="226">
        <v>14</v>
      </c>
      <c r="O23" s="226">
        <v>15</v>
      </c>
      <c r="P23" s="226">
        <v>16</v>
      </c>
      <c r="Q23" s="226">
        <v>17</v>
      </c>
      <c r="R23" s="226">
        <v>18</v>
      </c>
      <c r="S23" s="226">
        <v>19</v>
      </c>
      <c r="T23" s="226">
        <v>20</v>
      </c>
      <c r="U23" s="226">
        <v>21</v>
      </c>
      <c r="V23" s="226">
        <v>22</v>
      </c>
      <c r="W23" s="226">
        <v>23</v>
      </c>
      <c r="X23" s="226">
        <v>24</v>
      </c>
      <c r="Y23" s="226">
        <v>25</v>
      </c>
      <c r="Z23" s="226">
        <v>26</v>
      </c>
      <c r="AA23" s="226">
        <v>27</v>
      </c>
      <c r="AB23" s="226">
        <v>28</v>
      </c>
      <c r="AC23" s="226">
        <v>29</v>
      </c>
      <c r="AD23" s="226">
        <v>30</v>
      </c>
      <c r="AE23" s="226">
        <v>31</v>
      </c>
      <c r="AF23" s="226">
        <v>32</v>
      </c>
      <c r="AG23" s="226">
        <v>33</v>
      </c>
      <c r="AH23" s="226">
        <v>34</v>
      </c>
      <c r="AI23" s="226">
        <v>35</v>
      </c>
      <c r="AJ23" s="226">
        <v>36</v>
      </c>
      <c r="AK23" s="226">
        <v>37</v>
      </c>
      <c r="AZ23" s="1536" t="s">
        <v>343</v>
      </c>
      <c r="BA23" s="1536"/>
      <c r="BB23" s="1536"/>
      <c r="BC23" s="37" t="s">
        <v>52</v>
      </c>
      <c r="BE23" s="1536"/>
      <c r="BF23" s="1536"/>
      <c r="BG23" s="1536"/>
    </row>
    <row r="24" spans="1:77" s="39" customFormat="1" x14ac:dyDescent="0.2">
      <c r="A24" s="227"/>
      <c r="B24" s="227"/>
      <c r="C24" s="228" t="s">
        <v>785</v>
      </c>
      <c r="D24" s="228" t="s">
        <v>786</v>
      </c>
      <c r="E24" s="228" t="s">
        <v>787</v>
      </c>
      <c r="F24" s="228" t="s">
        <v>788</v>
      </c>
      <c r="G24" s="228" t="s">
        <v>789</v>
      </c>
      <c r="H24" s="228" t="s">
        <v>790</v>
      </c>
      <c r="I24" s="228" t="s">
        <v>791</v>
      </c>
      <c r="J24" s="228" t="s">
        <v>792</v>
      </c>
      <c r="K24" s="228" t="s">
        <v>793</v>
      </c>
      <c r="L24" s="228" t="s">
        <v>794</v>
      </c>
      <c r="M24" s="228" t="s">
        <v>795</v>
      </c>
      <c r="N24" s="228" t="s">
        <v>796</v>
      </c>
      <c r="O24" s="228" t="s">
        <v>797</v>
      </c>
      <c r="P24" s="228" t="s">
        <v>798</v>
      </c>
      <c r="Q24" s="228" t="s">
        <v>799</v>
      </c>
      <c r="R24" s="228" t="s">
        <v>800</v>
      </c>
      <c r="S24" s="228" t="s">
        <v>801</v>
      </c>
      <c r="T24" s="228" t="s">
        <v>802</v>
      </c>
      <c r="U24" s="228" t="s">
        <v>803</v>
      </c>
      <c r="V24" s="228" t="s">
        <v>804</v>
      </c>
      <c r="W24" s="228" t="s">
        <v>805</v>
      </c>
      <c r="X24" s="228" t="s">
        <v>806</v>
      </c>
      <c r="Y24" s="228" t="s">
        <v>807</v>
      </c>
      <c r="Z24" s="228" t="s">
        <v>808</v>
      </c>
      <c r="AA24" s="228" t="s">
        <v>809</v>
      </c>
      <c r="AB24" s="228" t="s">
        <v>810</v>
      </c>
      <c r="AC24" s="228" t="s">
        <v>811</v>
      </c>
      <c r="AD24" s="228" t="s">
        <v>812</v>
      </c>
      <c r="AE24" s="229"/>
      <c r="AF24" s="229"/>
      <c r="AG24" s="229"/>
      <c r="AH24" s="229"/>
      <c r="AI24" s="229"/>
      <c r="AJ24" s="242"/>
    </row>
    <row r="25" spans="1:77" s="39" customFormat="1" ht="75.75" customHeight="1" x14ac:dyDescent="0.2">
      <c r="A25" s="240" t="s">
        <v>1344</v>
      </c>
      <c r="B25" s="239"/>
      <c r="C25" s="674" t="s">
        <v>821</v>
      </c>
      <c r="D25" s="674" t="s">
        <v>824</v>
      </c>
      <c r="E25" s="674" t="s">
        <v>823</v>
      </c>
      <c r="F25" s="674" t="s">
        <v>822</v>
      </c>
      <c r="G25" s="674" t="s">
        <v>825</v>
      </c>
      <c r="H25" s="674" t="s">
        <v>828</v>
      </c>
      <c r="I25" s="674" t="s">
        <v>827</v>
      </c>
      <c r="J25" s="674" t="s">
        <v>826</v>
      </c>
      <c r="K25" s="674" t="s">
        <v>829</v>
      </c>
      <c r="L25" s="674" t="s">
        <v>832</v>
      </c>
      <c r="M25" s="674" t="s">
        <v>831</v>
      </c>
      <c r="N25" s="674" t="s">
        <v>830</v>
      </c>
      <c r="O25" s="674" t="s">
        <v>833</v>
      </c>
      <c r="P25" s="674" t="s">
        <v>836</v>
      </c>
      <c r="Q25" s="674" t="s">
        <v>835</v>
      </c>
      <c r="R25" s="674" t="s">
        <v>834</v>
      </c>
      <c r="S25" s="674" t="s">
        <v>840</v>
      </c>
      <c r="T25" s="674" t="s">
        <v>837</v>
      </c>
      <c r="U25" s="674" t="s">
        <v>839</v>
      </c>
      <c r="V25" s="674" t="s">
        <v>838</v>
      </c>
      <c r="W25" s="674" t="s">
        <v>841</v>
      </c>
      <c r="X25" s="674" t="s">
        <v>848</v>
      </c>
      <c r="Y25" s="674" t="s">
        <v>847</v>
      </c>
      <c r="Z25" s="674" t="s">
        <v>846</v>
      </c>
      <c r="AA25" s="674" t="s">
        <v>845</v>
      </c>
      <c r="AB25" s="674" t="s">
        <v>844</v>
      </c>
      <c r="AC25" s="674" t="s">
        <v>843</v>
      </c>
      <c r="AD25" s="674" t="s">
        <v>842</v>
      </c>
      <c r="AE25" s="478" t="s">
        <v>344</v>
      </c>
      <c r="AF25" s="478" t="s">
        <v>345</v>
      </c>
      <c r="AG25" s="478" t="s">
        <v>346</v>
      </c>
      <c r="AH25" s="478" t="s">
        <v>813</v>
      </c>
      <c r="AI25" s="478" t="s">
        <v>347</v>
      </c>
      <c r="AJ25" s="479" t="s">
        <v>356</v>
      </c>
      <c r="AK25" s="479" t="s">
        <v>519</v>
      </c>
    </row>
    <row r="26" spans="1:77" s="39" customFormat="1" x14ac:dyDescent="0.2">
      <c r="A26" s="240">
        <v>1</v>
      </c>
      <c r="B26" s="255" t="s">
        <v>1345</v>
      </c>
      <c r="C26" s="238">
        <v>363</v>
      </c>
      <c r="D26" s="238">
        <v>316</v>
      </c>
      <c r="E26" s="238">
        <v>283</v>
      </c>
      <c r="F26" s="238">
        <v>262</v>
      </c>
      <c r="G26" s="238">
        <v>254</v>
      </c>
      <c r="H26" s="238">
        <v>235</v>
      </c>
      <c r="I26" s="238">
        <v>229</v>
      </c>
      <c r="J26" s="238">
        <v>219</v>
      </c>
      <c r="K26" s="238">
        <v>211</v>
      </c>
      <c r="L26" s="238">
        <v>201</v>
      </c>
      <c r="M26" s="238">
        <v>193</v>
      </c>
      <c r="N26" s="238">
        <v>187</v>
      </c>
      <c r="O26" s="238">
        <v>178</v>
      </c>
      <c r="P26" s="238">
        <v>169</v>
      </c>
      <c r="Q26" s="238">
        <v>162</v>
      </c>
      <c r="R26" s="238">
        <v>155</v>
      </c>
      <c r="S26" s="238">
        <v>147</v>
      </c>
      <c r="T26" s="238">
        <v>139</v>
      </c>
      <c r="U26" s="238">
        <v>133</v>
      </c>
      <c r="V26" s="238">
        <v>123</v>
      </c>
      <c r="W26" s="238">
        <v>117</v>
      </c>
      <c r="X26" s="238">
        <v>110</v>
      </c>
      <c r="Y26" s="238">
        <v>101</v>
      </c>
      <c r="Z26" s="238">
        <v>94</v>
      </c>
      <c r="AA26" s="238">
        <v>85</v>
      </c>
      <c r="AB26" s="238">
        <v>78</v>
      </c>
      <c r="AC26" s="238">
        <v>71</v>
      </c>
      <c r="AD26" s="238">
        <v>57</v>
      </c>
      <c r="AE26" s="231">
        <v>0.15</v>
      </c>
      <c r="AF26" s="231">
        <v>0.15</v>
      </c>
      <c r="AG26" s="231">
        <v>0.06</v>
      </c>
      <c r="AH26" s="231">
        <v>0.02</v>
      </c>
      <c r="AI26" s="231">
        <v>0</v>
      </c>
      <c r="AJ26" s="230"/>
      <c r="AK26" s="387" t="s">
        <v>323</v>
      </c>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row>
    <row r="27" spans="1:77" s="39" customFormat="1" x14ac:dyDescent="0.2">
      <c r="A27" s="240">
        <v>2</v>
      </c>
      <c r="B27" s="255" t="s">
        <v>1330</v>
      </c>
      <c r="C27" s="238">
        <v>350</v>
      </c>
      <c r="D27" s="238">
        <v>305</v>
      </c>
      <c r="E27" s="238">
        <v>273</v>
      </c>
      <c r="F27" s="238">
        <v>253</v>
      </c>
      <c r="G27" s="238">
        <v>245</v>
      </c>
      <c r="H27" s="238">
        <v>227</v>
      </c>
      <c r="I27" s="238">
        <v>221</v>
      </c>
      <c r="J27" s="238">
        <v>211</v>
      </c>
      <c r="K27" s="238">
        <v>203</v>
      </c>
      <c r="L27" s="238">
        <v>194</v>
      </c>
      <c r="M27" s="238">
        <v>186</v>
      </c>
      <c r="N27" s="238">
        <v>180</v>
      </c>
      <c r="O27" s="238">
        <v>172</v>
      </c>
      <c r="P27" s="238">
        <v>163</v>
      </c>
      <c r="Q27" s="238">
        <v>156</v>
      </c>
      <c r="R27" s="238">
        <v>149</v>
      </c>
      <c r="S27" s="238">
        <v>142</v>
      </c>
      <c r="T27" s="238">
        <v>134</v>
      </c>
      <c r="U27" s="238">
        <v>128</v>
      </c>
      <c r="V27" s="238">
        <v>119</v>
      </c>
      <c r="W27" s="238">
        <v>113</v>
      </c>
      <c r="X27" s="238">
        <v>106</v>
      </c>
      <c r="Y27" s="238">
        <v>97</v>
      </c>
      <c r="Z27" s="238">
        <v>91</v>
      </c>
      <c r="AA27" s="238">
        <v>82</v>
      </c>
      <c r="AB27" s="238">
        <v>75</v>
      </c>
      <c r="AC27" s="238">
        <v>68</v>
      </c>
      <c r="AD27" s="238">
        <v>55</v>
      </c>
      <c r="AE27" s="231">
        <v>0.15</v>
      </c>
      <c r="AF27" s="231">
        <v>0.15</v>
      </c>
      <c r="AG27" s="231">
        <v>0.06</v>
      </c>
      <c r="AH27" s="231">
        <v>0.02</v>
      </c>
      <c r="AI27" s="231">
        <v>0</v>
      </c>
      <c r="AJ27" s="230"/>
      <c r="AK27" s="387" t="s">
        <v>323</v>
      </c>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row>
    <row r="28" spans="1:77" s="39" customFormat="1" x14ac:dyDescent="0.2">
      <c r="A28" s="240">
        <v>3</v>
      </c>
      <c r="B28" s="255" t="s">
        <v>1318</v>
      </c>
      <c r="C28" s="238">
        <v>324</v>
      </c>
      <c r="D28" s="238">
        <v>282</v>
      </c>
      <c r="E28" s="238">
        <v>252</v>
      </c>
      <c r="F28" s="238">
        <v>234</v>
      </c>
      <c r="G28" s="238">
        <v>226</v>
      </c>
      <c r="H28" s="238">
        <v>210</v>
      </c>
      <c r="I28" s="238">
        <v>204</v>
      </c>
      <c r="J28" s="238">
        <v>195</v>
      </c>
      <c r="K28" s="238">
        <v>188</v>
      </c>
      <c r="L28" s="238">
        <v>179</v>
      </c>
      <c r="M28" s="238">
        <v>172</v>
      </c>
      <c r="N28" s="238">
        <v>166</v>
      </c>
      <c r="O28" s="238">
        <v>159</v>
      </c>
      <c r="P28" s="238">
        <v>151</v>
      </c>
      <c r="Q28" s="238">
        <v>144</v>
      </c>
      <c r="R28" s="238">
        <v>138</v>
      </c>
      <c r="S28" s="238">
        <v>131</v>
      </c>
      <c r="T28" s="238">
        <v>124</v>
      </c>
      <c r="U28" s="238">
        <v>118</v>
      </c>
      <c r="V28" s="238">
        <v>110</v>
      </c>
      <c r="W28" s="238">
        <v>104</v>
      </c>
      <c r="X28" s="238">
        <v>98</v>
      </c>
      <c r="Y28" s="238">
        <v>90</v>
      </c>
      <c r="Z28" s="238">
        <v>84</v>
      </c>
      <c r="AA28" s="238">
        <v>76</v>
      </c>
      <c r="AB28" s="238">
        <v>69</v>
      </c>
      <c r="AC28" s="238">
        <v>63</v>
      </c>
      <c r="AD28" s="238">
        <v>51</v>
      </c>
      <c r="AE28" s="231">
        <v>0.15</v>
      </c>
      <c r="AF28" s="231">
        <v>0.15</v>
      </c>
      <c r="AG28" s="231">
        <v>0.06</v>
      </c>
      <c r="AH28" s="231">
        <v>0.02</v>
      </c>
      <c r="AI28" s="231">
        <v>0</v>
      </c>
      <c r="AJ28" s="230"/>
      <c r="AK28" s="387" t="s">
        <v>323</v>
      </c>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row>
    <row r="29" spans="1:77" s="39" customFormat="1" x14ac:dyDescent="0.2">
      <c r="A29" s="240">
        <v>4</v>
      </c>
      <c r="B29" s="255" t="s">
        <v>1289</v>
      </c>
      <c r="C29" s="238">
        <v>309</v>
      </c>
      <c r="D29" s="238">
        <v>269</v>
      </c>
      <c r="E29" s="238">
        <v>240</v>
      </c>
      <c r="F29" s="238">
        <v>223</v>
      </c>
      <c r="G29" s="238">
        <v>215</v>
      </c>
      <c r="H29" s="238">
        <v>200</v>
      </c>
      <c r="I29" s="238">
        <v>194</v>
      </c>
      <c r="J29" s="238">
        <v>186</v>
      </c>
      <c r="K29" s="238">
        <v>179</v>
      </c>
      <c r="L29" s="238">
        <v>170</v>
      </c>
      <c r="M29" s="238">
        <v>164</v>
      </c>
      <c r="N29" s="238">
        <v>158</v>
      </c>
      <c r="O29" s="238">
        <v>151</v>
      </c>
      <c r="P29" s="238">
        <v>144</v>
      </c>
      <c r="Q29" s="238">
        <v>137</v>
      </c>
      <c r="R29" s="238">
        <v>131</v>
      </c>
      <c r="S29" s="238">
        <v>125</v>
      </c>
      <c r="T29" s="238">
        <v>118</v>
      </c>
      <c r="U29" s="238">
        <v>112</v>
      </c>
      <c r="V29" s="238">
        <v>105</v>
      </c>
      <c r="W29" s="238">
        <v>99</v>
      </c>
      <c r="X29" s="238">
        <v>93</v>
      </c>
      <c r="Y29" s="238">
        <v>86</v>
      </c>
      <c r="Z29" s="238">
        <v>80</v>
      </c>
      <c r="AA29" s="238">
        <v>72</v>
      </c>
      <c r="AB29" s="238">
        <v>66</v>
      </c>
      <c r="AC29" s="238">
        <v>60</v>
      </c>
      <c r="AD29" s="238">
        <v>49</v>
      </c>
      <c r="AE29" s="231">
        <v>0.15</v>
      </c>
      <c r="AF29" s="231">
        <v>0.15</v>
      </c>
      <c r="AG29" s="231">
        <v>0.06</v>
      </c>
      <c r="AH29" s="231">
        <v>0.02</v>
      </c>
      <c r="AI29" s="231">
        <v>0</v>
      </c>
      <c r="AJ29" s="230"/>
      <c r="AK29" s="387" t="s">
        <v>323</v>
      </c>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row>
    <row r="30" spans="1:77" s="39" customFormat="1" x14ac:dyDescent="0.2">
      <c r="A30" s="240">
        <v>5</v>
      </c>
      <c r="B30" s="255" t="s">
        <v>1243</v>
      </c>
      <c r="C30" s="238">
        <v>305</v>
      </c>
      <c r="D30" s="238">
        <v>265</v>
      </c>
      <c r="E30" s="238">
        <v>236</v>
      </c>
      <c r="F30" s="238">
        <v>220</v>
      </c>
      <c r="G30" s="238">
        <v>212</v>
      </c>
      <c r="H30" s="238">
        <v>197</v>
      </c>
      <c r="I30" s="238">
        <v>191</v>
      </c>
      <c r="J30" s="238">
        <v>183</v>
      </c>
      <c r="K30" s="238">
        <v>176</v>
      </c>
      <c r="L30" s="238">
        <v>167</v>
      </c>
      <c r="M30" s="238">
        <v>161</v>
      </c>
      <c r="N30" s="238">
        <v>155</v>
      </c>
      <c r="O30" s="238">
        <v>149</v>
      </c>
      <c r="P30" s="238">
        <v>142</v>
      </c>
      <c r="Q30" s="238">
        <v>135</v>
      </c>
      <c r="R30" s="238">
        <v>129</v>
      </c>
      <c r="S30" s="238">
        <v>123</v>
      </c>
      <c r="T30" s="238">
        <v>116</v>
      </c>
      <c r="U30" s="238">
        <v>110</v>
      </c>
      <c r="V30" s="238">
        <v>103</v>
      </c>
      <c r="W30" s="238">
        <v>97</v>
      </c>
      <c r="X30" s="238">
        <v>91</v>
      </c>
      <c r="Y30" s="238">
        <v>84</v>
      </c>
      <c r="Z30" s="238">
        <v>78</v>
      </c>
      <c r="AA30" s="238">
        <v>71</v>
      </c>
      <c r="AB30" s="238">
        <v>65</v>
      </c>
      <c r="AC30" s="238">
        <v>59</v>
      </c>
      <c r="AD30" s="238">
        <v>48</v>
      </c>
      <c r="AE30" s="231">
        <v>0.15</v>
      </c>
      <c r="AF30" s="231">
        <v>0.15</v>
      </c>
      <c r="AG30" s="231">
        <v>0.06</v>
      </c>
      <c r="AH30" s="231">
        <v>0.02</v>
      </c>
      <c r="AI30" s="231">
        <v>0</v>
      </c>
      <c r="AJ30" s="230"/>
      <c r="AK30" s="387" t="s">
        <v>323</v>
      </c>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row>
    <row r="31" spans="1:77" s="39" customFormat="1" x14ac:dyDescent="0.2">
      <c r="A31" s="240">
        <v>6</v>
      </c>
      <c r="B31" s="255" t="s">
        <v>1242</v>
      </c>
      <c r="C31" s="238">
        <v>298</v>
      </c>
      <c r="D31" s="238">
        <v>260</v>
      </c>
      <c r="E31" s="238">
        <v>232</v>
      </c>
      <c r="F31" s="238">
        <v>216</v>
      </c>
      <c r="G31" s="238">
        <v>208</v>
      </c>
      <c r="H31" s="238">
        <v>194</v>
      </c>
      <c r="I31" s="238">
        <v>188</v>
      </c>
      <c r="J31" s="238">
        <v>180</v>
      </c>
      <c r="K31" s="238">
        <v>173</v>
      </c>
      <c r="L31" s="238">
        <v>164</v>
      </c>
      <c r="M31" s="238">
        <v>158</v>
      </c>
      <c r="N31" s="238">
        <v>152</v>
      </c>
      <c r="O31" s="238">
        <v>146</v>
      </c>
      <c r="P31" s="238">
        <v>139</v>
      </c>
      <c r="Q31" s="238">
        <v>133</v>
      </c>
      <c r="R31" s="238">
        <v>127</v>
      </c>
      <c r="S31" s="238">
        <v>121</v>
      </c>
      <c r="T31" s="238">
        <v>114</v>
      </c>
      <c r="U31" s="238">
        <v>108</v>
      </c>
      <c r="V31" s="238">
        <v>101</v>
      </c>
      <c r="W31" s="238">
        <v>95</v>
      </c>
      <c r="X31" s="238">
        <v>89</v>
      </c>
      <c r="Y31" s="238">
        <v>83</v>
      </c>
      <c r="Z31" s="238">
        <v>77</v>
      </c>
      <c r="AA31" s="238">
        <v>70</v>
      </c>
      <c r="AB31" s="238">
        <v>64</v>
      </c>
      <c r="AC31" s="238">
        <v>58</v>
      </c>
      <c r="AD31" s="238">
        <v>47</v>
      </c>
      <c r="AE31" s="231">
        <v>0.15</v>
      </c>
      <c r="AF31" s="231">
        <v>0.15</v>
      </c>
      <c r="AG31" s="231">
        <v>0.06</v>
      </c>
      <c r="AH31" s="231">
        <v>0.02</v>
      </c>
      <c r="AI31" s="231">
        <v>0</v>
      </c>
      <c r="AJ31" s="230"/>
      <c r="AK31" s="387" t="s">
        <v>323</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row>
    <row r="32" spans="1:77" x14ac:dyDescent="0.2">
      <c r="A32" s="240">
        <v>7</v>
      </c>
      <c r="B32" s="255" t="s">
        <v>1272</v>
      </c>
      <c r="C32" s="238">
        <v>290</v>
      </c>
      <c r="D32" s="238">
        <v>252</v>
      </c>
      <c r="E32" s="238">
        <v>224</v>
      </c>
      <c r="F32" s="238">
        <v>209</v>
      </c>
      <c r="G32" s="238">
        <v>201</v>
      </c>
      <c r="H32" s="238">
        <v>187</v>
      </c>
      <c r="I32" s="238">
        <v>181</v>
      </c>
      <c r="J32" s="238">
        <v>174</v>
      </c>
      <c r="K32" s="238">
        <v>167</v>
      </c>
      <c r="L32" s="238">
        <v>159</v>
      </c>
      <c r="M32" s="238">
        <v>153</v>
      </c>
      <c r="N32" s="238">
        <v>147</v>
      </c>
      <c r="O32" s="238">
        <v>142</v>
      </c>
      <c r="P32" s="238">
        <v>135</v>
      </c>
      <c r="Q32" s="238">
        <v>128</v>
      </c>
      <c r="R32" s="238">
        <v>123</v>
      </c>
      <c r="S32" s="238">
        <v>117</v>
      </c>
      <c r="T32" s="238">
        <v>110</v>
      </c>
      <c r="U32" s="238">
        <v>105</v>
      </c>
      <c r="V32" s="238">
        <v>98</v>
      </c>
      <c r="W32" s="238">
        <v>92</v>
      </c>
      <c r="X32" s="238">
        <v>86</v>
      </c>
      <c r="Y32" s="238">
        <v>80</v>
      </c>
      <c r="Z32" s="238">
        <v>74</v>
      </c>
      <c r="AA32" s="238">
        <v>67</v>
      </c>
      <c r="AB32" s="238">
        <v>62</v>
      </c>
      <c r="AC32" s="238">
        <v>56</v>
      </c>
      <c r="AD32" s="238">
        <v>46</v>
      </c>
      <c r="AE32" s="231">
        <v>0</v>
      </c>
      <c r="AF32" s="231">
        <v>0</v>
      </c>
      <c r="AG32" s="231">
        <v>0.06</v>
      </c>
      <c r="AH32" s="231">
        <v>0</v>
      </c>
      <c r="AI32" s="231">
        <v>0</v>
      </c>
      <c r="AJ32" s="230"/>
      <c r="AK32" s="387" t="s">
        <v>323</v>
      </c>
      <c r="AL32" s="39"/>
      <c r="AM32" s="39"/>
      <c r="AN32" s="39"/>
      <c r="AO32" s="39"/>
    </row>
    <row r="33" spans="1:41" x14ac:dyDescent="0.2">
      <c r="A33" s="240">
        <v>8</v>
      </c>
      <c r="B33" s="255" t="s">
        <v>850</v>
      </c>
      <c r="C33" s="238">
        <v>293</v>
      </c>
      <c r="D33" s="238">
        <v>254</v>
      </c>
      <c r="E33" s="238">
        <v>226</v>
      </c>
      <c r="F33" s="238">
        <v>211</v>
      </c>
      <c r="G33" s="238">
        <v>203</v>
      </c>
      <c r="H33" s="238">
        <v>189</v>
      </c>
      <c r="I33" s="238">
        <v>183</v>
      </c>
      <c r="J33" s="238">
        <v>175</v>
      </c>
      <c r="K33" s="238">
        <v>169</v>
      </c>
      <c r="L33" s="238">
        <v>160</v>
      </c>
      <c r="M33" s="238">
        <v>154</v>
      </c>
      <c r="N33" s="238">
        <v>148</v>
      </c>
      <c r="O33" s="238">
        <v>142</v>
      </c>
      <c r="P33" s="238">
        <v>136</v>
      </c>
      <c r="Q33" s="238">
        <v>130</v>
      </c>
      <c r="R33" s="238">
        <v>124</v>
      </c>
      <c r="S33" s="238">
        <v>118</v>
      </c>
      <c r="T33" s="238">
        <v>111</v>
      </c>
      <c r="U33" s="238">
        <v>105</v>
      </c>
      <c r="V33" s="238">
        <v>99</v>
      </c>
      <c r="W33" s="238">
        <v>93</v>
      </c>
      <c r="X33" s="238">
        <v>87</v>
      </c>
      <c r="Y33" s="238">
        <v>81</v>
      </c>
      <c r="Z33" s="238">
        <v>75</v>
      </c>
      <c r="AA33" s="238">
        <v>68</v>
      </c>
      <c r="AB33" s="238">
        <v>62</v>
      </c>
      <c r="AC33" s="238">
        <v>56</v>
      </c>
      <c r="AD33" s="238">
        <v>46</v>
      </c>
      <c r="AE33" s="231">
        <v>0.08</v>
      </c>
      <c r="AF33" s="231">
        <v>0.08</v>
      </c>
      <c r="AG33" s="231">
        <v>0.03</v>
      </c>
      <c r="AH33" s="231">
        <v>0</v>
      </c>
      <c r="AI33" s="231">
        <v>0</v>
      </c>
      <c r="AJ33" s="230"/>
      <c r="AK33" s="387" t="s">
        <v>323</v>
      </c>
      <c r="AL33" s="39"/>
      <c r="AM33" s="39"/>
      <c r="AN33" s="39"/>
      <c r="AO33" s="39"/>
    </row>
    <row r="34" spans="1:41" x14ac:dyDescent="0.2">
      <c r="A34" s="240">
        <v>9</v>
      </c>
      <c r="B34" s="237" t="s">
        <v>1290</v>
      </c>
      <c r="C34" s="238">
        <v>290</v>
      </c>
      <c r="D34" s="238">
        <v>252</v>
      </c>
      <c r="E34" s="238">
        <v>224</v>
      </c>
      <c r="F34" s="238">
        <v>209</v>
      </c>
      <c r="G34" s="238">
        <v>201</v>
      </c>
      <c r="H34" s="238">
        <v>187</v>
      </c>
      <c r="I34" s="238">
        <v>181</v>
      </c>
      <c r="J34" s="238">
        <v>174</v>
      </c>
      <c r="K34" s="238">
        <v>167</v>
      </c>
      <c r="L34" s="238">
        <v>159</v>
      </c>
      <c r="M34" s="238">
        <v>153</v>
      </c>
      <c r="N34" s="238">
        <v>147</v>
      </c>
      <c r="O34" s="238">
        <v>142</v>
      </c>
      <c r="P34" s="238">
        <v>135</v>
      </c>
      <c r="Q34" s="238">
        <v>128</v>
      </c>
      <c r="R34" s="238">
        <v>123</v>
      </c>
      <c r="S34" s="238">
        <v>117</v>
      </c>
      <c r="T34" s="238">
        <v>110</v>
      </c>
      <c r="U34" s="238">
        <v>105</v>
      </c>
      <c r="V34" s="238">
        <v>98</v>
      </c>
      <c r="W34" s="238">
        <v>92</v>
      </c>
      <c r="X34" s="238">
        <v>86</v>
      </c>
      <c r="Y34" s="238">
        <v>80</v>
      </c>
      <c r="Z34" s="238">
        <v>74</v>
      </c>
      <c r="AA34" s="238">
        <v>67</v>
      </c>
      <c r="AB34" s="238">
        <v>62</v>
      </c>
      <c r="AC34" s="238">
        <v>56</v>
      </c>
      <c r="AD34" s="238">
        <v>46</v>
      </c>
      <c r="AE34" s="231">
        <v>0.15</v>
      </c>
      <c r="AF34" s="799">
        <v>0.15</v>
      </c>
      <c r="AG34" s="231">
        <v>0.06</v>
      </c>
      <c r="AH34" s="231">
        <v>0.02</v>
      </c>
      <c r="AI34" s="231">
        <v>0</v>
      </c>
      <c r="AJ34" s="230"/>
      <c r="AK34" s="387" t="s">
        <v>323</v>
      </c>
      <c r="AL34" s="39"/>
      <c r="AM34" s="39"/>
      <c r="AN34" s="39"/>
      <c r="AO34" s="39"/>
    </row>
    <row r="35" spans="1:41" x14ac:dyDescent="0.2">
      <c r="A35" s="240">
        <v>10</v>
      </c>
      <c r="B35" s="237" t="s">
        <v>1328</v>
      </c>
      <c r="C35" s="238"/>
      <c r="D35" s="238"/>
      <c r="E35" s="238">
        <v>178.5</v>
      </c>
      <c r="F35" s="238">
        <v>167.28</v>
      </c>
      <c r="G35" s="238"/>
      <c r="H35" s="238"/>
      <c r="I35" s="238">
        <v>151.97999999999999</v>
      </c>
      <c r="J35" s="238">
        <v>142.80000000000001</v>
      </c>
      <c r="K35" s="238"/>
      <c r="L35" s="238">
        <v>132.6</v>
      </c>
      <c r="M35" s="238">
        <v>122.4</v>
      </c>
      <c r="N35" s="238">
        <v>112.2</v>
      </c>
      <c r="O35" s="238"/>
      <c r="P35" s="238"/>
      <c r="Q35" s="238"/>
      <c r="R35" s="238"/>
      <c r="S35" s="238">
        <v>94.86</v>
      </c>
      <c r="T35" s="238">
        <v>91.8</v>
      </c>
      <c r="U35" s="238">
        <v>88.74</v>
      </c>
      <c r="V35" s="238">
        <v>81.599999999999994</v>
      </c>
      <c r="W35" s="238">
        <v>81.599999999999994</v>
      </c>
      <c r="X35" s="238"/>
      <c r="Y35" s="238">
        <v>38.76</v>
      </c>
      <c r="Z35" s="238">
        <v>56.1</v>
      </c>
      <c r="AA35" s="238">
        <v>54.06</v>
      </c>
      <c r="AB35" s="238">
        <v>56.1</v>
      </c>
      <c r="AC35" s="238">
        <v>48.96</v>
      </c>
      <c r="AD35" s="238">
        <v>40.799999999999997</v>
      </c>
      <c r="AE35" s="231">
        <v>0.05</v>
      </c>
      <c r="AF35" s="799">
        <v>0.05</v>
      </c>
      <c r="AG35" s="231">
        <v>0</v>
      </c>
      <c r="AH35" s="231">
        <v>0</v>
      </c>
      <c r="AI35" s="231">
        <v>0</v>
      </c>
      <c r="AJ35" s="230"/>
      <c r="AK35" s="387" t="s">
        <v>851</v>
      </c>
      <c r="AL35" s="39"/>
      <c r="AM35" s="39"/>
      <c r="AN35" s="39"/>
      <c r="AO35" s="39"/>
    </row>
    <row r="36" spans="1:41" x14ac:dyDescent="0.2">
      <c r="A36" s="240">
        <v>11</v>
      </c>
      <c r="B36" s="237" t="s">
        <v>1338</v>
      </c>
      <c r="C36" s="238">
        <v>324</v>
      </c>
      <c r="D36" s="238">
        <v>282</v>
      </c>
      <c r="E36" s="238">
        <v>252</v>
      </c>
      <c r="F36" s="230">
        <v>234</v>
      </c>
      <c r="G36" s="238">
        <v>226</v>
      </c>
      <c r="H36" s="238">
        <v>210</v>
      </c>
      <c r="I36" s="238">
        <v>204</v>
      </c>
      <c r="J36" s="238">
        <v>195</v>
      </c>
      <c r="K36" s="238">
        <v>188</v>
      </c>
      <c r="L36" s="238">
        <v>179</v>
      </c>
      <c r="M36" s="238">
        <v>172</v>
      </c>
      <c r="N36" s="238">
        <v>166</v>
      </c>
      <c r="O36" s="238">
        <v>159</v>
      </c>
      <c r="P36" s="238">
        <v>151</v>
      </c>
      <c r="Q36" s="238">
        <v>144</v>
      </c>
      <c r="R36" s="238">
        <v>138</v>
      </c>
      <c r="S36" s="238">
        <v>131</v>
      </c>
      <c r="T36" s="238">
        <v>124</v>
      </c>
      <c r="U36" s="238">
        <v>118</v>
      </c>
      <c r="V36" s="238">
        <v>110</v>
      </c>
      <c r="W36" s="238">
        <v>104</v>
      </c>
      <c r="X36" s="238">
        <v>98</v>
      </c>
      <c r="Y36" s="238">
        <v>90</v>
      </c>
      <c r="Z36" s="238">
        <v>84</v>
      </c>
      <c r="AA36" s="238">
        <v>76</v>
      </c>
      <c r="AB36" s="238">
        <v>69</v>
      </c>
      <c r="AC36" s="238">
        <v>63</v>
      </c>
      <c r="AD36" s="238">
        <v>51</v>
      </c>
      <c r="AE36" s="231">
        <v>0.15</v>
      </c>
      <c r="AF36" s="231">
        <v>0.15</v>
      </c>
      <c r="AG36" s="231">
        <v>0.06</v>
      </c>
      <c r="AH36" s="231">
        <v>0</v>
      </c>
      <c r="AI36" s="231">
        <v>0</v>
      </c>
      <c r="AJ36" s="230"/>
      <c r="AK36" s="387" t="s">
        <v>323</v>
      </c>
      <c r="AL36" s="39"/>
      <c r="AM36" s="39"/>
      <c r="AN36" s="39"/>
      <c r="AO36" s="39"/>
    </row>
    <row r="37" spans="1:41" x14ac:dyDescent="0.2">
      <c r="A37" s="240">
        <v>12</v>
      </c>
      <c r="B37" s="237" t="s">
        <v>1241</v>
      </c>
      <c r="C37" s="238">
        <v>306</v>
      </c>
      <c r="D37" s="238">
        <v>267</v>
      </c>
      <c r="E37" s="238">
        <v>239</v>
      </c>
      <c r="F37" s="238">
        <v>221</v>
      </c>
      <c r="G37" s="238">
        <v>214</v>
      </c>
      <c r="H37" s="238">
        <v>199</v>
      </c>
      <c r="I37" s="238">
        <v>193</v>
      </c>
      <c r="J37" s="238">
        <v>185</v>
      </c>
      <c r="K37" s="238">
        <v>178</v>
      </c>
      <c r="L37" s="238">
        <v>170</v>
      </c>
      <c r="M37" s="238">
        <v>163</v>
      </c>
      <c r="N37" s="238">
        <v>158</v>
      </c>
      <c r="O37" s="238">
        <v>151</v>
      </c>
      <c r="P37" s="238">
        <v>143</v>
      </c>
      <c r="Q37" s="238">
        <v>137</v>
      </c>
      <c r="R37" s="238">
        <v>130</v>
      </c>
      <c r="S37" s="238">
        <v>124</v>
      </c>
      <c r="T37" s="238">
        <v>117</v>
      </c>
      <c r="U37" s="238">
        <v>112</v>
      </c>
      <c r="V37" s="238">
        <v>104</v>
      </c>
      <c r="W37" s="238">
        <v>99</v>
      </c>
      <c r="X37" s="238">
        <v>93</v>
      </c>
      <c r="Y37" s="238">
        <v>85</v>
      </c>
      <c r="Z37" s="238">
        <v>80</v>
      </c>
      <c r="AA37" s="238">
        <v>72</v>
      </c>
      <c r="AB37" s="238">
        <v>66</v>
      </c>
      <c r="AC37" s="238">
        <v>60</v>
      </c>
      <c r="AD37" s="238">
        <v>48</v>
      </c>
      <c r="AE37" s="231">
        <v>0.1</v>
      </c>
      <c r="AF37" s="799">
        <v>0.1</v>
      </c>
      <c r="AG37" s="231">
        <v>0.06</v>
      </c>
      <c r="AH37" s="231">
        <v>0</v>
      </c>
      <c r="AI37" s="231">
        <v>0</v>
      </c>
      <c r="AJ37" s="230"/>
      <c r="AK37" s="387" t="s">
        <v>323</v>
      </c>
      <c r="AL37" s="39"/>
      <c r="AM37" s="39"/>
      <c r="AN37" s="39"/>
      <c r="AO37" s="39"/>
    </row>
    <row r="38" spans="1:41" x14ac:dyDescent="0.2">
      <c r="A38" s="240">
        <v>13</v>
      </c>
      <c r="B38" s="237" t="s">
        <v>1341</v>
      </c>
      <c r="C38" s="238">
        <v>197</v>
      </c>
      <c r="D38" s="238">
        <v>197</v>
      </c>
      <c r="E38" s="238">
        <v>197</v>
      </c>
      <c r="F38" s="230">
        <v>197</v>
      </c>
      <c r="G38" s="238">
        <v>197</v>
      </c>
      <c r="H38" s="238">
        <v>164</v>
      </c>
      <c r="I38" s="238">
        <v>164</v>
      </c>
      <c r="J38" s="238">
        <v>164</v>
      </c>
      <c r="K38" s="238">
        <v>164</v>
      </c>
      <c r="L38" s="238">
        <v>152</v>
      </c>
      <c r="M38" s="238">
        <v>152</v>
      </c>
      <c r="N38" s="238">
        <v>152</v>
      </c>
      <c r="O38" s="238">
        <v>139</v>
      </c>
      <c r="P38" s="238">
        <v>139</v>
      </c>
      <c r="Q38" s="238">
        <v>139</v>
      </c>
      <c r="R38" s="238">
        <v>129</v>
      </c>
      <c r="S38" s="238">
        <v>129</v>
      </c>
      <c r="T38" s="238">
        <v>129</v>
      </c>
      <c r="U38" s="238">
        <v>120</v>
      </c>
      <c r="V38" s="238">
        <v>107</v>
      </c>
      <c r="W38" s="238">
        <v>96</v>
      </c>
      <c r="X38" s="238">
        <v>82</v>
      </c>
      <c r="Y38" s="238">
        <v>65</v>
      </c>
      <c r="Z38" s="238">
        <v>65</v>
      </c>
      <c r="AA38" s="238">
        <v>65</v>
      </c>
      <c r="AB38" s="238">
        <v>65</v>
      </c>
      <c r="AC38" s="238">
        <v>65</v>
      </c>
      <c r="AD38" s="238">
        <v>65</v>
      </c>
      <c r="AE38" s="231">
        <v>0.05</v>
      </c>
      <c r="AF38" s="231">
        <v>0.05</v>
      </c>
      <c r="AG38" s="231">
        <v>0</v>
      </c>
      <c r="AH38" s="231">
        <v>0</v>
      </c>
      <c r="AI38" s="231">
        <v>0</v>
      </c>
      <c r="AJ38" s="230"/>
      <c r="AK38" s="387" t="s">
        <v>323</v>
      </c>
      <c r="AL38" s="39"/>
      <c r="AM38" s="39"/>
      <c r="AN38" s="39"/>
      <c r="AO38" s="39"/>
    </row>
    <row r="39" spans="1:41" x14ac:dyDescent="0.2">
      <c r="A39" s="240">
        <v>14</v>
      </c>
      <c r="B39" s="237" t="s">
        <v>1339</v>
      </c>
      <c r="C39" s="238">
        <v>250</v>
      </c>
      <c r="D39" s="238">
        <v>220</v>
      </c>
      <c r="E39" s="238">
        <v>215</v>
      </c>
      <c r="F39" s="230">
        <v>205</v>
      </c>
      <c r="G39" s="238">
        <v>190</v>
      </c>
      <c r="H39" s="238">
        <v>184</v>
      </c>
      <c r="I39" s="238">
        <v>178</v>
      </c>
      <c r="J39" s="238">
        <v>172</v>
      </c>
      <c r="K39" s="238">
        <v>167</v>
      </c>
      <c r="L39" s="238">
        <v>161</v>
      </c>
      <c r="M39" s="238">
        <v>159</v>
      </c>
      <c r="N39" s="238">
        <v>155</v>
      </c>
      <c r="O39" s="238">
        <v>140</v>
      </c>
      <c r="P39" s="238">
        <v>137</v>
      </c>
      <c r="Q39" s="238">
        <v>130</v>
      </c>
      <c r="R39" s="238">
        <v>129</v>
      </c>
      <c r="S39" s="238">
        <v>125</v>
      </c>
      <c r="T39" s="238">
        <v>120</v>
      </c>
      <c r="U39" s="238">
        <v>115</v>
      </c>
      <c r="V39" s="238">
        <v>110</v>
      </c>
      <c r="W39" s="238">
        <v>92</v>
      </c>
      <c r="X39" s="238">
        <v>90</v>
      </c>
      <c r="Y39" s="238">
        <v>83</v>
      </c>
      <c r="Z39" s="238">
        <v>76</v>
      </c>
      <c r="AA39" s="238">
        <v>67</v>
      </c>
      <c r="AB39" s="238">
        <v>67</v>
      </c>
      <c r="AC39" s="238">
        <v>59</v>
      </c>
      <c r="AD39" s="238">
        <v>54</v>
      </c>
      <c r="AE39" s="231">
        <v>0.05</v>
      </c>
      <c r="AF39" s="231">
        <v>0.03</v>
      </c>
      <c r="AG39" s="231">
        <v>0</v>
      </c>
      <c r="AH39" s="231">
        <v>0</v>
      </c>
      <c r="AI39" s="231">
        <v>0</v>
      </c>
      <c r="AJ39" s="230"/>
      <c r="AK39" s="387" t="s">
        <v>851</v>
      </c>
      <c r="AL39" s="39"/>
      <c r="AM39" s="39"/>
      <c r="AN39" s="39"/>
      <c r="AO39" s="39"/>
    </row>
    <row r="40" spans="1:41" x14ac:dyDescent="0.2">
      <c r="A40" s="240">
        <v>15</v>
      </c>
      <c r="B40" s="237" t="s">
        <v>874</v>
      </c>
      <c r="C40" s="238">
        <v>268</v>
      </c>
      <c r="D40" s="238">
        <v>234</v>
      </c>
      <c r="E40" s="238">
        <v>209</v>
      </c>
      <c r="F40" s="230">
        <v>194</v>
      </c>
      <c r="G40" s="238">
        <v>187</v>
      </c>
      <c r="H40" s="238">
        <v>175</v>
      </c>
      <c r="I40" s="238">
        <v>169</v>
      </c>
      <c r="J40" s="238">
        <v>162</v>
      </c>
      <c r="K40" s="238">
        <v>156</v>
      </c>
      <c r="L40" s="238">
        <v>148</v>
      </c>
      <c r="M40" s="238">
        <v>142</v>
      </c>
      <c r="N40" s="238">
        <v>137</v>
      </c>
      <c r="O40" s="238">
        <v>131</v>
      </c>
      <c r="P40" s="238">
        <v>125</v>
      </c>
      <c r="Q40" s="238">
        <v>120</v>
      </c>
      <c r="R40" s="238">
        <v>114</v>
      </c>
      <c r="S40" s="238">
        <v>109</v>
      </c>
      <c r="T40" s="238">
        <v>103</v>
      </c>
      <c r="U40" s="238">
        <v>97</v>
      </c>
      <c r="V40" s="238">
        <v>91</v>
      </c>
      <c r="W40" s="238">
        <v>86</v>
      </c>
      <c r="X40" s="238">
        <v>80</v>
      </c>
      <c r="Y40" s="238">
        <v>75</v>
      </c>
      <c r="Z40" s="238">
        <v>69</v>
      </c>
      <c r="AA40" s="238">
        <v>63</v>
      </c>
      <c r="AB40" s="238">
        <v>58</v>
      </c>
      <c r="AC40" s="238">
        <v>52</v>
      </c>
      <c r="AD40" s="238">
        <v>42</v>
      </c>
      <c r="AE40" s="231">
        <v>0.05</v>
      </c>
      <c r="AF40" s="231">
        <v>0</v>
      </c>
      <c r="AG40" s="231">
        <v>0.03</v>
      </c>
      <c r="AH40" s="231">
        <v>0</v>
      </c>
      <c r="AI40" s="231">
        <v>0</v>
      </c>
      <c r="AJ40" s="230"/>
      <c r="AK40" s="387" t="s">
        <v>851</v>
      </c>
      <c r="AL40" s="39"/>
      <c r="AM40" s="39"/>
      <c r="AN40" s="39"/>
      <c r="AO40" s="39"/>
    </row>
    <row r="41" spans="1:41" x14ac:dyDescent="0.2">
      <c r="A41" s="240">
        <v>16</v>
      </c>
      <c r="B41" s="237" t="s">
        <v>1343</v>
      </c>
      <c r="C41" s="230">
        <v>225</v>
      </c>
      <c r="D41" s="230">
        <v>225</v>
      </c>
      <c r="E41" s="230">
        <v>225</v>
      </c>
      <c r="F41" s="230">
        <v>225</v>
      </c>
      <c r="G41" s="238">
        <v>192</v>
      </c>
      <c r="H41" s="238">
        <v>192</v>
      </c>
      <c r="I41" s="238">
        <v>192</v>
      </c>
      <c r="J41" s="238">
        <v>192</v>
      </c>
      <c r="K41" s="238">
        <v>159</v>
      </c>
      <c r="L41" s="238">
        <v>159</v>
      </c>
      <c r="M41" s="238">
        <v>159</v>
      </c>
      <c r="N41" s="238">
        <v>159</v>
      </c>
      <c r="O41" s="238">
        <v>159</v>
      </c>
      <c r="P41" s="238">
        <v>130</v>
      </c>
      <c r="Q41" s="238">
        <v>130</v>
      </c>
      <c r="R41" s="238">
        <v>130</v>
      </c>
      <c r="S41" s="238">
        <v>130</v>
      </c>
      <c r="T41" s="238">
        <v>108</v>
      </c>
      <c r="U41" s="238">
        <v>108</v>
      </c>
      <c r="V41" s="238">
        <v>108</v>
      </c>
      <c r="W41" s="238">
        <v>96</v>
      </c>
      <c r="X41" s="238">
        <v>90</v>
      </c>
      <c r="Y41" s="238">
        <v>82</v>
      </c>
      <c r="Z41" s="238">
        <v>77</v>
      </c>
      <c r="AA41" s="238">
        <v>70</v>
      </c>
      <c r="AB41" s="238"/>
      <c r="AC41" s="238"/>
      <c r="AD41" s="238"/>
      <c r="AE41" s="231">
        <v>0.05</v>
      </c>
      <c r="AF41" s="231">
        <v>0.05</v>
      </c>
      <c r="AG41" s="231">
        <v>0</v>
      </c>
      <c r="AH41" s="231">
        <v>0</v>
      </c>
      <c r="AI41" s="231">
        <v>0</v>
      </c>
      <c r="AJ41" s="230"/>
      <c r="AK41" s="387" t="s">
        <v>851</v>
      </c>
      <c r="AL41" s="39"/>
      <c r="AM41" s="39"/>
      <c r="AN41" s="39"/>
      <c r="AO41" s="39"/>
    </row>
    <row r="42" spans="1:41" x14ac:dyDescent="0.2">
      <c r="A42" s="835">
        <v>17</v>
      </c>
      <c r="B42" s="834" t="s">
        <v>1292</v>
      </c>
      <c r="C42" s="238"/>
      <c r="D42" s="238"/>
      <c r="E42" s="238"/>
      <c r="F42" s="230">
        <v>230</v>
      </c>
      <c r="G42" s="230">
        <v>200</v>
      </c>
      <c r="H42" s="230">
        <v>175</v>
      </c>
      <c r="I42" s="230">
        <v>170</v>
      </c>
      <c r="J42" s="230">
        <v>165</v>
      </c>
      <c r="K42" s="230">
        <v>160</v>
      </c>
      <c r="L42" s="230">
        <v>155</v>
      </c>
      <c r="M42" s="230">
        <v>150</v>
      </c>
      <c r="N42" s="230">
        <v>145</v>
      </c>
      <c r="O42" s="230">
        <v>140</v>
      </c>
      <c r="P42" s="230">
        <v>135</v>
      </c>
      <c r="Q42" s="230">
        <v>130</v>
      </c>
      <c r="R42" s="230">
        <v>125</v>
      </c>
      <c r="S42" s="230">
        <v>115</v>
      </c>
      <c r="T42" s="230">
        <v>105</v>
      </c>
      <c r="U42" s="230">
        <v>100</v>
      </c>
      <c r="V42" s="230">
        <v>95</v>
      </c>
      <c r="W42" s="230">
        <v>90</v>
      </c>
      <c r="X42" s="230">
        <v>85</v>
      </c>
      <c r="Y42" s="230">
        <v>80</v>
      </c>
      <c r="Z42" s="230">
        <v>75</v>
      </c>
      <c r="AA42" s="230">
        <v>70</v>
      </c>
      <c r="AB42" s="230">
        <v>65</v>
      </c>
      <c r="AC42" s="230">
        <v>60</v>
      </c>
      <c r="AD42" s="230">
        <v>55</v>
      </c>
      <c r="AE42" s="231">
        <v>7.0000000000000007E-2</v>
      </c>
      <c r="AF42" s="231">
        <v>7.0000000000000007E-2</v>
      </c>
      <c r="AG42" s="231">
        <v>0</v>
      </c>
      <c r="AH42" s="231">
        <v>0</v>
      </c>
      <c r="AI42" s="231">
        <v>0</v>
      </c>
      <c r="AJ42" s="230"/>
      <c r="AK42" s="387" t="s">
        <v>851</v>
      </c>
      <c r="AL42" s="39"/>
      <c r="AM42" s="39"/>
      <c r="AN42" s="39"/>
      <c r="AO42" s="39"/>
    </row>
    <row r="43" spans="1:41" x14ac:dyDescent="0.2">
      <c r="A43" s="240">
        <v>18</v>
      </c>
      <c r="B43" s="237" t="s">
        <v>1327</v>
      </c>
      <c r="C43" s="238">
        <v>250</v>
      </c>
      <c r="D43" s="238">
        <v>250</v>
      </c>
      <c r="E43" s="238">
        <v>250</v>
      </c>
      <c r="F43" s="238">
        <v>250</v>
      </c>
      <c r="G43" s="238">
        <v>250</v>
      </c>
      <c r="H43" s="238">
        <v>250</v>
      </c>
      <c r="I43" s="230">
        <v>213</v>
      </c>
      <c r="J43" s="230">
        <v>213</v>
      </c>
      <c r="K43" s="230">
        <v>181</v>
      </c>
      <c r="L43" s="230">
        <v>181</v>
      </c>
      <c r="M43" s="230">
        <v>170</v>
      </c>
      <c r="N43" s="230">
        <v>170</v>
      </c>
      <c r="O43" s="230">
        <v>149</v>
      </c>
      <c r="P43" s="230">
        <v>149</v>
      </c>
      <c r="Q43" s="230">
        <v>140</v>
      </c>
      <c r="R43" s="230">
        <v>131</v>
      </c>
      <c r="S43" s="230">
        <v>131</v>
      </c>
      <c r="T43" s="230">
        <v>112</v>
      </c>
      <c r="U43" s="230">
        <v>112</v>
      </c>
      <c r="V43" s="230">
        <v>112</v>
      </c>
      <c r="W43" s="230">
        <v>90</v>
      </c>
      <c r="X43" s="230">
        <v>90</v>
      </c>
      <c r="Y43" s="230">
        <v>84</v>
      </c>
      <c r="Z43" s="230">
        <v>84</v>
      </c>
      <c r="AA43" s="230">
        <v>75</v>
      </c>
      <c r="AB43" s="230">
        <v>64</v>
      </c>
      <c r="AC43" s="230">
        <v>58</v>
      </c>
      <c r="AD43" s="230">
        <v>58</v>
      </c>
      <c r="AE43" s="231">
        <v>0.05</v>
      </c>
      <c r="AF43" s="231">
        <v>0.05</v>
      </c>
      <c r="AG43" s="231">
        <v>0</v>
      </c>
      <c r="AH43" s="231">
        <v>0</v>
      </c>
      <c r="AI43" s="231">
        <v>0</v>
      </c>
      <c r="AJ43" s="230"/>
      <c r="AK43" s="387" t="s">
        <v>323</v>
      </c>
      <c r="AL43" s="39"/>
      <c r="AM43" s="39"/>
      <c r="AN43" s="39"/>
      <c r="AO43" s="39"/>
    </row>
    <row r="44" spans="1:41" x14ac:dyDescent="0.2">
      <c r="A44" s="240">
        <v>19</v>
      </c>
      <c r="B44" s="237" t="s">
        <v>1342</v>
      </c>
      <c r="C44" s="238">
        <v>324</v>
      </c>
      <c r="D44" s="238">
        <v>282</v>
      </c>
      <c r="E44" s="238">
        <v>252</v>
      </c>
      <c r="F44" s="238">
        <v>234</v>
      </c>
      <c r="G44" s="238">
        <v>226</v>
      </c>
      <c r="H44" s="238">
        <v>210</v>
      </c>
      <c r="I44" s="238">
        <v>204</v>
      </c>
      <c r="J44" s="238">
        <v>195</v>
      </c>
      <c r="K44" s="238">
        <v>188</v>
      </c>
      <c r="L44" s="238">
        <v>179</v>
      </c>
      <c r="M44" s="238">
        <v>172</v>
      </c>
      <c r="N44" s="238">
        <v>166</v>
      </c>
      <c r="O44" s="238">
        <v>159</v>
      </c>
      <c r="P44" s="238">
        <v>151</v>
      </c>
      <c r="Q44" s="238">
        <v>144</v>
      </c>
      <c r="R44" s="238">
        <v>138</v>
      </c>
      <c r="S44" s="238">
        <v>131</v>
      </c>
      <c r="T44" s="238">
        <v>124</v>
      </c>
      <c r="U44" s="238">
        <v>118</v>
      </c>
      <c r="V44" s="238">
        <v>110</v>
      </c>
      <c r="W44" s="238">
        <v>104</v>
      </c>
      <c r="X44" s="238">
        <v>98</v>
      </c>
      <c r="Y44" s="238">
        <v>90</v>
      </c>
      <c r="Z44" s="238">
        <v>84</v>
      </c>
      <c r="AA44" s="238">
        <v>76</v>
      </c>
      <c r="AB44" s="238">
        <v>69</v>
      </c>
      <c r="AC44" s="238">
        <v>63</v>
      </c>
      <c r="AD44" s="238">
        <v>51</v>
      </c>
      <c r="AE44" s="231">
        <v>0.15</v>
      </c>
      <c r="AF44" s="231">
        <v>0.15</v>
      </c>
      <c r="AG44" s="231">
        <v>0.06</v>
      </c>
      <c r="AH44" s="231">
        <v>0.02</v>
      </c>
      <c r="AI44" s="231">
        <v>0</v>
      </c>
      <c r="AJ44" s="230"/>
      <c r="AK44" s="387" t="s">
        <v>323</v>
      </c>
      <c r="AL44" s="39"/>
      <c r="AM44" s="39"/>
      <c r="AN44" s="39"/>
      <c r="AO44" s="39"/>
    </row>
    <row r="45" spans="1:41" x14ac:dyDescent="0.2">
      <c r="A45" s="240">
        <v>20</v>
      </c>
      <c r="B45" s="237" t="s">
        <v>1340</v>
      </c>
      <c r="C45" s="238">
        <v>292</v>
      </c>
      <c r="D45" s="238">
        <v>254</v>
      </c>
      <c r="E45" s="238">
        <v>227</v>
      </c>
      <c r="F45" s="230">
        <v>211</v>
      </c>
      <c r="G45" s="230">
        <v>203</v>
      </c>
      <c r="H45" s="230">
        <v>189</v>
      </c>
      <c r="I45" s="230">
        <v>184</v>
      </c>
      <c r="J45" s="230">
        <v>176</v>
      </c>
      <c r="K45" s="230">
        <v>169</v>
      </c>
      <c r="L45" s="230">
        <v>161</v>
      </c>
      <c r="M45" s="230">
        <v>155</v>
      </c>
      <c r="N45" s="230">
        <v>149</v>
      </c>
      <c r="O45" s="230">
        <v>143</v>
      </c>
      <c r="P45" s="230">
        <v>136</v>
      </c>
      <c r="Q45" s="230">
        <v>130</v>
      </c>
      <c r="R45" s="230">
        <v>124</v>
      </c>
      <c r="S45" s="230">
        <v>118</v>
      </c>
      <c r="T45" s="230">
        <v>112</v>
      </c>
      <c r="U45" s="230">
        <v>106</v>
      </c>
      <c r="V45" s="230">
        <v>99</v>
      </c>
      <c r="W45" s="230">
        <v>94</v>
      </c>
      <c r="X45" s="230">
        <v>88</v>
      </c>
      <c r="Y45" s="230">
        <v>81</v>
      </c>
      <c r="Z45" s="230">
        <v>76</v>
      </c>
      <c r="AA45" s="230">
        <v>68</v>
      </c>
      <c r="AB45" s="230">
        <v>62</v>
      </c>
      <c r="AC45" s="230">
        <v>57</v>
      </c>
      <c r="AD45" s="230">
        <v>46</v>
      </c>
      <c r="AE45" s="231">
        <v>0.1</v>
      </c>
      <c r="AF45" s="231">
        <v>0.1</v>
      </c>
      <c r="AG45" s="231">
        <v>0.06</v>
      </c>
      <c r="AH45" s="231">
        <v>0</v>
      </c>
      <c r="AI45" s="231">
        <v>0</v>
      </c>
      <c r="AJ45" s="230"/>
      <c r="AK45" s="387" t="s">
        <v>323</v>
      </c>
      <c r="AL45" s="39"/>
      <c r="AM45" s="39"/>
      <c r="AN45" s="39"/>
      <c r="AO45" s="39"/>
    </row>
    <row r="46" spans="1:41" x14ac:dyDescent="0.2">
      <c r="A46" s="240">
        <v>21</v>
      </c>
      <c r="B46" s="237" t="s">
        <v>1317</v>
      </c>
      <c r="C46" s="238">
        <v>294</v>
      </c>
      <c r="D46" s="238">
        <v>256</v>
      </c>
      <c r="E46" s="238">
        <v>228</v>
      </c>
      <c r="F46" s="230">
        <v>212</v>
      </c>
      <c r="G46" s="230">
        <v>204</v>
      </c>
      <c r="H46" s="230">
        <v>190</v>
      </c>
      <c r="I46" s="230">
        <v>184</v>
      </c>
      <c r="J46" s="230">
        <v>177</v>
      </c>
      <c r="K46" s="230">
        <v>170</v>
      </c>
      <c r="L46" s="230">
        <v>162</v>
      </c>
      <c r="M46" s="230">
        <v>156</v>
      </c>
      <c r="N46" s="230">
        <v>150</v>
      </c>
      <c r="O46" s="230">
        <v>143</v>
      </c>
      <c r="P46" s="230">
        <v>137</v>
      </c>
      <c r="Q46" s="230">
        <v>130</v>
      </c>
      <c r="R46" s="230">
        <v>124</v>
      </c>
      <c r="S46" s="230">
        <v>119</v>
      </c>
      <c r="T46" s="230">
        <v>112</v>
      </c>
      <c r="U46" s="230">
        <v>106</v>
      </c>
      <c r="V46" s="230">
        <v>100</v>
      </c>
      <c r="W46" s="230">
        <v>94</v>
      </c>
      <c r="X46" s="230">
        <v>88</v>
      </c>
      <c r="Y46" s="230">
        <v>82</v>
      </c>
      <c r="Z46" s="230">
        <v>76</v>
      </c>
      <c r="AA46" s="230">
        <v>68</v>
      </c>
      <c r="AB46" s="230">
        <v>63</v>
      </c>
      <c r="AC46" s="230">
        <v>57</v>
      </c>
      <c r="AD46" s="230">
        <v>47</v>
      </c>
      <c r="AE46" s="231">
        <v>0.05</v>
      </c>
      <c r="AF46" s="231">
        <v>0.05</v>
      </c>
      <c r="AG46" s="231">
        <v>0</v>
      </c>
      <c r="AH46" s="231">
        <v>0</v>
      </c>
      <c r="AI46" s="231">
        <v>0</v>
      </c>
      <c r="AJ46" s="230"/>
      <c r="AK46" s="387" t="s">
        <v>323</v>
      </c>
      <c r="AL46" s="39"/>
      <c r="AM46" s="39"/>
      <c r="AN46" s="39"/>
      <c r="AO46" s="39"/>
    </row>
    <row r="47" spans="1:41" x14ac:dyDescent="0.2">
      <c r="A47" s="240">
        <v>22</v>
      </c>
      <c r="B47" s="237" t="s">
        <v>1337</v>
      </c>
      <c r="C47" s="238">
        <v>261</v>
      </c>
      <c r="D47" s="238">
        <v>253</v>
      </c>
      <c r="E47" s="238">
        <v>232</v>
      </c>
      <c r="F47" s="230">
        <v>199</v>
      </c>
      <c r="G47" s="230">
        <v>192</v>
      </c>
      <c r="H47" s="230">
        <v>186</v>
      </c>
      <c r="I47" s="230">
        <v>173</v>
      </c>
      <c r="J47" s="230">
        <v>166</v>
      </c>
      <c r="K47" s="230">
        <v>160</v>
      </c>
      <c r="L47" s="230">
        <v>154</v>
      </c>
      <c r="M47" s="230">
        <v>147</v>
      </c>
      <c r="N47" s="230">
        <v>141</v>
      </c>
      <c r="O47" s="230">
        <v>134</v>
      </c>
      <c r="P47" s="230">
        <v>129</v>
      </c>
      <c r="Q47" s="230">
        <v>124</v>
      </c>
      <c r="R47" s="230">
        <v>116</v>
      </c>
      <c r="S47" s="230">
        <v>110</v>
      </c>
      <c r="T47" s="230">
        <v>105</v>
      </c>
      <c r="U47" s="230">
        <v>100</v>
      </c>
      <c r="V47" s="230">
        <v>96</v>
      </c>
      <c r="W47" s="230">
        <v>88</v>
      </c>
      <c r="X47" s="230">
        <v>82</v>
      </c>
      <c r="Y47" s="230">
        <v>77</v>
      </c>
      <c r="Z47" s="230">
        <v>72</v>
      </c>
      <c r="AA47" s="230">
        <v>66</v>
      </c>
      <c r="AB47" s="230">
        <v>58</v>
      </c>
      <c r="AC47" s="230">
        <v>52</v>
      </c>
      <c r="AD47" s="230">
        <v>44</v>
      </c>
      <c r="AE47" s="231">
        <v>3.5000000000000003E-2</v>
      </c>
      <c r="AF47" s="231">
        <v>0</v>
      </c>
      <c r="AG47" s="231">
        <v>0.06</v>
      </c>
      <c r="AH47" s="231">
        <v>0</v>
      </c>
      <c r="AI47" s="231">
        <v>0</v>
      </c>
      <c r="AJ47" s="230"/>
      <c r="AK47" s="387" t="s">
        <v>851</v>
      </c>
      <c r="AL47" s="39"/>
      <c r="AM47" s="39"/>
      <c r="AN47" s="39"/>
      <c r="AO47" s="39"/>
    </row>
    <row r="48" spans="1:41" x14ac:dyDescent="0.2">
      <c r="A48" s="240">
        <v>23</v>
      </c>
      <c r="B48" s="237"/>
      <c r="C48" s="238"/>
      <c r="D48" s="238"/>
      <c r="E48" s="238"/>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1"/>
      <c r="AF48" s="231"/>
      <c r="AG48" s="231"/>
      <c r="AH48" s="231"/>
      <c r="AI48" s="231"/>
      <c r="AJ48" s="230"/>
      <c r="AK48" s="387"/>
      <c r="AL48" s="39"/>
      <c r="AM48" s="39"/>
      <c r="AN48" s="39"/>
      <c r="AO48" s="39"/>
    </row>
    <row r="49" spans="1:41" x14ac:dyDescent="0.2">
      <c r="A49" s="240">
        <v>24</v>
      </c>
      <c r="B49" s="237"/>
      <c r="C49" s="238"/>
      <c r="D49" s="238"/>
      <c r="E49" s="238"/>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1"/>
      <c r="AF49" s="231"/>
      <c r="AG49" s="231"/>
      <c r="AH49" s="231"/>
      <c r="AI49" s="231"/>
      <c r="AJ49" s="230"/>
      <c r="AK49" s="387"/>
      <c r="AL49" s="39"/>
      <c r="AM49" s="39"/>
      <c r="AN49" s="39"/>
      <c r="AO49" s="39"/>
    </row>
    <row r="50" spans="1:41" x14ac:dyDescent="0.2">
      <c r="A50" s="240">
        <v>25</v>
      </c>
      <c r="B50" s="237"/>
      <c r="C50" s="238"/>
      <c r="D50" s="238"/>
      <c r="E50" s="238"/>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1"/>
      <c r="AF50" s="231"/>
      <c r="AG50" s="231"/>
      <c r="AH50" s="231"/>
      <c r="AI50" s="231"/>
      <c r="AJ50" s="230"/>
      <c r="AK50" s="387"/>
      <c r="AL50" s="39"/>
      <c r="AM50" s="39"/>
      <c r="AN50" s="39"/>
      <c r="AO50" s="39"/>
    </row>
    <row r="51" spans="1:41" x14ac:dyDescent="0.2">
      <c r="A51" s="240">
        <v>26</v>
      </c>
      <c r="B51" s="237" t="s">
        <v>1336</v>
      </c>
      <c r="C51" s="238">
        <v>650</v>
      </c>
      <c r="D51" s="238">
        <v>550</v>
      </c>
      <c r="E51" s="238">
        <v>500</v>
      </c>
      <c r="F51" s="230">
        <v>475</v>
      </c>
      <c r="G51" s="230">
        <v>450</v>
      </c>
      <c r="H51" s="230">
        <v>425</v>
      </c>
      <c r="I51" s="230">
        <v>400</v>
      </c>
      <c r="J51" s="230">
        <v>385</v>
      </c>
      <c r="K51" s="230">
        <v>375</v>
      </c>
      <c r="L51" s="230">
        <v>350</v>
      </c>
      <c r="M51" s="230">
        <v>325</v>
      </c>
      <c r="N51" s="230">
        <v>300</v>
      </c>
      <c r="O51" s="230">
        <v>275</v>
      </c>
      <c r="P51" s="230">
        <v>260</v>
      </c>
      <c r="Q51" s="230">
        <v>250</v>
      </c>
      <c r="R51" s="230">
        <v>240</v>
      </c>
      <c r="S51" s="230">
        <v>225</v>
      </c>
      <c r="T51" s="230">
        <v>200</v>
      </c>
      <c r="U51" s="230">
        <v>190</v>
      </c>
      <c r="V51" s="230">
        <v>180</v>
      </c>
      <c r="W51" s="230">
        <v>175</v>
      </c>
      <c r="X51" s="230">
        <v>150</v>
      </c>
      <c r="Y51" s="230">
        <v>125</v>
      </c>
      <c r="Z51" s="230">
        <v>110</v>
      </c>
      <c r="AA51" s="230">
        <v>100</v>
      </c>
      <c r="AB51" s="230">
        <v>95</v>
      </c>
      <c r="AC51" s="230">
        <v>90</v>
      </c>
      <c r="AD51" s="230">
        <v>85</v>
      </c>
      <c r="AE51" s="231">
        <v>0.15</v>
      </c>
      <c r="AF51" s="231">
        <v>0.15</v>
      </c>
      <c r="AG51" s="231">
        <v>0.06</v>
      </c>
      <c r="AH51" s="231">
        <v>0.02</v>
      </c>
      <c r="AI51" s="231">
        <v>0</v>
      </c>
      <c r="AJ51" s="230"/>
      <c r="AK51" s="387" t="s">
        <v>323</v>
      </c>
      <c r="AL51" s="39"/>
      <c r="AM51" s="39"/>
      <c r="AN51" s="39"/>
      <c r="AO51" s="39"/>
    </row>
    <row r="52" spans="1:41" x14ac:dyDescent="0.2">
      <c r="A52" s="240">
        <v>27</v>
      </c>
      <c r="B52" s="255" t="s">
        <v>1346</v>
      </c>
      <c r="C52" s="238">
        <v>546</v>
      </c>
      <c r="D52" s="238">
        <v>475</v>
      </c>
      <c r="E52" s="238">
        <v>4223</v>
      </c>
      <c r="F52" s="238">
        <v>394</v>
      </c>
      <c r="G52" s="238">
        <v>380</v>
      </c>
      <c r="H52" s="238">
        <v>354</v>
      </c>
      <c r="I52" s="238">
        <v>342</v>
      </c>
      <c r="J52" s="238">
        <v>320</v>
      </c>
      <c r="K52" s="238">
        <v>315</v>
      </c>
      <c r="L52" s="238">
        <v>300</v>
      </c>
      <c r="M52" s="238">
        <v>288</v>
      </c>
      <c r="N52" s="238">
        <v>278</v>
      </c>
      <c r="O52" s="238">
        <v>268</v>
      </c>
      <c r="P52" s="238">
        <v>255</v>
      </c>
      <c r="Q52" s="238">
        <v>243</v>
      </c>
      <c r="R52" s="238">
        <v>231</v>
      </c>
      <c r="S52" s="238">
        <v>221</v>
      </c>
      <c r="T52" s="238">
        <v>207</v>
      </c>
      <c r="U52" s="238">
        <v>197</v>
      </c>
      <c r="V52" s="238">
        <v>186</v>
      </c>
      <c r="W52" s="238">
        <v>174</v>
      </c>
      <c r="X52" s="238">
        <v>164</v>
      </c>
      <c r="Y52" s="238">
        <v>150</v>
      </c>
      <c r="Z52" s="238">
        <v>139</v>
      </c>
      <c r="AA52" s="238">
        <v>128</v>
      </c>
      <c r="AB52" s="238">
        <v>117</v>
      </c>
      <c r="AC52" s="238">
        <v>107</v>
      </c>
      <c r="AD52" s="238">
        <v>86</v>
      </c>
      <c r="AE52" s="231">
        <v>0.15</v>
      </c>
      <c r="AF52" s="231">
        <v>0.15</v>
      </c>
      <c r="AG52" s="231">
        <v>0.06</v>
      </c>
      <c r="AH52" s="231">
        <v>0.02</v>
      </c>
      <c r="AI52" s="231">
        <v>0</v>
      </c>
      <c r="AJ52" s="230"/>
      <c r="AK52" s="387" t="s">
        <v>323</v>
      </c>
      <c r="AL52" s="39"/>
      <c r="AM52" s="39"/>
      <c r="AN52" s="39"/>
      <c r="AO52" s="39"/>
    </row>
    <row r="53" spans="1:41" x14ac:dyDescent="0.2">
      <c r="A53" s="240">
        <v>28</v>
      </c>
      <c r="B53" s="255" t="s">
        <v>1331</v>
      </c>
      <c r="C53" s="238">
        <v>527</v>
      </c>
      <c r="D53" s="238">
        <v>458</v>
      </c>
      <c r="E53" s="238">
        <v>408</v>
      </c>
      <c r="F53" s="238">
        <v>380</v>
      </c>
      <c r="G53" s="238">
        <v>366</v>
      </c>
      <c r="H53" s="238">
        <v>341</v>
      </c>
      <c r="I53" s="238">
        <v>330</v>
      </c>
      <c r="J53" s="238">
        <v>317</v>
      </c>
      <c r="K53" s="238">
        <v>304</v>
      </c>
      <c r="L53" s="238">
        <v>289</v>
      </c>
      <c r="M53" s="238">
        <v>278</v>
      </c>
      <c r="N53" s="238">
        <v>268</v>
      </c>
      <c r="O53" s="238">
        <v>258</v>
      </c>
      <c r="P53" s="238">
        <v>246</v>
      </c>
      <c r="Q53" s="238">
        <v>234</v>
      </c>
      <c r="R53" s="238">
        <v>223</v>
      </c>
      <c r="S53" s="238">
        <v>213</v>
      </c>
      <c r="T53" s="238">
        <v>200</v>
      </c>
      <c r="U53" s="238">
        <v>190</v>
      </c>
      <c r="V53" s="238">
        <v>179</v>
      </c>
      <c r="W53" s="238">
        <v>168</v>
      </c>
      <c r="X53" s="238">
        <v>158</v>
      </c>
      <c r="Y53" s="238">
        <v>145</v>
      </c>
      <c r="Z53" s="238">
        <v>134</v>
      </c>
      <c r="AA53" s="238">
        <v>123</v>
      </c>
      <c r="AB53" s="238">
        <v>113</v>
      </c>
      <c r="AC53" s="238">
        <v>103</v>
      </c>
      <c r="AD53" s="238">
        <v>83</v>
      </c>
      <c r="AE53" s="231">
        <v>0.15</v>
      </c>
      <c r="AF53" s="231">
        <v>0.15</v>
      </c>
      <c r="AG53" s="231">
        <v>0.06</v>
      </c>
      <c r="AH53" s="231">
        <v>0.02</v>
      </c>
      <c r="AI53" s="231">
        <v>0</v>
      </c>
      <c r="AJ53" s="230"/>
      <c r="AK53" s="387" t="s">
        <v>323</v>
      </c>
      <c r="AL53" s="39"/>
      <c r="AM53" s="39"/>
      <c r="AN53" s="39"/>
      <c r="AO53" s="39"/>
    </row>
    <row r="54" spans="1:41" x14ac:dyDescent="0.2">
      <c r="A54" s="240">
        <v>29</v>
      </c>
      <c r="B54" s="238" t="s">
        <v>698</v>
      </c>
      <c r="C54" s="238">
        <f>+'Labor &amp; Practice Lookups'!D5</f>
        <v>111.85081999999998</v>
      </c>
      <c r="D54" s="238">
        <f>+'Labor &amp; Practice Lookups'!D6</f>
        <v>101.02199194285713</v>
      </c>
      <c r="E54" s="238">
        <f>+'Labor &amp; Practice Lookups'!D7</f>
        <v>107.1793424</v>
      </c>
      <c r="F54" s="238">
        <f>+'Labor &amp; Practice Lookups'!D8</f>
        <v>92.27834373333333</v>
      </c>
      <c r="G54" s="238">
        <f>+'Labor &amp; Practice Lookups'!D9</f>
        <v>76.111029799999983</v>
      </c>
      <c r="H54" s="238">
        <f>+'Labor &amp; Practice Lookups'!D10</f>
        <v>90.157333066666666</v>
      </c>
      <c r="I54" s="238">
        <f>+'Labor &amp; Practice Lookups'!D11</f>
        <v>79.11489617777778</v>
      </c>
      <c r="J54" s="238">
        <f>+'Labor &amp; Practice Lookups'!D12</f>
        <v>70.838161333333318</v>
      </c>
      <c r="K54" s="238">
        <f>+'Labor &amp; Practice Lookups'!D13</f>
        <v>67.458923999999996</v>
      </c>
      <c r="L54" s="238">
        <f>+'Labor &amp; Practice Lookups'!D14</f>
        <v>67.412189866666665</v>
      </c>
      <c r="M54" s="238">
        <f>+'Labor &amp; Practice Lookups'!D15</f>
        <v>55.271870536170226</v>
      </c>
      <c r="N54" s="238">
        <f>+'Labor &amp; Practice Lookups'!D16</f>
        <v>56.307440800000002</v>
      </c>
      <c r="O54" s="238">
        <f>+'Labor &amp; Practice Lookups'!D17</f>
        <v>49.241842908408145</v>
      </c>
      <c r="P54" s="238">
        <f>+'Labor &amp; Practice Lookups'!D18</f>
        <v>48.474081066666656</v>
      </c>
      <c r="Q54" s="238">
        <f>+'Labor &amp; Practice Lookups'!D19</f>
        <v>48.833574399999989</v>
      </c>
      <c r="R54" s="238">
        <f>+'Labor &amp; Practice Lookups'!D20</f>
        <v>43.867173999999999</v>
      </c>
      <c r="S54" s="238">
        <f>+'Labor &amp; Practice Lookups'!D21</f>
        <v>42.843696479999998</v>
      </c>
      <c r="T54" s="238">
        <f>+'Labor &amp; Practice Lookups'!D22</f>
        <v>43.007821527272725</v>
      </c>
      <c r="U54" s="238">
        <f>+'Labor &amp; Practice Lookups'!D23</f>
        <v>40.268286239999995</v>
      </c>
      <c r="V54" s="238">
        <f>+'Labor &amp; Practice Lookups'!D24</f>
        <v>37.439433199999996</v>
      </c>
      <c r="W54" s="238">
        <f>+'Labor &amp; Practice Lookups'!D25</f>
        <v>35.562107657142853</v>
      </c>
      <c r="X54" s="238">
        <f>+'Labor &amp; Practice Lookups'!D26</f>
        <v>37.965731439999992</v>
      </c>
      <c r="Y54" s="238">
        <f>+'Labor &amp; Practice Lookups'!D27</f>
        <v>30.257115893333335</v>
      </c>
      <c r="Z54" s="238">
        <f>+'Labor &amp; Practice Lookups'!D28</f>
        <v>27.295193557894738</v>
      </c>
      <c r="AA54" s="238">
        <f>+'Labor &amp; Practice Lookups'!D29</f>
        <v>26.230359168</v>
      </c>
      <c r="AB54" s="238">
        <f>+'Labor &amp; Practice Lookups'!D30</f>
        <v>24.805039999999998</v>
      </c>
      <c r="AC54" s="238">
        <f>+'Labor &amp; Practice Lookups'!D31</f>
        <v>23.851663679999998</v>
      </c>
      <c r="AD54" s="238">
        <f>+'Labor &amp; Practice Lookups'!D32</f>
        <v>18.367432255319155</v>
      </c>
      <c r="AE54" s="829">
        <v>0.15</v>
      </c>
      <c r="AF54" s="231">
        <v>0.15</v>
      </c>
      <c r="AG54" s="232">
        <v>0.06</v>
      </c>
      <c r="AH54" s="232">
        <v>0.02</v>
      </c>
      <c r="AI54" s="231">
        <v>0</v>
      </c>
      <c r="AJ54" s="230">
        <f>+INPUT!$E$52</f>
        <v>3.2</v>
      </c>
      <c r="AK54" s="387" t="s">
        <v>323</v>
      </c>
      <c r="AL54" s="39"/>
      <c r="AM54" s="39"/>
      <c r="AN54" s="39"/>
      <c r="AO54" s="39"/>
    </row>
    <row r="55" spans="1:41" x14ac:dyDescent="0.2">
      <c r="A55" s="240">
        <v>30</v>
      </c>
      <c r="B55" s="237" t="s">
        <v>697</v>
      </c>
      <c r="C55" s="238">
        <f>+'Labor &amp; Practice Lookups'!E5</f>
        <v>108.2308604</v>
      </c>
      <c r="D55" s="238">
        <f>+'Labor &amp; Practice Lookups'!E6</f>
        <v>99.186906866666661</v>
      </c>
      <c r="E55" s="238">
        <f>+'Labor &amp; Practice Lookups'!E7</f>
        <v>85.592156795382394</v>
      </c>
      <c r="F55" s="238">
        <f>+'Labor &amp; Practice Lookups'!E8</f>
        <v>85.011551484888898</v>
      </c>
      <c r="G55" s="238">
        <f>+'Labor &amp; Practice Lookups'!E9</f>
        <v>72.750613839153431</v>
      </c>
      <c r="H55" s="238">
        <f>+'Labor &amp; Practice Lookups'!E10</f>
        <v>70.422977259259255</v>
      </c>
      <c r="I55" s="238">
        <f>+'Labor &amp; Practice Lookups'!E11</f>
        <v>69.800766285714289</v>
      </c>
      <c r="J55" s="238">
        <f>+'Labor &amp; Practice Lookups'!E12</f>
        <v>61.307633573333341</v>
      </c>
      <c r="K55" s="238">
        <f>+'Labor &amp; Practice Lookups'!E13</f>
        <v>57.773494557037033</v>
      </c>
      <c r="L55" s="238">
        <f>+'Labor &amp; Practice Lookups'!E14</f>
        <v>59.186585197575752</v>
      </c>
      <c r="M55" s="238">
        <f>+'Labor &amp; Practice Lookups'!E15</f>
        <v>54.123458884444446</v>
      </c>
      <c r="N55" s="238">
        <f>+'Labor &amp; Practice Lookups'!E16</f>
        <v>50.820192335714275</v>
      </c>
      <c r="O55" s="238">
        <f>+'Labor &amp; Practice Lookups'!E17</f>
        <v>48.572799077248668</v>
      </c>
      <c r="P55" s="238">
        <f>+'Labor &amp; Practice Lookups'!E18</f>
        <v>46.315533693506495</v>
      </c>
      <c r="Q55" s="238">
        <f>+'Labor &amp; Practice Lookups'!E19</f>
        <v>44.569441373544969</v>
      </c>
      <c r="R55" s="238">
        <f>+'Labor &amp; Practice Lookups'!E20</f>
        <v>41.218735257142853</v>
      </c>
      <c r="S55" s="238">
        <f>+'Labor &amp; Practice Lookups'!E21</f>
        <v>38.60422830351515</v>
      </c>
      <c r="T55" s="238">
        <f>+'Labor &amp; Practice Lookups'!E22</f>
        <v>37.078382062222218</v>
      </c>
      <c r="U55" s="238">
        <f>+'Labor &amp; Practice Lookups'!E23</f>
        <v>35.289331226666668</v>
      </c>
      <c r="V55" s="238">
        <f>+'Labor &amp; Practice Lookups'!E24</f>
        <v>33.514380518518529</v>
      </c>
      <c r="W55" s="238">
        <f>+'Labor &amp; Practice Lookups'!E25</f>
        <v>31.191859253679649</v>
      </c>
      <c r="X55" s="238">
        <f>+'Labor &amp; Practice Lookups'!E26</f>
        <v>29.968181028842107</v>
      </c>
      <c r="Y55" s="238">
        <f>+'Labor &amp; Practice Lookups'!E27</f>
        <v>27.762707204761909</v>
      </c>
      <c r="Z55" s="238">
        <f>+'Labor &amp; Practice Lookups'!E28</f>
        <v>28.181401386666671</v>
      </c>
      <c r="AA55" s="238">
        <f>+'Labor &amp; Practice Lookups'!E29</f>
        <v>26.06326666666666</v>
      </c>
      <c r="AB55" s="238">
        <f>+'Labor &amp; Practice Lookups'!E30</f>
        <v>21.503774591919193</v>
      </c>
      <c r="AC55" s="238">
        <f>+'Labor &amp; Practice Lookups'!E31</f>
        <v>19.985775085714284</v>
      </c>
      <c r="AD55" s="238">
        <f>+'Labor &amp; Practice Lookups'!E32</f>
        <v>18.367432255319155</v>
      </c>
      <c r="AE55" s="829">
        <v>0.15</v>
      </c>
      <c r="AF55" s="231">
        <v>0.15</v>
      </c>
      <c r="AG55" s="232">
        <v>0.06</v>
      </c>
      <c r="AH55" s="232">
        <v>0.02</v>
      </c>
      <c r="AI55" s="231">
        <v>0</v>
      </c>
      <c r="AJ55" s="230">
        <f>+INPUT!$E$52</f>
        <v>3.2</v>
      </c>
      <c r="AK55" s="387" t="s">
        <v>323</v>
      </c>
      <c r="AL55" s="39"/>
      <c r="AM55" s="39"/>
      <c r="AN55" s="39"/>
      <c r="AO55" s="39"/>
    </row>
    <row r="56" spans="1:41" x14ac:dyDescent="0.2">
      <c r="A56" s="240">
        <v>31</v>
      </c>
      <c r="B56" s="237" t="s">
        <v>696</v>
      </c>
      <c r="C56" s="238">
        <f>+'Labor &amp; Practice Lookups'!H5</f>
        <v>109.80793</v>
      </c>
      <c r="D56" s="238">
        <f>+'Labor &amp; Practice Lookups'!H6</f>
        <v>109.80929291428572</v>
      </c>
      <c r="E56" s="238">
        <f>+'Labor &amp; Practice Lookups'!H7</f>
        <v>84.55930287999999</v>
      </c>
      <c r="F56" s="238">
        <f>+'Labor &amp; Practice Lookups'!H8</f>
        <v>78.408192200000002</v>
      </c>
      <c r="G56" s="238">
        <f>+'Labor &amp; Practice Lookups'!H9</f>
        <v>85.441229899999996</v>
      </c>
      <c r="H56" s="238">
        <f>+'Labor &amp; Practice Lookups'!H10</f>
        <v>79.533855699999989</v>
      </c>
      <c r="I56" s="238">
        <f>+'Labor &amp; Practice Lookups'!H11</f>
        <v>68.247194836363619</v>
      </c>
      <c r="J56" s="238">
        <f>+'Labor &amp; Practice Lookups'!H12</f>
        <v>65.612326577777779</v>
      </c>
      <c r="K56" s="238">
        <f>+'Labor &amp; Practice Lookups'!H13</f>
        <v>63.029067399999981</v>
      </c>
      <c r="L56" s="238">
        <f>+'Labor &amp; Practice Lookups'!H14</f>
        <v>53.559854399999999</v>
      </c>
      <c r="M56" s="238">
        <f>+'Labor &amp; Practice Lookups'!H15</f>
        <v>51.468660533333335</v>
      </c>
      <c r="N56" s="238">
        <f>+'Labor &amp; Practice Lookups'!H16</f>
        <v>48.552535199999987</v>
      </c>
      <c r="O56" s="238">
        <f>+'Labor &amp; Practice Lookups'!H17</f>
        <v>42.850706600000009</v>
      </c>
      <c r="P56" s="238">
        <f>+'Labor &amp; Practice Lookups'!H18</f>
        <v>48.433556363636356</v>
      </c>
      <c r="Q56" s="238">
        <f>+'Labor &amp; Practice Lookups'!H19</f>
        <v>37.86039989333333</v>
      </c>
      <c r="R56" s="238">
        <f>+'Labor &amp; Practice Lookups'!H20</f>
        <v>40.251461951999993</v>
      </c>
      <c r="S56" s="238">
        <f>+'Labor &amp; Practice Lookups'!H21</f>
        <v>35.990675066666661</v>
      </c>
      <c r="T56" s="238">
        <f>+'Labor &amp; Practice Lookups'!H22</f>
        <v>39.551905900000001</v>
      </c>
      <c r="U56" s="238">
        <f>+'Labor &amp; Practice Lookups'!H23</f>
        <v>40.271913854545453</v>
      </c>
      <c r="V56" s="238">
        <f>+'Labor &amp; Practice Lookups'!H24</f>
        <v>31.032722759999999</v>
      </c>
      <c r="W56" s="238">
        <f>+'Labor &amp; Practice Lookups'!H25</f>
        <v>33.168087481904763</v>
      </c>
      <c r="X56" s="238">
        <f>+'Labor &amp; Practice Lookups'!H26</f>
        <v>28.464566167741946</v>
      </c>
      <c r="Y56" s="238">
        <f>+'Labor &amp; Practice Lookups'!H27</f>
        <v>32.0441784</v>
      </c>
      <c r="Z56" s="238">
        <f>+'Labor &amp; Practice Lookups'!H28</f>
        <v>23.231865913043478</v>
      </c>
      <c r="AA56" s="238">
        <f>+'Labor &amp; Practice Lookups'!H29</f>
        <v>23.473764288000002</v>
      </c>
      <c r="AB56" s="238">
        <f>+'Labor &amp; Practice Lookups'!H30</f>
        <v>20.217648285714287</v>
      </c>
      <c r="AC56" s="238">
        <f>+'Labor &amp; Practice Lookups'!H31</f>
        <v>19.174159211267607</v>
      </c>
      <c r="AD56" s="238">
        <f>+'Labor &amp; Practice Lookups'!H32</f>
        <v>18.391366330434789</v>
      </c>
      <c r="AE56" s="829">
        <v>0.15</v>
      </c>
      <c r="AF56" s="231">
        <v>0.15</v>
      </c>
      <c r="AG56" s="232">
        <v>0.06</v>
      </c>
      <c r="AH56" s="232">
        <v>0.02</v>
      </c>
      <c r="AI56" s="231">
        <v>0</v>
      </c>
      <c r="AJ56" s="230">
        <f>+INPUT!$E$52</f>
        <v>3.2</v>
      </c>
      <c r="AK56" s="387" t="s">
        <v>323</v>
      </c>
      <c r="AL56" s="39"/>
      <c r="AM56" s="39"/>
      <c r="AN56" s="39"/>
      <c r="AO56" s="39"/>
    </row>
    <row r="57" spans="1:41" x14ac:dyDescent="0.2">
      <c r="A57" s="240">
        <v>32</v>
      </c>
      <c r="B57" s="237" t="s">
        <v>695</v>
      </c>
      <c r="C57" s="238">
        <f>+'Labor &amp; Practice Lookups'!I5</f>
        <v>111.85081999999998</v>
      </c>
      <c r="D57" s="238">
        <f>+'Labor &amp; Practice Lookups'!I6</f>
        <v>101.02199194285713</v>
      </c>
      <c r="E57" s="238">
        <f>+'Labor &amp; Practice Lookups'!I7</f>
        <v>87.382549621466637</v>
      </c>
      <c r="F57" s="238">
        <f>+'Labor &amp; Practice Lookups'!I8</f>
        <v>85.045982146125013</v>
      </c>
      <c r="G57" s="238">
        <f>+'Labor &amp; Practice Lookups'!I9</f>
        <v>75.508185999999995</v>
      </c>
      <c r="H57" s="238">
        <f>+'Labor &amp; Practice Lookups'!I10</f>
        <v>72.356703466666659</v>
      </c>
      <c r="I57" s="238">
        <f>+'Labor &amp; Practice Lookups'!I11</f>
        <v>71.286207412244877</v>
      </c>
      <c r="J57" s="238">
        <f>+'Labor &amp; Practice Lookups'!I12</f>
        <v>63.256657098666665</v>
      </c>
      <c r="K57" s="238">
        <f>+'Labor &amp; Practice Lookups'!I13</f>
        <v>62.578888631999988</v>
      </c>
      <c r="L57" s="238">
        <f>+'Labor &amp; Practice Lookups'!I14</f>
        <v>59.043301032258057</v>
      </c>
      <c r="M57" s="238">
        <f>+'Labor &amp; Practice Lookups'!I15</f>
        <v>55.271870536170226</v>
      </c>
      <c r="N57" s="238">
        <f>+'Labor &amp; Practice Lookups'!I16</f>
        <v>49.333211200000001</v>
      </c>
      <c r="O57" s="238">
        <f>+'Labor &amp; Practice Lookups'!I17</f>
        <v>49.241842908408145</v>
      </c>
      <c r="P57" s="238">
        <f>+'Labor &amp; Practice Lookups'!I18</f>
        <v>46.29836570925373</v>
      </c>
      <c r="Q57" s="238">
        <f>+'Labor &amp; Practice Lookups'!I19</f>
        <v>43.893124925000002</v>
      </c>
      <c r="R57" s="238">
        <f>+'Labor &amp; Practice Lookups'!I20</f>
        <v>41.24210232380954</v>
      </c>
      <c r="S57" s="238">
        <f>+'Labor &amp; Practice Lookups'!I21</f>
        <v>40.2051769518961</v>
      </c>
      <c r="T57" s="238">
        <f>+'Labor &amp; Practice Lookups'!I22</f>
        <v>39.570273762500001</v>
      </c>
      <c r="U57" s="238">
        <f>+'Labor &amp; Practice Lookups'!I23</f>
        <v>37.486710753488367</v>
      </c>
      <c r="V57" s="238">
        <f>+'Labor &amp; Practice Lookups'!I24</f>
        <v>32.869074622222222</v>
      </c>
      <c r="W57" s="238">
        <f>+'Labor &amp; Practice Lookups'!I25</f>
        <v>31.917386831515167</v>
      </c>
      <c r="X57" s="238">
        <f>+'Labor &amp; Practice Lookups'!I26</f>
        <v>31.1213889525614</v>
      </c>
      <c r="Y57" s="238">
        <f>+'Labor &amp; Practice Lookups'!I27</f>
        <v>29.939239200000003</v>
      </c>
      <c r="Z57" s="238">
        <f>+'Labor &amp; Practice Lookups'!I28</f>
        <v>26.380046515789477</v>
      </c>
      <c r="AA57" s="238">
        <f>+'Labor &amp; Practice Lookups'!I29</f>
        <v>25.225407537777777</v>
      </c>
      <c r="AB57" s="238">
        <f>+'Labor &amp; Practice Lookups'!I30</f>
        <v>21.498547199999997</v>
      </c>
      <c r="AC57" s="238">
        <f>+'Labor &amp; Practice Lookups'!I31</f>
        <v>19.518230716279074</v>
      </c>
      <c r="AD57" s="238">
        <f>+'Labor &amp; Practice Lookups'!I32</f>
        <v>18.367432255319155</v>
      </c>
      <c r="AE57" s="829">
        <v>0.15</v>
      </c>
      <c r="AF57" s="231">
        <v>0.15</v>
      </c>
      <c r="AG57" s="232">
        <v>0.06</v>
      </c>
      <c r="AH57" s="232">
        <v>0.02</v>
      </c>
      <c r="AI57" s="231">
        <v>0</v>
      </c>
      <c r="AJ57" s="230">
        <f>+INPUT!$E$52</f>
        <v>3.2</v>
      </c>
      <c r="AK57" s="387" t="s">
        <v>323</v>
      </c>
      <c r="AL57" s="39"/>
      <c r="AM57" s="39"/>
      <c r="AN57" s="39"/>
      <c r="AO57" s="39"/>
    </row>
    <row r="58" spans="1:41" x14ac:dyDescent="0.2">
      <c r="A58" s="372" t="s">
        <v>498</v>
      </c>
      <c r="B58" s="658"/>
      <c r="C58" s="658"/>
      <c r="D58" s="845"/>
      <c r="E58" s="845"/>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7"/>
      <c r="AF58" s="847"/>
      <c r="AG58" s="848"/>
      <c r="AH58" s="848"/>
      <c r="AI58" s="847"/>
      <c r="AJ58" s="846"/>
      <c r="AK58" s="849"/>
    </row>
    <row r="59" spans="1:41" x14ac:dyDescent="0.2">
      <c r="B59" s="251"/>
    </row>
    <row r="60" spans="1:41" x14ac:dyDescent="0.2">
      <c r="A60" s="388" t="s">
        <v>370</v>
      </c>
      <c r="B60" s="237" t="s">
        <v>723</v>
      </c>
    </row>
    <row r="61" spans="1:41" x14ac:dyDescent="0.2">
      <c r="A61" s="208"/>
      <c r="B61" s="251"/>
      <c r="C61" s="850"/>
      <c r="D61" s="850"/>
      <c r="E61" s="850"/>
      <c r="F61" s="850"/>
      <c r="G61" s="850"/>
      <c r="H61" s="850"/>
      <c r="I61" s="850"/>
      <c r="J61" s="850"/>
      <c r="K61" s="850"/>
      <c r="L61" s="850"/>
      <c r="M61" s="850"/>
      <c r="N61" s="850"/>
      <c r="O61" s="850"/>
      <c r="P61" s="850"/>
      <c r="Q61" s="850"/>
      <c r="R61" s="850"/>
      <c r="S61" s="850"/>
      <c r="T61" s="850"/>
      <c r="U61" s="850"/>
      <c r="V61" s="850"/>
      <c r="W61" s="850"/>
      <c r="X61" s="850"/>
      <c r="Y61" s="850"/>
      <c r="Z61" s="850"/>
      <c r="AA61" s="850"/>
      <c r="AB61" s="850"/>
      <c r="AC61" s="850"/>
      <c r="AD61" s="851"/>
      <c r="AE61"/>
    </row>
    <row r="62" spans="1:41" x14ac:dyDescent="0.2">
      <c r="A62" s="208" t="s">
        <v>1377</v>
      </c>
      <c r="B62" s="251" t="s">
        <v>1378</v>
      </c>
      <c r="C62"/>
      <c r="D62"/>
      <c r="E62"/>
      <c r="F62"/>
      <c r="G62"/>
      <c r="H62"/>
      <c r="I62"/>
      <c r="J62"/>
      <c r="K62"/>
      <c r="L62"/>
      <c r="M62"/>
      <c r="N62"/>
      <c r="O62"/>
      <c r="P62"/>
      <c r="Q62"/>
      <c r="R62"/>
      <c r="S62"/>
      <c r="T62"/>
      <c r="U62"/>
      <c r="V62"/>
      <c r="W62"/>
      <c r="X62"/>
      <c r="Y62"/>
      <c r="Z62"/>
      <c r="AA62"/>
      <c r="AB62"/>
      <c r="AC62"/>
      <c r="AD62"/>
      <c r="AE62"/>
      <c r="AF62"/>
      <c r="AG62"/>
      <c r="AH62"/>
      <c r="AI62"/>
      <c r="AJ62"/>
      <c r="AK62"/>
    </row>
    <row r="63" spans="1:41" x14ac:dyDescent="0.2">
      <c r="A63" s="208"/>
      <c r="B63" s="251"/>
      <c r="C63" s="692"/>
      <c r="D63" s="692"/>
      <c r="E63" s="692"/>
      <c r="F63" s="692"/>
      <c r="G63" s="692"/>
      <c r="H63" s="692"/>
      <c r="I63" s="692"/>
      <c r="J63" s="692"/>
      <c r="K63" s="692"/>
      <c r="L63" s="692"/>
      <c r="M63" s="692"/>
      <c r="N63" s="692"/>
      <c r="O63" s="692"/>
      <c r="P63" s="692"/>
      <c r="Q63" s="692"/>
      <c r="R63" s="692"/>
      <c r="S63" s="692"/>
      <c r="T63" s="692"/>
      <c r="U63" s="692"/>
      <c r="V63" s="692"/>
      <c r="W63" s="692"/>
      <c r="X63" s="692"/>
      <c r="Y63" s="692"/>
      <c r="Z63" s="692"/>
      <c r="AA63" s="692"/>
      <c r="AB63" s="692"/>
      <c r="AC63" s="692"/>
      <c r="AD63" s="692"/>
    </row>
    <row r="64" spans="1:41" x14ac:dyDescent="0.2">
      <c r="B64" s="251"/>
      <c r="C64" s="692"/>
      <c r="D64" s="692"/>
      <c r="E64" s="692"/>
      <c r="F64" s="692"/>
      <c r="G64" s="692"/>
      <c r="H64" s="692"/>
      <c r="I64" s="692"/>
      <c r="J64" s="692"/>
      <c r="K64" s="692"/>
      <c r="L64" s="692"/>
      <c r="M64" s="692"/>
      <c r="N64" s="692"/>
      <c r="O64" s="692"/>
      <c r="P64" s="692"/>
      <c r="Q64" s="692"/>
      <c r="R64" s="692"/>
      <c r="S64" s="692"/>
      <c r="T64" s="692"/>
      <c r="U64" s="692"/>
      <c r="V64" s="692"/>
      <c r="W64" s="692"/>
      <c r="X64" s="692"/>
      <c r="Y64" s="692"/>
      <c r="Z64" s="692"/>
      <c r="AA64" s="692"/>
      <c r="AB64" s="692"/>
      <c r="AC64" s="692"/>
      <c r="AD64" s="692"/>
    </row>
    <row r="65" spans="2:30" x14ac:dyDescent="0.2">
      <c r="B65" s="251"/>
      <c r="C65" s="692"/>
      <c r="D65" s="692"/>
      <c r="E65" s="692"/>
      <c r="F65" s="692"/>
      <c r="G65" s="692"/>
      <c r="H65" s="692"/>
      <c r="I65" s="692"/>
      <c r="J65" s="692"/>
      <c r="K65" s="692"/>
      <c r="L65" s="692"/>
      <c r="M65" s="692"/>
      <c r="N65" s="692"/>
      <c r="O65" s="692"/>
      <c r="P65" s="692"/>
      <c r="Q65" s="692"/>
      <c r="R65" s="692"/>
      <c r="S65" s="692"/>
      <c r="T65" s="692"/>
      <c r="U65" s="692"/>
      <c r="V65" s="692"/>
      <c r="W65" s="692"/>
      <c r="X65" s="692"/>
      <c r="Y65" s="692"/>
      <c r="Z65" s="692"/>
      <c r="AA65" s="692"/>
      <c r="AB65" s="692"/>
      <c r="AC65" s="692"/>
      <c r="AD65" s="692"/>
    </row>
    <row r="77" spans="2:30" ht="16.5" x14ac:dyDescent="0.3">
      <c r="C77" s="852"/>
      <c r="D77"/>
    </row>
    <row r="78" spans="2:30" ht="16.5" x14ac:dyDescent="0.3">
      <c r="C78" s="852"/>
      <c r="D78"/>
    </row>
    <row r="79" spans="2:30" ht="16.5" x14ac:dyDescent="0.3">
      <c r="C79" s="852"/>
      <c r="D79"/>
    </row>
    <row r="80" spans="2:30" ht="16.5" x14ac:dyDescent="0.3">
      <c r="C80" s="852"/>
      <c r="D80"/>
    </row>
    <row r="81" spans="3:4" ht="16.5" x14ac:dyDescent="0.3">
      <c r="C81" s="852"/>
      <c r="D81"/>
    </row>
    <row r="82" spans="3:4" ht="16.5" x14ac:dyDescent="0.3">
      <c r="C82" s="852"/>
      <c r="D82"/>
    </row>
    <row r="83" spans="3:4" ht="16.5" x14ac:dyDescent="0.3">
      <c r="C83" s="852"/>
      <c r="D83"/>
    </row>
    <row r="84" spans="3:4" ht="16.5" x14ac:dyDescent="0.3">
      <c r="C84" s="852"/>
      <c r="D84"/>
    </row>
    <row r="85" spans="3:4" ht="16.5" x14ac:dyDescent="0.3">
      <c r="C85" s="852"/>
      <c r="D85"/>
    </row>
    <row r="86" spans="3:4" ht="16.5" x14ac:dyDescent="0.3">
      <c r="C86" s="852"/>
      <c r="D86"/>
    </row>
    <row r="87" spans="3:4" ht="16.5" x14ac:dyDescent="0.3">
      <c r="C87" s="852"/>
      <c r="D87"/>
    </row>
    <row r="88" spans="3:4" ht="16.5" x14ac:dyDescent="0.3">
      <c r="C88" s="852"/>
      <c r="D88"/>
    </row>
    <row r="89" spans="3:4" ht="16.5" x14ac:dyDescent="0.3">
      <c r="C89" s="852"/>
      <c r="D89"/>
    </row>
    <row r="90" spans="3:4" ht="16.5" x14ac:dyDescent="0.3">
      <c r="C90" s="852"/>
      <c r="D90"/>
    </row>
    <row r="91" spans="3:4" ht="16.5" x14ac:dyDescent="0.3">
      <c r="C91" s="852"/>
      <c r="D91"/>
    </row>
    <row r="92" spans="3:4" ht="16.5" x14ac:dyDescent="0.3">
      <c r="C92" s="852"/>
      <c r="D92"/>
    </row>
    <row r="93" spans="3:4" ht="16.5" x14ac:dyDescent="0.3">
      <c r="C93" s="852"/>
      <c r="D93"/>
    </row>
    <row r="94" spans="3:4" ht="16.5" x14ac:dyDescent="0.3">
      <c r="C94" s="852"/>
      <c r="D94"/>
    </row>
    <row r="95" spans="3:4" ht="16.5" x14ac:dyDescent="0.3">
      <c r="C95" s="852"/>
      <c r="D95"/>
    </row>
    <row r="96" spans="3:4" ht="16.5" x14ac:dyDescent="0.3">
      <c r="C96" s="852"/>
      <c r="D96"/>
    </row>
    <row r="97" spans="3:4" ht="16.5" x14ac:dyDescent="0.3">
      <c r="C97" s="852"/>
      <c r="D97"/>
    </row>
    <row r="98" spans="3:4" ht="16.5" x14ac:dyDescent="0.3">
      <c r="C98" s="852"/>
      <c r="D98"/>
    </row>
    <row r="99" spans="3:4" ht="16.5" x14ac:dyDescent="0.3">
      <c r="C99" s="852"/>
      <c r="D99"/>
    </row>
    <row r="100" spans="3:4" ht="16.5" x14ac:dyDescent="0.3">
      <c r="C100" s="852"/>
      <c r="D100"/>
    </row>
    <row r="101" spans="3:4" ht="16.5" x14ac:dyDescent="0.3">
      <c r="C101" s="852"/>
      <c r="D101"/>
    </row>
    <row r="102" spans="3:4" ht="16.5" x14ac:dyDescent="0.3">
      <c r="C102" s="852"/>
      <c r="D102"/>
    </row>
    <row r="103" spans="3:4" ht="16.5" x14ac:dyDescent="0.3">
      <c r="C103" s="852"/>
      <c r="D103"/>
    </row>
    <row r="104" spans="3:4" ht="16.5" x14ac:dyDescent="0.3">
      <c r="C104" s="852"/>
      <c r="D104"/>
    </row>
  </sheetData>
  <sheetProtection algorithmName="SHA-512" hashValue="VOHu1yio6LyUVAEVpcLlWuSnpppinwpnqdROx76KtzJDDKVArtIOhIQ6f8fCdiNeTMhRzn6bqKprjeeO45frBg==" saltValue="mEtHXpYqEkCtQL5iSjClWw==" spinCount="100000" sheet="1" objects="1" scenarios="1"/>
  <protectedRanges>
    <protectedRange sqref="C61:AD61 C35:AD35" name="Rate Override_1"/>
  </protectedRanges>
  <sortState xmlns:xlrd2="http://schemas.microsoft.com/office/spreadsheetml/2017/richdata2" ref="B26:X81">
    <sortCondition ref="B56:B81"/>
  </sortState>
  <mergeCells count="12">
    <mergeCell ref="AZ1:BB1"/>
    <mergeCell ref="AZ2:BB2"/>
    <mergeCell ref="AZ3:BB3"/>
    <mergeCell ref="AZ4:BB4"/>
    <mergeCell ref="BE23:BG23"/>
    <mergeCell ref="AZ14:BB14"/>
    <mergeCell ref="AZ23:BB23"/>
    <mergeCell ref="BE1:BG1"/>
    <mergeCell ref="BE2:BG2"/>
    <mergeCell ref="BE3:BG3"/>
    <mergeCell ref="BE4:BG4"/>
    <mergeCell ref="BE14:BG14"/>
  </mergeCells>
  <phoneticPr fontId="0" type="noConversion"/>
  <pageMargins left="0.33" right="0.34" top="0.74" bottom="0.76" header="0.5" footer="0.5"/>
  <pageSetup paperSize="3" scale="48" fitToHeight="0" orientation="landscape" horizontalDpi="4294967292" r:id="rId1"/>
  <headerFooter alignWithMargins="0">
    <oddFooter xml:space="preserve">&amp;R&amp;6&amp;Z&amp;F   &amp;D_x000D_&amp;7© 2014 RMT, Inc.  All rights reserved.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tabColor rgb="FFFF6600"/>
  </sheetPr>
  <dimension ref="A1:Y40"/>
  <sheetViews>
    <sheetView topLeftCell="M4" zoomScale="115" zoomScaleNormal="115" workbookViewId="0">
      <selection activeCell="Z36" sqref="Z36"/>
    </sheetView>
  </sheetViews>
  <sheetFormatPr defaultColWidth="9.140625" defaultRowHeight="12.75" x14ac:dyDescent="0.2"/>
  <cols>
    <col min="1" max="1" width="9.140625" style="569"/>
    <col min="2" max="2" width="51.42578125" bestFit="1" customWidth="1"/>
    <col min="9" max="12" width="10.28515625" customWidth="1"/>
    <col min="14" max="14" width="51.42578125" bestFit="1" customWidth="1"/>
    <col min="17" max="17" width="19.28515625" customWidth="1"/>
    <col min="18" max="18" width="11.42578125" customWidth="1"/>
    <col min="19" max="19" width="10.42578125" customWidth="1"/>
    <col min="20" max="21" width="13.7109375" customWidth="1"/>
    <col min="22" max="22" width="13.42578125" customWidth="1"/>
    <col min="23" max="23" width="9.140625" customWidth="1"/>
    <col min="24" max="24" width="43.7109375" customWidth="1"/>
    <col min="25" max="25" width="9.140625" customWidth="1"/>
    <col min="27" max="27" width="18.7109375" customWidth="1"/>
    <col min="29" max="29" width="14.7109375" customWidth="1"/>
    <col min="31" max="31" width="18.7109375" customWidth="1"/>
  </cols>
  <sheetData>
    <row r="1" spans="1:25" ht="15.75" customHeight="1" thickBot="1" x14ac:dyDescent="0.25">
      <c r="B1" s="251" t="s">
        <v>1375</v>
      </c>
    </row>
    <row r="2" spans="1:25" ht="51" customHeight="1" thickTop="1" thickBot="1" x14ac:dyDescent="0.25">
      <c r="A2" s="556"/>
      <c r="B2" s="649" t="s">
        <v>375</v>
      </c>
      <c r="C2" s="650"/>
      <c r="D2" s="650"/>
      <c r="E2" s="650"/>
      <c r="F2" s="650"/>
      <c r="G2" s="650"/>
      <c r="H2" s="650"/>
      <c r="I2" s="651"/>
      <c r="J2" s="397"/>
      <c r="K2" s="282" t="s">
        <v>651</v>
      </c>
      <c r="L2" s="283"/>
      <c r="N2" s="251" t="s">
        <v>1375</v>
      </c>
      <c r="O2" s="251"/>
      <c r="Q2" s="834" t="s">
        <v>1329</v>
      </c>
      <c r="R2" s="865"/>
    </row>
    <row r="3" spans="1:25" ht="25.5" thickTop="1" thickBot="1" x14ac:dyDescent="0.25">
      <c r="A3" s="557">
        <v>1</v>
      </c>
      <c r="B3" s="652">
        <v>2</v>
      </c>
      <c r="C3" s="653">
        <v>3</v>
      </c>
      <c r="D3" s="653">
        <v>4</v>
      </c>
      <c r="E3" s="653">
        <v>5</v>
      </c>
      <c r="F3" s="653">
        <v>6</v>
      </c>
      <c r="G3" s="653">
        <v>7</v>
      </c>
      <c r="H3" s="653">
        <v>8</v>
      </c>
      <c r="I3" s="654">
        <v>9</v>
      </c>
      <c r="J3" s="398"/>
      <c r="K3" s="400"/>
      <c r="L3" s="401"/>
      <c r="N3" s="284" t="s">
        <v>376</v>
      </c>
      <c r="O3" s="651"/>
      <c r="Q3" s="282" t="s">
        <v>377</v>
      </c>
      <c r="R3" s="283"/>
      <c r="S3" s="817"/>
      <c r="T3" s="817"/>
      <c r="U3" s="817"/>
      <c r="V3" s="282"/>
      <c r="X3" s="284" t="s">
        <v>378</v>
      </c>
      <c r="Y3" s="283"/>
    </row>
    <row r="4" spans="1:25" ht="15.75" thickTop="1" thickBot="1" x14ac:dyDescent="0.25">
      <c r="A4" s="558"/>
      <c r="B4" s="655"/>
      <c r="C4" s="285" t="s">
        <v>380</v>
      </c>
      <c r="D4" s="285" t="s">
        <v>381</v>
      </c>
      <c r="E4" s="285" t="s">
        <v>522</v>
      </c>
      <c r="F4" s="285" t="s">
        <v>1332</v>
      </c>
      <c r="G4" s="285" t="s">
        <v>382</v>
      </c>
      <c r="H4" s="285" t="s">
        <v>383</v>
      </c>
      <c r="I4" s="656" t="s">
        <v>384</v>
      </c>
      <c r="J4" s="285"/>
      <c r="K4" s="280" t="s">
        <v>380</v>
      </c>
      <c r="L4" s="281">
        <v>3</v>
      </c>
      <c r="N4" s="853"/>
      <c r="O4" s="854"/>
      <c r="Q4" s="818" t="s">
        <v>379</v>
      </c>
      <c r="R4" s="559" t="s">
        <v>529</v>
      </c>
      <c r="S4" s="570" t="s">
        <v>530</v>
      </c>
      <c r="T4" s="559" t="s">
        <v>531</v>
      </c>
      <c r="U4" s="559" t="s">
        <v>1291</v>
      </c>
      <c r="V4" s="842" t="s">
        <v>532</v>
      </c>
      <c r="X4" s="560" t="s">
        <v>529</v>
      </c>
      <c r="Y4" s="392">
        <v>2</v>
      </c>
    </row>
    <row r="5" spans="1:25" ht="15.75" thickTop="1" thickBot="1" x14ac:dyDescent="0.25">
      <c r="A5" s="558" t="s">
        <v>785</v>
      </c>
      <c r="B5" s="833" t="s">
        <v>1347</v>
      </c>
      <c r="C5" s="824">
        <v>111.85081999999998</v>
      </c>
      <c r="D5" s="824">
        <v>111.85081999999998</v>
      </c>
      <c r="E5" s="825">
        <v>108.2308604</v>
      </c>
      <c r="F5" s="825">
        <v>111.61343588571428</v>
      </c>
      <c r="G5" s="824">
        <v>111.85081999999998</v>
      </c>
      <c r="H5" s="837">
        <v>109.80793</v>
      </c>
      <c r="I5" s="841">
        <v>111.85081999999998</v>
      </c>
      <c r="K5" s="280" t="s">
        <v>381</v>
      </c>
      <c r="L5" s="281">
        <v>4</v>
      </c>
      <c r="N5" s="833" t="s">
        <v>1347</v>
      </c>
      <c r="O5" s="855">
        <v>363</v>
      </c>
      <c r="P5" s="647"/>
      <c r="Q5" s="819" t="s">
        <v>380</v>
      </c>
      <c r="R5" s="561">
        <v>1.58</v>
      </c>
      <c r="S5" s="562">
        <v>1.58</v>
      </c>
      <c r="T5" s="562">
        <v>1.17</v>
      </c>
      <c r="U5" s="830">
        <v>1.17</v>
      </c>
      <c r="V5" s="843">
        <v>0</v>
      </c>
      <c r="W5" s="563"/>
      <c r="X5" s="560" t="s">
        <v>530</v>
      </c>
      <c r="Y5" s="393">
        <v>3</v>
      </c>
    </row>
    <row r="6" spans="1:25" ht="15.75" thickTop="1" thickBot="1" x14ac:dyDescent="0.25">
      <c r="A6" s="558" t="s">
        <v>786</v>
      </c>
      <c r="B6" s="833" t="s">
        <v>1348</v>
      </c>
      <c r="C6" s="824">
        <v>101.02199194285713</v>
      </c>
      <c r="D6" s="824">
        <v>101.02199194285713</v>
      </c>
      <c r="E6" s="825">
        <v>99.186906866666661</v>
      </c>
      <c r="F6" s="825">
        <v>91.646534200000005</v>
      </c>
      <c r="G6" s="824">
        <v>101.02199194285713</v>
      </c>
      <c r="H6" s="837">
        <v>109.80929291428572</v>
      </c>
      <c r="I6" s="841">
        <v>101.02199194285713</v>
      </c>
      <c r="K6" s="280" t="s">
        <v>522</v>
      </c>
      <c r="L6" s="281">
        <v>5</v>
      </c>
      <c r="N6" s="833" t="s">
        <v>1348</v>
      </c>
      <c r="O6" s="855">
        <v>316</v>
      </c>
      <c r="P6" s="647"/>
      <c r="Q6" s="819" t="s">
        <v>381</v>
      </c>
      <c r="R6" s="561">
        <v>1.2</v>
      </c>
      <c r="S6" s="562">
        <v>1.2</v>
      </c>
      <c r="T6" s="562">
        <v>0.94</v>
      </c>
      <c r="U6" s="830">
        <v>0.94</v>
      </c>
      <c r="V6" s="843">
        <v>0</v>
      </c>
      <c r="W6" s="563"/>
      <c r="X6" s="560" t="s">
        <v>531</v>
      </c>
      <c r="Y6" s="393">
        <v>4</v>
      </c>
    </row>
    <row r="7" spans="1:25" ht="15.75" thickTop="1" thickBot="1" x14ac:dyDescent="0.25">
      <c r="A7" s="558" t="s">
        <v>787</v>
      </c>
      <c r="B7" s="833" t="s">
        <v>1349</v>
      </c>
      <c r="C7" s="825">
        <v>94.893298239999993</v>
      </c>
      <c r="D7" s="839">
        <v>107.1793424</v>
      </c>
      <c r="E7" s="825">
        <v>85.592156795382394</v>
      </c>
      <c r="F7" s="825">
        <v>79.134925947999989</v>
      </c>
      <c r="G7" s="824">
        <v>87.382549621466637</v>
      </c>
      <c r="H7" s="837">
        <v>84.55930287999999</v>
      </c>
      <c r="I7" s="826">
        <v>87.382549621466637</v>
      </c>
      <c r="K7" s="280" t="s">
        <v>1332</v>
      </c>
      <c r="L7" s="281">
        <v>6</v>
      </c>
      <c r="N7" s="833" t="s">
        <v>1349</v>
      </c>
      <c r="O7" s="855">
        <v>283</v>
      </c>
      <c r="P7" s="647"/>
      <c r="Q7" s="819" t="s">
        <v>522</v>
      </c>
      <c r="R7" s="564">
        <v>1.44</v>
      </c>
      <c r="S7" s="562">
        <v>1.44</v>
      </c>
      <c r="T7" s="562">
        <v>0.94</v>
      </c>
      <c r="U7" s="830">
        <v>0.94</v>
      </c>
      <c r="V7" s="843">
        <v>0</v>
      </c>
      <c r="W7" s="563"/>
      <c r="X7" s="560" t="s">
        <v>1291</v>
      </c>
      <c r="Y7" s="393">
        <v>5</v>
      </c>
    </row>
    <row r="8" spans="1:25" ht="15.75" thickTop="1" thickBot="1" x14ac:dyDescent="0.25">
      <c r="A8" s="558" t="s">
        <v>788</v>
      </c>
      <c r="B8" s="833" t="s">
        <v>1350</v>
      </c>
      <c r="C8" s="825">
        <v>89.920581028571419</v>
      </c>
      <c r="D8" s="839">
        <v>92.27834373333333</v>
      </c>
      <c r="E8" s="825">
        <v>85.011551484888898</v>
      </c>
      <c r="F8" s="824">
        <v>85.045982146125013</v>
      </c>
      <c r="G8" s="824">
        <v>85.045982146125013</v>
      </c>
      <c r="H8" s="837">
        <v>78.408192200000002</v>
      </c>
      <c r="I8" s="826">
        <v>85.045982146125013</v>
      </c>
      <c r="K8" s="280" t="s">
        <v>382</v>
      </c>
      <c r="L8" s="281">
        <v>7</v>
      </c>
      <c r="N8" s="833" t="s">
        <v>1350</v>
      </c>
      <c r="O8" s="855">
        <v>262</v>
      </c>
      <c r="P8" s="647"/>
      <c r="Q8" s="819" t="s">
        <v>1332</v>
      </c>
      <c r="R8" s="564">
        <v>1.84</v>
      </c>
      <c r="S8" s="562">
        <v>1.84</v>
      </c>
      <c r="T8" s="562">
        <v>1.76</v>
      </c>
      <c r="U8" s="830">
        <v>1.76</v>
      </c>
      <c r="V8" s="843">
        <v>0</v>
      </c>
      <c r="W8" s="563"/>
      <c r="X8" s="565" t="s">
        <v>532</v>
      </c>
      <c r="Y8" s="393">
        <v>6</v>
      </c>
    </row>
    <row r="9" spans="1:25" ht="15" thickTop="1" x14ac:dyDescent="0.2">
      <c r="A9" s="558" t="s">
        <v>789</v>
      </c>
      <c r="B9" s="833" t="s">
        <v>1351</v>
      </c>
      <c r="C9" s="825">
        <v>81.6301512</v>
      </c>
      <c r="D9" s="839">
        <v>76.111029799999983</v>
      </c>
      <c r="E9" s="825">
        <v>72.750613839153431</v>
      </c>
      <c r="F9" s="824">
        <v>75.508185999999995</v>
      </c>
      <c r="G9" s="824">
        <v>75.508185999999995</v>
      </c>
      <c r="H9" s="837">
        <v>85.441229899999996</v>
      </c>
      <c r="I9" s="826">
        <v>75.508185999999995</v>
      </c>
      <c r="K9" s="280" t="s">
        <v>383</v>
      </c>
      <c r="L9" s="281">
        <v>8</v>
      </c>
      <c r="N9" s="833" t="s">
        <v>1351</v>
      </c>
      <c r="O9" s="855">
        <v>254</v>
      </c>
      <c r="P9" s="647"/>
      <c r="Q9" s="819" t="s">
        <v>382</v>
      </c>
      <c r="R9" s="564">
        <v>1.55</v>
      </c>
      <c r="S9" s="562">
        <v>1.55</v>
      </c>
      <c r="T9" s="562">
        <v>1.55</v>
      </c>
      <c r="U9" s="830">
        <v>1.55</v>
      </c>
      <c r="V9" s="843">
        <v>0</v>
      </c>
      <c r="W9" s="563"/>
    </row>
    <row r="10" spans="1:25" ht="14.25" x14ac:dyDescent="0.2">
      <c r="A10" s="558" t="s">
        <v>790</v>
      </c>
      <c r="B10" s="833" t="s">
        <v>1352</v>
      </c>
      <c r="C10" s="825">
        <v>77.779977599999995</v>
      </c>
      <c r="D10" s="839">
        <v>90.157333066666666</v>
      </c>
      <c r="E10" s="825">
        <v>70.422977259259255</v>
      </c>
      <c r="F10" s="825">
        <v>48.999660320000004</v>
      </c>
      <c r="G10" s="824">
        <v>72.356703466666659</v>
      </c>
      <c r="H10" s="837">
        <v>79.533855699999989</v>
      </c>
      <c r="I10" s="826">
        <v>72.356703466666659</v>
      </c>
      <c r="K10" s="280" t="s">
        <v>528</v>
      </c>
      <c r="L10" s="281">
        <v>9</v>
      </c>
      <c r="N10" s="833" t="s">
        <v>1352</v>
      </c>
      <c r="O10" s="855">
        <v>235</v>
      </c>
      <c r="P10" s="647"/>
      <c r="Q10" s="838" t="s">
        <v>383</v>
      </c>
      <c r="R10" s="561">
        <v>1.4</v>
      </c>
      <c r="S10" s="562">
        <v>1.4</v>
      </c>
      <c r="T10" s="562">
        <v>0.62</v>
      </c>
      <c r="U10" s="830">
        <v>0.62</v>
      </c>
      <c r="V10" s="843">
        <v>0</v>
      </c>
      <c r="W10" s="563"/>
    </row>
    <row r="11" spans="1:25" ht="15" thickBot="1" x14ac:dyDescent="0.25">
      <c r="A11" s="558" t="s">
        <v>791</v>
      </c>
      <c r="B11" s="833" t="s">
        <v>1353</v>
      </c>
      <c r="C11" s="825">
        <v>69.956683679999998</v>
      </c>
      <c r="D11" s="839">
        <v>79.11489617777778</v>
      </c>
      <c r="E11" s="825">
        <v>69.800766285714289</v>
      </c>
      <c r="F11" s="824">
        <v>71.286207412244877</v>
      </c>
      <c r="G11" s="824">
        <v>71.286207412244877</v>
      </c>
      <c r="H11" s="837">
        <v>68.247194836363619</v>
      </c>
      <c r="I11" s="826">
        <v>71.286207412244877</v>
      </c>
      <c r="K11" s="280"/>
      <c r="L11" s="281"/>
      <c r="N11" s="833" t="s">
        <v>1353</v>
      </c>
      <c r="O11" s="855">
        <v>229</v>
      </c>
      <c r="P11" s="647"/>
      <c r="Q11" s="820" t="s">
        <v>528</v>
      </c>
      <c r="R11" s="566">
        <v>1.47</v>
      </c>
      <c r="S11" s="567">
        <v>1.47</v>
      </c>
      <c r="T11" s="567">
        <v>0.81</v>
      </c>
      <c r="U11" s="831">
        <v>0.81</v>
      </c>
      <c r="V11" s="844">
        <v>0</v>
      </c>
      <c r="W11" s="563"/>
    </row>
    <row r="12" spans="1:25" ht="15" thickBot="1" x14ac:dyDescent="0.25">
      <c r="A12" s="558" t="s">
        <v>792</v>
      </c>
      <c r="B12" s="833" t="s">
        <v>1354</v>
      </c>
      <c r="C12" s="825">
        <v>69.413129760000004</v>
      </c>
      <c r="D12" s="839">
        <v>70.838161333333318</v>
      </c>
      <c r="E12" s="825">
        <v>61.307633573333341</v>
      </c>
      <c r="F12" s="825">
        <v>41.416364149333326</v>
      </c>
      <c r="G12" s="824">
        <v>63.256657098666665</v>
      </c>
      <c r="H12" s="837">
        <v>65.612326577777779</v>
      </c>
      <c r="I12" s="826">
        <v>63.256657098666665</v>
      </c>
      <c r="K12" s="280"/>
      <c r="L12" s="281"/>
      <c r="N12" s="833" t="s">
        <v>1354</v>
      </c>
      <c r="O12" s="855">
        <v>219</v>
      </c>
      <c r="P12" s="647"/>
      <c r="W12" s="563"/>
    </row>
    <row r="13" spans="1:25" ht="15" thickBot="1" x14ac:dyDescent="0.25">
      <c r="A13" s="558" t="s">
        <v>793</v>
      </c>
      <c r="B13" s="833" t="s">
        <v>1355</v>
      </c>
      <c r="C13" s="825">
        <v>74.962736194666661</v>
      </c>
      <c r="D13" s="839">
        <v>67.458923999999996</v>
      </c>
      <c r="E13" s="825">
        <v>57.773494557037033</v>
      </c>
      <c r="F13" s="824">
        <v>62.578888631999988</v>
      </c>
      <c r="G13" s="824">
        <v>62.578888631999988</v>
      </c>
      <c r="H13" s="837">
        <v>63.029067399999981</v>
      </c>
      <c r="I13" s="826">
        <v>62.578888631999988</v>
      </c>
      <c r="K13" s="280"/>
      <c r="L13" s="281"/>
      <c r="N13" s="833" t="s">
        <v>1355</v>
      </c>
      <c r="O13" s="855">
        <v>211</v>
      </c>
      <c r="P13" s="647"/>
      <c r="Q13" s="821" t="s">
        <v>527</v>
      </c>
      <c r="R13" s="822">
        <v>1.47</v>
      </c>
      <c r="S13" s="822">
        <v>1.47</v>
      </c>
      <c r="T13" s="822">
        <v>0.81</v>
      </c>
      <c r="U13" s="822">
        <v>0.81</v>
      </c>
      <c r="V13" s="823">
        <v>0</v>
      </c>
      <c r="W13" s="563"/>
    </row>
    <row r="14" spans="1:25" ht="15" thickBot="1" x14ac:dyDescent="0.25">
      <c r="A14" s="558" t="s">
        <v>794</v>
      </c>
      <c r="B14" s="833" t="s">
        <v>1356</v>
      </c>
      <c r="C14" s="825">
        <v>77.803704159999995</v>
      </c>
      <c r="D14" s="839">
        <v>67.412189866666665</v>
      </c>
      <c r="E14" s="825">
        <v>59.186585197575752</v>
      </c>
      <c r="F14" s="824">
        <v>59.043301032258057</v>
      </c>
      <c r="G14" s="824">
        <v>59.043301032258057</v>
      </c>
      <c r="H14" s="837">
        <v>53.559854399999999</v>
      </c>
      <c r="I14" s="826">
        <v>59.043301032258057</v>
      </c>
      <c r="K14" s="402"/>
      <c r="L14" s="403"/>
      <c r="N14" s="833" t="s">
        <v>1356</v>
      </c>
      <c r="O14" s="855">
        <v>201</v>
      </c>
      <c r="P14" s="647"/>
      <c r="W14" s="563"/>
    </row>
    <row r="15" spans="1:25" ht="15.75" thickTop="1" thickBot="1" x14ac:dyDescent="0.25">
      <c r="A15" s="558" t="s">
        <v>795</v>
      </c>
      <c r="B15" s="833" t="s">
        <v>1357</v>
      </c>
      <c r="C15" s="825">
        <v>63.152847490909089</v>
      </c>
      <c r="D15" s="824">
        <v>55.271870536170226</v>
      </c>
      <c r="E15" s="825">
        <v>54.123458884444446</v>
      </c>
      <c r="F15" s="824">
        <v>55.271870536170226</v>
      </c>
      <c r="G15" s="824">
        <v>55.271870536170226</v>
      </c>
      <c r="H15" s="837">
        <v>51.468660533333335</v>
      </c>
      <c r="I15" s="826">
        <v>55.271870536170226</v>
      </c>
      <c r="K15" s="399"/>
      <c r="L15" s="399"/>
      <c r="N15" s="833" t="s">
        <v>1357</v>
      </c>
      <c r="O15" s="855">
        <v>193</v>
      </c>
      <c r="P15" s="647"/>
      <c r="Q15" s="251" t="s">
        <v>1375</v>
      </c>
      <c r="W15" s="563"/>
    </row>
    <row r="16" spans="1:25" ht="15.75" thickTop="1" thickBot="1" x14ac:dyDescent="0.25">
      <c r="A16" s="558" t="s">
        <v>796</v>
      </c>
      <c r="B16" s="833" t="s">
        <v>1358</v>
      </c>
      <c r="C16" s="825">
        <v>58.803351657142862</v>
      </c>
      <c r="D16" s="839">
        <v>56.307440800000002</v>
      </c>
      <c r="E16" s="825">
        <v>50.820192335714275</v>
      </c>
      <c r="F16" s="825">
        <v>39.717337028571428</v>
      </c>
      <c r="G16" s="824">
        <v>49.333211200000001</v>
      </c>
      <c r="H16" s="837">
        <v>48.552535199999987</v>
      </c>
      <c r="I16" s="826">
        <v>49.333211200000001</v>
      </c>
      <c r="K16" s="399"/>
      <c r="L16" s="399"/>
      <c r="N16" s="833" t="s">
        <v>1358</v>
      </c>
      <c r="O16" s="855">
        <v>187</v>
      </c>
      <c r="P16" s="647"/>
      <c r="Q16" s="282" t="s">
        <v>757</v>
      </c>
      <c r="R16" s="283"/>
      <c r="W16" s="563"/>
    </row>
    <row r="17" spans="1:23" ht="15" thickTop="1" x14ac:dyDescent="0.2">
      <c r="A17" s="558" t="s">
        <v>797</v>
      </c>
      <c r="B17" s="833" t="s">
        <v>1359</v>
      </c>
      <c r="C17" s="825">
        <v>56.939300662399994</v>
      </c>
      <c r="D17" s="824">
        <v>49.241842908408145</v>
      </c>
      <c r="E17" s="825">
        <v>48.572799077248668</v>
      </c>
      <c r="F17" s="824">
        <v>49.241842908408145</v>
      </c>
      <c r="G17" s="824">
        <v>49.241842908408145</v>
      </c>
      <c r="H17" s="837">
        <v>42.850706600000009</v>
      </c>
      <c r="I17" s="826">
        <v>49.241842908408145</v>
      </c>
      <c r="K17" s="399"/>
      <c r="L17" s="399"/>
      <c r="N17" s="833" t="s">
        <v>1359</v>
      </c>
      <c r="O17" s="855">
        <v>178</v>
      </c>
      <c r="P17" s="647"/>
      <c r="Q17" s="858" t="s">
        <v>379</v>
      </c>
      <c r="R17" s="859" t="s">
        <v>756</v>
      </c>
      <c r="W17" s="563"/>
    </row>
    <row r="18" spans="1:23" ht="14.25" x14ac:dyDescent="0.2">
      <c r="A18" s="558" t="s">
        <v>798</v>
      </c>
      <c r="B18" s="833" t="s">
        <v>1360</v>
      </c>
      <c r="C18" s="825">
        <v>51.01102551999999</v>
      </c>
      <c r="D18" s="839">
        <v>48.474081066666656</v>
      </c>
      <c r="E18" s="825">
        <v>46.315533693506495</v>
      </c>
      <c r="F18" s="825">
        <v>36.882020811999993</v>
      </c>
      <c r="G18" s="824">
        <v>46.29836570925373</v>
      </c>
      <c r="H18" s="837">
        <v>48.433556363636356</v>
      </c>
      <c r="I18" s="826">
        <v>46.29836570925373</v>
      </c>
      <c r="K18" s="399"/>
      <c r="L18" s="399"/>
      <c r="N18" s="833" t="s">
        <v>1360</v>
      </c>
      <c r="O18" s="855">
        <v>169</v>
      </c>
      <c r="P18" s="647"/>
      <c r="Q18" s="857" t="s">
        <v>380</v>
      </c>
      <c r="R18" s="860">
        <v>1.49</v>
      </c>
      <c r="W18" s="563"/>
    </row>
    <row r="19" spans="1:23" ht="14.25" x14ac:dyDescent="0.2">
      <c r="A19" s="558" t="s">
        <v>799</v>
      </c>
      <c r="B19" s="833" t="s">
        <v>1361</v>
      </c>
      <c r="C19" s="825">
        <v>51.09299</v>
      </c>
      <c r="D19" s="839">
        <v>48.833574399999989</v>
      </c>
      <c r="E19" s="825">
        <v>44.569441373544969</v>
      </c>
      <c r="F19" s="825">
        <v>43.864477800000003</v>
      </c>
      <c r="G19" s="824">
        <v>43.893124925000002</v>
      </c>
      <c r="H19" s="837">
        <v>37.86039989333333</v>
      </c>
      <c r="I19" s="826">
        <v>43.893124925000002</v>
      </c>
      <c r="K19" s="399"/>
      <c r="L19" s="399"/>
      <c r="N19" s="833" t="s">
        <v>1361</v>
      </c>
      <c r="O19" s="855">
        <v>162</v>
      </c>
      <c r="P19" s="647"/>
      <c r="Q19" s="819" t="s">
        <v>381</v>
      </c>
      <c r="R19" s="860">
        <v>1.19</v>
      </c>
      <c r="W19" s="563"/>
    </row>
    <row r="20" spans="1:23" ht="14.25" x14ac:dyDescent="0.2">
      <c r="A20" s="558" t="s">
        <v>800</v>
      </c>
      <c r="B20" s="833" t="s">
        <v>1362</v>
      </c>
      <c r="C20" s="825">
        <v>47.423461800000005</v>
      </c>
      <c r="D20" s="839">
        <v>43.867173999999999</v>
      </c>
      <c r="E20" s="825">
        <v>41.218735257142853</v>
      </c>
      <c r="F20" s="824">
        <v>41.24210232380954</v>
      </c>
      <c r="G20" s="824">
        <v>41.24210232380954</v>
      </c>
      <c r="H20" s="837">
        <v>40.251461951999993</v>
      </c>
      <c r="I20" s="826">
        <v>41.24210232380954</v>
      </c>
      <c r="K20" s="399"/>
      <c r="L20" s="399"/>
      <c r="N20" s="833" t="s">
        <v>1362</v>
      </c>
      <c r="O20" s="855">
        <v>155</v>
      </c>
      <c r="P20" s="647"/>
      <c r="Q20" s="819" t="s">
        <v>522</v>
      </c>
      <c r="R20" s="861">
        <v>1.45</v>
      </c>
      <c r="W20" s="563"/>
    </row>
    <row r="21" spans="1:23" ht="14.25" x14ac:dyDescent="0.2">
      <c r="A21" s="558" t="s">
        <v>801</v>
      </c>
      <c r="B21" s="833" t="s">
        <v>1363</v>
      </c>
      <c r="C21" s="825">
        <v>46.622690399999996</v>
      </c>
      <c r="D21" s="839">
        <v>42.843696479999998</v>
      </c>
      <c r="E21" s="825">
        <v>38.60422830351515</v>
      </c>
      <c r="F21" s="824">
        <v>40.2051769518961</v>
      </c>
      <c r="G21" s="824">
        <v>40.2051769518961</v>
      </c>
      <c r="H21" s="837">
        <v>35.990675066666661</v>
      </c>
      <c r="I21" s="826">
        <v>40.2051769518961</v>
      </c>
      <c r="K21" s="399"/>
      <c r="L21" s="399"/>
      <c r="N21" s="833" t="s">
        <v>1363</v>
      </c>
      <c r="O21" s="855">
        <v>147</v>
      </c>
      <c r="P21" s="647"/>
      <c r="Q21" s="819" t="s">
        <v>1332</v>
      </c>
      <c r="R21" s="861">
        <v>2.2000000000000002</v>
      </c>
      <c r="W21" s="563"/>
    </row>
    <row r="22" spans="1:23" ht="14.25" x14ac:dyDescent="0.2">
      <c r="A22" s="558" t="s">
        <v>802</v>
      </c>
      <c r="B22" s="833" t="s">
        <v>1364</v>
      </c>
      <c r="C22" s="825">
        <v>41.902183439999995</v>
      </c>
      <c r="D22" s="839">
        <v>43.007821527272725</v>
      </c>
      <c r="E22" s="825">
        <v>37.078382062222218</v>
      </c>
      <c r="F22" s="824">
        <v>39.570273762500001</v>
      </c>
      <c r="G22" s="824">
        <v>39.570273762500001</v>
      </c>
      <c r="H22" s="837">
        <v>39.551905900000001</v>
      </c>
      <c r="I22" s="826">
        <v>39.570273762500001</v>
      </c>
      <c r="K22" s="399"/>
      <c r="L22" s="399"/>
      <c r="N22" s="833" t="s">
        <v>1364</v>
      </c>
      <c r="O22" s="855">
        <v>139</v>
      </c>
      <c r="P22" s="647"/>
      <c r="Q22" s="819" t="s">
        <v>382</v>
      </c>
      <c r="R22" s="860">
        <v>1.55</v>
      </c>
      <c r="W22" s="563"/>
    </row>
    <row r="23" spans="1:23" ht="14.25" x14ac:dyDescent="0.2">
      <c r="A23" s="558" t="s">
        <v>803</v>
      </c>
      <c r="B23" s="833" t="s">
        <v>1365</v>
      </c>
      <c r="C23" s="825">
        <v>38.695862400000003</v>
      </c>
      <c r="D23" s="839">
        <v>40.268286239999995</v>
      </c>
      <c r="E23" s="825">
        <v>35.289331226666668</v>
      </c>
      <c r="F23" s="824">
        <v>37.486710753488367</v>
      </c>
      <c r="G23" s="824">
        <v>37.486710753488367</v>
      </c>
      <c r="H23" s="837">
        <v>40.271913854545453</v>
      </c>
      <c r="I23" s="826">
        <v>37.486710753488367</v>
      </c>
      <c r="K23" s="399"/>
      <c r="L23" s="399"/>
      <c r="N23" s="833" t="s">
        <v>1365</v>
      </c>
      <c r="O23" s="855">
        <v>133</v>
      </c>
      <c r="P23" s="647"/>
      <c r="Q23" s="838" t="s">
        <v>383</v>
      </c>
      <c r="R23" s="862">
        <v>1.28</v>
      </c>
      <c r="W23" s="563"/>
    </row>
    <row r="24" spans="1:23" ht="15" thickBot="1" x14ac:dyDescent="0.25">
      <c r="A24" s="558" t="s">
        <v>804</v>
      </c>
      <c r="B24" s="833" t="s">
        <v>1366</v>
      </c>
      <c r="C24" s="825">
        <v>35.758801866666666</v>
      </c>
      <c r="D24" s="839">
        <v>37.439433199999996</v>
      </c>
      <c r="E24" s="825">
        <v>33.514380518518529</v>
      </c>
      <c r="F24" s="825">
        <v>25.107014400000001</v>
      </c>
      <c r="G24" s="824">
        <v>32.869074622222222</v>
      </c>
      <c r="H24" s="837">
        <v>31.032722759999999</v>
      </c>
      <c r="I24" s="826">
        <v>32.869074622222222</v>
      </c>
      <c r="K24" s="399"/>
      <c r="L24" s="399"/>
      <c r="N24" s="833" t="s">
        <v>1366</v>
      </c>
      <c r="O24" s="855">
        <v>123</v>
      </c>
      <c r="P24" s="647"/>
      <c r="Q24" s="863" t="s">
        <v>528</v>
      </c>
      <c r="R24" s="864">
        <v>1.45</v>
      </c>
      <c r="W24" s="563"/>
    </row>
    <row r="25" spans="1:23" ht="14.25" x14ac:dyDescent="0.2">
      <c r="A25" s="558" t="s">
        <v>805</v>
      </c>
      <c r="B25" s="833" t="s">
        <v>1367</v>
      </c>
      <c r="C25" s="825">
        <v>33.397290159999997</v>
      </c>
      <c r="D25" s="839">
        <v>35.562107657142853</v>
      </c>
      <c r="E25" s="825">
        <v>31.191859253679649</v>
      </c>
      <c r="F25" s="825">
        <v>20.559423733333333</v>
      </c>
      <c r="G25" s="824">
        <v>31.917386831515167</v>
      </c>
      <c r="H25" s="837">
        <v>33.168087481904763</v>
      </c>
      <c r="I25" s="826">
        <v>31.917386831515167</v>
      </c>
      <c r="K25" s="399"/>
      <c r="L25" s="399"/>
      <c r="N25" s="833" t="s">
        <v>1367</v>
      </c>
      <c r="O25" s="855">
        <v>117</v>
      </c>
      <c r="P25" s="647"/>
      <c r="W25" s="563"/>
    </row>
    <row r="26" spans="1:23" ht="14.25" x14ac:dyDescent="0.2">
      <c r="A26" s="558" t="s">
        <v>806</v>
      </c>
      <c r="B26" s="833" t="s">
        <v>1368</v>
      </c>
      <c r="C26" s="825">
        <v>30.870591266666665</v>
      </c>
      <c r="D26" s="839">
        <v>37.965731439999992</v>
      </c>
      <c r="E26" s="825">
        <v>29.968181028842107</v>
      </c>
      <c r="F26" s="824">
        <v>31.1213889525614</v>
      </c>
      <c r="G26" s="824">
        <v>31.1213889525614</v>
      </c>
      <c r="H26" s="837">
        <v>28.464566167741946</v>
      </c>
      <c r="I26" s="826">
        <v>31.1213889525614</v>
      </c>
      <c r="K26" s="399"/>
      <c r="L26" s="399"/>
      <c r="N26" s="833" t="s">
        <v>1368</v>
      </c>
      <c r="O26" s="855">
        <v>110</v>
      </c>
      <c r="P26" s="647"/>
      <c r="W26" s="563"/>
    </row>
    <row r="27" spans="1:23" ht="14.25" x14ac:dyDescent="0.2">
      <c r="A27" s="558" t="s">
        <v>807</v>
      </c>
      <c r="B27" s="833" t="s">
        <v>1369</v>
      </c>
      <c r="C27" s="825">
        <v>30.470654933333339</v>
      </c>
      <c r="D27" s="839">
        <v>30.257115893333335</v>
      </c>
      <c r="E27" s="825">
        <v>27.762707204761909</v>
      </c>
      <c r="F27" s="825">
        <v>16.773958933333329</v>
      </c>
      <c r="G27" s="824">
        <v>29.939239200000003</v>
      </c>
      <c r="H27" s="837">
        <v>32.0441784</v>
      </c>
      <c r="I27" s="826">
        <v>29.939239200000003</v>
      </c>
      <c r="K27" s="399"/>
      <c r="L27" s="399"/>
      <c r="N27" s="833" t="s">
        <v>1369</v>
      </c>
      <c r="O27" s="855">
        <v>101</v>
      </c>
      <c r="P27" s="647"/>
      <c r="W27" s="563"/>
    </row>
    <row r="28" spans="1:23" ht="14.25" x14ac:dyDescent="0.2">
      <c r="A28" s="558" t="s">
        <v>808</v>
      </c>
      <c r="B28" s="833" t="s">
        <v>1370</v>
      </c>
      <c r="C28" s="825">
        <v>27.023473360000001</v>
      </c>
      <c r="D28" s="839">
        <v>27.295193557894738</v>
      </c>
      <c r="E28" s="825">
        <v>28.181401386666671</v>
      </c>
      <c r="F28" s="824">
        <v>26.380046515789477</v>
      </c>
      <c r="G28" s="824">
        <v>26.380046515789477</v>
      </c>
      <c r="H28" s="837">
        <v>23.231865913043478</v>
      </c>
      <c r="I28" s="826">
        <v>26.380046515789477</v>
      </c>
      <c r="K28" s="399"/>
      <c r="L28" s="399"/>
      <c r="N28" s="833" t="s">
        <v>1370</v>
      </c>
      <c r="O28" s="855">
        <v>94</v>
      </c>
      <c r="P28" s="647"/>
      <c r="W28" s="563"/>
    </row>
    <row r="29" spans="1:23" ht="14.25" x14ac:dyDescent="0.2">
      <c r="A29" s="558" t="s">
        <v>809</v>
      </c>
      <c r="B29" s="833" t="s">
        <v>1371</v>
      </c>
      <c r="C29" s="825">
        <v>25.188880836363634</v>
      </c>
      <c r="D29" s="839">
        <v>26.230359168</v>
      </c>
      <c r="E29" s="825">
        <v>26.06326666666666</v>
      </c>
      <c r="F29" s="824">
        <v>25.225407537777777</v>
      </c>
      <c r="G29" s="824">
        <v>25.225407537777777</v>
      </c>
      <c r="H29" s="837">
        <v>23.473764288000002</v>
      </c>
      <c r="I29" s="826">
        <v>25.225407537777777</v>
      </c>
      <c r="K29" s="399"/>
      <c r="L29" s="399"/>
      <c r="N29" s="833" t="s">
        <v>1371</v>
      </c>
      <c r="O29" s="855">
        <v>85</v>
      </c>
      <c r="P29" s="647"/>
      <c r="W29" s="563"/>
    </row>
    <row r="30" spans="1:23" ht="14.25" x14ac:dyDescent="0.2">
      <c r="A30" s="558" t="s">
        <v>810</v>
      </c>
      <c r="B30" s="833" t="s">
        <v>1372</v>
      </c>
      <c r="C30" s="837">
        <v>21.746950044444446</v>
      </c>
      <c r="D30" s="839">
        <v>24.805039999999998</v>
      </c>
      <c r="E30" s="825">
        <v>21.503774591919193</v>
      </c>
      <c r="F30" s="824">
        <v>21.148992799999998</v>
      </c>
      <c r="G30" s="824">
        <v>21.498547199999997</v>
      </c>
      <c r="H30" s="837">
        <v>20.217648285714287</v>
      </c>
      <c r="I30" s="826">
        <v>21.498547199999997</v>
      </c>
      <c r="K30" s="399"/>
      <c r="L30" s="399"/>
      <c r="N30" s="833" t="s">
        <v>1372</v>
      </c>
      <c r="O30" s="855">
        <v>78</v>
      </c>
      <c r="P30" s="647"/>
      <c r="W30" s="563"/>
    </row>
    <row r="31" spans="1:23" ht="14.25" x14ac:dyDescent="0.2">
      <c r="A31" s="558" t="s">
        <v>811</v>
      </c>
      <c r="B31" s="833" t="s">
        <v>1373</v>
      </c>
      <c r="C31" s="824">
        <v>19.518230716279074</v>
      </c>
      <c r="D31" s="839">
        <v>23.851663679999998</v>
      </c>
      <c r="E31" s="825">
        <v>19.985775085714284</v>
      </c>
      <c r="F31" s="824">
        <v>19.518230716279074</v>
      </c>
      <c r="G31" s="824">
        <v>19.518230716279074</v>
      </c>
      <c r="H31" s="837">
        <v>19.174159211267607</v>
      </c>
      <c r="I31" s="826">
        <v>19.518230716279074</v>
      </c>
      <c r="K31" s="399"/>
      <c r="L31" s="399"/>
      <c r="N31" s="833" t="s">
        <v>1373</v>
      </c>
      <c r="O31" s="855">
        <v>71</v>
      </c>
      <c r="P31" s="647"/>
      <c r="W31" s="563"/>
    </row>
    <row r="32" spans="1:23" ht="14.25" x14ac:dyDescent="0.2">
      <c r="A32" s="558" t="s">
        <v>812</v>
      </c>
      <c r="B32" s="833" t="s">
        <v>1374</v>
      </c>
      <c r="C32" s="824">
        <v>18.367432255319155</v>
      </c>
      <c r="D32" s="824">
        <v>18.367432255319155</v>
      </c>
      <c r="E32" s="824">
        <v>18.367432255319155</v>
      </c>
      <c r="F32" s="824">
        <v>18.367432255319155</v>
      </c>
      <c r="G32" s="824">
        <v>18.367432255319155</v>
      </c>
      <c r="H32" s="837">
        <v>18.391366330434789</v>
      </c>
      <c r="I32" s="826">
        <v>18.367432255319155</v>
      </c>
      <c r="K32" s="399"/>
      <c r="L32" s="399"/>
      <c r="N32" s="833" t="s">
        <v>1374</v>
      </c>
      <c r="O32" s="855">
        <v>57</v>
      </c>
      <c r="P32" s="647"/>
      <c r="W32" s="563"/>
    </row>
    <row r="33" spans="1:23" ht="15.75" thickBot="1" x14ac:dyDescent="0.3">
      <c r="A33" s="568"/>
      <c r="B33" s="657" t="s">
        <v>773</v>
      </c>
      <c r="C33" s="827">
        <v>48.417529999999992</v>
      </c>
      <c r="D33" s="827">
        <v>44.093240000000002</v>
      </c>
      <c r="E33" s="827">
        <v>50.035249999999998</v>
      </c>
      <c r="F33" s="840">
        <v>52.337389999999992</v>
      </c>
      <c r="G33" s="827">
        <v>104.21849999999999</v>
      </c>
      <c r="H33" s="827">
        <v>37.031269999999999</v>
      </c>
      <c r="I33" s="828">
        <v>45.565779999999997</v>
      </c>
      <c r="J33" s="399"/>
      <c r="K33" s="399"/>
      <c r="L33" s="399"/>
      <c r="N33" s="657"/>
      <c r="O33" s="856"/>
      <c r="W33" s="563"/>
    </row>
    <row r="34" spans="1:23" ht="14.25" x14ac:dyDescent="0.2">
      <c r="I34" s="648"/>
      <c r="K34" s="399"/>
      <c r="L34" s="399"/>
      <c r="W34" s="563"/>
    </row>
    <row r="35" spans="1:23" x14ac:dyDescent="0.2">
      <c r="A35" s="664" t="s">
        <v>782</v>
      </c>
      <c r="W35" s="563"/>
    </row>
    <row r="36" spans="1:23" x14ac:dyDescent="0.2">
      <c r="A36" s="665">
        <v>1</v>
      </c>
      <c r="B36" t="s">
        <v>783</v>
      </c>
      <c r="W36" s="563"/>
    </row>
    <row r="37" spans="1:23" x14ac:dyDescent="0.2">
      <c r="A37" s="665">
        <v>2</v>
      </c>
    </row>
    <row r="38" spans="1:23" x14ac:dyDescent="0.2">
      <c r="A38" s="665">
        <v>3</v>
      </c>
      <c r="B38" s="251" t="s">
        <v>1288</v>
      </c>
    </row>
    <row r="39" spans="1:23" x14ac:dyDescent="0.2">
      <c r="A39" s="665"/>
      <c r="B39" t="s">
        <v>784</v>
      </c>
    </row>
    <row r="40" spans="1:23" x14ac:dyDescent="0.2">
      <c r="A40" s="665"/>
      <c r="B40" s="251"/>
    </row>
  </sheetData>
  <sheetProtection algorithmName="SHA-512" hashValue="MLKDNSjG3iIglZBkllm5oTUz4l/X8Ia6CVzrt2rB/ErTLlCmIFr+SEmAQT3vxILNoHhQFjTgDCV3MSX8g/cKdQ==" saltValue="lwe0DAhvOcmzcqwVqw1K8A==" spinCount="100000" sheet="1" objects="1" scenarios="1"/>
  <pageMargins left="0.7" right="0.7" top="0.75" bottom="0.75" header="0.3" footer="0.3"/>
  <pageSetup orientation="portrait" r:id="rId1"/>
  <headerFooter>
    <oddFooter xml:space="preserve">&amp;R&amp;8&amp;Z&amp;F   &amp;D_x000D_&amp;7© 2014 RMT, Inc.  All rights reserved.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D6E5-5720-423C-91FB-5708A993AB46}">
  <sheetPr codeName="Sheet26"/>
  <dimension ref="A1:W553"/>
  <sheetViews>
    <sheetView zoomScale="139" zoomScaleNormal="124" workbookViewId="0">
      <pane ySplit="11" topLeftCell="A25" activePane="bottomLeft" state="frozen"/>
      <selection activeCell="DH36" sqref="DH36"/>
      <selection pane="bottomLeft" activeCell="C11" sqref="C11"/>
    </sheetView>
  </sheetViews>
  <sheetFormatPr defaultColWidth="9.140625" defaultRowHeight="15" x14ac:dyDescent="0.25"/>
  <cols>
    <col min="1" max="1" width="31" style="694" customWidth="1"/>
    <col min="2" max="2" width="15.42578125" style="694" customWidth="1"/>
    <col min="3" max="3" width="37.28515625" style="694" bestFit="1" customWidth="1"/>
    <col min="4" max="4" width="57.42578125" style="696" customWidth="1"/>
    <col min="5" max="5" width="14.7109375" style="696" customWidth="1"/>
    <col min="6" max="7" width="14.7109375" style="697" customWidth="1"/>
    <col min="8" max="14" width="11.7109375" style="728" hidden="1" customWidth="1"/>
    <col min="15" max="15" width="13.140625" style="733" hidden="1" customWidth="1"/>
    <col min="16" max="16" width="11.28515625" style="733" hidden="1" customWidth="1"/>
    <col min="17" max="18" width="13.140625" style="733" hidden="1" customWidth="1"/>
    <col min="19" max="21" width="7.42578125" style="733" hidden="1" customWidth="1"/>
    <col min="22" max="22" width="32" style="693" hidden="1" customWidth="1"/>
    <col min="23" max="23" width="32" style="700" customWidth="1"/>
    <col min="24" max="16384" width="9.140625" style="693"/>
  </cols>
  <sheetData>
    <row r="1" spans="1:23" ht="21.75" thickBot="1" x14ac:dyDescent="0.4">
      <c r="A1" s="1537" t="s">
        <v>1280</v>
      </c>
      <c r="B1" s="1537"/>
      <c r="C1" s="1537"/>
      <c r="D1" s="1537"/>
      <c r="E1" s="1537"/>
      <c r="F1" s="1537"/>
      <c r="G1" s="1537"/>
      <c r="H1" s="1537"/>
      <c r="I1" s="1537"/>
      <c r="J1" s="1537"/>
      <c r="K1" s="1537"/>
      <c r="L1" s="1537"/>
      <c r="M1" s="1537"/>
      <c r="N1" s="1537"/>
      <c r="O1" s="1537"/>
      <c r="P1" s="1537"/>
      <c r="Q1" s="1537"/>
      <c r="R1" s="1537"/>
      <c r="S1" s="1537"/>
      <c r="T1" s="1537"/>
      <c r="U1" s="1537"/>
      <c r="V1" s="1537"/>
      <c r="W1" s="1537"/>
    </row>
    <row r="2" spans="1:23" x14ac:dyDescent="0.25">
      <c r="B2" s="695"/>
      <c r="C2" s="695"/>
      <c r="H2" s="1538" t="s">
        <v>875</v>
      </c>
      <c r="I2" s="1539"/>
      <c r="J2" s="1540"/>
      <c r="K2" s="1541" t="s">
        <v>876</v>
      </c>
      <c r="L2" s="1542"/>
      <c r="M2" s="1543"/>
      <c r="N2" s="698" t="s">
        <v>877</v>
      </c>
      <c r="O2" s="1544" t="s">
        <v>878</v>
      </c>
      <c r="P2" s="1545"/>
      <c r="Q2" s="1546" t="s">
        <v>879</v>
      </c>
      <c r="R2" s="1546"/>
      <c r="S2" s="1546" t="s">
        <v>880</v>
      </c>
      <c r="T2" s="1546"/>
      <c r="U2" s="1546"/>
      <c r="V2" s="699"/>
    </row>
    <row r="3" spans="1:23" x14ac:dyDescent="0.25">
      <c r="A3" s="701" t="s">
        <v>881</v>
      </c>
      <c r="B3" s="695"/>
      <c r="C3" s="695"/>
      <c r="H3" s="702"/>
      <c r="I3" s="698"/>
      <c r="J3" s="703"/>
      <c r="K3" s="704"/>
      <c r="L3" s="705"/>
      <c r="M3" s="706"/>
      <c r="N3" s="698"/>
      <c r="O3" s="707"/>
      <c r="P3" s="708"/>
      <c r="Q3" s="709"/>
      <c r="R3" s="709"/>
      <c r="S3" s="709"/>
      <c r="T3" s="709"/>
      <c r="U3" s="709"/>
      <c r="V3" s="699"/>
    </row>
    <row r="4" spans="1:23" x14ac:dyDescent="0.25">
      <c r="A4" s="710" t="s">
        <v>882</v>
      </c>
      <c r="B4" s="695"/>
      <c r="C4" s="695"/>
      <c r="H4" s="702"/>
      <c r="I4" s="698"/>
      <c r="J4" s="703"/>
      <c r="K4" s="704"/>
      <c r="L4" s="705"/>
      <c r="M4" s="706"/>
      <c r="N4" s="698"/>
      <c r="O4" s="707"/>
      <c r="P4" s="708"/>
      <c r="Q4" s="709"/>
      <c r="R4" s="709"/>
      <c r="S4" s="709"/>
      <c r="T4" s="709"/>
      <c r="U4" s="709"/>
      <c r="V4" s="699"/>
    </row>
    <row r="5" spans="1:23" x14ac:dyDescent="0.25">
      <c r="A5" s="710" t="s">
        <v>883</v>
      </c>
      <c r="B5" s="695"/>
      <c r="C5" s="695"/>
      <c r="H5" s="702"/>
      <c r="I5" s="698"/>
      <c r="J5" s="703"/>
      <c r="K5" s="704"/>
      <c r="L5" s="705"/>
      <c r="M5" s="706"/>
      <c r="N5" s="698"/>
      <c r="O5" s="707"/>
      <c r="P5" s="708"/>
      <c r="Q5" s="709"/>
      <c r="R5" s="709"/>
      <c r="S5" s="709"/>
      <c r="T5" s="709"/>
      <c r="U5" s="709"/>
      <c r="V5" s="699"/>
    </row>
    <row r="6" spans="1:23" x14ac:dyDescent="0.25">
      <c r="A6" s="710"/>
      <c r="B6" s="695"/>
      <c r="C6" s="695"/>
      <c r="H6" s="702"/>
      <c r="I6" s="698"/>
      <c r="J6" s="703"/>
      <c r="K6" s="704"/>
      <c r="L6" s="705"/>
      <c r="M6" s="706"/>
      <c r="N6" s="698"/>
      <c r="O6" s="707"/>
      <c r="P6" s="708"/>
      <c r="Q6" s="709"/>
      <c r="R6" s="709"/>
      <c r="S6" s="709"/>
      <c r="T6" s="709"/>
      <c r="U6" s="709"/>
      <c r="V6" s="699"/>
    </row>
    <row r="7" spans="1:23" x14ac:dyDescent="0.25">
      <c r="A7" s="710"/>
      <c r="B7" s="695"/>
      <c r="C7" s="695"/>
      <c r="H7" s="702"/>
      <c r="I7" s="698"/>
      <c r="J7" s="703"/>
      <c r="K7" s="704"/>
      <c r="L7" s="705"/>
      <c r="M7" s="706"/>
      <c r="N7" s="698"/>
      <c r="O7" s="707"/>
      <c r="P7" s="708"/>
      <c r="Q7" s="709"/>
      <c r="R7" s="709"/>
      <c r="S7" s="709"/>
      <c r="T7" s="709"/>
      <c r="U7" s="709"/>
      <c r="V7" s="699"/>
    </row>
    <row r="8" spans="1:23" x14ac:dyDescent="0.25">
      <c r="A8" s="710" t="s">
        <v>884</v>
      </c>
      <c r="B8" s="695"/>
      <c r="C8" s="695"/>
      <c r="H8" s="702"/>
      <c r="I8" s="698"/>
      <c r="J8" s="703"/>
      <c r="K8" s="704"/>
      <c r="L8" s="705"/>
      <c r="M8" s="706"/>
      <c r="N8" s="698"/>
      <c r="O8" s="707"/>
      <c r="P8" s="708"/>
      <c r="Q8" s="709"/>
      <c r="R8" s="709"/>
      <c r="S8" s="709"/>
      <c r="T8" s="709"/>
      <c r="U8" s="709"/>
      <c r="V8" s="699"/>
    </row>
    <row r="9" spans="1:23" x14ac:dyDescent="0.25">
      <c r="A9" s="710" t="s">
        <v>885</v>
      </c>
      <c r="B9" s="695"/>
      <c r="C9" s="695"/>
      <c r="H9" s="702"/>
      <c r="I9" s="698"/>
      <c r="J9" s="703"/>
      <c r="K9" s="704"/>
      <c r="L9" s="705"/>
      <c r="M9" s="706"/>
      <c r="N9" s="698"/>
      <c r="O9" s="707"/>
      <c r="P9" s="708"/>
      <c r="Q9" s="709"/>
      <c r="R9" s="709"/>
      <c r="S9" s="709"/>
      <c r="T9" s="709"/>
      <c r="U9" s="709"/>
      <c r="V9" s="699"/>
    </row>
    <row r="10" spans="1:23" x14ac:dyDescent="0.25">
      <c r="A10" s="710" t="s">
        <v>886</v>
      </c>
      <c r="B10" s="695"/>
      <c r="C10" s="695"/>
      <c r="H10" s="702"/>
      <c r="I10" s="698"/>
      <c r="J10" s="703"/>
      <c r="K10" s="704"/>
      <c r="L10" s="705"/>
      <c r="M10" s="706"/>
      <c r="N10" s="698"/>
      <c r="O10" s="707"/>
      <c r="P10" s="708"/>
      <c r="Q10" s="709"/>
      <c r="R10" s="709"/>
      <c r="S10" s="709"/>
      <c r="T10" s="709"/>
      <c r="U10" s="709"/>
      <c r="V10" s="699"/>
    </row>
    <row r="11" spans="1:23" x14ac:dyDescent="0.25">
      <c r="A11" s="711" t="s">
        <v>887</v>
      </c>
      <c r="B11" s="711" t="s">
        <v>888</v>
      </c>
      <c r="C11" s="711" t="s">
        <v>889</v>
      </c>
      <c r="D11" s="712" t="s">
        <v>890</v>
      </c>
      <c r="E11" s="712" t="s">
        <v>55</v>
      </c>
      <c r="F11" s="713" t="s">
        <v>891</v>
      </c>
      <c r="G11" s="714" t="s">
        <v>892</v>
      </c>
      <c r="H11" s="715" t="s">
        <v>893</v>
      </c>
      <c r="I11" s="716" t="s">
        <v>894</v>
      </c>
      <c r="J11" s="717" t="s">
        <v>895</v>
      </c>
      <c r="K11" s="718" t="s">
        <v>893</v>
      </c>
      <c r="L11" s="713" t="s">
        <v>894</v>
      </c>
      <c r="M11" s="719" t="s">
        <v>895</v>
      </c>
      <c r="N11" s="716" t="s">
        <v>896</v>
      </c>
      <c r="O11" s="720" t="s">
        <v>66</v>
      </c>
      <c r="P11" s="721" t="s">
        <v>897</v>
      </c>
      <c r="Q11" s="721" t="s">
        <v>66</v>
      </c>
      <c r="R11" s="721" t="s">
        <v>897</v>
      </c>
      <c r="S11" s="721" t="s">
        <v>898</v>
      </c>
      <c r="T11" s="721" t="s">
        <v>899</v>
      </c>
      <c r="U11" s="721" t="s">
        <v>9</v>
      </c>
      <c r="V11" s="722" t="s">
        <v>900</v>
      </c>
      <c r="W11" s="723" t="s">
        <v>901</v>
      </c>
    </row>
    <row r="12" spans="1:23" x14ac:dyDescent="0.25">
      <c r="A12" s="694" t="s">
        <v>902</v>
      </c>
      <c r="B12" s="694" t="s">
        <v>903</v>
      </c>
      <c r="C12" s="694" t="s">
        <v>904</v>
      </c>
      <c r="D12" s="724" t="s">
        <v>905</v>
      </c>
      <c r="E12" s="724" t="s">
        <v>66</v>
      </c>
      <c r="F12" s="725">
        <v>25</v>
      </c>
      <c r="G12" s="726">
        <f>+O12</f>
        <v>18.7</v>
      </c>
      <c r="H12" s="727"/>
      <c r="I12" s="728">
        <v>25</v>
      </c>
      <c r="J12" s="729">
        <f t="shared" ref="J12:J42" si="0">I12*$J$164</f>
        <v>75</v>
      </c>
      <c r="K12" s="730"/>
      <c r="L12" s="725">
        <f t="shared" ref="L12:M41" si="1">+O12*1.2</f>
        <v>22.439999999999998</v>
      </c>
      <c r="M12" s="731">
        <f t="shared" si="1"/>
        <v>64.679999999999993</v>
      </c>
      <c r="N12" s="728">
        <v>25</v>
      </c>
      <c r="O12" s="732">
        <v>18.7</v>
      </c>
      <c r="P12" s="733">
        <v>53.9</v>
      </c>
      <c r="V12" s="699"/>
      <c r="W12" s="734" t="s">
        <v>906</v>
      </c>
    </row>
    <row r="13" spans="1:23" x14ac:dyDescent="0.25">
      <c r="A13" s="694" t="s">
        <v>902</v>
      </c>
      <c r="B13" s="694" t="s">
        <v>907</v>
      </c>
      <c r="C13" s="694" t="s">
        <v>904</v>
      </c>
      <c r="D13" s="724" t="s">
        <v>905</v>
      </c>
      <c r="E13" s="724" t="s">
        <v>67</v>
      </c>
      <c r="F13" s="725">
        <v>75</v>
      </c>
      <c r="G13" s="726">
        <f>+P13</f>
        <v>53.9</v>
      </c>
      <c r="H13" s="727"/>
      <c r="I13" s="728">
        <v>25</v>
      </c>
      <c r="J13" s="729">
        <f t="shared" si="0"/>
        <v>75</v>
      </c>
      <c r="K13" s="730"/>
      <c r="L13" s="725">
        <f t="shared" si="1"/>
        <v>22.439999999999998</v>
      </c>
      <c r="M13" s="731">
        <f t="shared" si="1"/>
        <v>64.679999999999993</v>
      </c>
      <c r="N13" s="728">
        <v>25</v>
      </c>
      <c r="O13" s="732">
        <v>18.7</v>
      </c>
      <c r="P13" s="733">
        <v>53.9</v>
      </c>
      <c r="V13" s="699"/>
      <c r="W13" s="734" t="s">
        <v>906</v>
      </c>
    </row>
    <row r="14" spans="1:23" ht="30" x14ac:dyDescent="0.25">
      <c r="A14" s="694" t="s">
        <v>902</v>
      </c>
      <c r="B14" s="694" t="s">
        <v>908</v>
      </c>
      <c r="C14" s="694" t="s">
        <v>909</v>
      </c>
      <c r="D14" s="724" t="s">
        <v>910</v>
      </c>
      <c r="E14" s="724" t="s">
        <v>66</v>
      </c>
      <c r="F14" s="725">
        <v>120</v>
      </c>
      <c r="G14" s="726">
        <f t="shared" ref="G14" si="2">+O14</f>
        <v>61.05</v>
      </c>
      <c r="H14" s="727"/>
      <c r="I14" s="728">
        <v>120</v>
      </c>
      <c r="J14" s="729">
        <f t="shared" si="0"/>
        <v>360</v>
      </c>
      <c r="K14" s="730"/>
      <c r="L14" s="725">
        <f t="shared" si="1"/>
        <v>73.259999999999991</v>
      </c>
      <c r="M14" s="731">
        <f t="shared" si="1"/>
        <v>214.5</v>
      </c>
      <c r="N14" s="728" t="s">
        <v>911</v>
      </c>
      <c r="O14" s="732">
        <v>61.05</v>
      </c>
      <c r="P14" s="733">
        <v>178.75</v>
      </c>
      <c r="V14" s="699"/>
      <c r="W14" s="734" t="s">
        <v>906</v>
      </c>
    </row>
    <row r="15" spans="1:23" ht="28.5" customHeight="1" x14ac:dyDescent="0.25">
      <c r="A15" s="694" t="s">
        <v>902</v>
      </c>
      <c r="B15" s="694" t="s">
        <v>912</v>
      </c>
      <c r="C15" s="694" t="s">
        <v>909</v>
      </c>
      <c r="D15" s="724" t="s">
        <v>910</v>
      </c>
      <c r="E15" s="724" t="s">
        <v>67</v>
      </c>
      <c r="F15" s="725">
        <v>360</v>
      </c>
      <c r="G15" s="726">
        <f t="shared" ref="G15" si="3">+P15</f>
        <v>178.75</v>
      </c>
      <c r="H15" s="727"/>
      <c r="I15" s="728">
        <v>120</v>
      </c>
      <c r="J15" s="729">
        <f t="shared" si="0"/>
        <v>360</v>
      </c>
      <c r="K15" s="730"/>
      <c r="L15" s="725">
        <f t="shared" si="1"/>
        <v>73.259999999999991</v>
      </c>
      <c r="M15" s="731">
        <f t="shared" si="1"/>
        <v>214.5</v>
      </c>
      <c r="N15" s="728" t="s">
        <v>911</v>
      </c>
      <c r="O15" s="732">
        <v>61.05</v>
      </c>
      <c r="P15" s="733">
        <v>178.75</v>
      </c>
      <c r="V15" s="699"/>
      <c r="W15" s="734" t="s">
        <v>906</v>
      </c>
    </row>
    <row r="16" spans="1:23" hidden="1" x14ac:dyDescent="0.25">
      <c r="A16" s="694" t="s">
        <v>902</v>
      </c>
      <c r="B16" s="694" t="s">
        <v>913</v>
      </c>
      <c r="C16" s="694" t="s">
        <v>914</v>
      </c>
      <c r="D16" s="724" t="s">
        <v>915</v>
      </c>
      <c r="E16" s="724" t="s">
        <v>66</v>
      </c>
      <c r="F16" s="725">
        <v>10</v>
      </c>
      <c r="G16" s="735">
        <v>3.42</v>
      </c>
      <c r="H16" s="727"/>
      <c r="J16" s="729"/>
      <c r="K16" s="730"/>
      <c r="L16" s="725"/>
      <c r="M16" s="731"/>
      <c r="O16" s="732"/>
      <c r="V16" s="699"/>
      <c r="W16" s="734" t="s">
        <v>906</v>
      </c>
    </row>
    <row r="17" spans="1:23" hidden="1" x14ac:dyDescent="0.25">
      <c r="A17" s="694" t="s">
        <v>902</v>
      </c>
      <c r="B17" s="694" t="s">
        <v>916</v>
      </c>
      <c r="C17" s="694" t="s">
        <v>914</v>
      </c>
      <c r="D17" s="724" t="s">
        <v>915</v>
      </c>
      <c r="E17" s="724" t="s">
        <v>67</v>
      </c>
      <c r="F17" s="725">
        <v>30</v>
      </c>
      <c r="G17" s="735">
        <v>10.26</v>
      </c>
      <c r="H17" s="727"/>
      <c r="J17" s="729"/>
      <c r="K17" s="730"/>
      <c r="L17" s="725"/>
      <c r="M17" s="731"/>
      <c r="O17" s="732"/>
      <c r="V17" s="699"/>
      <c r="W17" s="734" t="s">
        <v>906</v>
      </c>
    </row>
    <row r="18" spans="1:23" hidden="1" x14ac:dyDescent="0.25">
      <c r="A18" s="694" t="s">
        <v>902</v>
      </c>
      <c r="B18" s="694" t="s">
        <v>917</v>
      </c>
      <c r="C18" s="694" t="s">
        <v>918</v>
      </c>
      <c r="D18" s="724" t="s">
        <v>919</v>
      </c>
      <c r="E18" s="724" t="s">
        <v>920</v>
      </c>
      <c r="F18" s="725">
        <v>1</v>
      </c>
      <c r="G18" s="726"/>
      <c r="H18" s="727"/>
      <c r="J18" s="729"/>
      <c r="K18" s="730"/>
      <c r="L18" s="725"/>
      <c r="M18" s="731"/>
      <c r="O18" s="732"/>
      <c r="V18" s="699"/>
      <c r="W18" s="734" t="s">
        <v>906</v>
      </c>
    </row>
    <row r="19" spans="1:23" x14ac:dyDescent="0.25">
      <c r="A19" s="694" t="s">
        <v>902</v>
      </c>
      <c r="B19" s="694" t="s">
        <v>921</v>
      </c>
      <c r="C19" s="694" t="s">
        <v>922</v>
      </c>
      <c r="D19" s="724" t="s">
        <v>923</v>
      </c>
      <c r="E19" s="724" t="s">
        <v>66</v>
      </c>
      <c r="F19" s="725">
        <v>30</v>
      </c>
      <c r="G19" s="726">
        <f t="shared" ref="G19" si="4">+O19</f>
        <v>18.7</v>
      </c>
      <c r="H19" s="727"/>
      <c r="I19" s="728">
        <v>30</v>
      </c>
      <c r="J19" s="729">
        <f t="shared" si="0"/>
        <v>90</v>
      </c>
      <c r="K19" s="730"/>
      <c r="L19" s="725">
        <f t="shared" si="1"/>
        <v>22.439999999999998</v>
      </c>
      <c r="M19" s="731">
        <f t="shared" si="1"/>
        <v>64.679999999999993</v>
      </c>
      <c r="N19" s="728">
        <v>30</v>
      </c>
      <c r="O19" s="732">
        <v>18.7</v>
      </c>
      <c r="P19" s="733">
        <v>53.9</v>
      </c>
      <c r="V19" s="699"/>
      <c r="W19" s="734" t="s">
        <v>906</v>
      </c>
    </row>
    <row r="20" spans="1:23" x14ac:dyDescent="0.25">
      <c r="A20" s="694" t="s">
        <v>902</v>
      </c>
      <c r="B20" s="694" t="s">
        <v>924</v>
      </c>
      <c r="C20" s="694" t="s">
        <v>922</v>
      </c>
      <c r="D20" s="724" t="s">
        <v>923</v>
      </c>
      <c r="E20" s="724" t="s">
        <v>67</v>
      </c>
      <c r="F20" s="725">
        <v>90</v>
      </c>
      <c r="G20" s="726">
        <f t="shared" ref="G20" si="5">+P20</f>
        <v>53.9</v>
      </c>
      <c r="H20" s="727"/>
      <c r="I20" s="728">
        <v>30</v>
      </c>
      <c r="J20" s="729">
        <f t="shared" si="0"/>
        <v>90</v>
      </c>
      <c r="K20" s="730"/>
      <c r="L20" s="725">
        <f t="shared" si="1"/>
        <v>22.439999999999998</v>
      </c>
      <c r="M20" s="731">
        <f t="shared" si="1"/>
        <v>64.679999999999993</v>
      </c>
      <c r="N20" s="728">
        <v>30</v>
      </c>
      <c r="O20" s="732">
        <v>18.7</v>
      </c>
      <c r="P20" s="733">
        <v>53.9</v>
      </c>
      <c r="V20" s="699"/>
      <c r="W20" s="734" t="s">
        <v>906</v>
      </c>
    </row>
    <row r="21" spans="1:23" x14ac:dyDescent="0.25">
      <c r="A21" s="694" t="s">
        <v>902</v>
      </c>
      <c r="B21" s="694" t="s">
        <v>925</v>
      </c>
      <c r="C21" s="694" t="s">
        <v>56</v>
      </c>
      <c r="D21" s="724" t="s">
        <v>926</v>
      </c>
      <c r="E21" s="724" t="s">
        <v>66</v>
      </c>
      <c r="F21" s="725">
        <v>50</v>
      </c>
      <c r="G21" s="726">
        <f t="shared" ref="G21" si="6">+O21</f>
        <v>28.05</v>
      </c>
      <c r="H21" s="727"/>
      <c r="I21" s="728">
        <v>40</v>
      </c>
      <c r="J21" s="729">
        <f t="shared" si="0"/>
        <v>120</v>
      </c>
      <c r="K21" s="730"/>
      <c r="L21" s="725">
        <f t="shared" si="1"/>
        <v>33.659999999999997</v>
      </c>
      <c r="M21" s="731">
        <f t="shared" si="1"/>
        <v>100.32</v>
      </c>
      <c r="O21" s="732">
        <v>28.05</v>
      </c>
      <c r="P21" s="733">
        <v>83.6</v>
      </c>
      <c r="V21" s="699"/>
      <c r="W21" s="734" t="s">
        <v>906</v>
      </c>
    </row>
    <row r="22" spans="1:23" x14ac:dyDescent="0.25">
      <c r="A22" s="694" t="s">
        <v>902</v>
      </c>
      <c r="B22" s="694" t="s">
        <v>927</v>
      </c>
      <c r="C22" s="694" t="s">
        <v>56</v>
      </c>
      <c r="D22" s="724" t="s">
        <v>926</v>
      </c>
      <c r="E22" s="724" t="s">
        <v>67</v>
      </c>
      <c r="F22" s="725">
        <v>120</v>
      </c>
      <c r="G22" s="726">
        <f t="shared" ref="G22" si="7">+P22</f>
        <v>83.6</v>
      </c>
      <c r="H22" s="727"/>
      <c r="I22" s="728">
        <v>40</v>
      </c>
      <c r="J22" s="729">
        <f t="shared" si="0"/>
        <v>120</v>
      </c>
      <c r="K22" s="730"/>
      <c r="L22" s="725">
        <f t="shared" si="1"/>
        <v>33.659999999999997</v>
      </c>
      <c r="M22" s="731">
        <f t="shared" si="1"/>
        <v>100.32</v>
      </c>
      <c r="O22" s="732">
        <v>28.05</v>
      </c>
      <c r="P22" s="733">
        <v>83.6</v>
      </c>
      <c r="V22" s="699"/>
      <c r="W22" s="734" t="s">
        <v>906</v>
      </c>
    </row>
    <row r="23" spans="1:23" ht="30" x14ac:dyDescent="0.25">
      <c r="A23" s="694" t="s">
        <v>902</v>
      </c>
      <c r="B23" s="694" t="s">
        <v>928</v>
      </c>
      <c r="C23" s="724" t="s">
        <v>929</v>
      </c>
      <c r="D23" s="724" t="s">
        <v>930</v>
      </c>
      <c r="E23" s="724" t="s">
        <v>66</v>
      </c>
      <c r="F23" s="725">
        <v>70</v>
      </c>
      <c r="G23" s="726">
        <f t="shared" ref="G23" si="8">+O23</f>
        <v>52.25</v>
      </c>
      <c r="H23" s="727"/>
      <c r="I23" s="728">
        <v>70</v>
      </c>
      <c r="J23" s="729">
        <f t="shared" si="0"/>
        <v>210</v>
      </c>
      <c r="K23" s="730"/>
      <c r="L23" s="725">
        <f t="shared" si="1"/>
        <v>62.699999999999996</v>
      </c>
      <c r="M23" s="731">
        <f t="shared" si="1"/>
        <v>139.91999999999999</v>
      </c>
      <c r="O23" s="732">
        <v>52.25</v>
      </c>
      <c r="P23" s="733">
        <v>116.6</v>
      </c>
      <c r="V23" s="699"/>
      <c r="W23" s="734" t="s">
        <v>906</v>
      </c>
    </row>
    <row r="24" spans="1:23" ht="30" x14ac:dyDescent="0.25">
      <c r="A24" s="694" t="s">
        <v>902</v>
      </c>
      <c r="B24" s="694" t="s">
        <v>931</v>
      </c>
      <c r="C24" s="724" t="s">
        <v>929</v>
      </c>
      <c r="D24" s="724" t="s">
        <v>930</v>
      </c>
      <c r="E24" s="724" t="s">
        <v>67</v>
      </c>
      <c r="F24" s="725">
        <v>210</v>
      </c>
      <c r="G24" s="726">
        <f t="shared" ref="G24" si="9">+P24</f>
        <v>116.6</v>
      </c>
      <c r="H24" s="727"/>
      <c r="I24" s="728">
        <v>70</v>
      </c>
      <c r="J24" s="729">
        <f t="shared" si="0"/>
        <v>210</v>
      </c>
      <c r="K24" s="730"/>
      <c r="L24" s="725">
        <f t="shared" si="1"/>
        <v>62.699999999999996</v>
      </c>
      <c r="M24" s="731">
        <f t="shared" si="1"/>
        <v>139.91999999999999</v>
      </c>
      <c r="O24" s="732">
        <v>52.25</v>
      </c>
      <c r="P24" s="733">
        <v>116.6</v>
      </c>
      <c r="V24" s="699"/>
      <c r="W24" s="734" t="s">
        <v>906</v>
      </c>
    </row>
    <row r="25" spans="1:23" ht="30" x14ac:dyDescent="0.25">
      <c r="A25" s="694" t="s">
        <v>902</v>
      </c>
      <c r="B25" s="694" t="s">
        <v>932</v>
      </c>
      <c r="C25" s="724" t="s">
        <v>933</v>
      </c>
      <c r="D25" s="724" t="s">
        <v>934</v>
      </c>
      <c r="E25" s="724" t="s">
        <v>66</v>
      </c>
      <c r="F25" s="725">
        <v>35</v>
      </c>
      <c r="G25" s="726">
        <f t="shared" ref="G25" si="10">+O25</f>
        <v>21.45</v>
      </c>
      <c r="H25" s="727"/>
      <c r="I25" s="728">
        <v>35</v>
      </c>
      <c r="J25" s="729">
        <f t="shared" si="0"/>
        <v>105</v>
      </c>
      <c r="K25" s="730"/>
      <c r="L25" s="725">
        <f t="shared" si="1"/>
        <v>25.74</v>
      </c>
      <c r="M25" s="731">
        <f t="shared" si="1"/>
        <v>75.899999999999991</v>
      </c>
      <c r="N25" s="728">
        <v>35</v>
      </c>
      <c r="O25" s="732">
        <v>21.45</v>
      </c>
      <c r="P25" s="733">
        <v>63.25</v>
      </c>
      <c r="V25" s="699"/>
      <c r="W25" s="734" t="s">
        <v>906</v>
      </c>
    </row>
    <row r="26" spans="1:23" ht="30" x14ac:dyDescent="0.25">
      <c r="A26" s="694" t="s">
        <v>902</v>
      </c>
      <c r="B26" s="694" t="s">
        <v>935</v>
      </c>
      <c r="C26" s="724" t="s">
        <v>933</v>
      </c>
      <c r="D26" s="724" t="s">
        <v>934</v>
      </c>
      <c r="E26" s="724" t="s">
        <v>67</v>
      </c>
      <c r="F26" s="725">
        <v>105</v>
      </c>
      <c r="G26" s="726">
        <f t="shared" ref="G26" si="11">+P26</f>
        <v>63.25</v>
      </c>
      <c r="H26" s="727"/>
      <c r="I26" s="728">
        <v>35</v>
      </c>
      <c r="J26" s="729">
        <f t="shared" si="0"/>
        <v>105</v>
      </c>
      <c r="K26" s="730"/>
      <c r="L26" s="725">
        <f t="shared" si="1"/>
        <v>25.74</v>
      </c>
      <c r="M26" s="731">
        <f t="shared" si="1"/>
        <v>75.899999999999991</v>
      </c>
      <c r="N26" s="728">
        <v>35</v>
      </c>
      <c r="O26" s="732">
        <v>21.45</v>
      </c>
      <c r="P26" s="733">
        <v>63.25</v>
      </c>
      <c r="V26" s="699"/>
      <c r="W26" s="734" t="s">
        <v>906</v>
      </c>
    </row>
    <row r="27" spans="1:23" x14ac:dyDescent="0.25">
      <c r="A27" s="694" t="s">
        <v>902</v>
      </c>
      <c r="B27" s="694" t="s">
        <v>936</v>
      </c>
      <c r="C27" s="694" t="s">
        <v>59</v>
      </c>
      <c r="D27" s="724" t="s">
        <v>937</v>
      </c>
      <c r="E27" s="724" t="s">
        <v>66</v>
      </c>
      <c r="F27" s="725">
        <v>35</v>
      </c>
      <c r="G27" s="726">
        <f t="shared" ref="G27" si="12">+O27</f>
        <v>15.95</v>
      </c>
      <c r="H27" s="727"/>
      <c r="I27" s="728">
        <v>35</v>
      </c>
      <c r="J27" s="729">
        <f t="shared" si="0"/>
        <v>105</v>
      </c>
      <c r="K27" s="730"/>
      <c r="L27" s="725">
        <f t="shared" si="1"/>
        <v>19.139999999999997</v>
      </c>
      <c r="M27" s="731">
        <f t="shared" si="1"/>
        <v>57.42</v>
      </c>
      <c r="N27" s="728">
        <v>35</v>
      </c>
      <c r="O27" s="732">
        <v>15.95</v>
      </c>
      <c r="P27" s="733">
        <v>47.85</v>
      </c>
      <c r="V27" s="699"/>
      <c r="W27" s="734" t="s">
        <v>906</v>
      </c>
    </row>
    <row r="28" spans="1:23" x14ac:dyDescent="0.25">
      <c r="A28" s="694" t="s">
        <v>902</v>
      </c>
      <c r="B28" s="694" t="s">
        <v>938</v>
      </c>
      <c r="C28" s="694" t="s">
        <v>59</v>
      </c>
      <c r="D28" s="724" t="s">
        <v>937</v>
      </c>
      <c r="E28" s="724" t="s">
        <v>67</v>
      </c>
      <c r="F28" s="725">
        <v>105</v>
      </c>
      <c r="G28" s="726">
        <f t="shared" ref="G28" si="13">+P28</f>
        <v>47.85</v>
      </c>
      <c r="H28" s="727"/>
      <c r="I28" s="728">
        <v>35</v>
      </c>
      <c r="J28" s="729">
        <f t="shared" si="0"/>
        <v>105</v>
      </c>
      <c r="K28" s="730"/>
      <c r="L28" s="725">
        <f t="shared" si="1"/>
        <v>19.139999999999997</v>
      </c>
      <c r="M28" s="731">
        <f t="shared" si="1"/>
        <v>57.42</v>
      </c>
      <c r="N28" s="728">
        <v>35</v>
      </c>
      <c r="O28" s="732">
        <v>15.95</v>
      </c>
      <c r="P28" s="733">
        <v>47.85</v>
      </c>
      <c r="V28" s="699"/>
      <c r="W28" s="734" t="s">
        <v>906</v>
      </c>
    </row>
    <row r="29" spans="1:23" x14ac:dyDescent="0.25">
      <c r="A29" s="694" t="s">
        <v>902</v>
      </c>
      <c r="B29" s="694" t="s">
        <v>939</v>
      </c>
      <c r="C29" s="694" t="s">
        <v>940</v>
      </c>
      <c r="D29" s="724" t="s">
        <v>941</v>
      </c>
      <c r="E29" s="724" t="s">
        <v>66</v>
      </c>
      <c r="F29" s="725">
        <v>50</v>
      </c>
      <c r="G29" s="726">
        <f t="shared" ref="G29" si="14">+O29</f>
        <v>21.45</v>
      </c>
      <c r="H29" s="727"/>
      <c r="I29" s="728">
        <v>50</v>
      </c>
      <c r="J29" s="729">
        <f t="shared" si="0"/>
        <v>150</v>
      </c>
      <c r="K29" s="730"/>
      <c r="L29" s="725">
        <f t="shared" si="1"/>
        <v>25.74</v>
      </c>
      <c r="M29" s="731">
        <f t="shared" si="1"/>
        <v>75.899999999999991</v>
      </c>
      <c r="N29" s="728">
        <v>50</v>
      </c>
      <c r="O29" s="732">
        <v>21.45</v>
      </c>
      <c r="P29" s="733">
        <v>63.25</v>
      </c>
      <c r="V29" s="699"/>
      <c r="W29" s="734" t="s">
        <v>906</v>
      </c>
    </row>
    <row r="30" spans="1:23" x14ac:dyDescent="0.25">
      <c r="A30" s="694" t="s">
        <v>902</v>
      </c>
      <c r="B30" s="694" t="s">
        <v>942</v>
      </c>
      <c r="C30" s="694" t="s">
        <v>940</v>
      </c>
      <c r="D30" s="724" t="s">
        <v>941</v>
      </c>
      <c r="E30" s="724" t="s">
        <v>67</v>
      </c>
      <c r="F30" s="725">
        <v>150</v>
      </c>
      <c r="G30" s="726">
        <f t="shared" ref="G30" si="15">+P30</f>
        <v>63.25</v>
      </c>
      <c r="H30" s="727"/>
      <c r="I30" s="728">
        <v>50</v>
      </c>
      <c r="J30" s="729">
        <f t="shared" si="0"/>
        <v>150</v>
      </c>
      <c r="K30" s="730"/>
      <c r="L30" s="725">
        <f t="shared" si="1"/>
        <v>25.74</v>
      </c>
      <c r="M30" s="731">
        <f t="shared" si="1"/>
        <v>75.899999999999991</v>
      </c>
      <c r="N30" s="728">
        <v>50</v>
      </c>
      <c r="O30" s="732">
        <v>21.45</v>
      </c>
      <c r="P30" s="733">
        <v>63.25</v>
      </c>
      <c r="V30" s="699"/>
      <c r="W30" s="734" t="s">
        <v>906</v>
      </c>
    </row>
    <row r="31" spans="1:23" x14ac:dyDescent="0.25">
      <c r="A31" s="694" t="s">
        <v>902</v>
      </c>
      <c r="B31" s="694" t="s">
        <v>943</v>
      </c>
      <c r="C31" s="694" t="s">
        <v>944</v>
      </c>
      <c r="D31" s="724" t="s">
        <v>945</v>
      </c>
      <c r="E31" s="724" t="s">
        <v>66</v>
      </c>
      <c r="F31" s="725">
        <v>35</v>
      </c>
      <c r="G31" s="726">
        <f t="shared" ref="G31" si="16">+O31</f>
        <v>15.95</v>
      </c>
      <c r="H31" s="727"/>
      <c r="I31" s="728">
        <v>50</v>
      </c>
      <c r="J31" s="729">
        <f t="shared" si="0"/>
        <v>150</v>
      </c>
      <c r="K31" s="730"/>
      <c r="L31" s="725">
        <f t="shared" si="1"/>
        <v>19.139999999999997</v>
      </c>
      <c r="M31" s="731">
        <f t="shared" si="1"/>
        <v>54.12</v>
      </c>
      <c r="N31" s="728">
        <v>50</v>
      </c>
      <c r="O31" s="732">
        <v>15.95</v>
      </c>
      <c r="P31" s="733">
        <v>45.1</v>
      </c>
      <c r="V31" s="699"/>
      <c r="W31" s="734" t="s">
        <v>906</v>
      </c>
    </row>
    <row r="32" spans="1:23" x14ac:dyDescent="0.25">
      <c r="A32" s="694" t="s">
        <v>902</v>
      </c>
      <c r="B32" s="694" t="s">
        <v>946</v>
      </c>
      <c r="C32" s="694" t="s">
        <v>944</v>
      </c>
      <c r="D32" s="724" t="s">
        <v>945</v>
      </c>
      <c r="E32" s="724" t="s">
        <v>67</v>
      </c>
      <c r="F32" s="725">
        <v>105</v>
      </c>
      <c r="G32" s="726">
        <f t="shared" ref="G32" si="17">+P32</f>
        <v>45.1</v>
      </c>
      <c r="H32" s="727"/>
      <c r="I32" s="728">
        <v>50</v>
      </c>
      <c r="J32" s="729">
        <f t="shared" si="0"/>
        <v>150</v>
      </c>
      <c r="K32" s="730"/>
      <c r="L32" s="725">
        <f t="shared" si="1"/>
        <v>19.139999999999997</v>
      </c>
      <c r="M32" s="731">
        <f t="shared" si="1"/>
        <v>54.12</v>
      </c>
      <c r="N32" s="728">
        <v>50</v>
      </c>
      <c r="O32" s="732">
        <v>15.95</v>
      </c>
      <c r="P32" s="733">
        <v>45.1</v>
      </c>
      <c r="V32" s="699"/>
      <c r="W32" s="734" t="s">
        <v>906</v>
      </c>
    </row>
    <row r="33" spans="1:23" x14ac:dyDescent="0.25">
      <c r="A33" s="694" t="s">
        <v>902</v>
      </c>
      <c r="B33" s="694" t="s">
        <v>947</v>
      </c>
      <c r="C33" s="694" t="s">
        <v>948</v>
      </c>
      <c r="D33" s="724" t="s">
        <v>949</v>
      </c>
      <c r="E33" s="724" t="s">
        <v>66</v>
      </c>
      <c r="F33" s="725">
        <v>50</v>
      </c>
      <c r="G33" s="736" t="s">
        <v>950</v>
      </c>
      <c r="H33" s="727"/>
      <c r="J33" s="729"/>
      <c r="K33" s="730"/>
      <c r="L33" s="725"/>
      <c r="M33" s="731"/>
      <c r="O33" s="732"/>
      <c r="V33" s="699"/>
      <c r="W33" s="734" t="s">
        <v>906</v>
      </c>
    </row>
    <row r="34" spans="1:23" x14ac:dyDescent="0.25">
      <c r="A34" s="694" t="s">
        <v>902</v>
      </c>
      <c r="B34" s="694" t="s">
        <v>951</v>
      </c>
      <c r="C34" s="694" t="s">
        <v>948</v>
      </c>
      <c r="D34" s="724" t="s">
        <v>949</v>
      </c>
      <c r="E34" s="724" t="s">
        <v>67</v>
      </c>
      <c r="F34" s="725">
        <v>150</v>
      </c>
      <c r="G34" s="736" t="s">
        <v>950</v>
      </c>
      <c r="H34" s="727"/>
      <c r="J34" s="729"/>
      <c r="K34" s="730"/>
      <c r="L34" s="725"/>
      <c r="M34" s="731"/>
      <c r="O34" s="732"/>
      <c r="V34" s="699"/>
      <c r="W34" s="734" t="s">
        <v>906</v>
      </c>
    </row>
    <row r="35" spans="1:23" x14ac:dyDescent="0.25">
      <c r="A35" s="694" t="s">
        <v>902</v>
      </c>
      <c r="B35" s="694" t="s">
        <v>952</v>
      </c>
      <c r="C35" s="694" t="s">
        <v>953</v>
      </c>
      <c r="D35" s="724" t="s">
        <v>954</v>
      </c>
      <c r="E35" s="724" t="s">
        <v>66</v>
      </c>
      <c r="F35" s="725">
        <v>100</v>
      </c>
      <c r="G35" s="726">
        <f t="shared" ref="G35" si="18">+O35</f>
        <v>58.3</v>
      </c>
      <c r="H35" s="727"/>
      <c r="I35" s="728">
        <v>100</v>
      </c>
      <c r="J35" s="729">
        <f t="shared" si="0"/>
        <v>300</v>
      </c>
      <c r="K35" s="730"/>
      <c r="L35" s="725">
        <f t="shared" si="1"/>
        <v>69.959999999999994</v>
      </c>
      <c r="M35" s="731">
        <f t="shared" si="1"/>
        <v>208.56</v>
      </c>
      <c r="O35" s="732">
        <v>58.3</v>
      </c>
      <c r="P35" s="733">
        <v>173.8</v>
      </c>
      <c r="V35" s="699"/>
      <c r="W35" s="734" t="s">
        <v>906</v>
      </c>
    </row>
    <row r="36" spans="1:23" x14ac:dyDescent="0.25">
      <c r="A36" s="694" t="s">
        <v>902</v>
      </c>
      <c r="B36" s="694" t="s">
        <v>955</v>
      </c>
      <c r="C36" s="694" t="s">
        <v>953</v>
      </c>
      <c r="D36" s="724" t="s">
        <v>954</v>
      </c>
      <c r="E36" s="724" t="s">
        <v>67</v>
      </c>
      <c r="F36" s="725">
        <v>300</v>
      </c>
      <c r="G36" s="726">
        <f t="shared" ref="G36" si="19">+P36</f>
        <v>173.8</v>
      </c>
      <c r="H36" s="727"/>
      <c r="I36" s="728">
        <v>100</v>
      </c>
      <c r="J36" s="729">
        <f t="shared" si="0"/>
        <v>300</v>
      </c>
      <c r="K36" s="730"/>
      <c r="L36" s="725">
        <f t="shared" si="1"/>
        <v>69.959999999999994</v>
      </c>
      <c r="M36" s="731">
        <f t="shared" si="1"/>
        <v>208.56</v>
      </c>
      <c r="O36" s="732">
        <v>58.3</v>
      </c>
      <c r="P36" s="733">
        <v>173.8</v>
      </c>
      <c r="V36" s="699"/>
      <c r="W36" s="734" t="s">
        <v>906</v>
      </c>
    </row>
    <row r="37" spans="1:23" x14ac:dyDescent="0.25">
      <c r="A37" s="694" t="s">
        <v>902</v>
      </c>
      <c r="B37" s="694" t="s">
        <v>956</v>
      </c>
      <c r="C37" s="694" t="s">
        <v>957</v>
      </c>
      <c r="D37" s="724" t="s">
        <v>958</v>
      </c>
      <c r="E37" s="724" t="s">
        <v>66</v>
      </c>
      <c r="F37" s="725">
        <v>50</v>
      </c>
      <c r="G37" s="736" t="s">
        <v>950</v>
      </c>
      <c r="H37" s="727"/>
      <c r="J37" s="729"/>
      <c r="K37" s="730"/>
      <c r="L37" s="725"/>
      <c r="M37" s="731"/>
      <c r="O37" s="732"/>
      <c r="V37" s="699"/>
      <c r="W37" s="734" t="s">
        <v>906</v>
      </c>
    </row>
    <row r="38" spans="1:23" x14ac:dyDescent="0.25">
      <c r="A38" s="694" t="s">
        <v>902</v>
      </c>
      <c r="B38" s="694" t="s">
        <v>959</v>
      </c>
      <c r="C38" s="694" t="s">
        <v>957</v>
      </c>
      <c r="D38" s="724" t="s">
        <v>958</v>
      </c>
      <c r="E38" s="724" t="s">
        <v>67</v>
      </c>
      <c r="F38" s="725">
        <v>150</v>
      </c>
      <c r="G38" s="736" t="s">
        <v>950</v>
      </c>
      <c r="H38" s="727"/>
      <c r="J38" s="729"/>
      <c r="K38" s="730"/>
      <c r="L38" s="725"/>
      <c r="M38" s="731"/>
      <c r="O38" s="732"/>
      <c r="V38" s="699"/>
      <c r="W38" s="734" t="s">
        <v>906</v>
      </c>
    </row>
    <row r="39" spans="1:23" ht="30" x14ac:dyDescent="0.25">
      <c r="A39" s="694" t="s">
        <v>902</v>
      </c>
      <c r="B39" s="694" t="s">
        <v>960</v>
      </c>
      <c r="C39" s="694" t="s">
        <v>961</v>
      </c>
      <c r="D39" s="724" t="s">
        <v>962</v>
      </c>
      <c r="E39" s="724" t="s">
        <v>66</v>
      </c>
      <c r="F39" s="725">
        <v>45</v>
      </c>
      <c r="G39" s="726">
        <f t="shared" ref="G39" si="20">+O39</f>
        <v>30.8</v>
      </c>
      <c r="H39" s="727"/>
      <c r="I39" s="728">
        <v>50</v>
      </c>
      <c r="J39" s="729">
        <f t="shared" si="0"/>
        <v>150</v>
      </c>
      <c r="K39" s="730"/>
      <c r="L39" s="725">
        <f t="shared" si="1"/>
        <v>36.96</v>
      </c>
      <c r="M39" s="731">
        <f t="shared" si="1"/>
        <v>107.58</v>
      </c>
      <c r="O39" s="732">
        <v>30.8</v>
      </c>
      <c r="P39" s="733">
        <v>89.65</v>
      </c>
      <c r="V39" s="699"/>
      <c r="W39" s="734" t="s">
        <v>906</v>
      </c>
    </row>
    <row r="40" spans="1:23" ht="30" x14ac:dyDescent="0.25">
      <c r="A40" s="694" t="s">
        <v>902</v>
      </c>
      <c r="B40" s="694" t="s">
        <v>963</v>
      </c>
      <c r="C40" s="694" t="s">
        <v>961</v>
      </c>
      <c r="D40" s="724" t="s">
        <v>962</v>
      </c>
      <c r="E40" s="724" t="s">
        <v>67</v>
      </c>
      <c r="F40" s="725">
        <v>135</v>
      </c>
      <c r="G40" s="726">
        <f t="shared" ref="G40" si="21">+P40</f>
        <v>89.65</v>
      </c>
      <c r="H40" s="727"/>
      <c r="I40" s="728">
        <v>50</v>
      </c>
      <c r="J40" s="729">
        <f t="shared" si="0"/>
        <v>150</v>
      </c>
      <c r="K40" s="730"/>
      <c r="L40" s="725">
        <f t="shared" si="1"/>
        <v>36.96</v>
      </c>
      <c r="M40" s="731">
        <f t="shared" si="1"/>
        <v>107.58</v>
      </c>
      <c r="O40" s="732">
        <v>30.8</v>
      </c>
      <c r="P40" s="733">
        <v>89.65</v>
      </c>
      <c r="V40" s="699"/>
      <c r="W40" s="734" t="s">
        <v>906</v>
      </c>
    </row>
    <row r="41" spans="1:23" x14ac:dyDescent="0.25">
      <c r="A41" s="694" t="s">
        <v>902</v>
      </c>
      <c r="B41" s="694" t="s">
        <v>964</v>
      </c>
      <c r="C41" s="694" t="s">
        <v>965</v>
      </c>
      <c r="D41" s="724" t="s">
        <v>966</v>
      </c>
      <c r="E41" s="724" t="s">
        <v>66</v>
      </c>
      <c r="F41" s="725">
        <v>65</v>
      </c>
      <c r="G41" s="726">
        <f t="shared" ref="G41" si="22">+O41</f>
        <v>82.5</v>
      </c>
      <c r="H41" s="727"/>
      <c r="I41" s="728">
        <v>100</v>
      </c>
      <c r="J41" s="729">
        <f t="shared" si="0"/>
        <v>300</v>
      </c>
      <c r="K41" s="730"/>
      <c r="L41" s="725">
        <f t="shared" si="1"/>
        <v>99</v>
      </c>
      <c r="M41" s="731">
        <f t="shared" si="1"/>
        <v>297</v>
      </c>
      <c r="O41" s="732">
        <v>82.5</v>
      </c>
      <c r="P41" s="733">
        <v>247.5</v>
      </c>
      <c r="V41" s="699"/>
      <c r="W41" s="734" t="s">
        <v>906</v>
      </c>
    </row>
    <row r="42" spans="1:23" x14ac:dyDescent="0.25">
      <c r="A42" s="694" t="s">
        <v>902</v>
      </c>
      <c r="B42" s="694" t="s">
        <v>967</v>
      </c>
      <c r="C42" s="694" t="s">
        <v>965</v>
      </c>
      <c r="D42" s="724" t="s">
        <v>966</v>
      </c>
      <c r="E42" s="724" t="s">
        <v>67</v>
      </c>
      <c r="F42" s="725">
        <v>195</v>
      </c>
      <c r="G42" s="726">
        <f t="shared" ref="G42" si="23">+P42</f>
        <v>247.5</v>
      </c>
      <c r="H42" s="727"/>
      <c r="I42" s="728">
        <v>100</v>
      </c>
      <c r="J42" s="729">
        <f t="shared" si="0"/>
        <v>300</v>
      </c>
      <c r="K42" s="730"/>
      <c r="L42" s="725">
        <f t="shared" ref="L42:M42" si="24">+O42*1.2</f>
        <v>99</v>
      </c>
      <c r="M42" s="731">
        <f t="shared" si="24"/>
        <v>297</v>
      </c>
      <c r="O42" s="732">
        <v>82.5</v>
      </c>
      <c r="P42" s="733">
        <v>247.5</v>
      </c>
      <c r="V42" s="699"/>
      <c r="W42" s="734" t="s">
        <v>906</v>
      </c>
    </row>
    <row r="43" spans="1:23" x14ac:dyDescent="0.25">
      <c r="A43" s="694" t="s">
        <v>902</v>
      </c>
      <c r="B43" s="694" t="s">
        <v>968</v>
      </c>
      <c r="C43" s="694" t="s">
        <v>969</v>
      </c>
      <c r="D43" s="724" t="s">
        <v>970</v>
      </c>
      <c r="E43" s="724" t="s">
        <v>66</v>
      </c>
      <c r="F43" s="725">
        <v>125</v>
      </c>
      <c r="G43" s="726">
        <v>82.5</v>
      </c>
      <c r="H43" s="727"/>
      <c r="J43" s="729"/>
      <c r="K43" s="730"/>
      <c r="L43" s="725"/>
      <c r="M43" s="731"/>
      <c r="O43" s="732"/>
      <c r="V43" s="699"/>
      <c r="W43" s="734" t="s">
        <v>906</v>
      </c>
    </row>
    <row r="44" spans="1:23" x14ac:dyDescent="0.25">
      <c r="A44" s="694" t="s">
        <v>902</v>
      </c>
      <c r="B44" s="694" t="s">
        <v>971</v>
      </c>
      <c r="C44" s="694" t="s">
        <v>969</v>
      </c>
      <c r="D44" s="724" t="s">
        <v>970</v>
      </c>
      <c r="E44" s="724" t="s">
        <v>67</v>
      </c>
      <c r="F44" s="725">
        <v>375</v>
      </c>
      <c r="G44" s="726">
        <v>247.5</v>
      </c>
      <c r="H44" s="727"/>
      <c r="J44" s="729"/>
      <c r="K44" s="730"/>
      <c r="L44" s="725"/>
      <c r="M44" s="731"/>
      <c r="O44" s="732"/>
      <c r="V44" s="699"/>
      <c r="W44" s="734" t="s">
        <v>906</v>
      </c>
    </row>
    <row r="45" spans="1:23" x14ac:dyDescent="0.25">
      <c r="A45" s="694" t="s">
        <v>902</v>
      </c>
      <c r="B45" s="694" t="s">
        <v>972</v>
      </c>
      <c r="C45" s="694" t="s">
        <v>973</v>
      </c>
      <c r="D45" s="724" t="s">
        <v>974</v>
      </c>
      <c r="E45" s="724" t="s">
        <v>66</v>
      </c>
      <c r="F45" s="725">
        <v>30</v>
      </c>
      <c r="G45" s="726">
        <v>19.53</v>
      </c>
      <c r="H45" s="727"/>
      <c r="J45" s="729"/>
      <c r="K45" s="730"/>
      <c r="L45" s="725"/>
      <c r="M45" s="731"/>
      <c r="O45" s="732"/>
      <c r="V45" s="699"/>
      <c r="W45" s="734" t="s">
        <v>906</v>
      </c>
    </row>
    <row r="46" spans="1:23" x14ac:dyDescent="0.25">
      <c r="A46" s="694" t="s">
        <v>902</v>
      </c>
      <c r="B46" s="694" t="s">
        <v>975</v>
      </c>
      <c r="C46" s="694" t="s">
        <v>973</v>
      </c>
      <c r="D46" s="724" t="s">
        <v>974</v>
      </c>
      <c r="E46" s="724" t="s">
        <v>67</v>
      </c>
      <c r="F46" s="725">
        <v>90</v>
      </c>
      <c r="G46" s="726">
        <v>53.55</v>
      </c>
      <c r="H46" s="727"/>
      <c r="J46" s="729"/>
      <c r="K46" s="730"/>
      <c r="L46" s="725"/>
      <c r="M46" s="731"/>
      <c r="O46" s="732"/>
      <c r="V46" s="699"/>
      <c r="W46" s="734" t="s">
        <v>906</v>
      </c>
    </row>
    <row r="47" spans="1:23" x14ac:dyDescent="0.25">
      <c r="A47" s="694" t="s">
        <v>902</v>
      </c>
      <c r="B47" s="694" t="s">
        <v>976</v>
      </c>
      <c r="C47" s="694" t="s">
        <v>977</v>
      </c>
      <c r="D47" s="724" t="s">
        <v>949</v>
      </c>
      <c r="E47" s="724" t="s">
        <v>66</v>
      </c>
      <c r="F47" s="725">
        <v>40</v>
      </c>
      <c r="G47" s="736" t="s">
        <v>950</v>
      </c>
      <c r="H47" s="727"/>
      <c r="J47" s="729"/>
      <c r="K47" s="730"/>
      <c r="L47" s="725"/>
      <c r="M47" s="731"/>
      <c r="O47" s="732"/>
      <c r="V47" s="699"/>
      <c r="W47" s="734" t="s">
        <v>906</v>
      </c>
    </row>
    <row r="48" spans="1:23" x14ac:dyDescent="0.25">
      <c r="A48" s="694" t="s">
        <v>902</v>
      </c>
      <c r="B48" s="694" t="s">
        <v>978</v>
      </c>
      <c r="C48" s="694" t="s">
        <v>977</v>
      </c>
      <c r="D48" s="724" t="s">
        <v>949</v>
      </c>
      <c r="E48" s="724" t="s">
        <v>67</v>
      </c>
      <c r="F48" s="725">
        <v>120</v>
      </c>
      <c r="G48" s="736" t="s">
        <v>950</v>
      </c>
      <c r="H48" s="727"/>
      <c r="J48" s="729"/>
      <c r="K48" s="730"/>
      <c r="L48" s="725"/>
      <c r="M48" s="731"/>
      <c r="O48" s="732"/>
      <c r="V48" s="699"/>
      <c r="W48" s="734" t="s">
        <v>906</v>
      </c>
    </row>
    <row r="49" spans="1:23" x14ac:dyDescent="0.25">
      <c r="A49" s="694" t="s">
        <v>902</v>
      </c>
      <c r="B49" s="694" t="s">
        <v>979</v>
      </c>
      <c r="C49" s="694" t="s">
        <v>980</v>
      </c>
      <c r="D49" s="724" t="s">
        <v>981</v>
      </c>
      <c r="E49" s="724" t="s">
        <v>66</v>
      </c>
      <c r="F49" s="725">
        <v>60</v>
      </c>
      <c r="G49" s="736" t="s">
        <v>950</v>
      </c>
      <c r="H49" s="727"/>
      <c r="J49" s="729"/>
      <c r="K49" s="730"/>
      <c r="L49" s="725"/>
      <c r="M49" s="731"/>
      <c r="O49" s="732"/>
      <c r="V49" s="699"/>
      <c r="W49" s="734" t="s">
        <v>906</v>
      </c>
    </row>
    <row r="50" spans="1:23" x14ac:dyDescent="0.25">
      <c r="A50" s="694" t="s">
        <v>902</v>
      </c>
      <c r="B50" s="694" t="s">
        <v>982</v>
      </c>
      <c r="C50" s="694" t="s">
        <v>980</v>
      </c>
      <c r="D50" s="724" t="s">
        <v>981</v>
      </c>
      <c r="E50" s="724" t="s">
        <v>67</v>
      </c>
      <c r="F50" s="725">
        <v>180</v>
      </c>
      <c r="G50" s="736" t="s">
        <v>950</v>
      </c>
      <c r="H50" s="727"/>
      <c r="J50" s="729"/>
      <c r="K50" s="730"/>
      <c r="L50" s="725"/>
      <c r="M50" s="731"/>
      <c r="O50" s="732"/>
      <c r="V50" s="699"/>
      <c r="W50" s="734" t="s">
        <v>906</v>
      </c>
    </row>
    <row r="51" spans="1:23" x14ac:dyDescent="0.25">
      <c r="A51" s="694" t="s">
        <v>902</v>
      </c>
      <c r="B51" s="694" t="s">
        <v>983</v>
      </c>
      <c r="C51" s="694" t="s">
        <v>984</v>
      </c>
      <c r="D51" s="724" t="s">
        <v>985</v>
      </c>
      <c r="E51" s="724" t="s">
        <v>920</v>
      </c>
      <c r="F51" s="725">
        <v>15</v>
      </c>
      <c r="G51" s="726">
        <v>12.73</v>
      </c>
      <c r="H51" s="727">
        <v>18</v>
      </c>
      <c r="J51" s="729"/>
      <c r="K51" s="730">
        <f>+U51*1.2</f>
        <v>18</v>
      </c>
      <c r="L51" s="725"/>
      <c r="M51" s="731"/>
      <c r="O51" s="732"/>
      <c r="U51" s="733">
        <v>15</v>
      </c>
      <c r="V51" s="699"/>
      <c r="W51" s="734" t="s">
        <v>906</v>
      </c>
    </row>
    <row r="52" spans="1:23" ht="14.25" customHeight="1" x14ac:dyDescent="0.25">
      <c r="A52" s="694" t="s">
        <v>902</v>
      </c>
      <c r="B52" s="694" t="s">
        <v>986</v>
      </c>
      <c r="C52" s="694" t="s">
        <v>987</v>
      </c>
      <c r="D52" s="724" t="s">
        <v>988</v>
      </c>
      <c r="E52" s="724" t="s">
        <v>920</v>
      </c>
      <c r="F52" s="725">
        <v>12</v>
      </c>
      <c r="G52" s="726">
        <v>11</v>
      </c>
      <c r="H52" s="727">
        <v>15</v>
      </c>
      <c r="J52" s="729"/>
      <c r="K52" s="730">
        <f>+U52*1.2</f>
        <v>13.2</v>
      </c>
      <c r="L52" s="725"/>
      <c r="M52" s="731"/>
      <c r="O52" s="732"/>
      <c r="U52" s="733">
        <v>11</v>
      </c>
      <c r="V52" s="699"/>
      <c r="W52" s="734" t="s">
        <v>906</v>
      </c>
    </row>
    <row r="53" spans="1:23" x14ac:dyDescent="0.25">
      <c r="A53" s="694" t="s">
        <v>902</v>
      </c>
      <c r="B53" s="694" t="s">
        <v>989</v>
      </c>
      <c r="C53" s="694" t="s">
        <v>990</v>
      </c>
      <c r="D53" s="724" t="s">
        <v>991</v>
      </c>
      <c r="E53" s="724" t="s">
        <v>66</v>
      </c>
      <c r="F53" s="725">
        <f>+I53</f>
        <v>50</v>
      </c>
      <c r="G53" s="726">
        <v>40</v>
      </c>
      <c r="H53" s="727"/>
      <c r="I53" s="728">
        <v>50</v>
      </c>
      <c r="J53" s="729">
        <f t="shared" ref="J53:J58" si="25">I53*$J$164</f>
        <v>150</v>
      </c>
      <c r="K53" s="730"/>
      <c r="L53" s="725">
        <f>+Q53*1.2</f>
        <v>48</v>
      </c>
      <c r="M53" s="731">
        <f>+R53*1.2</f>
        <v>108</v>
      </c>
      <c r="O53" s="732"/>
      <c r="Q53" s="733">
        <v>40</v>
      </c>
      <c r="R53" s="733">
        <v>90</v>
      </c>
      <c r="V53" s="699"/>
      <c r="W53" s="734" t="s">
        <v>906</v>
      </c>
    </row>
    <row r="54" spans="1:23" x14ac:dyDescent="0.25">
      <c r="A54" s="694" t="s">
        <v>902</v>
      </c>
      <c r="B54" s="694" t="s">
        <v>992</v>
      </c>
      <c r="C54" s="694" t="s">
        <v>990</v>
      </c>
      <c r="D54" s="724" t="s">
        <v>991</v>
      </c>
      <c r="E54" s="724" t="s">
        <v>67</v>
      </c>
      <c r="F54" s="725">
        <f>+J54</f>
        <v>150</v>
      </c>
      <c r="G54" s="726">
        <v>90</v>
      </c>
      <c r="H54" s="727"/>
      <c r="I54" s="728">
        <v>50</v>
      </c>
      <c r="J54" s="729">
        <f t="shared" si="25"/>
        <v>150</v>
      </c>
      <c r="K54" s="730"/>
      <c r="L54" s="725">
        <f>+Q54*1.2</f>
        <v>48</v>
      </c>
      <c r="M54" s="731">
        <f>+R54*1.2</f>
        <v>108</v>
      </c>
      <c r="O54" s="732"/>
      <c r="Q54" s="733">
        <v>40</v>
      </c>
      <c r="R54" s="733">
        <v>90</v>
      </c>
      <c r="V54" s="699"/>
      <c r="W54" s="734" t="s">
        <v>906</v>
      </c>
    </row>
    <row r="55" spans="1:23" x14ac:dyDescent="0.25">
      <c r="A55" s="694" t="s">
        <v>902</v>
      </c>
      <c r="B55" s="694" t="s">
        <v>993</v>
      </c>
      <c r="C55" s="694" t="s">
        <v>994</v>
      </c>
      <c r="D55" s="724" t="s">
        <v>995</v>
      </c>
      <c r="E55" s="724" t="s">
        <v>66</v>
      </c>
      <c r="F55" s="725">
        <f t="shared" ref="F55" si="26">+I55</f>
        <v>75</v>
      </c>
      <c r="G55" s="726">
        <v>30.8</v>
      </c>
      <c r="H55" s="727"/>
      <c r="I55" s="728">
        <v>75</v>
      </c>
      <c r="J55" s="729">
        <f t="shared" si="25"/>
        <v>225</v>
      </c>
      <c r="K55" s="730"/>
      <c r="L55" s="725">
        <f t="shared" ref="L55:M58" si="27">+O55*1.2</f>
        <v>36.96</v>
      </c>
      <c r="M55" s="731">
        <f t="shared" si="27"/>
        <v>107.58</v>
      </c>
      <c r="N55" s="728">
        <v>75</v>
      </c>
      <c r="O55" s="732">
        <v>30.8</v>
      </c>
      <c r="P55" s="733">
        <v>89.65</v>
      </c>
      <c r="V55" s="699"/>
      <c r="W55" s="734" t="s">
        <v>906</v>
      </c>
    </row>
    <row r="56" spans="1:23" x14ac:dyDescent="0.25">
      <c r="A56" s="694" t="s">
        <v>902</v>
      </c>
      <c r="B56" s="694" t="s">
        <v>996</v>
      </c>
      <c r="C56" s="694" t="s">
        <v>994</v>
      </c>
      <c r="D56" s="724" t="s">
        <v>995</v>
      </c>
      <c r="E56" s="724" t="s">
        <v>67</v>
      </c>
      <c r="F56" s="725">
        <f t="shared" ref="F56" si="28">+J56</f>
        <v>225</v>
      </c>
      <c r="G56" s="726">
        <v>89.65</v>
      </c>
      <c r="H56" s="727"/>
      <c r="I56" s="728">
        <v>75</v>
      </c>
      <c r="J56" s="729">
        <f t="shared" si="25"/>
        <v>225</v>
      </c>
      <c r="K56" s="730"/>
      <c r="L56" s="725">
        <f t="shared" si="27"/>
        <v>36.96</v>
      </c>
      <c r="M56" s="731">
        <f t="shared" si="27"/>
        <v>107.58</v>
      </c>
      <c r="N56" s="728">
        <v>75</v>
      </c>
      <c r="O56" s="732">
        <v>30.8</v>
      </c>
      <c r="P56" s="733">
        <v>89.65</v>
      </c>
      <c r="V56" s="699"/>
      <c r="W56" s="734" t="s">
        <v>906</v>
      </c>
    </row>
    <row r="57" spans="1:23" x14ac:dyDescent="0.25">
      <c r="A57" s="694" t="s">
        <v>902</v>
      </c>
      <c r="B57" s="694" t="s">
        <v>997</v>
      </c>
      <c r="C57" s="694" t="s">
        <v>998</v>
      </c>
      <c r="D57" s="724" t="s">
        <v>999</v>
      </c>
      <c r="E57" s="724" t="s">
        <v>66</v>
      </c>
      <c r="F57" s="725">
        <f t="shared" ref="F57" si="29">+I57</f>
        <v>40</v>
      </c>
      <c r="G57" s="726">
        <v>21.45</v>
      </c>
      <c r="H57" s="727"/>
      <c r="I57" s="728">
        <v>40</v>
      </c>
      <c r="J57" s="729">
        <f t="shared" si="25"/>
        <v>120</v>
      </c>
      <c r="K57" s="730"/>
      <c r="L57" s="725">
        <f t="shared" si="27"/>
        <v>25.74</v>
      </c>
      <c r="M57" s="731">
        <f t="shared" si="27"/>
        <v>75.899999999999991</v>
      </c>
      <c r="O57" s="732">
        <v>21.45</v>
      </c>
      <c r="P57" s="733">
        <v>63.25</v>
      </c>
      <c r="V57" s="699"/>
      <c r="W57" s="734" t="s">
        <v>906</v>
      </c>
    </row>
    <row r="58" spans="1:23" x14ac:dyDescent="0.25">
      <c r="A58" s="694" t="s">
        <v>902</v>
      </c>
      <c r="B58" s="694" t="s">
        <v>1000</v>
      </c>
      <c r="C58" s="694" t="s">
        <v>998</v>
      </c>
      <c r="D58" s="724" t="s">
        <v>999</v>
      </c>
      <c r="E58" s="724" t="s">
        <v>67</v>
      </c>
      <c r="F58" s="725">
        <f t="shared" ref="F58" si="30">+J58</f>
        <v>120</v>
      </c>
      <c r="G58" s="726">
        <v>63.25</v>
      </c>
      <c r="H58" s="727"/>
      <c r="I58" s="728">
        <v>40</v>
      </c>
      <c r="J58" s="729">
        <f t="shared" si="25"/>
        <v>120</v>
      </c>
      <c r="K58" s="730"/>
      <c r="L58" s="725">
        <f t="shared" si="27"/>
        <v>25.74</v>
      </c>
      <c r="M58" s="731">
        <f t="shared" si="27"/>
        <v>75.899999999999991</v>
      </c>
      <c r="O58" s="732">
        <v>21.45</v>
      </c>
      <c r="P58" s="733">
        <v>63.25</v>
      </c>
      <c r="V58" s="699"/>
      <c r="W58" s="734" t="s">
        <v>906</v>
      </c>
    </row>
    <row r="59" spans="1:23" x14ac:dyDescent="0.25">
      <c r="A59" s="694" t="s">
        <v>902</v>
      </c>
      <c r="B59" s="694" t="s">
        <v>1001</v>
      </c>
      <c r="C59" s="694" t="s">
        <v>1002</v>
      </c>
      <c r="D59" s="724" t="s">
        <v>1003</v>
      </c>
      <c r="E59" s="724" t="s">
        <v>920</v>
      </c>
      <c r="F59" s="725">
        <v>7</v>
      </c>
      <c r="G59" s="726">
        <v>3.73</v>
      </c>
      <c r="H59" s="727">
        <v>10</v>
      </c>
      <c r="J59" s="729"/>
      <c r="K59" s="730">
        <f t="shared" ref="K59:K64" si="31">+S59*1.2</f>
        <v>8.0399999999999991</v>
      </c>
      <c r="L59" s="725"/>
      <c r="M59" s="731"/>
      <c r="O59" s="732"/>
      <c r="S59" s="721">
        <v>6.7</v>
      </c>
      <c r="V59" s="699"/>
      <c r="W59" s="734" t="s">
        <v>906</v>
      </c>
    </row>
    <row r="60" spans="1:23" x14ac:dyDescent="0.25">
      <c r="A60" s="694" t="s">
        <v>902</v>
      </c>
      <c r="B60" s="694" t="s">
        <v>1004</v>
      </c>
      <c r="C60" s="694" t="s">
        <v>1005</v>
      </c>
      <c r="D60" s="724" t="s">
        <v>1006</v>
      </c>
      <c r="E60" s="724" t="s">
        <v>920</v>
      </c>
      <c r="F60" s="725">
        <v>15</v>
      </c>
      <c r="G60" s="726">
        <v>10.6</v>
      </c>
      <c r="H60" s="727">
        <v>15</v>
      </c>
      <c r="J60" s="729"/>
      <c r="K60" s="730">
        <f t="shared" si="31"/>
        <v>12.719999999999999</v>
      </c>
      <c r="L60" s="725"/>
      <c r="M60" s="731"/>
      <c r="O60" s="732"/>
      <c r="S60" s="721">
        <v>10.6</v>
      </c>
      <c r="V60" s="699"/>
      <c r="W60" s="734" t="s">
        <v>906</v>
      </c>
    </row>
    <row r="61" spans="1:23" x14ac:dyDescent="0.25">
      <c r="A61" s="694" t="s">
        <v>902</v>
      </c>
      <c r="B61" s="694" t="s">
        <v>1007</v>
      </c>
      <c r="C61" s="694" t="s">
        <v>1008</v>
      </c>
      <c r="D61" s="724" t="s">
        <v>1009</v>
      </c>
      <c r="E61" s="724" t="s">
        <v>920</v>
      </c>
      <c r="F61" s="725">
        <v>35</v>
      </c>
      <c r="G61" s="726">
        <v>24.8</v>
      </c>
      <c r="H61" s="727">
        <v>35</v>
      </c>
      <c r="J61" s="729"/>
      <c r="K61" s="730">
        <f t="shared" si="31"/>
        <v>29.759999999999998</v>
      </c>
      <c r="L61" s="725"/>
      <c r="M61" s="731"/>
      <c r="O61" s="732"/>
      <c r="S61" s="721">
        <v>24.8</v>
      </c>
      <c r="T61" s="733">
        <v>25.15</v>
      </c>
      <c r="V61" s="699"/>
      <c r="W61" s="734" t="s">
        <v>906</v>
      </c>
    </row>
    <row r="62" spans="1:23" x14ac:dyDescent="0.25">
      <c r="A62" s="694" t="s">
        <v>902</v>
      </c>
      <c r="B62" s="694" t="s">
        <v>1010</v>
      </c>
      <c r="C62" s="694" t="s">
        <v>1008</v>
      </c>
      <c r="D62" s="724" t="s">
        <v>1011</v>
      </c>
      <c r="E62" s="724" t="s">
        <v>920</v>
      </c>
      <c r="F62" s="725">
        <v>25</v>
      </c>
      <c r="G62" s="726">
        <v>10.9</v>
      </c>
      <c r="H62" s="727">
        <v>25</v>
      </c>
      <c r="J62" s="729"/>
      <c r="K62" s="730">
        <f t="shared" si="31"/>
        <v>13.08</v>
      </c>
      <c r="L62" s="725"/>
      <c r="M62" s="731"/>
      <c r="N62" s="728">
        <v>25</v>
      </c>
      <c r="O62" s="732"/>
      <c r="S62" s="721">
        <v>10.9</v>
      </c>
      <c r="T62" s="733">
        <v>12</v>
      </c>
      <c r="V62" s="699"/>
      <c r="W62" s="734" t="s">
        <v>906</v>
      </c>
    </row>
    <row r="63" spans="1:23" x14ac:dyDescent="0.25">
      <c r="A63" s="694" t="s">
        <v>902</v>
      </c>
      <c r="B63" s="694" t="s">
        <v>1012</v>
      </c>
      <c r="C63" s="694" t="s">
        <v>1013</v>
      </c>
      <c r="D63" s="724" t="s">
        <v>1014</v>
      </c>
      <c r="E63" s="724" t="s">
        <v>920</v>
      </c>
      <c r="F63" s="725">
        <v>20</v>
      </c>
      <c r="G63" s="726">
        <v>15.2</v>
      </c>
      <c r="H63" s="727">
        <v>20</v>
      </c>
      <c r="J63" s="729"/>
      <c r="K63" s="730">
        <f t="shared" si="31"/>
        <v>18.239999999999998</v>
      </c>
      <c r="L63" s="725"/>
      <c r="M63" s="731"/>
      <c r="N63" s="728">
        <v>19</v>
      </c>
      <c r="O63" s="732"/>
      <c r="S63" s="721">
        <v>15.2</v>
      </c>
      <c r="T63" s="733">
        <v>16</v>
      </c>
      <c r="V63" s="699"/>
      <c r="W63" s="734" t="s">
        <v>906</v>
      </c>
    </row>
    <row r="64" spans="1:23" x14ac:dyDescent="0.25">
      <c r="A64" s="694" t="s">
        <v>902</v>
      </c>
      <c r="B64" s="694" t="s">
        <v>1015</v>
      </c>
      <c r="C64" s="694" t="s">
        <v>1016</v>
      </c>
      <c r="D64" s="724" t="s">
        <v>1017</v>
      </c>
      <c r="E64" s="724" t="s">
        <v>920</v>
      </c>
      <c r="F64" s="725">
        <v>15</v>
      </c>
      <c r="G64" s="726">
        <v>5.0999999999999996</v>
      </c>
      <c r="H64" s="727">
        <v>15</v>
      </c>
      <c r="J64" s="729"/>
      <c r="K64" s="730">
        <f t="shared" si="31"/>
        <v>6.1199999999999992</v>
      </c>
      <c r="L64" s="725"/>
      <c r="M64" s="731"/>
      <c r="N64" s="728">
        <v>15</v>
      </c>
      <c r="O64" s="732"/>
      <c r="S64" s="721">
        <v>5.0999999999999996</v>
      </c>
      <c r="T64" s="733">
        <v>6.1</v>
      </c>
      <c r="V64" s="699"/>
      <c r="W64" s="734" t="s">
        <v>906</v>
      </c>
    </row>
    <row r="65" spans="1:23" x14ac:dyDescent="0.25">
      <c r="A65" s="694" t="s">
        <v>902</v>
      </c>
      <c r="B65" s="694" t="s">
        <v>1018</v>
      </c>
      <c r="C65" s="694" t="s">
        <v>1019</v>
      </c>
      <c r="D65" s="724" t="s">
        <v>1020</v>
      </c>
      <c r="E65" s="724" t="s">
        <v>920</v>
      </c>
      <c r="F65" s="725">
        <v>12</v>
      </c>
      <c r="G65" s="726">
        <v>8.73</v>
      </c>
      <c r="H65" s="727">
        <v>25</v>
      </c>
      <c r="J65" s="729"/>
      <c r="K65" s="730">
        <f>+U65*1.2</f>
        <v>19.536000000000001</v>
      </c>
      <c r="L65" s="725"/>
      <c r="M65" s="731"/>
      <c r="O65" s="732"/>
      <c r="U65" s="733">
        <v>16.28</v>
      </c>
      <c r="V65" s="699"/>
      <c r="W65" s="734" t="s">
        <v>906</v>
      </c>
    </row>
    <row r="66" spans="1:23" x14ac:dyDescent="0.25">
      <c r="A66" s="694" t="s">
        <v>902</v>
      </c>
      <c r="B66" s="694" t="s">
        <v>1021</v>
      </c>
      <c r="C66" s="694" t="s">
        <v>1022</v>
      </c>
      <c r="D66" s="724"/>
      <c r="E66" s="724" t="s">
        <v>920</v>
      </c>
      <c r="F66" s="725">
        <v>22</v>
      </c>
      <c r="G66" s="726">
        <v>14.75</v>
      </c>
      <c r="H66" s="727">
        <v>18</v>
      </c>
      <c r="J66" s="729"/>
      <c r="K66" s="730">
        <f>+T66*1.2</f>
        <v>17.7</v>
      </c>
      <c r="L66" s="725"/>
      <c r="M66" s="731"/>
      <c r="O66" s="732"/>
      <c r="T66" s="733">
        <v>14.75</v>
      </c>
      <c r="V66" s="699"/>
      <c r="W66" s="734" t="s">
        <v>906</v>
      </c>
    </row>
    <row r="67" spans="1:23" x14ac:dyDescent="0.25">
      <c r="A67" s="694" t="s">
        <v>902</v>
      </c>
      <c r="B67" s="694" t="s">
        <v>1023</v>
      </c>
      <c r="C67" s="694" t="s">
        <v>1024</v>
      </c>
      <c r="D67" s="724"/>
      <c r="E67" s="724" t="s">
        <v>920</v>
      </c>
      <c r="F67" s="725">
        <v>15</v>
      </c>
      <c r="G67" s="726">
        <v>12.67</v>
      </c>
      <c r="H67" s="727">
        <v>20</v>
      </c>
      <c r="J67" s="729"/>
      <c r="K67" s="730">
        <f>+U67*1.2</f>
        <v>15.203999999999999</v>
      </c>
      <c r="L67" s="725"/>
      <c r="M67" s="731"/>
      <c r="O67" s="732"/>
      <c r="U67" s="733">
        <v>12.67</v>
      </c>
      <c r="V67" s="699"/>
      <c r="W67" s="734" t="s">
        <v>906</v>
      </c>
    </row>
    <row r="68" spans="1:23" x14ac:dyDescent="0.25">
      <c r="A68" s="694" t="s">
        <v>902</v>
      </c>
      <c r="B68" s="694" t="s">
        <v>1025</v>
      </c>
      <c r="C68" s="694" t="s">
        <v>1026</v>
      </c>
      <c r="D68" s="724" t="s">
        <v>1027</v>
      </c>
      <c r="E68" s="724" t="s">
        <v>920</v>
      </c>
      <c r="F68" s="725">
        <v>3</v>
      </c>
      <c r="G68" s="726">
        <v>2.8</v>
      </c>
      <c r="H68" s="727">
        <v>3.5</v>
      </c>
      <c r="J68" s="729"/>
      <c r="K68" s="730">
        <f>+S68*1.2</f>
        <v>3.36</v>
      </c>
      <c r="L68" s="725"/>
      <c r="M68" s="731"/>
      <c r="N68" s="737">
        <v>2.5</v>
      </c>
      <c r="O68" s="732"/>
      <c r="S68" s="733">
        <v>2.8</v>
      </c>
      <c r="V68" s="699"/>
      <c r="W68" s="734" t="s">
        <v>906</v>
      </c>
    </row>
    <row r="69" spans="1:23" x14ac:dyDescent="0.25">
      <c r="A69" s="694" t="s">
        <v>902</v>
      </c>
      <c r="B69" s="694" t="s">
        <v>1028</v>
      </c>
      <c r="C69" s="694" t="s">
        <v>1029</v>
      </c>
      <c r="D69" s="724" t="s">
        <v>1030</v>
      </c>
      <c r="E69" s="724" t="s">
        <v>920</v>
      </c>
      <c r="F69" s="725">
        <v>2.5</v>
      </c>
      <c r="G69" s="726">
        <v>1.7</v>
      </c>
      <c r="H69" s="727">
        <v>3</v>
      </c>
      <c r="J69" s="729"/>
      <c r="K69" s="730">
        <f>+S69*1.2</f>
        <v>3</v>
      </c>
      <c r="L69" s="725"/>
      <c r="M69" s="731"/>
      <c r="N69" s="737">
        <v>2.5</v>
      </c>
      <c r="O69" s="732"/>
      <c r="S69" s="733">
        <v>2.5</v>
      </c>
      <c r="V69" s="699"/>
      <c r="W69" s="734" t="s">
        <v>906</v>
      </c>
    </row>
    <row r="70" spans="1:23" x14ac:dyDescent="0.25">
      <c r="A70" s="694" t="s">
        <v>902</v>
      </c>
      <c r="B70" s="694" t="s">
        <v>1031</v>
      </c>
      <c r="C70" s="694" t="s">
        <v>1032</v>
      </c>
      <c r="D70" s="724"/>
      <c r="E70" s="724" t="s">
        <v>920</v>
      </c>
      <c r="F70" s="725">
        <v>0.15</v>
      </c>
      <c r="G70" s="726">
        <v>0.06</v>
      </c>
      <c r="H70" s="727">
        <v>1.2</v>
      </c>
      <c r="J70" s="729"/>
      <c r="K70" s="730">
        <f>+S70*1.2</f>
        <v>1.2</v>
      </c>
      <c r="L70" s="725"/>
      <c r="M70" s="731"/>
      <c r="N70" s="737" t="s">
        <v>1033</v>
      </c>
      <c r="O70" s="732"/>
      <c r="S70" s="733">
        <v>1</v>
      </c>
      <c r="V70" s="699"/>
      <c r="W70" s="734" t="s">
        <v>906</v>
      </c>
    </row>
    <row r="71" spans="1:23" x14ac:dyDescent="0.25">
      <c r="A71" s="694" t="s">
        <v>902</v>
      </c>
      <c r="B71" s="694" t="s">
        <v>1034</v>
      </c>
      <c r="C71" s="694" t="s">
        <v>1035</v>
      </c>
      <c r="D71" s="724"/>
      <c r="E71" s="724" t="s">
        <v>66</v>
      </c>
      <c r="F71" s="725">
        <f>+I71</f>
        <v>10</v>
      </c>
      <c r="G71" s="726">
        <f>+O71</f>
        <v>6.6</v>
      </c>
      <c r="H71" s="727"/>
      <c r="I71" s="728">
        <v>10</v>
      </c>
      <c r="J71" s="729">
        <f t="shared" ref="J71:J77" si="32">I71*$J$164</f>
        <v>30</v>
      </c>
      <c r="K71" s="730"/>
      <c r="L71" s="725">
        <f t="shared" ref="L71:M76" si="33">+O71*1.2</f>
        <v>7.919999999999999</v>
      </c>
      <c r="M71" s="731">
        <f t="shared" si="33"/>
        <v>21.779999999999998</v>
      </c>
      <c r="O71" s="732">
        <v>6.6</v>
      </c>
      <c r="P71" s="733">
        <v>18.149999999999999</v>
      </c>
      <c r="V71" s="699"/>
      <c r="W71" s="734" t="s">
        <v>906</v>
      </c>
    </row>
    <row r="72" spans="1:23" x14ac:dyDescent="0.25">
      <c r="A72" s="694" t="s">
        <v>902</v>
      </c>
      <c r="B72" s="694" t="s">
        <v>1036</v>
      </c>
      <c r="C72" s="694" t="s">
        <v>1035</v>
      </c>
      <c r="D72" s="724"/>
      <c r="E72" s="724" t="s">
        <v>67</v>
      </c>
      <c r="F72" s="725">
        <f>+J72</f>
        <v>30</v>
      </c>
      <c r="G72" s="726">
        <f>+P72</f>
        <v>18.149999999999999</v>
      </c>
      <c r="H72" s="727"/>
      <c r="I72" s="728">
        <v>10</v>
      </c>
      <c r="J72" s="729">
        <f t="shared" si="32"/>
        <v>30</v>
      </c>
      <c r="K72" s="730"/>
      <c r="L72" s="725">
        <f t="shared" si="33"/>
        <v>7.919999999999999</v>
      </c>
      <c r="M72" s="731">
        <f t="shared" si="33"/>
        <v>21.779999999999998</v>
      </c>
      <c r="O72" s="732">
        <v>6.6</v>
      </c>
      <c r="P72" s="733">
        <v>18.149999999999999</v>
      </c>
      <c r="V72" s="699"/>
      <c r="W72" s="734" t="s">
        <v>906</v>
      </c>
    </row>
    <row r="73" spans="1:23" x14ac:dyDescent="0.25">
      <c r="A73" s="694" t="s">
        <v>1037</v>
      </c>
      <c r="B73" s="694" t="s">
        <v>1038</v>
      </c>
      <c r="C73" s="694" t="s">
        <v>61</v>
      </c>
      <c r="D73" s="724"/>
      <c r="E73" s="724" t="s">
        <v>66</v>
      </c>
      <c r="F73" s="725">
        <f t="shared" ref="F73" si="34">+I73</f>
        <v>35</v>
      </c>
      <c r="G73" s="726">
        <f t="shared" ref="G73" si="35">+O73</f>
        <v>18.7</v>
      </c>
      <c r="H73" s="727"/>
      <c r="I73" s="728">
        <v>35</v>
      </c>
      <c r="J73" s="729">
        <f t="shared" si="32"/>
        <v>105</v>
      </c>
      <c r="K73" s="730"/>
      <c r="L73" s="725">
        <f t="shared" si="33"/>
        <v>22.439999999999998</v>
      </c>
      <c r="M73" s="731">
        <f t="shared" si="33"/>
        <v>85.8</v>
      </c>
      <c r="N73" s="728">
        <v>35</v>
      </c>
      <c r="O73" s="732">
        <v>18.7</v>
      </c>
      <c r="P73" s="733">
        <v>71.5</v>
      </c>
      <c r="V73" s="699"/>
      <c r="W73" s="734" t="s">
        <v>906</v>
      </c>
    </row>
    <row r="74" spans="1:23" x14ac:dyDescent="0.25">
      <c r="A74" s="694" t="s">
        <v>1037</v>
      </c>
      <c r="B74" s="694" t="s">
        <v>1039</v>
      </c>
      <c r="C74" s="694" t="s">
        <v>61</v>
      </c>
      <c r="D74" s="724"/>
      <c r="E74" s="724" t="s">
        <v>67</v>
      </c>
      <c r="F74" s="725">
        <f t="shared" ref="F74" si="36">+J74</f>
        <v>105</v>
      </c>
      <c r="G74" s="726">
        <f t="shared" ref="G74" si="37">+P74</f>
        <v>71.5</v>
      </c>
      <c r="H74" s="727"/>
      <c r="I74" s="728">
        <v>35</v>
      </c>
      <c r="J74" s="729">
        <f t="shared" si="32"/>
        <v>105</v>
      </c>
      <c r="K74" s="730"/>
      <c r="L74" s="725">
        <f t="shared" si="33"/>
        <v>22.439999999999998</v>
      </c>
      <c r="M74" s="731">
        <f t="shared" si="33"/>
        <v>85.8</v>
      </c>
      <c r="N74" s="728">
        <v>35</v>
      </c>
      <c r="O74" s="732">
        <v>18.7</v>
      </c>
      <c r="P74" s="733">
        <v>71.5</v>
      </c>
      <c r="V74" s="699"/>
      <c r="W74" s="734" t="s">
        <v>906</v>
      </c>
    </row>
    <row r="75" spans="1:23" x14ac:dyDescent="0.25">
      <c r="A75" s="694" t="s">
        <v>1037</v>
      </c>
      <c r="B75" s="694" t="s">
        <v>1040</v>
      </c>
      <c r="C75" s="694" t="s">
        <v>1041</v>
      </c>
      <c r="D75" s="724"/>
      <c r="E75" s="724" t="s">
        <v>66</v>
      </c>
      <c r="F75" s="725">
        <v>15</v>
      </c>
      <c r="G75" s="726">
        <f t="shared" ref="G75" si="38">+O75</f>
        <v>9.35</v>
      </c>
      <c r="H75" s="727"/>
      <c r="I75" s="728">
        <v>12</v>
      </c>
      <c r="J75" s="729">
        <f t="shared" si="32"/>
        <v>36</v>
      </c>
      <c r="K75" s="730"/>
      <c r="L75" s="725">
        <f t="shared" si="33"/>
        <v>11.219999999999999</v>
      </c>
      <c r="M75" s="731">
        <f t="shared" si="33"/>
        <v>33</v>
      </c>
      <c r="N75" s="728">
        <v>10</v>
      </c>
      <c r="O75" s="732">
        <v>9.35</v>
      </c>
      <c r="P75" s="733">
        <v>27.5</v>
      </c>
      <c r="V75" s="699"/>
      <c r="W75" s="734" t="s">
        <v>906</v>
      </c>
    </row>
    <row r="76" spans="1:23" x14ac:dyDescent="0.25">
      <c r="A76" s="694" t="s">
        <v>1037</v>
      </c>
      <c r="B76" s="694" t="s">
        <v>1042</v>
      </c>
      <c r="C76" s="694" t="s">
        <v>1041</v>
      </c>
      <c r="D76" s="724"/>
      <c r="E76" s="724" t="s">
        <v>67</v>
      </c>
      <c r="F76" s="725">
        <v>45</v>
      </c>
      <c r="G76" s="726">
        <f t="shared" ref="G76" si="39">+P76</f>
        <v>27.5</v>
      </c>
      <c r="H76" s="727"/>
      <c r="I76" s="728">
        <v>12</v>
      </c>
      <c r="J76" s="729">
        <f t="shared" si="32"/>
        <v>36</v>
      </c>
      <c r="K76" s="730"/>
      <c r="L76" s="725">
        <f t="shared" si="33"/>
        <v>11.219999999999999</v>
      </c>
      <c r="M76" s="731">
        <f t="shared" si="33"/>
        <v>33</v>
      </c>
      <c r="N76" s="728">
        <v>10</v>
      </c>
      <c r="O76" s="732">
        <v>9.35</v>
      </c>
      <c r="P76" s="733">
        <v>27.5</v>
      </c>
      <c r="V76" s="699"/>
      <c r="W76" s="734" t="s">
        <v>906</v>
      </c>
    </row>
    <row r="77" spans="1:23" x14ac:dyDescent="0.25">
      <c r="A77" s="694" t="s">
        <v>1037</v>
      </c>
      <c r="B77" s="694" t="s">
        <v>1043</v>
      </c>
      <c r="C77" s="694" t="s">
        <v>1044</v>
      </c>
      <c r="D77" s="724" t="s">
        <v>1045</v>
      </c>
      <c r="E77" s="724" t="s">
        <v>66</v>
      </c>
      <c r="F77" s="725">
        <f t="shared" ref="F77" si="40">+I77</f>
        <v>54</v>
      </c>
      <c r="G77" s="726">
        <f>+Q77</f>
        <v>45</v>
      </c>
      <c r="H77" s="727"/>
      <c r="I77" s="728">
        <v>54</v>
      </c>
      <c r="J77" s="729">
        <f t="shared" si="32"/>
        <v>162</v>
      </c>
      <c r="K77" s="730"/>
      <c r="L77" s="725">
        <f>+Q77*1.2</f>
        <v>54</v>
      </c>
      <c r="M77" s="731">
        <f>+R77*1.2</f>
        <v>156</v>
      </c>
      <c r="N77" s="737">
        <v>35</v>
      </c>
      <c r="O77" s="732"/>
      <c r="Q77" s="733">
        <v>45</v>
      </c>
      <c r="R77" s="733">
        <v>130</v>
      </c>
      <c r="V77" s="699"/>
      <c r="W77" s="734" t="s">
        <v>906</v>
      </c>
    </row>
    <row r="78" spans="1:23" x14ac:dyDescent="0.25">
      <c r="A78" s="694" t="s">
        <v>1037</v>
      </c>
      <c r="B78" s="694" t="s">
        <v>1046</v>
      </c>
      <c r="C78" s="694" t="s">
        <v>1044</v>
      </c>
      <c r="D78" s="724" t="s">
        <v>1045</v>
      </c>
      <c r="E78" s="724" t="s">
        <v>67</v>
      </c>
      <c r="F78" s="725">
        <f t="shared" ref="F78" si="41">+J78</f>
        <v>162</v>
      </c>
      <c r="G78" s="726">
        <f>+R78</f>
        <v>130</v>
      </c>
      <c r="H78" s="727"/>
      <c r="I78" s="728">
        <v>54</v>
      </c>
      <c r="J78" s="729">
        <v>162</v>
      </c>
      <c r="K78" s="730"/>
      <c r="L78" s="725">
        <v>54</v>
      </c>
      <c r="M78" s="731">
        <v>156</v>
      </c>
      <c r="N78" s="728">
        <v>35</v>
      </c>
      <c r="O78" s="732"/>
      <c r="Q78" s="733">
        <v>45</v>
      </c>
      <c r="R78" s="733">
        <v>130</v>
      </c>
      <c r="V78" s="699"/>
      <c r="W78" s="734" t="s">
        <v>906</v>
      </c>
    </row>
    <row r="79" spans="1:23" x14ac:dyDescent="0.25">
      <c r="A79" s="694" t="s">
        <v>1037</v>
      </c>
      <c r="B79" s="694" t="s">
        <v>1047</v>
      </c>
      <c r="C79" s="694" t="s">
        <v>1048</v>
      </c>
      <c r="D79" s="724" t="s">
        <v>1049</v>
      </c>
      <c r="E79" s="724" t="s">
        <v>920</v>
      </c>
      <c r="F79" s="725">
        <v>23</v>
      </c>
      <c r="G79" s="726">
        <v>18.95</v>
      </c>
      <c r="H79" s="727"/>
      <c r="J79" s="729"/>
      <c r="K79" s="730"/>
      <c r="L79" s="725"/>
      <c r="M79" s="731"/>
      <c r="O79" s="732"/>
      <c r="V79" s="699"/>
      <c r="W79" s="734" t="s">
        <v>906</v>
      </c>
    </row>
    <row r="80" spans="1:23" x14ac:dyDescent="0.25">
      <c r="A80" s="694" t="s">
        <v>1037</v>
      </c>
      <c r="B80" s="694" t="s">
        <v>1050</v>
      </c>
      <c r="C80" s="694" t="s">
        <v>1051</v>
      </c>
      <c r="D80" s="724"/>
      <c r="E80" s="724" t="s">
        <v>66</v>
      </c>
      <c r="F80" s="725">
        <f t="shared" ref="F80" si="42">+I80</f>
        <v>90</v>
      </c>
      <c r="G80" s="726">
        <f t="shared" ref="G80" si="43">+O80</f>
        <v>45.65</v>
      </c>
      <c r="H80" s="727"/>
      <c r="I80" s="728">
        <v>90</v>
      </c>
      <c r="J80" s="729">
        <f t="shared" ref="J80:J95" si="44">I80*$J$164</f>
        <v>270</v>
      </c>
      <c r="K80" s="730"/>
      <c r="L80" s="725">
        <f t="shared" ref="L80:M95" si="45">+O80*1.2</f>
        <v>54.779999999999994</v>
      </c>
      <c r="M80" s="731">
        <f t="shared" si="45"/>
        <v>143.22</v>
      </c>
      <c r="N80" s="728">
        <v>90</v>
      </c>
      <c r="O80" s="732">
        <v>45.65</v>
      </c>
      <c r="P80" s="733">
        <v>119.35</v>
      </c>
      <c r="V80" s="699"/>
      <c r="W80" s="734" t="s">
        <v>906</v>
      </c>
    </row>
    <row r="81" spans="1:23" x14ac:dyDescent="0.25">
      <c r="A81" s="694" t="s">
        <v>1037</v>
      </c>
      <c r="B81" s="694" t="s">
        <v>1052</v>
      </c>
      <c r="C81" s="694" t="s">
        <v>1051</v>
      </c>
      <c r="D81" s="724"/>
      <c r="E81" s="724" t="s">
        <v>67</v>
      </c>
      <c r="F81" s="725">
        <f t="shared" ref="F81" si="46">+J81</f>
        <v>270</v>
      </c>
      <c r="G81" s="726">
        <f t="shared" ref="G81" si="47">+P81</f>
        <v>119.35</v>
      </c>
      <c r="H81" s="727"/>
      <c r="I81" s="728">
        <v>90</v>
      </c>
      <c r="J81" s="729">
        <f t="shared" si="44"/>
        <v>270</v>
      </c>
      <c r="K81" s="730"/>
      <c r="L81" s="725">
        <f t="shared" si="45"/>
        <v>54.779999999999994</v>
      </c>
      <c r="M81" s="731">
        <f t="shared" si="45"/>
        <v>143.22</v>
      </c>
      <c r="N81" s="728">
        <v>90</v>
      </c>
      <c r="O81" s="732">
        <v>45.65</v>
      </c>
      <c r="P81" s="733">
        <v>119.35</v>
      </c>
      <c r="V81" s="699"/>
      <c r="W81" s="734" t="s">
        <v>906</v>
      </c>
    </row>
    <row r="82" spans="1:23" x14ac:dyDescent="0.25">
      <c r="A82" s="694" t="s">
        <v>1037</v>
      </c>
      <c r="B82" s="694" t="s">
        <v>1053</v>
      </c>
      <c r="C82" s="694" t="s">
        <v>1054</v>
      </c>
      <c r="D82" s="724"/>
      <c r="E82" s="724" t="s">
        <v>66</v>
      </c>
      <c r="F82" s="725">
        <f t="shared" ref="F82" si="48">+I82</f>
        <v>90</v>
      </c>
      <c r="G82" s="726">
        <f t="shared" ref="G82" si="49">+O82</f>
        <v>73.150000000000006</v>
      </c>
      <c r="H82" s="727"/>
      <c r="I82" s="728">
        <v>90</v>
      </c>
      <c r="J82" s="729">
        <f t="shared" si="44"/>
        <v>270</v>
      </c>
      <c r="K82" s="730"/>
      <c r="L82" s="725">
        <f t="shared" si="45"/>
        <v>87.78</v>
      </c>
      <c r="M82" s="731">
        <f t="shared" si="45"/>
        <v>250.79999999999998</v>
      </c>
      <c r="N82" s="728">
        <v>90</v>
      </c>
      <c r="O82" s="732">
        <v>73.150000000000006</v>
      </c>
      <c r="P82" s="733">
        <v>209</v>
      </c>
      <c r="V82" s="699"/>
      <c r="W82" s="734" t="s">
        <v>906</v>
      </c>
    </row>
    <row r="83" spans="1:23" x14ac:dyDescent="0.25">
      <c r="A83" s="694" t="s">
        <v>1037</v>
      </c>
      <c r="B83" s="694" t="s">
        <v>1055</v>
      </c>
      <c r="C83" s="694" t="s">
        <v>1054</v>
      </c>
      <c r="D83" s="724"/>
      <c r="E83" s="724" t="s">
        <v>67</v>
      </c>
      <c r="F83" s="725">
        <f t="shared" ref="F83" si="50">+J83</f>
        <v>270</v>
      </c>
      <c r="G83" s="726">
        <f t="shared" ref="G83" si="51">+P83</f>
        <v>209</v>
      </c>
      <c r="H83" s="727"/>
      <c r="I83" s="728">
        <v>90</v>
      </c>
      <c r="J83" s="729">
        <f t="shared" si="44"/>
        <v>270</v>
      </c>
      <c r="K83" s="730"/>
      <c r="L83" s="725">
        <f t="shared" si="45"/>
        <v>87.78</v>
      </c>
      <c r="M83" s="731">
        <f t="shared" si="45"/>
        <v>250.79999999999998</v>
      </c>
      <c r="N83" s="728">
        <v>90</v>
      </c>
      <c r="O83" s="732">
        <v>73.150000000000006</v>
      </c>
      <c r="P83" s="733">
        <v>209</v>
      </c>
      <c r="V83" s="699"/>
      <c r="W83" s="734" t="s">
        <v>906</v>
      </c>
    </row>
    <row r="84" spans="1:23" x14ac:dyDescent="0.25">
      <c r="A84" s="694" t="s">
        <v>1037</v>
      </c>
      <c r="B84" s="694" t="s">
        <v>1056</v>
      </c>
      <c r="C84" s="694" t="s">
        <v>1057</v>
      </c>
      <c r="D84" s="724"/>
      <c r="E84" s="724" t="s">
        <v>66</v>
      </c>
      <c r="F84" s="725">
        <f t="shared" ref="F84" si="52">+I84</f>
        <v>20</v>
      </c>
      <c r="G84" s="726">
        <f t="shared" ref="G84" si="53">+O84</f>
        <v>15.95</v>
      </c>
      <c r="H84" s="727"/>
      <c r="I84" s="728">
        <v>20</v>
      </c>
      <c r="J84" s="729">
        <f t="shared" si="44"/>
        <v>60</v>
      </c>
      <c r="K84" s="730"/>
      <c r="L84" s="725">
        <f t="shared" si="45"/>
        <v>19.139999999999997</v>
      </c>
      <c r="M84" s="731">
        <f t="shared" si="45"/>
        <v>54.12</v>
      </c>
      <c r="O84" s="732">
        <v>15.95</v>
      </c>
      <c r="P84" s="733">
        <v>45.1</v>
      </c>
      <c r="V84" s="699"/>
      <c r="W84" s="734" t="s">
        <v>906</v>
      </c>
    </row>
    <row r="85" spans="1:23" x14ac:dyDescent="0.25">
      <c r="A85" s="694" t="s">
        <v>1037</v>
      </c>
      <c r="B85" s="694" t="s">
        <v>1058</v>
      </c>
      <c r="C85" s="694" t="s">
        <v>1057</v>
      </c>
      <c r="D85" s="724"/>
      <c r="E85" s="724" t="s">
        <v>67</v>
      </c>
      <c r="F85" s="725">
        <f t="shared" ref="F85" si="54">+J85</f>
        <v>60</v>
      </c>
      <c r="G85" s="726">
        <f t="shared" ref="G85" si="55">+P85</f>
        <v>45.1</v>
      </c>
      <c r="H85" s="727"/>
      <c r="I85" s="728">
        <v>20</v>
      </c>
      <c r="J85" s="729">
        <f t="shared" si="44"/>
        <v>60</v>
      </c>
      <c r="K85" s="730"/>
      <c r="L85" s="725">
        <f t="shared" si="45"/>
        <v>19.139999999999997</v>
      </c>
      <c r="M85" s="731">
        <f t="shared" si="45"/>
        <v>54.12</v>
      </c>
      <c r="O85" s="732">
        <v>15.95</v>
      </c>
      <c r="P85" s="733">
        <v>45.1</v>
      </c>
      <c r="V85" s="699"/>
      <c r="W85" s="734" t="s">
        <v>906</v>
      </c>
    </row>
    <row r="86" spans="1:23" ht="30" x14ac:dyDescent="0.25">
      <c r="A86" s="694" t="s">
        <v>1059</v>
      </c>
      <c r="B86" s="694" t="s">
        <v>1060</v>
      </c>
      <c r="C86" s="694" t="s">
        <v>1061</v>
      </c>
      <c r="D86" s="724" t="s">
        <v>1062</v>
      </c>
      <c r="E86" s="724" t="s">
        <v>66</v>
      </c>
      <c r="F86" s="725">
        <f t="shared" ref="F86" si="56">+I86</f>
        <v>35</v>
      </c>
      <c r="G86" s="726">
        <f t="shared" ref="G86" si="57">+O86</f>
        <v>21.45</v>
      </c>
      <c r="H86" s="727"/>
      <c r="I86" s="728">
        <v>35</v>
      </c>
      <c r="J86" s="729">
        <f t="shared" si="44"/>
        <v>105</v>
      </c>
      <c r="K86" s="730"/>
      <c r="L86" s="725">
        <f t="shared" si="45"/>
        <v>25.74</v>
      </c>
      <c r="M86" s="731">
        <f t="shared" si="45"/>
        <v>75.899999999999991</v>
      </c>
      <c r="O86" s="732">
        <v>21.45</v>
      </c>
      <c r="P86" s="733">
        <v>63.25</v>
      </c>
      <c r="V86" s="699"/>
      <c r="W86" s="734" t="s">
        <v>906</v>
      </c>
    </row>
    <row r="87" spans="1:23" ht="30" x14ac:dyDescent="0.25">
      <c r="A87" s="694" t="s">
        <v>1059</v>
      </c>
      <c r="B87" s="694" t="s">
        <v>1063</v>
      </c>
      <c r="C87" s="694" t="s">
        <v>1061</v>
      </c>
      <c r="D87" s="724" t="s">
        <v>1062</v>
      </c>
      <c r="E87" s="724" t="s">
        <v>67</v>
      </c>
      <c r="F87" s="725">
        <f t="shared" ref="F87" si="58">+J87</f>
        <v>105</v>
      </c>
      <c r="G87" s="726">
        <f t="shared" ref="G87" si="59">+P87</f>
        <v>63.25</v>
      </c>
      <c r="H87" s="727"/>
      <c r="I87" s="728">
        <v>35</v>
      </c>
      <c r="J87" s="729">
        <f t="shared" si="44"/>
        <v>105</v>
      </c>
      <c r="K87" s="730"/>
      <c r="L87" s="725">
        <f t="shared" si="45"/>
        <v>25.74</v>
      </c>
      <c r="M87" s="731">
        <f t="shared" si="45"/>
        <v>75.899999999999991</v>
      </c>
      <c r="O87" s="732">
        <v>21.45</v>
      </c>
      <c r="P87" s="733">
        <v>63.25</v>
      </c>
      <c r="V87" s="699"/>
      <c r="W87" s="734" t="s">
        <v>906</v>
      </c>
    </row>
    <row r="88" spans="1:23" x14ac:dyDescent="0.25">
      <c r="A88" s="694" t="s">
        <v>1059</v>
      </c>
      <c r="B88" s="694" t="s">
        <v>1064</v>
      </c>
      <c r="C88" s="694" t="s">
        <v>1065</v>
      </c>
      <c r="D88" s="724" t="s">
        <v>1066</v>
      </c>
      <c r="E88" s="724" t="s">
        <v>66</v>
      </c>
      <c r="F88" s="725">
        <f t="shared" ref="F88" si="60">+I88</f>
        <v>50</v>
      </c>
      <c r="G88" s="726">
        <f t="shared" ref="G88" si="61">+O88</f>
        <v>30.8</v>
      </c>
      <c r="H88" s="727"/>
      <c r="I88" s="728">
        <v>50</v>
      </c>
      <c r="J88" s="729">
        <f t="shared" si="44"/>
        <v>150</v>
      </c>
      <c r="K88" s="730"/>
      <c r="L88" s="725">
        <f t="shared" si="45"/>
        <v>36.96</v>
      </c>
      <c r="M88" s="731">
        <f t="shared" si="45"/>
        <v>107.58</v>
      </c>
      <c r="N88" s="728">
        <v>50</v>
      </c>
      <c r="O88" s="732">
        <v>30.8</v>
      </c>
      <c r="P88" s="733">
        <v>89.65</v>
      </c>
      <c r="V88" s="699"/>
      <c r="W88" s="734" t="s">
        <v>906</v>
      </c>
    </row>
    <row r="89" spans="1:23" x14ac:dyDescent="0.25">
      <c r="A89" s="694" t="s">
        <v>1059</v>
      </c>
      <c r="B89" s="694" t="s">
        <v>1067</v>
      </c>
      <c r="C89" s="694" t="s">
        <v>1065</v>
      </c>
      <c r="D89" s="724" t="s">
        <v>1066</v>
      </c>
      <c r="E89" s="724" t="s">
        <v>67</v>
      </c>
      <c r="F89" s="725">
        <f t="shared" ref="F89" si="62">+J89</f>
        <v>150</v>
      </c>
      <c r="G89" s="726">
        <f t="shared" ref="G89" si="63">+P89</f>
        <v>89.65</v>
      </c>
      <c r="H89" s="727"/>
      <c r="I89" s="728">
        <v>50</v>
      </c>
      <c r="J89" s="729">
        <f t="shared" si="44"/>
        <v>150</v>
      </c>
      <c r="K89" s="730"/>
      <c r="L89" s="725">
        <f t="shared" si="45"/>
        <v>36.96</v>
      </c>
      <c r="M89" s="731">
        <f t="shared" si="45"/>
        <v>107.58</v>
      </c>
      <c r="N89" s="728">
        <v>50</v>
      </c>
      <c r="O89" s="732">
        <v>30.8</v>
      </c>
      <c r="P89" s="733">
        <v>89.65</v>
      </c>
      <c r="V89" s="699"/>
      <c r="W89" s="734" t="s">
        <v>906</v>
      </c>
    </row>
    <row r="90" spans="1:23" x14ac:dyDescent="0.25">
      <c r="A90" s="694" t="s">
        <v>1059</v>
      </c>
      <c r="B90" s="694" t="s">
        <v>1068</v>
      </c>
      <c r="C90" s="694" t="s">
        <v>1069</v>
      </c>
      <c r="D90" s="724" t="s">
        <v>1070</v>
      </c>
      <c r="E90" s="724" t="s">
        <v>66</v>
      </c>
      <c r="F90" s="725">
        <f t="shared" ref="F90" si="64">+I90</f>
        <v>135</v>
      </c>
      <c r="G90" s="726">
        <f t="shared" ref="G90" si="65">+O90</f>
        <v>91.3</v>
      </c>
      <c r="H90" s="727"/>
      <c r="I90" s="728">
        <v>135</v>
      </c>
      <c r="J90" s="729">
        <f t="shared" si="44"/>
        <v>405</v>
      </c>
      <c r="K90" s="730"/>
      <c r="L90" s="725">
        <f t="shared" si="45"/>
        <v>109.55999999999999</v>
      </c>
      <c r="M90" s="731">
        <f t="shared" si="45"/>
        <v>322.08</v>
      </c>
      <c r="O90" s="732">
        <v>91.3</v>
      </c>
      <c r="P90" s="733">
        <v>268.39999999999998</v>
      </c>
      <c r="V90" s="699"/>
      <c r="W90" s="734" t="s">
        <v>906</v>
      </c>
    </row>
    <row r="91" spans="1:23" x14ac:dyDescent="0.25">
      <c r="A91" s="694" t="s">
        <v>1059</v>
      </c>
      <c r="B91" s="694" t="s">
        <v>1071</v>
      </c>
      <c r="C91" s="694" t="s">
        <v>1069</v>
      </c>
      <c r="D91" s="724" t="s">
        <v>1070</v>
      </c>
      <c r="E91" s="724" t="s">
        <v>67</v>
      </c>
      <c r="F91" s="725">
        <f t="shared" ref="F91" si="66">+J91</f>
        <v>405</v>
      </c>
      <c r="G91" s="726">
        <f t="shared" ref="G91" si="67">+P91</f>
        <v>268.39999999999998</v>
      </c>
      <c r="H91" s="727"/>
      <c r="I91" s="728">
        <v>135</v>
      </c>
      <c r="J91" s="729">
        <f t="shared" si="44"/>
        <v>405</v>
      </c>
      <c r="K91" s="730"/>
      <c r="L91" s="725">
        <f t="shared" si="45"/>
        <v>109.55999999999999</v>
      </c>
      <c r="M91" s="731">
        <f t="shared" si="45"/>
        <v>322.08</v>
      </c>
      <c r="O91" s="732">
        <v>91.3</v>
      </c>
      <c r="P91" s="733">
        <v>268.39999999999998</v>
      </c>
      <c r="V91" s="699"/>
      <c r="W91" s="734" t="s">
        <v>906</v>
      </c>
    </row>
    <row r="92" spans="1:23" x14ac:dyDescent="0.25">
      <c r="A92" s="694" t="s">
        <v>1059</v>
      </c>
      <c r="B92" s="694" t="s">
        <v>1072</v>
      </c>
      <c r="C92" s="694" t="s">
        <v>1073</v>
      </c>
      <c r="D92" s="724" t="s">
        <v>1074</v>
      </c>
      <c r="E92" s="724" t="s">
        <v>66</v>
      </c>
      <c r="F92" s="725">
        <f t="shared" ref="F92" si="68">+I92</f>
        <v>20</v>
      </c>
      <c r="G92" s="726">
        <f t="shared" ref="G92" si="69">+O92</f>
        <v>12.65</v>
      </c>
      <c r="H92" s="727"/>
      <c r="I92" s="728">
        <v>20</v>
      </c>
      <c r="J92" s="729">
        <f t="shared" si="44"/>
        <v>60</v>
      </c>
      <c r="K92" s="730"/>
      <c r="L92" s="725">
        <f t="shared" si="45"/>
        <v>15.18</v>
      </c>
      <c r="M92" s="731">
        <f t="shared" si="45"/>
        <v>36.299999999999997</v>
      </c>
      <c r="O92" s="732">
        <v>12.65</v>
      </c>
      <c r="P92" s="733">
        <v>30.25</v>
      </c>
      <c r="V92" s="699"/>
      <c r="W92" s="734" t="s">
        <v>906</v>
      </c>
    </row>
    <row r="93" spans="1:23" x14ac:dyDescent="0.25">
      <c r="A93" s="694" t="s">
        <v>1059</v>
      </c>
      <c r="B93" s="694" t="s">
        <v>1075</v>
      </c>
      <c r="C93" s="694" t="s">
        <v>1073</v>
      </c>
      <c r="D93" s="724" t="s">
        <v>1074</v>
      </c>
      <c r="E93" s="724" t="s">
        <v>67</v>
      </c>
      <c r="F93" s="725">
        <f t="shared" ref="F93" si="70">+J93</f>
        <v>60</v>
      </c>
      <c r="G93" s="726">
        <f t="shared" ref="G93" si="71">+P93</f>
        <v>30.25</v>
      </c>
      <c r="H93" s="727"/>
      <c r="I93" s="728">
        <v>20</v>
      </c>
      <c r="J93" s="729">
        <f t="shared" si="44"/>
        <v>60</v>
      </c>
      <c r="K93" s="730"/>
      <c r="L93" s="725">
        <f t="shared" si="45"/>
        <v>15.18</v>
      </c>
      <c r="M93" s="731">
        <f t="shared" si="45"/>
        <v>36.299999999999997</v>
      </c>
      <c r="O93" s="732">
        <v>12.65</v>
      </c>
      <c r="P93" s="733">
        <v>30.25</v>
      </c>
      <c r="V93" s="699"/>
      <c r="W93" s="734" t="s">
        <v>906</v>
      </c>
    </row>
    <row r="94" spans="1:23" x14ac:dyDescent="0.25">
      <c r="A94" s="694" t="s">
        <v>1059</v>
      </c>
      <c r="B94" s="694" t="s">
        <v>1076</v>
      </c>
      <c r="C94" s="694" t="s">
        <v>1077</v>
      </c>
      <c r="D94" s="724" t="s">
        <v>1078</v>
      </c>
      <c r="E94" s="724" t="s">
        <v>66</v>
      </c>
      <c r="F94" s="725">
        <f t="shared" ref="F94" si="72">+I94</f>
        <v>120</v>
      </c>
      <c r="G94" s="726">
        <f t="shared" ref="G94" si="73">+O94</f>
        <v>76.45</v>
      </c>
      <c r="H94" s="727"/>
      <c r="I94" s="728">
        <v>120</v>
      </c>
      <c r="J94" s="729">
        <f t="shared" si="44"/>
        <v>360</v>
      </c>
      <c r="K94" s="730"/>
      <c r="L94" s="725">
        <f t="shared" si="45"/>
        <v>91.74</v>
      </c>
      <c r="M94" s="731">
        <f t="shared" si="45"/>
        <v>267.95999999999998</v>
      </c>
      <c r="O94" s="732">
        <v>76.45</v>
      </c>
      <c r="P94" s="733">
        <v>223.3</v>
      </c>
      <c r="V94" s="699"/>
      <c r="W94" s="734" t="s">
        <v>906</v>
      </c>
    </row>
    <row r="95" spans="1:23" x14ac:dyDescent="0.25">
      <c r="A95" s="694" t="s">
        <v>1059</v>
      </c>
      <c r="B95" s="694" t="s">
        <v>1079</v>
      </c>
      <c r="C95" s="694" t="s">
        <v>1077</v>
      </c>
      <c r="D95" s="724" t="s">
        <v>1078</v>
      </c>
      <c r="E95" s="724" t="s">
        <v>67</v>
      </c>
      <c r="F95" s="725">
        <f t="shared" ref="F95" si="74">+J95</f>
        <v>360</v>
      </c>
      <c r="G95" s="726">
        <f t="shared" ref="G95" si="75">+P95</f>
        <v>223.3</v>
      </c>
      <c r="H95" s="727"/>
      <c r="I95" s="728">
        <v>120</v>
      </c>
      <c r="J95" s="729">
        <f t="shared" si="44"/>
        <v>360</v>
      </c>
      <c r="K95" s="730"/>
      <c r="L95" s="725">
        <f t="shared" si="45"/>
        <v>91.74</v>
      </c>
      <c r="M95" s="731">
        <f t="shared" si="45"/>
        <v>267.95999999999998</v>
      </c>
      <c r="O95" s="732">
        <v>76.45</v>
      </c>
      <c r="P95" s="733">
        <v>223.3</v>
      </c>
      <c r="V95" s="699"/>
      <c r="W95" s="734" t="s">
        <v>906</v>
      </c>
    </row>
    <row r="96" spans="1:23" x14ac:dyDescent="0.25">
      <c r="A96" s="694" t="s">
        <v>1059</v>
      </c>
      <c r="B96" s="694" t="s">
        <v>1080</v>
      </c>
      <c r="C96" s="694" t="s">
        <v>63</v>
      </c>
      <c r="D96" s="724" t="s">
        <v>1081</v>
      </c>
      <c r="E96" s="724" t="s">
        <v>920</v>
      </c>
      <c r="F96" s="725">
        <v>18</v>
      </c>
      <c r="G96" s="726">
        <v>14.86</v>
      </c>
      <c r="H96" s="727">
        <v>18</v>
      </c>
      <c r="J96" s="729"/>
      <c r="K96" s="730">
        <f>+T96*1.2</f>
        <v>17.831999999999997</v>
      </c>
      <c r="L96" s="725"/>
      <c r="M96" s="731"/>
      <c r="O96" s="732"/>
      <c r="S96" s="733">
        <v>16.5</v>
      </c>
      <c r="T96" s="721">
        <v>14.86</v>
      </c>
      <c r="U96" s="733">
        <v>11.25</v>
      </c>
      <c r="V96" s="699"/>
      <c r="W96" s="734" t="s">
        <v>906</v>
      </c>
    </row>
    <row r="97" spans="1:23" x14ac:dyDescent="0.25">
      <c r="A97" s="694" t="s">
        <v>1059</v>
      </c>
      <c r="B97" s="694" t="s">
        <v>1082</v>
      </c>
      <c r="C97" s="694" t="s">
        <v>1083</v>
      </c>
      <c r="D97" s="724" t="s">
        <v>1084</v>
      </c>
      <c r="E97" s="724" t="s">
        <v>66</v>
      </c>
      <c r="F97" s="725">
        <v>85</v>
      </c>
      <c r="G97" s="726">
        <v>61.05</v>
      </c>
      <c r="H97" s="727"/>
      <c r="I97" s="728">
        <v>85</v>
      </c>
      <c r="J97" s="729">
        <f t="shared" ref="J97:J104" si="76">I97*$J$164</f>
        <v>255</v>
      </c>
      <c r="K97" s="730"/>
      <c r="L97" s="725">
        <f t="shared" ref="L97:M100" si="77">+O97*1.2</f>
        <v>73.259999999999991</v>
      </c>
      <c r="M97" s="731">
        <f t="shared" si="77"/>
        <v>214.5</v>
      </c>
      <c r="O97" s="732">
        <v>61.05</v>
      </c>
      <c r="P97" s="733">
        <v>178.75</v>
      </c>
      <c r="V97" s="699"/>
      <c r="W97" s="734" t="s">
        <v>906</v>
      </c>
    </row>
    <row r="98" spans="1:23" x14ac:dyDescent="0.25">
      <c r="A98" s="694" t="s">
        <v>1059</v>
      </c>
      <c r="B98" s="694" t="s">
        <v>1085</v>
      </c>
      <c r="C98" s="694" t="s">
        <v>1083</v>
      </c>
      <c r="D98" s="724" t="s">
        <v>1084</v>
      </c>
      <c r="E98" s="724" t="s">
        <v>67</v>
      </c>
      <c r="F98" s="725">
        <v>255</v>
      </c>
      <c r="G98" s="726">
        <v>178.75</v>
      </c>
      <c r="H98" s="727"/>
      <c r="I98" s="728">
        <v>85</v>
      </c>
      <c r="J98" s="729">
        <f t="shared" si="76"/>
        <v>255</v>
      </c>
      <c r="K98" s="730"/>
      <c r="L98" s="725">
        <f t="shared" si="77"/>
        <v>73.259999999999991</v>
      </c>
      <c r="M98" s="731">
        <f t="shared" si="77"/>
        <v>214.5</v>
      </c>
      <c r="O98" s="732">
        <v>61.05</v>
      </c>
      <c r="P98" s="733">
        <v>178.75</v>
      </c>
      <c r="V98" s="699"/>
      <c r="W98" s="734" t="s">
        <v>906</v>
      </c>
    </row>
    <row r="99" spans="1:23" x14ac:dyDescent="0.25">
      <c r="A99" s="694" t="s">
        <v>1059</v>
      </c>
      <c r="B99" s="694" t="s">
        <v>1086</v>
      </c>
      <c r="C99" s="694" t="s">
        <v>1087</v>
      </c>
      <c r="D99" s="724" t="s">
        <v>1088</v>
      </c>
      <c r="E99" s="724" t="s">
        <v>66</v>
      </c>
      <c r="F99" s="725">
        <v>70</v>
      </c>
      <c r="G99" s="726">
        <v>52.25</v>
      </c>
      <c r="H99" s="727"/>
      <c r="I99" s="728">
        <v>70</v>
      </c>
      <c r="J99" s="729">
        <f t="shared" si="76"/>
        <v>210</v>
      </c>
      <c r="K99" s="730"/>
      <c r="L99" s="725">
        <f t="shared" si="77"/>
        <v>62.699999999999996</v>
      </c>
      <c r="M99" s="731">
        <f t="shared" si="77"/>
        <v>178.86</v>
      </c>
      <c r="O99" s="732">
        <v>52.25</v>
      </c>
      <c r="P99" s="733">
        <v>149.05000000000001</v>
      </c>
      <c r="V99" s="699"/>
      <c r="W99" s="734" t="s">
        <v>906</v>
      </c>
    </row>
    <row r="100" spans="1:23" x14ac:dyDescent="0.25">
      <c r="A100" s="694" t="s">
        <v>1059</v>
      </c>
      <c r="B100" s="694" t="s">
        <v>1089</v>
      </c>
      <c r="C100" s="694" t="s">
        <v>1087</v>
      </c>
      <c r="D100" s="724" t="s">
        <v>1088</v>
      </c>
      <c r="E100" s="724" t="s">
        <v>67</v>
      </c>
      <c r="F100" s="725">
        <v>210</v>
      </c>
      <c r="G100" s="726">
        <v>149.05000000000001</v>
      </c>
      <c r="H100" s="727"/>
      <c r="I100" s="728">
        <v>70</v>
      </c>
      <c r="J100" s="729">
        <f t="shared" si="76"/>
        <v>210</v>
      </c>
      <c r="K100" s="730"/>
      <c r="L100" s="725">
        <f t="shared" si="77"/>
        <v>62.699999999999996</v>
      </c>
      <c r="M100" s="731">
        <f t="shared" si="77"/>
        <v>178.86</v>
      </c>
      <c r="O100" s="732">
        <v>52.25</v>
      </c>
      <c r="P100" s="733">
        <v>149.05000000000001</v>
      </c>
      <c r="V100" s="699"/>
      <c r="W100" s="734" t="s">
        <v>906</v>
      </c>
    </row>
    <row r="101" spans="1:23" x14ac:dyDescent="0.25">
      <c r="A101" s="694" t="s">
        <v>1090</v>
      </c>
      <c r="B101" s="694" t="s">
        <v>1091</v>
      </c>
      <c r="C101" s="694" t="s">
        <v>1092</v>
      </c>
      <c r="D101" s="724" t="s">
        <v>1093</v>
      </c>
      <c r="E101" s="724" t="s">
        <v>66</v>
      </c>
      <c r="F101" s="725">
        <v>45</v>
      </c>
      <c r="G101" s="726">
        <v>35</v>
      </c>
      <c r="H101" s="727"/>
      <c r="I101" s="728">
        <v>45</v>
      </c>
      <c r="J101" s="729">
        <f t="shared" si="76"/>
        <v>135</v>
      </c>
      <c r="K101" s="730"/>
      <c r="L101" s="725">
        <f t="shared" ref="L101:M104" si="78">+Q101*1.2</f>
        <v>42</v>
      </c>
      <c r="M101" s="731">
        <f t="shared" si="78"/>
        <v>168</v>
      </c>
      <c r="N101" s="737">
        <v>25</v>
      </c>
      <c r="O101" s="732"/>
      <c r="Q101" s="733">
        <v>35</v>
      </c>
      <c r="R101" s="733">
        <v>140</v>
      </c>
      <c r="V101" s="699"/>
      <c r="W101" s="734" t="s">
        <v>906</v>
      </c>
    </row>
    <row r="102" spans="1:23" x14ac:dyDescent="0.25">
      <c r="A102" s="694" t="s">
        <v>1090</v>
      </c>
      <c r="B102" s="694" t="s">
        <v>1094</v>
      </c>
      <c r="C102" s="694" t="s">
        <v>1092</v>
      </c>
      <c r="D102" s="724" t="s">
        <v>1093</v>
      </c>
      <c r="E102" s="724" t="s">
        <v>67</v>
      </c>
      <c r="F102" s="725">
        <v>135</v>
      </c>
      <c r="G102" s="726">
        <v>140</v>
      </c>
      <c r="H102" s="727"/>
      <c r="I102" s="728">
        <v>45</v>
      </c>
      <c r="J102" s="729">
        <f t="shared" si="76"/>
        <v>135</v>
      </c>
      <c r="K102" s="730"/>
      <c r="L102" s="725">
        <f t="shared" si="78"/>
        <v>42</v>
      </c>
      <c r="M102" s="731">
        <f t="shared" si="78"/>
        <v>168</v>
      </c>
      <c r="N102" s="737">
        <v>25</v>
      </c>
      <c r="O102" s="732"/>
      <c r="Q102" s="733">
        <v>35</v>
      </c>
      <c r="R102" s="733">
        <v>140</v>
      </c>
      <c r="V102" s="699"/>
      <c r="W102" s="734" t="s">
        <v>906</v>
      </c>
    </row>
    <row r="103" spans="1:23" x14ac:dyDescent="0.25">
      <c r="A103" s="694" t="s">
        <v>1090</v>
      </c>
      <c r="B103" s="694" t="s">
        <v>1095</v>
      </c>
      <c r="C103" s="694" t="s">
        <v>60</v>
      </c>
      <c r="D103" s="724" t="s">
        <v>1096</v>
      </c>
      <c r="E103" s="724" t="s">
        <v>66</v>
      </c>
      <c r="F103" s="725">
        <v>80</v>
      </c>
      <c r="G103" s="726">
        <v>65</v>
      </c>
      <c r="H103" s="727"/>
      <c r="I103" s="728">
        <v>80</v>
      </c>
      <c r="J103" s="729">
        <f t="shared" si="76"/>
        <v>240</v>
      </c>
      <c r="K103" s="730"/>
      <c r="L103" s="725">
        <f t="shared" si="78"/>
        <v>78</v>
      </c>
      <c r="M103" s="731">
        <f t="shared" si="78"/>
        <v>312</v>
      </c>
      <c r="N103" s="737">
        <v>40</v>
      </c>
      <c r="O103" s="732"/>
      <c r="Q103" s="733">
        <v>65</v>
      </c>
      <c r="R103" s="733">
        <v>260</v>
      </c>
      <c r="V103" s="699"/>
      <c r="W103" s="734" t="s">
        <v>906</v>
      </c>
    </row>
    <row r="104" spans="1:23" x14ac:dyDescent="0.25">
      <c r="A104" s="694" t="s">
        <v>1090</v>
      </c>
      <c r="B104" s="694" t="s">
        <v>1097</v>
      </c>
      <c r="C104" s="694" t="s">
        <v>60</v>
      </c>
      <c r="D104" s="724" t="s">
        <v>1096</v>
      </c>
      <c r="E104" s="724" t="s">
        <v>67</v>
      </c>
      <c r="F104" s="725">
        <v>240</v>
      </c>
      <c r="G104" s="726">
        <v>260</v>
      </c>
      <c r="H104" s="727"/>
      <c r="I104" s="728">
        <v>80</v>
      </c>
      <c r="J104" s="729">
        <f t="shared" si="76"/>
        <v>240</v>
      </c>
      <c r="K104" s="730"/>
      <c r="L104" s="725">
        <f t="shared" si="78"/>
        <v>78</v>
      </c>
      <c r="M104" s="731">
        <f t="shared" si="78"/>
        <v>312</v>
      </c>
      <c r="N104" s="737">
        <v>40</v>
      </c>
      <c r="O104" s="732"/>
      <c r="Q104" s="733">
        <v>65</v>
      </c>
      <c r="R104" s="733">
        <v>260</v>
      </c>
      <c r="V104" s="699"/>
      <c r="W104" s="734" t="s">
        <v>906</v>
      </c>
    </row>
    <row r="105" spans="1:23" x14ac:dyDescent="0.25">
      <c r="A105" s="694" t="s">
        <v>1090</v>
      </c>
      <c r="B105" s="694" t="s">
        <v>1098</v>
      </c>
      <c r="C105" s="694" t="s">
        <v>1099</v>
      </c>
      <c r="D105" s="724" t="s">
        <v>1100</v>
      </c>
      <c r="E105" s="724" t="s">
        <v>1101</v>
      </c>
      <c r="F105" s="725">
        <v>0.08</v>
      </c>
      <c r="G105" s="726">
        <v>7.0000000000000007E-2</v>
      </c>
      <c r="H105" s="727">
        <v>8.4000000000000005E-2</v>
      </c>
      <c r="J105" s="729"/>
      <c r="K105" s="730">
        <f>+U105*1.2</f>
        <v>8.4000000000000005E-2</v>
      </c>
      <c r="L105" s="725"/>
      <c r="M105" s="731"/>
      <c r="N105" s="728">
        <v>0.06</v>
      </c>
      <c r="O105" s="732"/>
      <c r="U105" s="733">
        <v>7.0000000000000007E-2</v>
      </c>
      <c r="V105" s="699"/>
      <c r="W105" s="734" t="s">
        <v>906</v>
      </c>
    </row>
    <row r="106" spans="1:23" x14ac:dyDescent="0.25">
      <c r="A106" s="694" t="s">
        <v>1090</v>
      </c>
      <c r="B106" s="694" t="s">
        <v>1102</v>
      </c>
      <c r="C106" s="694" t="s">
        <v>1103</v>
      </c>
      <c r="D106" s="724" t="s">
        <v>1104</v>
      </c>
      <c r="E106" s="724" t="s">
        <v>920</v>
      </c>
      <c r="F106" s="725">
        <v>5</v>
      </c>
      <c r="G106" s="726">
        <v>3.55</v>
      </c>
      <c r="H106" s="727"/>
      <c r="J106" s="729"/>
      <c r="K106" s="730"/>
      <c r="L106" s="725"/>
      <c r="M106" s="731"/>
      <c r="O106" s="732"/>
      <c r="V106" s="699"/>
      <c r="W106" s="734" t="s">
        <v>906</v>
      </c>
    </row>
    <row r="107" spans="1:23" x14ac:dyDescent="0.25">
      <c r="A107" s="694" t="s">
        <v>1090</v>
      </c>
      <c r="B107" s="694" t="s">
        <v>1105</v>
      </c>
      <c r="C107" s="694" t="s">
        <v>1106</v>
      </c>
      <c r="D107" s="724"/>
      <c r="E107" s="724" t="s">
        <v>920</v>
      </c>
      <c r="F107" s="725">
        <v>20</v>
      </c>
      <c r="G107" s="726">
        <v>11.75</v>
      </c>
      <c r="H107" s="727">
        <v>20</v>
      </c>
      <c r="J107" s="729"/>
      <c r="K107" s="730">
        <f>+T107*1.2</f>
        <v>14.1</v>
      </c>
      <c r="L107" s="725"/>
      <c r="M107" s="731"/>
      <c r="O107" s="732"/>
      <c r="T107" s="733">
        <v>11.75</v>
      </c>
      <c r="V107" s="699"/>
      <c r="W107" s="734" t="s">
        <v>906</v>
      </c>
    </row>
    <row r="108" spans="1:23" ht="30" x14ac:dyDescent="0.25">
      <c r="A108" s="694" t="s">
        <v>1090</v>
      </c>
      <c r="B108" s="694" t="s">
        <v>1107</v>
      </c>
      <c r="C108" s="694" t="s">
        <v>99</v>
      </c>
      <c r="D108" s="724" t="s">
        <v>1108</v>
      </c>
      <c r="E108" s="724" t="s">
        <v>66</v>
      </c>
      <c r="F108" s="725">
        <v>65</v>
      </c>
      <c r="G108" s="726">
        <f>+O108</f>
        <v>46.75</v>
      </c>
      <c r="H108" s="727"/>
      <c r="I108" s="728">
        <v>65</v>
      </c>
      <c r="J108" s="729">
        <f>I108*$J$164</f>
        <v>195</v>
      </c>
      <c r="K108" s="730"/>
      <c r="L108" s="725">
        <f>+O108*1.2</f>
        <v>56.1</v>
      </c>
      <c r="M108" s="731">
        <f>+P108*1.2</f>
        <v>224.4</v>
      </c>
      <c r="O108" s="732">
        <v>46.75</v>
      </c>
      <c r="P108" s="733">
        <v>187</v>
      </c>
      <c r="V108" s="699"/>
      <c r="W108" s="734" t="s">
        <v>906</v>
      </c>
    </row>
    <row r="109" spans="1:23" ht="30" x14ac:dyDescent="0.25">
      <c r="A109" s="694" t="s">
        <v>1090</v>
      </c>
      <c r="B109" s="694" t="s">
        <v>1109</v>
      </c>
      <c r="C109" s="694" t="s">
        <v>99</v>
      </c>
      <c r="D109" s="724" t="s">
        <v>1108</v>
      </c>
      <c r="E109" s="724" t="s">
        <v>67</v>
      </c>
      <c r="F109" s="725">
        <v>195</v>
      </c>
      <c r="G109" s="726">
        <f>+P109</f>
        <v>187</v>
      </c>
      <c r="H109" s="727"/>
      <c r="I109" s="728">
        <v>65</v>
      </c>
      <c r="J109" s="729">
        <f>I109*$J$164</f>
        <v>195</v>
      </c>
      <c r="K109" s="730"/>
      <c r="L109" s="725">
        <f>+O109*1.2</f>
        <v>56.1</v>
      </c>
      <c r="M109" s="731">
        <f>+P109*1.2</f>
        <v>224.4</v>
      </c>
      <c r="O109" s="732">
        <v>46.75</v>
      </c>
      <c r="P109" s="733">
        <v>187</v>
      </c>
      <c r="V109" s="699"/>
      <c r="W109" s="734" t="s">
        <v>906</v>
      </c>
    </row>
    <row r="110" spans="1:23" x14ac:dyDescent="0.25">
      <c r="A110" s="694" t="s">
        <v>1090</v>
      </c>
      <c r="B110" s="694" t="s">
        <v>1110</v>
      </c>
      <c r="C110" s="694" t="s">
        <v>1111</v>
      </c>
      <c r="D110" s="724" t="s">
        <v>1112</v>
      </c>
      <c r="E110" s="724" t="s">
        <v>920</v>
      </c>
      <c r="F110" s="725">
        <v>7</v>
      </c>
      <c r="G110" s="726">
        <v>5.95</v>
      </c>
      <c r="H110" s="727">
        <v>11</v>
      </c>
      <c r="J110" s="729"/>
      <c r="K110" s="730">
        <f>+S110*1.2</f>
        <v>10.92</v>
      </c>
      <c r="L110" s="725"/>
      <c r="M110" s="731"/>
      <c r="N110" s="737">
        <v>7</v>
      </c>
      <c r="O110" s="732"/>
      <c r="S110" s="733">
        <v>9.1</v>
      </c>
      <c r="V110" s="699"/>
      <c r="W110" s="734" t="s">
        <v>906</v>
      </c>
    </row>
    <row r="111" spans="1:23" x14ac:dyDescent="0.25">
      <c r="A111" s="694" t="s">
        <v>1090</v>
      </c>
      <c r="B111" s="776" t="s">
        <v>1285</v>
      </c>
      <c r="C111" s="694" t="s">
        <v>1113</v>
      </c>
      <c r="D111" s="724" t="s">
        <v>1114</v>
      </c>
      <c r="E111" s="724" t="s">
        <v>920</v>
      </c>
      <c r="F111" s="725">
        <v>20</v>
      </c>
      <c r="G111" s="726">
        <v>15</v>
      </c>
      <c r="H111" s="727"/>
      <c r="J111" s="729"/>
      <c r="K111" s="730"/>
      <c r="L111" s="725"/>
      <c r="M111" s="731"/>
      <c r="N111" s="737"/>
      <c r="O111" s="732"/>
      <c r="V111" s="699"/>
      <c r="W111" s="734" t="s">
        <v>906</v>
      </c>
    </row>
    <row r="112" spans="1:23" x14ac:dyDescent="0.25">
      <c r="A112" s="694" t="s">
        <v>1090</v>
      </c>
      <c r="B112" s="694" t="s">
        <v>1115</v>
      </c>
      <c r="C112" s="694" t="s">
        <v>1116</v>
      </c>
      <c r="D112" s="724"/>
      <c r="E112" s="724" t="s">
        <v>920</v>
      </c>
      <c r="F112" s="725">
        <v>14</v>
      </c>
      <c r="G112" s="726">
        <v>11.7</v>
      </c>
      <c r="H112" s="727">
        <v>14</v>
      </c>
      <c r="J112" s="729"/>
      <c r="K112" s="730">
        <f>+S112*1.2</f>
        <v>14.04</v>
      </c>
      <c r="L112" s="725"/>
      <c r="M112" s="731"/>
      <c r="O112" s="732"/>
      <c r="S112" s="721">
        <v>11.7</v>
      </c>
      <c r="T112" s="733">
        <v>10.95</v>
      </c>
      <c r="V112" s="699"/>
      <c r="W112" s="734" t="s">
        <v>906</v>
      </c>
    </row>
    <row r="113" spans="1:23" x14ac:dyDescent="0.25">
      <c r="A113" s="694" t="s">
        <v>1090</v>
      </c>
      <c r="B113" s="694" t="s">
        <v>1117</v>
      </c>
      <c r="C113" s="694" t="s">
        <v>100</v>
      </c>
      <c r="D113" s="724" t="s">
        <v>1118</v>
      </c>
      <c r="E113" s="724" t="s">
        <v>66</v>
      </c>
      <c r="F113" s="725">
        <v>40</v>
      </c>
      <c r="G113" s="726">
        <f t="shared" ref="G113" si="79">+O113</f>
        <v>24.75</v>
      </c>
      <c r="H113" s="727"/>
      <c r="I113" s="728">
        <v>40</v>
      </c>
      <c r="J113" s="729">
        <f>I113*$J$164</f>
        <v>120</v>
      </c>
      <c r="K113" s="730"/>
      <c r="L113" s="725">
        <f t="shared" ref="L113:M118" si="80">+O113*1.2</f>
        <v>29.7</v>
      </c>
      <c r="M113" s="731">
        <f t="shared" si="80"/>
        <v>85.8</v>
      </c>
      <c r="O113" s="732">
        <v>24.75</v>
      </c>
      <c r="P113" s="733">
        <v>71.5</v>
      </c>
      <c r="V113" s="699"/>
      <c r="W113" s="734" t="s">
        <v>906</v>
      </c>
    </row>
    <row r="114" spans="1:23" x14ac:dyDescent="0.25">
      <c r="A114" s="694" t="s">
        <v>1090</v>
      </c>
      <c r="B114" s="694" t="s">
        <v>1119</v>
      </c>
      <c r="C114" s="694" t="s">
        <v>100</v>
      </c>
      <c r="D114" s="724" t="s">
        <v>1118</v>
      </c>
      <c r="E114" s="724" t="s">
        <v>67</v>
      </c>
      <c r="F114" s="725">
        <v>120</v>
      </c>
      <c r="G114" s="726">
        <f t="shared" ref="G114" si="81">+P114</f>
        <v>71.5</v>
      </c>
      <c r="H114" s="727"/>
      <c r="I114" s="728">
        <v>40</v>
      </c>
      <c r="J114" s="729">
        <f>I114*$J$164</f>
        <v>120</v>
      </c>
      <c r="K114" s="730"/>
      <c r="L114" s="725">
        <f t="shared" si="80"/>
        <v>29.7</v>
      </c>
      <c r="M114" s="731">
        <f t="shared" si="80"/>
        <v>85.8</v>
      </c>
      <c r="O114" s="732">
        <v>24.75</v>
      </c>
      <c r="P114" s="733">
        <v>71.5</v>
      </c>
      <c r="V114" s="699"/>
      <c r="W114" s="734" t="s">
        <v>906</v>
      </c>
    </row>
    <row r="115" spans="1:23" x14ac:dyDescent="0.25">
      <c r="A115" s="694" t="s">
        <v>1090</v>
      </c>
      <c r="B115" s="694" t="s">
        <v>1120</v>
      </c>
      <c r="C115" s="694" t="s">
        <v>1121</v>
      </c>
      <c r="D115" s="724"/>
      <c r="E115" s="724" t="s">
        <v>66</v>
      </c>
      <c r="F115" s="725">
        <v>25</v>
      </c>
      <c r="G115" s="736" t="s">
        <v>950</v>
      </c>
      <c r="H115" s="727"/>
      <c r="J115" s="729"/>
      <c r="K115" s="730"/>
      <c r="L115" s="725"/>
      <c r="M115" s="731"/>
      <c r="O115" s="732"/>
      <c r="V115" s="699"/>
      <c r="W115" s="734" t="s">
        <v>906</v>
      </c>
    </row>
    <row r="116" spans="1:23" x14ac:dyDescent="0.25">
      <c r="A116" s="694" t="s">
        <v>1090</v>
      </c>
      <c r="B116" s="694" t="s">
        <v>1122</v>
      </c>
      <c r="C116" s="694" t="s">
        <v>1121</v>
      </c>
      <c r="D116" s="724"/>
      <c r="E116" s="724" t="s">
        <v>67</v>
      </c>
      <c r="F116" s="725">
        <v>75</v>
      </c>
      <c r="G116" s="736" t="s">
        <v>950</v>
      </c>
      <c r="H116" s="727"/>
      <c r="J116" s="729"/>
      <c r="K116" s="730"/>
      <c r="L116" s="725"/>
      <c r="M116" s="731"/>
      <c r="O116" s="732"/>
      <c r="V116" s="699"/>
      <c r="W116" s="734" t="s">
        <v>906</v>
      </c>
    </row>
    <row r="117" spans="1:23" ht="30" x14ac:dyDescent="0.25">
      <c r="A117" s="694" t="s">
        <v>1090</v>
      </c>
      <c r="B117" s="694" t="s">
        <v>1123</v>
      </c>
      <c r="C117" s="694" t="s">
        <v>1124</v>
      </c>
      <c r="D117" s="724" t="s">
        <v>1125</v>
      </c>
      <c r="E117" s="724" t="s">
        <v>66</v>
      </c>
      <c r="F117" s="725">
        <v>65</v>
      </c>
      <c r="G117" s="726">
        <f t="shared" ref="G117" si="82">+O117</f>
        <v>45.65</v>
      </c>
      <c r="H117" s="727"/>
      <c r="I117" s="728">
        <v>65</v>
      </c>
      <c r="J117" s="729">
        <f>I117*$J$164</f>
        <v>195</v>
      </c>
      <c r="K117" s="730"/>
      <c r="L117" s="725">
        <f t="shared" si="80"/>
        <v>54.779999999999994</v>
      </c>
      <c r="M117" s="731">
        <f t="shared" si="80"/>
        <v>143.22</v>
      </c>
      <c r="O117" s="732">
        <v>45.65</v>
      </c>
      <c r="P117" s="733">
        <v>119.35</v>
      </c>
      <c r="V117" s="699"/>
      <c r="W117" s="734" t="s">
        <v>906</v>
      </c>
    </row>
    <row r="118" spans="1:23" ht="30" x14ac:dyDescent="0.25">
      <c r="A118" s="694" t="s">
        <v>1090</v>
      </c>
      <c r="B118" s="694" t="s">
        <v>1126</v>
      </c>
      <c r="C118" s="694" t="s">
        <v>1124</v>
      </c>
      <c r="D118" s="724" t="s">
        <v>1125</v>
      </c>
      <c r="E118" s="724" t="s">
        <v>67</v>
      </c>
      <c r="F118" s="725">
        <v>195</v>
      </c>
      <c r="G118" s="726">
        <f t="shared" ref="G118" si="83">+P118</f>
        <v>119.35</v>
      </c>
      <c r="H118" s="727"/>
      <c r="I118" s="728">
        <v>65</v>
      </c>
      <c r="J118" s="729">
        <f>I118*$J$164</f>
        <v>195</v>
      </c>
      <c r="K118" s="730"/>
      <c r="L118" s="725">
        <f t="shared" si="80"/>
        <v>54.779999999999994</v>
      </c>
      <c r="M118" s="731">
        <f t="shared" si="80"/>
        <v>143.22</v>
      </c>
      <c r="O118" s="732">
        <v>45.65</v>
      </c>
      <c r="P118" s="733">
        <v>119.35</v>
      </c>
      <c r="V118" s="699"/>
      <c r="W118" s="734" t="s">
        <v>906</v>
      </c>
    </row>
    <row r="119" spans="1:23" x14ac:dyDescent="0.25">
      <c r="A119" s="694" t="s">
        <v>1090</v>
      </c>
      <c r="B119" s="694" t="s">
        <v>1127</v>
      </c>
      <c r="C119" s="694" t="s">
        <v>1128</v>
      </c>
      <c r="D119" s="724" t="s">
        <v>1129</v>
      </c>
      <c r="E119" s="724" t="s">
        <v>920</v>
      </c>
      <c r="F119" s="725">
        <v>6</v>
      </c>
      <c r="G119" s="726">
        <v>5</v>
      </c>
      <c r="H119" s="727">
        <v>6</v>
      </c>
      <c r="J119" s="729"/>
      <c r="K119" s="730">
        <f>+U119*1.2</f>
        <v>6</v>
      </c>
      <c r="L119" s="725"/>
      <c r="M119" s="731"/>
      <c r="O119" s="732"/>
      <c r="U119" s="733">
        <v>5</v>
      </c>
      <c r="V119" s="699"/>
      <c r="W119" s="734" t="s">
        <v>906</v>
      </c>
    </row>
    <row r="120" spans="1:23" x14ac:dyDescent="0.25">
      <c r="A120" s="694" t="s">
        <v>1090</v>
      </c>
      <c r="B120" s="694" t="s">
        <v>1130</v>
      </c>
      <c r="C120" s="694" t="s">
        <v>1131</v>
      </c>
      <c r="D120" s="724" t="s">
        <v>1132</v>
      </c>
      <c r="E120" s="724" t="s">
        <v>66</v>
      </c>
      <c r="F120" s="725">
        <v>40</v>
      </c>
      <c r="G120" s="726">
        <f t="shared" ref="G120" si="84">+O120</f>
        <v>29.15</v>
      </c>
      <c r="H120" s="727"/>
      <c r="I120" s="728">
        <v>40</v>
      </c>
      <c r="J120" s="729">
        <f t="shared" ref="J120:J130" si="85">I120*$J$164</f>
        <v>120</v>
      </c>
      <c r="K120" s="730"/>
      <c r="L120" s="725">
        <f t="shared" ref="L120:M123" si="86">+O120*1.2</f>
        <v>34.979999999999997</v>
      </c>
      <c r="M120" s="731">
        <f t="shared" si="86"/>
        <v>135.95999999999998</v>
      </c>
      <c r="O120" s="732">
        <v>29.15</v>
      </c>
      <c r="P120" s="733">
        <v>113.3</v>
      </c>
      <c r="V120" s="699"/>
      <c r="W120" s="734" t="s">
        <v>906</v>
      </c>
    </row>
    <row r="121" spans="1:23" x14ac:dyDescent="0.25">
      <c r="A121" s="694" t="s">
        <v>1090</v>
      </c>
      <c r="B121" s="694" t="s">
        <v>1133</v>
      </c>
      <c r="C121" s="694" t="s">
        <v>1131</v>
      </c>
      <c r="D121" s="724" t="s">
        <v>1132</v>
      </c>
      <c r="E121" s="724" t="s">
        <v>67</v>
      </c>
      <c r="F121" s="725">
        <v>120</v>
      </c>
      <c r="G121" s="726">
        <f t="shared" ref="G121" si="87">+P121</f>
        <v>113.3</v>
      </c>
      <c r="H121" s="727"/>
      <c r="I121" s="728">
        <v>40</v>
      </c>
      <c r="J121" s="729">
        <f t="shared" si="85"/>
        <v>120</v>
      </c>
      <c r="K121" s="730"/>
      <c r="L121" s="725">
        <f t="shared" si="86"/>
        <v>34.979999999999997</v>
      </c>
      <c r="M121" s="731">
        <f t="shared" si="86"/>
        <v>135.95999999999998</v>
      </c>
      <c r="O121" s="732">
        <v>29.15</v>
      </c>
      <c r="P121" s="733">
        <v>113.3</v>
      </c>
      <c r="V121" s="699"/>
      <c r="W121" s="734" t="s">
        <v>906</v>
      </c>
    </row>
    <row r="122" spans="1:23" ht="30" x14ac:dyDescent="0.25">
      <c r="A122" s="694" t="s">
        <v>1090</v>
      </c>
      <c r="B122" s="694" t="s">
        <v>1134</v>
      </c>
      <c r="C122" s="694" t="s">
        <v>1135</v>
      </c>
      <c r="D122" s="724" t="s">
        <v>1136</v>
      </c>
      <c r="E122" s="724" t="s">
        <v>66</v>
      </c>
      <c r="F122" s="725">
        <v>10</v>
      </c>
      <c r="G122" s="726">
        <f t="shared" ref="G122" si="88">+O122</f>
        <v>6.6</v>
      </c>
      <c r="H122" s="727"/>
      <c r="I122" s="728">
        <v>10</v>
      </c>
      <c r="J122" s="729">
        <f t="shared" si="85"/>
        <v>30</v>
      </c>
      <c r="K122" s="730"/>
      <c r="L122" s="725">
        <f t="shared" si="86"/>
        <v>7.919999999999999</v>
      </c>
      <c r="M122" s="731">
        <f t="shared" si="86"/>
        <v>25.74</v>
      </c>
      <c r="O122" s="732">
        <v>6.6</v>
      </c>
      <c r="P122" s="733">
        <v>21.45</v>
      </c>
      <c r="V122" s="699"/>
      <c r="W122" s="734" t="s">
        <v>906</v>
      </c>
    </row>
    <row r="123" spans="1:23" ht="30" x14ac:dyDescent="0.25">
      <c r="A123" s="694" t="s">
        <v>1090</v>
      </c>
      <c r="B123" s="694" t="s">
        <v>1137</v>
      </c>
      <c r="C123" s="694" t="s">
        <v>1135</v>
      </c>
      <c r="D123" s="724" t="s">
        <v>1136</v>
      </c>
      <c r="E123" s="724" t="s">
        <v>67</v>
      </c>
      <c r="F123" s="725">
        <v>30</v>
      </c>
      <c r="G123" s="726">
        <f t="shared" ref="G123" si="89">+P123</f>
        <v>21.45</v>
      </c>
      <c r="H123" s="727"/>
      <c r="I123" s="728">
        <v>10</v>
      </c>
      <c r="J123" s="729">
        <f t="shared" si="85"/>
        <v>30</v>
      </c>
      <c r="K123" s="730"/>
      <c r="L123" s="725">
        <f t="shared" si="86"/>
        <v>7.919999999999999</v>
      </c>
      <c r="M123" s="731">
        <f t="shared" si="86"/>
        <v>25.74</v>
      </c>
      <c r="O123" s="732">
        <v>6.6</v>
      </c>
      <c r="P123" s="733">
        <v>21.45</v>
      </c>
      <c r="V123" s="699"/>
      <c r="W123" s="734" t="s">
        <v>906</v>
      </c>
    </row>
    <row r="124" spans="1:23" x14ac:dyDescent="0.25">
      <c r="A124" s="694" t="s">
        <v>1090</v>
      </c>
      <c r="B124" s="694" t="s">
        <v>1138</v>
      </c>
      <c r="C124" s="694" t="s">
        <v>1139</v>
      </c>
      <c r="D124" s="724" t="s">
        <v>1140</v>
      </c>
      <c r="E124" s="724" t="s">
        <v>66</v>
      </c>
      <c r="F124" s="725">
        <v>80</v>
      </c>
      <c r="G124" s="726">
        <v>60</v>
      </c>
      <c r="H124" s="727"/>
      <c r="I124" s="728">
        <v>80</v>
      </c>
      <c r="J124" s="729">
        <f t="shared" si="85"/>
        <v>240</v>
      </c>
      <c r="K124" s="730"/>
      <c r="L124" s="725">
        <f>+Q124*1.2</f>
        <v>72</v>
      </c>
      <c r="M124" s="731">
        <f>+R124*1.2</f>
        <v>288</v>
      </c>
      <c r="O124" s="732"/>
      <c r="Q124" s="733">
        <v>60</v>
      </c>
      <c r="R124" s="733">
        <v>240</v>
      </c>
      <c r="V124" s="699"/>
      <c r="W124" s="734" t="s">
        <v>906</v>
      </c>
    </row>
    <row r="125" spans="1:23" x14ac:dyDescent="0.25">
      <c r="A125" s="694" t="s">
        <v>1090</v>
      </c>
      <c r="B125" s="694" t="s">
        <v>1141</v>
      </c>
      <c r="C125" s="694" t="s">
        <v>1139</v>
      </c>
      <c r="D125" s="724" t="s">
        <v>1140</v>
      </c>
      <c r="E125" s="724" t="s">
        <v>67</v>
      </c>
      <c r="F125" s="725">
        <v>240</v>
      </c>
      <c r="G125" s="726">
        <v>240</v>
      </c>
      <c r="H125" s="727"/>
      <c r="I125" s="728">
        <v>80</v>
      </c>
      <c r="J125" s="729">
        <f t="shared" si="85"/>
        <v>240</v>
      </c>
      <c r="K125" s="730"/>
      <c r="L125" s="725">
        <f>+Q125*1.2</f>
        <v>72</v>
      </c>
      <c r="M125" s="731">
        <f>+R125*1.2</f>
        <v>288</v>
      </c>
      <c r="O125" s="732"/>
      <c r="Q125" s="733">
        <v>60</v>
      </c>
      <c r="R125" s="733">
        <v>240</v>
      </c>
      <c r="V125" s="699"/>
      <c r="W125" s="734" t="s">
        <v>906</v>
      </c>
    </row>
    <row r="126" spans="1:23" x14ac:dyDescent="0.25">
      <c r="A126" s="694" t="s">
        <v>1090</v>
      </c>
      <c r="B126" s="694" t="s">
        <v>1142</v>
      </c>
      <c r="C126" s="694" t="s">
        <v>1143</v>
      </c>
      <c r="D126" s="724" t="s">
        <v>1140</v>
      </c>
      <c r="E126" s="724" t="s">
        <v>66</v>
      </c>
      <c r="F126" s="725">
        <v>10</v>
      </c>
      <c r="G126" s="736" t="s">
        <v>950</v>
      </c>
      <c r="H126" s="727"/>
      <c r="I126" s="728">
        <v>10</v>
      </c>
      <c r="J126" s="729">
        <f t="shared" si="85"/>
        <v>30</v>
      </c>
      <c r="K126" s="730"/>
      <c r="L126" s="725">
        <v>10</v>
      </c>
      <c r="M126" s="731">
        <v>30</v>
      </c>
      <c r="O126" s="732"/>
      <c r="V126" s="699" t="s">
        <v>1144</v>
      </c>
      <c r="W126" s="734" t="s">
        <v>906</v>
      </c>
    </row>
    <row r="127" spans="1:23" x14ac:dyDescent="0.25">
      <c r="A127" s="694" t="s">
        <v>1090</v>
      </c>
      <c r="B127" s="694" t="s">
        <v>1145</v>
      </c>
      <c r="C127" s="694" t="s">
        <v>1143</v>
      </c>
      <c r="D127" s="724" t="s">
        <v>1140</v>
      </c>
      <c r="E127" s="724" t="s">
        <v>67</v>
      </c>
      <c r="F127" s="725">
        <v>30</v>
      </c>
      <c r="G127" s="736" t="s">
        <v>950</v>
      </c>
      <c r="H127" s="727"/>
      <c r="I127" s="728">
        <v>10</v>
      </c>
      <c r="J127" s="729">
        <f t="shared" si="85"/>
        <v>30</v>
      </c>
      <c r="K127" s="730"/>
      <c r="L127" s="725">
        <v>10</v>
      </c>
      <c r="M127" s="731">
        <v>30</v>
      </c>
      <c r="O127" s="732"/>
      <c r="V127" s="699" t="s">
        <v>1144</v>
      </c>
      <c r="W127" s="734" t="s">
        <v>906</v>
      </c>
    </row>
    <row r="128" spans="1:23" x14ac:dyDescent="0.25">
      <c r="A128" s="694" t="s">
        <v>1090</v>
      </c>
      <c r="B128" s="694" t="s">
        <v>1146</v>
      </c>
      <c r="C128" s="694" t="s">
        <v>58</v>
      </c>
      <c r="D128" s="724"/>
      <c r="E128" s="724" t="s">
        <v>920</v>
      </c>
      <c r="F128" s="725">
        <v>75</v>
      </c>
      <c r="G128" s="736" t="s">
        <v>950</v>
      </c>
      <c r="H128" s="727"/>
      <c r="J128" s="729"/>
      <c r="K128" s="730"/>
      <c r="L128" s="725"/>
      <c r="M128" s="731"/>
      <c r="O128" s="732"/>
      <c r="V128" s="699"/>
      <c r="W128" s="734" t="s">
        <v>906</v>
      </c>
    </row>
    <row r="129" spans="1:23" x14ac:dyDescent="0.25">
      <c r="A129" s="694" t="s">
        <v>1090</v>
      </c>
      <c r="B129" s="694" t="s">
        <v>1147</v>
      </c>
      <c r="C129" s="694" t="s">
        <v>1148</v>
      </c>
      <c r="D129" s="724"/>
      <c r="E129" s="724" t="s">
        <v>66</v>
      </c>
      <c r="F129" s="725">
        <v>6</v>
      </c>
      <c r="G129" s="726">
        <f>+O129</f>
        <v>3.85</v>
      </c>
      <c r="H129" s="727"/>
      <c r="I129" s="728">
        <v>6</v>
      </c>
      <c r="J129" s="729">
        <f t="shared" si="85"/>
        <v>18</v>
      </c>
      <c r="K129" s="730"/>
      <c r="L129" s="725">
        <f>+O129*1.2</f>
        <v>4.62</v>
      </c>
      <c r="M129" s="731">
        <f>+P129*1.2</f>
        <v>11.219999999999999</v>
      </c>
      <c r="O129" s="732">
        <v>3.85</v>
      </c>
      <c r="P129" s="733">
        <v>9.35</v>
      </c>
      <c r="V129" s="699"/>
      <c r="W129" s="734" t="s">
        <v>906</v>
      </c>
    </row>
    <row r="130" spans="1:23" x14ac:dyDescent="0.25">
      <c r="A130" s="694" t="s">
        <v>1090</v>
      </c>
      <c r="B130" s="694" t="s">
        <v>1149</v>
      </c>
      <c r="C130" s="694" t="s">
        <v>1148</v>
      </c>
      <c r="D130" s="724"/>
      <c r="E130" s="724" t="s">
        <v>67</v>
      </c>
      <c r="F130" s="725">
        <v>18</v>
      </c>
      <c r="G130" s="726">
        <f>+P130</f>
        <v>9.35</v>
      </c>
      <c r="H130" s="727"/>
      <c r="I130" s="728">
        <v>6</v>
      </c>
      <c r="J130" s="729">
        <f t="shared" si="85"/>
        <v>18</v>
      </c>
      <c r="K130" s="730"/>
      <c r="L130" s="725">
        <f>+O130*1.2</f>
        <v>4.62</v>
      </c>
      <c r="M130" s="731">
        <f>+P130*1.2</f>
        <v>11.219999999999999</v>
      </c>
      <c r="O130" s="732">
        <v>3.85</v>
      </c>
      <c r="P130" s="733">
        <v>9.35</v>
      </c>
      <c r="V130" s="699"/>
      <c r="W130" s="734" t="s">
        <v>906</v>
      </c>
    </row>
    <row r="131" spans="1:23" x14ac:dyDescent="0.25">
      <c r="A131" s="694" t="s">
        <v>1090</v>
      </c>
      <c r="B131" s="694" t="s">
        <v>1286</v>
      </c>
      <c r="C131" s="694" t="s">
        <v>1274</v>
      </c>
      <c r="D131" s="724" t="s">
        <v>1276</v>
      </c>
      <c r="E131" s="724" t="s">
        <v>66</v>
      </c>
      <c r="F131" s="725">
        <v>50</v>
      </c>
      <c r="G131" s="726"/>
      <c r="H131" s="727"/>
      <c r="J131" s="729"/>
      <c r="K131" s="730"/>
      <c r="L131" s="725"/>
      <c r="M131" s="731"/>
      <c r="O131" s="732"/>
      <c r="V131" s="699"/>
      <c r="W131" s="734"/>
    </row>
    <row r="132" spans="1:23" x14ac:dyDescent="0.25">
      <c r="A132" s="694" t="s">
        <v>1090</v>
      </c>
      <c r="B132" s="694" t="s">
        <v>1287</v>
      </c>
      <c r="C132" s="694" t="s">
        <v>1274</v>
      </c>
      <c r="D132" s="724" t="s">
        <v>1276</v>
      </c>
      <c r="E132" s="724" t="s">
        <v>67</v>
      </c>
      <c r="F132" s="725">
        <v>200</v>
      </c>
      <c r="G132" s="726"/>
      <c r="H132" s="727"/>
      <c r="J132" s="729"/>
      <c r="K132" s="730"/>
      <c r="L132" s="725"/>
      <c r="M132" s="731"/>
      <c r="O132" s="732"/>
      <c r="V132" s="699"/>
      <c r="W132" s="734"/>
    </row>
    <row r="133" spans="1:23" x14ac:dyDescent="0.25">
      <c r="A133" s="694" t="s">
        <v>1090</v>
      </c>
      <c r="B133" s="694" t="s">
        <v>1284</v>
      </c>
      <c r="C133" s="694" t="s">
        <v>1275</v>
      </c>
      <c r="D133" s="724" t="s">
        <v>1277</v>
      </c>
      <c r="E133" s="724" t="s">
        <v>920</v>
      </c>
      <c r="F133" s="725">
        <v>20</v>
      </c>
      <c r="G133" s="726"/>
      <c r="H133" s="727"/>
      <c r="J133" s="729"/>
      <c r="K133" s="730"/>
      <c r="L133" s="725"/>
      <c r="M133" s="731"/>
      <c r="O133" s="732"/>
      <c r="V133" s="699"/>
      <c r="W133" s="734"/>
    </row>
    <row r="134" spans="1:23" x14ac:dyDescent="0.25">
      <c r="A134" s="694" t="s">
        <v>1090</v>
      </c>
      <c r="B134" s="694" t="s">
        <v>1150</v>
      </c>
      <c r="C134" s="738" t="s">
        <v>1151</v>
      </c>
      <c r="D134" s="724" t="s">
        <v>1152</v>
      </c>
      <c r="E134" s="724" t="s">
        <v>920</v>
      </c>
      <c r="F134" s="725">
        <v>250</v>
      </c>
      <c r="G134" s="736" t="s">
        <v>950</v>
      </c>
      <c r="H134" s="727"/>
      <c r="J134" s="729"/>
      <c r="K134" s="730"/>
      <c r="L134" s="725"/>
      <c r="M134" s="731"/>
      <c r="O134" s="732"/>
      <c r="V134" s="699"/>
      <c r="W134" s="734" t="s">
        <v>906</v>
      </c>
    </row>
    <row r="135" spans="1:23" x14ac:dyDescent="0.25">
      <c r="A135" s="694" t="s">
        <v>1090</v>
      </c>
      <c r="B135" s="694" t="s">
        <v>1153</v>
      </c>
      <c r="C135" s="738" t="s">
        <v>1154</v>
      </c>
      <c r="D135" s="724" t="s">
        <v>1155</v>
      </c>
      <c r="E135" s="724" t="s">
        <v>66</v>
      </c>
      <c r="F135" s="725">
        <v>100</v>
      </c>
      <c r="G135" s="736" t="s">
        <v>950</v>
      </c>
      <c r="H135" s="727"/>
      <c r="J135" s="729"/>
      <c r="K135" s="730"/>
      <c r="L135" s="725"/>
      <c r="M135" s="731"/>
      <c r="O135" s="732"/>
      <c r="V135" s="699"/>
      <c r="W135" s="734" t="s">
        <v>906</v>
      </c>
    </row>
    <row r="136" spans="1:23" x14ac:dyDescent="0.25">
      <c r="A136" s="694" t="s">
        <v>1090</v>
      </c>
      <c r="B136" s="694" t="s">
        <v>1156</v>
      </c>
      <c r="C136" s="738" t="s">
        <v>1157</v>
      </c>
      <c r="D136" s="724" t="s">
        <v>1158</v>
      </c>
      <c r="E136" s="724" t="s">
        <v>66</v>
      </c>
      <c r="F136" s="725">
        <v>50</v>
      </c>
      <c r="G136" s="736" t="s">
        <v>950</v>
      </c>
      <c r="H136" s="727"/>
      <c r="J136" s="729"/>
      <c r="K136" s="730"/>
      <c r="L136" s="725"/>
      <c r="M136" s="731"/>
      <c r="O136" s="732"/>
      <c r="V136" s="699"/>
      <c r="W136" s="734" t="s">
        <v>906</v>
      </c>
    </row>
    <row r="137" spans="1:23" x14ac:dyDescent="0.25">
      <c r="A137" s="694" t="s">
        <v>1090</v>
      </c>
      <c r="B137" s="694" t="s">
        <v>1159</v>
      </c>
      <c r="C137" s="738" t="s">
        <v>1157</v>
      </c>
      <c r="D137" s="724" t="s">
        <v>1158</v>
      </c>
      <c r="E137" s="724" t="s">
        <v>67</v>
      </c>
      <c r="F137" s="725">
        <v>150</v>
      </c>
      <c r="G137" s="736" t="s">
        <v>950</v>
      </c>
      <c r="H137" s="727"/>
      <c r="J137" s="729"/>
      <c r="K137" s="730"/>
      <c r="L137" s="725"/>
      <c r="M137" s="731"/>
      <c r="O137" s="732"/>
      <c r="V137" s="699"/>
      <c r="W137" s="734" t="s">
        <v>906</v>
      </c>
    </row>
    <row r="138" spans="1:23" x14ac:dyDescent="0.25">
      <c r="A138" s="694" t="s">
        <v>1090</v>
      </c>
      <c r="B138" s="694" t="s">
        <v>1160</v>
      </c>
      <c r="C138" s="738" t="s">
        <v>1161</v>
      </c>
      <c r="D138" s="724" t="s">
        <v>1162</v>
      </c>
      <c r="E138" s="724" t="s">
        <v>920</v>
      </c>
      <c r="F138" s="725">
        <v>225</v>
      </c>
      <c r="G138" s="736" t="s">
        <v>950</v>
      </c>
      <c r="H138" s="727"/>
      <c r="J138" s="729"/>
      <c r="K138" s="730"/>
      <c r="L138" s="725"/>
      <c r="M138" s="731"/>
      <c r="O138" s="732"/>
      <c r="V138" s="699"/>
      <c r="W138" s="734" t="s">
        <v>906</v>
      </c>
    </row>
    <row r="139" spans="1:23" x14ac:dyDescent="0.25">
      <c r="A139" s="694" t="s">
        <v>1090</v>
      </c>
      <c r="B139" s="694" t="s">
        <v>1163</v>
      </c>
      <c r="C139" s="738" t="s">
        <v>1164</v>
      </c>
      <c r="D139" s="724" t="s">
        <v>1162</v>
      </c>
      <c r="E139" s="724" t="s">
        <v>66</v>
      </c>
      <c r="F139" s="725">
        <v>100</v>
      </c>
      <c r="G139" s="736" t="s">
        <v>950</v>
      </c>
      <c r="H139" s="727"/>
      <c r="J139" s="729"/>
      <c r="K139" s="730"/>
      <c r="L139" s="725"/>
      <c r="M139" s="731"/>
      <c r="O139" s="732"/>
      <c r="V139" s="699"/>
      <c r="W139" s="734" t="s">
        <v>906</v>
      </c>
    </row>
    <row r="140" spans="1:23" x14ac:dyDescent="0.25">
      <c r="A140" s="694" t="s">
        <v>1090</v>
      </c>
      <c r="B140" s="694" t="s">
        <v>1165</v>
      </c>
      <c r="C140" s="738" t="s">
        <v>1164</v>
      </c>
      <c r="D140" s="724" t="s">
        <v>1162</v>
      </c>
      <c r="E140" s="724" t="s">
        <v>67</v>
      </c>
      <c r="F140" s="725">
        <v>300</v>
      </c>
      <c r="G140" s="736" t="s">
        <v>950</v>
      </c>
      <c r="H140" s="727"/>
      <c r="J140" s="729"/>
      <c r="K140" s="730"/>
      <c r="L140" s="725"/>
      <c r="M140" s="731"/>
      <c r="O140" s="732"/>
      <c r="V140" s="699"/>
      <c r="W140" s="734" t="s">
        <v>906</v>
      </c>
    </row>
    <row r="141" spans="1:23" ht="90" x14ac:dyDescent="0.25">
      <c r="A141" s="694" t="s">
        <v>1090</v>
      </c>
      <c r="B141" s="694" t="s">
        <v>1166</v>
      </c>
      <c r="C141" s="694" t="s">
        <v>1167</v>
      </c>
      <c r="D141" s="724" t="s">
        <v>1168</v>
      </c>
      <c r="E141" s="724" t="s">
        <v>66</v>
      </c>
      <c r="F141" s="725">
        <v>50</v>
      </c>
      <c r="G141" s="736" t="s">
        <v>950</v>
      </c>
      <c r="H141" s="727"/>
      <c r="I141" s="728">
        <v>50</v>
      </c>
      <c r="J141" s="729">
        <v>200</v>
      </c>
      <c r="K141" s="730"/>
      <c r="L141" s="725">
        <v>50</v>
      </c>
      <c r="M141" s="731">
        <v>200</v>
      </c>
      <c r="O141" s="732"/>
      <c r="V141" s="699" t="s">
        <v>1169</v>
      </c>
      <c r="W141" s="734" t="s">
        <v>906</v>
      </c>
    </row>
    <row r="142" spans="1:23" ht="90" x14ac:dyDescent="0.25">
      <c r="A142" s="694" t="s">
        <v>1090</v>
      </c>
      <c r="B142" s="694" t="s">
        <v>1170</v>
      </c>
      <c r="C142" s="694" t="s">
        <v>1167</v>
      </c>
      <c r="D142" s="724" t="s">
        <v>1171</v>
      </c>
      <c r="E142" s="724" t="s">
        <v>67</v>
      </c>
      <c r="F142" s="725">
        <v>200</v>
      </c>
      <c r="G142" s="736" t="s">
        <v>950</v>
      </c>
      <c r="H142" s="727"/>
      <c r="I142" s="728">
        <v>50</v>
      </c>
      <c r="J142" s="729">
        <v>200</v>
      </c>
      <c r="K142" s="730"/>
      <c r="L142" s="725">
        <v>50</v>
      </c>
      <c r="M142" s="731">
        <v>200</v>
      </c>
      <c r="O142" s="732"/>
      <c r="V142" s="699" t="s">
        <v>1169</v>
      </c>
      <c r="W142" s="734" t="s">
        <v>906</v>
      </c>
    </row>
    <row r="143" spans="1:23" ht="90" x14ac:dyDescent="0.25">
      <c r="A143" s="694" t="s">
        <v>1090</v>
      </c>
      <c r="B143" s="694" t="s">
        <v>1172</v>
      </c>
      <c r="C143" s="694" t="s">
        <v>1173</v>
      </c>
      <c r="D143" s="724" t="s">
        <v>1174</v>
      </c>
      <c r="E143" s="724" t="s">
        <v>66</v>
      </c>
      <c r="F143" s="725">
        <v>50</v>
      </c>
      <c r="G143" s="736" t="s">
        <v>950</v>
      </c>
      <c r="H143" s="727"/>
      <c r="I143" s="728">
        <v>50</v>
      </c>
      <c r="J143" s="729">
        <v>200</v>
      </c>
      <c r="K143" s="730"/>
      <c r="L143" s="725">
        <v>50</v>
      </c>
      <c r="M143" s="731">
        <v>200</v>
      </c>
      <c r="O143" s="732"/>
      <c r="V143" s="699" t="s">
        <v>1169</v>
      </c>
      <c r="W143" s="734" t="s">
        <v>906</v>
      </c>
    </row>
    <row r="144" spans="1:23" ht="90" x14ac:dyDescent="0.25">
      <c r="A144" s="694" t="s">
        <v>1090</v>
      </c>
      <c r="B144" s="694" t="s">
        <v>1175</v>
      </c>
      <c r="C144" s="694" t="s">
        <v>1173</v>
      </c>
      <c r="D144" s="724" t="s">
        <v>1174</v>
      </c>
      <c r="E144" s="724" t="s">
        <v>67</v>
      </c>
      <c r="F144" s="725">
        <v>200</v>
      </c>
      <c r="G144" s="736" t="s">
        <v>950</v>
      </c>
      <c r="H144" s="727"/>
      <c r="I144" s="728">
        <v>50</v>
      </c>
      <c r="J144" s="729">
        <v>200</v>
      </c>
      <c r="K144" s="730"/>
      <c r="L144" s="725">
        <v>50</v>
      </c>
      <c r="M144" s="731">
        <v>200</v>
      </c>
      <c r="O144" s="732"/>
      <c r="V144" s="699" t="s">
        <v>1169</v>
      </c>
      <c r="W144" s="734" t="s">
        <v>906</v>
      </c>
    </row>
    <row r="145" spans="1:23" ht="60" x14ac:dyDescent="0.25">
      <c r="A145" s="694" t="s">
        <v>1176</v>
      </c>
      <c r="B145" s="694" t="s">
        <v>1177</v>
      </c>
      <c r="C145" s="694" t="s">
        <v>1178</v>
      </c>
      <c r="D145" s="724" t="s">
        <v>1179</v>
      </c>
      <c r="E145" s="724" t="s">
        <v>66</v>
      </c>
      <c r="F145" s="725">
        <v>20</v>
      </c>
      <c r="G145" s="736" t="s">
        <v>950</v>
      </c>
      <c r="H145" s="727"/>
      <c r="I145" s="728">
        <v>20</v>
      </c>
      <c r="J145" s="729">
        <v>60</v>
      </c>
      <c r="K145" s="730"/>
      <c r="L145" s="725">
        <v>20</v>
      </c>
      <c r="M145" s="731">
        <v>65</v>
      </c>
      <c r="O145" s="732"/>
      <c r="V145" s="699" t="s">
        <v>1169</v>
      </c>
      <c r="W145" s="734" t="s">
        <v>906</v>
      </c>
    </row>
    <row r="146" spans="1:23" ht="60" x14ac:dyDescent="0.25">
      <c r="A146" s="694" t="s">
        <v>1176</v>
      </c>
      <c r="B146" s="694" t="s">
        <v>1180</v>
      </c>
      <c r="C146" s="694" t="s">
        <v>1178</v>
      </c>
      <c r="D146" s="724" t="s">
        <v>1181</v>
      </c>
      <c r="E146" s="724" t="s">
        <v>67</v>
      </c>
      <c r="F146" s="725">
        <v>60</v>
      </c>
      <c r="G146" s="736" t="s">
        <v>950</v>
      </c>
      <c r="H146" s="727"/>
      <c r="I146" s="728">
        <v>20</v>
      </c>
      <c r="J146" s="729">
        <v>60</v>
      </c>
      <c r="K146" s="730"/>
      <c r="L146" s="725">
        <v>20</v>
      </c>
      <c r="M146" s="731">
        <v>65</v>
      </c>
      <c r="O146" s="732"/>
      <c r="V146" s="699" t="s">
        <v>1169</v>
      </c>
      <c r="W146" s="734" t="s">
        <v>906</v>
      </c>
    </row>
    <row r="147" spans="1:23" ht="45" x14ac:dyDescent="0.25">
      <c r="A147" s="694" t="s">
        <v>1176</v>
      </c>
      <c r="B147" s="694" t="s">
        <v>1182</v>
      </c>
      <c r="C147" s="694" t="s">
        <v>1183</v>
      </c>
      <c r="D147" s="724" t="s">
        <v>1184</v>
      </c>
      <c r="E147" s="724" t="s">
        <v>920</v>
      </c>
      <c r="F147" s="725">
        <v>15</v>
      </c>
      <c r="G147" s="726">
        <v>10.4</v>
      </c>
      <c r="H147" s="739">
        <v>22</v>
      </c>
      <c r="J147" s="729"/>
      <c r="K147" s="730">
        <f>+S147*1.2</f>
        <v>21.12</v>
      </c>
      <c r="L147" s="725"/>
      <c r="M147" s="731"/>
      <c r="O147" s="732"/>
      <c r="S147" s="733">
        <v>17.600000000000001</v>
      </c>
      <c r="V147" s="699"/>
      <c r="W147" s="734" t="s">
        <v>906</v>
      </c>
    </row>
    <row r="148" spans="1:23" ht="30" x14ac:dyDescent="0.25">
      <c r="A148" s="694" t="s">
        <v>1176</v>
      </c>
      <c r="B148" s="694" t="s">
        <v>1185</v>
      </c>
      <c r="C148" s="694" t="s">
        <v>1186</v>
      </c>
      <c r="D148" s="724" t="s">
        <v>1187</v>
      </c>
      <c r="E148" s="724" t="s">
        <v>920</v>
      </c>
      <c r="F148" s="725">
        <v>60</v>
      </c>
      <c r="G148" s="726">
        <v>46.56</v>
      </c>
      <c r="H148" s="739">
        <v>60</v>
      </c>
      <c r="J148" s="729"/>
      <c r="K148" s="730">
        <f>+U148*1.2</f>
        <v>55.872</v>
      </c>
      <c r="L148" s="725"/>
      <c r="M148" s="731"/>
      <c r="O148" s="732"/>
      <c r="U148" s="733">
        <v>46.56</v>
      </c>
      <c r="V148" s="740" t="s">
        <v>1188</v>
      </c>
      <c r="W148" s="734" t="s">
        <v>906</v>
      </c>
    </row>
    <row r="149" spans="1:23" x14ac:dyDescent="0.25">
      <c r="A149" s="694" t="s">
        <v>1189</v>
      </c>
      <c r="B149" s="694" t="s">
        <v>1190</v>
      </c>
      <c r="C149" s="694" t="s">
        <v>775</v>
      </c>
      <c r="D149" s="724" t="s">
        <v>1191</v>
      </c>
      <c r="E149" s="724" t="s">
        <v>66</v>
      </c>
      <c r="F149" s="725">
        <v>150</v>
      </c>
      <c r="G149" s="726">
        <v>121.55</v>
      </c>
      <c r="H149" s="727"/>
      <c r="I149" s="728">
        <v>150</v>
      </c>
      <c r="J149" s="729">
        <f>I149*$J$164</f>
        <v>450</v>
      </c>
      <c r="K149" s="730"/>
      <c r="L149" s="725">
        <f>+O149*1.2</f>
        <v>145.85999999999999</v>
      </c>
      <c r="M149" s="731">
        <f>+P149*1.2</f>
        <v>428.34</v>
      </c>
      <c r="N149" s="737">
        <v>80</v>
      </c>
      <c r="O149" s="732">
        <v>121.55</v>
      </c>
      <c r="P149" s="733">
        <v>356.95</v>
      </c>
      <c r="V149" s="699"/>
      <c r="W149" s="734" t="s">
        <v>906</v>
      </c>
    </row>
    <row r="150" spans="1:23" x14ac:dyDescent="0.25">
      <c r="A150" s="694" t="s">
        <v>1189</v>
      </c>
      <c r="B150" s="694" t="s">
        <v>1192</v>
      </c>
      <c r="C150" s="694" t="s">
        <v>775</v>
      </c>
      <c r="D150" s="724" t="s">
        <v>1191</v>
      </c>
      <c r="E150" s="724" t="s">
        <v>67</v>
      </c>
      <c r="F150" s="725">
        <v>600</v>
      </c>
      <c r="G150" s="726">
        <v>356.95</v>
      </c>
      <c r="H150" s="727"/>
      <c r="I150" s="728">
        <v>150</v>
      </c>
      <c r="J150" s="729">
        <f>I150*$J$164</f>
        <v>450</v>
      </c>
      <c r="K150" s="730"/>
      <c r="L150" s="725">
        <f>+O150*1.2</f>
        <v>145.85999999999999</v>
      </c>
      <c r="M150" s="731">
        <f>+P150*1.2</f>
        <v>428.34</v>
      </c>
      <c r="N150" s="737">
        <v>80</v>
      </c>
      <c r="O150" s="732">
        <v>121.55</v>
      </c>
      <c r="P150" s="733">
        <v>356.95</v>
      </c>
      <c r="V150" s="699"/>
      <c r="W150" s="734" t="s">
        <v>906</v>
      </c>
    </row>
    <row r="151" spans="1:23" x14ac:dyDescent="0.25">
      <c r="A151" s="694" t="s">
        <v>1189</v>
      </c>
      <c r="B151" s="694" t="s">
        <v>1281</v>
      </c>
      <c r="C151" s="816" t="s">
        <v>1278</v>
      </c>
      <c r="D151" s="724"/>
      <c r="E151" s="724" t="s">
        <v>66</v>
      </c>
      <c r="F151" s="725">
        <v>100</v>
      </c>
      <c r="G151" s="726"/>
      <c r="H151" s="727"/>
      <c r="J151" s="729"/>
      <c r="K151" s="730"/>
      <c r="L151" s="725"/>
      <c r="M151" s="731"/>
      <c r="N151" s="737"/>
      <c r="O151" s="732"/>
      <c r="V151" s="699"/>
      <c r="W151" s="734"/>
    </row>
    <row r="152" spans="1:23" x14ac:dyDescent="0.25">
      <c r="A152" s="694" t="s">
        <v>1189</v>
      </c>
      <c r="B152" s="694" t="s">
        <v>1282</v>
      </c>
      <c r="C152" s="816" t="s">
        <v>1278</v>
      </c>
      <c r="D152" s="724"/>
      <c r="E152" s="724" t="s">
        <v>67</v>
      </c>
      <c r="F152" s="725">
        <v>175</v>
      </c>
      <c r="G152" s="726"/>
      <c r="H152" s="727"/>
      <c r="J152" s="729"/>
      <c r="K152" s="730"/>
      <c r="L152" s="725"/>
      <c r="M152" s="731"/>
      <c r="N152" s="737"/>
      <c r="O152" s="732"/>
      <c r="V152" s="699"/>
      <c r="W152" s="734"/>
    </row>
    <row r="153" spans="1:23" x14ac:dyDescent="0.25">
      <c r="A153" s="694" t="s">
        <v>1189</v>
      </c>
      <c r="B153" s="694" t="s">
        <v>1283</v>
      </c>
      <c r="C153" s="816" t="s">
        <v>1278</v>
      </c>
      <c r="D153" s="724"/>
      <c r="E153" s="724" t="s">
        <v>68</v>
      </c>
      <c r="F153" s="725">
        <v>525</v>
      </c>
      <c r="G153" s="726"/>
      <c r="H153" s="727"/>
      <c r="J153" s="729"/>
      <c r="K153" s="730"/>
      <c r="L153" s="725"/>
      <c r="M153" s="731"/>
      <c r="N153" s="737"/>
      <c r="O153" s="732"/>
      <c r="V153" s="699"/>
      <c r="W153" s="734"/>
    </row>
    <row r="154" spans="1:23" ht="30" x14ac:dyDescent="0.25">
      <c r="A154" s="694" t="s">
        <v>1189</v>
      </c>
      <c r="B154" s="694" t="s">
        <v>1193</v>
      </c>
      <c r="C154" s="694" t="s">
        <v>1279</v>
      </c>
      <c r="D154" s="724" t="s">
        <v>1195</v>
      </c>
      <c r="E154" s="724" t="s">
        <v>66</v>
      </c>
      <c r="F154" s="725">
        <v>25</v>
      </c>
      <c r="G154" s="736" t="s">
        <v>950</v>
      </c>
      <c r="H154" s="727"/>
      <c r="J154" s="729"/>
      <c r="K154" s="730"/>
      <c r="L154" s="725"/>
      <c r="M154" s="731"/>
      <c r="N154" s="737"/>
      <c r="O154" s="732"/>
      <c r="V154" s="699"/>
      <c r="W154" s="734" t="s">
        <v>906</v>
      </c>
    </row>
    <row r="155" spans="1:23" ht="30" x14ac:dyDescent="0.25">
      <c r="A155" s="694" t="s">
        <v>1189</v>
      </c>
      <c r="B155" s="694" t="s">
        <v>1196</v>
      </c>
      <c r="C155" s="694" t="s">
        <v>1279</v>
      </c>
      <c r="D155" s="724" t="s">
        <v>1195</v>
      </c>
      <c r="E155" s="724" t="s">
        <v>67</v>
      </c>
      <c r="F155" s="725">
        <v>100</v>
      </c>
      <c r="G155" s="736" t="s">
        <v>950</v>
      </c>
      <c r="H155" s="727"/>
      <c r="J155" s="729"/>
      <c r="K155" s="730"/>
      <c r="L155" s="725"/>
      <c r="M155" s="731"/>
      <c r="N155" s="737"/>
      <c r="O155" s="732"/>
      <c r="V155" s="699"/>
      <c r="W155" s="734" t="s">
        <v>906</v>
      </c>
    </row>
    <row r="156" spans="1:23" ht="30" x14ac:dyDescent="0.25">
      <c r="A156" s="694" t="s">
        <v>1189</v>
      </c>
      <c r="B156" s="694" t="s">
        <v>1197</v>
      </c>
      <c r="C156" s="694" t="s">
        <v>1198</v>
      </c>
      <c r="D156" s="724" t="s">
        <v>1199</v>
      </c>
      <c r="E156" s="724" t="s">
        <v>67</v>
      </c>
      <c r="F156" s="725">
        <v>500</v>
      </c>
      <c r="G156" s="736" t="s">
        <v>950</v>
      </c>
      <c r="H156" s="727"/>
      <c r="I156" s="728" t="s">
        <v>1200</v>
      </c>
      <c r="J156" s="729">
        <v>500</v>
      </c>
      <c r="K156" s="730"/>
      <c r="L156" s="725" t="s">
        <v>1200</v>
      </c>
      <c r="M156" s="731">
        <v>500</v>
      </c>
      <c r="O156" s="732"/>
      <c r="V156" s="699" t="s">
        <v>1169</v>
      </c>
      <c r="W156" s="734" t="s">
        <v>906</v>
      </c>
    </row>
    <row r="157" spans="1:23" x14ac:dyDescent="0.25">
      <c r="A157" s="694" t="s">
        <v>1201</v>
      </c>
      <c r="B157" s="694" t="s">
        <v>1202</v>
      </c>
      <c r="C157" s="694" t="s">
        <v>1203</v>
      </c>
      <c r="D157" s="724"/>
      <c r="E157" s="724" t="s">
        <v>66</v>
      </c>
      <c r="F157" s="725">
        <v>60</v>
      </c>
      <c r="G157" s="736" t="s">
        <v>950</v>
      </c>
      <c r="H157" s="727"/>
      <c r="I157" s="728">
        <v>60</v>
      </c>
      <c r="J157" s="729">
        <v>300</v>
      </c>
      <c r="K157" s="730"/>
      <c r="L157" s="725">
        <v>60</v>
      </c>
      <c r="M157" s="731">
        <v>300</v>
      </c>
      <c r="O157" s="732"/>
      <c r="V157" s="699" t="s">
        <v>1144</v>
      </c>
      <c r="W157" s="734" t="s">
        <v>906</v>
      </c>
    </row>
    <row r="158" spans="1:23" x14ac:dyDescent="0.25">
      <c r="A158" s="694" t="s">
        <v>1201</v>
      </c>
      <c r="B158" s="694" t="s">
        <v>1204</v>
      </c>
      <c r="C158" s="694" t="s">
        <v>1203</v>
      </c>
      <c r="D158" s="724"/>
      <c r="E158" s="724" t="s">
        <v>67</v>
      </c>
      <c r="F158" s="725">
        <v>300</v>
      </c>
      <c r="G158" s="736" t="s">
        <v>950</v>
      </c>
      <c r="H158" s="727"/>
      <c r="I158" s="728">
        <v>60</v>
      </c>
      <c r="J158" s="729">
        <v>300</v>
      </c>
      <c r="K158" s="730"/>
      <c r="L158" s="725">
        <v>60</v>
      </c>
      <c r="M158" s="731">
        <v>300</v>
      </c>
      <c r="O158" s="732"/>
      <c r="V158" s="699" t="s">
        <v>1144</v>
      </c>
      <c r="W158" s="734" t="s">
        <v>906</v>
      </c>
    </row>
    <row r="159" spans="1:23" x14ac:dyDescent="0.25">
      <c r="A159" s="694" t="s">
        <v>1201</v>
      </c>
      <c r="B159" s="694" t="s">
        <v>1205</v>
      </c>
      <c r="C159" s="694" t="s">
        <v>1206</v>
      </c>
      <c r="D159" s="724"/>
      <c r="E159" s="724" t="s">
        <v>66</v>
      </c>
      <c r="F159" s="725">
        <v>70</v>
      </c>
      <c r="G159" s="736" t="s">
        <v>950</v>
      </c>
      <c r="H159" s="727"/>
      <c r="I159" s="728">
        <v>70</v>
      </c>
      <c r="J159" s="729">
        <v>350</v>
      </c>
      <c r="K159" s="730"/>
      <c r="L159" s="725">
        <v>70</v>
      </c>
      <c r="M159" s="731">
        <v>350</v>
      </c>
      <c r="O159" s="732"/>
      <c r="V159" s="699" t="s">
        <v>1144</v>
      </c>
      <c r="W159" s="734" t="s">
        <v>906</v>
      </c>
    </row>
    <row r="160" spans="1:23" x14ac:dyDescent="0.25">
      <c r="A160" s="694" t="s">
        <v>1201</v>
      </c>
      <c r="B160" s="694" t="s">
        <v>1207</v>
      </c>
      <c r="C160" s="694" t="s">
        <v>1206</v>
      </c>
      <c r="D160" s="724"/>
      <c r="E160" s="724" t="s">
        <v>67</v>
      </c>
      <c r="F160" s="725">
        <v>350</v>
      </c>
      <c r="G160" s="736" t="s">
        <v>950</v>
      </c>
      <c r="H160" s="727"/>
      <c r="I160" s="728">
        <v>70</v>
      </c>
      <c r="J160" s="729">
        <v>350</v>
      </c>
      <c r="K160" s="730"/>
      <c r="L160" s="725">
        <v>70</v>
      </c>
      <c r="M160" s="731">
        <v>350</v>
      </c>
      <c r="O160" s="732"/>
      <c r="V160" s="699" t="s">
        <v>1144</v>
      </c>
      <c r="W160" s="734" t="s">
        <v>906</v>
      </c>
    </row>
    <row r="161" spans="1:23" x14ac:dyDescent="0.25">
      <c r="A161" s="694" t="s">
        <v>1201</v>
      </c>
      <c r="B161" s="694" t="s">
        <v>1208</v>
      </c>
      <c r="C161" s="694" t="s">
        <v>1209</v>
      </c>
      <c r="D161" s="724"/>
      <c r="E161" s="724" t="s">
        <v>66</v>
      </c>
      <c r="F161" s="725">
        <v>95</v>
      </c>
      <c r="G161" s="736" t="s">
        <v>950</v>
      </c>
      <c r="H161" s="727"/>
      <c r="I161" s="728">
        <v>95</v>
      </c>
      <c r="J161" s="729">
        <v>475</v>
      </c>
      <c r="K161" s="730"/>
      <c r="L161" s="725">
        <v>95</v>
      </c>
      <c r="M161" s="731">
        <v>475</v>
      </c>
      <c r="O161" s="732"/>
      <c r="V161" s="699" t="s">
        <v>1144</v>
      </c>
      <c r="W161" s="734" t="s">
        <v>906</v>
      </c>
    </row>
    <row r="162" spans="1:23" x14ac:dyDescent="0.25">
      <c r="A162" s="694" t="s">
        <v>1201</v>
      </c>
      <c r="B162" s="694" t="s">
        <v>1210</v>
      </c>
      <c r="C162" s="694" t="s">
        <v>1209</v>
      </c>
      <c r="D162" s="724"/>
      <c r="E162" s="724" t="s">
        <v>67</v>
      </c>
      <c r="F162" s="725">
        <v>475</v>
      </c>
      <c r="G162" s="736" t="s">
        <v>950</v>
      </c>
      <c r="H162" s="727"/>
      <c r="I162" s="728">
        <v>95</v>
      </c>
      <c r="J162" s="729">
        <v>475</v>
      </c>
      <c r="K162" s="730"/>
      <c r="L162" s="725">
        <v>95</v>
      </c>
      <c r="M162" s="731">
        <v>475</v>
      </c>
      <c r="O162" s="732"/>
      <c r="V162" s="699" t="s">
        <v>1144</v>
      </c>
      <c r="W162" s="734" t="s">
        <v>906</v>
      </c>
    </row>
    <row r="163" spans="1:23" s="733" customFormat="1" x14ac:dyDescent="0.25">
      <c r="A163" s="693"/>
      <c r="B163" s="693"/>
      <c r="C163" s="693"/>
      <c r="D163" s="696"/>
      <c r="E163" s="696"/>
      <c r="F163" s="697"/>
      <c r="G163" s="697"/>
      <c r="H163" s="728"/>
      <c r="I163" s="728"/>
      <c r="J163" s="728"/>
      <c r="K163" s="728"/>
      <c r="L163" s="728"/>
      <c r="M163" s="728"/>
      <c r="N163" s="728"/>
      <c r="V163" s="693"/>
      <c r="W163" s="741"/>
    </row>
    <row r="164" spans="1:23" s="733" customFormat="1" x14ac:dyDescent="0.25">
      <c r="A164" s="693"/>
      <c r="B164" s="693"/>
      <c r="C164" s="693"/>
      <c r="D164" s="696"/>
      <c r="E164" s="696"/>
      <c r="F164" s="697"/>
      <c r="G164" s="697"/>
      <c r="H164" s="742" t="s">
        <v>1211</v>
      </c>
      <c r="I164" s="728"/>
      <c r="J164" s="743">
        <v>3</v>
      </c>
      <c r="K164" s="728"/>
      <c r="L164" s="728"/>
      <c r="M164" s="728"/>
      <c r="N164" s="728"/>
      <c r="V164" s="693"/>
      <c r="W164" s="741"/>
    </row>
    <row r="165" spans="1:23" s="733" customFormat="1" x14ac:dyDescent="0.25">
      <c r="A165" s="693"/>
      <c r="B165" s="693"/>
      <c r="C165" s="693"/>
      <c r="D165" s="696"/>
      <c r="E165" s="696"/>
      <c r="F165" s="697"/>
      <c r="G165" s="697"/>
      <c r="H165" s="742" t="s">
        <v>1212</v>
      </c>
      <c r="I165" s="742"/>
      <c r="J165" s="728"/>
      <c r="K165" s="728"/>
      <c r="L165" s="728"/>
      <c r="M165" s="728"/>
      <c r="N165" s="728"/>
      <c r="V165" s="693"/>
      <c r="W165" s="741"/>
    </row>
    <row r="166" spans="1:23" s="733" customFormat="1" x14ac:dyDescent="0.25">
      <c r="A166" s="693"/>
      <c r="B166" s="693"/>
      <c r="C166" s="693"/>
      <c r="D166" s="696"/>
      <c r="E166" s="696"/>
      <c r="F166" s="697"/>
      <c r="G166" s="697"/>
      <c r="H166" s="728"/>
      <c r="I166" s="728"/>
      <c r="J166" s="728"/>
      <c r="K166" s="728"/>
      <c r="L166" s="728"/>
      <c r="M166" s="728"/>
      <c r="N166" s="728"/>
      <c r="V166" s="693"/>
      <c r="W166" s="741"/>
    </row>
    <row r="167" spans="1:23" s="733" customFormat="1" x14ac:dyDescent="0.25">
      <c r="A167" s="693"/>
      <c r="B167" s="693"/>
      <c r="C167" s="693"/>
      <c r="D167" s="696"/>
      <c r="E167" s="696"/>
      <c r="F167" s="697"/>
      <c r="G167" s="697"/>
      <c r="H167" s="728"/>
      <c r="I167" s="728"/>
      <c r="J167" s="728"/>
      <c r="K167" s="728"/>
      <c r="L167" s="728"/>
      <c r="M167" s="728"/>
      <c r="N167" s="728"/>
      <c r="V167" s="693"/>
      <c r="W167" s="741"/>
    </row>
    <row r="168" spans="1:23" s="733" customFormat="1" x14ac:dyDescent="0.25">
      <c r="A168" s="693"/>
      <c r="B168" s="693"/>
      <c r="C168" s="693"/>
      <c r="D168" s="696"/>
      <c r="E168" s="696"/>
      <c r="F168" s="697"/>
      <c r="G168" s="697"/>
      <c r="H168" s="728"/>
      <c r="I168" s="728"/>
      <c r="J168" s="728"/>
      <c r="K168" s="728"/>
      <c r="L168" s="728"/>
      <c r="M168" s="728"/>
      <c r="N168" s="728"/>
      <c r="V168" s="693"/>
      <c r="W168" s="741"/>
    </row>
    <row r="169" spans="1:23" s="733" customFormat="1" x14ac:dyDescent="0.25">
      <c r="A169" s="693"/>
      <c r="B169" s="693"/>
      <c r="C169" s="693"/>
      <c r="D169" s="696"/>
      <c r="E169" s="696"/>
      <c r="F169" s="697"/>
      <c r="G169" s="697"/>
      <c r="H169" s="728"/>
      <c r="I169" s="728"/>
      <c r="J169" s="728"/>
      <c r="K169" s="728"/>
      <c r="L169" s="728"/>
      <c r="M169" s="728"/>
      <c r="N169" s="728"/>
      <c r="V169" s="693"/>
      <c r="W169" s="741"/>
    </row>
    <row r="170" spans="1:23" s="733" customFormat="1" x14ac:dyDescent="0.25">
      <c r="A170" s="693"/>
      <c r="B170" s="693"/>
      <c r="C170" s="693"/>
      <c r="D170" s="696"/>
      <c r="E170" s="696"/>
      <c r="F170" s="697"/>
      <c r="G170" s="697"/>
      <c r="H170" s="728"/>
      <c r="I170" s="728"/>
      <c r="J170" s="728"/>
      <c r="K170" s="728"/>
      <c r="L170" s="728"/>
      <c r="M170" s="728"/>
      <c r="N170" s="728"/>
      <c r="V170" s="693"/>
      <c r="W170" s="741"/>
    </row>
    <row r="171" spans="1:23" s="733" customFormat="1" x14ac:dyDescent="0.25">
      <c r="A171" s="693"/>
      <c r="B171" s="693"/>
      <c r="C171" s="693"/>
      <c r="D171" s="696"/>
      <c r="E171" s="696"/>
      <c r="F171" s="697"/>
      <c r="G171" s="697"/>
      <c r="H171" s="728"/>
      <c r="I171" s="728"/>
      <c r="J171" s="728"/>
      <c r="K171" s="728"/>
      <c r="L171" s="728"/>
      <c r="M171" s="728"/>
      <c r="N171" s="728"/>
      <c r="V171" s="693"/>
      <c r="W171" s="741"/>
    </row>
    <row r="172" spans="1:23" s="733" customFormat="1" x14ac:dyDescent="0.25">
      <c r="A172" s="693"/>
      <c r="B172" s="693"/>
      <c r="C172" s="693"/>
      <c r="D172" s="696"/>
      <c r="E172" s="696"/>
      <c r="F172" s="697"/>
      <c r="G172" s="697"/>
      <c r="H172" s="728"/>
      <c r="I172" s="728"/>
      <c r="J172" s="728"/>
      <c r="K172" s="728"/>
      <c r="L172" s="728"/>
      <c r="M172" s="728"/>
      <c r="N172" s="728"/>
      <c r="V172" s="693"/>
      <c r="W172" s="741"/>
    </row>
    <row r="173" spans="1:23" s="733" customFormat="1" x14ac:dyDescent="0.25">
      <c r="A173" s="693"/>
      <c r="B173" s="693"/>
      <c r="C173" s="693"/>
      <c r="D173" s="696"/>
      <c r="E173" s="696"/>
      <c r="F173" s="697"/>
      <c r="G173" s="697"/>
      <c r="H173" s="728"/>
      <c r="I173" s="728"/>
      <c r="J173" s="728"/>
      <c r="K173" s="728"/>
      <c r="L173" s="728"/>
      <c r="M173" s="728"/>
      <c r="N173" s="728"/>
      <c r="V173" s="693"/>
      <c r="W173" s="741"/>
    </row>
    <row r="174" spans="1:23" s="733" customFormat="1" x14ac:dyDescent="0.25">
      <c r="A174" s="693"/>
      <c r="B174" s="693"/>
      <c r="C174" s="693"/>
      <c r="D174" s="696"/>
      <c r="E174" s="696"/>
      <c r="F174" s="697"/>
      <c r="G174" s="697"/>
      <c r="H174" s="728"/>
      <c r="I174" s="728"/>
      <c r="J174" s="728"/>
      <c r="K174" s="728"/>
      <c r="L174" s="728"/>
      <c r="M174" s="728"/>
      <c r="N174" s="728"/>
      <c r="V174" s="693"/>
      <c r="W174" s="741"/>
    </row>
    <row r="175" spans="1:23" s="733" customFormat="1" x14ac:dyDescent="0.25">
      <c r="A175" s="693"/>
      <c r="B175" s="693"/>
      <c r="C175" s="693"/>
      <c r="D175" s="696"/>
      <c r="E175" s="696"/>
      <c r="F175" s="697"/>
      <c r="G175" s="697"/>
      <c r="H175" s="728"/>
      <c r="I175" s="728"/>
      <c r="J175" s="728"/>
      <c r="K175" s="728"/>
      <c r="L175" s="728"/>
      <c r="M175" s="728"/>
      <c r="N175" s="728"/>
      <c r="V175" s="693"/>
      <c r="W175" s="741"/>
    </row>
    <row r="176" spans="1:23" s="733" customFormat="1" x14ac:dyDescent="0.25">
      <c r="A176" s="693"/>
      <c r="B176" s="693"/>
      <c r="C176" s="693"/>
      <c r="D176" s="696"/>
      <c r="E176" s="696"/>
      <c r="F176" s="697"/>
      <c r="G176" s="697"/>
      <c r="H176" s="728"/>
      <c r="I176" s="728"/>
      <c r="J176" s="728"/>
      <c r="K176" s="728"/>
      <c r="L176" s="728"/>
      <c r="M176" s="728"/>
      <c r="N176" s="728"/>
      <c r="V176" s="693"/>
      <c r="W176" s="741"/>
    </row>
    <row r="177" spans="1:23" s="745" customFormat="1" x14ac:dyDescent="0.25">
      <c r="A177" s="693"/>
      <c r="B177" s="693"/>
      <c r="C177" s="693"/>
      <c r="D177" s="696"/>
      <c r="E177" s="696"/>
      <c r="F177" s="697"/>
      <c r="G177" s="697"/>
      <c r="H177" s="728"/>
      <c r="I177" s="728"/>
      <c r="J177" s="728"/>
      <c r="K177" s="728"/>
      <c r="L177" s="728"/>
      <c r="M177" s="728"/>
      <c r="N177" s="728"/>
      <c r="O177" s="733"/>
      <c r="P177" s="733"/>
      <c r="Q177" s="733"/>
      <c r="R177" s="733"/>
      <c r="S177" s="733"/>
      <c r="T177" s="733"/>
      <c r="U177" s="733"/>
      <c r="V177" s="693"/>
      <c r="W177" s="744"/>
    </row>
    <row r="178" spans="1:23" s="745" customFormat="1" x14ac:dyDescent="0.25">
      <c r="A178" s="693"/>
      <c r="B178" s="693"/>
      <c r="C178" s="693"/>
      <c r="D178" s="696"/>
      <c r="E178" s="696"/>
      <c r="F178" s="697"/>
      <c r="G178" s="697"/>
      <c r="H178" s="728"/>
      <c r="I178" s="728"/>
      <c r="J178" s="728"/>
      <c r="K178" s="728"/>
      <c r="L178" s="728"/>
      <c r="M178" s="728"/>
      <c r="N178" s="728"/>
      <c r="O178" s="733"/>
      <c r="P178" s="733"/>
      <c r="Q178" s="733"/>
      <c r="R178" s="733"/>
      <c r="S178" s="733"/>
      <c r="T178" s="733"/>
      <c r="U178" s="733"/>
      <c r="V178" s="693"/>
      <c r="W178" s="744"/>
    </row>
    <row r="179" spans="1:23" s="745" customFormat="1" x14ac:dyDescent="0.25">
      <c r="A179" s="693"/>
      <c r="B179" s="693"/>
      <c r="C179" s="693"/>
      <c r="D179" s="696"/>
      <c r="E179" s="696"/>
      <c r="F179" s="697"/>
      <c r="G179" s="697"/>
      <c r="H179" s="728"/>
      <c r="I179" s="728"/>
      <c r="J179" s="728"/>
      <c r="K179" s="728"/>
      <c r="L179" s="728"/>
      <c r="M179" s="728"/>
      <c r="N179" s="728"/>
      <c r="O179" s="733"/>
      <c r="P179" s="733"/>
      <c r="Q179" s="733"/>
      <c r="R179" s="733"/>
      <c r="S179" s="733"/>
      <c r="T179" s="733"/>
      <c r="U179" s="733"/>
      <c r="V179" s="693"/>
      <c r="W179" s="744"/>
    </row>
    <row r="180" spans="1:23" s="745" customFormat="1" x14ac:dyDescent="0.25">
      <c r="A180" s="693"/>
      <c r="B180" s="693"/>
      <c r="C180" s="693"/>
      <c r="D180" s="696"/>
      <c r="E180" s="696"/>
      <c r="F180" s="697"/>
      <c r="G180" s="697"/>
      <c r="H180" s="728"/>
      <c r="I180" s="728"/>
      <c r="J180" s="728"/>
      <c r="K180" s="728"/>
      <c r="L180" s="728"/>
      <c r="M180" s="728"/>
      <c r="N180" s="728"/>
      <c r="O180" s="733"/>
      <c r="P180" s="733"/>
      <c r="Q180" s="733"/>
      <c r="R180" s="733"/>
      <c r="S180" s="733"/>
      <c r="T180" s="733"/>
      <c r="U180" s="733"/>
      <c r="V180" s="693"/>
      <c r="W180" s="744"/>
    </row>
    <row r="181" spans="1:23" s="745" customFormat="1" x14ac:dyDescent="0.25">
      <c r="A181" s="693"/>
      <c r="B181" s="693"/>
      <c r="C181" s="693"/>
      <c r="D181" s="696"/>
      <c r="E181" s="696"/>
      <c r="F181" s="697"/>
      <c r="G181" s="697"/>
      <c r="H181" s="728"/>
      <c r="I181" s="728"/>
      <c r="J181" s="728"/>
      <c r="K181" s="728"/>
      <c r="L181" s="728"/>
      <c r="M181" s="728"/>
      <c r="N181" s="728"/>
      <c r="O181" s="733"/>
      <c r="P181" s="733"/>
      <c r="Q181" s="733"/>
      <c r="R181" s="733"/>
      <c r="S181" s="733"/>
      <c r="T181" s="733"/>
      <c r="U181" s="733"/>
      <c r="V181" s="693"/>
      <c r="W181" s="744"/>
    </row>
    <row r="182" spans="1:23" s="745" customFormat="1" x14ac:dyDescent="0.25">
      <c r="A182" s="693"/>
      <c r="B182" s="693"/>
      <c r="C182" s="693"/>
      <c r="D182" s="696"/>
      <c r="E182" s="696"/>
      <c r="F182" s="697"/>
      <c r="G182" s="697"/>
      <c r="H182" s="728"/>
      <c r="I182" s="728"/>
      <c r="J182" s="728"/>
      <c r="K182" s="728"/>
      <c r="L182" s="728"/>
      <c r="M182" s="728"/>
      <c r="N182" s="728"/>
      <c r="O182" s="733"/>
      <c r="P182" s="733"/>
      <c r="Q182" s="733"/>
      <c r="R182" s="733"/>
      <c r="S182" s="733"/>
      <c r="T182" s="733"/>
      <c r="U182" s="733"/>
      <c r="V182" s="693"/>
      <c r="W182" s="744"/>
    </row>
    <row r="183" spans="1:23" s="745" customFormat="1" x14ac:dyDescent="0.25">
      <c r="A183" s="693"/>
      <c r="B183" s="693"/>
      <c r="C183" s="693"/>
      <c r="D183" s="696"/>
      <c r="E183" s="696"/>
      <c r="F183" s="697"/>
      <c r="G183" s="697"/>
      <c r="H183" s="728"/>
      <c r="I183" s="728"/>
      <c r="J183" s="728"/>
      <c r="K183" s="728"/>
      <c r="L183" s="728"/>
      <c r="M183" s="728"/>
      <c r="N183" s="728"/>
      <c r="O183" s="733"/>
      <c r="P183" s="733"/>
      <c r="Q183" s="733"/>
      <c r="R183" s="733"/>
      <c r="S183" s="733"/>
      <c r="T183" s="733"/>
      <c r="U183" s="733"/>
      <c r="V183" s="693"/>
      <c r="W183" s="744"/>
    </row>
    <row r="184" spans="1:23" s="745" customFormat="1" x14ac:dyDescent="0.25">
      <c r="A184" s="693"/>
      <c r="B184" s="693"/>
      <c r="C184" s="693"/>
      <c r="D184" s="696"/>
      <c r="E184" s="696"/>
      <c r="F184" s="697"/>
      <c r="G184" s="697"/>
      <c r="H184" s="728"/>
      <c r="I184" s="728"/>
      <c r="J184" s="728"/>
      <c r="K184" s="728"/>
      <c r="L184" s="728"/>
      <c r="M184" s="728"/>
      <c r="N184" s="728"/>
      <c r="O184" s="733"/>
      <c r="P184" s="733"/>
      <c r="Q184" s="733"/>
      <c r="R184" s="733"/>
      <c r="S184" s="733"/>
      <c r="T184" s="733"/>
      <c r="U184" s="733"/>
      <c r="V184" s="693"/>
      <c r="W184" s="744"/>
    </row>
    <row r="185" spans="1:23" s="745" customFormat="1" x14ac:dyDescent="0.25">
      <c r="A185" s="693"/>
      <c r="B185" s="693"/>
      <c r="C185" s="693"/>
      <c r="D185" s="696"/>
      <c r="E185" s="696"/>
      <c r="F185" s="697"/>
      <c r="G185" s="697"/>
      <c r="H185" s="728"/>
      <c r="I185" s="728"/>
      <c r="J185" s="728"/>
      <c r="K185" s="728"/>
      <c r="L185" s="728"/>
      <c r="M185" s="728"/>
      <c r="N185" s="728"/>
      <c r="O185" s="733"/>
      <c r="P185" s="733"/>
      <c r="Q185" s="733"/>
      <c r="R185" s="733"/>
      <c r="S185" s="733"/>
      <c r="T185" s="733"/>
      <c r="U185" s="733"/>
      <c r="V185" s="693"/>
      <c r="W185" s="744"/>
    </row>
    <row r="186" spans="1:23" s="745" customFormat="1" x14ac:dyDescent="0.25">
      <c r="A186" s="693"/>
      <c r="B186" s="693"/>
      <c r="C186" s="693"/>
      <c r="D186" s="696"/>
      <c r="E186" s="696"/>
      <c r="F186" s="697"/>
      <c r="G186" s="697"/>
      <c r="H186" s="728"/>
      <c r="I186" s="728"/>
      <c r="J186" s="728"/>
      <c r="K186" s="728"/>
      <c r="L186" s="728"/>
      <c r="M186" s="728"/>
      <c r="N186" s="728"/>
      <c r="O186" s="733"/>
      <c r="P186" s="733"/>
      <c r="Q186" s="733"/>
      <c r="R186" s="733"/>
      <c r="S186" s="733"/>
      <c r="T186" s="733"/>
      <c r="U186" s="733"/>
      <c r="V186" s="693"/>
      <c r="W186" s="744"/>
    </row>
    <row r="187" spans="1:23" s="745" customFormat="1" x14ac:dyDescent="0.25">
      <c r="A187" s="693"/>
      <c r="B187" s="693"/>
      <c r="C187" s="693"/>
      <c r="D187" s="696"/>
      <c r="E187" s="696"/>
      <c r="F187" s="697"/>
      <c r="G187" s="697"/>
      <c r="H187" s="728"/>
      <c r="I187" s="728"/>
      <c r="J187" s="728"/>
      <c r="K187" s="728"/>
      <c r="L187" s="728"/>
      <c r="M187" s="728"/>
      <c r="N187" s="728"/>
      <c r="O187" s="733"/>
      <c r="P187" s="733"/>
      <c r="Q187" s="733"/>
      <c r="R187" s="733"/>
      <c r="S187" s="733"/>
      <c r="T187" s="733"/>
      <c r="U187" s="733"/>
      <c r="V187" s="693"/>
      <c r="W187" s="744"/>
    </row>
    <row r="188" spans="1:23" s="745" customFormat="1" x14ac:dyDescent="0.25">
      <c r="A188" s="693"/>
      <c r="B188" s="693"/>
      <c r="C188" s="693"/>
      <c r="D188" s="696"/>
      <c r="E188" s="696"/>
      <c r="F188" s="697"/>
      <c r="G188" s="697"/>
      <c r="H188" s="728"/>
      <c r="I188" s="728"/>
      <c r="J188" s="728"/>
      <c r="K188" s="728"/>
      <c r="L188" s="728"/>
      <c r="M188" s="728"/>
      <c r="N188" s="728"/>
      <c r="O188" s="733"/>
      <c r="P188" s="733"/>
      <c r="Q188" s="733"/>
      <c r="R188" s="733"/>
      <c r="S188" s="733"/>
      <c r="T188" s="733"/>
      <c r="U188" s="733"/>
      <c r="V188" s="693"/>
      <c r="W188" s="744"/>
    </row>
    <row r="189" spans="1:23" s="745" customFormat="1" x14ac:dyDescent="0.25">
      <c r="A189" s="693"/>
      <c r="B189" s="693"/>
      <c r="C189" s="693"/>
      <c r="D189" s="696"/>
      <c r="E189" s="696"/>
      <c r="F189" s="697"/>
      <c r="G189" s="697"/>
      <c r="H189" s="728"/>
      <c r="I189" s="728"/>
      <c r="J189" s="728"/>
      <c r="K189" s="728"/>
      <c r="L189" s="728"/>
      <c r="M189" s="728"/>
      <c r="N189" s="728"/>
      <c r="O189" s="733"/>
      <c r="P189" s="733"/>
      <c r="Q189" s="733"/>
      <c r="R189" s="733"/>
      <c r="S189" s="733"/>
      <c r="T189" s="733"/>
      <c r="U189" s="733"/>
      <c r="V189" s="693"/>
      <c r="W189" s="744"/>
    </row>
    <row r="190" spans="1:23" s="745" customFormat="1" x14ac:dyDescent="0.25">
      <c r="A190" s="693"/>
      <c r="B190" s="693"/>
      <c r="C190" s="693"/>
      <c r="D190" s="696"/>
      <c r="E190" s="696"/>
      <c r="F190" s="697"/>
      <c r="G190" s="697"/>
      <c r="H190" s="728"/>
      <c r="I190" s="728"/>
      <c r="J190" s="728"/>
      <c r="K190" s="728"/>
      <c r="L190" s="728"/>
      <c r="M190" s="728"/>
      <c r="N190" s="728"/>
      <c r="O190" s="733"/>
      <c r="P190" s="733"/>
      <c r="Q190" s="733"/>
      <c r="R190" s="733"/>
      <c r="S190" s="733"/>
      <c r="T190" s="733"/>
      <c r="U190" s="733"/>
      <c r="V190" s="693"/>
      <c r="W190" s="744"/>
    </row>
    <row r="191" spans="1:23" s="745" customFormat="1" x14ac:dyDescent="0.25">
      <c r="A191" s="693"/>
      <c r="B191" s="693"/>
      <c r="C191" s="693"/>
      <c r="D191" s="696"/>
      <c r="E191" s="696"/>
      <c r="F191" s="697"/>
      <c r="G191" s="697"/>
      <c r="H191" s="728"/>
      <c r="I191" s="728"/>
      <c r="J191" s="728"/>
      <c r="K191" s="728"/>
      <c r="L191" s="728"/>
      <c r="M191" s="728"/>
      <c r="N191" s="728"/>
      <c r="O191" s="733"/>
      <c r="P191" s="733"/>
      <c r="Q191" s="733"/>
      <c r="R191" s="733"/>
      <c r="S191" s="733"/>
      <c r="T191" s="733"/>
      <c r="U191" s="733"/>
      <c r="V191" s="693"/>
      <c r="W191" s="744"/>
    </row>
    <row r="192" spans="1:23" s="745" customFormat="1" x14ac:dyDescent="0.25">
      <c r="A192" s="693"/>
      <c r="B192" s="693"/>
      <c r="C192" s="693"/>
      <c r="D192" s="696"/>
      <c r="E192" s="696"/>
      <c r="F192" s="697"/>
      <c r="G192" s="697"/>
      <c r="H192" s="728"/>
      <c r="I192" s="728"/>
      <c r="J192" s="728"/>
      <c r="K192" s="728"/>
      <c r="L192" s="728"/>
      <c r="M192" s="728"/>
      <c r="N192" s="728"/>
      <c r="O192" s="733"/>
      <c r="P192" s="733"/>
      <c r="Q192" s="733"/>
      <c r="R192" s="733"/>
      <c r="S192" s="733"/>
      <c r="T192" s="733"/>
      <c r="U192" s="733"/>
      <c r="V192" s="693"/>
      <c r="W192" s="744"/>
    </row>
    <row r="193" spans="1:23" s="745" customFormat="1" x14ac:dyDescent="0.25">
      <c r="A193" s="693"/>
      <c r="B193" s="693"/>
      <c r="C193" s="693"/>
      <c r="D193" s="696"/>
      <c r="E193" s="696"/>
      <c r="F193" s="697"/>
      <c r="G193" s="697"/>
      <c r="H193" s="728"/>
      <c r="I193" s="728"/>
      <c r="J193" s="728"/>
      <c r="K193" s="728"/>
      <c r="L193" s="728"/>
      <c r="M193" s="728"/>
      <c r="N193" s="728"/>
      <c r="O193" s="733"/>
      <c r="P193" s="733"/>
      <c r="Q193" s="733"/>
      <c r="R193" s="733"/>
      <c r="S193" s="733"/>
      <c r="T193" s="733"/>
      <c r="U193" s="733"/>
      <c r="V193" s="693"/>
      <c r="W193" s="744"/>
    </row>
    <row r="194" spans="1:23" s="745" customFormat="1" x14ac:dyDescent="0.25">
      <c r="A194" s="693"/>
      <c r="B194" s="693"/>
      <c r="C194" s="693"/>
      <c r="D194" s="696"/>
      <c r="E194" s="696"/>
      <c r="F194" s="697"/>
      <c r="G194" s="697"/>
      <c r="H194" s="728"/>
      <c r="I194" s="728"/>
      <c r="J194" s="728"/>
      <c r="K194" s="728"/>
      <c r="L194" s="728"/>
      <c r="M194" s="728"/>
      <c r="N194" s="728"/>
      <c r="O194" s="733"/>
      <c r="P194" s="733"/>
      <c r="Q194" s="733"/>
      <c r="R194" s="733"/>
      <c r="S194" s="733"/>
      <c r="T194" s="733"/>
      <c r="U194" s="733"/>
      <c r="V194" s="693"/>
      <c r="W194" s="744"/>
    </row>
    <row r="195" spans="1:23" s="745" customFormat="1" x14ac:dyDescent="0.25">
      <c r="A195" s="693"/>
      <c r="B195" s="693"/>
      <c r="C195" s="693"/>
      <c r="D195" s="696"/>
      <c r="E195" s="696"/>
      <c r="F195" s="697"/>
      <c r="G195" s="697"/>
      <c r="H195" s="728"/>
      <c r="I195" s="728"/>
      <c r="J195" s="728"/>
      <c r="K195" s="728"/>
      <c r="L195" s="728"/>
      <c r="M195" s="728"/>
      <c r="N195" s="728"/>
      <c r="O195" s="733"/>
      <c r="P195" s="733"/>
      <c r="Q195" s="733"/>
      <c r="R195" s="733"/>
      <c r="S195" s="733"/>
      <c r="T195" s="733"/>
      <c r="U195" s="733"/>
      <c r="V195" s="693"/>
      <c r="W195" s="744"/>
    </row>
    <row r="196" spans="1:23" s="745" customFormat="1" x14ac:dyDescent="0.25">
      <c r="A196" s="693"/>
      <c r="B196" s="693"/>
      <c r="C196" s="693"/>
      <c r="D196" s="696"/>
      <c r="E196" s="696"/>
      <c r="F196" s="697"/>
      <c r="G196" s="697"/>
      <c r="H196" s="728"/>
      <c r="I196" s="728"/>
      <c r="J196" s="728"/>
      <c r="K196" s="728"/>
      <c r="L196" s="728"/>
      <c r="M196" s="728"/>
      <c r="N196" s="728"/>
      <c r="O196" s="733"/>
      <c r="P196" s="733"/>
      <c r="Q196" s="733"/>
      <c r="R196" s="733"/>
      <c r="S196" s="733"/>
      <c r="T196" s="733"/>
      <c r="U196" s="733"/>
      <c r="V196" s="693"/>
      <c r="W196" s="744"/>
    </row>
    <row r="197" spans="1:23" s="745" customFormat="1" x14ac:dyDescent="0.25">
      <c r="A197" s="693"/>
      <c r="B197" s="693"/>
      <c r="C197" s="693"/>
      <c r="D197" s="696"/>
      <c r="E197" s="696"/>
      <c r="F197" s="697"/>
      <c r="G197" s="697"/>
      <c r="H197" s="728"/>
      <c r="I197" s="728"/>
      <c r="J197" s="728"/>
      <c r="K197" s="728"/>
      <c r="L197" s="728"/>
      <c r="M197" s="728"/>
      <c r="N197" s="728"/>
      <c r="O197" s="733"/>
      <c r="P197" s="733"/>
      <c r="Q197" s="733"/>
      <c r="R197" s="733"/>
      <c r="S197" s="733"/>
      <c r="T197" s="733"/>
      <c r="U197" s="733"/>
      <c r="V197" s="693"/>
      <c r="W197" s="744"/>
    </row>
    <row r="198" spans="1:23" s="745" customFormat="1" x14ac:dyDescent="0.25">
      <c r="A198" s="693"/>
      <c r="B198" s="693"/>
      <c r="C198" s="693"/>
      <c r="D198" s="696"/>
      <c r="E198" s="696"/>
      <c r="F198" s="697"/>
      <c r="G198" s="697"/>
      <c r="H198" s="728"/>
      <c r="I198" s="728"/>
      <c r="J198" s="728"/>
      <c r="K198" s="728"/>
      <c r="L198" s="728"/>
      <c r="M198" s="728"/>
      <c r="N198" s="728"/>
      <c r="O198" s="733"/>
      <c r="P198" s="733"/>
      <c r="Q198" s="733"/>
      <c r="R198" s="733"/>
      <c r="S198" s="733"/>
      <c r="T198" s="733"/>
      <c r="U198" s="733"/>
      <c r="V198" s="693"/>
      <c r="W198" s="744"/>
    </row>
    <row r="199" spans="1:23" s="745" customFormat="1" x14ac:dyDescent="0.25">
      <c r="A199" s="693"/>
      <c r="B199" s="693"/>
      <c r="C199" s="693"/>
      <c r="D199" s="696"/>
      <c r="E199" s="696"/>
      <c r="F199" s="697"/>
      <c r="G199" s="697"/>
      <c r="H199" s="728"/>
      <c r="I199" s="728"/>
      <c r="J199" s="728"/>
      <c r="K199" s="728"/>
      <c r="L199" s="728"/>
      <c r="M199" s="728"/>
      <c r="N199" s="728"/>
      <c r="O199" s="733"/>
      <c r="P199" s="733"/>
      <c r="Q199" s="733"/>
      <c r="R199" s="733"/>
      <c r="S199" s="733"/>
      <c r="T199" s="733"/>
      <c r="U199" s="733"/>
      <c r="V199" s="693"/>
      <c r="W199" s="744"/>
    </row>
    <row r="200" spans="1:23" s="745" customFormat="1" x14ac:dyDescent="0.25">
      <c r="A200" s="693"/>
      <c r="B200" s="693"/>
      <c r="C200" s="693"/>
      <c r="D200" s="696"/>
      <c r="E200" s="696"/>
      <c r="F200" s="697"/>
      <c r="G200" s="697"/>
      <c r="H200" s="728"/>
      <c r="I200" s="728"/>
      <c r="J200" s="728"/>
      <c r="K200" s="728"/>
      <c r="L200" s="728"/>
      <c r="M200" s="728"/>
      <c r="N200" s="728"/>
      <c r="O200" s="733"/>
      <c r="P200" s="733"/>
      <c r="Q200" s="733"/>
      <c r="R200" s="733"/>
      <c r="S200" s="733"/>
      <c r="T200" s="733"/>
      <c r="U200" s="733"/>
      <c r="V200" s="693"/>
      <c r="W200" s="744"/>
    </row>
    <row r="201" spans="1:23" s="745" customFormat="1" x14ac:dyDescent="0.25">
      <c r="A201" s="693"/>
      <c r="B201" s="693"/>
      <c r="C201" s="693"/>
      <c r="D201" s="696"/>
      <c r="E201" s="696"/>
      <c r="F201" s="697"/>
      <c r="G201" s="697"/>
      <c r="H201" s="728"/>
      <c r="I201" s="728"/>
      <c r="J201" s="728"/>
      <c r="K201" s="728"/>
      <c r="L201" s="728"/>
      <c r="M201" s="728"/>
      <c r="N201" s="728"/>
      <c r="O201" s="733"/>
      <c r="P201" s="733"/>
      <c r="Q201" s="733"/>
      <c r="R201" s="733"/>
      <c r="S201" s="733"/>
      <c r="T201" s="733"/>
      <c r="U201" s="733"/>
      <c r="V201" s="693"/>
      <c r="W201" s="744"/>
    </row>
    <row r="202" spans="1:23" s="745" customFormat="1" x14ac:dyDescent="0.25">
      <c r="A202" s="693"/>
      <c r="B202" s="693"/>
      <c r="C202" s="693"/>
      <c r="D202" s="696"/>
      <c r="E202" s="696"/>
      <c r="F202" s="697"/>
      <c r="G202" s="697"/>
      <c r="H202" s="728"/>
      <c r="I202" s="728"/>
      <c r="J202" s="728"/>
      <c r="K202" s="728"/>
      <c r="L202" s="728"/>
      <c r="M202" s="728"/>
      <c r="N202" s="728"/>
      <c r="O202" s="733"/>
      <c r="P202" s="733"/>
      <c r="Q202" s="733"/>
      <c r="R202" s="733"/>
      <c r="S202" s="733"/>
      <c r="T202" s="733"/>
      <c r="U202" s="733"/>
      <c r="V202" s="693"/>
      <c r="W202" s="744"/>
    </row>
    <row r="203" spans="1:23" s="745" customFormat="1" x14ac:dyDescent="0.25">
      <c r="A203" s="693"/>
      <c r="B203" s="693"/>
      <c r="C203" s="693"/>
      <c r="D203" s="696"/>
      <c r="E203" s="696"/>
      <c r="F203" s="697"/>
      <c r="G203" s="697"/>
      <c r="H203" s="728"/>
      <c r="I203" s="728"/>
      <c r="J203" s="728"/>
      <c r="K203" s="728"/>
      <c r="L203" s="728"/>
      <c r="M203" s="728"/>
      <c r="N203" s="728"/>
      <c r="O203" s="733"/>
      <c r="P203" s="733"/>
      <c r="Q203" s="733"/>
      <c r="R203" s="733"/>
      <c r="S203" s="733"/>
      <c r="T203" s="733"/>
      <c r="U203" s="733"/>
      <c r="V203" s="693"/>
      <c r="W203" s="744"/>
    </row>
    <row r="204" spans="1:23" s="745" customFormat="1" x14ac:dyDescent="0.25">
      <c r="A204" s="693"/>
      <c r="B204" s="693"/>
      <c r="C204" s="693"/>
      <c r="D204" s="696"/>
      <c r="E204" s="696"/>
      <c r="F204" s="697"/>
      <c r="G204" s="697"/>
      <c r="H204" s="728"/>
      <c r="I204" s="728"/>
      <c r="J204" s="728"/>
      <c r="K204" s="728"/>
      <c r="L204" s="728"/>
      <c r="M204" s="728"/>
      <c r="N204" s="728"/>
      <c r="O204" s="733"/>
      <c r="P204" s="733"/>
      <c r="Q204" s="733"/>
      <c r="R204" s="733"/>
      <c r="S204" s="733"/>
      <c r="T204" s="733"/>
      <c r="U204" s="733"/>
      <c r="V204" s="693"/>
      <c r="W204" s="744"/>
    </row>
    <row r="205" spans="1:23" s="745" customFormat="1" x14ac:dyDescent="0.25">
      <c r="A205" s="693"/>
      <c r="B205" s="693"/>
      <c r="C205" s="693"/>
      <c r="D205" s="696"/>
      <c r="E205" s="696"/>
      <c r="F205" s="697"/>
      <c r="G205" s="697"/>
      <c r="H205" s="728"/>
      <c r="I205" s="728"/>
      <c r="J205" s="728"/>
      <c r="K205" s="728"/>
      <c r="L205" s="728"/>
      <c r="M205" s="728"/>
      <c r="N205" s="728"/>
      <c r="O205" s="733"/>
      <c r="P205" s="733"/>
      <c r="Q205" s="733"/>
      <c r="R205" s="733"/>
      <c r="S205" s="733"/>
      <c r="T205" s="733"/>
      <c r="U205" s="733"/>
      <c r="V205" s="693"/>
      <c r="W205" s="744"/>
    </row>
    <row r="206" spans="1:23" s="745" customFormat="1" x14ac:dyDescent="0.25">
      <c r="A206" s="693"/>
      <c r="B206" s="693"/>
      <c r="C206" s="693"/>
      <c r="D206" s="696"/>
      <c r="E206" s="696"/>
      <c r="F206" s="697"/>
      <c r="G206" s="697"/>
      <c r="H206" s="728"/>
      <c r="I206" s="728"/>
      <c r="J206" s="728"/>
      <c r="K206" s="728"/>
      <c r="L206" s="728"/>
      <c r="M206" s="728"/>
      <c r="N206" s="728"/>
      <c r="O206" s="733"/>
      <c r="P206" s="733"/>
      <c r="Q206" s="733"/>
      <c r="R206" s="733"/>
      <c r="S206" s="733"/>
      <c r="T206" s="733"/>
      <c r="U206" s="733"/>
      <c r="V206" s="693"/>
      <c r="W206" s="744"/>
    </row>
    <row r="207" spans="1:23" s="745" customFormat="1" x14ac:dyDescent="0.25">
      <c r="A207" s="693"/>
      <c r="B207" s="693"/>
      <c r="C207" s="693"/>
      <c r="D207" s="696"/>
      <c r="E207" s="696"/>
      <c r="F207" s="697"/>
      <c r="G207" s="697"/>
      <c r="H207" s="728"/>
      <c r="I207" s="728"/>
      <c r="J207" s="728"/>
      <c r="K207" s="728"/>
      <c r="L207" s="728"/>
      <c r="M207" s="728"/>
      <c r="N207" s="728"/>
      <c r="O207" s="733"/>
      <c r="P207" s="733"/>
      <c r="Q207" s="733"/>
      <c r="R207" s="733"/>
      <c r="S207" s="733"/>
      <c r="T207" s="733"/>
      <c r="U207" s="733"/>
      <c r="V207" s="693"/>
      <c r="W207" s="744"/>
    </row>
    <row r="208" spans="1:23" s="745" customFormat="1" x14ac:dyDescent="0.25">
      <c r="A208" s="693"/>
      <c r="B208" s="693"/>
      <c r="C208" s="693"/>
      <c r="D208" s="696"/>
      <c r="E208" s="696"/>
      <c r="F208" s="697"/>
      <c r="G208" s="697"/>
      <c r="H208" s="728"/>
      <c r="I208" s="728"/>
      <c r="J208" s="728"/>
      <c r="K208" s="728"/>
      <c r="L208" s="728"/>
      <c r="M208" s="728"/>
      <c r="N208" s="728"/>
      <c r="O208" s="733"/>
      <c r="P208" s="733"/>
      <c r="Q208" s="733"/>
      <c r="R208" s="733"/>
      <c r="S208" s="733"/>
      <c r="T208" s="733"/>
      <c r="U208" s="733"/>
      <c r="V208" s="693"/>
      <c r="W208" s="744"/>
    </row>
    <row r="209" spans="1:23" s="745" customFormat="1" x14ac:dyDescent="0.25">
      <c r="A209" s="693"/>
      <c r="B209" s="693"/>
      <c r="C209" s="693"/>
      <c r="D209" s="696"/>
      <c r="E209" s="696"/>
      <c r="F209" s="697"/>
      <c r="G209" s="697"/>
      <c r="H209" s="728"/>
      <c r="I209" s="728"/>
      <c r="J209" s="728"/>
      <c r="K209" s="728"/>
      <c r="L209" s="728"/>
      <c r="M209" s="728"/>
      <c r="N209" s="728"/>
      <c r="O209" s="733"/>
      <c r="P209" s="733"/>
      <c r="Q209" s="733"/>
      <c r="R209" s="733"/>
      <c r="S209" s="733"/>
      <c r="T209" s="733"/>
      <c r="U209" s="733"/>
      <c r="V209" s="693"/>
      <c r="W209" s="744"/>
    </row>
    <row r="210" spans="1:23" s="745" customFormat="1" x14ac:dyDescent="0.25">
      <c r="A210" s="693"/>
      <c r="B210" s="693"/>
      <c r="C210" s="693"/>
      <c r="D210" s="696"/>
      <c r="E210" s="696"/>
      <c r="F210" s="697"/>
      <c r="G210" s="697"/>
      <c r="H210" s="728"/>
      <c r="I210" s="728"/>
      <c r="J210" s="728"/>
      <c r="K210" s="728"/>
      <c r="L210" s="728"/>
      <c r="M210" s="728"/>
      <c r="N210" s="728"/>
      <c r="O210" s="733"/>
      <c r="P210" s="733"/>
      <c r="Q210" s="733"/>
      <c r="R210" s="733"/>
      <c r="S210" s="733"/>
      <c r="T210" s="733"/>
      <c r="U210" s="733"/>
      <c r="V210" s="693"/>
      <c r="W210" s="744"/>
    </row>
    <row r="211" spans="1:23" s="745" customFormat="1" x14ac:dyDescent="0.25">
      <c r="A211" s="693"/>
      <c r="B211" s="693"/>
      <c r="C211" s="693"/>
      <c r="D211" s="696"/>
      <c r="E211" s="696"/>
      <c r="F211" s="697"/>
      <c r="G211" s="697"/>
      <c r="H211" s="728"/>
      <c r="I211" s="728"/>
      <c r="J211" s="728"/>
      <c r="K211" s="728"/>
      <c r="L211" s="728"/>
      <c r="M211" s="728"/>
      <c r="N211" s="728"/>
      <c r="O211" s="733"/>
      <c r="P211" s="733"/>
      <c r="Q211" s="733"/>
      <c r="R211" s="733"/>
      <c r="S211" s="733"/>
      <c r="T211" s="733"/>
      <c r="U211" s="733"/>
      <c r="V211" s="693"/>
      <c r="W211" s="744"/>
    </row>
    <row r="212" spans="1:23" s="745" customFormat="1" x14ac:dyDescent="0.25">
      <c r="A212" s="693"/>
      <c r="B212" s="693"/>
      <c r="C212" s="693"/>
      <c r="D212" s="696"/>
      <c r="E212" s="696"/>
      <c r="F212" s="697"/>
      <c r="G212" s="697"/>
      <c r="H212" s="728"/>
      <c r="I212" s="728"/>
      <c r="J212" s="728"/>
      <c r="K212" s="728"/>
      <c r="L212" s="728"/>
      <c r="M212" s="728"/>
      <c r="N212" s="728"/>
      <c r="O212" s="733"/>
      <c r="P212" s="733"/>
      <c r="Q212" s="733"/>
      <c r="R212" s="733"/>
      <c r="S212" s="733"/>
      <c r="T212" s="733"/>
      <c r="U212" s="733"/>
      <c r="V212" s="693"/>
      <c r="W212" s="744"/>
    </row>
    <row r="213" spans="1:23" s="745" customFormat="1" x14ac:dyDescent="0.25">
      <c r="A213" s="693"/>
      <c r="B213" s="693"/>
      <c r="C213" s="693"/>
      <c r="D213" s="696"/>
      <c r="E213" s="696"/>
      <c r="F213" s="697"/>
      <c r="G213" s="697"/>
      <c r="H213" s="728"/>
      <c r="I213" s="728"/>
      <c r="J213" s="728"/>
      <c r="K213" s="728"/>
      <c r="L213" s="728"/>
      <c r="M213" s="728"/>
      <c r="N213" s="728"/>
      <c r="O213" s="733"/>
      <c r="P213" s="733"/>
      <c r="Q213" s="733"/>
      <c r="R213" s="733"/>
      <c r="S213" s="733"/>
      <c r="T213" s="733"/>
      <c r="U213" s="733"/>
      <c r="V213" s="693"/>
      <c r="W213" s="744"/>
    </row>
    <row r="214" spans="1:23" s="745" customFormat="1" x14ac:dyDescent="0.25">
      <c r="A214" s="693"/>
      <c r="B214" s="693"/>
      <c r="C214" s="693"/>
      <c r="D214" s="696"/>
      <c r="E214" s="696"/>
      <c r="F214" s="697"/>
      <c r="G214" s="697"/>
      <c r="H214" s="728"/>
      <c r="I214" s="728"/>
      <c r="J214" s="728"/>
      <c r="K214" s="728"/>
      <c r="L214" s="728"/>
      <c r="M214" s="728"/>
      <c r="N214" s="728"/>
      <c r="O214" s="733"/>
      <c r="P214" s="733"/>
      <c r="Q214" s="733"/>
      <c r="R214" s="733"/>
      <c r="S214" s="733"/>
      <c r="T214" s="733"/>
      <c r="U214" s="733"/>
      <c r="V214" s="693"/>
      <c r="W214" s="744"/>
    </row>
    <row r="215" spans="1:23" s="745" customFormat="1" x14ac:dyDescent="0.25">
      <c r="A215" s="693"/>
      <c r="B215" s="693"/>
      <c r="C215" s="693"/>
      <c r="D215" s="696"/>
      <c r="E215" s="696"/>
      <c r="F215" s="697"/>
      <c r="G215" s="697"/>
      <c r="H215" s="728"/>
      <c r="I215" s="728"/>
      <c r="J215" s="728"/>
      <c r="K215" s="728"/>
      <c r="L215" s="728"/>
      <c r="M215" s="728"/>
      <c r="N215" s="728"/>
      <c r="O215" s="733"/>
      <c r="P215" s="733"/>
      <c r="Q215" s="733"/>
      <c r="R215" s="733"/>
      <c r="S215" s="733"/>
      <c r="T215" s="733"/>
      <c r="U215" s="733"/>
      <c r="V215" s="693"/>
      <c r="W215" s="744"/>
    </row>
    <row r="216" spans="1:23" s="745" customFormat="1" x14ac:dyDescent="0.25">
      <c r="A216" s="693"/>
      <c r="B216" s="693"/>
      <c r="C216" s="693"/>
      <c r="D216" s="696"/>
      <c r="E216" s="696"/>
      <c r="F216" s="697"/>
      <c r="G216" s="697"/>
      <c r="H216" s="728"/>
      <c r="I216" s="728"/>
      <c r="J216" s="728"/>
      <c r="K216" s="728"/>
      <c r="L216" s="728"/>
      <c r="M216" s="728"/>
      <c r="N216" s="728"/>
      <c r="O216" s="733"/>
      <c r="P216" s="733"/>
      <c r="Q216" s="733"/>
      <c r="R216" s="733"/>
      <c r="S216" s="733"/>
      <c r="T216" s="733"/>
      <c r="U216" s="733"/>
      <c r="V216" s="693"/>
      <c r="W216" s="744"/>
    </row>
    <row r="217" spans="1:23" s="745" customFormat="1" x14ac:dyDescent="0.25">
      <c r="A217" s="693"/>
      <c r="B217" s="693"/>
      <c r="C217" s="693"/>
      <c r="D217" s="696"/>
      <c r="E217" s="696"/>
      <c r="F217" s="697"/>
      <c r="G217" s="697"/>
      <c r="H217" s="728"/>
      <c r="I217" s="728"/>
      <c r="J217" s="728"/>
      <c r="K217" s="728"/>
      <c r="L217" s="728"/>
      <c r="M217" s="728"/>
      <c r="N217" s="728"/>
      <c r="O217" s="733"/>
      <c r="P217" s="733"/>
      <c r="Q217" s="733"/>
      <c r="R217" s="733"/>
      <c r="S217" s="733"/>
      <c r="T217" s="733"/>
      <c r="U217" s="733"/>
      <c r="V217" s="693"/>
      <c r="W217" s="744"/>
    </row>
    <row r="218" spans="1:23" s="745" customFormat="1" x14ac:dyDescent="0.25">
      <c r="A218" s="693"/>
      <c r="B218" s="693"/>
      <c r="C218" s="693"/>
      <c r="D218" s="696"/>
      <c r="E218" s="696"/>
      <c r="F218" s="697"/>
      <c r="G218" s="697"/>
      <c r="H218" s="728"/>
      <c r="I218" s="728"/>
      <c r="J218" s="728"/>
      <c r="K218" s="728"/>
      <c r="L218" s="728"/>
      <c r="M218" s="728"/>
      <c r="N218" s="728"/>
      <c r="O218" s="733"/>
      <c r="P218" s="733"/>
      <c r="Q218" s="733"/>
      <c r="R218" s="733"/>
      <c r="S218" s="733"/>
      <c r="T218" s="733"/>
      <c r="U218" s="733"/>
      <c r="V218" s="693"/>
      <c r="W218" s="744"/>
    </row>
    <row r="219" spans="1:23" s="745" customFormat="1" x14ac:dyDescent="0.25">
      <c r="A219" s="693"/>
      <c r="B219" s="693"/>
      <c r="C219" s="693"/>
      <c r="D219" s="696"/>
      <c r="E219" s="696"/>
      <c r="F219" s="697"/>
      <c r="G219" s="697"/>
      <c r="H219" s="728"/>
      <c r="I219" s="728"/>
      <c r="J219" s="728"/>
      <c r="K219" s="728"/>
      <c r="L219" s="728"/>
      <c r="M219" s="728"/>
      <c r="N219" s="728"/>
      <c r="O219" s="733"/>
      <c r="P219" s="733"/>
      <c r="Q219" s="733"/>
      <c r="R219" s="733"/>
      <c r="S219" s="733"/>
      <c r="T219" s="733"/>
      <c r="U219" s="733"/>
      <c r="V219" s="693"/>
      <c r="W219" s="744"/>
    </row>
    <row r="220" spans="1:23" s="745" customFormat="1" x14ac:dyDescent="0.25">
      <c r="A220" s="693"/>
      <c r="B220" s="693"/>
      <c r="C220" s="693"/>
      <c r="D220" s="696"/>
      <c r="E220" s="696"/>
      <c r="F220" s="697"/>
      <c r="G220" s="697"/>
      <c r="H220" s="728"/>
      <c r="I220" s="728"/>
      <c r="J220" s="728"/>
      <c r="K220" s="728"/>
      <c r="L220" s="728"/>
      <c r="M220" s="728"/>
      <c r="N220" s="728"/>
      <c r="O220" s="733"/>
      <c r="P220" s="733"/>
      <c r="Q220" s="733"/>
      <c r="R220" s="733"/>
      <c r="S220" s="733"/>
      <c r="T220" s="733"/>
      <c r="U220" s="733"/>
      <c r="V220" s="693"/>
      <c r="W220" s="744"/>
    </row>
    <row r="221" spans="1:23" s="745" customFormat="1" x14ac:dyDescent="0.25">
      <c r="A221" s="693"/>
      <c r="B221" s="693"/>
      <c r="C221" s="693"/>
      <c r="D221" s="696"/>
      <c r="E221" s="696"/>
      <c r="F221" s="697"/>
      <c r="G221" s="697"/>
      <c r="H221" s="728"/>
      <c r="I221" s="728"/>
      <c r="J221" s="728"/>
      <c r="K221" s="728"/>
      <c r="L221" s="728"/>
      <c r="M221" s="728"/>
      <c r="N221" s="728"/>
      <c r="O221" s="733"/>
      <c r="P221" s="733"/>
      <c r="Q221" s="733"/>
      <c r="R221" s="733"/>
      <c r="S221" s="733"/>
      <c r="T221" s="733"/>
      <c r="U221" s="733"/>
      <c r="V221" s="693"/>
      <c r="W221" s="744"/>
    </row>
    <row r="222" spans="1:23" s="745" customFormat="1" x14ac:dyDescent="0.25">
      <c r="A222" s="693"/>
      <c r="B222" s="693"/>
      <c r="C222" s="693"/>
      <c r="D222" s="696"/>
      <c r="E222" s="696"/>
      <c r="F222" s="697"/>
      <c r="G222" s="697"/>
      <c r="H222" s="728"/>
      <c r="I222" s="728"/>
      <c r="J222" s="728"/>
      <c r="K222" s="728"/>
      <c r="L222" s="728"/>
      <c r="M222" s="728"/>
      <c r="N222" s="728"/>
      <c r="O222" s="733"/>
      <c r="P222" s="733"/>
      <c r="Q222" s="733"/>
      <c r="R222" s="733"/>
      <c r="S222" s="733"/>
      <c r="T222" s="733"/>
      <c r="U222" s="733"/>
      <c r="V222" s="693"/>
      <c r="W222" s="744"/>
    </row>
    <row r="223" spans="1:23" s="745" customFormat="1" x14ac:dyDescent="0.25">
      <c r="A223" s="693"/>
      <c r="B223" s="693"/>
      <c r="C223" s="693"/>
      <c r="D223" s="696"/>
      <c r="E223" s="696"/>
      <c r="F223" s="697"/>
      <c r="G223" s="697"/>
      <c r="H223" s="728"/>
      <c r="I223" s="728"/>
      <c r="J223" s="728"/>
      <c r="K223" s="728"/>
      <c r="L223" s="728"/>
      <c r="M223" s="728"/>
      <c r="N223" s="728"/>
      <c r="O223" s="733"/>
      <c r="P223" s="733"/>
      <c r="Q223" s="733"/>
      <c r="R223" s="733"/>
      <c r="S223" s="733"/>
      <c r="T223" s="733"/>
      <c r="U223" s="733"/>
      <c r="V223" s="693"/>
      <c r="W223" s="744"/>
    </row>
    <row r="224" spans="1:23" s="745" customFormat="1" x14ac:dyDescent="0.25">
      <c r="A224" s="693"/>
      <c r="B224" s="693"/>
      <c r="C224" s="693"/>
      <c r="D224" s="696"/>
      <c r="E224" s="696"/>
      <c r="F224" s="697"/>
      <c r="G224" s="697"/>
      <c r="H224" s="728"/>
      <c r="I224" s="728"/>
      <c r="J224" s="728"/>
      <c r="K224" s="728"/>
      <c r="L224" s="728"/>
      <c r="M224" s="728"/>
      <c r="N224" s="728"/>
      <c r="O224" s="733"/>
      <c r="P224" s="733"/>
      <c r="Q224" s="733"/>
      <c r="R224" s="733"/>
      <c r="S224" s="733"/>
      <c r="T224" s="733"/>
      <c r="U224" s="733"/>
      <c r="V224" s="693"/>
      <c r="W224" s="744"/>
    </row>
    <row r="225" spans="1:23" s="745" customFormat="1" x14ac:dyDescent="0.25">
      <c r="A225" s="693"/>
      <c r="B225" s="693"/>
      <c r="C225" s="693"/>
      <c r="D225" s="696"/>
      <c r="E225" s="696"/>
      <c r="F225" s="697"/>
      <c r="G225" s="697"/>
      <c r="H225" s="728"/>
      <c r="I225" s="728"/>
      <c r="J225" s="728"/>
      <c r="K225" s="728"/>
      <c r="L225" s="728"/>
      <c r="M225" s="728"/>
      <c r="N225" s="728"/>
      <c r="O225" s="733"/>
      <c r="P225" s="733"/>
      <c r="Q225" s="733"/>
      <c r="R225" s="733"/>
      <c r="S225" s="733"/>
      <c r="T225" s="733"/>
      <c r="U225" s="733"/>
      <c r="V225" s="693"/>
      <c r="W225" s="744"/>
    </row>
    <row r="226" spans="1:23" s="745" customFormat="1" x14ac:dyDescent="0.25">
      <c r="A226" s="693"/>
      <c r="B226" s="693"/>
      <c r="C226" s="693"/>
      <c r="D226" s="696"/>
      <c r="E226" s="696"/>
      <c r="F226" s="697"/>
      <c r="G226" s="697"/>
      <c r="H226" s="728"/>
      <c r="I226" s="728"/>
      <c r="J226" s="728"/>
      <c r="K226" s="728"/>
      <c r="L226" s="728"/>
      <c r="M226" s="728"/>
      <c r="N226" s="728"/>
      <c r="O226" s="733"/>
      <c r="P226" s="733"/>
      <c r="Q226" s="733"/>
      <c r="R226" s="733"/>
      <c r="S226" s="733"/>
      <c r="T226" s="733"/>
      <c r="U226" s="733"/>
      <c r="V226" s="693"/>
      <c r="W226" s="744"/>
    </row>
    <row r="227" spans="1:23" s="745" customFormat="1" x14ac:dyDescent="0.25">
      <c r="A227" s="693"/>
      <c r="B227" s="693"/>
      <c r="C227" s="693"/>
      <c r="D227" s="696"/>
      <c r="E227" s="696"/>
      <c r="F227" s="697"/>
      <c r="G227" s="697"/>
      <c r="H227" s="728"/>
      <c r="I227" s="728"/>
      <c r="J227" s="728"/>
      <c r="K227" s="728"/>
      <c r="L227" s="728"/>
      <c r="M227" s="728"/>
      <c r="N227" s="728"/>
      <c r="O227" s="733"/>
      <c r="P227" s="733"/>
      <c r="Q227" s="733"/>
      <c r="R227" s="733"/>
      <c r="S227" s="733"/>
      <c r="T227" s="733"/>
      <c r="U227" s="733"/>
      <c r="V227" s="693"/>
      <c r="W227" s="744"/>
    </row>
    <row r="228" spans="1:23" s="745" customFormat="1" x14ac:dyDescent="0.25">
      <c r="A228" s="693"/>
      <c r="B228" s="693"/>
      <c r="C228" s="693"/>
      <c r="D228" s="696"/>
      <c r="E228" s="696"/>
      <c r="F228" s="697"/>
      <c r="G228" s="697"/>
      <c r="H228" s="728"/>
      <c r="I228" s="728"/>
      <c r="J228" s="728"/>
      <c r="K228" s="728"/>
      <c r="L228" s="728"/>
      <c r="M228" s="728"/>
      <c r="N228" s="728"/>
      <c r="O228" s="733"/>
      <c r="P228" s="733"/>
      <c r="Q228" s="733"/>
      <c r="R228" s="733"/>
      <c r="S228" s="733"/>
      <c r="T228" s="733"/>
      <c r="U228" s="733"/>
      <c r="V228" s="693"/>
      <c r="W228" s="744"/>
    </row>
    <row r="229" spans="1:23" s="745" customFormat="1" x14ac:dyDescent="0.25">
      <c r="A229" s="693"/>
      <c r="B229" s="693"/>
      <c r="C229" s="693"/>
      <c r="D229" s="696"/>
      <c r="E229" s="696"/>
      <c r="F229" s="697"/>
      <c r="G229" s="697"/>
      <c r="H229" s="728"/>
      <c r="I229" s="728"/>
      <c r="J229" s="728"/>
      <c r="K229" s="728"/>
      <c r="L229" s="728"/>
      <c r="M229" s="728"/>
      <c r="N229" s="728"/>
      <c r="O229" s="733"/>
      <c r="P229" s="733"/>
      <c r="Q229" s="733"/>
      <c r="R229" s="733"/>
      <c r="S229" s="733"/>
      <c r="T229" s="733"/>
      <c r="U229" s="733"/>
      <c r="V229" s="693"/>
      <c r="W229" s="744"/>
    </row>
    <row r="230" spans="1:23" s="745" customFormat="1" x14ac:dyDescent="0.25">
      <c r="A230" s="693"/>
      <c r="B230" s="693"/>
      <c r="C230" s="693"/>
      <c r="D230" s="696"/>
      <c r="E230" s="696"/>
      <c r="F230" s="697"/>
      <c r="G230" s="697"/>
      <c r="H230" s="728"/>
      <c r="I230" s="728"/>
      <c r="J230" s="728"/>
      <c r="K230" s="728"/>
      <c r="L230" s="728"/>
      <c r="M230" s="728"/>
      <c r="N230" s="728"/>
      <c r="O230" s="733"/>
      <c r="P230" s="733"/>
      <c r="Q230" s="733"/>
      <c r="R230" s="733"/>
      <c r="S230" s="733"/>
      <c r="T230" s="733"/>
      <c r="U230" s="733"/>
      <c r="V230" s="693"/>
      <c r="W230" s="744"/>
    </row>
    <row r="231" spans="1:23" s="745" customFormat="1" x14ac:dyDescent="0.25">
      <c r="A231" s="693"/>
      <c r="B231" s="693"/>
      <c r="C231" s="693"/>
      <c r="D231" s="696"/>
      <c r="E231" s="696"/>
      <c r="F231" s="697"/>
      <c r="G231" s="697"/>
      <c r="H231" s="728"/>
      <c r="I231" s="728"/>
      <c r="J231" s="728"/>
      <c r="K231" s="728"/>
      <c r="L231" s="728"/>
      <c r="M231" s="728"/>
      <c r="N231" s="728"/>
      <c r="O231" s="733"/>
      <c r="P231" s="733"/>
      <c r="Q231" s="733"/>
      <c r="R231" s="733"/>
      <c r="S231" s="733"/>
      <c r="T231" s="733"/>
      <c r="U231" s="733"/>
      <c r="V231" s="693"/>
      <c r="W231" s="744"/>
    </row>
    <row r="232" spans="1:23" s="745" customFormat="1" x14ac:dyDescent="0.25">
      <c r="A232" s="693"/>
      <c r="B232" s="693"/>
      <c r="C232" s="693"/>
      <c r="D232" s="696"/>
      <c r="E232" s="696"/>
      <c r="F232" s="697"/>
      <c r="G232" s="697"/>
      <c r="H232" s="728"/>
      <c r="I232" s="728"/>
      <c r="J232" s="728"/>
      <c r="K232" s="728"/>
      <c r="L232" s="728"/>
      <c r="M232" s="728"/>
      <c r="N232" s="728"/>
      <c r="O232" s="733"/>
      <c r="P232" s="733"/>
      <c r="Q232" s="733"/>
      <c r="R232" s="733"/>
      <c r="S232" s="733"/>
      <c r="T232" s="733"/>
      <c r="U232" s="733"/>
      <c r="V232" s="693"/>
      <c r="W232" s="744"/>
    </row>
    <row r="233" spans="1:23" s="745" customFormat="1" x14ac:dyDescent="0.25">
      <c r="A233" s="693"/>
      <c r="B233" s="693"/>
      <c r="C233" s="693"/>
      <c r="D233" s="696"/>
      <c r="E233" s="696"/>
      <c r="F233" s="697"/>
      <c r="G233" s="697"/>
      <c r="H233" s="728"/>
      <c r="I233" s="728"/>
      <c r="J233" s="728"/>
      <c r="K233" s="728"/>
      <c r="L233" s="728"/>
      <c r="M233" s="728"/>
      <c r="N233" s="728"/>
      <c r="O233" s="733"/>
      <c r="P233" s="733"/>
      <c r="Q233" s="733"/>
      <c r="R233" s="733"/>
      <c r="S233" s="733"/>
      <c r="T233" s="733"/>
      <c r="U233" s="733"/>
      <c r="V233" s="693"/>
      <c r="W233" s="744"/>
    </row>
    <row r="234" spans="1:23" s="745" customFormat="1" x14ac:dyDescent="0.25">
      <c r="A234" s="693"/>
      <c r="B234" s="693"/>
      <c r="C234" s="693"/>
      <c r="D234" s="696"/>
      <c r="E234" s="696"/>
      <c r="F234" s="697"/>
      <c r="G234" s="697"/>
      <c r="H234" s="728"/>
      <c r="I234" s="728"/>
      <c r="J234" s="728"/>
      <c r="K234" s="728"/>
      <c r="L234" s="728"/>
      <c r="M234" s="728"/>
      <c r="N234" s="728"/>
      <c r="O234" s="733"/>
      <c r="P234" s="733"/>
      <c r="Q234" s="733"/>
      <c r="R234" s="733"/>
      <c r="S234" s="733"/>
      <c r="T234" s="733"/>
      <c r="U234" s="733"/>
      <c r="V234" s="693"/>
      <c r="W234" s="744"/>
    </row>
    <row r="235" spans="1:23" s="745" customFormat="1" x14ac:dyDescent="0.25">
      <c r="A235" s="693"/>
      <c r="B235" s="693"/>
      <c r="C235" s="693"/>
      <c r="D235" s="696"/>
      <c r="E235" s="696"/>
      <c r="F235" s="697"/>
      <c r="G235" s="697"/>
      <c r="H235" s="728"/>
      <c r="I235" s="728"/>
      <c r="J235" s="728"/>
      <c r="K235" s="728"/>
      <c r="L235" s="728"/>
      <c r="M235" s="728"/>
      <c r="N235" s="728"/>
      <c r="O235" s="733"/>
      <c r="P235" s="733"/>
      <c r="Q235" s="733"/>
      <c r="R235" s="733"/>
      <c r="S235" s="733"/>
      <c r="T235" s="733"/>
      <c r="U235" s="733"/>
      <c r="V235" s="693"/>
      <c r="W235" s="744"/>
    </row>
    <row r="236" spans="1:23" s="745" customFormat="1" x14ac:dyDescent="0.25">
      <c r="A236" s="693"/>
      <c r="B236" s="693"/>
      <c r="C236" s="693"/>
      <c r="D236" s="696"/>
      <c r="E236" s="696"/>
      <c r="F236" s="697"/>
      <c r="G236" s="697"/>
      <c r="H236" s="728"/>
      <c r="I236" s="728"/>
      <c r="J236" s="728"/>
      <c r="K236" s="728"/>
      <c r="L236" s="728"/>
      <c r="M236" s="728"/>
      <c r="N236" s="728"/>
      <c r="O236" s="733"/>
      <c r="P236" s="733"/>
      <c r="Q236" s="733"/>
      <c r="R236" s="733"/>
      <c r="S236" s="733"/>
      <c r="T236" s="733"/>
      <c r="U236" s="733"/>
      <c r="V236" s="693"/>
      <c r="W236" s="744"/>
    </row>
    <row r="237" spans="1:23" s="745" customFormat="1" x14ac:dyDescent="0.25">
      <c r="A237" s="693"/>
      <c r="B237" s="693"/>
      <c r="C237" s="693"/>
      <c r="D237" s="696"/>
      <c r="E237" s="696"/>
      <c r="F237" s="697"/>
      <c r="G237" s="697"/>
      <c r="H237" s="728"/>
      <c r="I237" s="728"/>
      <c r="J237" s="728"/>
      <c r="K237" s="728"/>
      <c r="L237" s="728"/>
      <c r="M237" s="728"/>
      <c r="N237" s="728"/>
      <c r="O237" s="733"/>
      <c r="P237" s="733"/>
      <c r="Q237" s="733"/>
      <c r="R237" s="733"/>
      <c r="S237" s="733"/>
      <c r="T237" s="733"/>
      <c r="U237" s="733"/>
      <c r="V237" s="693"/>
      <c r="W237" s="744"/>
    </row>
    <row r="238" spans="1:23" s="745" customFormat="1" x14ac:dyDescent="0.25">
      <c r="A238" s="693"/>
      <c r="B238" s="693"/>
      <c r="C238" s="693"/>
      <c r="D238" s="696"/>
      <c r="E238" s="696"/>
      <c r="F238" s="697"/>
      <c r="G238" s="697"/>
      <c r="H238" s="728"/>
      <c r="I238" s="728"/>
      <c r="J238" s="728"/>
      <c r="K238" s="728"/>
      <c r="L238" s="728"/>
      <c r="M238" s="728"/>
      <c r="N238" s="728"/>
      <c r="O238" s="733"/>
      <c r="P238" s="733"/>
      <c r="Q238" s="733"/>
      <c r="R238" s="733"/>
      <c r="S238" s="733"/>
      <c r="T238" s="733"/>
      <c r="U238" s="733"/>
      <c r="V238" s="693"/>
      <c r="W238" s="744"/>
    </row>
    <row r="239" spans="1:23" s="745" customFormat="1" x14ac:dyDescent="0.25">
      <c r="A239" s="693"/>
      <c r="B239" s="693"/>
      <c r="C239" s="693"/>
      <c r="D239" s="696"/>
      <c r="E239" s="696"/>
      <c r="F239" s="697"/>
      <c r="G239" s="697"/>
      <c r="H239" s="728"/>
      <c r="I239" s="728"/>
      <c r="J239" s="728"/>
      <c r="K239" s="728"/>
      <c r="L239" s="728"/>
      <c r="M239" s="728"/>
      <c r="N239" s="728"/>
      <c r="O239" s="733"/>
      <c r="P239" s="733"/>
      <c r="Q239" s="733"/>
      <c r="R239" s="733"/>
      <c r="S239" s="733"/>
      <c r="T239" s="733"/>
      <c r="U239" s="733"/>
      <c r="V239" s="693"/>
      <c r="W239" s="744"/>
    </row>
    <row r="240" spans="1:23" s="745" customFormat="1" x14ac:dyDescent="0.25">
      <c r="A240" s="693"/>
      <c r="B240" s="693"/>
      <c r="C240" s="693"/>
      <c r="D240" s="696"/>
      <c r="E240" s="696"/>
      <c r="F240" s="697"/>
      <c r="G240" s="697"/>
      <c r="H240" s="728"/>
      <c r="I240" s="728"/>
      <c r="J240" s="728"/>
      <c r="K240" s="728"/>
      <c r="L240" s="728"/>
      <c r="M240" s="728"/>
      <c r="N240" s="728"/>
      <c r="O240" s="733"/>
      <c r="P240" s="733"/>
      <c r="Q240" s="733"/>
      <c r="R240" s="733"/>
      <c r="S240" s="733"/>
      <c r="T240" s="733"/>
      <c r="U240" s="733"/>
      <c r="V240" s="693"/>
      <c r="W240" s="744"/>
    </row>
    <row r="241" spans="1:23" s="745" customFormat="1" x14ac:dyDescent="0.25">
      <c r="A241" s="693"/>
      <c r="B241" s="693"/>
      <c r="C241" s="693"/>
      <c r="D241" s="696"/>
      <c r="E241" s="696"/>
      <c r="F241" s="697"/>
      <c r="G241" s="697"/>
      <c r="H241" s="728"/>
      <c r="I241" s="728"/>
      <c r="J241" s="728"/>
      <c r="K241" s="728"/>
      <c r="L241" s="728"/>
      <c r="M241" s="728"/>
      <c r="N241" s="728"/>
      <c r="O241" s="733"/>
      <c r="P241" s="733"/>
      <c r="Q241" s="733"/>
      <c r="R241" s="733"/>
      <c r="S241" s="733"/>
      <c r="T241" s="733"/>
      <c r="U241" s="733"/>
      <c r="V241" s="693"/>
      <c r="W241" s="744"/>
    </row>
    <row r="242" spans="1:23" s="745" customFormat="1" x14ac:dyDescent="0.25">
      <c r="A242" s="693"/>
      <c r="B242" s="693"/>
      <c r="C242" s="693"/>
      <c r="D242" s="696"/>
      <c r="E242" s="696"/>
      <c r="F242" s="697"/>
      <c r="G242" s="697"/>
      <c r="H242" s="728"/>
      <c r="I242" s="728"/>
      <c r="J242" s="728"/>
      <c r="K242" s="728"/>
      <c r="L242" s="728"/>
      <c r="M242" s="728"/>
      <c r="N242" s="728"/>
      <c r="O242" s="733"/>
      <c r="P242" s="733"/>
      <c r="Q242" s="733"/>
      <c r="R242" s="733"/>
      <c r="S242" s="733"/>
      <c r="T242" s="733"/>
      <c r="U242" s="733"/>
      <c r="V242" s="693"/>
      <c r="W242" s="744"/>
    </row>
    <row r="243" spans="1:23" s="745" customFormat="1" x14ac:dyDescent="0.25">
      <c r="A243" s="693"/>
      <c r="B243" s="693"/>
      <c r="C243" s="693"/>
      <c r="D243" s="696"/>
      <c r="E243" s="696"/>
      <c r="F243" s="697"/>
      <c r="G243" s="697"/>
      <c r="H243" s="728"/>
      <c r="I243" s="728"/>
      <c r="J243" s="728"/>
      <c r="K243" s="728"/>
      <c r="L243" s="728"/>
      <c r="M243" s="728"/>
      <c r="N243" s="728"/>
      <c r="O243" s="733"/>
      <c r="P243" s="733"/>
      <c r="Q243" s="733"/>
      <c r="R243" s="733"/>
      <c r="S243" s="733"/>
      <c r="T243" s="733"/>
      <c r="U243" s="733"/>
      <c r="V243" s="693"/>
      <c r="W243" s="744"/>
    </row>
    <row r="244" spans="1:23" s="745" customFormat="1" x14ac:dyDescent="0.25">
      <c r="A244" s="693"/>
      <c r="B244" s="693"/>
      <c r="C244" s="693"/>
      <c r="D244" s="696"/>
      <c r="E244" s="696"/>
      <c r="F244" s="697"/>
      <c r="G244" s="697"/>
      <c r="H244" s="728"/>
      <c r="I244" s="728"/>
      <c r="J244" s="728"/>
      <c r="K244" s="728"/>
      <c r="L244" s="728"/>
      <c r="M244" s="728"/>
      <c r="N244" s="728"/>
      <c r="O244" s="733"/>
      <c r="P244" s="733"/>
      <c r="Q244" s="733"/>
      <c r="R244" s="733"/>
      <c r="S244" s="733"/>
      <c r="T244" s="733"/>
      <c r="U244" s="733"/>
      <c r="V244" s="693"/>
      <c r="W244" s="744"/>
    </row>
    <row r="245" spans="1:23" s="745" customFormat="1" x14ac:dyDescent="0.25">
      <c r="A245" s="693"/>
      <c r="B245" s="693"/>
      <c r="C245" s="693"/>
      <c r="D245" s="696"/>
      <c r="E245" s="696"/>
      <c r="F245" s="697"/>
      <c r="G245" s="697"/>
      <c r="H245" s="728"/>
      <c r="I245" s="728"/>
      <c r="J245" s="728"/>
      <c r="K245" s="728"/>
      <c r="L245" s="728"/>
      <c r="M245" s="728"/>
      <c r="N245" s="728"/>
      <c r="O245" s="733"/>
      <c r="P245" s="733"/>
      <c r="Q245" s="733"/>
      <c r="R245" s="733"/>
      <c r="S245" s="733"/>
      <c r="T245" s="733"/>
      <c r="U245" s="733"/>
      <c r="V245" s="693"/>
      <c r="W245" s="744"/>
    </row>
    <row r="246" spans="1:23" s="745" customFormat="1" x14ac:dyDescent="0.25">
      <c r="A246" s="693"/>
      <c r="B246" s="693"/>
      <c r="C246" s="693"/>
      <c r="D246" s="696"/>
      <c r="E246" s="696"/>
      <c r="F246" s="697"/>
      <c r="G246" s="697"/>
      <c r="H246" s="728"/>
      <c r="I246" s="728"/>
      <c r="J246" s="728"/>
      <c r="K246" s="728"/>
      <c r="L246" s="728"/>
      <c r="M246" s="728"/>
      <c r="N246" s="728"/>
      <c r="O246" s="733"/>
      <c r="P246" s="733"/>
      <c r="Q246" s="733"/>
      <c r="R246" s="733"/>
      <c r="S246" s="733"/>
      <c r="T246" s="733"/>
      <c r="U246" s="733"/>
      <c r="V246" s="693"/>
      <c r="W246" s="744"/>
    </row>
    <row r="247" spans="1:23" s="745" customFormat="1" x14ac:dyDescent="0.25">
      <c r="A247" s="693"/>
      <c r="B247" s="693"/>
      <c r="C247" s="693"/>
      <c r="D247" s="696"/>
      <c r="E247" s="696"/>
      <c r="F247" s="697"/>
      <c r="G247" s="697"/>
      <c r="H247" s="728"/>
      <c r="I247" s="728"/>
      <c r="J247" s="728"/>
      <c r="K247" s="728"/>
      <c r="L247" s="728"/>
      <c r="M247" s="728"/>
      <c r="N247" s="728"/>
      <c r="O247" s="733"/>
      <c r="P247" s="733"/>
      <c r="Q247" s="733"/>
      <c r="R247" s="733"/>
      <c r="S247" s="733"/>
      <c r="T247" s="733"/>
      <c r="U247" s="733"/>
      <c r="V247" s="693"/>
      <c r="W247" s="744"/>
    </row>
    <row r="248" spans="1:23" s="745" customFormat="1" x14ac:dyDescent="0.25">
      <c r="A248" s="693"/>
      <c r="B248" s="693"/>
      <c r="C248" s="693"/>
      <c r="D248" s="696"/>
      <c r="E248" s="696"/>
      <c r="F248" s="697"/>
      <c r="G248" s="697"/>
      <c r="H248" s="728"/>
      <c r="I248" s="728"/>
      <c r="J248" s="728"/>
      <c r="K248" s="728"/>
      <c r="L248" s="728"/>
      <c r="M248" s="728"/>
      <c r="N248" s="728"/>
      <c r="O248" s="733"/>
      <c r="P248" s="733"/>
      <c r="Q248" s="733"/>
      <c r="R248" s="733"/>
      <c r="S248" s="733"/>
      <c r="T248" s="733"/>
      <c r="U248" s="733"/>
      <c r="V248" s="693"/>
      <c r="W248" s="744"/>
    </row>
    <row r="249" spans="1:23" s="745" customFormat="1" x14ac:dyDescent="0.25">
      <c r="A249" s="693"/>
      <c r="B249" s="693"/>
      <c r="C249" s="693"/>
      <c r="D249" s="696"/>
      <c r="E249" s="696"/>
      <c r="F249" s="697"/>
      <c r="G249" s="697"/>
      <c r="H249" s="728"/>
      <c r="I249" s="728"/>
      <c r="J249" s="728"/>
      <c r="K249" s="728"/>
      <c r="L249" s="728"/>
      <c r="M249" s="728"/>
      <c r="N249" s="728"/>
      <c r="O249" s="733"/>
      <c r="P249" s="733"/>
      <c r="Q249" s="733"/>
      <c r="R249" s="733"/>
      <c r="S249" s="733"/>
      <c r="T249" s="733"/>
      <c r="U249" s="733"/>
      <c r="V249" s="693"/>
      <c r="W249" s="744"/>
    </row>
    <row r="250" spans="1:23" s="745" customFormat="1" x14ac:dyDescent="0.25">
      <c r="A250" s="693"/>
      <c r="B250" s="693"/>
      <c r="C250" s="693"/>
      <c r="D250" s="696"/>
      <c r="E250" s="696"/>
      <c r="F250" s="697"/>
      <c r="G250" s="697"/>
      <c r="H250" s="728"/>
      <c r="I250" s="728"/>
      <c r="J250" s="728"/>
      <c r="K250" s="728"/>
      <c r="L250" s="728"/>
      <c r="M250" s="728"/>
      <c r="N250" s="728"/>
      <c r="O250" s="733"/>
      <c r="P250" s="733"/>
      <c r="Q250" s="733"/>
      <c r="R250" s="733"/>
      <c r="S250" s="733"/>
      <c r="T250" s="733"/>
      <c r="U250" s="733"/>
      <c r="V250" s="693"/>
      <c r="W250" s="744"/>
    </row>
    <row r="251" spans="1:23" s="745" customFormat="1" x14ac:dyDescent="0.25">
      <c r="A251" s="693"/>
      <c r="B251" s="693"/>
      <c r="C251" s="693"/>
      <c r="D251" s="696"/>
      <c r="E251" s="696"/>
      <c r="F251" s="697"/>
      <c r="G251" s="697"/>
      <c r="H251" s="728"/>
      <c r="I251" s="728"/>
      <c r="J251" s="728"/>
      <c r="K251" s="728"/>
      <c r="L251" s="728"/>
      <c r="M251" s="728"/>
      <c r="N251" s="728"/>
      <c r="O251" s="733"/>
      <c r="P251" s="733"/>
      <c r="Q251" s="733"/>
      <c r="R251" s="733"/>
      <c r="S251" s="733"/>
      <c r="T251" s="733"/>
      <c r="U251" s="733"/>
      <c r="V251" s="693"/>
      <c r="W251" s="744"/>
    </row>
    <row r="252" spans="1:23" s="745" customFormat="1" x14ac:dyDescent="0.25">
      <c r="A252" s="693"/>
      <c r="B252" s="693"/>
      <c r="C252" s="693"/>
      <c r="D252" s="696"/>
      <c r="E252" s="696"/>
      <c r="F252" s="697"/>
      <c r="G252" s="697"/>
      <c r="H252" s="728"/>
      <c r="I252" s="728"/>
      <c r="J252" s="728"/>
      <c r="K252" s="728"/>
      <c r="L252" s="728"/>
      <c r="M252" s="728"/>
      <c r="N252" s="728"/>
      <c r="O252" s="733"/>
      <c r="P252" s="733"/>
      <c r="Q252" s="733"/>
      <c r="R252" s="733"/>
      <c r="S252" s="733"/>
      <c r="T252" s="733"/>
      <c r="U252" s="733"/>
      <c r="V252" s="693"/>
      <c r="W252" s="744"/>
    </row>
    <row r="253" spans="1:23" s="745" customFormat="1" x14ac:dyDescent="0.25">
      <c r="A253" s="693"/>
      <c r="B253" s="693"/>
      <c r="C253" s="693"/>
      <c r="D253" s="696"/>
      <c r="E253" s="696"/>
      <c r="F253" s="697"/>
      <c r="G253" s="697"/>
      <c r="H253" s="728"/>
      <c r="I253" s="728"/>
      <c r="J253" s="728"/>
      <c r="K253" s="728"/>
      <c r="L253" s="728"/>
      <c r="M253" s="728"/>
      <c r="N253" s="728"/>
      <c r="O253" s="733"/>
      <c r="P253" s="733"/>
      <c r="Q253" s="733"/>
      <c r="R253" s="733"/>
      <c r="S253" s="733"/>
      <c r="T253" s="733"/>
      <c r="U253" s="733"/>
      <c r="V253" s="693"/>
      <c r="W253" s="744"/>
    </row>
    <row r="254" spans="1:23" s="745" customFormat="1" x14ac:dyDescent="0.25">
      <c r="A254" s="693"/>
      <c r="B254" s="693"/>
      <c r="C254" s="693"/>
      <c r="D254" s="696"/>
      <c r="E254" s="696"/>
      <c r="F254" s="697"/>
      <c r="G254" s="697"/>
      <c r="H254" s="728"/>
      <c r="I254" s="728"/>
      <c r="J254" s="728"/>
      <c r="K254" s="728"/>
      <c r="L254" s="728"/>
      <c r="M254" s="728"/>
      <c r="N254" s="728"/>
      <c r="O254" s="733"/>
      <c r="P254" s="733"/>
      <c r="Q254" s="733"/>
      <c r="R254" s="733"/>
      <c r="S254" s="733"/>
      <c r="T254" s="733"/>
      <c r="U254" s="733"/>
      <c r="V254" s="693"/>
      <c r="W254" s="744"/>
    </row>
    <row r="255" spans="1:23" s="745" customFormat="1" x14ac:dyDescent="0.25">
      <c r="A255" s="693"/>
      <c r="B255" s="693"/>
      <c r="C255" s="693"/>
      <c r="D255" s="696"/>
      <c r="E255" s="696"/>
      <c r="F255" s="697"/>
      <c r="G255" s="697"/>
      <c r="H255" s="728"/>
      <c r="I255" s="728"/>
      <c r="J255" s="728"/>
      <c r="K255" s="728"/>
      <c r="L255" s="728"/>
      <c r="M255" s="728"/>
      <c r="N255" s="728"/>
      <c r="O255" s="733"/>
      <c r="P255" s="733"/>
      <c r="Q255" s="733"/>
      <c r="R255" s="733"/>
      <c r="S255" s="733"/>
      <c r="T255" s="733"/>
      <c r="U255" s="733"/>
      <c r="V255" s="693"/>
      <c r="W255" s="744"/>
    </row>
    <row r="256" spans="1:23" s="745" customFormat="1" x14ac:dyDescent="0.25">
      <c r="A256" s="693"/>
      <c r="B256" s="693"/>
      <c r="C256" s="693"/>
      <c r="D256" s="696"/>
      <c r="E256" s="696"/>
      <c r="F256" s="697"/>
      <c r="G256" s="697"/>
      <c r="H256" s="728"/>
      <c r="I256" s="728"/>
      <c r="J256" s="728"/>
      <c r="K256" s="728"/>
      <c r="L256" s="728"/>
      <c r="M256" s="728"/>
      <c r="N256" s="728"/>
      <c r="O256" s="733"/>
      <c r="P256" s="733"/>
      <c r="Q256" s="733"/>
      <c r="R256" s="733"/>
      <c r="S256" s="733"/>
      <c r="T256" s="733"/>
      <c r="U256" s="733"/>
      <c r="V256" s="693"/>
      <c r="W256" s="744"/>
    </row>
    <row r="257" spans="1:23" s="745" customFormat="1" x14ac:dyDescent="0.25">
      <c r="A257" s="693"/>
      <c r="B257" s="693"/>
      <c r="C257" s="693"/>
      <c r="D257" s="696"/>
      <c r="E257" s="696"/>
      <c r="F257" s="697"/>
      <c r="G257" s="697"/>
      <c r="H257" s="728"/>
      <c r="I257" s="728"/>
      <c r="J257" s="728"/>
      <c r="K257" s="728"/>
      <c r="L257" s="728"/>
      <c r="M257" s="728"/>
      <c r="N257" s="728"/>
      <c r="O257" s="733"/>
      <c r="P257" s="733"/>
      <c r="Q257" s="733"/>
      <c r="R257" s="733"/>
      <c r="S257" s="733"/>
      <c r="T257" s="733"/>
      <c r="U257" s="733"/>
      <c r="V257" s="693"/>
      <c r="W257" s="744"/>
    </row>
    <row r="258" spans="1:23" s="745" customFormat="1" x14ac:dyDescent="0.25">
      <c r="A258" s="693"/>
      <c r="B258" s="693"/>
      <c r="C258" s="693"/>
      <c r="D258" s="696"/>
      <c r="E258" s="696"/>
      <c r="F258" s="697"/>
      <c r="G258" s="697"/>
      <c r="H258" s="728"/>
      <c r="I258" s="728"/>
      <c r="J258" s="728"/>
      <c r="K258" s="728"/>
      <c r="L258" s="728"/>
      <c r="M258" s="728"/>
      <c r="N258" s="728"/>
      <c r="O258" s="733"/>
      <c r="P258" s="733"/>
      <c r="Q258" s="733"/>
      <c r="R258" s="733"/>
      <c r="S258" s="733"/>
      <c r="T258" s="733"/>
      <c r="U258" s="733"/>
      <c r="V258" s="693"/>
      <c r="W258" s="744"/>
    </row>
    <row r="259" spans="1:23" s="745" customFormat="1" x14ac:dyDescent="0.25">
      <c r="A259" s="693"/>
      <c r="B259" s="693"/>
      <c r="C259" s="693"/>
      <c r="D259" s="696"/>
      <c r="E259" s="696"/>
      <c r="F259" s="697"/>
      <c r="G259" s="697"/>
      <c r="H259" s="728"/>
      <c r="I259" s="728"/>
      <c r="J259" s="728"/>
      <c r="K259" s="728"/>
      <c r="L259" s="728"/>
      <c r="M259" s="728"/>
      <c r="N259" s="728"/>
      <c r="O259" s="733"/>
      <c r="P259" s="733"/>
      <c r="Q259" s="733"/>
      <c r="R259" s="733"/>
      <c r="S259" s="733"/>
      <c r="T259" s="733"/>
      <c r="U259" s="733"/>
      <c r="V259" s="693"/>
      <c r="W259" s="744"/>
    </row>
    <row r="260" spans="1:23" s="745" customFormat="1" x14ac:dyDescent="0.25">
      <c r="A260" s="693"/>
      <c r="B260" s="693"/>
      <c r="C260" s="693"/>
      <c r="D260" s="696"/>
      <c r="E260" s="696"/>
      <c r="F260" s="697"/>
      <c r="G260" s="697"/>
      <c r="H260" s="728"/>
      <c r="I260" s="728"/>
      <c r="J260" s="728"/>
      <c r="K260" s="728"/>
      <c r="L260" s="728"/>
      <c r="M260" s="728"/>
      <c r="N260" s="728"/>
      <c r="O260" s="733"/>
      <c r="P260" s="733"/>
      <c r="Q260" s="733"/>
      <c r="R260" s="733"/>
      <c r="S260" s="733"/>
      <c r="T260" s="733"/>
      <c r="U260" s="733"/>
      <c r="V260" s="693"/>
      <c r="W260" s="744"/>
    </row>
    <row r="261" spans="1:23" s="745" customFormat="1" x14ac:dyDescent="0.25">
      <c r="A261" s="693"/>
      <c r="B261" s="693"/>
      <c r="C261" s="693"/>
      <c r="D261" s="696"/>
      <c r="E261" s="696"/>
      <c r="F261" s="697"/>
      <c r="G261" s="697"/>
      <c r="H261" s="728"/>
      <c r="I261" s="728"/>
      <c r="J261" s="728"/>
      <c r="K261" s="728"/>
      <c r="L261" s="728"/>
      <c r="M261" s="728"/>
      <c r="N261" s="728"/>
      <c r="O261" s="733"/>
      <c r="P261" s="733"/>
      <c r="Q261" s="733"/>
      <c r="R261" s="733"/>
      <c r="S261" s="733"/>
      <c r="T261" s="733"/>
      <c r="U261" s="733"/>
      <c r="V261" s="693"/>
      <c r="W261" s="744"/>
    </row>
    <row r="262" spans="1:23" s="745" customFormat="1" x14ac:dyDescent="0.25">
      <c r="A262" s="693"/>
      <c r="B262" s="693"/>
      <c r="C262" s="693"/>
      <c r="D262" s="696"/>
      <c r="E262" s="696"/>
      <c r="F262" s="697"/>
      <c r="G262" s="697"/>
      <c r="H262" s="728"/>
      <c r="I262" s="728"/>
      <c r="J262" s="728"/>
      <c r="K262" s="728"/>
      <c r="L262" s="728"/>
      <c r="M262" s="728"/>
      <c r="N262" s="728"/>
      <c r="O262" s="733"/>
      <c r="P262" s="733"/>
      <c r="Q262" s="733"/>
      <c r="R262" s="733"/>
      <c r="S262" s="733"/>
      <c r="T262" s="733"/>
      <c r="U262" s="733"/>
      <c r="V262" s="693"/>
      <c r="W262" s="744"/>
    </row>
    <row r="263" spans="1:23" s="745" customFormat="1" x14ac:dyDescent="0.25">
      <c r="A263" s="693"/>
      <c r="B263" s="693"/>
      <c r="C263" s="693"/>
      <c r="D263" s="696"/>
      <c r="E263" s="696"/>
      <c r="F263" s="697"/>
      <c r="G263" s="697"/>
      <c r="H263" s="728"/>
      <c r="I263" s="728"/>
      <c r="J263" s="728"/>
      <c r="K263" s="728"/>
      <c r="L263" s="728"/>
      <c r="M263" s="728"/>
      <c r="N263" s="728"/>
      <c r="O263" s="733"/>
      <c r="P263" s="733"/>
      <c r="Q263" s="733"/>
      <c r="R263" s="733"/>
      <c r="S263" s="733"/>
      <c r="T263" s="733"/>
      <c r="U263" s="733"/>
      <c r="V263" s="693"/>
      <c r="W263" s="744"/>
    </row>
    <row r="264" spans="1:23" s="745" customFormat="1" x14ac:dyDescent="0.25">
      <c r="A264" s="693"/>
      <c r="B264" s="693"/>
      <c r="C264" s="693"/>
      <c r="D264" s="696"/>
      <c r="E264" s="696"/>
      <c r="F264" s="697"/>
      <c r="G264" s="697"/>
      <c r="H264" s="728"/>
      <c r="I264" s="728"/>
      <c r="J264" s="728"/>
      <c r="K264" s="728"/>
      <c r="L264" s="728"/>
      <c r="M264" s="728"/>
      <c r="N264" s="728"/>
      <c r="O264" s="733"/>
      <c r="P264" s="733"/>
      <c r="Q264" s="733"/>
      <c r="R264" s="733"/>
      <c r="S264" s="733"/>
      <c r="T264" s="733"/>
      <c r="U264" s="733"/>
      <c r="V264" s="693"/>
      <c r="W264" s="744"/>
    </row>
    <row r="265" spans="1:23" s="745" customFormat="1" x14ac:dyDescent="0.25">
      <c r="A265" s="693"/>
      <c r="B265" s="693"/>
      <c r="C265" s="693"/>
      <c r="D265" s="696"/>
      <c r="E265" s="696"/>
      <c r="F265" s="697"/>
      <c r="G265" s="697"/>
      <c r="H265" s="728"/>
      <c r="I265" s="728"/>
      <c r="J265" s="728"/>
      <c r="K265" s="728"/>
      <c r="L265" s="728"/>
      <c r="M265" s="728"/>
      <c r="N265" s="728"/>
      <c r="O265" s="733"/>
      <c r="P265" s="733"/>
      <c r="Q265" s="733"/>
      <c r="R265" s="733"/>
      <c r="S265" s="733"/>
      <c r="T265" s="733"/>
      <c r="U265" s="733"/>
      <c r="V265" s="693"/>
      <c r="W265" s="744"/>
    </row>
    <row r="266" spans="1:23" s="745" customFormat="1" x14ac:dyDescent="0.25">
      <c r="A266" s="693"/>
      <c r="B266" s="693"/>
      <c r="C266" s="693"/>
      <c r="D266" s="696"/>
      <c r="E266" s="696"/>
      <c r="F266" s="697"/>
      <c r="G266" s="697"/>
      <c r="H266" s="728"/>
      <c r="I266" s="728"/>
      <c r="J266" s="728"/>
      <c r="K266" s="728"/>
      <c r="L266" s="728"/>
      <c r="M266" s="728"/>
      <c r="N266" s="728"/>
      <c r="O266" s="733"/>
      <c r="P266" s="733"/>
      <c r="Q266" s="733"/>
      <c r="R266" s="733"/>
      <c r="S266" s="733"/>
      <c r="T266" s="733"/>
      <c r="U266" s="733"/>
      <c r="V266" s="693"/>
      <c r="W266" s="744"/>
    </row>
    <row r="267" spans="1:23" s="745" customFormat="1" x14ac:dyDescent="0.25">
      <c r="A267" s="693"/>
      <c r="B267" s="693"/>
      <c r="C267" s="693"/>
      <c r="D267" s="696"/>
      <c r="E267" s="696"/>
      <c r="F267" s="697"/>
      <c r="G267" s="697"/>
      <c r="H267" s="728"/>
      <c r="I267" s="728"/>
      <c r="J267" s="728"/>
      <c r="K267" s="728"/>
      <c r="L267" s="728"/>
      <c r="M267" s="728"/>
      <c r="N267" s="728"/>
      <c r="O267" s="733"/>
      <c r="P267" s="733"/>
      <c r="Q267" s="733"/>
      <c r="R267" s="733"/>
      <c r="S267" s="733"/>
      <c r="T267" s="733"/>
      <c r="U267" s="733"/>
      <c r="V267" s="693"/>
      <c r="W267" s="744"/>
    </row>
    <row r="268" spans="1:23" s="745" customFormat="1" x14ac:dyDescent="0.25">
      <c r="A268" s="693"/>
      <c r="B268" s="693"/>
      <c r="C268" s="693"/>
      <c r="D268" s="696"/>
      <c r="E268" s="696"/>
      <c r="F268" s="697"/>
      <c r="G268" s="697"/>
      <c r="H268" s="728"/>
      <c r="I268" s="728"/>
      <c r="J268" s="728"/>
      <c r="K268" s="728"/>
      <c r="L268" s="728"/>
      <c r="M268" s="728"/>
      <c r="N268" s="728"/>
      <c r="O268" s="733"/>
      <c r="P268" s="733"/>
      <c r="Q268" s="733"/>
      <c r="R268" s="733"/>
      <c r="S268" s="733"/>
      <c r="T268" s="733"/>
      <c r="U268" s="733"/>
      <c r="V268" s="693"/>
      <c r="W268" s="744"/>
    </row>
    <row r="269" spans="1:23" s="745" customFormat="1" x14ac:dyDescent="0.25">
      <c r="A269" s="693"/>
      <c r="B269" s="693"/>
      <c r="C269" s="693"/>
      <c r="D269" s="696"/>
      <c r="E269" s="696"/>
      <c r="F269" s="697"/>
      <c r="G269" s="697"/>
      <c r="H269" s="728"/>
      <c r="I269" s="728"/>
      <c r="J269" s="728"/>
      <c r="K269" s="728"/>
      <c r="L269" s="728"/>
      <c r="M269" s="728"/>
      <c r="N269" s="728"/>
      <c r="O269" s="733"/>
      <c r="P269" s="733"/>
      <c r="Q269" s="733"/>
      <c r="R269" s="733"/>
      <c r="S269" s="733"/>
      <c r="T269" s="733"/>
      <c r="U269" s="733"/>
      <c r="V269" s="693"/>
      <c r="W269" s="744"/>
    </row>
    <row r="270" spans="1:23" s="745" customFormat="1" x14ac:dyDescent="0.25">
      <c r="A270" s="693"/>
      <c r="B270" s="693"/>
      <c r="C270" s="693"/>
      <c r="D270" s="696"/>
      <c r="E270" s="696"/>
      <c r="F270" s="697"/>
      <c r="G270" s="697"/>
      <c r="H270" s="728"/>
      <c r="I270" s="728"/>
      <c r="J270" s="728"/>
      <c r="K270" s="728"/>
      <c r="L270" s="728"/>
      <c r="M270" s="728"/>
      <c r="N270" s="728"/>
      <c r="O270" s="733"/>
      <c r="P270" s="733"/>
      <c r="Q270" s="733"/>
      <c r="R270" s="733"/>
      <c r="S270" s="733"/>
      <c r="T270" s="733"/>
      <c r="U270" s="733"/>
      <c r="V270" s="693"/>
      <c r="W270" s="744"/>
    </row>
    <row r="271" spans="1:23" s="745" customFormat="1" x14ac:dyDescent="0.25">
      <c r="A271" s="693"/>
      <c r="B271" s="693"/>
      <c r="C271" s="693"/>
      <c r="D271" s="696"/>
      <c r="E271" s="696"/>
      <c r="F271" s="697"/>
      <c r="G271" s="697"/>
      <c r="H271" s="728"/>
      <c r="I271" s="728"/>
      <c r="J271" s="728"/>
      <c r="K271" s="728"/>
      <c r="L271" s="728"/>
      <c r="M271" s="728"/>
      <c r="N271" s="728"/>
      <c r="O271" s="733"/>
      <c r="P271" s="733"/>
      <c r="Q271" s="733"/>
      <c r="R271" s="733"/>
      <c r="S271" s="733"/>
      <c r="T271" s="733"/>
      <c r="U271" s="733"/>
      <c r="V271" s="693"/>
      <c r="W271" s="744"/>
    </row>
    <row r="272" spans="1:23" s="745" customFormat="1" x14ac:dyDescent="0.25">
      <c r="A272" s="693"/>
      <c r="B272" s="693"/>
      <c r="C272" s="693"/>
      <c r="D272" s="696"/>
      <c r="E272" s="696"/>
      <c r="F272" s="697"/>
      <c r="G272" s="697"/>
      <c r="H272" s="728"/>
      <c r="I272" s="728"/>
      <c r="J272" s="728"/>
      <c r="K272" s="728"/>
      <c r="L272" s="728"/>
      <c r="M272" s="728"/>
      <c r="N272" s="728"/>
      <c r="O272" s="733"/>
      <c r="P272" s="733"/>
      <c r="Q272" s="733"/>
      <c r="R272" s="733"/>
      <c r="S272" s="733"/>
      <c r="T272" s="733"/>
      <c r="U272" s="733"/>
      <c r="V272" s="693"/>
      <c r="W272" s="744"/>
    </row>
    <row r="273" spans="1:23" s="745" customFormat="1" x14ac:dyDescent="0.25">
      <c r="A273" s="693"/>
      <c r="B273" s="693"/>
      <c r="C273" s="693"/>
      <c r="D273" s="696"/>
      <c r="E273" s="696"/>
      <c r="F273" s="697"/>
      <c r="G273" s="697"/>
      <c r="H273" s="728"/>
      <c r="I273" s="728"/>
      <c r="J273" s="728"/>
      <c r="K273" s="728"/>
      <c r="L273" s="728"/>
      <c r="M273" s="728"/>
      <c r="N273" s="728"/>
      <c r="O273" s="733"/>
      <c r="P273" s="733"/>
      <c r="Q273" s="733"/>
      <c r="R273" s="733"/>
      <c r="S273" s="733"/>
      <c r="T273" s="733"/>
      <c r="U273" s="733"/>
      <c r="V273" s="693"/>
      <c r="W273" s="744"/>
    </row>
    <row r="274" spans="1:23" s="745" customFormat="1" x14ac:dyDescent="0.25">
      <c r="A274" s="693"/>
      <c r="B274" s="693"/>
      <c r="C274" s="693"/>
      <c r="D274" s="696"/>
      <c r="E274" s="696"/>
      <c r="F274" s="697"/>
      <c r="G274" s="697"/>
      <c r="H274" s="728"/>
      <c r="I274" s="728"/>
      <c r="J274" s="728"/>
      <c r="K274" s="728"/>
      <c r="L274" s="728"/>
      <c r="M274" s="728"/>
      <c r="N274" s="728"/>
      <c r="O274" s="733"/>
      <c r="P274" s="733"/>
      <c r="Q274" s="733"/>
      <c r="R274" s="733"/>
      <c r="S274" s="733"/>
      <c r="T274" s="733"/>
      <c r="U274" s="733"/>
      <c r="V274" s="693"/>
      <c r="W274" s="744"/>
    </row>
    <row r="275" spans="1:23" s="745" customFormat="1" x14ac:dyDescent="0.25">
      <c r="A275" s="693"/>
      <c r="B275" s="693"/>
      <c r="C275" s="693"/>
      <c r="D275" s="696"/>
      <c r="E275" s="696"/>
      <c r="F275" s="697"/>
      <c r="G275" s="697"/>
      <c r="H275" s="728"/>
      <c r="I275" s="728"/>
      <c r="J275" s="728"/>
      <c r="K275" s="728"/>
      <c r="L275" s="728"/>
      <c r="M275" s="728"/>
      <c r="N275" s="728"/>
      <c r="O275" s="733"/>
      <c r="P275" s="733"/>
      <c r="Q275" s="733"/>
      <c r="R275" s="733"/>
      <c r="S275" s="733"/>
      <c r="T275" s="733"/>
      <c r="U275" s="733"/>
      <c r="V275" s="693"/>
      <c r="W275" s="744"/>
    </row>
    <row r="276" spans="1:23" s="745" customFormat="1" x14ac:dyDescent="0.25">
      <c r="A276" s="693"/>
      <c r="B276" s="693"/>
      <c r="C276" s="693"/>
      <c r="D276" s="696"/>
      <c r="E276" s="696"/>
      <c r="F276" s="697"/>
      <c r="G276" s="697"/>
      <c r="H276" s="728"/>
      <c r="I276" s="728"/>
      <c r="J276" s="728"/>
      <c r="K276" s="728"/>
      <c r="L276" s="728"/>
      <c r="M276" s="728"/>
      <c r="N276" s="728"/>
      <c r="O276" s="733"/>
      <c r="P276" s="733"/>
      <c r="Q276" s="733"/>
      <c r="R276" s="733"/>
      <c r="S276" s="733"/>
      <c r="T276" s="733"/>
      <c r="U276" s="733"/>
      <c r="V276" s="693"/>
      <c r="W276" s="744"/>
    </row>
    <row r="277" spans="1:23" s="745" customFormat="1" x14ac:dyDescent="0.25">
      <c r="A277" s="693"/>
      <c r="B277" s="693"/>
      <c r="C277" s="693"/>
      <c r="D277" s="696"/>
      <c r="E277" s="696"/>
      <c r="F277" s="697"/>
      <c r="G277" s="697"/>
      <c r="H277" s="728"/>
      <c r="I277" s="728"/>
      <c r="J277" s="728"/>
      <c r="K277" s="728"/>
      <c r="L277" s="728"/>
      <c r="M277" s="728"/>
      <c r="N277" s="728"/>
      <c r="O277" s="733"/>
      <c r="P277" s="733"/>
      <c r="Q277" s="733"/>
      <c r="R277" s="733"/>
      <c r="S277" s="733"/>
      <c r="T277" s="733"/>
      <c r="U277" s="733"/>
      <c r="V277" s="693"/>
      <c r="W277" s="744"/>
    </row>
    <row r="278" spans="1:23" s="745" customFormat="1" x14ac:dyDescent="0.25">
      <c r="A278" s="693"/>
      <c r="B278" s="693"/>
      <c r="C278" s="693"/>
      <c r="D278" s="696"/>
      <c r="E278" s="696"/>
      <c r="F278" s="697"/>
      <c r="G278" s="697"/>
      <c r="H278" s="728"/>
      <c r="I278" s="728"/>
      <c r="J278" s="728"/>
      <c r="K278" s="728"/>
      <c r="L278" s="728"/>
      <c r="M278" s="728"/>
      <c r="N278" s="728"/>
      <c r="O278" s="733"/>
      <c r="P278" s="733"/>
      <c r="Q278" s="733"/>
      <c r="R278" s="733"/>
      <c r="S278" s="733"/>
      <c r="T278" s="733"/>
      <c r="U278" s="733"/>
      <c r="V278" s="693"/>
      <c r="W278" s="744"/>
    </row>
    <row r="279" spans="1:23" s="745" customFormat="1" x14ac:dyDescent="0.25">
      <c r="A279" s="693"/>
      <c r="B279" s="693"/>
      <c r="C279" s="693"/>
      <c r="D279" s="696"/>
      <c r="E279" s="696"/>
      <c r="F279" s="697"/>
      <c r="G279" s="697"/>
      <c r="H279" s="728"/>
      <c r="I279" s="728"/>
      <c r="J279" s="728"/>
      <c r="K279" s="728"/>
      <c r="L279" s="728"/>
      <c r="M279" s="728"/>
      <c r="N279" s="728"/>
      <c r="O279" s="733"/>
      <c r="P279" s="733"/>
      <c r="Q279" s="733"/>
      <c r="R279" s="733"/>
      <c r="S279" s="733"/>
      <c r="T279" s="733"/>
      <c r="U279" s="733"/>
      <c r="V279" s="693"/>
      <c r="W279" s="744"/>
    </row>
    <row r="280" spans="1:23" s="745" customFormat="1" x14ac:dyDescent="0.25">
      <c r="A280" s="693"/>
      <c r="B280" s="693"/>
      <c r="C280" s="693"/>
      <c r="D280" s="696"/>
      <c r="E280" s="696"/>
      <c r="F280" s="697"/>
      <c r="G280" s="697"/>
      <c r="H280" s="728"/>
      <c r="I280" s="728"/>
      <c r="J280" s="728"/>
      <c r="K280" s="728"/>
      <c r="L280" s="728"/>
      <c r="M280" s="728"/>
      <c r="N280" s="728"/>
      <c r="O280" s="733"/>
      <c r="P280" s="733"/>
      <c r="Q280" s="733"/>
      <c r="R280" s="733"/>
      <c r="S280" s="733"/>
      <c r="T280" s="733"/>
      <c r="U280" s="733"/>
      <c r="V280" s="693"/>
      <c r="W280" s="744"/>
    </row>
    <row r="281" spans="1:23" s="745" customFormat="1" x14ac:dyDescent="0.25">
      <c r="A281" s="693"/>
      <c r="B281" s="693"/>
      <c r="C281" s="693"/>
      <c r="D281" s="696"/>
      <c r="E281" s="696"/>
      <c r="F281" s="697"/>
      <c r="G281" s="697"/>
      <c r="H281" s="728"/>
      <c r="I281" s="728"/>
      <c r="J281" s="728"/>
      <c r="K281" s="728"/>
      <c r="L281" s="728"/>
      <c r="M281" s="728"/>
      <c r="N281" s="728"/>
      <c r="O281" s="733"/>
      <c r="P281" s="733"/>
      <c r="Q281" s="733"/>
      <c r="R281" s="733"/>
      <c r="S281" s="733"/>
      <c r="T281" s="733"/>
      <c r="U281" s="733"/>
      <c r="V281" s="693"/>
      <c r="W281" s="744"/>
    </row>
    <row r="282" spans="1:23" s="745" customFormat="1" x14ac:dyDescent="0.25">
      <c r="A282" s="693"/>
      <c r="B282" s="693"/>
      <c r="C282" s="693"/>
      <c r="D282" s="696"/>
      <c r="E282" s="696"/>
      <c r="F282" s="697"/>
      <c r="G282" s="697"/>
      <c r="H282" s="728"/>
      <c r="I282" s="728"/>
      <c r="J282" s="728"/>
      <c r="K282" s="728"/>
      <c r="L282" s="728"/>
      <c r="M282" s="728"/>
      <c r="N282" s="728"/>
      <c r="O282" s="733"/>
      <c r="P282" s="733"/>
      <c r="Q282" s="733"/>
      <c r="R282" s="733"/>
      <c r="S282" s="733"/>
      <c r="T282" s="733"/>
      <c r="U282" s="733"/>
      <c r="V282" s="693"/>
      <c r="W282" s="744"/>
    </row>
    <row r="283" spans="1:23" s="745" customFormat="1" x14ac:dyDescent="0.25">
      <c r="A283" s="693"/>
      <c r="B283" s="693"/>
      <c r="C283" s="693"/>
      <c r="D283" s="696"/>
      <c r="E283" s="696"/>
      <c r="F283" s="697"/>
      <c r="G283" s="697"/>
      <c r="H283" s="728"/>
      <c r="I283" s="728"/>
      <c r="J283" s="728"/>
      <c r="K283" s="728"/>
      <c r="L283" s="728"/>
      <c r="M283" s="728"/>
      <c r="N283" s="728"/>
      <c r="O283" s="733"/>
      <c r="P283" s="733"/>
      <c r="Q283" s="733"/>
      <c r="R283" s="733"/>
      <c r="S283" s="733"/>
      <c r="T283" s="733"/>
      <c r="U283" s="733"/>
      <c r="V283" s="693"/>
      <c r="W283" s="744"/>
    </row>
    <row r="284" spans="1:23" s="745" customFormat="1" x14ac:dyDescent="0.25">
      <c r="A284" s="693"/>
      <c r="B284" s="693"/>
      <c r="C284" s="693"/>
      <c r="D284" s="696"/>
      <c r="E284" s="696"/>
      <c r="F284" s="697"/>
      <c r="G284" s="697"/>
      <c r="H284" s="728"/>
      <c r="I284" s="728"/>
      <c r="J284" s="728"/>
      <c r="K284" s="728"/>
      <c r="L284" s="728"/>
      <c r="M284" s="728"/>
      <c r="N284" s="728"/>
      <c r="O284" s="733"/>
      <c r="P284" s="733"/>
      <c r="Q284" s="733"/>
      <c r="R284" s="733"/>
      <c r="S284" s="733"/>
      <c r="T284" s="733"/>
      <c r="U284" s="733"/>
      <c r="V284" s="693"/>
      <c r="W284" s="744"/>
    </row>
    <row r="285" spans="1:23" s="745" customFormat="1" x14ac:dyDescent="0.25">
      <c r="A285" s="693"/>
      <c r="B285" s="693"/>
      <c r="C285" s="693"/>
      <c r="D285" s="696"/>
      <c r="E285" s="696"/>
      <c r="F285" s="697"/>
      <c r="G285" s="697"/>
      <c r="H285" s="728"/>
      <c r="I285" s="728"/>
      <c r="J285" s="728"/>
      <c r="K285" s="728"/>
      <c r="L285" s="728"/>
      <c r="M285" s="728"/>
      <c r="N285" s="728"/>
      <c r="O285" s="733"/>
      <c r="P285" s="733"/>
      <c r="Q285" s="733"/>
      <c r="R285" s="733"/>
      <c r="S285" s="733"/>
      <c r="T285" s="733"/>
      <c r="U285" s="733"/>
      <c r="V285" s="693"/>
      <c r="W285" s="744"/>
    </row>
    <row r="286" spans="1:23" s="745" customFormat="1" x14ac:dyDescent="0.25">
      <c r="A286" s="693"/>
      <c r="B286" s="693"/>
      <c r="C286" s="693"/>
      <c r="D286" s="696"/>
      <c r="E286" s="696"/>
      <c r="F286" s="697"/>
      <c r="G286" s="697"/>
      <c r="H286" s="728"/>
      <c r="I286" s="728"/>
      <c r="J286" s="728"/>
      <c r="K286" s="728"/>
      <c r="L286" s="728"/>
      <c r="M286" s="728"/>
      <c r="N286" s="728"/>
      <c r="O286" s="733"/>
      <c r="P286" s="733"/>
      <c r="Q286" s="733"/>
      <c r="R286" s="733"/>
      <c r="S286" s="733"/>
      <c r="T286" s="733"/>
      <c r="U286" s="733"/>
      <c r="V286" s="693"/>
      <c r="W286" s="744"/>
    </row>
    <row r="287" spans="1:23" s="745" customFormat="1" x14ac:dyDescent="0.25">
      <c r="A287" s="693"/>
      <c r="B287" s="693"/>
      <c r="C287" s="693"/>
      <c r="D287" s="696"/>
      <c r="E287" s="696"/>
      <c r="F287" s="697"/>
      <c r="G287" s="697"/>
      <c r="H287" s="728"/>
      <c r="I287" s="728"/>
      <c r="J287" s="728"/>
      <c r="K287" s="728"/>
      <c r="L287" s="728"/>
      <c r="M287" s="728"/>
      <c r="N287" s="728"/>
      <c r="O287" s="733"/>
      <c r="P287" s="733"/>
      <c r="Q287" s="733"/>
      <c r="R287" s="733"/>
      <c r="S287" s="733"/>
      <c r="T287" s="733"/>
      <c r="U287" s="733"/>
      <c r="V287" s="693"/>
      <c r="W287" s="744"/>
    </row>
    <row r="288" spans="1:23" s="745" customFormat="1" x14ac:dyDescent="0.25">
      <c r="A288" s="693"/>
      <c r="B288" s="693"/>
      <c r="C288" s="693"/>
      <c r="D288" s="696"/>
      <c r="E288" s="696"/>
      <c r="F288" s="697"/>
      <c r="G288" s="697"/>
      <c r="H288" s="728"/>
      <c r="I288" s="728"/>
      <c r="J288" s="728"/>
      <c r="K288" s="728"/>
      <c r="L288" s="728"/>
      <c r="M288" s="728"/>
      <c r="N288" s="728"/>
      <c r="O288" s="733"/>
      <c r="P288" s="733"/>
      <c r="Q288" s="733"/>
      <c r="R288" s="733"/>
      <c r="S288" s="733"/>
      <c r="T288" s="733"/>
      <c r="U288" s="733"/>
      <c r="V288" s="693"/>
      <c r="W288" s="744"/>
    </row>
    <row r="289" spans="1:23" s="745" customFormat="1" x14ac:dyDescent="0.25">
      <c r="A289" s="693"/>
      <c r="B289" s="693"/>
      <c r="C289" s="693"/>
      <c r="D289" s="696"/>
      <c r="E289" s="696"/>
      <c r="F289" s="697"/>
      <c r="G289" s="697"/>
      <c r="H289" s="728"/>
      <c r="I289" s="728"/>
      <c r="J289" s="728"/>
      <c r="K289" s="728"/>
      <c r="L289" s="728"/>
      <c r="M289" s="728"/>
      <c r="N289" s="728"/>
      <c r="O289" s="733"/>
      <c r="P289" s="733"/>
      <c r="Q289" s="733"/>
      <c r="R289" s="733"/>
      <c r="S289" s="733"/>
      <c r="T289" s="733"/>
      <c r="U289" s="733"/>
      <c r="V289" s="693"/>
      <c r="W289" s="744"/>
    </row>
    <row r="290" spans="1:23" s="745" customFormat="1" x14ac:dyDescent="0.25">
      <c r="A290" s="693"/>
      <c r="B290" s="693"/>
      <c r="C290" s="693"/>
      <c r="D290" s="696"/>
      <c r="E290" s="696"/>
      <c r="F290" s="697"/>
      <c r="G290" s="697"/>
      <c r="H290" s="728"/>
      <c r="I290" s="728"/>
      <c r="J290" s="728"/>
      <c r="K290" s="728"/>
      <c r="L290" s="728"/>
      <c r="M290" s="728"/>
      <c r="N290" s="728"/>
      <c r="O290" s="733"/>
      <c r="P290" s="733"/>
      <c r="Q290" s="733"/>
      <c r="R290" s="733"/>
      <c r="S290" s="733"/>
      <c r="T290" s="733"/>
      <c r="U290" s="733"/>
      <c r="V290" s="693"/>
      <c r="W290" s="744"/>
    </row>
    <row r="291" spans="1:23" s="745" customFormat="1" x14ac:dyDescent="0.25">
      <c r="A291" s="693"/>
      <c r="B291" s="693"/>
      <c r="C291" s="693"/>
      <c r="D291" s="696"/>
      <c r="E291" s="696"/>
      <c r="F291" s="697"/>
      <c r="G291" s="697"/>
      <c r="H291" s="728"/>
      <c r="I291" s="728"/>
      <c r="J291" s="728"/>
      <c r="K291" s="728"/>
      <c r="L291" s="728"/>
      <c r="M291" s="728"/>
      <c r="N291" s="728"/>
      <c r="O291" s="733"/>
      <c r="P291" s="733"/>
      <c r="Q291" s="733"/>
      <c r="R291" s="733"/>
      <c r="S291" s="733"/>
      <c r="T291" s="733"/>
      <c r="U291" s="733"/>
      <c r="V291" s="693"/>
      <c r="W291" s="744"/>
    </row>
    <row r="292" spans="1:23" s="745" customFormat="1" x14ac:dyDescent="0.25">
      <c r="A292" s="693"/>
      <c r="B292" s="693"/>
      <c r="C292" s="693"/>
      <c r="D292" s="696"/>
      <c r="E292" s="696"/>
      <c r="F292" s="697"/>
      <c r="G292" s="697"/>
      <c r="H292" s="728"/>
      <c r="I292" s="728"/>
      <c r="J292" s="728"/>
      <c r="K292" s="728"/>
      <c r="L292" s="728"/>
      <c r="M292" s="728"/>
      <c r="N292" s="728"/>
      <c r="O292" s="733"/>
      <c r="P292" s="733"/>
      <c r="Q292" s="733"/>
      <c r="R292" s="733"/>
      <c r="S292" s="733"/>
      <c r="T292" s="733"/>
      <c r="U292" s="733"/>
      <c r="V292" s="693"/>
      <c r="W292" s="744"/>
    </row>
    <row r="293" spans="1:23" s="745" customFormat="1" x14ac:dyDescent="0.25">
      <c r="A293" s="693"/>
      <c r="B293" s="693"/>
      <c r="C293" s="693"/>
      <c r="D293" s="696"/>
      <c r="E293" s="696"/>
      <c r="F293" s="697"/>
      <c r="G293" s="697"/>
      <c r="H293" s="728"/>
      <c r="I293" s="728"/>
      <c r="J293" s="728"/>
      <c r="K293" s="728"/>
      <c r="L293" s="728"/>
      <c r="M293" s="728"/>
      <c r="N293" s="728"/>
      <c r="O293" s="733"/>
      <c r="P293" s="733"/>
      <c r="Q293" s="733"/>
      <c r="R293" s="733"/>
      <c r="S293" s="733"/>
      <c r="T293" s="733"/>
      <c r="U293" s="733"/>
      <c r="V293" s="693"/>
      <c r="W293" s="744"/>
    </row>
    <row r="294" spans="1:23" s="745" customFormat="1" x14ac:dyDescent="0.25">
      <c r="A294" s="693"/>
      <c r="B294" s="693"/>
      <c r="C294" s="693"/>
      <c r="D294" s="696"/>
      <c r="E294" s="696"/>
      <c r="F294" s="697"/>
      <c r="G294" s="697"/>
      <c r="H294" s="728"/>
      <c r="I294" s="728"/>
      <c r="J294" s="728"/>
      <c r="K294" s="728"/>
      <c r="L294" s="728"/>
      <c r="M294" s="728"/>
      <c r="N294" s="728"/>
      <c r="O294" s="733"/>
      <c r="P294" s="733"/>
      <c r="Q294" s="733"/>
      <c r="R294" s="733"/>
      <c r="S294" s="733"/>
      <c r="T294" s="733"/>
      <c r="U294" s="733"/>
      <c r="V294" s="693"/>
      <c r="W294" s="744"/>
    </row>
    <row r="295" spans="1:23" s="745" customFormat="1" x14ac:dyDescent="0.25">
      <c r="A295" s="693"/>
      <c r="B295" s="693"/>
      <c r="C295" s="693"/>
      <c r="D295" s="696"/>
      <c r="E295" s="696"/>
      <c r="F295" s="697"/>
      <c r="G295" s="697"/>
      <c r="H295" s="728"/>
      <c r="I295" s="728"/>
      <c r="J295" s="728"/>
      <c r="K295" s="728"/>
      <c r="L295" s="728"/>
      <c r="M295" s="728"/>
      <c r="N295" s="728"/>
      <c r="O295" s="733"/>
      <c r="P295" s="733"/>
      <c r="Q295" s="733"/>
      <c r="R295" s="733"/>
      <c r="S295" s="733"/>
      <c r="T295" s="733"/>
      <c r="U295" s="733"/>
      <c r="V295" s="693"/>
      <c r="W295" s="744"/>
    </row>
    <row r="296" spans="1:23" s="745" customFormat="1" x14ac:dyDescent="0.25">
      <c r="A296" s="693"/>
      <c r="B296" s="693"/>
      <c r="C296" s="693"/>
      <c r="D296" s="696"/>
      <c r="E296" s="696"/>
      <c r="F296" s="697"/>
      <c r="G296" s="697"/>
      <c r="H296" s="728"/>
      <c r="I296" s="728"/>
      <c r="J296" s="728"/>
      <c r="K296" s="728"/>
      <c r="L296" s="728"/>
      <c r="M296" s="728"/>
      <c r="N296" s="728"/>
      <c r="O296" s="733"/>
      <c r="P296" s="733"/>
      <c r="Q296" s="733"/>
      <c r="R296" s="733"/>
      <c r="S296" s="733"/>
      <c r="T296" s="733"/>
      <c r="U296" s="733"/>
      <c r="V296" s="693"/>
      <c r="W296" s="744"/>
    </row>
    <row r="297" spans="1:23" s="745" customFormat="1" x14ac:dyDescent="0.25">
      <c r="A297" s="693"/>
      <c r="B297" s="693"/>
      <c r="C297" s="693"/>
      <c r="D297" s="696"/>
      <c r="E297" s="696"/>
      <c r="F297" s="697"/>
      <c r="G297" s="697"/>
      <c r="H297" s="728"/>
      <c r="I297" s="728"/>
      <c r="J297" s="728"/>
      <c r="K297" s="728"/>
      <c r="L297" s="728"/>
      <c r="M297" s="728"/>
      <c r="N297" s="728"/>
      <c r="O297" s="733"/>
      <c r="P297" s="733"/>
      <c r="Q297" s="733"/>
      <c r="R297" s="733"/>
      <c r="S297" s="733"/>
      <c r="T297" s="733"/>
      <c r="U297" s="733"/>
      <c r="V297" s="693"/>
      <c r="W297" s="744"/>
    </row>
    <row r="298" spans="1:23" s="745" customFormat="1" x14ac:dyDescent="0.25">
      <c r="A298" s="693"/>
      <c r="B298" s="693"/>
      <c r="C298" s="693"/>
      <c r="D298" s="696"/>
      <c r="E298" s="696"/>
      <c r="F298" s="697"/>
      <c r="G298" s="697"/>
      <c r="H298" s="728"/>
      <c r="I298" s="728"/>
      <c r="J298" s="728"/>
      <c r="K298" s="728"/>
      <c r="L298" s="728"/>
      <c r="M298" s="728"/>
      <c r="N298" s="728"/>
      <c r="O298" s="733"/>
      <c r="P298" s="733"/>
      <c r="Q298" s="733"/>
      <c r="R298" s="733"/>
      <c r="S298" s="733"/>
      <c r="T298" s="733"/>
      <c r="U298" s="733"/>
      <c r="V298" s="693"/>
      <c r="W298" s="744"/>
    </row>
    <row r="299" spans="1:23" s="745" customFormat="1" x14ac:dyDescent="0.25">
      <c r="A299" s="693"/>
      <c r="B299" s="693"/>
      <c r="C299" s="693"/>
      <c r="D299" s="696"/>
      <c r="E299" s="696"/>
      <c r="F299" s="697"/>
      <c r="G299" s="697"/>
      <c r="H299" s="728"/>
      <c r="I299" s="728"/>
      <c r="J299" s="728"/>
      <c r="K299" s="728"/>
      <c r="L299" s="728"/>
      <c r="M299" s="728"/>
      <c r="N299" s="728"/>
      <c r="O299" s="733"/>
      <c r="P299" s="733"/>
      <c r="Q299" s="733"/>
      <c r="R299" s="733"/>
      <c r="S299" s="733"/>
      <c r="T299" s="733"/>
      <c r="U299" s="733"/>
      <c r="V299" s="693"/>
      <c r="W299" s="744"/>
    </row>
    <row r="300" spans="1:23" s="745" customFormat="1" x14ac:dyDescent="0.25">
      <c r="A300" s="693"/>
      <c r="B300" s="693"/>
      <c r="C300" s="693"/>
      <c r="D300" s="696"/>
      <c r="E300" s="696"/>
      <c r="F300" s="697"/>
      <c r="G300" s="697"/>
      <c r="H300" s="728"/>
      <c r="I300" s="728"/>
      <c r="J300" s="728"/>
      <c r="K300" s="728"/>
      <c r="L300" s="728"/>
      <c r="M300" s="728"/>
      <c r="N300" s="728"/>
      <c r="O300" s="733"/>
      <c r="P300" s="733"/>
      <c r="Q300" s="733"/>
      <c r="R300" s="733"/>
      <c r="S300" s="733"/>
      <c r="T300" s="733"/>
      <c r="U300" s="733"/>
      <c r="V300" s="693"/>
      <c r="W300" s="744"/>
    </row>
    <row r="301" spans="1:23" s="745" customFormat="1" x14ac:dyDescent="0.25">
      <c r="A301" s="693"/>
      <c r="B301" s="693"/>
      <c r="C301" s="693"/>
      <c r="D301" s="696"/>
      <c r="E301" s="696"/>
      <c r="F301" s="697"/>
      <c r="G301" s="697"/>
      <c r="H301" s="728"/>
      <c r="I301" s="728"/>
      <c r="J301" s="728"/>
      <c r="K301" s="728"/>
      <c r="L301" s="728"/>
      <c r="M301" s="728"/>
      <c r="N301" s="728"/>
      <c r="O301" s="733"/>
      <c r="P301" s="733"/>
      <c r="Q301" s="733"/>
      <c r="R301" s="733"/>
      <c r="S301" s="733"/>
      <c r="T301" s="733"/>
      <c r="U301" s="733"/>
      <c r="V301" s="693"/>
      <c r="W301" s="744"/>
    </row>
    <row r="302" spans="1:23" s="745" customFormat="1" x14ac:dyDescent="0.25">
      <c r="A302" s="693"/>
      <c r="B302" s="693"/>
      <c r="C302" s="693"/>
      <c r="D302" s="696"/>
      <c r="E302" s="696"/>
      <c r="F302" s="697"/>
      <c r="G302" s="697"/>
      <c r="H302" s="728"/>
      <c r="I302" s="728"/>
      <c r="J302" s="728"/>
      <c r="K302" s="728"/>
      <c r="L302" s="728"/>
      <c r="M302" s="728"/>
      <c r="N302" s="728"/>
      <c r="O302" s="733"/>
      <c r="P302" s="733"/>
      <c r="Q302" s="733"/>
      <c r="R302" s="733"/>
      <c r="S302" s="733"/>
      <c r="T302" s="733"/>
      <c r="U302" s="733"/>
      <c r="V302" s="693"/>
      <c r="W302" s="744"/>
    </row>
    <row r="303" spans="1:23" s="745" customFormat="1" x14ac:dyDescent="0.25">
      <c r="A303" s="693"/>
      <c r="B303" s="693"/>
      <c r="C303" s="693"/>
      <c r="D303" s="696"/>
      <c r="E303" s="696"/>
      <c r="F303" s="697"/>
      <c r="G303" s="697"/>
      <c r="H303" s="728"/>
      <c r="I303" s="728"/>
      <c r="J303" s="728"/>
      <c r="K303" s="728"/>
      <c r="L303" s="728"/>
      <c r="M303" s="728"/>
      <c r="N303" s="728"/>
      <c r="O303" s="733"/>
      <c r="P303" s="733"/>
      <c r="Q303" s="733"/>
      <c r="R303" s="733"/>
      <c r="S303" s="733"/>
      <c r="T303" s="733"/>
      <c r="U303" s="733"/>
      <c r="V303" s="693"/>
      <c r="W303" s="744"/>
    </row>
    <row r="304" spans="1:23" s="745" customFormat="1" x14ac:dyDescent="0.25">
      <c r="A304" s="693"/>
      <c r="B304" s="693"/>
      <c r="C304" s="693"/>
      <c r="D304" s="696"/>
      <c r="E304" s="696"/>
      <c r="F304" s="697"/>
      <c r="G304" s="697"/>
      <c r="H304" s="728"/>
      <c r="I304" s="728"/>
      <c r="J304" s="728"/>
      <c r="K304" s="728"/>
      <c r="L304" s="728"/>
      <c r="M304" s="728"/>
      <c r="N304" s="728"/>
      <c r="O304" s="733"/>
      <c r="P304" s="733"/>
      <c r="Q304" s="733"/>
      <c r="R304" s="733"/>
      <c r="S304" s="733"/>
      <c r="T304" s="733"/>
      <c r="U304" s="733"/>
      <c r="V304" s="693"/>
      <c r="W304" s="744"/>
    </row>
    <row r="305" spans="1:23" s="745" customFormat="1" x14ac:dyDescent="0.25">
      <c r="A305" s="693"/>
      <c r="B305" s="693"/>
      <c r="C305" s="693"/>
      <c r="D305" s="696"/>
      <c r="E305" s="696"/>
      <c r="F305" s="697"/>
      <c r="G305" s="697"/>
      <c r="H305" s="728"/>
      <c r="I305" s="728"/>
      <c r="J305" s="728"/>
      <c r="K305" s="728"/>
      <c r="L305" s="728"/>
      <c r="M305" s="728"/>
      <c r="N305" s="728"/>
      <c r="O305" s="733"/>
      <c r="P305" s="733"/>
      <c r="Q305" s="733"/>
      <c r="R305" s="733"/>
      <c r="S305" s="733"/>
      <c r="T305" s="733"/>
      <c r="U305" s="733"/>
      <c r="V305" s="693"/>
      <c r="W305" s="744"/>
    </row>
    <row r="306" spans="1:23" s="745" customFormat="1" x14ac:dyDescent="0.25">
      <c r="A306" s="693"/>
      <c r="B306" s="693"/>
      <c r="C306" s="693"/>
      <c r="D306" s="696"/>
      <c r="E306" s="696"/>
      <c r="F306" s="697"/>
      <c r="G306" s="697"/>
      <c r="H306" s="728"/>
      <c r="I306" s="728"/>
      <c r="J306" s="728"/>
      <c r="K306" s="728"/>
      <c r="L306" s="728"/>
      <c r="M306" s="728"/>
      <c r="N306" s="728"/>
      <c r="O306" s="733"/>
      <c r="P306" s="733"/>
      <c r="Q306" s="733"/>
      <c r="R306" s="733"/>
      <c r="S306" s="733"/>
      <c r="T306" s="733"/>
      <c r="U306" s="733"/>
      <c r="V306" s="693"/>
      <c r="W306" s="744"/>
    </row>
    <row r="307" spans="1:23" s="745" customFormat="1" x14ac:dyDescent="0.25">
      <c r="A307" s="693"/>
      <c r="B307" s="693"/>
      <c r="C307" s="693"/>
      <c r="D307" s="696"/>
      <c r="E307" s="696"/>
      <c r="F307" s="697"/>
      <c r="G307" s="697"/>
      <c r="H307" s="728"/>
      <c r="I307" s="728"/>
      <c r="J307" s="728"/>
      <c r="K307" s="728"/>
      <c r="L307" s="728"/>
      <c r="M307" s="728"/>
      <c r="N307" s="728"/>
      <c r="O307" s="733"/>
      <c r="P307" s="733"/>
      <c r="Q307" s="733"/>
      <c r="R307" s="733"/>
      <c r="S307" s="733"/>
      <c r="T307" s="733"/>
      <c r="U307" s="733"/>
      <c r="V307" s="693"/>
      <c r="W307" s="744"/>
    </row>
    <row r="308" spans="1:23" s="745" customFormat="1" x14ac:dyDescent="0.25">
      <c r="A308" s="693"/>
      <c r="B308" s="693"/>
      <c r="C308" s="693"/>
      <c r="D308" s="696"/>
      <c r="E308" s="696"/>
      <c r="F308" s="697"/>
      <c r="G308" s="697"/>
      <c r="H308" s="728"/>
      <c r="I308" s="728"/>
      <c r="J308" s="728"/>
      <c r="K308" s="728"/>
      <c r="L308" s="728"/>
      <c r="M308" s="728"/>
      <c r="N308" s="728"/>
      <c r="O308" s="733"/>
      <c r="P308" s="733"/>
      <c r="Q308" s="733"/>
      <c r="R308" s="733"/>
      <c r="S308" s="733"/>
      <c r="T308" s="733"/>
      <c r="U308" s="733"/>
      <c r="V308" s="693"/>
      <c r="W308" s="744"/>
    </row>
    <row r="309" spans="1:23" s="745" customFormat="1" x14ac:dyDescent="0.25">
      <c r="A309" s="693"/>
      <c r="B309" s="693"/>
      <c r="C309" s="693"/>
      <c r="D309" s="696"/>
      <c r="E309" s="696"/>
      <c r="F309" s="697"/>
      <c r="G309" s="697"/>
      <c r="H309" s="728"/>
      <c r="I309" s="728"/>
      <c r="J309" s="728"/>
      <c r="K309" s="728"/>
      <c r="L309" s="728"/>
      <c r="M309" s="728"/>
      <c r="N309" s="728"/>
      <c r="O309" s="733"/>
      <c r="P309" s="733"/>
      <c r="Q309" s="733"/>
      <c r="R309" s="733"/>
      <c r="S309" s="733"/>
      <c r="T309" s="733"/>
      <c r="U309" s="733"/>
      <c r="V309" s="693"/>
      <c r="W309" s="744"/>
    </row>
    <row r="310" spans="1:23" s="745" customFormat="1" x14ac:dyDescent="0.25">
      <c r="A310" s="693"/>
      <c r="B310" s="693"/>
      <c r="C310" s="693"/>
      <c r="D310" s="696"/>
      <c r="E310" s="696"/>
      <c r="F310" s="697"/>
      <c r="G310" s="697"/>
      <c r="H310" s="728"/>
      <c r="I310" s="728"/>
      <c r="J310" s="728"/>
      <c r="K310" s="728"/>
      <c r="L310" s="728"/>
      <c r="M310" s="728"/>
      <c r="N310" s="728"/>
      <c r="O310" s="733"/>
      <c r="P310" s="733"/>
      <c r="Q310" s="733"/>
      <c r="R310" s="733"/>
      <c r="S310" s="733"/>
      <c r="T310" s="733"/>
      <c r="U310" s="733"/>
      <c r="V310" s="693"/>
      <c r="W310" s="744"/>
    </row>
    <row r="311" spans="1:23" s="745" customFormat="1" x14ac:dyDescent="0.25">
      <c r="A311" s="693"/>
      <c r="B311" s="693"/>
      <c r="C311" s="693"/>
      <c r="D311" s="696"/>
      <c r="E311" s="696"/>
      <c r="F311" s="697"/>
      <c r="G311" s="697"/>
      <c r="H311" s="728"/>
      <c r="I311" s="728"/>
      <c r="J311" s="728"/>
      <c r="K311" s="728"/>
      <c r="L311" s="728"/>
      <c r="M311" s="728"/>
      <c r="N311" s="728"/>
      <c r="O311" s="733"/>
      <c r="P311" s="733"/>
      <c r="Q311" s="733"/>
      <c r="R311" s="733"/>
      <c r="S311" s="733"/>
      <c r="T311" s="733"/>
      <c r="U311" s="733"/>
      <c r="V311" s="693"/>
      <c r="W311" s="744"/>
    </row>
    <row r="312" spans="1:23" s="745" customFormat="1" x14ac:dyDescent="0.25">
      <c r="A312" s="693"/>
      <c r="B312" s="693"/>
      <c r="C312" s="693"/>
      <c r="D312" s="696"/>
      <c r="E312" s="696"/>
      <c r="F312" s="697"/>
      <c r="G312" s="697"/>
      <c r="H312" s="728"/>
      <c r="I312" s="728"/>
      <c r="J312" s="728"/>
      <c r="K312" s="728"/>
      <c r="L312" s="728"/>
      <c r="M312" s="728"/>
      <c r="N312" s="728"/>
      <c r="O312" s="733"/>
      <c r="P312" s="733"/>
      <c r="Q312" s="733"/>
      <c r="R312" s="733"/>
      <c r="S312" s="733"/>
      <c r="T312" s="733"/>
      <c r="U312" s="733"/>
      <c r="V312" s="693"/>
      <c r="W312" s="744"/>
    </row>
    <row r="313" spans="1:23" s="745" customFormat="1" x14ac:dyDescent="0.25">
      <c r="A313" s="693"/>
      <c r="B313" s="693"/>
      <c r="C313" s="693"/>
      <c r="D313" s="696"/>
      <c r="E313" s="696"/>
      <c r="F313" s="697"/>
      <c r="G313" s="697"/>
      <c r="H313" s="728"/>
      <c r="I313" s="728"/>
      <c r="J313" s="728"/>
      <c r="K313" s="728"/>
      <c r="L313" s="728"/>
      <c r="M313" s="728"/>
      <c r="N313" s="728"/>
      <c r="O313" s="733"/>
      <c r="P313" s="733"/>
      <c r="Q313" s="733"/>
      <c r="R313" s="733"/>
      <c r="S313" s="733"/>
      <c r="T313" s="733"/>
      <c r="U313" s="733"/>
      <c r="V313" s="693"/>
      <c r="W313" s="744"/>
    </row>
    <row r="314" spans="1:23" s="745" customFormat="1" x14ac:dyDescent="0.25">
      <c r="A314" s="693"/>
      <c r="B314" s="693"/>
      <c r="C314" s="693"/>
      <c r="D314" s="696"/>
      <c r="E314" s="696"/>
      <c r="F314" s="697"/>
      <c r="G314" s="697"/>
      <c r="H314" s="728"/>
      <c r="I314" s="728"/>
      <c r="J314" s="728"/>
      <c r="K314" s="728"/>
      <c r="L314" s="728"/>
      <c r="M314" s="728"/>
      <c r="N314" s="728"/>
      <c r="O314" s="733"/>
      <c r="P314" s="733"/>
      <c r="Q314" s="733"/>
      <c r="R314" s="733"/>
      <c r="S314" s="733"/>
      <c r="T314" s="733"/>
      <c r="U314" s="733"/>
      <c r="V314" s="693"/>
      <c r="W314" s="744"/>
    </row>
    <row r="315" spans="1:23" s="745" customFormat="1" x14ac:dyDescent="0.25">
      <c r="A315" s="693"/>
      <c r="B315" s="693"/>
      <c r="C315" s="693"/>
      <c r="D315" s="696"/>
      <c r="E315" s="696"/>
      <c r="F315" s="697"/>
      <c r="G315" s="697"/>
      <c r="H315" s="728"/>
      <c r="I315" s="728"/>
      <c r="J315" s="728"/>
      <c r="K315" s="728"/>
      <c r="L315" s="728"/>
      <c r="M315" s="728"/>
      <c r="N315" s="728"/>
      <c r="O315" s="733"/>
      <c r="P315" s="733"/>
      <c r="Q315" s="733"/>
      <c r="R315" s="733"/>
      <c r="S315" s="733"/>
      <c r="T315" s="733"/>
      <c r="U315" s="733"/>
      <c r="V315" s="693"/>
      <c r="W315" s="744"/>
    </row>
    <row r="316" spans="1:23" s="745" customFormat="1" x14ac:dyDescent="0.25">
      <c r="A316" s="693"/>
      <c r="B316" s="693"/>
      <c r="C316" s="693"/>
      <c r="D316" s="696"/>
      <c r="E316" s="696"/>
      <c r="F316" s="697"/>
      <c r="G316" s="697"/>
      <c r="H316" s="728"/>
      <c r="I316" s="728"/>
      <c r="J316" s="728"/>
      <c r="K316" s="728"/>
      <c r="L316" s="728"/>
      <c r="M316" s="728"/>
      <c r="N316" s="728"/>
      <c r="O316" s="733"/>
      <c r="P316" s="733"/>
      <c r="Q316" s="733"/>
      <c r="R316" s="733"/>
      <c r="S316" s="733"/>
      <c r="T316" s="733"/>
      <c r="U316" s="733"/>
      <c r="V316" s="693"/>
      <c r="W316" s="744"/>
    </row>
    <row r="317" spans="1:23" s="745" customFormat="1" x14ac:dyDescent="0.25">
      <c r="A317" s="693"/>
      <c r="B317" s="693"/>
      <c r="C317" s="693"/>
      <c r="D317" s="696"/>
      <c r="E317" s="696"/>
      <c r="F317" s="697"/>
      <c r="G317" s="697"/>
      <c r="H317" s="728"/>
      <c r="I317" s="728"/>
      <c r="J317" s="728"/>
      <c r="K317" s="728"/>
      <c r="L317" s="728"/>
      <c r="M317" s="728"/>
      <c r="N317" s="728"/>
      <c r="O317" s="733"/>
      <c r="P317" s="733"/>
      <c r="Q317" s="733"/>
      <c r="R317" s="733"/>
      <c r="S317" s="733"/>
      <c r="T317" s="733"/>
      <c r="U317" s="733"/>
      <c r="V317" s="693"/>
      <c r="W317" s="744"/>
    </row>
    <row r="318" spans="1:23" s="745" customFormat="1" x14ac:dyDescent="0.25">
      <c r="A318" s="693"/>
      <c r="B318" s="693"/>
      <c r="C318" s="693"/>
      <c r="D318" s="696"/>
      <c r="E318" s="696"/>
      <c r="F318" s="697"/>
      <c r="G318" s="697"/>
      <c r="H318" s="728"/>
      <c r="I318" s="728"/>
      <c r="J318" s="728"/>
      <c r="K318" s="728"/>
      <c r="L318" s="728"/>
      <c r="M318" s="728"/>
      <c r="N318" s="728"/>
      <c r="O318" s="733"/>
      <c r="P318" s="733"/>
      <c r="Q318" s="733"/>
      <c r="R318" s="733"/>
      <c r="S318" s="733"/>
      <c r="T318" s="733"/>
      <c r="U318" s="733"/>
      <c r="V318" s="693"/>
      <c r="W318" s="744"/>
    </row>
    <row r="319" spans="1:23" s="745" customFormat="1" x14ac:dyDescent="0.25">
      <c r="A319" s="693"/>
      <c r="B319" s="693"/>
      <c r="C319" s="693"/>
      <c r="D319" s="696"/>
      <c r="E319" s="696"/>
      <c r="F319" s="697"/>
      <c r="G319" s="697"/>
      <c r="H319" s="728"/>
      <c r="I319" s="728"/>
      <c r="J319" s="728"/>
      <c r="K319" s="728"/>
      <c r="L319" s="728"/>
      <c r="M319" s="728"/>
      <c r="N319" s="728"/>
      <c r="O319" s="733"/>
      <c r="P319" s="733"/>
      <c r="Q319" s="733"/>
      <c r="R319" s="733"/>
      <c r="S319" s="733"/>
      <c r="T319" s="733"/>
      <c r="U319" s="733"/>
      <c r="V319" s="693"/>
      <c r="W319" s="744"/>
    </row>
    <row r="320" spans="1:23" s="745" customFormat="1" x14ac:dyDescent="0.25">
      <c r="A320" s="693"/>
      <c r="B320" s="693"/>
      <c r="C320" s="693"/>
      <c r="D320" s="696"/>
      <c r="E320" s="696"/>
      <c r="F320" s="697"/>
      <c r="G320" s="697"/>
      <c r="H320" s="728"/>
      <c r="I320" s="728"/>
      <c r="J320" s="728"/>
      <c r="K320" s="728"/>
      <c r="L320" s="728"/>
      <c r="M320" s="728"/>
      <c r="N320" s="728"/>
      <c r="O320" s="733"/>
      <c r="P320" s="733"/>
      <c r="Q320" s="733"/>
      <c r="R320" s="733"/>
      <c r="S320" s="733"/>
      <c r="T320" s="733"/>
      <c r="U320" s="733"/>
      <c r="V320" s="693"/>
      <c r="W320" s="744"/>
    </row>
    <row r="321" spans="1:23" s="745" customFormat="1" x14ac:dyDescent="0.25">
      <c r="A321" s="693"/>
      <c r="B321" s="693"/>
      <c r="C321" s="693"/>
      <c r="D321" s="696"/>
      <c r="E321" s="696"/>
      <c r="F321" s="697"/>
      <c r="G321" s="697"/>
      <c r="H321" s="728"/>
      <c r="I321" s="728"/>
      <c r="J321" s="728"/>
      <c r="K321" s="728"/>
      <c r="L321" s="728"/>
      <c r="M321" s="728"/>
      <c r="N321" s="728"/>
      <c r="O321" s="733"/>
      <c r="P321" s="733"/>
      <c r="Q321" s="733"/>
      <c r="R321" s="733"/>
      <c r="S321" s="733"/>
      <c r="T321" s="733"/>
      <c r="U321" s="733"/>
      <c r="V321" s="693"/>
      <c r="W321" s="744"/>
    </row>
    <row r="322" spans="1:23" s="745" customFormat="1" x14ac:dyDescent="0.25">
      <c r="A322" s="693"/>
      <c r="B322" s="693"/>
      <c r="C322" s="693"/>
      <c r="D322" s="696"/>
      <c r="E322" s="696"/>
      <c r="F322" s="697"/>
      <c r="G322" s="697"/>
      <c r="H322" s="728"/>
      <c r="I322" s="728"/>
      <c r="J322" s="728"/>
      <c r="K322" s="728"/>
      <c r="L322" s="728"/>
      <c r="M322" s="728"/>
      <c r="N322" s="728"/>
      <c r="O322" s="733"/>
      <c r="P322" s="733"/>
      <c r="Q322" s="733"/>
      <c r="R322" s="733"/>
      <c r="S322" s="733"/>
      <c r="T322" s="733"/>
      <c r="U322" s="733"/>
      <c r="V322" s="693"/>
      <c r="W322" s="744"/>
    </row>
    <row r="323" spans="1:23" s="745" customFormat="1" x14ac:dyDescent="0.25">
      <c r="A323" s="693"/>
      <c r="B323" s="693"/>
      <c r="C323" s="693"/>
      <c r="D323" s="696"/>
      <c r="E323" s="696"/>
      <c r="F323" s="697"/>
      <c r="G323" s="697"/>
      <c r="H323" s="728"/>
      <c r="I323" s="728"/>
      <c r="J323" s="728"/>
      <c r="K323" s="728"/>
      <c r="L323" s="728"/>
      <c r="M323" s="728"/>
      <c r="N323" s="728"/>
      <c r="O323" s="733"/>
      <c r="P323" s="733"/>
      <c r="Q323" s="733"/>
      <c r="R323" s="733"/>
      <c r="S323" s="733"/>
      <c r="T323" s="733"/>
      <c r="U323" s="733"/>
      <c r="V323" s="693"/>
      <c r="W323" s="744"/>
    </row>
    <row r="324" spans="1:23" s="745" customFormat="1" x14ac:dyDescent="0.25">
      <c r="A324" s="693"/>
      <c r="B324" s="693"/>
      <c r="C324" s="693"/>
      <c r="D324" s="696"/>
      <c r="E324" s="696"/>
      <c r="F324" s="697"/>
      <c r="G324" s="697"/>
      <c r="H324" s="728"/>
      <c r="I324" s="728"/>
      <c r="J324" s="728"/>
      <c r="K324" s="728"/>
      <c r="L324" s="728"/>
      <c r="M324" s="728"/>
      <c r="N324" s="728"/>
      <c r="O324" s="733"/>
      <c r="P324" s="733"/>
      <c r="Q324" s="733"/>
      <c r="R324" s="733"/>
      <c r="S324" s="733"/>
      <c r="T324" s="733"/>
      <c r="U324" s="733"/>
      <c r="V324" s="693"/>
      <c r="W324" s="744"/>
    </row>
    <row r="325" spans="1:23" s="745" customFormat="1" x14ac:dyDescent="0.25">
      <c r="A325" s="693"/>
      <c r="B325" s="693"/>
      <c r="C325" s="693"/>
      <c r="D325" s="696"/>
      <c r="E325" s="696"/>
      <c r="F325" s="697"/>
      <c r="G325" s="697"/>
      <c r="H325" s="728"/>
      <c r="I325" s="728"/>
      <c r="J325" s="728"/>
      <c r="K325" s="728"/>
      <c r="L325" s="728"/>
      <c r="M325" s="728"/>
      <c r="N325" s="728"/>
      <c r="O325" s="733"/>
      <c r="P325" s="733"/>
      <c r="Q325" s="733"/>
      <c r="R325" s="733"/>
      <c r="S325" s="733"/>
      <c r="T325" s="733"/>
      <c r="U325" s="733"/>
      <c r="V325" s="693"/>
      <c r="W325" s="744"/>
    </row>
    <row r="326" spans="1:23" s="745" customFormat="1" x14ac:dyDescent="0.25">
      <c r="A326" s="693"/>
      <c r="B326" s="693"/>
      <c r="C326" s="693"/>
      <c r="D326" s="696"/>
      <c r="E326" s="696"/>
      <c r="F326" s="697"/>
      <c r="G326" s="697"/>
      <c r="H326" s="728"/>
      <c r="I326" s="728"/>
      <c r="J326" s="728"/>
      <c r="K326" s="728"/>
      <c r="L326" s="728"/>
      <c r="M326" s="728"/>
      <c r="N326" s="728"/>
      <c r="O326" s="733"/>
      <c r="P326" s="733"/>
      <c r="Q326" s="733"/>
      <c r="R326" s="733"/>
      <c r="S326" s="733"/>
      <c r="T326" s="733"/>
      <c r="U326" s="733"/>
      <c r="V326" s="693"/>
      <c r="W326" s="744"/>
    </row>
    <row r="327" spans="1:23" s="745" customFormat="1" x14ac:dyDescent="0.25">
      <c r="A327" s="693"/>
      <c r="B327" s="693"/>
      <c r="C327" s="693"/>
      <c r="D327" s="696"/>
      <c r="E327" s="696"/>
      <c r="F327" s="697"/>
      <c r="G327" s="697"/>
      <c r="H327" s="728"/>
      <c r="I327" s="728"/>
      <c r="J327" s="728"/>
      <c r="K327" s="728"/>
      <c r="L327" s="728"/>
      <c r="M327" s="728"/>
      <c r="N327" s="728"/>
      <c r="O327" s="733"/>
      <c r="P327" s="733"/>
      <c r="Q327" s="733"/>
      <c r="R327" s="733"/>
      <c r="S327" s="733"/>
      <c r="T327" s="733"/>
      <c r="U327" s="733"/>
      <c r="V327" s="693"/>
      <c r="W327" s="744"/>
    </row>
    <row r="328" spans="1:23" s="745" customFormat="1" x14ac:dyDescent="0.25">
      <c r="A328" s="693"/>
      <c r="B328" s="693"/>
      <c r="C328" s="693"/>
      <c r="D328" s="696"/>
      <c r="E328" s="696"/>
      <c r="F328" s="697"/>
      <c r="G328" s="697"/>
      <c r="H328" s="728"/>
      <c r="I328" s="728"/>
      <c r="J328" s="728"/>
      <c r="K328" s="728"/>
      <c r="L328" s="728"/>
      <c r="M328" s="728"/>
      <c r="N328" s="728"/>
      <c r="O328" s="733"/>
      <c r="P328" s="733"/>
      <c r="Q328" s="733"/>
      <c r="R328" s="733"/>
      <c r="S328" s="733"/>
      <c r="T328" s="733"/>
      <c r="U328" s="733"/>
      <c r="V328" s="693"/>
      <c r="W328" s="744"/>
    </row>
    <row r="329" spans="1:23" s="745" customFormat="1" ht="15.75" customHeight="1" x14ac:dyDescent="0.25">
      <c r="A329" s="693"/>
      <c r="B329" s="693"/>
      <c r="C329" s="693"/>
      <c r="D329" s="696"/>
      <c r="E329" s="696"/>
      <c r="F329" s="697"/>
      <c r="G329" s="697"/>
      <c r="H329" s="728"/>
      <c r="I329" s="728"/>
      <c r="J329" s="728"/>
      <c r="K329" s="728"/>
      <c r="L329" s="728"/>
      <c r="M329" s="728"/>
      <c r="N329" s="728"/>
      <c r="O329" s="733"/>
      <c r="P329" s="733"/>
      <c r="Q329" s="733"/>
      <c r="R329" s="733"/>
      <c r="S329" s="733"/>
      <c r="T329" s="733"/>
      <c r="U329" s="733"/>
      <c r="V329" s="693"/>
      <c r="W329" s="744"/>
    </row>
    <row r="330" spans="1:23" s="745" customFormat="1" x14ac:dyDescent="0.25">
      <c r="A330" s="693"/>
      <c r="B330" s="693"/>
      <c r="C330" s="693"/>
      <c r="D330" s="696"/>
      <c r="E330" s="696"/>
      <c r="F330" s="697"/>
      <c r="G330" s="697"/>
      <c r="H330" s="728"/>
      <c r="I330" s="728"/>
      <c r="J330" s="728"/>
      <c r="K330" s="728"/>
      <c r="L330" s="728"/>
      <c r="M330" s="728"/>
      <c r="N330" s="728"/>
      <c r="O330" s="733"/>
      <c r="P330" s="733"/>
      <c r="Q330" s="733"/>
      <c r="R330" s="733"/>
      <c r="S330" s="733"/>
      <c r="T330" s="733"/>
      <c r="U330" s="733"/>
      <c r="V330" s="693"/>
      <c r="W330" s="744"/>
    </row>
    <row r="331" spans="1:23" s="745" customFormat="1" x14ac:dyDescent="0.25">
      <c r="A331" s="693"/>
      <c r="B331" s="693"/>
      <c r="C331" s="693"/>
      <c r="D331" s="696"/>
      <c r="E331" s="696"/>
      <c r="F331" s="697"/>
      <c r="G331" s="697"/>
      <c r="H331" s="728"/>
      <c r="I331" s="728"/>
      <c r="J331" s="728"/>
      <c r="K331" s="728"/>
      <c r="L331" s="728"/>
      <c r="M331" s="728"/>
      <c r="N331" s="728"/>
      <c r="O331" s="733"/>
      <c r="P331" s="733"/>
      <c r="Q331" s="733"/>
      <c r="R331" s="733"/>
      <c r="S331" s="733"/>
      <c r="T331" s="733"/>
      <c r="U331" s="733"/>
      <c r="V331" s="693"/>
      <c r="W331" s="744"/>
    </row>
    <row r="332" spans="1:23" s="745" customFormat="1" x14ac:dyDescent="0.25">
      <c r="A332" s="693"/>
      <c r="B332" s="693"/>
      <c r="C332" s="693"/>
      <c r="D332" s="696"/>
      <c r="E332" s="696"/>
      <c r="F332" s="697"/>
      <c r="G332" s="697"/>
      <c r="H332" s="728"/>
      <c r="I332" s="728"/>
      <c r="J332" s="728"/>
      <c r="K332" s="728"/>
      <c r="L332" s="728"/>
      <c r="M332" s="728"/>
      <c r="N332" s="728"/>
      <c r="O332" s="733"/>
      <c r="P332" s="733"/>
      <c r="Q332" s="733"/>
      <c r="R332" s="733"/>
      <c r="S332" s="733"/>
      <c r="T332" s="733"/>
      <c r="U332" s="733"/>
      <c r="V332" s="693"/>
      <c r="W332" s="744"/>
    </row>
    <row r="333" spans="1:23" s="745" customFormat="1" x14ac:dyDescent="0.25">
      <c r="A333" s="693"/>
      <c r="B333" s="693"/>
      <c r="C333" s="693"/>
      <c r="D333" s="696"/>
      <c r="E333" s="696"/>
      <c r="F333" s="697"/>
      <c r="G333" s="697"/>
      <c r="H333" s="728"/>
      <c r="I333" s="728"/>
      <c r="J333" s="728"/>
      <c r="K333" s="728"/>
      <c r="L333" s="728"/>
      <c r="M333" s="728"/>
      <c r="N333" s="728"/>
      <c r="O333" s="733"/>
      <c r="P333" s="733"/>
      <c r="Q333" s="733"/>
      <c r="R333" s="733"/>
      <c r="S333" s="733"/>
      <c r="T333" s="733"/>
      <c r="U333" s="733"/>
      <c r="V333" s="693"/>
      <c r="W333" s="744"/>
    </row>
    <row r="334" spans="1:23" s="745" customFormat="1" x14ac:dyDescent="0.25">
      <c r="A334" s="693"/>
      <c r="B334" s="693"/>
      <c r="C334" s="693"/>
      <c r="D334" s="696"/>
      <c r="E334" s="696"/>
      <c r="F334" s="697"/>
      <c r="G334" s="697"/>
      <c r="H334" s="728"/>
      <c r="I334" s="728"/>
      <c r="J334" s="728"/>
      <c r="K334" s="728"/>
      <c r="L334" s="728"/>
      <c r="M334" s="728"/>
      <c r="N334" s="728"/>
      <c r="O334" s="733"/>
      <c r="P334" s="733"/>
      <c r="Q334" s="733"/>
      <c r="R334" s="733"/>
      <c r="S334" s="733"/>
      <c r="T334" s="733"/>
      <c r="U334" s="733"/>
      <c r="V334" s="693"/>
      <c r="W334" s="744"/>
    </row>
    <row r="335" spans="1:23" s="745" customFormat="1" x14ac:dyDescent="0.25">
      <c r="A335" s="693"/>
      <c r="B335" s="693"/>
      <c r="C335" s="693"/>
      <c r="D335" s="696"/>
      <c r="E335" s="696"/>
      <c r="F335" s="697"/>
      <c r="G335" s="697"/>
      <c r="H335" s="728"/>
      <c r="I335" s="728"/>
      <c r="J335" s="728"/>
      <c r="K335" s="728"/>
      <c r="L335" s="728"/>
      <c r="M335" s="728"/>
      <c r="N335" s="728"/>
      <c r="O335" s="733"/>
      <c r="P335" s="733"/>
      <c r="Q335" s="733"/>
      <c r="R335" s="733"/>
      <c r="S335" s="733"/>
      <c r="T335" s="733"/>
      <c r="U335" s="733"/>
      <c r="V335" s="693"/>
      <c r="W335" s="744"/>
    </row>
    <row r="336" spans="1:23" s="745" customFormat="1" x14ac:dyDescent="0.25">
      <c r="A336" s="693"/>
      <c r="B336" s="693"/>
      <c r="C336" s="693"/>
      <c r="D336" s="696"/>
      <c r="E336" s="696"/>
      <c r="F336" s="697"/>
      <c r="G336" s="697"/>
      <c r="H336" s="728"/>
      <c r="I336" s="728"/>
      <c r="J336" s="728"/>
      <c r="K336" s="728"/>
      <c r="L336" s="728"/>
      <c r="M336" s="728"/>
      <c r="N336" s="728"/>
      <c r="O336" s="733"/>
      <c r="P336" s="733"/>
      <c r="Q336" s="733"/>
      <c r="R336" s="733"/>
      <c r="S336" s="733"/>
      <c r="T336" s="733"/>
      <c r="U336" s="733"/>
      <c r="V336" s="693"/>
      <c r="W336" s="744"/>
    </row>
    <row r="337" spans="1:23" s="745" customFormat="1" x14ac:dyDescent="0.25">
      <c r="A337" s="693"/>
      <c r="B337" s="693"/>
      <c r="C337" s="693"/>
      <c r="D337" s="696"/>
      <c r="E337" s="696"/>
      <c r="F337" s="697"/>
      <c r="G337" s="697"/>
      <c r="H337" s="728"/>
      <c r="I337" s="728"/>
      <c r="J337" s="728"/>
      <c r="K337" s="728"/>
      <c r="L337" s="728"/>
      <c r="M337" s="728"/>
      <c r="N337" s="728"/>
      <c r="O337" s="733"/>
      <c r="P337" s="733"/>
      <c r="Q337" s="733"/>
      <c r="R337" s="733"/>
      <c r="S337" s="733"/>
      <c r="T337" s="733"/>
      <c r="U337" s="733"/>
      <c r="V337" s="693"/>
      <c r="W337" s="744"/>
    </row>
    <row r="338" spans="1:23" s="745" customFormat="1" x14ac:dyDescent="0.25">
      <c r="A338" s="693"/>
      <c r="B338" s="693"/>
      <c r="C338" s="693"/>
      <c r="D338" s="696"/>
      <c r="E338" s="696"/>
      <c r="F338" s="697"/>
      <c r="G338" s="697"/>
      <c r="H338" s="728"/>
      <c r="I338" s="728"/>
      <c r="J338" s="728"/>
      <c r="K338" s="728"/>
      <c r="L338" s="728"/>
      <c r="M338" s="728"/>
      <c r="N338" s="728"/>
      <c r="O338" s="733"/>
      <c r="P338" s="733"/>
      <c r="Q338" s="733"/>
      <c r="R338" s="733"/>
      <c r="S338" s="733"/>
      <c r="T338" s="733"/>
      <c r="U338" s="733"/>
      <c r="V338" s="693"/>
      <c r="W338" s="744"/>
    </row>
    <row r="339" spans="1:23" s="745" customFormat="1" x14ac:dyDescent="0.25">
      <c r="A339" s="693"/>
      <c r="B339" s="693"/>
      <c r="C339" s="693"/>
      <c r="D339" s="696"/>
      <c r="E339" s="696"/>
      <c r="F339" s="697"/>
      <c r="G339" s="697"/>
      <c r="H339" s="728"/>
      <c r="I339" s="728"/>
      <c r="J339" s="728"/>
      <c r="K339" s="728"/>
      <c r="L339" s="728"/>
      <c r="M339" s="728"/>
      <c r="N339" s="728"/>
      <c r="O339" s="733"/>
      <c r="P339" s="733"/>
      <c r="Q339" s="733"/>
      <c r="R339" s="733"/>
      <c r="S339" s="733"/>
      <c r="T339" s="733"/>
      <c r="U339" s="733"/>
      <c r="V339" s="693"/>
      <c r="W339" s="744"/>
    </row>
    <row r="340" spans="1:23" s="745" customFormat="1" x14ac:dyDescent="0.25">
      <c r="A340" s="693"/>
      <c r="B340" s="693"/>
      <c r="C340" s="693"/>
      <c r="D340" s="696"/>
      <c r="E340" s="696"/>
      <c r="F340" s="697"/>
      <c r="G340" s="697"/>
      <c r="H340" s="728"/>
      <c r="I340" s="728"/>
      <c r="J340" s="728"/>
      <c r="K340" s="728"/>
      <c r="L340" s="728"/>
      <c r="M340" s="728"/>
      <c r="N340" s="728"/>
      <c r="O340" s="733"/>
      <c r="P340" s="733"/>
      <c r="Q340" s="733"/>
      <c r="R340" s="733"/>
      <c r="S340" s="733"/>
      <c r="T340" s="733"/>
      <c r="U340" s="733"/>
      <c r="V340" s="693"/>
      <c r="W340" s="744"/>
    </row>
    <row r="341" spans="1:23" s="745" customFormat="1" x14ac:dyDescent="0.25">
      <c r="A341" s="693"/>
      <c r="B341" s="693"/>
      <c r="C341" s="693"/>
      <c r="D341" s="696"/>
      <c r="E341" s="696"/>
      <c r="F341" s="697"/>
      <c r="G341" s="697"/>
      <c r="H341" s="728"/>
      <c r="I341" s="728"/>
      <c r="J341" s="728"/>
      <c r="K341" s="728"/>
      <c r="L341" s="728"/>
      <c r="M341" s="728"/>
      <c r="N341" s="728"/>
      <c r="O341" s="733"/>
      <c r="P341" s="733"/>
      <c r="Q341" s="733"/>
      <c r="R341" s="733"/>
      <c r="S341" s="733"/>
      <c r="T341" s="733"/>
      <c r="U341" s="733"/>
      <c r="V341" s="693"/>
      <c r="W341" s="744"/>
    </row>
    <row r="342" spans="1:23" s="745" customFormat="1" x14ac:dyDescent="0.25">
      <c r="A342" s="693"/>
      <c r="B342" s="693"/>
      <c r="C342" s="693"/>
      <c r="D342" s="696"/>
      <c r="E342" s="696"/>
      <c r="F342" s="697"/>
      <c r="G342" s="697"/>
      <c r="H342" s="728"/>
      <c r="I342" s="728"/>
      <c r="J342" s="728"/>
      <c r="K342" s="728"/>
      <c r="L342" s="728"/>
      <c r="M342" s="728"/>
      <c r="N342" s="728"/>
      <c r="O342" s="733"/>
      <c r="P342" s="733"/>
      <c r="Q342" s="733"/>
      <c r="R342" s="733"/>
      <c r="S342" s="733"/>
      <c r="T342" s="733"/>
      <c r="U342" s="733"/>
      <c r="V342" s="693"/>
      <c r="W342" s="744"/>
    </row>
    <row r="343" spans="1:23" s="745" customFormat="1" x14ac:dyDescent="0.25">
      <c r="A343" s="693"/>
      <c r="B343" s="693"/>
      <c r="C343" s="693"/>
      <c r="D343" s="696"/>
      <c r="E343" s="696"/>
      <c r="F343" s="697"/>
      <c r="G343" s="697"/>
      <c r="H343" s="728"/>
      <c r="I343" s="728"/>
      <c r="J343" s="728"/>
      <c r="K343" s="728"/>
      <c r="L343" s="728"/>
      <c r="M343" s="728"/>
      <c r="N343" s="728"/>
      <c r="O343" s="733"/>
      <c r="P343" s="733"/>
      <c r="Q343" s="733"/>
      <c r="R343" s="733"/>
      <c r="S343" s="733"/>
      <c r="T343" s="733"/>
      <c r="U343" s="733"/>
      <c r="V343" s="693"/>
      <c r="W343" s="744"/>
    </row>
    <row r="344" spans="1:23" s="745" customFormat="1" x14ac:dyDescent="0.25">
      <c r="A344" s="693"/>
      <c r="B344" s="693"/>
      <c r="C344" s="693"/>
      <c r="D344" s="696"/>
      <c r="E344" s="696"/>
      <c r="F344" s="697"/>
      <c r="G344" s="697"/>
      <c r="H344" s="728"/>
      <c r="I344" s="728"/>
      <c r="J344" s="728"/>
      <c r="K344" s="728"/>
      <c r="L344" s="728"/>
      <c r="M344" s="728"/>
      <c r="N344" s="728"/>
      <c r="O344" s="733"/>
      <c r="P344" s="733"/>
      <c r="Q344" s="733"/>
      <c r="R344" s="733"/>
      <c r="S344" s="733"/>
      <c r="T344" s="733"/>
      <c r="U344" s="733"/>
      <c r="V344" s="693"/>
      <c r="W344" s="744"/>
    </row>
    <row r="345" spans="1:23" s="745" customFormat="1" x14ac:dyDescent="0.25">
      <c r="A345" s="693"/>
      <c r="B345" s="693"/>
      <c r="C345" s="693"/>
      <c r="D345" s="696"/>
      <c r="E345" s="696"/>
      <c r="F345" s="697"/>
      <c r="G345" s="697"/>
      <c r="H345" s="728"/>
      <c r="I345" s="728"/>
      <c r="J345" s="728"/>
      <c r="K345" s="728"/>
      <c r="L345" s="728"/>
      <c r="M345" s="728"/>
      <c r="N345" s="728"/>
      <c r="O345" s="733"/>
      <c r="P345" s="733"/>
      <c r="Q345" s="733"/>
      <c r="R345" s="733"/>
      <c r="S345" s="733"/>
      <c r="T345" s="733"/>
      <c r="U345" s="733"/>
      <c r="V345" s="693"/>
      <c r="W345" s="744"/>
    </row>
    <row r="346" spans="1:23" s="745" customFormat="1" x14ac:dyDescent="0.25">
      <c r="A346" s="693"/>
      <c r="B346" s="693"/>
      <c r="C346" s="693"/>
      <c r="D346" s="696"/>
      <c r="E346" s="696"/>
      <c r="F346" s="697"/>
      <c r="G346" s="697"/>
      <c r="H346" s="728"/>
      <c r="I346" s="728"/>
      <c r="J346" s="728"/>
      <c r="K346" s="728"/>
      <c r="L346" s="728"/>
      <c r="M346" s="728"/>
      <c r="N346" s="728"/>
      <c r="O346" s="733"/>
      <c r="P346" s="733"/>
      <c r="Q346" s="733"/>
      <c r="R346" s="733"/>
      <c r="S346" s="733"/>
      <c r="T346" s="733"/>
      <c r="U346" s="733"/>
      <c r="V346" s="693"/>
      <c r="W346" s="744"/>
    </row>
    <row r="347" spans="1:23" s="745" customFormat="1" x14ac:dyDescent="0.25">
      <c r="A347" s="693"/>
      <c r="B347" s="693"/>
      <c r="C347" s="693"/>
      <c r="D347" s="696"/>
      <c r="E347" s="696"/>
      <c r="F347" s="697"/>
      <c r="G347" s="697"/>
      <c r="H347" s="728"/>
      <c r="I347" s="728"/>
      <c r="J347" s="728"/>
      <c r="K347" s="728"/>
      <c r="L347" s="728"/>
      <c r="M347" s="728"/>
      <c r="N347" s="728"/>
      <c r="O347" s="733"/>
      <c r="P347" s="733"/>
      <c r="Q347" s="733"/>
      <c r="R347" s="733"/>
      <c r="S347" s="733"/>
      <c r="T347" s="733"/>
      <c r="U347" s="733"/>
      <c r="V347" s="693"/>
      <c r="W347" s="744"/>
    </row>
    <row r="348" spans="1:23" s="745" customFormat="1" x14ac:dyDescent="0.25">
      <c r="A348" s="693"/>
      <c r="B348" s="693"/>
      <c r="C348" s="693"/>
      <c r="D348" s="696"/>
      <c r="E348" s="696"/>
      <c r="F348" s="697"/>
      <c r="G348" s="697"/>
      <c r="H348" s="728"/>
      <c r="I348" s="728"/>
      <c r="J348" s="728"/>
      <c r="K348" s="728"/>
      <c r="L348" s="728"/>
      <c r="M348" s="728"/>
      <c r="N348" s="728"/>
      <c r="O348" s="733"/>
      <c r="P348" s="733"/>
      <c r="Q348" s="733"/>
      <c r="R348" s="733"/>
      <c r="S348" s="733"/>
      <c r="T348" s="733"/>
      <c r="U348" s="733"/>
      <c r="V348" s="693"/>
      <c r="W348" s="744"/>
    </row>
    <row r="349" spans="1:23" s="745" customFormat="1" x14ac:dyDescent="0.25">
      <c r="A349" s="693"/>
      <c r="B349" s="693"/>
      <c r="C349" s="693"/>
      <c r="D349" s="696"/>
      <c r="E349" s="696"/>
      <c r="F349" s="697"/>
      <c r="G349" s="697"/>
      <c r="H349" s="728"/>
      <c r="I349" s="728"/>
      <c r="J349" s="728"/>
      <c r="K349" s="728"/>
      <c r="L349" s="728"/>
      <c r="M349" s="728"/>
      <c r="N349" s="728"/>
      <c r="O349" s="733"/>
      <c r="P349" s="733"/>
      <c r="Q349" s="733"/>
      <c r="R349" s="733"/>
      <c r="S349" s="733"/>
      <c r="T349" s="733"/>
      <c r="U349" s="733"/>
      <c r="V349" s="693"/>
      <c r="W349" s="744"/>
    </row>
    <row r="350" spans="1:23" s="745" customFormat="1" x14ac:dyDescent="0.25">
      <c r="A350" s="693"/>
      <c r="B350" s="693"/>
      <c r="C350" s="693"/>
      <c r="D350" s="696"/>
      <c r="E350" s="696"/>
      <c r="F350" s="697"/>
      <c r="G350" s="697"/>
      <c r="H350" s="728"/>
      <c r="I350" s="728"/>
      <c r="J350" s="728"/>
      <c r="K350" s="728"/>
      <c r="L350" s="728"/>
      <c r="M350" s="728"/>
      <c r="N350" s="728"/>
      <c r="O350" s="733"/>
      <c r="P350" s="733"/>
      <c r="Q350" s="733"/>
      <c r="R350" s="733"/>
      <c r="S350" s="733"/>
      <c r="T350" s="733"/>
      <c r="U350" s="733"/>
      <c r="V350" s="693"/>
      <c r="W350" s="744"/>
    </row>
    <row r="351" spans="1:23" s="745" customFormat="1" x14ac:dyDescent="0.25">
      <c r="A351" s="693"/>
      <c r="B351" s="693"/>
      <c r="C351" s="693"/>
      <c r="D351" s="696"/>
      <c r="E351" s="696"/>
      <c r="F351" s="697"/>
      <c r="G351" s="697"/>
      <c r="H351" s="728"/>
      <c r="I351" s="728"/>
      <c r="J351" s="728"/>
      <c r="K351" s="728"/>
      <c r="L351" s="728"/>
      <c r="M351" s="728"/>
      <c r="N351" s="728"/>
      <c r="O351" s="733"/>
      <c r="P351" s="733"/>
      <c r="Q351" s="733"/>
      <c r="R351" s="733"/>
      <c r="S351" s="733"/>
      <c r="T351" s="733"/>
      <c r="U351" s="733"/>
      <c r="V351" s="693"/>
      <c r="W351" s="744"/>
    </row>
    <row r="352" spans="1:23" s="745" customFormat="1" x14ac:dyDescent="0.25">
      <c r="A352" s="693"/>
      <c r="B352" s="693"/>
      <c r="C352" s="693"/>
      <c r="D352" s="696"/>
      <c r="E352" s="696"/>
      <c r="F352" s="697"/>
      <c r="G352" s="697"/>
      <c r="H352" s="728"/>
      <c r="I352" s="728"/>
      <c r="J352" s="728"/>
      <c r="K352" s="728"/>
      <c r="L352" s="728"/>
      <c r="M352" s="728"/>
      <c r="N352" s="728"/>
      <c r="O352" s="733"/>
      <c r="P352" s="733"/>
      <c r="Q352" s="733"/>
      <c r="R352" s="733"/>
      <c r="S352" s="733"/>
      <c r="T352" s="733"/>
      <c r="U352" s="733"/>
      <c r="V352" s="693"/>
      <c r="W352" s="744"/>
    </row>
    <row r="353" spans="1:23" s="745" customFormat="1" x14ac:dyDescent="0.25">
      <c r="A353" s="693"/>
      <c r="B353" s="693"/>
      <c r="C353" s="693"/>
      <c r="D353" s="696"/>
      <c r="E353" s="696"/>
      <c r="F353" s="697"/>
      <c r="G353" s="697"/>
      <c r="H353" s="728"/>
      <c r="I353" s="728"/>
      <c r="J353" s="728"/>
      <c r="K353" s="728"/>
      <c r="L353" s="728"/>
      <c r="M353" s="728"/>
      <c r="N353" s="728"/>
      <c r="O353" s="733"/>
      <c r="P353" s="733"/>
      <c r="Q353" s="733"/>
      <c r="R353" s="733"/>
      <c r="S353" s="733"/>
      <c r="T353" s="733"/>
      <c r="U353" s="733"/>
      <c r="V353" s="693"/>
      <c r="W353" s="744"/>
    </row>
    <row r="354" spans="1:23" s="745" customFormat="1" x14ac:dyDescent="0.25">
      <c r="A354" s="693"/>
      <c r="B354" s="693"/>
      <c r="C354" s="693"/>
      <c r="D354" s="696"/>
      <c r="E354" s="696"/>
      <c r="F354" s="697"/>
      <c r="G354" s="697"/>
      <c r="H354" s="728"/>
      <c r="I354" s="728"/>
      <c r="J354" s="728"/>
      <c r="K354" s="728"/>
      <c r="L354" s="728"/>
      <c r="M354" s="728"/>
      <c r="N354" s="728"/>
      <c r="O354" s="733"/>
      <c r="P354" s="733"/>
      <c r="Q354" s="733"/>
      <c r="R354" s="733"/>
      <c r="S354" s="733"/>
      <c r="T354" s="733"/>
      <c r="U354" s="733"/>
      <c r="V354" s="693"/>
      <c r="W354" s="744"/>
    </row>
    <row r="355" spans="1:23" s="745" customFormat="1" x14ac:dyDescent="0.25">
      <c r="A355" s="693"/>
      <c r="B355" s="693"/>
      <c r="C355" s="693"/>
      <c r="D355" s="696"/>
      <c r="E355" s="696"/>
      <c r="F355" s="697"/>
      <c r="G355" s="697"/>
      <c r="H355" s="728"/>
      <c r="I355" s="728"/>
      <c r="J355" s="728"/>
      <c r="K355" s="728"/>
      <c r="L355" s="728"/>
      <c r="M355" s="728"/>
      <c r="N355" s="728"/>
      <c r="O355" s="733"/>
      <c r="P355" s="733"/>
      <c r="Q355" s="733"/>
      <c r="R355" s="733"/>
      <c r="S355" s="733"/>
      <c r="T355" s="733"/>
      <c r="U355" s="733"/>
      <c r="V355" s="693"/>
      <c r="W355" s="744"/>
    </row>
    <row r="356" spans="1:23" s="745" customFormat="1" x14ac:dyDescent="0.25">
      <c r="A356" s="693"/>
      <c r="B356" s="693"/>
      <c r="C356" s="693"/>
      <c r="D356" s="696"/>
      <c r="E356" s="696"/>
      <c r="F356" s="697"/>
      <c r="G356" s="697"/>
      <c r="H356" s="728"/>
      <c r="I356" s="728"/>
      <c r="J356" s="728"/>
      <c r="K356" s="728"/>
      <c r="L356" s="728"/>
      <c r="M356" s="728"/>
      <c r="N356" s="728"/>
      <c r="O356" s="733"/>
      <c r="P356" s="733"/>
      <c r="Q356" s="733"/>
      <c r="R356" s="733"/>
      <c r="S356" s="733"/>
      <c r="T356" s="733"/>
      <c r="U356" s="733"/>
      <c r="V356" s="693"/>
      <c r="W356" s="744"/>
    </row>
    <row r="357" spans="1:23" s="745" customFormat="1" x14ac:dyDescent="0.25">
      <c r="A357" s="693"/>
      <c r="B357" s="693"/>
      <c r="C357" s="693"/>
      <c r="D357" s="696"/>
      <c r="E357" s="696"/>
      <c r="F357" s="697"/>
      <c r="G357" s="697"/>
      <c r="H357" s="728"/>
      <c r="I357" s="728"/>
      <c r="J357" s="728"/>
      <c r="K357" s="728"/>
      <c r="L357" s="728"/>
      <c r="M357" s="728"/>
      <c r="N357" s="728"/>
      <c r="O357" s="733"/>
      <c r="P357" s="733"/>
      <c r="Q357" s="733"/>
      <c r="R357" s="733"/>
      <c r="S357" s="733"/>
      <c r="T357" s="733"/>
      <c r="U357" s="733"/>
      <c r="V357" s="693"/>
      <c r="W357" s="744"/>
    </row>
    <row r="358" spans="1:23" s="745" customFormat="1" x14ac:dyDescent="0.25">
      <c r="A358" s="693"/>
      <c r="B358" s="693"/>
      <c r="C358" s="693"/>
      <c r="D358" s="696"/>
      <c r="E358" s="696"/>
      <c r="F358" s="697"/>
      <c r="G358" s="697"/>
      <c r="H358" s="728"/>
      <c r="I358" s="728"/>
      <c r="J358" s="728"/>
      <c r="K358" s="728"/>
      <c r="L358" s="728"/>
      <c r="M358" s="728"/>
      <c r="N358" s="728"/>
      <c r="O358" s="733"/>
      <c r="P358" s="733"/>
      <c r="Q358" s="733"/>
      <c r="R358" s="733"/>
      <c r="S358" s="733"/>
      <c r="T358" s="733"/>
      <c r="U358" s="733"/>
      <c r="V358" s="693"/>
      <c r="W358" s="744"/>
    </row>
    <row r="359" spans="1:23" s="745" customFormat="1" x14ac:dyDescent="0.25">
      <c r="A359" s="693"/>
      <c r="B359" s="693"/>
      <c r="C359" s="693"/>
      <c r="D359" s="696"/>
      <c r="E359" s="696"/>
      <c r="F359" s="697"/>
      <c r="G359" s="697"/>
      <c r="H359" s="728"/>
      <c r="I359" s="728"/>
      <c r="J359" s="728"/>
      <c r="K359" s="728"/>
      <c r="L359" s="728"/>
      <c r="M359" s="728"/>
      <c r="N359" s="728"/>
      <c r="O359" s="733"/>
      <c r="P359" s="733"/>
      <c r="Q359" s="733"/>
      <c r="R359" s="733"/>
      <c r="S359" s="733"/>
      <c r="T359" s="733"/>
      <c r="U359" s="733"/>
      <c r="V359" s="693"/>
      <c r="W359" s="744"/>
    </row>
    <row r="360" spans="1:23" s="745" customFormat="1" x14ac:dyDescent="0.25">
      <c r="A360" s="693"/>
      <c r="B360" s="693"/>
      <c r="C360" s="693"/>
      <c r="D360" s="696"/>
      <c r="E360" s="696"/>
      <c r="F360" s="697"/>
      <c r="G360" s="697"/>
      <c r="H360" s="728"/>
      <c r="I360" s="728"/>
      <c r="J360" s="728"/>
      <c r="K360" s="728"/>
      <c r="L360" s="728"/>
      <c r="M360" s="728"/>
      <c r="N360" s="728"/>
      <c r="O360" s="733"/>
      <c r="P360" s="733"/>
      <c r="Q360" s="733"/>
      <c r="R360" s="733"/>
      <c r="S360" s="733"/>
      <c r="T360" s="733"/>
      <c r="U360" s="733"/>
      <c r="V360" s="693"/>
      <c r="W360" s="744"/>
    </row>
    <row r="361" spans="1:23" s="745" customFormat="1" x14ac:dyDescent="0.25">
      <c r="A361" s="693"/>
      <c r="B361" s="693"/>
      <c r="C361" s="693"/>
      <c r="D361" s="696"/>
      <c r="E361" s="696"/>
      <c r="F361" s="697"/>
      <c r="G361" s="697"/>
      <c r="H361" s="728"/>
      <c r="I361" s="728"/>
      <c r="J361" s="728"/>
      <c r="K361" s="728"/>
      <c r="L361" s="728"/>
      <c r="M361" s="728"/>
      <c r="N361" s="728"/>
      <c r="O361" s="733"/>
      <c r="P361" s="733"/>
      <c r="Q361" s="733"/>
      <c r="R361" s="733"/>
      <c r="S361" s="733"/>
      <c r="T361" s="733"/>
      <c r="U361" s="733"/>
      <c r="V361" s="693"/>
      <c r="W361" s="744"/>
    </row>
    <row r="362" spans="1:23" s="745" customFormat="1" x14ac:dyDescent="0.25">
      <c r="A362" s="693"/>
      <c r="B362" s="693"/>
      <c r="C362" s="693"/>
      <c r="D362" s="696"/>
      <c r="E362" s="696"/>
      <c r="F362" s="697"/>
      <c r="G362" s="697"/>
      <c r="H362" s="728"/>
      <c r="I362" s="728"/>
      <c r="J362" s="728"/>
      <c r="K362" s="728"/>
      <c r="L362" s="728"/>
      <c r="M362" s="728"/>
      <c r="N362" s="728"/>
      <c r="O362" s="733"/>
      <c r="P362" s="733"/>
      <c r="Q362" s="733"/>
      <c r="R362" s="733"/>
      <c r="S362" s="733"/>
      <c r="T362" s="733"/>
      <c r="U362" s="733"/>
      <c r="V362" s="693"/>
      <c r="W362" s="744"/>
    </row>
    <row r="363" spans="1:23" s="745" customFormat="1" x14ac:dyDescent="0.25">
      <c r="A363" s="693"/>
      <c r="B363" s="693"/>
      <c r="C363" s="693"/>
      <c r="D363" s="696"/>
      <c r="E363" s="696"/>
      <c r="F363" s="697"/>
      <c r="G363" s="697"/>
      <c r="H363" s="728"/>
      <c r="I363" s="728"/>
      <c r="J363" s="728"/>
      <c r="K363" s="728"/>
      <c r="L363" s="728"/>
      <c r="M363" s="728"/>
      <c r="N363" s="728"/>
      <c r="O363" s="733"/>
      <c r="P363" s="733"/>
      <c r="Q363" s="733"/>
      <c r="R363" s="733"/>
      <c r="S363" s="733"/>
      <c r="T363" s="733"/>
      <c r="U363" s="733"/>
      <c r="V363" s="693"/>
      <c r="W363" s="744"/>
    </row>
    <row r="364" spans="1:23" s="745" customFormat="1" x14ac:dyDescent="0.25">
      <c r="A364" s="693"/>
      <c r="B364" s="693"/>
      <c r="C364" s="693"/>
      <c r="D364" s="696"/>
      <c r="E364" s="696"/>
      <c r="F364" s="697"/>
      <c r="G364" s="697"/>
      <c r="H364" s="728"/>
      <c r="I364" s="728"/>
      <c r="J364" s="728"/>
      <c r="K364" s="728"/>
      <c r="L364" s="728"/>
      <c r="M364" s="728"/>
      <c r="N364" s="728"/>
      <c r="O364" s="733"/>
      <c r="P364" s="733"/>
      <c r="Q364" s="733"/>
      <c r="R364" s="733"/>
      <c r="S364" s="733"/>
      <c r="T364" s="733"/>
      <c r="U364" s="733"/>
      <c r="V364" s="693"/>
      <c r="W364" s="744"/>
    </row>
    <row r="365" spans="1:23" s="745" customFormat="1" x14ac:dyDescent="0.25">
      <c r="A365" s="693"/>
      <c r="B365" s="693"/>
      <c r="C365" s="693"/>
      <c r="D365" s="696"/>
      <c r="E365" s="696"/>
      <c r="F365" s="697"/>
      <c r="G365" s="697"/>
      <c r="H365" s="728"/>
      <c r="I365" s="728"/>
      <c r="J365" s="728"/>
      <c r="K365" s="728"/>
      <c r="L365" s="728"/>
      <c r="M365" s="728"/>
      <c r="N365" s="728"/>
      <c r="O365" s="733"/>
      <c r="P365" s="733"/>
      <c r="Q365" s="733"/>
      <c r="R365" s="733"/>
      <c r="S365" s="733"/>
      <c r="T365" s="733"/>
      <c r="U365" s="733"/>
      <c r="V365" s="693"/>
      <c r="W365" s="744"/>
    </row>
    <row r="366" spans="1:23" s="745" customFormat="1" x14ac:dyDescent="0.25">
      <c r="A366" s="693"/>
      <c r="B366" s="693"/>
      <c r="C366" s="693"/>
      <c r="D366" s="696"/>
      <c r="E366" s="696"/>
      <c r="F366" s="697"/>
      <c r="G366" s="697"/>
      <c r="H366" s="728"/>
      <c r="I366" s="728"/>
      <c r="J366" s="728"/>
      <c r="K366" s="728"/>
      <c r="L366" s="728"/>
      <c r="M366" s="728"/>
      <c r="N366" s="728"/>
      <c r="O366" s="733"/>
      <c r="P366" s="733"/>
      <c r="Q366" s="733"/>
      <c r="R366" s="733"/>
      <c r="S366" s="733"/>
      <c r="T366" s="733"/>
      <c r="U366" s="733"/>
      <c r="V366" s="693"/>
      <c r="W366" s="744"/>
    </row>
    <row r="367" spans="1:23" s="745" customFormat="1" x14ac:dyDescent="0.25">
      <c r="A367" s="693"/>
      <c r="B367" s="693"/>
      <c r="C367" s="693"/>
      <c r="D367" s="696"/>
      <c r="E367" s="696"/>
      <c r="F367" s="697"/>
      <c r="G367" s="697"/>
      <c r="H367" s="728"/>
      <c r="I367" s="728"/>
      <c r="J367" s="728"/>
      <c r="K367" s="728"/>
      <c r="L367" s="728"/>
      <c r="M367" s="728"/>
      <c r="N367" s="728"/>
      <c r="O367" s="733"/>
      <c r="P367" s="733"/>
      <c r="Q367" s="733"/>
      <c r="R367" s="733"/>
      <c r="S367" s="733"/>
      <c r="T367" s="733"/>
      <c r="U367" s="733"/>
      <c r="V367" s="693"/>
      <c r="W367" s="744"/>
    </row>
    <row r="368" spans="1:23" s="745" customFormat="1" x14ac:dyDescent="0.25">
      <c r="A368" s="693"/>
      <c r="B368" s="693"/>
      <c r="C368" s="693"/>
      <c r="D368" s="696"/>
      <c r="E368" s="696"/>
      <c r="F368" s="697"/>
      <c r="G368" s="697"/>
      <c r="H368" s="728"/>
      <c r="I368" s="728"/>
      <c r="J368" s="728"/>
      <c r="K368" s="728"/>
      <c r="L368" s="728"/>
      <c r="M368" s="728"/>
      <c r="N368" s="728"/>
      <c r="O368" s="733"/>
      <c r="P368" s="733"/>
      <c r="Q368" s="733"/>
      <c r="R368" s="733"/>
      <c r="S368" s="733"/>
      <c r="T368" s="733"/>
      <c r="U368" s="733"/>
      <c r="V368" s="693"/>
      <c r="W368" s="744"/>
    </row>
    <row r="369" spans="1:23" s="745" customFormat="1" x14ac:dyDescent="0.25">
      <c r="A369" s="693"/>
      <c r="B369" s="693"/>
      <c r="C369" s="693"/>
      <c r="D369" s="696"/>
      <c r="E369" s="696"/>
      <c r="F369" s="697"/>
      <c r="G369" s="697"/>
      <c r="H369" s="728"/>
      <c r="I369" s="728"/>
      <c r="J369" s="728"/>
      <c r="K369" s="728"/>
      <c r="L369" s="728"/>
      <c r="M369" s="728"/>
      <c r="N369" s="728"/>
      <c r="O369" s="733"/>
      <c r="P369" s="733"/>
      <c r="Q369" s="733"/>
      <c r="R369" s="733"/>
      <c r="S369" s="733"/>
      <c r="T369" s="733"/>
      <c r="U369" s="733"/>
      <c r="V369" s="693"/>
      <c r="W369" s="744"/>
    </row>
    <row r="370" spans="1:23" s="745" customFormat="1" x14ac:dyDescent="0.25">
      <c r="A370" s="693"/>
      <c r="B370" s="693"/>
      <c r="C370" s="693"/>
      <c r="D370" s="696"/>
      <c r="E370" s="696"/>
      <c r="F370" s="697"/>
      <c r="G370" s="697"/>
      <c r="H370" s="728"/>
      <c r="I370" s="728"/>
      <c r="J370" s="728"/>
      <c r="K370" s="728"/>
      <c r="L370" s="728"/>
      <c r="M370" s="728"/>
      <c r="N370" s="728"/>
      <c r="O370" s="733"/>
      <c r="P370" s="733"/>
      <c r="Q370" s="733"/>
      <c r="R370" s="733"/>
      <c r="S370" s="733"/>
      <c r="T370" s="733"/>
      <c r="U370" s="733"/>
      <c r="V370" s="693"/>
      <c r="W370" s="744"/>
    </row>
    <row r="371" spans="1:23" s="745" customFormat="1" x14ac:dyDescent="0.25">
      <c r="A371" s="693"/>
      <c r="B371" s="693"/>
      <c r="C371" s="693"/>
      <c r="D371" s="696"/>
      <c r="E371" s="696"/>
      <c r="F371" s="697"/>
      <c r="G371" s="697"/>
      <c r="H371" s="728"/>
      <c r="I371" s="728"/>
      <c r="J371" s="728"/>
      <c r="K371" s="728"/>
      <c r="L371" s="728"/>
      <c r="M371" s="728"/>
      <c r="N371" s="728"/>
      <c r="O371" s="733"/>
      <c r="P371" s="733"/>
      <c r="Q371" s="733"/>
      <c r="R371" s="733"/>
      <c r="S371" s="733"/>
      <c r="T371" s="733"/>
      <c r="U371" s="733"/>
      <c r="V371" s="693"/>
      <c r="W371" s="744"/>
    </row>
    <row r="372" spans="1:23" s="745" customFormat="1" x14ac:dyDescent="0.25">
      <c r="A372" s="693"/>
      <c r="B372" s="693"/>
      <c r="C372" s="693"/>
      <c r="D372" s="696"/>
      <c r="E372" s="696"/>
      <c r="F372" s="697"/>
      <c r="G372" s="697"/>
      <c r="H372" s="728"/>
      <c r="I372" s="728"/>
      <c r="J372" s="728"/>
      <c r="K372" s="728"/>
      <c r="L372" s="728"/>
      <c r="M372" s="728"/>
      <c r="N372" s="728"/>
      <c r="O372" s="733"/>
      <c r="P372" s="733"/>
      <c r="Q372" s="733"/>
      <c r="R372" s="733"/>
      <c r="S372" s="733"/>
      <c r="T372" s="733"/>
      <c r="U372" s="733"/>
      <c r="V372" s="693"/>
      <c r="W372" s="744"/>
    </row>
    <row r="373" spans="1:23" s="745" customFormat="1" x14ac:dyDescent="0.25">
      <c r="A373" s="693"/>
      <c r="B373" s="693"/>
      <c r="C373" s="693"/>
      <c r="D373" s="696"/>
      <c r="E373" s="696"/>
      <c r="F373" s="697"/>
      <c r="G373" s="697"/>
      <c r="H373" s="728"/>
      <c r="I373" s="728"/>
      <c r="J373" s="728"/>
      <c r="K373" s="728"/>
      <c r="L373" s="728"/>
      <c r="M373" s="728"/>
      <c r="N373" s="728"/>
      <c r="O373" s="733"/>
      <c r="P373" s="733"/>
      <c r="Q373" s="733"/>
      <c r="R373" s="733"/>
      <c r="S373" s="733"/>
      <c r="T373" s="733"/>
      <c r="U373" s="733"/>
      <c r="V373" s="693"/>
      <c r="W373" s="744"/>
    </row>
    <row r="374" spans="1:23" s="745" customFormat="1" x14ac:dyDescent="0.25">
      <c r="A374" s="693"/>
      <c r="B374" s="693"/>
      <c r="C374" s="693"/>
      <c r="D374" s="696"/>
      <c r="E374" s="696"/>
      <c r="F374" s="697"/>
      <c r="G374" s="697"/>
      <c r="H374" s="728"/>
      <c r="I374" s="728"/>
      <c r="J374" s="728"/>
      <c r="K374" s="728"/>
      <c r="L374" s="728"/>
      <c r="M374" s="728"/>
      <c r="N374" s="728"/>
      <c r="O374" s="733"/>
      <c r="P374" s="733"/>
      <c r="Q374" s="733"/>
      <c r="R374" s="733"/>
      <c r="S374" s="733"/>
      <c r="T374" s="733"/>
      <c r="U374" s="733"/>
      <c r="V374" s="693"/>
      <c r="W374" s="744"/>
    </row>
    <row r="375" spans="1:23" s="745" customFormat="1" x14ac:dyDescent="0.25">
      <c r="A375" s="693"/>
      <c r="B375" s="693"/>
      <c r="C375" s="693"/>
      <c r="D375" s="696"/>
      <c r="E375" s="696"/>
      <c r="F375" s="697"/>
      <c r="G375" s="697"/>
      <c r="H375" s="728"/>
      <c r="I375" s="728"/>
      <c r="J375" s="728"/>
      <c r="K375" s="728"/>
      <c r="L375" s="728"/>
      <c r="M375" s="728"/>
      <c r="N375" s="728"/>
      <c r="O375" s="733"/>
      <c r="P375" s="733"/>
      <c r="Q375" s="733"/>
      <c r="R375" s="733"/>
      <c r="S375" s="733"/>
      <c r="T375" s="733"/>
      <c r="U375" s="733"/>
      <c r="V375" s="693"/>
      <c r="W375" s="744"/>
    </row>
    <row r="376" spans="1:23" s="745" customFormat="1" x14ac:dyDescent="0.25">
      <c r="A376" s="693"/>
      <c r="B376" s="693"/>
      <c r="C376" s="693"/>
      <c r="D376" s="696"/>
      <c r="E376" s="696"/>
      <c r="F376" s="697"/>
      <c r="G376" s="697"/>
      <c r="H376" s="728"/>
      <c r="I376" s="728"/>
      <c r="J376" s="728"/>
      <c r="K376" s="728"/>
      <c r="L376" s="728"/>
      <c r="M376" s="728"/>
      <c r="N376" s="728"/>
      <c r="O376" s="733"/>
      <c r="P376" s="733"/>
      <c r="Q376" s="733"/>
      <c r="R376" s="733"/>
      <c r="S376" s="733"/>
      <c r="T376" s="733"/>
      <c r="U376" s="733"/>
      <c r="V376" s="693"/>
      <c r="W376" s="744"/>
    </row>
    <row r="377" spans="1:23" s="745" customFormat="1" x14ac:dyDescent="0.25">
      <c r="A377" s="693"/>
      <c r="B377" s="693"/>
      <c r="C377" s="693"/>
      <c r="D377" s="696"/>
      <c r="E377" s="696"/>
      <c r="F377" s="697"/>
      <c r="G377" s="697"/>
      <c r="H377" s="728"/>
      <c r="I377" s="728"/>
      <c r="J377" s="728"/>
      <c r="K377" s="728"/>
      <c r="L377" s="728"/>
      <c r="M377" s="728"/>
      <c r="N377" s="728"/>
      <c r="O377" s="733"/>
      <c r="P377" s="733"/>
      <c r="Q377" s="733"/>
      <c r="R377" s="733"/>
      <c r="S377" s="733"/>
      <c r="T377" s="733"/>
      <c r="U377" s="733"/>
      <c r="V377" s="693"/>
      <c r="W377" s="744"/>
    </row>
    <row r="378" spans="1:23" s="745" customFormat="1" x14ac:dyDescent="0.25">
      <c r="A378" s="693"/>
      <c r="B378" s="693"/>
      <c r="C378" s="693"/>
      <c r="D378" s="696"/>
      <c r="E378" s="696"/>
      <c r="F378" s="697"/>
      <c r="G378" s="697"/>
      <c r="H378" s="728"/>
      <c r="I378" s="728"/>
      <c r="J378" s="728"/>
      <c r="K378" s="728"/>
      <c r="L378" s="728"/>
      <c r="M378" s="728"/>
      <c r="N378" s="728"/>
      <c r="O378" s="733"/>
      <c r="P378" s="733"/>
      <c r="Q378" s="733"/>
      <c r="R378" s="733"/>
      <c r="S378" s="733"/>
      <c r="T378" s="733"/>
      <c r="U378" s="733"/>
      <c r="V378" s="693"/>
      <c r="W378" s="744"/>
    </row>
    <row r="379" spans="1:23" s="745" customFormat="1" x14ac:dyDescent="0.25">
      <c r="A379" s="693"/>
      <c r="B379" s="693"/>
      <c r="C379" s="693"/>
      <c r="D379" s="696"/>
      <c r="E379" s="696"/>
      <c r="F379" s="697"/>
      <c r="G379" s="697"/>
      <c r="H379" s="728"/>
      <c r="I379" s="728"/>
      <c r="J379" s="728"/>
      <c r="K379" s="728"/>
      <c r="L379" s="728"/>
      <c r="M379" s="728"/>
      <c r="N379" s="728"/>
      <c r="O379" s="733"/>
      <c r="P379" s="733"/>
      <c r="Q379" s="733"/>
      <c r="R379" s="733"/>
      <c r="S379" s="733"/>
      <c r="T379" s="733"/>
      <c r="U379" s="733"/>
      <c r="V379" s="693"/>
      <c r="W379" s="744"/>
    </row>
    <row r="380" spans="1:23" s="745" customFormat="1" x14ac:dyDescent="0.25">
      <c r="A380" s="693"/>
      <c r="B380" s="693"/>
      <c r="C380" s="693"/>
      <c r="D380" s="696"/>
      <c r="E380" s="696"/>
      <c r="F380" s="697"/>
      <c r="G380" s="697"/>
      <c r="H380" s="728"/>
      <c r="I380" s="728"/>
      <c r="J380" s="728"/>
      <c r="K380" s="728"/>
      <c r="L380" s="728"/>
      <c r="M380" s="728"/>
      <c r="N380" s="728"/>
      <c r="O380" s="733"/>
      <c r="P380" s="733"/>
      <c r="Q380" s="733"/>
      <c r="R380" s="733"/>
      <c r="S380" s="733"/>
      <c r="T380" s="733"/>
      <c r="U380" s="733"/>
      <c r="V380" s="693"/>
      <c r="W380" s="744"/>
    </row>
    <row r="381" spans="1:23" s="745" customFormat="1" x14ac:dyDescent="0.25">
      <c r="A381" s="693"/>
      <c r="B381" s="693"/>
      <c r="C381" s="693"/>
      <c r="D381" s="696"/>
      <c r="E381" s="696"/>
      <c r="F381" s="697"/>
      <c r="G381" s="697"/>
      <c r="H381" s="728"/>
      <c r="I381" s="728"/>
      <c r="J381" s="728"/>
      <c r="K381" s="728"/>
      <c r="L381" s="728"/>
      <c r="M381" s="728"/>
      <c r="N381" s="728"/>
      <c r="O381" s="733"/>
      <c r="P381" s="733"/>
      <c r="Q381" s="733"/>
      <c r="R381" s="733"/>
      <c r="S381" s="733"/>
      <c r="T381" s="733"/>
      <c r="U381" s="733"/>
      <c r="V381" s="693"/>
      <c r="W381" s="744"/>
    </row>
    <row r="382" spans="1:23" s="745" customFormat="1" x14ac:dyDescent="0.25">
      <c r="A382" s="693"/>
      <c r="B382" s="693"/>
      <c r="C382" s="693"/>
      <c r="D382" s="696"/>
      <c r="E382" s="696"/>
      <c r="F382" s="697"/>
      <c r="G382" s="697"/>
      <c r="H382" s="728"/>
      <c r="I382" s="728"/>
      <c r="J382" s="728"/>
      <c r="K382" s="728"/>
      <c r="L382" s="728"/>
      <c r="M382" s="728"/>
      <c r="N382" s="728"/>
      <c r="O382" s="733"/>
      <c r="P382" s="733"/>
      <c r="Q382" s="733"/>
      <c r="R382" s="733"/>
      <c r="S382" s="733"/>
      <c r="T382" s="733"/>
      <c r="U382" s="733"/>
      <c r="V382" s="693"/>
      <c r="W382" s="744"/>
    </row>
    <row r="383" spans="1:23" s="745" customFormat="1" x14ac:dyDescent="0.25">
      <c r="A383" s="693"/>
      <c r="B383" s="693"/>
      <c r="C383" s="693"/>
      <c r="D383" s="696"/>
      <c r="E383" s="696"/>
      <c r="F383" s="697"/>
      <c r="G383" s="697"/>
      <c r="H383" s="728"/>
      <c r="I383" s="728"/>
      <c r="J383" s="728"/>
      <c r="K383" s="728"/>
      <c r="L383" s="728"/>
      <c r="M383" s="728"/>
      <c r="N383" s="728"/>
      <c r="O383" s="733"/>
      <c r="P383" s="733"/>
      <c r="Q383" s="733"/>
      <c r="R383" s="733"/>
      <c r="S383" s="733"/>
      <c r="T383" s="733"/>
      <c r="U383" s="733"/>
      <c r="V383" s="693"/>
      <c r="W383" s="744"/>
    </row>
    <row r="384" spans="1:23" s="745" customFormat="1" x14ac:dyDescent="0.25">
      <c r="A384" s="693"/>
      <c r="B384" s="693"/>
      <c r="C384" s="693"/>
      <c r="D384" s="696"/>
      <c r="E384" s="696"/>
      <c r="F384" s="697"/>
      <c r="G384" s="697"/>
      <c r="H384" s="728"/>
      <c r="I384" s="728"/>
      <c r="J384" s="728"/>
      <c r="K384" s="728"/>
      <c r="L384" s="728"/>
      <c r="M384" s="728"/>
      <c r="N384" s="728"/>
      <c r="O384" s="733"/>
      <c r="P384" s="733"/>
      <c r="Q384" s="733"/>
      <c r="R384" s="733"/>
      <c r="S384" s="733"/>
      <c r="T384" s="733"/>
      <c r="U384" s="733"/>
      <c r="V384" s="693"/>
      <c r="W384" s="744"/>
    </row>
    <row r="385" spans="1:23" s="745" customFormat="1" x14ac:dyDescent="0.25">
      <c r="A385" s="693"/>
      <c r="B385" s="693"/>
      <c r="C385" s="693"/>
      <c r="D385" s="696"/>
      <c r="E385" s="696"/>
      <c r="F385" s="697"/>
      <c r="G385" s="697"/>
      <c r="H385" s="728"/>
      <c r="I385" s="728"/>
      <c r="J385" s="728"/>
      <c r="K385" s="728"/>
      <c r="L385" s="728"/>
      <c r="M385" s="728"/>
      <c r="N385" s="728"/>
      <c r="O385" s="733"/>
      <c r="P385" s="733"/>
      <c r="Q385" s="733"/>
      <c r="R385" s="733"/>
      <c r="S385" s="733"/>
      <c r="T385" s="733"/>
      <c r="U385" s="733"/>
      <c r="V385" s="693"/>
      <c r="W385" s="744"/>
    </row>
    <row r="386" spans="1:23" s="745" customFormat="1" x14ac:dyDescent="0.25">
      <c r="A386" s="693"/>
      <c r="B386" s="693"/>
      <c r="C386" s="693"/>
      <c r="D386" s="696"/>
      <c r="E386" s="696"/>
      <c r="F386" s="697"/>
      <c r="G386" s="697"/>
      <c r="H386" s="728"/>
      <c r="I386" s="728"/>
      <c r="J386" s="728"/>
      <c r="K386" s="728"/>
      <c r="L386" s="728"/>
      <c r="M386" s="728"/>
      <c r="N386" s="728"/>
      <c r="O386" s="733"/>
      <c r="P386" s="733"/>
      <c r="Q386" s="733"/>
      <c r="R386" s="733"/>
      <c r="S386" s="733"/>
      <c r="T386" s="733"/>
      <c r="U386" s="733"/>
      <c r="V386" s="693"/>
      <c r="W386" s="744"/>
    </row>
    <row r="387" spans="1:23" s="745" customFormat="1" x14ac:dyDescent="0.25">
      <c r="A387" s="693"/>
      <c r="B387" s="693"/>
      <c r="C387" s="693"/>
      <c r="D387" s="696"/>
      <c r="E387" s="696"/>
      <c r="F387" s="697"/>
      <c r="G387" s="697"/>
      <c r="H387" s="728"/>
      <c r="I387" s="728"/>
      <c r="J387" s="728"/>
      <c r="K387" s="728"/>
      <c r="L387" s="728"/>
      <c r="M387" s="728"/>
      <c r="N387" s="728"/>
      <c r="O387" s="733"/>
      <c r="P387" s="733"/>
      <c r="Q387" s="733"/>
      <c r="R387" s="733"/>
      <c r="S387" s="733"/>
      <c r="T387" s="733"/>
      <c r="U387" s="733"/>
      <c r="V387" s="693"/>
      <c r="W387" s="744"/>
    </row>
    <row r="388" spans="1:23" s="745" customFormat="1" x14ac:dyDescent="0.25">
      <c r="A388" s="693"/>
      <c r="B388" s="693"/>
      <c r="C388" s="693"/>
      <c r="D388" s="696"/>
      <c r="E388" s="696"/>
      <c r="F388" s="697"/>
      <c r="G388" s="697"/>
      <c r="H388" s="728"/>
      <c r="I388" s="728"/>
      <c r="J388" s="728"/>
      <c r="K388" s="728"/>
      <c r="L388" s="728"/>
      <c r="M388" s="728"/>
      <c r="N388" s="728"/>
      <c r="O388" s="733"/>
      <c r="P388" s="733"/>
      <c r="Q388" s="733"/>
      <c r="R388" s="733"/>
      <c r="S388" s="733"/>
      <c r="T388" s="733"/>
      <c r="U388" s="733"/>
      <c r="V388" s="693"/>
      <c r="W388" s="744"/>
    </row>
    <row r="389" spans="1:23" s="745" customFormat="1" x14ac:dyDescent="0.25">
      <c r="A389" s="693"/>
      <c r="B389" s="693"/>
      <c r="C389" s="693"/>
      <c r="D389" s="696"/>
      <c r="E389" s="696"/>
      <c r="F389" s="697"/>
      <c r="G389" s="697"/>
      <c r="H389" s="728"/>
      <c r="I389" s="728"/>
      <c r="J389" s="728"/>
      <c r="K389" s="728"/>
      <c r="L389" s="728"/>
      <c r="M389" s="728"/>
      <c r="N389" s="728"/>
      <c r="O389" s="733"/>
      <c r="P389" s="733"/>
      <c r="Q389" s="733"/>
      <c r="R389" s="733"/>
      <c r="S389" s="733"/>
      <c r="T389" s="733"/>
      <c r="U389" s="733"/>
      <c r="V389" s="693"/>
      <c r="W389" s="744"/>
    </row>
    <row r="390" spans="1:23" s="745" customFormat="1" x14ac:dyDescent="0.25">
      <c r="A390" s="693"/>
      <c r="B390" s="693"/>
      <c r="C390" s="693"/>
      <c r="D390" s="696"/>
      <c r="E390" s="696"/>
      <c r="F390" s="697"/>
      <c r="G390" s="697"/>
      <c r="H390" s="728"/>
      <c r="I390" s="728"/>
      <c r="J390" s="728"/>
      <c r="K390" s="728"/>
      <c r="L390" s="728"/>
      <c r="M390" s="728"/>
      <c r="N390" s="728"/>
      <c r="O390" s="733"/>
      <c r="P390" s="733"/>
      <c r="Q390" s="733"/>
      <c r="R390" s="733"/>
      <c r="S390" s="733"/>
      <c r="T390" s="733"/>
      <c r="U390" s="733"/>
      <c r="V390" s="693"/>
      <c r="W390" s="744"/>
    </row>
    <row r="391" spans="1:23" s="745" customFormat="1" x14ac:dyDescent="0.25">
      <c r="A391" s="693"/>
      <c r="B391" s="693"/>
      <c r="C391" s="693"/>
      <c r="D391" s="696"/>
      <c r="E391" s="696"/>
      <c r="F391" s="697"/>
      <c r="G391" s="697"/>
      <c r="H391" s="728"/>
      <c r="I391" s="728"/>
      <c r="J391" s="728"/>
      <c r="K391" s="728"/>
      <c r="L391" s="728"/>
      <c r="M391" s="728"/>
      <c r="N391" s="728"/>
      <c r="O391" s="733"/>
      <c r="P391" s="733"/>
      <c r="Q391" s="733"/>
      <c r="R391" s="733"/>
      <c r="S391" s="733"/>
      <c r="T391" s="733"/>
      <c r="U391" s="733"/>
      <c r="V391" s="693"/>
      <c r="W391" s="744"/>
    </row>
    <row r="392" spans="1:23" s="745" customFormat="1" x14ac:dyDescent="0.25">
      <c r="A392" s="693"/>
      <c r="B392" s="693"/>
      <c r="C392" s="693"/>
      <c r="D392" s="696"/>
      <c r="E392" s="696"/>
      <c r="F392" s="697"/>
      <c r="G392" s="697"/>
      <c r="H392" s="728"/>
      <c r="I392" s="728"/>
      <c r="J392" s="728"/>
      <c r="K392" s="728"/>
      <c r="L392" s="728"/>
      <c r="M392" s="728"/>
      <c r="N392" s="728"/>
      <c r="O392" s="733"/>
      <c r="P392" s="733"/>
      <c r="Q392" s="733"/>
      <c r="R392" s="733"/>
      <c r="S392" s="733"/>
      <c r="T392" s="733"/>
      <c r="U392" s="733"/>
      <c r="V392" s="693"/>
      <c r="W392" s="744"/>
    </row>
    <row r="393" spans="1:23" s="745" customFormat="1" x14ac:dyDescent="0.25">
      <c r="A393" s="693"/>
      <c r="B393" s="693"/>
      <c r="C393" s="693"/>
      <c r="D393" s="696"/>
      <c r="E393" s="696"/>
      <c r="F393" s="697"/>
      <c r="G393" s="697"/>
      <c r="H393" s="728"/>
      <c r="I393" s="728"/>
      <c r="J393" s="728"/>
      <c r="K393" s="728"/>
      <c r="L393" s="728"/>
      <c r="M393" s="728"/>
      <c r="N393" s="728"/>
      <c r="O393" s="733"/>
      <c r="P393" s="733"/>
      <c r="Q393" s="733"/>
      <c r="R393" s="733"/>
      <c r="S393" s="733"/>
      <c r="T393" s="733"/>
      <c r="U393" s="733"/>
      <c r="V393" s="693"/>
      <c r="W393" s="744"/>
    </row>
    <row r="394" spans="1:23" s="745" customFormat="1" x14ac:dyDescent="0.25">
      <c r="A394" s="693"/>
      <c r="B394" s="693"/>
      <c r="C394" s="693"/>
      <c r="D394" s="696"/>
      <c r="E394" s="696"/>
      <c r="F394" s="697"/>
      <c r="G394" s="697"/>
      <c r="H394" s="728"/>
      <c r="I394" s="728"/>
      <c r="J394" s="728"/>
      <c r="K394" s="728"/>
      <c r="L394" s="728"/>
      <c r="M394" s="728"/>
      <c r="N394" s="728"/>
      <c r="O394" s="733"/>
      <c r="P394" s="733"/>
      <c r="Q394" s="733"/>
      <c r="R394" s="733"/>
      <c r="S394" s="733"/>
      <c r="T394" s="733"/>
      <c r="U394" s="733"/>
      <c r="V394" s="693"/>
      <c r="W394" s="744"/>
    </row>
    <row r="395" spans="1:23" s="745" customFormat="1" x14ac:dyDescent="0.25">
      <c r="A395" s="693"/>
      <c r="B395" s="693"/>
      <c r="C395" s="693"/>
      <c r="D395" s="696"/>
      <c r="E395" s="696"/>
      <c r="F395" s="697"/>
      <c r="G395" s="697"/>
      <c r="H395" s="728"/>
      <c r="I395" s="728"/>
      <c r="J395" s="728"/>
      <c r="K395" s="728"/>
      <c r="L395" s="728"/>
      <c r="M395" s="728"/>
      <c r="N395" s="728"/>
      <c r="O395" s="733"/>
      <c r="P395" s="733"/>
      <c r="Q395" s="733"/>
      <c r="R395" s="733"/>
      <c r="S395" s="733"/>
      <c r="T395" s="733"/>
      <c r="U395" s="733"/>
      <c r="V395" s="693"/>
      <c r="W395" s="744"/>
    </row>
    <row r="396" spans="1:23" s="745" customFormat="1" x14ac:dyDescent="0.25">
      <c r="A396" s="693"/>
      <c r="B396" s="693"/>
      <c r="C396" s="693"/>
      <c r="D396" s="696"/>
      <c r="E396" s="696"/>
      <c r="F396" s="697"/>
      <c r="G396" s="697"/>
      <c r="H396" s="728"/>
      <c r="I396" s="728"/>
      <c r="J396" s="728"/>
      <c r="K396" s="728"/>
      <c r="L396" s="728"/>
      <c r="M396" s="728"/>
      <c r="N396" s="728"/>
      <c r="O396" s="733"/>
      <c r="P396" s="733"/>
      <c r="Q396" s="733"/>
      <c r="R396" s="733"/>
      <c r="S396" s="733"/>
      <c r="T396" s="733"/>
      <c r="U396" s="733"/>
      <c r="V396" s="693"/>
      <c r="W396" s="744"/>
    </row>
    <row r="397" spans="1:23" s="745" customFormat="1" x14ac:dyDescent="0.25">
      <c r="A397" s="693"/>
      <c r="B397" s="693"/>
      <c r="C397" s="693"/>
      <c r="D397" s="696"/>
      <c r="E397" s="696"/>
      <c r="F397" s="697"/>
      <c r="G397" s="697"/>
      <c r="H397" s="728"/>
      <c r="I397" s="728"/>
      <c r="J397" s="728"/>
      <c r="K397" s="728"/>
      <c r="L397" s="728"/>
      <c r="M397" s="728"/>
      <c r="N397" s="728"/>
      <c r="O397" s="733"/>
      <c r="P397" s="733"/>
      <c r="Q397" s="733"/>
      <c r="R397" s="733"/>
      <c r="S397" s="733"/>
      <c r="T397" s="733"/>
      <c r="U397" s="733"/>
      <c r="V397" s="693"/>
      <c r="W397" s="744"/>
    </row>
    <row r="398" spans="1:23" s="745" customFormat="1" x14ac:dyDescent="0.25">
      <c r="A398" s="693"/>
      <c r="B398" s="693"/>
      <c r="C398" s="693"/>
      <c r="D398" s="696"/>
      <c r="E398" s="696"/>
      <c r="F398" s="697"/>
      <c r="G398" s="697"/>
      <c r="H398" s="728"/>
      <c r="I398" s="728"/>
      <c r="J398" s="728"/>
      <c r="K398" s="728"/>
      <c r="L398" s="728"/>
      <c r="M398" s="728"/>
      <c r="N398" s="728"/>
      <c r="O398" s="733"/>
      <c r="P398" s="733"/>
      <c r="Q398" s="733"/>
      <c r="R398" s="733"/>
      <c r="S398" s="733"/>
      <c r="T398" s="733"/>
      <c r="U398" s="733"/>
      <c r="V398" s="693"/>
      <c r="W398" s="744"/>
    </row>
    <row r="399" spans="1:23" s="745" customFormat="1" x14ac:dyDescent="0.25">
      <c r="A399" s="693"/>
      <c r="B399" s="693"/>
      <c r="C399" s="693"/>
      <c r="D399" s="696"/>
      <c r="E399" s="696"/>
      <c r="F399" s="697"/>
      <c r="G399" s="697"/>
      <c r="H399" s="728"/>
      <c r="I399" s="728"/>
      <c r="J399" s="728"/>
      <c r="K399" s="728"/>
      <c r="L399" s="728"/>
      <c r="M399" s="728"/>
      <c r="N399" s="728"/>
      <c r="O399" s="733"/>
      <c r="P399" s="733"/>
      <c r="Q399" s="733"/>
      <c r="R399" s="733"/>
      <c r="S399" s="733"/>
      <c r="T399" s="733"/>
      <c r="U399" s="733"/>
      <c r="V399" s="693"/>
      <c r="W399" s="744"/>
    </row>
    <row r="400" spans="1:23" s="745" customFormat="1" x14ac:dyDescent="0.25">
      <c r="A400" s="693"/>
      <c r="B400" s="693"/>
      <c r="C400" s="693"/>
      <c r="D400" s="696"/>
      <c r="E400" s="696"/>
      <c r="F400" s="697"/>
      <c r="G400" s="697"/>
      <c r="H400" s="728"/>
      <c r="I400" s="728"/>
      <c r="J400" s="728"/>
      <c r="K400" s="728"/>
      <c r="L400" s="728"/>
      <c r="M400" s="728"/>
      <c r="N400" s="728"/>
      <c r="O400" s="733"/>
      <c r="P400" s="733"/>
      <c r="Q400" s="733"/>
      <c r="R400" s="733"/>
      <c r="S400" s="733"/>
      <c r="T400" s="733"/>
      <c r="U400" s="733"/>
      <c r="V400" s="693"/>
      <c r="W400" s="744"/>
    </row>
    <row r="401" spans="1:23" s="745" customFormat="1" x14ac:dyDescent="0.25">
      <c r="A401" s="693"/>
      <c r="B401" s="693"/>
      <c r="C401" s="693"/>
      <c r="D401" s="696"/>
      <c r="E401" s="696"/>
      <c r="F401" s="697"/>
      <c r="G401" s="697"/>
      <c r="H401" s="728"/>
      <c r="I401" s="728"/>
      <c r="J401" s="728"/>
      <c r="K401" s="728"/>
      <c r="L401" s="728"/>
      <c r="M401" s="728"/>
      <c r="N401" s="728"/>
      <c r="O401" s="733"/>
      <c r="P401" s="733"/>
      <c r="Q401" s="733"/>
      <c r="R401" s="733"/>
      <c r="S401" s="733"/>
      <c r="T401" s="733"/>
      <c r="U401" s="733"/>
      <c r="V401" s="693"/>
      <c r="W401" s="744"/>
    </row>
    <row r="402" spans="1:23" s="745" customFormat="1" x14ac:dyDescent="0.25">
      <c r="A402" s="693"/>
      <c r="B402" s="693"/>
      <c r="C402" s="693"/>
      <c r="D402" s="696"/>
      <c r="E402" s="696"/>
      <c r="F402" s="697"/>
      <c r="G402" s="697"/>
      <c r="H402" s="728"/>
      <c r="I402" s="728"/>
      <c r="J402" s="728"/>
      <c r="K402" s="728"/>
      <c r="L402" s="728"/>
      <c r="M402" s="728"/>
      <c r="N402" s="728"/>
      <c r="O402" s="733"/>
      <c r="P402" s="733"/>
      <c r="Q402" s="733"/>
      <c r="R402" s="733"/>
      <c r="S402" s="733"/>
      <c r="T402" s="733"/>
      <c r="U402" s="733"/>
      <c r="V402" s="693"/>
      <c r="W402" s="744"/>
    </row>
    <row r="403" spans="1:23" s="745" customFormat="1" x14ac:dyDescent="0.25">
      <c r="A403" s="693"/>
      <c r="B403" s="693"/>
      <c r="C403" s="693"/>
      <c r="D403" s="696"/>
      <c r="E403" s="696"/>
      <c r="F403" s="697"/>
      <c r="G403" s="697"/>
      <c r="H403" s="728"/>
      <c r="I403" s="728"/>
      <c r="J403" s="728"/>
      <c r="K403" s="728"/>
      <c r="L403" s="728"/>
      <c r="M403" s="728"/>
      <c r="N403" s="728"/>
      <c r="O403" s="733"/>
      <c r="P403" s="733"/>
      <c r="Q403" s="733"/>
      <c r="R403" s="733"/>
      <c r="S403" s="733"/>
      <c r="T403" s="733"/>
      <c r="U403" s="733"/>
      <c r="V403" s="693"/>
      <c r="W403" s="744"/>
    </row>
    <row r="404" spans="1:23" s="745" customFormat="1" x14ac:dyDescent="0.25">
      <c r="A404" s="693"/>
      <c r="B404" s="693"/>
      <c r="C404" s="693"/>
      <c r="D404" s="696"/>
      <c r="E404" s="696"/>
      <c r="F404" s="697"/>
      <c r="G404" s="697"/>
      <c r="H404" s="728"/>
      <c r="I404" s="728"/>
      <c r="J404" s="728"/>
      <c r="K404" s="728"/>
      <c r="L404" s="728"/>
      <c r="M404" s="728"/>
      <c r="N404" s="728"/>
      <c r="O404" s="733"/>
      <c r="P404" s="733"/>
      <c r="Q404" s="733"/>
      <c r="R404" s="733"/>
      <c r="S404" s="733"/>
      <c r="T404" s="733"/>
      <c r="U404" s="733"/>
      <c r="V404" s="693"/>
      <c r="W404" s="744"/>
    </row>
    <row r="405" spans="1:23" s="745" customFormat="1" x14ac:dyDescent="0.25">
      <c r="A405" s="693"/>
      <c r="B405" s="693"/>
      <c r="C405" s="693"/>
      <c r="D405" s="696"/>
      <c r="E405" s="696"/>
      <c r="F405" s="697"/>
      <c r="G405" s="697"/>
      <c r="H405" s="728"/>
      <c r="I405" s="728"/>
      <c r="J405" s="728"/>
      <c r="K405" s="728"/>
      <c r="L405" s="728"/>
      <c r="M405" s="728"/>
      <c r="N405" s="728"/>
      <c r="O405" s="733"/>
      <c r="P405" s="733"/>
      <c r="Q405" s="733"/>
      <c r="R405" s="733"/>
      <c r="S405" s="733"/>
      <c r="T405" s="733"/>
      <c r="U405" s="733"/>
      <c r="V405" s="693"/>
      <c r="W405" s="744"/>
    </row>
    <row r="406" spans="1:23" s="745" customFormat="1" x14ac:dyDescent="0.25">
      <c r="A406" s="693"/>
      <c r="B406" s="693"/>
      <c r="C406" s="693"/>
      <c r="D406" s="696"/>
      <c r="E406" s="696"/>
      <c r="F406" s="697"/>
      <c r="G406" s="697"/>
      <c r="H406" s="728"/>
      <c r="I406" s="728"/>
      <c r="J406" s="728"/>
      <c r="K406" s="728"/>
      <c r="L406" s="728"/>
      <c r="M406" s="728"/>
      <c r="N406" s="728"/>
      <c r="O406" s="733"/>
      <c r="P406" s="733"/>
      <c r="Q406" s="733"/>
      <c r="R406" s="733"/>
      <c r="S406" s="733"/>
      <c r="T406" s="733"/>
      <c r="U406" s="733"/>
      <c r="V406" s="693"/>
      <c r="W406" s="744"/>
    </row>
    <row r="407" spans="1:23" s="745" customFormat="1" x14ac:dyDescent="0.25">
      <c r="A407" s="693"/>
      <c r="B407" s="693"/>
      <c r="C407" s="693"/>
      <c r="D407" s="696"/>
      <c r="E407" s="696"/>
      <c r="F407" s="697"/>
      <c r="G407" s="697"/>
      <c r="H407" s="728"/>
      <c r="I407" s="728"/>
      <c r="J407" s="728"/>
      <c r="K407" s="728"/>
      <c r="L407" s="728"/>
      <c r="M407" s="728"/>
      <c r="N407" s="728"/>
      <c r="O407" s="733"/>
      <c r="P407" s="733"/>
      <c r="Q407" s="733"/>
      <c r="R407" s="733"/>
      <c r="S407" s="733"/>
      <c r="T407" s="733"/>
      <c r="U407" s="733"/>
      <c r="V407" s="693"/>
      <c r="W407" s="744"/>
    </row>
    <row r="408" spans="1:23" s="745" customFormat="1" x14ac:dyDescent="0.25">
      <c r="A408" s="693"/>
      <c r="B408" s="693"/>
      <c r="C408" s="693"/>
      <c r="D408" s="696"/>
      <c r="E408" s="696"/>
      <c r="F408" s="697"/>
      <c r="G408" s="697"/>
      <c r="H408" s="728"/>
      <c r="I408" s="728"/>
      <c r="J408" s="728"/>
      <c r="K408" s="728"/>
      <c r="L408" s="728"/>
      <c r="M408" s="728"/>
      <c r="N408" s="728"/>
      <c r="O408" s="733"/>
      <c r="P408" s="733"/>
      <c r="Q408" s="733"/>
      <c r="R408" s="733"/>
      <c r="S408" s="733"/>
      <c r="T408" s="733"/>
      <c r="U408" s="733"/>
      <c r="V408" s="693"/>
      <c r="W408" s="744"/>
    </row>
    <row r="409" spans="1:23" s="745" customFormat="1" x14ac:dyDescent="0.25">
      <c r="A409" s="693"/>
      <c r="B409" s="693"/>
      <c r="C409" s="693"/>
      <c r="D409" s="696"/>
      <c r="E409" s="696"/>
      <c r="F409" s="697"/>
      <c r="G409" s="697"/>
      <c r="H409" s="728"/>
      <c r="I409" s="728"/>
      <c r="J409" s="728"/>
      <c r="K409" s="728"/>
      <c r="L409" s="728"/>
      <c r="M409" s="728"/>
      <c r="N409" s="728"/>
      <c r="O409" s="733"/>
      <c r="P409" s="733"/>
      <c r="Q409" s="733"/>
      <c r="R409" s="733"/>
      <c r="S409" s="733"/>
      <c r="T409" s="733"/>
      <c r="U409" s="733"/>
      <c r="V409" s="693"/>
      <c r="W409" s="744"/>
    </row>
    <row r="410" spans="1:23" s="745" customFormat="1" x14ac:dyDescent="0.25">
      <c r="A410" s="693"/>
      <c r="B410" s="693"/>
      <c r="C410" s="693"/>
      <c r="D410" s="696"/>
      <c r="E410" s="696"/>
      <c r="F410" s="697"/>
      <c r="G410" s="697"/>
      <c r="H410" s="728"/>
      <c r="I410" s="728"/>
      <c r="J410" s="728"/>
      <c r="K410" s="728"/>
      <c r="L410" s="728"/>
      <c r="M410" s="728"/>
      <c r="N410" s="728"/>
      <c r="O410" s="733"/>
      <c r="P410" s="733"/>
      <c r="Q410" s="733"/>
      <c r="R410" s="733"/>
      <c r="S410" s="733"/>
      <c r="T410" s="733"/>
      <c r="U410" s="733"/>
      <c r="V410" s="693"/>
      <c r="W410" s="744"/>
    </row>
    <row r="411" spans="1:23" s="745" customFormat="1" x14ac:dyDescent="0.25">
      <c r="A411" s="693"/>
      <c r="B411" s="693"/>
      <c r="C411" s="693"/>
      <c r="D411" s="696"/>
      <c r="E411" s="696"/>
      <c r="F411" s="697"/>
      <c r="G411" s="697"/>
      <c r="H411" s="728"/>
      <c r="I411" s="728"/>
      <c r="J411" s="728"/>
      <c r="K411" s="728"/>
      <c r="L411" s="728"/>
      <c r="M411" s="728"/>
      <c r="N411" s="728"/>
      <c r="O411" s="733"/>
      <c r="P411" s="733"/>
      <c r="Q411" s="733"/>
      <c r="R411" s="733"/>
      <c r="S411" s="733"/>
      <c r="T411" s="733"/>
      <c r="U411" s="733"/>
      <c r="V411" s="693"/>
      <c r="W411" s="744"/>
    </row>
    <row r="412" spans="1:23" s="745" customFormat="1" x14ac:dyDescent="0.25">
      <c r="A412" s="693"/>
      <c r="B412" s="693"/>
      <c r="C412" s="693"/>
      <c r="D412" s="696"/>
      <c r="E412" s="696"/>
      <c r="F412" s="697"/>
      <c r="G412" s="697"/>
      <c r="H412" s="728"/>
      <c r="I412" s="728"/>
      <c r="J412" s="728"/>
      <c r="K412" s="728"/>
      <c r="L412" s="728"/>
      <c r="M412" s="728"/>
      <c r="N412" s="728"/>
      <c r="O412" s="733"/>
      <c r="P412" s="733"/>
      <c r="Q412" s="733"/>
      <c r="R412" s="733"/>
      <c r="S412" s="733"/>
      <c r="T412" s="733"/>
      <c r="U412" s="733"/>
      <c r="V412" s="693"/>
      <c r="W412" s="744"/>
    </row>
    <row r="413" spans="1:23" s="745" customFormat="1" x14ac:dyDescent="0.25">
      <c r="A413" s="693"/>
      <c r="B413" s="693"/>
      <c r="C413" s="693"/>
      <c r="D413" s="696"/>
      <c r="E413" s="696"/>
      <c r="F413" s="697"/>
      <c r="G413" s="697"/>
      <c r="H413" s="728"/>
      <c r="I413" s="728"/>
      <c r="J413" s="728"/>
      <c r="K413" s="728"/>
      <c r="L413" s="728"/>
      <c r="M413" s="728"/>
      <c r="N413" s="728"/>
      <c r="O413" s="733"/>
      <c r="P413" s="733"/>
      <c r="Q413" s="733"/>
      <c r="R413" s="733"/>
      <c r="S413" s="733"/>
      <c r="T413" s="733"/>
      <c r="U413" s="733"/>
      <c r="V413" s="693"/>
      <c r="W413" s="744"/>
    </row>
    <row r="414" spans="1:23" s="745" customFormat="1" x14ac:dyDescent="0.25">
      <c r="A414" s="693"/>
      <c r="B414" s="693"/>
      <c r="C414" s="693"/>
      <c r="D414" s="696"/>
      <c r="E414" s="696"/>
      <c r="F414" s="697"/>
      <c r="G414" s="697"/>
      <c r="H414" s="728"/>
      <c r="I414" s="728"/>
      <c r="J414" s="728"/>
      <c r="K414" s="728"/>
      <c r="L414" s="728"/>
      <c r="M414" s="728"/>
      <c r="N414" s="728"/>
      <c r="O414" s="733"/>
      <c r="P414" s="733"/>
      <c r="Q414" s="733"/>
      <c r="R414" s="733"/>
      <c r="S414" s="733"/>
      <c r="T414" s="733"/>
      <c r="U414" s="733"/>
      <c r="V414" s="693"/>
      <c r="W414" s="744"/>
    </row>
    <row r="415" spans="1:23" s="745" customFormat="1" x14ac:dyDescent="0.25">
      <c r="A415" s="693"/>
      <c r="B415" s="693"/>
      <c r="C415" s="693"/>
      <c r="D415" s="696"/>
      <c r="E415" s="696"/>
      <c r="F415" s="697"/>
      <c r="G415" s="697"/>
      <c r="H415" s="728"/>
      <c r="I415" s="728"/>
      <c r="J415" s="728"/>
      <c r="K415" s="728"/>
      <c r="L415" s="728"/>
      <c r="M415" s="728"/>
      <c r="N415" s="728"/>
      <c r="O415" s="733"/>
      <c r="P415" s="733"/>
      <c r="Q415" s="733"/>
      <c r="R415" s="733"/>
      <c r="S415" s="733"/>
      <c r="T415" s="733"/>
      <c r="U415" s="733"/>
      <c r="V415" s="693"/>
      <c r="W415" s="744"/>
    </row>
    <row r="416" spans="1:23" s="745" customFormat="1" x14ac:dyDescent="0.25">
      <c r="A416" s="693"/>
      <c r="B416" s="693"/>
      <c r="C416" s="693"/>
      <c r="D416" s="696"/>
      <c r="E416" s="696"/>
      <c r="F416" s="697"/>
      <c r="G416" s="697"/>
      <c r="H416" s="728"/>
      <c r="I416" s="728"/>
      <c r="J416" s="728"/>
      <c r="K416" s="728"/>
      <c r="L416" s="728"/>
      <c r="M416" s="728"/>
      <c r="N416" s="728"/>
      <c r="O416" s="733"/>
      <c r="P416" s="733"/>
      <c r="Q416" s="733"/>
      <c r="R416" s="733"/>
      <c r="S416" s="733"/>
      <c r="T416" s="733"/>
      <c r="U416" s="733"/>
      <c r="V416" s="693"/>
      <c r="W416" s="744"/>
    </row>
    <row r="417" spans="1:23" s="745" customFormat="1" x14ac:dyDescent="0.25">
      <c r="A417" s="693"/>
      <c r="B417" s="693"/>
      <c r="C417" s="693"/>
      <c r="D417" s="696"/>
      <c r="E417" s="696"/>
      <c r="F417" s="697"/>
      <c r="G417" s="697"/>
      <c r="H417" s="728"/>
      <c r="I417" s="728"/>
      <c r="J417" s="728"/>
      <c r="K417" s="728"/>
      <c r="L417" s="728"/>
      <c r="M417" s="728"/>
      <c r="N417" s="728"/>
      <c r="O417" s="733"/>
      <c r="P417" s="733"/>
      <c r="Q417" s="733"/>
      <c r="R417" s="733"/>
      <c r="S417" s="733"/>
      <c r="T417" s="733"/>
      <c r="U417" s="733"/>
      <c r="V417" s="693"/>
      <c r="W417" s="744"/>
    </row>
    <row r="418" spans="1:23" s="745" customFormat="1" x14ac:dyDescent="0.25">
      <c r="A418" s="693"/>
      <c r="B418" s="693"/>
      <c r="C418" s="693"/>
      <c r="D418" s="696"/>
      <c r="E418" s="696"/>
      <c r="F418" s="697"/>
      <c r="G418" s="697"/>
      <c r="H418" s="728"/>
      <c r="I418" s="728"/>
      <c r="J418" s="728"/>
      <c r="K418" s="728"/>
      <c r="L418" s="728"/>
      <c r="M418" s="728"/>
      <c r="N418" s="728"/>
      <c r="O418" s="733"/>
      <c r="P418" s="733"/>
      <c r="Q418" s="733"/>
      <c r="R418" s="733"/>
      <c r="S418" s="733"/>
      <c r="T418" s="733"/>
      <c r="U418" s="733"/>
      <c r="V418" s="693"/>
      <c r="W418" s="744"/>
    </row>
    <row r="419" spans="1:23" s="745" customFormat="1" x14ac:dyDescent="0.25">
      <c r="A419" s="693"/>
      <c r="B419" s="693"/>
      <c r="C419" s="693"/>
      <c r="D419" s="696"/>
      <c r="E419" s="696"/>
      <c r="F419" s="697"/>
      <c r="G419" s="697"/>
      <c r="H419" s="728"/>
      <c r="I419" s="728"/>
      <c r="J419" s="728"/>
      <c r="K419" s="728"/>
      <c r="L419" s="728"/>
      <c r="M419" s="728"/>
      <c r="N419" s="728"/>
      <c r="O419" s="733"/>
      <c r="P419" s="733"/>
      <c r="Q419" s="733"/>
      <c r="R419" s="733"/>
      <c r="S419" s="733"/>
      <c r="T419" s="733"/>
      <c r="U419" s="733"/>
      <c r="V419" s="693"/>
      <c r="W419" s="744"/>
    </row>
    <row r="420" spans="1:23" s="745" customFormat="1" x14ac:dyDescent="0.25">
      <c r="A420" s="693"/>
      <c r="B420" s="693"/>
      <c r="C420" s="693"/>
      <c r="D420" s="696"/>
      <c r="E420" s="696"/>
      <c r="F420" s="697"/>
      <c r="G420" s="697"/>
      <c r="H420" s="728"/>
      <c r="I420" s="728"/>
      <c r="J420" s="728"/>
      <c r="K420" s="728"/>
      <c r="L420" s="728"/>
      <c r="M420" s="728"/>
      <c r="N420" s="728"/>
      <c r="O420" s="733"/>
      <c r="P420" s="733"/>
      <c r="Q420" s="733"/>
      <c r="R420" s="733"/>
      <c r="S420" s="733"/>
      <c r="T420" s="733"/>
      <c r="U420" s="733"/>
      <c r="V420" s="693"/>
      <c r="W420" s="744"/>
    </row>
    <row r="421" spans="1:23" s="745" customFormat="1" x14ac:dyDescent="0.25">
      <c r="A421" s="693"/>
      <c r="B421" s="693"/>
      <c r="C421" s="693"/>
      <c r="D421" s="696"/>
      <c r="E421" s="696"/>
      <c r="F421" s="697"/>
      <c r="G421" s="697"/>
      <c r="H421" s="728"/>
      <c r="I421" s="728"/>
      <c r="J421" s="728"/>
      <c r="K421" s="728"/>
      <c r="L421" s="728"/>
      <c r="M421" s="728"/>
      <c r="N421" s="728"/>
      <c r="O421" s="733"/>
      <c r="P421" s="733"/>
      <c r="Q421" s="733"/>
      <c r="R421" s="733"/>
      <c r="S421" s="733"/>
      <c r="T421" s="733"/>
      <c r="U421" s="733"/>
      <c r="V421" s="693"/>
      <c r="W421" s="744"/>
    </row>
    <row r="422" spans="1:23" s="745" customFormat="1" x14ac:dyDescent="0.25">
      <c r="A422" s="693"/>
      <c r="B422" s="693"/>
      <c r="C422" s="693"/>
      <c r="D422" s="696"/>
      <c r="E422" s="696"/>
      <c r="F422" s="697"/>
      <c r="G422" s="697"/>
      <c r="H422" s="728"/>
      <c r="I422" s="728"/>
      <c r="J422" s="728"/>
      <c r="K422" s="728"/>
      <c r="L422" s="728"/>
      <c r="M422" s="728"/>
      <c r="N422" s="728"/>
      <c r="O422" s="733"/>
      <c r="P422" s="733"/>
      <c r="Q422" s="733"/>
      <c r="R422" s="733"/>
      <c r="S422" s="733"/>
      <c r="T422" s="733"/>
      <c r="U422" s="733"/>
      <c r="V422" s="693"/>
      <c r="W422" s="744"/>
    </row>
    <row r="423" spans="1:23" s="745" customFormat="1" x14ac:dyDescent="0.25">
      <c r="A423" s="693"/>
      <c r="B423" s="693"/>
      <c r="C423" s="693"/>
      <c r="D423" s="696"/>
      <c r="E423" s="696"/>
      <c r="F423" s="697"/>
      <c r="G423" s="697"/>
      <c r="H423" s="728"/>
      <c r="I423" s="728"/>
      <c r="J423" s="728"/>
      <c r="K423" s="728"/>
      <c r="L423" s="728"/>
      <c r="M423" s="728"/>
      <c r="N423" s="728"/>
      <c r="O423" s="733"/>
      <c r="P423" s="733"/>
      <c r="Q423" s="733"/>
      <c r="R423" s="733"/>
      <c r="S423" s="733"/>
      <c r="T423" s="733"/>
      <c r="U423" s="733"/>
      <c r="V423" s="693"/>
      <c r="W423" s="744"/>
    </row>
    <row r="424" spans="1:23" s="745" customFormat="1" x14ac:dyDescent="0.25">
      <c r="A424" s="693"/>
      <c r="B424" s="693"/>
      <c r="C424" s="693"/>
      <c r="D424" s="696"/>
      <c r="E424" s="696"/>
      <c r="F424" s="697"/>
      <c r="G424" s="697"/>
      <c r="H424" s="728"/>
      <c r="I424" s="728"/>
      <c r="J424" s="728"/>
      <c r="K424" s="728"/>
      <c r="L424" s="728"/>
      <c r="M424" s="728"/>
      <c r="N424" s="728"/>
      <c r="O424" s="733"/>
      <c r="P424" s="733"/>
      <c r="Q424" s="733"/>
      <c r="R424" s="733"/>
      <c r="S424" s="733"/>
      <c r="T424" s="733"/>
      <c r="U424" s="733"/>
      <c r="V424" s="693"/>
      <c r="W424" s="744"/>
    </row>
    <row r="425" spans="1:23" s="745" customFormat="1" x14ac:dyDescent="0.25">
      <c r="A425" s="693"/>
      <c r="B425" s="693"/>
      <c r="C425" s="693"/>
      <c r="D425" s="696"/>
      <c r="E425" s="696"/>
      <c r="F425" s="697"/>
      <c r="G425" s="697"/>
      <c r="H425" s="728"/>
      <c r="I425" s="728"/>
      <c r="J425" s="728"/>
      <c r="K425" s="728"/>
      <c r="L425" s="728"/>
      <c r="M425" s="728"/>
      <c r="N425" s="728"/>
      <c r="O425" s="733"/>
      <c r="P425" s="733"/>
      <c r="Q425" s="733"/>
      <c r="R425" s="733"/>
      <c r="S425" s="733"/>
      <c r="T425" s="733"/>
      <c r="U425" s="733"/>
      <c r="V425" s="693"/>
      <c r="W425" s="744"/>
    </row>
    <row r="426" spans="1:23" s="745" customFormat="1" x14ac:dyDescent="0.25">
      <c r="A426" s="693"/>
      <c r="B426" s="693"/>
      <c r="C426" s="693"/>
      <c r="D426" s="696"/>
      <c r="E426" s="696"/>
      <c r="F426" s="697"/>
      <c r="G426" s="697"/>
      <c r="H426" s="728"/>
      <c r="I426" s="728"/>
      <c r="J426" s="728"/>
      <c r="K426" s="728"/>
      <c r="L426" s="728"/>
      <c r="M426" s="728"/>
      <c r="N426" s="728"/>
      <c r="O426" s="733"/>
      <c r="P426" s="733"/>
      <c r="Q426" s="733"/>
      <c r="R426" s="733"/>
      <c r="S426" s="733"/>
      <c r="T426" s="733"/>
      <c r="U426" s="733"/>
      <c r="V426" s="693"/>
      <c r="W426" s="744"/>
    </row>
    <row r="427" spans="1:23" s="745" customFormat="1" x14ac:dyDescent="0.25">
      <c r="A427" s="693"/>
      <c r="B427" s="693"/>
      <c r="C427" s="693"/>
      <c r="D427" s="696"/>
      <c r="E427" s="696"/>
      <c r="F427" s="697"/>
      <c r="G427" s="697"/>
      <c r="H427" s="728"/>
      <c r="I427" s="728"/>
      <c r="J427" s="728"/>
      <c r="K427" s="728"/>
      <c r="L427" s="728"/>
      <c r="M427" s="728"/>
      <c r="N427" s="728"/>
      <c r="O427" s="733"/>
      <c r="P427" s="733"/>
      <c r="Q427" s="733"/>
      <c r="R427" s="733"/>
      <c r="S427" s="733"/>
      <c r="T427" s="733"/>
      <c r="U427" s="733"/>
      <c r="V427" s="693"/>
      <c r="W427" s="744"/>
    </row>
    <row r="428" spans="1:23" s="745" customFormat="1" x14ac:dyDescent="0.25">
      <c r="A428" s="693"/>
      <c r="B428" s="693"/>
      <c r="C428" s="693"/>
      <c r="D428" s="696"/>
      <c r="E428" s="696"/>
      <c r="F428" s="697"/>
      <c r="G428" s="697"/>
      <c r="H428" s="728"/>
      <c r="I428" s="728"/>
      <c r="J428" s="728"/>
      <c r="K428" s="728"/>
      <c r="L428" s="728"/>
      <c r="M428" s="728"/>
      <c r="N428" s="728"/>
      <c r="O428" s="733"/>
      <c r="P428" s="733"/>
      <c r="Q428" s="733"/>
      <c r="R428" s="733"/>
      <c r="S428" s="733"/>
      <c r="T428" s="733"/>
      <c r="U428" s="733"/>
      <c r="V428" s="693"/>
      <c r="W428" s="744"/>
    </row>
    <row r="429" spans="1:23" s="745" customFormat="1" x14ac:dyDescent="0.25">
      <c r="A429" s="693"/>
      <c r="B429" s="693"/>
      <c r="C429" s="693"/>
      <c r="D429" s="696"/>
      <c r="E429" s="696"/>
      <c r="F429" s="697"/>
      <c r="G429" s="697"/>
      <c r="H429" s="728"/>
      <c r="I429" s="728"/>
      <c r="J429" s="728"/>
      <c r="K429" s="728"/>
      <c r="L429" s="728"/>
      <c r="M429" s="728"/>
      <c r="N429" s="728"/>
      <c r="O429" s="733"/>
      <c r="P429" s="733"/>
      <c r="Q429" s="733"/>
      <c r="R429" s="733"/>
      <c r="S429" s="733"/>
      <c r="T429" s="733"/>
      <c r="U429" s="733"/>
      <c r="V429" s="693"/>
      <c r="W429" s="744"/>
    </row>
    <row r="430" spans="1:23" s="745" customFormat="1" x14ac:dyDescent="0.25">
      <c r="A430" s="693"/>
      <c r="B430" s="693"/>
      <c r="C430" s="693"/>
      <c r="D430" s="696"/>
      <c r="E430" s="696"/>
      <c r="F430" s="697"/>
      <c r="G430" s="697"/>
      <c r="H430" s="728"/>
      <c r="I430" s="728"/>
      <c r="J430" s="728"/>
      <c r="K430" s="728"/>
      <c r="L430" s="728"/>
      <c r="M430" s="728"/>
      <c r="N430" s="728"/>
      <c r="O430" s="733"/>
      <c r="P430" s="733"/>
      <c r="Q430" s="733"/>
      <c r="R430" s="733"/>
      <c r="S430" s="733"/>
      <c r="T430" s="733"/>
      <c r="U430" s="733"/>
      <c r="V430" s="693"/>
      <c r="W430" s="744"/>
    </row>
    <row r="431" spans="1:23" s="745" customFormat="1" x14ac:dyDescent="0.25">
      <c r="A431" s="693"/>
      <c r="B431" s="693"/>
      <c r="C431" s="693"/>
      <c r="D431" s="696"/>
      <c r="E431" s="696"/>
      <c r="F431" s="697"/>
      <c r="G431" s="697"/>
      <c r="H431" s="728"/>
      <c r="I431" s="728"/>
      <c r="J431" s="728"/>
      <c r="K431" s="728"/>
      <c r="L431" s="728"/>
      <c r="M431" s="728"/>
      <c r="N431" s="728"/>
      <c r="O431" s="733"/>
      <c r="P431" s="733"/>
      <c r="Q431" s="733"/>
      <c r="R431" s="733"/>
      <c r="S431" s="733"/>
      <c r="T431" s="733"/>
      <c r="U431" s="733"/>
      <c r="V431" s="693"/>
      <c r="W431" s="744"/>
    </row>
    <row r="432" spans="1:23" s="745" customFormat="1" x14ac:dyDescent="0.25">
      <c r="A432" s="693"/>
      <c r="B432" s="693"/>
      <c r="C432" s="693"/>
      <c r="D432" s="696"/>
      <c r="E432" s="696"/>
      <c r="F432" s="697"/>
      <c r="G432" s="697"/>
      <c r="H432" s="728"/>
      <c r="I432" s="728"/>
      <c r="J432" s="728"/>
      <c r="K432" s="728"/>
      <c r="L432" s="728"/>
      <c r="M432" s="728"/>
      <c r="N432" s="728"/>
      <c r="O432" s="733"/>
      <c r="P432" s="733"/>
      <c r="Q432" s="733"/>
      <c r="R432" s="733"/>
      <c r="S432" s="733"/>
      <c r="T432" s="733"/>
      <c r="U432" s="733"/>
      <c r="V432" s="693"/>
      <c r="W432" s="744"/>
    </row>
    <row r="433" spans="1:23" s="745" customFormat="1" x14ac:dyDescent="0.25">
      <c r="A433" s="693"/>
      <c r="B433" s="693"/>
      <c r="C433" s="693"/>
      <c r="D433" s="696"/>
      <c r="E433" s="696"/>
      <c r="F433" s="697"/>
      <c r="G433" s="697"/>
      <c r="H433" s="728"/>
      <c r="I433" s="728"/>
      <c r="J433" s="728"/>
      <c r="K433" s="728"/>
      <c r="L433" s="728"/>
      <c r="M433" s="728"/>
      <c r="N433" s="728"/>
      <c r="O433" s="733"/>
      <c r="P433" s="733"/>
      <c r="Q433" s="733"/>
      <c r="R433" s="733"/>
      <c r="S433" s="733"/>
      <c r="T433" s="733"/>
      <c r="U433" s="733"/>
      <c r="V433" s="693"/>
      <c r="W433" s="744"/>
    </row>
    <row r="434" spans="1:23" s="745" customFormat="1" x14ac:dyDescent="0.25">
      <c r="A434" s="693"/>
      <c r="B434" s="693"/>
      <c r="C434" s="693"/>
      <c r="D434" s="696"/>
      <c r="E434" s="696"/>
      <c r="F434" s="697"/>
      <c r="G434" s="697"/>
      <c r="H434" s="728"/>
      <c r="I434" s="728"/>
      <c r="J434" s="728"/>
      <c r="K434" s="728"/>
      <c r="L434" s="728"/>
      <c r="M434" s="728"/>
      <c r="N434" s="728"/>
      <c r="O434" s="733"/>
      <c r="P434" s="733"/>
      <c r="Q434" s="733"/>
      <c r="R434" s="733"/>
      <c r="S434" s="733"/>
      <c r="T434" s="733"/>
      <c r="U434" s="733"/>
      <c r="V434" s="693"/>
      <c r="W434" s="744"/>
    </row>
    <row r="435" spans="1:23" s="745" customFormat="1" x14ac:dyDescent="0.25">
      <c r="A435" s="693"/>
      <c r="B435" s="693"/>
      <c r="C435" s="693"/>
      <c r="D435" s="696"/>
      <c r="E435" s="696"/>
      <c r="F435" s="697"/>
      <c r="G435" s="697"/>
      <c r="H435" s="728"/>
      <c r="I435" s="728"/>
      <c r="J435" s="728"/>
      <c r="K435" s="728"/>
      <c r="L435" s="728"/>
      <c r="M435" s="728"/>
      <c r="N435" s="728"/>
      <c r="O435" s="733"/>
      <c r="P435" s="733"/>
      <c r="Q435" s="733"/>
      <c r="R435" s="733"/>
      <c r="S435" s="733"/>
      <c r="T435" s="733"/>
      <c r="U435" s="733"/>
      <c r="V435" s="693"/>
      <c r="W435" s="744"/>
    </row>
    <row r="436" spans="1:23" s="745" customFormat="1" x14ac:dyDescent="0.25">
      <c r="A436" s="693"/>
      <c r="B436" s="693"/>
      <c r="C436" s="693"/>
      <c r="D436" s="696"/>
      <c r="E436" s="696"/>
      <c r="F436" s="697"/>
      <c r="G436" s="697"/>
      <c r="H436" s="728"/>
      <c r="I436" s="728"/>
      <c r="J436" s="728"/>
      <c r="K436" s="728"/>
      <c r="L436" s="728"/>
      <c r="M436" s="728"/>
      <c r="N436" s="728"/>
      <c r="O436" s="733"/>
      <c r="P436" s="733"/>
      <c r="Q436" s="733"/>
      <c r="R436" s="733"/>
      <c r="S436" s="733"/>
      <c r="T436" s="733"/>
      <c r="U436" s="733"/>
      <c r="V436" s="693"/>
      <c r="W436" s="744"/>
    </row>
    <row r="437" spans="1:23" s="745" customFormat="1" x14ac:dyDescent="0.25">
      <c r="A437" s="693"/>
      <c r="B437" s="693"/>
      <c r="C437" s="693"/>
      <c r="D437" s="696"/>
      <c r="E437" s="696"/>
      <c r="F437" s="697"/>
      <c r="G437" s="697"/>
      <c r="H437" s="728"/>
      <c r="I437" s="728"/>
      <c r="J437" s="728"/>
      <c r="K437" s="728"/>
      <c r="L437" s="728"/>
      <c r="M437" s="728"/>
      <c r="N437" s="728"/>
      <c r="O437" s="733"/>
      <c r="P437" s="733"/>
      <c r="Q437" s="733"/>
      <c r="R437" s="733"/>
      <c r="S437" s="733"/>
      <c r="T437" s="733"/>
      <c r="U437" s="733"/>
      <c r="V437" s="693"/>
      <c r="W437" s="744"/>
    </row>
    <row r="438" spans="1:23" s="745" customFormat="1" x14ac:dyDescent="0.25">
      <c r="A438" s="693"/>
      <c r="B438" s="693"/>
      <c r="C438" s="693"/>
      <c r="D438" s="696"/>
      <c r="E438" s="696"/>
      <c r="F438" s="697"/>
      <c r="G438" s="697"/>
      <c r="H438" s="728"/>
      <c r="I438" s="728"/>
      <c r="J438" s="728"/>
      <c r="K438" s="728"/>
      <c r="L438" s="728"/>
      <c r="M438" s="728"/>
      <c r="N438" s="728"/>
      <c r="O438" s="733"/>
      <c r="P438" s="733"/>
      <c r="Q438" s="733"/>
      <c r="R438" s="733"/>
      <c r="S438" s="733"/>
      <c r="T438" s="733"/>
      <c r="U438" s="733"/>
      <c r="V438" s="693"/>
      <c r="W438" s="744"/>
    </row>
    <row r="439" spans="1:23" s="745" customFormat="1" x14ac:dyDescent="0.25">
      <c r="A439" s="693"/>
      <c r="B439" s="693"/>
      <c r="C439" s="693"/>
      <c r="D439" s="696"/>
      <c r="E439" s="696"/>
      <c r="F439" s="697"/>
      <c r="G439" s="697"/>
      <c r="H439" s="728"/>
      <c r="I439" s="728"/>
      <c r="J439" s="728"/>
      <c r="K439" s="728"/>
      <c r="L439" s="728"/>
      <c r="M439" s="728"/>
      <c r="N439" s="728"/>
      <c r="O439" s="733"/>
      <c r="P439" s="733"/>
      <c r="Q439" s="733"/>
      <c r="R439" s="733"/>
      <c r="S439" s="733"/>
      <c r="T439" s="733"/>
      <c r="U439" s="733"/>
      <c r="V439" s="693"/>
      <c r="W439" s="744"/>
    </row>
    <row r="440" spans="1:23" s="745" customFormat="1" x14ac:dyDescent="0.25">
      <c r="A440" s="693"/>
      <c r="B440" s="693"/>
      <c r="C440" s="693"/>
      <c r="D440" s="696"/>
      <c r="E440" s="696"/>
      <c r="F440" s="697"/>
      <c r="G440" s="697"/>
      <c r="H440" s="728"/>
      <c r="I440" s="728"/>
      <c r="J440" s="728"/>
      <c r="K440" s="728"/>
      <c r="L440" s="728"/>
      <c r="M440" s="728"/>
      <c r="N440" s="728"/>
      <c r="O440" s="733"/>
      <c r="P440" s="733"/>
      <c r="Q440" s="733"/>
      <c r="R440" s="733"/>
      <c r="S440" s="733"/>
      <c r="T440" s="733"/>
      <c r="U440" s="733"/>
      <c r="V440" s="693"/>
      <c r="W440" s="744"/>
    </row>
    <row r="441" spans="1:23" s="745" customFormat="1" x14ac:dyDescent="0.25">
      <c r="A441" s="693"/>
      <c r="B441" s="693"/>
      <c r="C441" s="693"/>
      <c r="D441" s="696"/>
      <c r="E441" s="696"/>
      <c r="F441" s="697"/>
      <c r="G441" s="697"/>
      <c r="H441" s="728"/>
      <c r="I441" s="728"/>
      <c r="J441" s="728"/>
      <c r="K441" s="728"/>
      <c r="L441" s="728"/>
      <c r="M441" s="728"/>
      <c r="N441" s="728"/>
      <c r="O441" s="733"/>
      <c r="P441" s="733"/>
      <c r="Q441" s="733"/>
      <c r="R441" s="733"/>
      <c r="S441" s="733"/>
      <c r="T441" s="733"/>
      <c r="U441" s="733"/>
      <c r="V441" s="693"/>
      <c r="W441" s="744"/>
    </row>
    <row r="442" spans="1:23" s="745" customFormat="1" x14ac:dyDescent="0.25">
      <c r="A442" s="693"/>
      <c r="B442" s="693"/>
      <c r="C442" s="693"/>
      <c r="D442" s="696"/>
      <c r="E442" s="696"/>
      <c r="F442" s="697"/>
      <c r="G442" s="697"/>
      <c r="H442" s="728"/>
      <c r="I442" s="728"/>
      <c r="J442" s="728"/>
      <c r="K442" s="728"/>
      <c r="L442" s="728"/>
      <c r="M442" s="728"/>
      <c r="N442" s="728"/>
      <c r="O442" s="733"/>
      <c r="P442" s="733"/>
      <c r="Q442" s="733"/>
      <c r="R442" s="733"/>
      <c r="S442" s="733"/>
      <c r="T442" s="733"/>
      <c r="U442" s="733"/>
      <c r="V442" s="693"/>
      <c r="W442" s="744"/>
    </row>
    <row r="443" spans="1:23" s="745" customFormat="1" x14ac:dyDescent="0.25">
      <c r="A443" s="693"/>
      <c r="B443" s="693"/>
      <c r="C443" s="693"/>
      <c r="D443" s="696"/>
      <c r="E443" s="696"/>
      <c r="F443" s="697"/>
      <c r="G443" s="697"/>
      <c r="H443" s="728"/>
      <c r="I443" s="728"/>
      <c r="J443" s="728"/>
      <c r="K443" s="728"/>
      <c r="L443" s="728"/>
      <c r="M443" s="728"/>
      <c r="N443" s="728"/>
      <c r="O443" s="733"/>
      <c r="P443" s="733"/>
      <c r="Q443" s="733"/>
      <c r="R443" s="733"/>
      <c r="S443" s="733"/>
      <c r="T443" s="733"/>
      <c r="U443" s="733"/>
      <c r="V443" s="693"/>
      <c r="W443" s="744"/>
    </row>
    <row r="444" spans="1:23" s="745" customFormat="1" x14ac:dyDescent="0.25">
      <c r="A444" s="693"/>
      <c r="B444" s="693"/>
      <c r="C444" s="693"/>
      <c r="D444" s="696"/>
      <c r="E444" s="696"/>
      <c r="F444" s="697"/>
      <c r="G444" s="697"/>
      <c r="H444" s="728"/>
      <c r="I444" s="728"/>
      <c r="J444" s="728"/>
      <c r="K444" s="728"/>
      <c r="L444" s="728"/>
      <c r="M444" s="728"/>
      <c r="N444" s="728"/>
      <c r="O444" s="733"/>
      <c r="P444" s="733"/>
      <c r="Q444" s="733"/>
      <c r="R444" s="733"/>
      <c r="S444" s="733"/>
      <c r="T444" s="733"/>
      <c r="U444" s="733"/>
      <c r="V444" s="693"/>
      <c r="W444" s="744"/>
    </row>
    <row r="445" spans="1:23" s="745" customFormat="1" x14ac:dyDescent="0.25">
      <c r="A445" s="693"/>
      <c r="B445" s="693"/>
      <c r="C445" s="693"/>
      <c r="D445" s="696"/>
      <c r="E445" s="696"/>
      <c r="F445" s="697"/>
      <c r="G445" s="697"/>
      <c r="H445" s="728"/>
      <c r="I445" s="728"/>
      <c r="J445" s="728"/>
      <c r="K445" s="728"/>
      <c r="L445" s="728"/>
      <c r="M445" s="728"/>
      <c r="N445" s="728"/>
      <c r="O445" s="733"/>
      <c r="P445" s="733"/>
      <c r="Q445" s="733"/>
      <c r="R445" s="733"/>
      <c r="S445" s="733"/>
      <c r="T445" s="733"/>
      <c r="U445" s="733"/>
      <c r="V445" s="693"/>
      <c r="W445" s="744"/>
    </row>
    <row r="446" spans="1:23" s="745" customFormat="1" x14ac:dyDescent="0.25">
      <c r="A446" s="693"/>
      <c r="B446" s="693"/>
      <c r="C446" s="693"/>
      <c r="D446" s="696"/>
      <c r="E446" s="696"/>
      <c r="F446" s="697"/>
      <c r="G446" s="697"/>
      <c r="H446" s="728"/>
      <c r="I446" s="728"/>
      <c r="J446" s="728"/>
      <c r="K446" s="728"/>
      <c r="L446" s="728"/>
      <c r="M446" s="728"/>
      <c r="N446" s="728"/>
      <c r="O446" s="733"/>
      <c r="P446" s="733"/>
      <c r="Q446" s="733"/>
      <c r="R446" s="733"/>
      <c r="S446" s="733"/>
      <c r="T446" s="733"/>
      <c r="U446" s="733"/>
      <c r="V446" s="693"/>
      <c r="W446" s="744"/>
    </row>
    <row r="447" spans="1:23" s="745" customFormat="1" x14ac:dyDescent="0.25">
      <c r="A447" s="693"/>
      <c r="B447" s="693"/>
      <c r="C447" s="693"/>
      <c r="D447" s="696"/>
      <c r="E447" s="696"/>
      <c r="F447" s="697"/>
      <c r="G447" s="697"/>
      <c r="H447" s="728"/>
      <c r="I447" s="728"/>
      <c r="J447" s="728"/>
      <c r="K447" s="728"/>
      <c r="L447" s="728"/>
      <c r="M447" s="728"/>
      <c r="N447" s="728"/>
      <c r="O447" s="733"/>
      <c r="P447" s="733"/>
      <c r="Q447" s="733"/>
      <c r="R447" s="733"/>
      <c r="S447" s="733"/>
      <c r="T447" s="733"/>
      <c r="U447" s="733"/>
      <c r="V447" s="693"/>
      <c r="W447" s="744"/>
    </row>
    <row r="448" spans="1:23" s="745" customFormat="1" x14ac:dyDescent="0.25">
      <c r="A448" s="693"/>
      <c r="B448" s="693"/>
      <c r="C448" s="693"/>
      <c r="D448" s="696"/>
      <c r="E448" s="696"/>
      <c r="F448" s="697"/>
      <c r="G448" s="697"/>
      <c r="H448" s="728"/>
      <c r="I448" s="728"/>
      <c r="J448" s="728"/>
      <c r="K448" s="728"/>
      <c r="L448" s="728"/>
      <c r="M448" s="728"/>
      <c r="N448" s="728"/>
      <c r="O448" s="733"/>
      <c r="P448" s="733"/>
      <c r="Q448" s="733"/>
      <c r="R448" s="733"/>
      <c r="S448" s="733"/>
      <c r="T448" s="733"/>
      <c r="U448" s="733"/>
      <c r="V448" s="693"/>
      <c r="W448" s="744"/>
    </row>
    <row r="449" spans="1:23" s="745" customFormat="1" x14ac:dyDescent="0.25">
      <c r="A449" s="693"/>
      <c r="B449" s="693"/>
      <c r="C449" s="693"/>
      <c r="D449" s="696"/>
      <c r="E449" s="696"/>
      <c r="F449" s="697"/>
      <c r="G449" s="697"/>
      <c r="H449" s="728"/>
      <c r="I449" s="728"/>
      <c r="J449" s="728"/>
      <c r="K449" s="728"/>
      <c r="L449" s="728"/>
      <c r="M449" s="728"/>
      <c r="N449" s="728"/>
      <c r="O449" s="733"/>
      <c r="P449" s="733"/>
      <c r="Q449" s="733"/>
      <c r="R449" s="733"/>
      <c r="S449" s="733"/>
      <c r="T449" s="733"/>
      <c r="U449" s="733"/>
      <c r="V449" s="693"/>
      <c r="W449" s="744"/>
    </row>
    <row r="450" spans="1:23" s="745" customFormat="1" x14ac:dyDescent="0.25">
      <c r="A450" s="693"/>
      <c r="B450" s="693"/>
      <c r="C450" s="693"/>
      <c r="D450" s="696"/>
      <c r="E450" s="696"/>
      <c r="F450" s="697"/>
      <c r="G450" s="697"/>
      <c r="H450" s="728"/>
      <c r="I450" s="728"/>
      <c r="J450" s="728"/>
      <c r="K450" s="728"/>
      <c r="L450" s="728"/>
      <c r="M450" s="728"/>
      <c r="N450" s="728"/>
      <c r="O450" s="733"/>
      <c r="P450" s="733"/>
      <c r="Q450" s="733"/>
      <c r="R450" s="733"/>
      <c r="S450" s="733"/>
      <c r="T450" s="733"/>
      <c r="U450" s="733"/>
      <c r="V450" s="693"/>
      <c r="W450" s="744"/>
    </row>
    <row r="451" spans="1:23" s="745" customFormat="1" x14ac:dyDescent="0.25">
      <c r="A451" s="693"/>
      <c r="B451" s="693"/>
      <c r="C451" s="693"/>
      <c r="D451" s="696"/>
      <c r="E451" s="696"/>
      <c r="F451" s="697"/>
      <c r="G451" s="697"/>
      <c r="H451" s="728"/>
      <c r="I451" s="728"/>
      <c r="J451" s="728"/>
      <c r="K451" s="728"/>
      <c r="L451" s="728"/>
      <c r="M451" s="728"/>
      <c r="N451" s="728"/>
      <c r="O451" s="733"/>
      <c r="P451" s="733"/>
      <c r="Q451" s="733"/>
      <c r="R451" s="733"/>
      <c r="S451" s="733"/>
      <c r="T451" s="733"/>
      <c r="U451" s="733"/>
      <c r="V451" s="693"/>
      <c r="W451" s="744"/>
    </row>
    <row r="452" spans="1:23" s="745" customFormat="1" x14ac:dyDescent="0.25">
      <c r="A452" s="693"/>
      <c r="B452" s="693"/>
      <c r="C452" s="693"/>
      <c r="D452" s="696"/>
      <c r="E452" s="696"/>
      <c r="F452" s="697"/>
      <c r="G452" s="697"/>
      <c r="H452" s="728"/>
      <c r="I452" s="728"/>
      <c r="J452" s="728"/>
      <c r="K452" s="728"/>
      <c r="L452" s="728"/>
      <c r="M452" s="728"/>
      <c r="N452" s="728"/>
      <c r="O452" s="733"/>
      <c r="P452" s="733"/>
      <c r="Q452" s="733"/>
      <c r="R452" s="733"/>
      <c r="S452" s="733"/>
      <c r="T452" s="733"/>
      <c r="U452" s="733"/>
      <c r="V452" s="693"/>
      <c r="W452" s="744"/>
    </row>
    <row r="453" spans="1:23" s="745" customFormat="1" x14ac:dyDescent="0.25">
      <c r="A453" s="693"/>
      <c r="B453" s="693"/>
      <c r="C453" s="693"/>
      <c r="D453" s="696"/>
      <c r="E453" s="696"/>
      <c r="F453" s="697"/>
      <c r="G453" s="697"/>
      <c r="H453" s="728"/>
      <c r="I453" s="728"/>
      <c r="J453" s="728"/>
      <c r="K453" s="728"/>
      <c r="L453" s="728"/>
      <c r="M453" s="728"/>
      <c r="N453" s="728"/>
      <c r="O453" s="733"/>
      <c r="P453" s="733"/>
      <c r="Q453" s="733"/>
      <c r="R453" s="733"/>
      <c r="S453" s="733"/>
      <c r="T453" s="733"/>
      <c r="U453" s="733"/>
      <c r="V453" s="693"/>
      <c r="W453" s="744"/>
    </row>
    <row r="454" spans="1:23" s="745" customFormat="1" x14ac:dyDescent="0.25">
      <c r="A454" s="693"/>
      <c r="B454" s="693"/>
      <c r="C454" s="693"/>
      <c r="D454" s="696"/>
      <c r="E454" s="696"/>
      <c r="F454" s="697"/>
      <c r="G454" s="697"/>
      <c r="H454" s="728"/>
      <c r="I454" s="728"/>
      <c r="J454" s="728"/>
      <c r="K454" s="728"/>
      <c r="L454" s="728"/>
      <c r="M454" s="728"/>
      <c r="N454" s="728"/>
      <c r="O454" s="733"/>
      <c r="P454" s="733"/>
      <c r="Q454" s="733"/>
      <c r="R454" s="733"/>
      <c r="S454" s="733"/>
      <c r="T454" s="733"/>
      <c r="U454" s="733"/>
      <c r="V454" s="693"/>
      <c r="W454" s="744"/>
    </row>
    <row r="455" spans="1:23" s="745" customFormat="1" x14ac:dyDescent="0.25">
      <c r="A455" s="693"/>
      <c r="B455" s="693"/>
      <c r="C455" s="693"/>
      <c r="D455" s="696"/>
      <c r="E455" s="696"/>
      <c r="F455" s="697"/>
      <c r="G455" s="697"/>
      <c r="H455" s="728"/>
      <c r="I455" s="728"/>
      <c r="J455" s="728"/>
      <c r="K455" s="728"/>
      <c r="L455" s="728"/>
      <c r="M455" s="728"/>
      <c r="N455" s="728"/>
      <c r="O455" s="733"/>
      <c r="P455" s="733"/>
      <c r="Q455" s="733"/>
      <c r="R455" s="733"/>
      <c r="S455" s="733"/>
      <c r="T455" s="733"/>
      <c r="U455" s="733"/>
      <c r="V455" s="693"/>
      <c r="W455" s="744"/>
    </row>
    <row r="456" spans="1:23" s="745" customFormat="1" x14ac:dyDescent="0.25">
      <c r="A456" s="693"/>
      <c r="B456" s="693"/>
      <c r="C456" s="693"/>
      <c r="D456" s="696"/>
      <c r="E456" s="696"/>
      <c r="F456" s="697"/>
      <c r="G456" s="697"/>
      <c r="H456" s="728"/>
      <c r="I456" s="728"/>
      <c r="J456" s="728"/>
      <c r="K456" s="728"/>
      <c r="L456" s="728"/>
      <c r="M456" s="728"/>
      <c r="N456" s="728"/>
      <c r="O456" s="733"/>
      <c r="P456" s="733"/>
      <c r="Q456" s="733"/>
      <c r="R456" s="733"/>
      <c r="S456" s="733"/>
      <c r="T456" s="733"/>
      <c r="U456" s="733"/>
      <c r="V456" s="693"/>
      <c r="W456" s="744"/>
    </row>
    <row r="457" spans="1:23" s="745" customFormat="1" x14ac:dyDescent="0.25">
      <c r="A457" s="693"/>
      <c r="B457" s="693"/>
      <c r="C457" s="693"/>
      <c r="D457" s="696"/>
      <c r="E457" s="696"/>
      <c r="F457" s="697"/>
      <c r="G457" s="697"/>
      <c r="H457" s="728"/>
      <c r="I457" s="728"/>
      <c r="J457" s="728"/>
      <c r="K457" s="728"/>
      <c r="L457" s="728"/>
      <c r="M457" s="728"/>
      <c r="N457" s="728"/>
      <c r="O457" s="733"/>
      <c r="P457" s="733"/>
      <c r="Q457" s="733"/>
      <c r="R457" s="733"/>
      <c r="S457" s="733"/>
      <c r="T457" s="733"/>
      <c r="U457" s="733"/>
      <c r="V457" s="693"/>
      <c r="W457" s="744"/>
    </row>
    <row r="458" spans="1:23" s="745" customFormat="1" x14ac:dyDescent="0.25">
      <c r="A458" s="693"/>
      <c r="B458" s="693"/>
      <c r="C458" s="693"/>
      <c r="D458" s="696"/>
      <c r="E458" s="696"/>
      <c r="F458" s="697"/>
      <c r="G458" s="697"/>
      <c r="H458" s="728"/>
      <c r="I458" s="728"/>
      <c r="J458" s="728"/>
      <c r="K458" s="728"/>
      <c r="L458" s="728"/>
      <c r="M458" s="728"/>
      <c r="N458" s="728"/>
      <c r="O458" s="733"/>
      <c r="P458" s="733"/>
      <c r="Q458" s="733"/>
      <c r="R458" s="733"/>
      <c r="S458" s="733"/>
      <c r="T458" s="733"/>
      <c r="U458" s="733"/>
      <c r="V458" s="693"/>
      <c r="W458" s="744"/>
    </row>
    <row r="459" spans="1:23" s="745" customFormat="1" x14ac:dyDescent="0.25">
      <c r="A459" s="693"/>
      <c r="B459" s="693"/>
      <c r="C459" s="693"/>
      <c r="D459" s="696"/>
      <c r="E459" s="696"/>
      <c r="F459" s="697"/>
      <c r="G459" s="697"/>
      <c r="H459" s="728"/>
      <c r="I459" s="728"/>
      <c r="J459" s="728"/>
      <c r="K459" s="728"/>
      <c r="L459" s="728"/>
      <c r="M459" s="728"/>
      <c r="N459" s="728"/>
      <c r="O459" s="733"/>
      <c r="P459" s="733"/>
      <c r="Q459" s="733"/>
      <c r="R459" s="733"/>
      <c r="S459" s="733"/>
      <c r="T459" s="733"/>
      <c r="U459" s="733"/>
      <c r="V459" s="693"/>
      <c r="W459" s="744"/>
    </row>
    <row r="460" spans="1:23" s="745" customFormat="1" x14ac:dyDescent="0.25">
      <c r="A460" s="693"/>
      <c r="B460" s="693"/>
      <c r="C460" s="693"/>
      <c r="D460" s="696"/>
      <c r="E460" s="696"/>
      <c r="F460" s="697"/>
      <c r="G460" s="697"/>
      <c r="H460" s="728"/>
      <c r="I460" s="728"/>
      <c r="J460" s="728"/>
      <c r="K460" s="728"/>
      <c r="L460" s="728"/>
      <c r="M460" s="728"/>
      <c r="N460" s="728"/>
      <c r="O460" s="733"/>
      <c r="P460" s="733"/>
      <c r="Q460" s="733"/>
      <c r="R460" s="733"/>
      <c r="S460" s="733"/>
      <c r="T460" s="733"/>
      <c r="U460" s="733"/>
      <c r="V460" s="693"/>
      <c r="W460" s="744"/>
    </row>
    <row r="461" spans="1:23" s="745" customFormat="1" x14ac:dyDescent="0.25">
      <c r="A461" s="693"/>
      <c r="B461" s="693"/>
      <c r="C461" s="693"/>
      <c r="D461" s="696"/>
      <c r="E461" s="696"/>
      <c r="F461" s="697"/>
      <c r="G461" s="697"/>
      <c r="H461" s="728"/>
      <c r="I461" s="728"/>
      <c r="J461" s="728"/>
      <c r="K461" s="728"/>
      <c r="L461" s="728"/>
      <c r="M461" s="728"/>
      <c r="N461" s="728"/>
      <c r="O461" s="733"/>
      <c r="P461" s="733"/>
      <c r="Q461" s="733"/>
      <c r="R461" s="733"/>
      <c r="S461" s="733"/>
      <c r="T461" s="733"/>
      <c r="U461" s="733"/>
      <c r="V461" s="693"/>
      <c r="W461" s="744"/>
    </row>
    <row r="462" spans="1:23" s="745" customFormat="1" x14ac:dyDescent="0.25">
      <c r="A462" s="693"/>
      <c r="B462" s="693"/>
      <c r="C462" s="693"/>
      <c r="D462" s="696"/>
      <c r="E462" s="696"/>
      <c r="F462" s="697"/>
      <c r="G462" s="697"/>
      <c r="H462" s="728"/>
      <c r="I462" s="728"/>
      <c r="J462" s="728"/>
      <c r="K462" s="728"/>
      <c r="L462" s="728"/>
      <c r="M462" s="728"/>
      <c r="N462" s="728"/>
      <c r="O462" s="733"/>
      <c r="P462" s="733"/>
      <c r="Q462" s="733"/>
      <c r="R462" s="733"/>
      <c r="S462" s="733"/>
      <c r="T462" s="733"/>
      <c r="U462" s="733"/>
      <c r="V462" s="693"/>
      <c r="W462" s="744"/>
    </row>
    <row r="463" spans="1:23" s="745" customFormat="1" x14ac:dyDescent="0.25">
      <c r="A463" s="693"/>
      <c r="B463" s="693"/>
      <c r="C463" s="693"/>
      <c r="D463" s="696"/>
      <c r="E463" s="696"/>
      <c r="F463" s="697"/>
      <c r="G463" s="697"/>
      <c r="H463" s="728"/>
      <c r="I463" s="728"/>
      <c r="J463" s="728"/>
      <c r="K463" s="728"/>
      <c r="L463" s="728"/>
      <c r="M463" s="728"/>
      <c r="N463" s="728"/>
      <c r="O463" s="733"/>
      <c r="P463" s="733"/>
      <c r="Q463" s="733"/>
      <c r="R463" s="733"/>
      <c r="S463" s="733"/>
      <c r="T463" s="733"/>
      <c r="U463" s="733"/>
      <c r="V463" s="693"/>
      <c r="W463" s="744"/>
    </row>
    <row r="464" spans="1:23" s="745" customFormat="1" x14ac:dyDescent="0.25">
      <c r="A464" s="693"/>
      <c r="B464" s="693"/>
      <c r="C464" s="693"/>
      <c r="D464" s="696"/>
      <c r="E464" s="696"/>
      <c r="F464" s="697"/>
      <c r="G464" s="697"/>
      <c r="H464" s="728"/>
      <c r="I464" s="728"/>
      <c r="J464" s="728"/>
      <c r="K464" s="728"/>
      <c r="L464" s="728"/>
      <c r="M464" s="728"/>
      <c r="N464" s="728"/>
      <c r="O464" s="733"/>
      <c r="P464" s="733"/>
      <c r="Q464" s="733"/>
      <c r="R464" s="733"/>
      <c r="S464" s="733"/>
      <c r="T464" s="733"/>
      <c r="U464" s="733"/>
      <c r="V464" s="693"/>
      <c r="W464" s="744"/>
    </row>
    <row r="465" spans="1:23" s="745" customFormat="1" x14ac:dyDescent="0.25">
      <c r="A465" s="693"/>
      <c r="B465" s="693"/>
      <c r="C465" s="693"/>
      <c r="D465" s="696"/>
      <c r="E465" s="696"/>
      <c r="F465" s="697"/>
      <c r="G465" s="697"/>
      <c r="H465" s="728"/>
      <c r="I465" s="728"/>
      <c r="J465" s="728"/>
      <c r="K465" s="728"/>
      <c r="L465" s="728"/>
      <c r="M465" s="728"/>
      <c r="N465" s="728"/>
      <c r="O465" s="733"/>
      <c r="P465" s="733"/>
      <c r="Q465" s="733"/>
      <c r="R465" s="733"/>
      <c r="S465" s="733"/>
      <c r="T465" s="733"/>
      <c r="U465" s="733"/>
      <c r="V465" s="693"/>
      <c r="W465" s="744"/>
    </row>
    <row r="466" spans="1:23" s="745" customFormat="1" x14ac:dyDescent="0.25">
      <c r="A466" s="693"/>
      <c r="B466" s="693"/>
      <c r="C466" s="693"/>
      <c r="D466" s="696"/>
      <c r="E466" s="696"/>
      <c r="F466" s="697"/>
      <c r="G466" s="697"/>
      <c r="H466" s="728"/>
      <c r="I466" s="728"/>
      <c r="J466" s="728"/>
      <c r="K466" s="728"/>
      <c r="L466" s="728"/>
      <c r="M466" s="728"/>
      <c r="N466" s="728"/>
      <c r="O466" s="733"/>
      <c r="P466" s="733"/>
      <c r="Q466" s="733"/>
      <c r="R466" s="733"/>
      <c r="S466" s="733"/>
      <c r="T466" s="733"/>
      <c r="U466" s="733"/>
      <c r="V466" s="693"/>
      <c r="W466" s="744"/>
    </row>
    <row r="467" spans="1:23" s="745" customFormat="1" x14ac:dyDescent="0.25">
      <c r="A467" s="693"/>
      <c r="B467" s="693"/>
      <c r="C467" s="693"/>
      <c r="D467" s="696"/>
      <c r="E467" s="696"/>
      <c r="F467" s="697"/>
      <c r="G467" s="697"/>
      <c r="H467" s="728"/>
      <c r="I467" s="728"/>
      <c r="J467" s="728"/>
      <c r="K467" s="728"/>
      <c r="L467" s="728"/>
      <c r="M467" s="728"/>
      <c r="N467" s="728"/>
      <c r="O467" s="733"/>
      <c r="P467" s="733"/>
      <c r="Q467" s="733"/>
      <c r="R467" s="733"/>
      <c r="S467" s="733"/>
      <c r="T467" s="733"/>
      <c r="U467" s="733"/>
      <c r="V467" s="693"/>
      <c r="W467" s="744"/>
    </row>
    <row r="468" spans="1:23" s="745" customFormat="1" x14ac:dyDescent="0.25">
      <c r="A468" s="693"/>
      <c r="B468" s="693"/>
      <c r="C468" s="693"/>
      <c r="D468" s="696"/>
      <c r="E468" s="696"/>
      <c r="F468" s="697"/>
      <c r="G468" s="697"/>
      <c r="H468" s="728"/>
      <c r="I468" s="728"/>
      <c r="J468" s="728"/>
      <c r="K468" s="728"/>
      <c r="L468" s="728"/>
      <c r="M468" s="728"/>
      <c r="N468" s="728"/>
      <c r="O468" s="733"/>
      <c r="P468" s="733"/>
      <c r="Q468" s="733"/>
      <c r="R468" s="733"/>
      <c r="S468" s="733"/>
      <c r="T468" s="733"/>
      <c r="U468" s="733"/>
      <c r="V468" s="693"/>
      <c r="W468" s="744"/>
    </row>
    <row r="469" spans="1:23" s="745" customFormat="1" x14ac:dyDescent="0.25">
      <c r="A469" s="693"/>
      <c r="B469" s="693"/>
      <c r="C469" s="693"/>
      <c r="D469" s="696"/>
      <c r="E469" s="696"/>
      <c r="F469" s="697"/>
      <c r="G469" s="697"/>
      <c r="H469" s="728"/>
      <c r="I469" s="728"/>
      <c r="J469" s="728"/>
      <c r="K469" s="728"/>
      <c r="L469" s="728"/>
      <c r="M469" s="728"/>
      <c r="N469" s="728"/>
      <c r="O469" s="733"/>
      <c r="P469" s="733"/>
      <c r="Q469" s="733"/>
      <c r="R469" s="733"/>
      <c r="S469" s="733"/>
      <c r="T469" s="733"/>
      <c r="U469" s="733"/>
      <c r="V469" s="693"/>
      <c r="W469" s="744"/>
    </row>
    <row r="470" spans="1:23" s="745" customFormat="1" x14ac:dyDescent="0.25">
      <c r="A470" s="693"/>
      <c r="B470" s="693"/>
      <c r="C470" s="693"/>
      <c r="D470" s="696"/>
      <c r="E470" s="696"/>
      <c r="F470" s="697"/>
      <c r="G470" s="697"/>
      <c r="H470" s="728"/>
      <c r="I470" s="728"/>
      <c r="J470" s="728"/>
      <c r="K470" s="728"/>
      <c r="L470" s="728"/>
      <c r="M470" s="728"/>
      <c r="N470" s="728"/>
      <c r="O470" s="733"/>
      <c r="P470" s="733"/>
      <c r="Q470" s="733"/>
      <c r="R470" s="733"/>
      <c r="S470" s="733"/>
      <c r="T470" s="733"/>
      <c r="U470" s="733"/>
      <c r="V470" s="693"/>
      <c r="W470" s="744"/>
    </row>
    <row r="471" spans="1:23" s="745" customFormat="1" x14ac:dyDescent="0.25">
      <c r="A471" s="693"/>
      <c r="B471" s="693"/>
      <c r="C471" s="693"/>
      <c r="D471" s="696"/>
      <c r="E471" s="696"/>
      <c r="F471" s="697"/>
      <c r="G471" s="697"/>
      <c r="H471" s="728"/>
      <c r="I471" s="728"/>
      <c r="J471" s="728"/>
      <c r="K471" s="728"/>
      <c r="L471" s="728"/>
      <c r="M471" s="728"/>
      <c r="N471" s="728"/>
      <c r="O471" s="733"/>
      <c r="P471" s="733"/>
      <c r="Q471" s="733"/>
      <c r="R471" s="733"/>
      <c r="S471" s="733"/>
      <c r="T471" s="733"/>
      <c r="U471" s="733"/>
      <c r="V471" s="693"/>
      <c r="W471" s="744"/>
    </row>
    <row r="472" spans="1:23" s="745" customFormat="1" x14ac:dyDescent="0.25">
      <c r="A472" s="693"/>
      <c r="B472" s="693"/>
      <c r="C472" s="693"/>
      <c r="D472" s="696"/>
      <c r="E472" s="696"/>
      <c r="F472" s="697"/>
      <c r="G472" s="697"/>
      <c r="H472" s="728"/>
      <c r="I472" s="728"/>
      <c r="J472" s="728"/>
      <c r="K472" s="728"/>
      <c r="L472" s="728"/>
      <c r="M472" s="728"/>
      <c r="N472" s="728"/>
      <c r="O472" s="733"/>
      <c r="P472" s="733"/>
      <c r="Q472" s="733"/>
      <c r="R472" s="733"/>
      <c r="S472" s="733"/>
      <c r="T472" s="733"/>
      <c r="U472" s="733"/>
      <c r="V472" s="693"/>
      <c r="W472" s="744"/>
    </row>
    <row r="473" spans="1:23" s="745" customFormat="1" x14ac:dyDescent="0.25">
      <c r="A473" s="693"/>
      <c r="B473" s="693"/>
      <c r="C473" s="693"/>
      <c r="D473" s="696"/>
      <c r="E473" s="696"/>
      <c r="F473" s="697"/>
      <c r="G473" s="697"/>
      <c r="H473" s="728"/>
      <c r="I473" s="728"/>
      <c r="J473" s="728"/>
      <c r="K473" s="728"/>
      <c r="L473" s="728"/>
      <c r="M473" s="728"/>
      <c r="N473" s="728"/>
      <c r="O473" s="733"/>
      <c r="P473" s="733"/>
      <c r="Q473" s="733"/>
      <c r="R473" s="733"/>
      <c r="S473" s="733"/>
      <c r="T473" s="733"/>
      <c r="U473" s="733"/>
      <c r="V473" s="693"/>
      <c r="W473" s="744"/>
    </row>
    <row r="474" spans="1:23" s="745" customFormat="1" x14ac:dyDescent="0.25">
      <c r="A474" s="693"/>
      <c r="B474" s="693"/>
      <c r="C474" s="693"/>
      <c r="D474" s="696"/>
      <c r="E474" s="696"/>
      <c r="F474" s="697"/>
      <c r="G474" s="697"/>
      <c r="H474" s="728"/>
      <c r="I474" s="728"/>
      <c r="J474" s="728"/>
      <c r="K474" s="728"/>
      <c r="L474" s="728"/>
      <c r="M474" s="728"/>
      <c r="N474" s="728"/>
      <c r="O474" s="733"/>
      <c r="P474" s="733"/>
      <c r="Q474" s="733"/>
      <c r="R474" s="733"/>
      <c r="S474" s="733"/>
      <c r="T474" s="733"/>
      <c r="U474" s="733"/>
      <c r="V474" s="693"/>
      <c r="W474" s="744"/>
    </row>
    <row r="475" spans="1:23" s="745" customFormat="1" x14ac:dyDescent="0.25">
      <c r="A475" s="693"/>
      <c r="B475" s="693"/>
      <c r="C475" s="693"/>
      <c r="D475" s="696"/>
      <c r="E475" s="696"/>
      <c r="F475" s="697"/>
      <c r="G475" s="697"/>
      <c r="H475" s="728"/>
      <c r="I475" s="728"/>
      <c r="J475" s="728"/>
      <c r="K475" s="728"/>
      <c r="L475" s="728"/>
      <c r="M475" s="728"/>
      <c r="N475" s="728"/>
      <c r="O475" s="733"/>
      <c r="P475" s="733"/>
      <c r="Q475" s="733"/>
      <c r="R475" s="733"/>
      <c r="S475" s="733"/>
      <c r="T475" s="733"/>
      <c r="U475" s="733"/>
      <c r="V475" s="693"/>
      <c r="W475" s="744"/>
    </row>
    <row r="476" spans="1:23" s="745" customFormat="1" x14ac:dyDescent="0.25">
      <c r="A476" s="693"/>
      <c r="B476" s="693"/>
      <c r="C476" s="693"/>
      <c r="D476" s="696"/>
      <c r="E476" s="696"/>
      <c r="F476" s="697"/>
      <c r="G476" s="697"/>
      <c r="H476" s="728"/>
      <c r="I476" s="728"/>
      <c r="J476" s="728"/>
      <c r="K476" s="728"/>
      <c r="L476" s="728"/>
      <c r="M476" s="728"/>
      <c r="N476" s="728"/>
      <c r="O476" s="733"/>
      <c r="P476" s="733"/>
      <c r="Q476" s="733"/>
      <c r="R476" s="733"/>
      <c r="S476" s="733"/>
      <c r="T476" s="733"/>
      <c r="U476" s="733"/>
      <c r="V476" s="693"/>
      <c r="W476" s="744"/>
    </row>
    <row r="477" spans="1:23" s="745" customFormat="1" x14ac:dyDescent="0.25">
      <c r="A477" s="693"/>
      <c r="B477" s="693"/>
      <c r="C477" s="693"/>
      <c r="D477" s="696"/>
      <c r="E477" s="696"/>
      <c r="F477" s="697"/>
      <c r="G477" s="697"/>
      <c r="H477" s="728"/>
      <c r="I477" s="728"/>
      <c r="J477" s="728"/>
      <c r="K477" s="728"/>
      <c r="L477" s="728"/>
      <c r="M477" s="728"/>
      <c r="N477" s="728"/>
      <c r="O477" s="733"/>
      <c r="P477" s="733"/>
      <c r="Q477" s="733"/>
      <c r="R477" s="733"/>
      <c r="S477" s="733"/>
      <c r="T477" s="733"/>
      <c r="U477" s="733"/>
      <c r="V477" s="693"/>
      <c r="W477" s="744"/>
    </row>
    <row r="478" spans="1:23" s="745" customFormat="1" x14ac:dyDescent="0.25">
      <c r="A478" s="693"/>
      <c r="B478" s="693"/>
      <c r="C478" s="693"/>
      <c r="D478" s="696"/>
      <c r="E478" s="696"/>
      <c r="F478" s="697"/>
      <c r="G478" s="697"/>
      <c r="H478" s="728"/>
      <c r="I478" s="728"/>
      <c r="J478" s="728"/>
      <c r="K478" s="728"/>
      <c r="L478" s="728"/>
      <c r="M478" s="728"/>
      <c r="N478" s="728"/>
      <c r="O478" s="733"/>
      <c r="P478" s="733"/>
      <c r="Q478" s="733"/>
      <c r="R478" s="733"/>
      <c r="S478" s="733"/>
      <c r="T478" s="733"/>
      <c r="U478" s="733"/>
      <c r="V478" s="693"/>
      <c r="W478" s="744"/>
    </row>
    <row r="479" spans="1:23" s="745" customFormat="1" x14ac:dyDescent="0.25">
      <c r="A479" s="693"/>
      <c r="B479" s="693"/>
      <c r="C479" s="693"/>
      <c r="D479" s="696"/>
      <c r="E479" s="696"/>
      <c r="F479" s="697"/>
      <c r="G479" s="697"/>
      <c r="H479" s="728"/>
      <c r="I479" s="728"/>
      <c r="J479" s="728"/>
      <c r="K479" s="728"/>
      <c r="L479" s="728"/>
      <c r="M479" s="728"/>
      <c r="N479" s="728"/>
      <c r="O479" s="733"/>
      <c r="P479" s="733"/>
      <c r="Q479" s="733"/>
      <c r="R479" s="733"/>
      <c r="S479" s="733"/>
      <c r="T479" s="733"/>
      <c r="U479" s="733"/>
      <c r="V479" s="693"/>
      <c r="W479" s="744"/>
    </row>
    <row r="480" spans="1:23" s="745" customFormat="1" x14ac:dyDescent="0.25">
      <c r="A480" s="693"/>
      <c r="B480" s="693"/>
      <c r="C480" s="693"/>
      <c r="D480" s="696"/>
      <c r="E480" s="696"/>
      <c r="F480" s="697"/>
      <c r="G480" s="697"/>
      <c r="H480" s="728"/>
      <c r="I480" s="728"/>
      <c r="J480" s="728"/>
      <c r="K480" s="728"/>
      <c r="L480" s="728"/>
      <c r="M480" s="728"/>
      <c r="N480" s="728"/>
      <c r="O480" s="733"/>
      <c r="P480" s="733"/>
      <c r="Q480" s="733"/>
      <c r="R480" s="733"/>
      <c r="S480" s="733"/>
      <c r="T480" s="733"/>
      <c r="U480" s="733"/>
      <c r="V480" s="693"/>
      <c r="W480" s="744"/>
    </row>
    <row r="481" spans="1:23" s="745" customFormat="1" x14ac:dyDescent="0.25">
      <c r="A481" s="693"/>
      <c r="B481" s="693"/>
      <c r="C481" s="693"/>
      <c r="D481" s="696"/>
      <c r="E481" s="696"/>
      <c r="F481" s="697"/>
      <c r="G481" s="697"/>
      <c r="H481" s="728"/>
      <c r="I481" s="728"/>
      <c r="J481" s="728"/>
      <c r="K481" s="728"/>
      <c r="L481" s="728"/>
      <c r="M481" s="728"/>
      <c r="N481" s="728"/>
      <c r="O481" s="733"/>
      <c r="P481" s="733"/>
      <c r="Q481" s="733"/>
      <c r="R481" s="733"/>
      <c r="S481" s="733"/>
      <c r="T481" s="733"/>
      <c r="U481" s="733"/>
      <c r="V481" s="693"/>
      <c r="W481" s="744"/>
    </row>
    <row r="482" spans="1:23" s="745" customFormat="1" x14ac:dyDescent="0.25">
      <c r="A482" s="693"/>
      <c r="B482" s="693"/>
      <c r="C482" s="693"/>
      <c r="D482" s="696"/>
      <c r="E482" s="696"/>
      <c r="F482" s="697"/>
      <c r="G482" s="697"/>
      <c r="H482" s="728"/>
      <c r="I482" s="728"/>
      <c r="J482" s="728"/>
      <c r="K482" s="728"/>
      <c r="L482" s="728"/>
      <c r="M482" s="728"/>
      <c r="N482" s="728"/>
      <c r="O482" s="733"/>
      <c r="P482" s="733"/>
      <c r="Q482" s="733"/>
      <c r="R482" s="733"/>
      <c r="S482" s="733"/>
      <c r="T482" s="733"/>
      <c r="U482" s="733"/>
      <c r="V482" s="693"/>
      <c r="W482" s="744"/>
    </row>
    <row r="483" spans="1:23" s="745" customFormat="1" x14ac:dyDescent="0.25">
      <c r="A483" s="693"/>
      <c r="B483" s="693"/>
      <c r="C483" s="693"/>
      <c r="D483" s="696"/>
      <c r="E483" s="696"/>
      <c r="F483" s="697"/>
      <c r="G483" s="697"/>
      <c r="H483" s="728"/>
      <c r="I483" s="728"/>
      <c r="J483" s="728"/>
      <c r="K483" s="728"/>
      <c r="L483" s="728"/>
      <c r="M483" s="728"/>
      <c r="N483" s="728"/>
      <c r="O483" s="733"/>
      <c r="P483" s="733"/>
      <c r="Q483" s="733"/>
      <c r="R483" s="733"/>
      <c r="S483" s="733"/>
      <c r="T483" s="733"/>
      <c r="U483" s="733"/>
      <c r="V483" s="693"/>
      <c r="W483" s="744"/>
    </row>
    <row r="484" spans="1:23" s="745" customFormat="1" x14ac:dyDescent="0.25">
      <c r="A484" s="693"/>
      <c r="B484" s="693"/>
      <c r="C484" s="693"/>
      <c r="D484" s="696"/>
      <c r="E484" s="696"/>
      <c r="F484" s="697"/>
      <c r="G484" s="697"/>
      <c r="H484" s="728"/>
      <c r="I484" s="728"/>
      <c r="J484" s="728"/>
      <c r="K484" s="728"/>
      <c r="L484" s="728"/>
      <c r="M484" s="728"/>
      <c r="N484" s="728"/>
      <c r="O484" s="733"/>
      <c r="P484" s="733"/>
      <c r="Q484" s="733"/>
      <c r="R484" s="733"/>
      <c r="S484" s="733"/>
      <c r="T484" s="733"/>
      <c r="U484" s="733"/>
      <c r="V484" s="693"/>
      <c r="W484" s="744"/>
    </row>
    <row r="485" spans="1:23" s="745" customFormat="1" x14ac:dyDescent="0.25">
      <c r="A485" s="693"/>
      <c r="B485" s="693"/>
      <c r="C485" s="693"/>
      <c r="D485" s="696"/>
      <c r="E485" s="696"/>
      <c r="F485" s="697"/>
      <c r="G485" s="697"/>
      <c r="H485" s="728"/>
      <c r="I485" s="728"/>
      <c r="J485" s="728"/>
      <c r="K485" s="728"/>
      <c r="L485" s="728"/>
      <c r="M485" s="728"/>
      <c r="N485" s="728"/>
      <c r="O485" s="733"/>
      <c r="P485" s="733"/>
      <c r="Q485" s="733"/>
      <c r="R485" s="733"/>
      <c r="S485" s="733"/>
      <c r="T485" s="733"/>
      <c r="U485" s="733"/>
      <c r="V485" s="693"/>
      <c r="W485" s="744"/>
    </row>
    <row r="486" spans="1:23" s="745" customFormat="1" x14ac:dyDescent="0.25">
      <c r="A486" s="693"/>
      <c r="B486" s="693"/>
      <c r="C486" s="693"/>
      <c r="D486" s="696"/>
      <c r="E486" s="696"/>
      <c r="F486" s="697"/>
      <c r="G486" s="697"/>
      <c r="H486" s="728"/>
      <c r="I486" s="728"/>
      <c r="J486" s="728"/>
      <c r="K486" s="728"/>
      <c r="L486" s="728"/>
      <c r="M486" s="728"/>
      <c r="N486" s="728"/>
      <c r="O486" s="733"/>
      <c r="P486" s="733"/>
      <c r="Q486" s="733"/>
      <c r="R486" s="733"/>
      <c r="S486" s="733"/>
      <c r="T486" s="733"/>
      <c r="U486" s="733"/>
      <c r="V486" s="693"/>
      <c r="W486" s="744"/>
    </row>
    <row r="487" spans="1:23" s="745" customFormat="1" x14ac:dyDescent="0.25">
      <c r="A487" s="693"/>
      <c r="B487" s="693"/>
      <c r="C487" s="693"/>
      <c r="D487" s="696"/>
      <c r="E487" s="696"/>
      <c r="F487" s="697"/>
      <c r="G487" s="697"/>
      <c r="H487" s="728"/>
      <c r="I487" s="728"/>
      <c r="J487" s="728"/>
      <c r="K487" s="728"/>
      <c r="L487" s="728"/>
      <c r="M487" s="728"/>
      <c r="N487" s="728"/>
      <c r="O487" s="733"/>
      <c r="P487" s="733"/>
      <c r="Q487" s="733"/>
      <c r="R487" s="733"/>
      <c r="S487" s="733"/>
      <c r="T487" s="733"/>
      <c r="U487" s="733"/>
      <c r="V487" s="693"/>
      <c r="W487" s="744"/>
    </row>
    <row r="488" spans="1:23" s="745" customFormat="1" x14ac:dyDescent="0.25">
      <c r="A488" s="693"/>
      <c r="B488" s="693"/>
      <c r="C488" s="693"/>
      <c r="D488" s="696"/>
      <c r="E488" s="696"/>
      <c r="F488" s="697"/>
      <c r="G488" s="697"/>
      <c r="H488" s="728"/>
      <c r="I488" s="728"/>
      <c r="J488" s="728"/>
      <c r="K488" s="728"/>
      <c r="L488" s="728"/>
      <c r="M488" s="728"/>
      <c r="N488" s="728"/>
      <c r="O488" s="733"/>
      <c r="P488" s="733"/>
      <c r="Q488" s="733"/>
      <c r="R488" s="733"/>
      <c r="S488" s="733"/>
      <c r="T488" s="733"/>
      <c r="U488" s="733"/>
      <c r="V488" s="693"/>
      <c r="W488" s="744"/>
    </row>
    <row r="489" spans="1:23" s="745" customFormat="1" x14ac:dyDescent="0.25">
      <c r="A489" s="693"/>
      <c r="B489" s="693"/>
      <c r="C489" s="693"/>
      <c r="D489" s="696"/>
      <c r="E489" s="696"/>
      <c r="F489" s="697"/>
      <c r="G489" s="697"/>
      <c r="H489" s="728"/>
      <c r="I489" s="728"/>
      <c r="J489" s="728"/>
      <c r="K489" s="728"/>
      <c r="L489" s="728"/>
      <c r="M489" s="728"/>
      <c r="N489" s="728"/>
      <c r="O489" s="733"/>
      <c r="P489" s="733"/>
      <c r="Q489" s="733"/>
      <c r="R489" s="733"/>
      <c r="S489" s="733"/>
      <c r="T489" s="733"/>
      <c r="U489" s="733"/>
      <c r="V489" s="693"/>
      <c r="W489" s="744"/>
    </row>
    <row r="490" spans="1:23" s="745" customFormat="1" x14ac:dyDescent="0.25">
      <c r="A490" s="693"/>
      <c r="B490" s="693"/>
      <c r="C490" s="693"/>
      <c r="D490" s="696"/>
      <c r="E490" s="696"/>
      <c r="F490" s="697"/>
      <c r="G490" s="697"/>
      <c r="H490" s="728"/>
      <c r="I490" s="728"/>
      <c r="J490" s="728"/>
      <c r="K490" s="728"/>
      <c r="L490" s="728"/>
      <c r="M490" s="728"/>
      <c r="N490" s="728"/>
      <c r="O490" s="733"/>
      <c r="P490" s="733"/>
      <c r="Q490" s="733"/>
      <c r="R490" s="733"/>
      <c r="S490" s="733"/>
      <c r="T490" s="733"/>
      <c r="U490" s="733"/>
      <c r="V490" s="693"/>
      <c r="W490" s="744"/>
    </row>
    <row r="491" spans="1:23" s="745" customFormat="1" x14ac:dyDescent="0.25">
      <c r="A491" s="693"/>
      <c r="B491" s="693"/>
      <c r="C491" s="693"/>
      <c r="D491" s="696"/>
      <c r="E491" s="696"/>
      <c r="F491" s="697"/>
      <c r="G491" s="697"/>
      <c r="H491" s="728"/>
      <c r="I491" s="728"/>
      <c r="J491" s="728"/>
      <c r="K491" s="728"/>
      <c r="L491" s="728"/>
      <c r="M491" s="728"/>
      <c r="N491" s="728"/>
      <c r="O491" s="733"/>
      <c r="P491" s="733"/>
      <c r="Q491" s="733"/>
      <c r="R491" s="733"/>
      <c r="S491" s="733"/>
      <c r="T491" s="733"/>
      <c r="U491" s="733"/>
      <c r="V491" s="693"/>
      <c r="W491" s="744"/>
    </row>
    <row r="492" spans="1:23" s="745" customFormat="1" x14ac:dyDescent="0.25">
      <c r="A492" s="693"/>
      <c r="B492" s="693"/>
      <c r="C492" s="693"/>
      <c r="D492" s="696"/>
      <c r="E492" s="696"/>
      <c r="F492" s="697"/>
      <c r="G492" s="697"/>
      <c r="H492" s="728"/>
      <c r="I492" s="728"/>
      <c r="J492" s="728"/>
      <c r="K492" s="728"/>
      <c r="L492" s="728"/>
      <c r="M492" s="728"/>
      <c r="N492" s="728"/>
      <c r="O492" s="733"/>
      <c r="P492" s="733"/>
      <c r="Q492" s="733"/>
      <c r="R492" s="733"/>
      <c r="S492" s="733"/>
      <c r="T492" s="733"/>
      <c r="U492" s="733"/>
      <c r="V492" s="693"/>
      <c r="W492" s="744"/>
    </row>
    <row r="493" spans="1:23" s="745" customFormat="1" x14ac:dyDescent="0.25">
      <c r="A493" s="693"/>
      <c r="B493" s="693"/>
      <c r="C493" s="693"/>
      <c r="D493" s="696"/>
      <c r="E493" s="696"/>
      <c r="F493" s="697"/>
      <c r="G493" s="697"/>
      <c r="H493" s="728"/>
      <c r="I493" s="728"/>
      <c r="J493" s="728"/>
      <c r="K493" s="728"/>
      <c r="L493" s="728"/>
      <c r="M493" s="728"/>
      <c r="N493" s="728"/>
      <c r="O493" s="733"/>
      <c r="P493" s="733"/>
      <c r="Q493" s="733"/>
      <c r="R493" s="733"/>
      <c r="S493" s="733"/>
      <c r="T493" s="733"/>
      <c r="U493" s="733"/>
      <c r="V493" s="693"/>
      <c r="W493" s="744"/>
    </row>
    <row r="494" spans="1:23" s="745" customFormat="1" x14ac:dyDescent="0.25">
      <c r="A494" s="693"/>
      <c r="B494" s="693"/>
      <c r="C494" s="693"/>
      <c r="D494" s="696"/>
      <c r="E494" s="696"/>
      <c r="F494" s="697"/>
      <c r="G494" s="697"/>
      <c r="H494" s="728"/>
      <c r="I494" s="728"/>
      <c r="J494" s="728"/>
      <c r="K494" s="728"/>
      <c r="L494" s="728"/>
      <c r="M494" s="728"/>
      <c r="N494" s="728"/>
      <c r="O494" s="733"/>
      <c r="P494" s="733"/>
      <c r="Q494" s="733"/>
      <c r="R494" s="733"/>
      <c r="S494" s="733"/>
      <c r="T494" s="733"/>
      <c r="U494" s="733"/>
      <c r="V494" s="693"/>
      <c r="W494" s="744"/>
    </row>
    <row r="495" spans="1:23" s="745" customFormat="1" x14ac:dyDescent="0.25">
      <c r="A495" s="693"/>
      <c r="B495" s="693"/>
      <c r="C495" s="693"/>
      <c r="D495" s="696"/>
      <c r="E495" s="696"/>
      <c r="F495" s="697"/>
      <c r="G495" s="697"/>
      <c r="H495" s="728"/>
      <c r="I495" s="728"/>
      <c r="J495" s="728"/>
      <c r="K495" s="728"/>
      <c r="L495" s="728"/>
      <c r="M495" s="728"/>
      <c r="N495" s="728"/>
      <c r="O495" s="733"/>
      <c r="P495" s="733"/>
      <c r="Q495" s="733"/>
      <c r="R495" s="733"/>
      <c r="S495" s="733"/>
      <c r="T495" s="733"/>
      <c r="U495" s="733"/>
      <c r="V495" s="693"/>
      <c r="W495" s="744"/>
    </row>
    <row r="496" spans="1:23" s="745" customFormat="1" x14ac:dyDescent="0.25">
      <c r="A496" s="693"/>
      <c r="B496" s="693"/>
      <c r="C496" s="693"/>
      <c r="D496" s="696"/>
      <c r="E496" s="696"/>
      <c r="F496" s="697"/>
      <c r="G496" s="697"/>
      <c r="H496" s="728"/>
      <c r="I496" s="728"/>
      <c r="J496" s="728"/>
      <c r="K496" s="728"/>
      <c r="L496" s="728"/>
      <c r="M496" s="728"/>
      <c r="N496" s="728"/>
      <c r="O496" s="733"/>
      <c r="P496" s="733"/>
      <c r="Q496" s="733"/>
      <c r="R496" s="733"/>
      <c r="S496" s="733"/>
      <c r="T496" s="733"/>
      <c r="U496" s="733"/>
      <c r="V496" s="693"/>
      <c r="W496" s="744"/>
    </row>
    <row r="497" spans="1:23" s="745" customFormat="1" x14ac:dyDescent="0.25">
      <c r="A497" s="693"/>
      <c r="B497" s="693"/>
      <c r="C497" s="693"/>
      <c r="D497" s="696"/>
      <c r="E497" s="696"/>
      <c r="F497" s="697"/>
      <c r="G497" s="697"/>
      <c r="H497" s="728"/>
      <c r="I497" s="728"/>
      <c r="J497" s="728"/>
      <c r="K497" s="728"/>
      <c r="L497" s="728"/>
      <c r="M497" s="728"/>
      <c r="N497" s="728"/>
      <c r="O497" s="733"/>
      <c r="P497" s="733"/>
      <c r="Q497" s="733"/>
      <c r="R497" s="733"/>
      <c r="S497" s="733"/>
      <c r="T497" s="733"/>
      <c r="U497" s="733"/>
      <c r="V497" s="693"/>
      <c r="W497" s="744"/>
    </row>
    <row r="498" spans="1:23" s="745" customFormat="1" x14ac:dyDescent="0.25">
      <c r="A498" s="693"/>
      <c r="B498" s="693"/>
      <c r="C498" s="693"/>
      <c r="D498" s="696"/>
      <c r="E498" s="696"/>
      <c r="F498" s="697"/>
      <c r="G498" s="697"/>
      <c r="H498" s="728"/>
      <c r="I498" s="728"/>
      <c r="J498" s="728"/>
      <c r="K498" s="728"/>
      <c r="L498" s="728"/>
      <c r="M498" s="728"/>
      <c r="N498" s="728"/>
      <c r="O498" s="733"/>
      <c r="P498" s="733"/>
      <c r="Q498" s="733"/>
      <c r="R498" s="733"/>
      <c r="S498" s="733"/>
      <c r="T498" s="733"/>
      <c r="U498" s="733"/>
      <c r="V498" s="693"/>
      <c r="W498" s="744"/>
    </row>
    <row r="499" spans="1:23" s="745" customFormat="1" x14ac:dyDescent="0.25">
      <c r="A499" s="693"/>
      <c r="B499" s="693"/>
      <c r="C499" s="693"/>
      <c r="D499" s="696"/>
      <c r="E499" s="696"/>
      <c r="F499" s="697"/>
      <c r="G499" s="697"/>
      <c r="H499" s="728"/>
      <c r="I499" s="728"/>
      <c r="J499" s="728"/>
      <c r="K499" s="728"/>
      <c r="L499" s="728"/>
      <c r="M499" s="728"/>
      <c r="N499" s="728"/>
      <c r="O499" s="733"/>
      <c r="P499" s="733"/>
      <c r="Q499" s="733"/>
      <c r="R499" s="733"/>
      <c r="S499" s="733"/>
      <c r="T499" s="733"/>
      <c r="U499" s="733"/>
      <c r="V499" s="693"/>
      <c r="W499" s="744"/>
    </row>
    <row r="500" spans="1:23" s="745" customFormat="1" x14ac:dyDescent="0.25">
      <c r="A500" s="693"/>
      <c r="B500" s="693"/>
      <c r="C500" s="693"/>
      <c r="D500" s="696"/>
      <c r="E500" s="696"/>
      <c r="F500" s="697"/>
      <c r="G500" s="697"/>
      <c r="H500" s="728"/>
      <c r="I500" s="728"/>
      <c r="J500" s="728"/>
      <c r="K500" s="728"/>
      <c r="L500" s="728"/>
      <c r="M500" s="728"/>
      <c r="N500" s="728"/>
      <c r="O500" s="733"/>
      <c r="P500" s="733"/>
      <c r="Q500" s="733"/>
      <c r="R500" s="733"/>
      <c r="S500" s="733"/>
      <c r="T500" s="733"/>
      <c r="U500" s="733"/>
      <c r="V500" s="693"/>
      <c r="W500" s="744"/>
    </row>
    <row r="501" spans="1:23" s="745" customFormat="1" x14ac:dyDescent="0.25">
      <c r="A501" s="693"/>
      <c r="B501" s="693"/>
      <c r="C501" s="693"/>
      <c r="D501" s="696"/>
      <c r="E501" s="696"/>
      <c r="F501" s="697"/>
      <c r="G501" s="697"/>
      <c r="H501" s="728"/>
      <c r="I501" s="728"/>
      <c r="J501" s="728"/>
      <c r="K501" s="728"/>
      <c r="L501" s="728"/>
      <c r="M501" s="728"/>
      <c r="N501" s="728"/>
      <c r="O501" s="733"/>
      <c r="P501" s="733"/>
      <c r="Q501" s="733"/>
      <c r="R501" s="733"/>
      <c r="S501" s="733"/>
      <c r="T501" s="733"/>
      <c r="U501" s="733"/>
      <c r="V501" s="693"/>
      <c r="W501" s="744"/>
    </row>
    <row r="502" spans="1:23" s="745" customFormat="1" x14ac:dyDescent="0.25">
      <c r="A502" s="693"/>
      <c r="B502" s="693"/>
      <c r="C502" s="693"/>
      <c r="D502" s="696"/>
      <c r="E502" s="696"/>
      <c r="F502" s="697"/>
      <c r="G502" s="697"/>
      <c r="H502" s="728"/>
      <c r="I502" s="728"/>
      <c r="J502" s="728"/>
      <c r="K502" s="728"/>
      <c r="L502" s="728"/>
      <c r="M502" s="728"/>
      <c r="N502" s="728"/>
      <c r="O502" s="733"/>
      <c r="P502" s="733"/>
      <c r="Q502" s="733"/>
      <c r="R502" s="733"/>
      <c r="S502" s="733"/>
      <c r="T502" s="733"/>
      <c r="U502" s="733"/>
      <c r="V502" s="693"/>
      <c r="W502" s="744"/>
    </row>
    <row r="503" spans="1:23" s="745" customFormat="1" x14ac:dyDescent="0.25">
      <c r="A503" s="693"/>
      <c r="B503" s="693"/>
      <c r="C503" s="693"/>
      <c r="D503" s="696"/>
      <c r="E503" s="696"/>
      <c r="F503" s="697"/>
      <c r="G503" s="697"/>
      <c r="H503" s="728"/>
      <c r="I503" s="728"/>
      <c r="J503" s="728"/>
      <c r="K503" s="728"/>
      <c r="L503" s="728"/>
      <c r="M503" s="728"/>
      <c r="N503" s="728"/>
      <c r="O503" s="733"/>
      <c r="P503" s="733"/>
      <c r="Q503" s="733"/>
      <c r="R503" s="733"/>
      <c r="S503" s="733"/>
      <c r="T503" s="733"/>
      <c r="U503" s="733"/>
      <c r="V503" s="693"/>
      <c r="W503" s="744"/>
    </row>
    <row r="504" spans="1:23" s="745" customFormat="1" x14ac:dyDescent="0.25">
      <c r="A504" s="693"/>
      <c r="B504" s="693"/>
      <c r="C504" s="693"/>
      <c r="D504" s="696"/>
      <c r="E504" s="696"/>
      <c r="F504" s="697"/>
      <c r="G504" s="697"/>
      <c r="H504" s="728"/>
      <c r="I504" s="728"/>
      <c r="J504" s="728"/>
      <c r="K504" s="728"/>
      <c r="L504" s="728"/>
      <c r="M504" s="728"/>
      <c r="N504" s="728"/>
      <c r="O504" s="733"/>
      <c r="P504" s="733"/>
      <c r="Q504" s="733"/>
      <c r="R504" s="733"/>
      <c r="S504" s="733"/>
      <c r="T504" s="733"/>
      <c r="U504" s="733"/>
      <c r="V504" s="693"/>
      <c r="W504" s="744"/>
    </row>
    <row r="505" spans="1:23" s="745" customFormat="1" x14ac:dyDescent="0.25">
      <c r="A505" s="693"/>
      <c r="B505" s="693"/>
      <c r="C505" s="693"/>
      <c r="D505" s="696"/>
      <c r="E505" s="696"/>
      <c r="F505" s="697"/>
      <c r="G505" s="697"/>
      <c r="H505" s="728"/>
      <c r="I505" s="728"/>
      <c r="J505" s="728"/>
      <c r="K505" s="728"/>
      <c r="L505" s="728"/>
      <c r="M505" s="728"/>
      <c r="N505" s="728"/>
      <c r="O505" s="733"/>
      <c r="P505" s="733"/>
      <c r="Q505" s="733"/>
      <c r="R505" s="733"/>
      <c r="S505" s="733"/>
      <c r="T505" s="733"/>
      <c r="U505" s="733"/>
      <c r="V505" s="693"/>
      <c r="W505" s="744"/>
    </row>
    <row r="506" spans="1:23" s="745" customFormat="1" x14ac:dyDescent="0.25">
      <c r="A506" s="693"/>
      <c r="B506" s="693"/>
      <c r="C506" s="693"/>
      <c r="D506" s="696"/>
      <c r="E506" s="696"/>
      <c r="F506" s="697"/>
      <c r="G506" s="697"/>
      <c r="H506" s="728"/>
      <c r="I506" s="728"/>
      <c r="J506" s="728"/>
      <c r="K506" s="728"/>
      <c r="L506" s="728"/>
      <c r="M506" s="728"/>
      <c r="N506" s="728"/>
      <c r="O506" s="733"/>
      <c r="P506" s="733"/>
      <c r="Q506" s="733"/>
      <c r="R506" s="733"/>
      <c r="S506" s="733"/>
      <c r="T506" s="733"/>
      <c r="U506" s="733"/>
      <c r="V506" s="693"/>
      <c r="W506" s="744"/>
    </row>
    <row r="507" spans="1:23" s="745" customFormat="1" x14ac:dyDescent="0.25">
      <c r="A507" s="693"/>
      <c r="B507" s="693"/>
      <c r="C507" s="693"/>
      <c r="D507" s="696"/>
      <c r="E507" s="696"/>
      <c r="F507" s="697"/>
      <c r="G507" s="697"/>
      <c r="H507" s="728"/>
      <c r="I507" s="728"/>
      <c r="J507" s="728"/>
      <c r="K507" s="728"/>
      <c r="L507" s="728"/>
      <c r="M507" s="728"/>
      <c r="N507" s="728"/>
      <c r="O507" s="733"/>
      <c r="P507" s="733"/>
      <c r="Q507" s="733"/>
      <c r="R507" s="733"/>
      <c r="S507" s="733"/>
      <c r="T507" s="733"/>
      <c r="U507" s="733"/>
      <c r="V507" s="693"/>
      <c r="W507" s="744"/>
    </row>
    <row r="508" spans="1:23" s="745" customFormat="1" x14ac:dyDescent="0.25">
      <c r="A508" s="693"/>
      <c r="B508" s="693"/>
      <c r="C508" s="693"/>
      <c r="D508" s="696"/>
      <c r="E508" s="696"/>
      <c r="F508" s="697"/>
      <c r="G508" s="697"/>
      <c r="H508" s="728"/>
      <c r="I508" s="728"/>
      <c r="J508" s="728"/>
      <c r="K508" s="728"/>
      <c r="L508" s="728"/>
      <c r="M508" s="728"/>
      <c r="N508" s="728"/>
      <c r="O508" s="733"/>
      <c r="P508" s="733"/>
      <c r="Q508" s="733"/>
      <c r="R508" s="733"/>
      <c r="S508" s="733"/>
      <c r="T508" s="733"/>
      <c r="U508" s="733"/>
      <c r="V508" s="693"/>
      <c r="W508" s="744"/>
    </row>
    <row r="509" spans="1:23" s="745" customFormat="1" x14ac:dyDescent="0.25">
      <c r="A509" s="693"/>
      <c r="B509" s="693"/>
      <c r="C509" s="693"/>
      <c r="D509" s="696"/>
      <c r="E509" s="696"/>
      <c r="F509" s="697"/>
      <c r="G509" s="697"/>
      <c r="H509" s="728"/>
      <c r="I509" s="728"/>
      <c r="J509" s="728"/>
      <c r="K509" s="728"/>
      <c r="L509" s="728"/>
      <c r="M509" s="728"/>
      <c r="N509" s="728"/>
      <c r="O509" s="733"/>
      <c r="P509" s="733"/>
      <c r="Q509" s="733"/>
      <c r="R509" s="733"/>
      <c r="S509" s="733"/>
      <c r="T509" s="733"/>
      <c r="U509" s="733"/>
      <c r="V509" s="693"/>
      <c r="W509" s="744"/>
    </row>
    <row r="510" spans="1:23" s="745" customFormat="1" x14ac:dyDescent="0.25">
      <c r="A510" s="693"/>
      <c r="B510" s="693"/>
      <c r="C510" s="693"/>
      <c r="D510" s="696"/>
      <c r="E510" s="696"/>
      <c r="F510" s="697"/>
      <c r="G510" s="697"/>
      <c r="H510" s="728"/>
      <c r="I510" s="728"/>
      <c r="J510" s="728"/>
      <c r="K510" s="728"/>
      <c r="L510" s="728"/>
      <c r="M510" s="728"/>
      <c r="N510" s="728"/>
      <c r="O510" s="733"/>
      <c r="P510" s="733"/>
      <c r="Q510" s="733"/>
      <c r="R510" s="733"/>
      <c r="S510" s="733"/>
      <c r="T510" s="733"/>
      <c r="U510" s="733"/>
      <c r="V510" s="693"/>
      <c r="W510" s="744"/>
    </row>
    <row r="511" spans="1:23" s="745" customFormat="1" x14ac:dyDescent="0.25">
      <c r="A511" s="693"/>
      <c r="B511" s="693"/>
      <c r="C511" s="693"/>
      <c r="D511" s="696"/>
      <c r="E511" s="696"/>
      <c r="F511" s="697"/>
      <c r="G511" s="697"/>
      <c r="H511" s="728"/>
      <c r="I511" s="728"/>
      <c r="J511" s="728"/>
      <c r="K511" s="728"/>
      <c r="L511" s="728"/>
      <c r="M511" s="728"/>
      <c r="N511" s="728"/>
      <c r="O511" s="733"/>
      <c r="P511" s="733"/>
      <c r="Q511" s="733"/>
      <c r="R511" s="733"/>
      <c r="S511" s="733"/>
      <c r="T511" s="733"/>
      <c r="U511" s="733"/>
      <c r="V511" s="693"/>
      <c r="W511" s="744"/>
    </row>
    <row r="512" spans="1:23" s="745" customFormat="1" x14ac:dyDescent="0.25">
      <c r="A512" s="693"/>
      <c r="B512" s="693"/>
      <c r="C512" s="693"/>
      <c r="D512" s="696"/>
      <c r="E512" s="696"/>
      <c r="F512" s="697"/>
      <c r="G512" s="697"/>
      <c r="H512" s="728"/>
      <c r="I512" s="728"/>
      <c r="J512" s="728"/>
      <c r="K512" s="728"/>
      <c r="L512" s="728"/>
      <c r="M512" s="728"/>
      <c r="N512" s="728"/>
      <c r="O512" s="733"/>
      <c r="P512" s="733"/>
      <c r="Q512" s="733"/>
      <c r="R512" s="733"/>
      <c r="S512" s="733"/>
      <c r="T512" s="733"/>
      <c r="U512" s="733"/>
      <c r="V512" s="693"/>
      <c r="W512" s="744"/>
    </row>
    <row r="513" spans="1:23" s="745" customFormat="1" x14ac:dyDescent="0.25">
      <c r="A513" s="693"/>
      <c r="B513" s="693"/>
      <c r="C513" s="693"/>
      <c r="D513" s="696"/>
      <c r="E513" s="696"/>
      <c r="F513" s="697"/>
      <c r="G513" s="697"/>
      <c r="H513" s="728"/>
      <c r="I513" s="728"/>
      <c r="J513" s="728"/>
      <c r="K513" s="728"/>
      <c r="L513" s="728"/>
      <c r="M513" s="728"/>
      <c r="N513" s="728"/>
      <c r="O513" s="733"/>
      <c r="P513" s="733"/>
      <c r="Q513" s="733"/>
      <c r="R513" s="733"/>
      <c r="S513" s="733"/>
      <c r="T513" s="733"/>
      <c r="U513" s="733"/>
      <c r="V513" s="693"/>
      <c r="W513" s="744"/>
    </row>
    <row r="514" spans="1:23" s="745" customFormat="1" x14ac:dyDescent="0.25">
      <c r="A514" s="693"/>
      <c r="B514" s="693"/>
      <c r="C514" s="693"/>
      <c r="D514" s="696"/>
      <c r="E514" s="696"/>
      <c r="F514" s="697"/>
      <c r="G514" s="697"/>
      <c r="H514" s="728"/>
      <c r="I514" s="728"/>
      <c r="J514" s="728"/>
      <c r="K514" s="728"/>
      <c r="L514" s="728"/>
      <c r="M514" s="728"/>
      <c r="N514" s="728"/>
      <c r="O514" s="733"/>
      <c r="P514" s="733"/>
      <c r="Q514" s="733"/>
      <c r="R514" s="733"/>
      <c r="S514" s="733"/>
      <c r="T514" s="733"/>
      <c r="U514" s="733"/>
      <c r="V514" s="693"/>
      <c r="W514" s="744"/>
    </row>
    <row r="515" spans="1:23" s="745" customFormat="1" x14ac:dyDescent="0.25">
      <c r="A515" s="693"/>
      <c r="B515" s="693"/>
      <c r="C515" s="693"/>
      <c r="D515" s="696"/>
      <c r="E515" s="696"/>
      <c r="F515" s="697"/>
      <c r="G515" s="697"/>
      <c r="H515" s="728"/>
      <c r="I515" s="728"/>
      <c r="J515" s="728"/>
      <c r="K515" s="728"/>
      <c r="L515" s="728"/>
      <c r="M515" s="728"/>
      <c r="N515" s="728"/>
      <c r="O515" s="733"/>
      <c r="P515" s="733"/>
      <c r="Q515" s="733"/>
      <c r="R515" s="733"/>
      <c r="S515" s="733"/>
      <c r="T515" s="733"/>
      <c r="U515" s="733"/>
      <c r="V515" s="693"/>
      <c r="W515" s="744"/>
    </row>
    <row r="516" spans="1:23" s="745" customFormat="1" x14ac:dyDescent="0.25">
      <c r="A516" s="693"/>
      <c r="B516" s="693"/>
      <c r="C516" s="693"/>
      <c r="D516" s="696"/>
      <c r="E516" s="696"/>
      <c r="F516" s="697"/>
      <c r="G516" s="697"/>
      <c r="H516" s="728"/>
      <c r="I516" s="728"/>
      <c r="J516" s="728"/>
      <c r="K516" s="728"/>
      <c r="L516" s="728"/>
      <c r="M516" s="728"/>
      <c r="N516" s="728"/>
      <c r="O516" s="733"/>
      <c r="P516" s="733"/>
      <c r="Q516" s="733"/>
      <c r="R516" s="733"/>
      <c r="S516" s="733"/>
      <c r="T516" s="733"/>
      <c r="U516" s="733"/>
      <c r="V516" s="693"/>
      <c r="W516" s="744"/>
    </row>
    <row r="517" spans="1:23" s="745" customFormat="1" x14ac:dyDescent="0.25">
      <c r="A517" s="693"/>
      <c r="B517" s="693"/>
      <c r="C517" s="693"/>
      <c r="D517" s="696"/>
      <c r="E517" s="696"/>
      <c r="F517" s="697"/>
      <c r="G517" s="697"/>
      <c r="H517" s="728"/>
      <c r="I517" s="728"/>
      <c r="J517" s="728"/>
      <c r="K517" s="728"/>
      <c r="L517" s="728"/>
      <c r="M517" s="728"/>
      <c r="N517" s="728"/>
      <c r="O517" s="733"/>
      <c r="P517" s="733"/>
      <c r="Q517" s="733"/>
      <c r="R517" s="733"/>
      <c r="S517" s="733"/>
      <c r="T517" s="733"/>
      <c r="U517" s="733"/>
      <c r="V517" s="693"/>
      <c r="W517" s="744"/>
    </row>
    <row r="518" spans="1:23" s="745" customFormat="1" x14ac:dyDescent="0.25">
      <c r="A518" s="693"/>
      <c r="B518" s="693"/>
      <c r="C518" s="693"/>
      <c r="D518" s="696"/>
      <c r="E518" s="696"/>
      <c r="F518" s="697"/>
      <c r="G518" s="697"/>
      <c r="H518" s="728"/>
      <c r="I518" s="728"/>
      <c r="J518" s="728"/>
      <c r="K518" s="728"/>
      <c r="L518" s="728"/>
      <c r="M518" s="728"/>
      <c r="N518" s="728"/>
      <c r="O518" s="733"/>
      <c r="P518" s="733"/>
      <c r="Q518" s="733"/>
      <c r="R518" s="733"/>
      <c r="S518" s="733"/>
      <c r="T518" s="733"/>
      <c r="U518" s="733"/>
      <c r="V518" s="693"/>
      <c r="W518" s="744"/>
    </row>
    <row r="519" spans="1:23" s="745" customFormat="1" x14ac:dyDescent="0.25">
      <c r="A519" s="693"/>
      <c r="B519" s="693"/>
      <c r="C519" s="693"/>
      <c r="D519" s="696"/>
      <c r="E519" s="696"/>
      <c r="F519" s="697"/>
      <c r="G519" s="697"/>
      <c r="H519" s="728"/>
      <c r="I519" s="728"/>
      <c r="J519" s="728"/>
      <c r="K519" s="728"/>
      <c r="L519" s="728"/>
      <c r="M519" s="728"/>
      <c r="N519" s="728"/>
      <c r="O519" s="733"/>
      <c r="P519" s="733"/>
      <c r="Q519" s="733"/>
      <c r="R519" s="733"/>
      <c r="S519" s="733"/>
      <c r="T519" s="733"/>
      <c r="U519" s="733"/>
      <c r="V519" s="693"/>
      <c r="W519" s="744"/>
    </row>
    <row r="520" spans="1:23" s="745" customFormat="1" x14ac:dyDescent="0.25">
      <c r="A520" s="693"/>
      <c r="B520" s="693"/>
      <c r="C520" s="693"/>
      <c r="D520" s="696"/>
      <c r="E520" s="696"/>
      <c r="F520" s="697"/>
      <c r="G520" s="697"/>
      <c r="H520" s="728"/>
      <c r="I520" s="728"/>
      <c r="J520" s="728"/>
      <c r="K520" s="728"/>
      <c r="L520" s="728"/>
      <c r="M520" s="728"/>
      <c r="N520" s="728"/>
      <c r="O520" s="733"/>
      <c r="P520" s="733"/>
      <c r="Q520" s="733"/>
      <c r="R520" s="733"/>
      <c r="S520" s="733"/>
      <c r="T520" s="733"/>
      <c r="U520" s="733"/>
      <c r="V520" s="693"/>
      <c r="W520" s="744"/>
    </row>
    <row r="521" spans="1:23" s="745" customFormat="1" x14ac:dyDescent="0.25">
      <c r="A521" s="693"/>
      <c r="B521" s="693"/>
      <c r="C521" s="693"/>
      <c r="D521" s="696"/>
      <c r="E521" s="696"/>
      <c r="F521" s="697"/>
      <c r="G521" s="697"/>
      <c r="H521" s="728"/>
      <c r="I521" s="728"/>
      <c r="J521" s="728"/>
      <c r="K521" s="728"/>
      <c r="L521" s="728"/>
      <c r="M521" s="728"/>
      <c r="N521" s="728"/>
      <c r="O521" s="733"/>
      <c r="P521" s="733"/>
      <c r="Q521" s="733"/>
      <c r="R521" s="733"/>
      <c r="S521" s="733"/>
      <c r="T521" s="733"/>
      <c r="U521" s="733"/>
      <c r="V521" s="693"/>
      <c r="W521" s="744"/>
    </row>
    <row r="522" spans="1:23" s="745" customFormat="1" x14ac:dyDescent="0.25">
      <c r="A522" s="693"/>
      <c r="B522" s="693"/>
      <c r="C522" s="693"/>
      <c r="D522" s="696"/>
      <c r="E522" s="696"/>
      <c r="F522" s="697"/>
      <c r="G522" s="697"/>
      <c r="H522" s="728"/>
      <c r="I522" s="728"/>
      <c r="J522" s="728"/>
      <c r="K522" s="728"/>
      <c r="L522" s="728"/>
      <c r="M522" s="728"/>
      <c r="N522" s="728"/>
      <c r="O522" s="733"/>
      <c r="P522" s="733"/>
      <c r="Q522" s="733"/>
      <c r="R522" s="733"/>
      <c r="S522" s="733"/>
      <c r="T522" s="733"/>
      <c r="U522" s="733"/>
      <c r="V522" s="693"/>
      <c r="W522" s="744"/>
    </row>
    <row r="523" spans="1:23" s="745" customFormat="1" x14ac:dyDescent="0.25">
      <c r="A523" s="693"/>
      <c r="B523" s="693"/>
      <c r="C523" s="693"/>
      <c r="D523" s="696"/>
      <c r="E523" s="696"/>
      <c r="F523" s="697"/>
      <c r="G523" s="697"/>
      <c r="H523" s="728"/>
      <c r="I523" s="728"/>
      <c r="J523" s="728"/>
      <c r="K523" s="728"/>
      <c r="L523" s="728"/>
      <c r="M523" s="728"/>
      <c r="N523" s="728"/>
      <c r="O523" s="733"/>
      <c r="P523" s="733"/>
      <c r="Q523" s="733"/>
      <c r="R523" s="733"/>
      <c r="S523" s="733"/>
      <c r="T523" s="733"/>
      <c r="U523" s="733"/>
      <c r="V523" s="693"/>
      <c r="W523" s="744"/>
    </row>
    <row r="524" spans="1:23" s="745" customFormat="1" x14ac:dyDescent="0.25">
      <c r="A524" s="693"/>
      <c r="B524" s="693"/>
      <c r="C524" s="693"/>
      <c r="D524" s="696"/>
      <c r="E524" s="696"/>
      <c r="F524" s="697"/>
      <c r="G524" s="697"/>
      <c r="H524" s="728"/>
      <c r="I524" s="728"/>
      <c r="J524" s="728"/>
      <c r="K524" s="728"/>
      <c r="L524" s="728"/>
      <c r="M524" s="728"/>
      <c r="N524" s="728"/>
      <c r="O524" s="733"/>
      <c r="P524" s="733"/>
      <c r="Q524" s="733"/>
      <c r="R524" s="733"/>
      <c r="S524" s="733"/>
      <c r="T524" s="733"/>
      <c r="U524" s="733"/>
      <c r="V524" s="693"/>
      <c r="W524" s="744"/>
    </row>
    <row r="525" spans="1:23" s="745" customFormat="1" x14ac:dyDescent="0.25">
      <c r="A525" s="693"/>
      <c r="B525" s="693"/>
      <c r="C525" s="693"/>
      <c r="D525" s="696"/>
      <c r="E525" s="696"/>
      <c r="F525" s="697"/>
      <c r="G525" s="697"/>
      <c r="H525" s="728"/>
      <c r="I525" s="728"/>
      <c r="J525" s="728"/>
      <c r="K525" s="728"/>
      <c r="L525" s="728"/>
      <c r="M525" s="728"/>
      <c r="N525" s="728"/>
      <c r="O525" s="733"/>
      <c r="P525" s="733"/>
      <c r="Q525" s="733"/>
      <c r="R525" s="733"/>
      <c r="S525" s="733"/>
      <c r="T525" s="733"/>
      <c r="U525" s="733"/>
      <c r="V525" s="693"/>
      <c r="W525" s="744"/>
    </row>
    <row r="526" spans="1:23" s="745" customFormat="1" x14ac:dyDescent="0.25">
      <c r="A526" s="693"/>
      <c r="B526" s="693"/>
      <c r="C526" s="693"/>
      <c r="D526" s="696"/>
      <c r="E526" s="696"/>
      <c r="F526" s="697"/>
      <c r="G526" s="697"/>
      <c r="H526" s="728"/>
      <c r="I526" s="728"/>
      <c r="J526" s="728"/>
      <c r="K526" s="728"/>
      <c r="L526" s="728"/>
      <c r="M526" s="728"/>
      <c r="N526" s="728"/>
      <c r="O526" s="733"/>
      <c r="P526" s="733"/>
      <c r="Q526" s="733"/>
      <c r="R526" s="733"/>
      <c r="S526" s="733"/>
      <c r="T526" s="733"/>
      <c r="U526" s="733"/>
      <c r="V526" s="693"/>
      <c r="W526" s="744"/>
    </row>
    <row r="527" spans="1:23" s="745" customFormat="1" x14ac:dyDescent="0.25">
      <c r="A527" s="693"/>
      <c r="B527" s="693"/>
      <c r="C527" s="693"/>
      <c r="D527" s="696"/>
      <c r="E527" s="696"/>
      <c r="F527" s="697"/>
      <c r="G527" s="697"/>
      <c r="H527" s="728"/>
      <c r="I527" s="728"/>
      <c r="J527" s="728"/>
      <c r="K527" s="728"/>
      <c r="L527" s="728"/>
      <c r="M527" s="728"/>
      <c r="N527" s="728"/>
      <c r="O527" s="733"/>
      <c r="P527" s="733"/>
      <c r="Q527" s="733"/>
      <c r="R527" s="733"/>
      <c r="S527" s="733"/>
      <c r="T527" s="733"/>
      <c r="U527" s="733"/>
      <c r="V527" s="693"/>
      <c r="W527" s="744"/>
    </row>
    <row r="528" spans="1:23" s="745" customFormat="1" x14ac:dyDescent="0.25">
      <c r="A528" s="693"/>
      <c r="B528" s="693"/>
      <c r="C528" s="693"/>
      <c r="D528" s="696"/>
      <c r="E528" s="696"/>
      <c r="F528" s="697"/>
      <c r="G528" s="697"/>
      <c r="H528" s="728"/>
      <c r="I528" s="728"/>
      <c r="J528" s="728"/>
      <c r="K528" s="728"/>
      <c r="L528" s="728"/>
      <c r="M528" s="728"/>
      <c r="N528" s="728"/>
      <c r="O528" s="733"/>
      <c r="P528" s="733"/>
      <c r="Q528" s="733"/>
      <c r="R528" s="733"/>
      <c r="S528" s="733"/>
      <c r="T528" s="733"/>
      <c r="U528" s="733"/>
      <c r="V528" s="693"/>
      <c r="W528" s="744"/>
    </row>
    <row r="529" spans="1:23" s="745" customFormat="1" x14ac:dyDescent="0.25">
      <c r="A529" s="693"/>
      <c r="B529" s="693"/>
      <c r="C529" s="693"/>
      <c r="D529" s="696"/>
      <c r="E529" s="696"/>
      <c r="F529" s="697"/>
      <c r="G529" s="697"/>
      <c r="H529" s="728"/>
      <c r="I529" s="728"/>
      <c r="J529" s="728"/>
      <c r="K529" s="728"/>
      <c r="L529" s="728"/>
      <c r="M529" s="728"/>
      <c r="N529" s="728"/>
      <c r="O529" s="733"/>
      <c r="P529" s="733"/>
      <c r="Q529" s="733"/>
      <c r="R529" s="733"/>
      <c r="S529" s="733"/>
      <c r="T529" s="733"/>
      <c r="U529" s="733"/>
      <c r="V529" s="693"/>
      <c r="W529" s="744"/>
    </row>
    <row r="530" spans="1:23" s="745" customFormat="1" x14ac:dyDescent="0.25">
      <c r="A530" s="693"/>
      <c r="B530" s="693"/>
      <c r="C530" s="693"/>
      <c r="D530" s="696"/>
      <c r="E530" s="696"/>
      <c r="F530" s="697"/>
      <c r="G530" s="697"/>
      <c r="H530" s="728"/>
      <c r="I530" s="728"/>
      <c r="J530" s="728"/>
      <c r="K530" s="728"/>
      <c r="L530" s="728"/>
      <c r="M530" s="728"/>
      <c r="N530" s="728"/>
      <c r="O530" s="733"/>
      <c r="P530" s="733"/>
      <c r="Q530" s="733"/>
      <c r="R530" s="733"/>
      <c r="S530" s="733"/>
      <c r="T530" s="733"/>
      <c r="U530" s="733"/>
      <c r="V530" s="693"/>
      <c r="W530" s="744"/>
    </row>
    <row r="531" spans="1:23" s="745" customFormat="1" x14ac:dyDescent="0.25">
      <c r="A531" s="693"/>
      <c r="B531" s="693"/>
      <c r="C531" s="693"/>
      <c r="D531" s="696"/>
      <c r="E531" s="696"/>
      <c r="F531" s="697"/>
      <c r="G531" s="697"/>
      <c r="H531" s="728"/>
      <c r="I531" s="728"/>
      <c r="J531" s="728"/>
      <c r="K531" s="728"/>
      <c r="L531" s="728"/>
      <c r="M531" s="728"/>
      <c r="N531" s="728"/>
      <c r="O531" s="733"/>
      <c r="P531" s="733"/>
      <c r="Q531" s="733"/>
      <c r="R531" s="733"/>
      <c r="S531" s="733"/>
      <c r="T531" s="733"/>
      <c r="U531" s="733"/>
      <c r="V531" s="693"/>
      <c r="W531" s="744"/>
    </row>
    <row r="532" spans="1:23" s="745" customFormat="1" x14ac:dyDescent="0.25">
      <c r="A532" s="693"/>
      <c r="B532" s="693"/>
      <c r="C532" s="693"/>
      <c r="D532" s="696"/>
      <c r="E532" s="696"/>
      <c r="F532" s="697"/>
      <c r="G532" s="697"/>
      <c r="H532" s="728"/>
      <c r="I532" s="728"/>
      <c r="J532" s="728"/>
      <c r="K532" s="728"/>
      <c r="L532" s="728"/>
      <c r="M532" s="728"/>
      <c r="N532" s="728"/>
      <c r="O532" s="733"/>
      <c r="P532" s="733"/>
      <c r="Q532" s="733"/>
      <c r="R532" s="733"/>
      <c r="S532" s="733"/>
      <c r="T532" s="733"/>
      <c r="U532" s="733"/>
      <c r="V532" s="693"/>
      <c r="W532" s="744"/>
    </row>
    <row r="533" spans="1:23" s="745" customFormat="1" x14ac:dyDescent="0.25">
      <c r="A533" s="693"/>
      <c r="B533" s="693"/>
      <c r="C533" s="693"/>
      <c r="D533" s="696"/>
      <c r="E533" s="696"/>
      <c r="F533" s="697"/>
      <c r="G533" s="697"/>
      <c r="H533" s="728"/>
      <c r="I533" s="728"/>
      <c r="J533" s="728"/>
      <c r="K533" s="728"/>
      <c r="L533" s="728"/>
      <c r="M533" s="728"/>
      <c r="N533" s="728"/>
      <c r="O533" s="733"/>
      <c r="P533" s="733"/>
      <c r="Q533" s="733"/>
      <c r="R533" s="733"/>
      <c r="S533" s="733"/>
      <c r="T533" s="733"/>
      <c r="U533" s="733"/>
      <c r="V533" s="693"/>
      <c r="W533" s="744"/>
    </row>
    <row r="534" spans="1:23" s="745" customFormat="1" x14ac:dyDescent="0.25">
      <c r="A534" s="693"/>
      <c r="B534" s="693"/>
      <c r="C534" s="693"/>
      <c r="D534" s="696"/>
      <c r="E534" s="696"/>
      <c r="F534" s="697"/>
      <c r="G534" s="697"/>
      <c r="H534" s="728"/>
      <c r="I534" s="728"/>
      <c r="J534" s="728"/>
      <c r="K534" s="728"/>
      <c r="L534" s="728"/>
      <c r="M534" s="728"/>
      <c r="N534" s="728"/>
      <c r="O534" s="733"/>
      <c r="P534" s="733"/>
      <c r="Q534" s="733"/>
      <c r="R534" s="733"/>
      <c r="S534" s="733"/>
      <c r="T534" s="733"/>
      <c r="U534" s="733"/>
      <c r="V534" s="693"/>
      <c r="W534" s="744"/>
    </row>
    <row r="535" spans="1:23" s="745" customFormat="1" x14ac:dyDescent="0.25">
      <c r="A535" s="693"/>
      <c r="B535" s="693"/>
      <c r="C535" s="693"/>
      <c r="D535" s="696"/>
      <c r="E535" s="696"/>
      <c r="F535" s="697"/>
      <c r="G535" s="697"/>
      <c r="H535" s="728"/>
      <c r="I535" s="728"/>
      <c r="J535" s="728"/>
      <c r="K535" s="728"/>
      <c r="L535" s="728"/>
      <c r="M535" s="728"/>
      <c r="N535" s="728"/>
      <c r="O535" s="733"/>
      <c r="P535" s="733"/>
      <c r="Q535" s="733"/>
      <c r="R535" s="733"/>
      <c r="S535" s="733"/>
      <c r="T535" s="733"/>
      <c r="U535" s="733"/>
      <c r="V535" s="693"/>
      <c r="W535" s="744"/>
    </row>
    <row r="536" spans="1:23" s="745" customFormat="1" x14ac:dyDescent="0.25">
      <c r="A536" s="693"/>
      <c r="B536" s="693"/>
      <c r="C536" s="693"/>
      <c r="D536" s="696"/>
      <c r="E536" s="696"/>
      <c r="F536" s="697"/>
      <c r="G536" s="697"/>
      <c r="H536" s="728"/>
      <c r="I536" s="728"/>
      <c r="J536" s="728"/>
      <c r="K536" s="728"/>
      <c r="L536" s="728"/>
      <c r="M536" s="728"/>
      <c r="N536" s="728"/>
      <c r="O536" s="733"/>
      <c r="P536" s="733"/>
      <c r="Q536" s="733"/>
      <c r="R536" s="733"/>
      <c r="S536" s="733"/>
      <c r="T536" s="733"/>
      <c r="U536" s="733"/>
      <c r="V536" s="693"/>
      <c r="W536" s="744"/>
    </row>
    <row r="537" spans="1:23" s="745" customFormat="1" x14ac:dyDescent="0.25">
      <c r="A537" s="693"/>
      <c r="B537" s="693"/>
      <c r="C537" s="693"/>
      <c r="D537" s="696"/>
      <c r="E537" s="696"/>
      <c r="F537" s="697"/>
      <c r="G537" s="697"/>
      <c r="H537" s="728"/>
      <c r="I537" s="728"/>
      <c r="J537" s="728"/>
      <c r="K537" s="728"/>
      <c r="L537" s="728"/>
      <c r="M537" s="728"/>
      <c r="N537" s="728"/>
      <c r="O537" s="733"/>
      <c r="P537" s="733"/>
      <c r="Q537" s="733"/>
      <c r="R537" s="733"/>
      <c r="S537" s="733"/>
      <c r="T537" s="733"/>
      <c r="U537" s="733"/>
      <c r="V537" s="693"/>
      <c r="W537" s="744"/>
    </row>
    <row r="538" spans="1:23" s="745" customFormat="1" x14ac:dyDescent="0.25">
      <c r="A538" s="693"/>
      <c r="B538" s="693"/>
      <c r="C538" s="693"/>
      <c r="D538" s="696"/>
      <c r="E538" s="696"/>
      <c r="F538" s="697"/>
      <c r="G538" s="697"/>
      <c r="H538" s="728"/>
      <c r="I538" s="728"/>
      <c r="J538" s="728"/>
      <c r="K538" s="728"/>
      <c r="L538" s="728"/>
      <c r="M538" s="728"/>
      <c r="N538" s="728"/>
      <c r="O538" s="733"/>
      <c r="P538" s="733"/>
      <c r="Q538" s="733"/>
      <c r="R538" s="733"/>
      <c r="S538" s="733"/>
      <c r="T538" s="733"/>
      <c r="U538" s="733"/>
      <c r="V538" s="693"/>
      <c r="W538" s="744"/>
    </row>
    <row r="539" spans="1:23" s="745" customFormat="1" x14ac:dyDescent="0.25">
      <c r="A539" s="693"/>
      <c r="B539" s="693"/>
      <c r="C539" s="693"/>
      <c r="D539" s="696"/>
      <c r="E539" s="696"/>
      <c r="F539" s="697"/>
      <c r="G539" s="697"/>
      <c r="H539" s="728"/>
      <c r="I539" s="728"/>
      <c r="J539" s="728"/>
      <c r="K539" s="728"/>
      <c r="L539" s="728"/>
      <c r="M539" s="728"/>
      <c r="N539" s="728"/>
      <c r="O539" s="733"/>
      <c r="P539" s="733"/>
      <c r="Q539" s="733"/>
      <c r="R539" s="733"/>
      <c r="S539" s="733"/>
      <c r="T539" s="733"/>
      <c r="U539" s="733"/>
      <c r="V539" s="693"/>
      <c r="W539" s="744"/>
    </row>
    <row r="540" spans="1:23" s="745" customFormat="1" x14ac:dyDescent="0.25">
      <c r="A540" s="693"/>
      <c r="B540" s="693"/>
      <c r="C540" s="693"/>
      <c r="D540" s="696"/>
      <c r="E540" s="696"/>
      <c r="F540" s="697"/>
      <c r="G540" s="697"/>
      <c r="H540" s="728"/>
      <c r="I540" s="728"/>
      <c r="J540" s="728"/>
      <c r="K540" s="728"/>
      <c r="L540" s="728"/>
      <c r="M540" s="728"/>
      <c r="N540" s="728"/>
      <c r="O540" s="733"/>
      <c r="P540" s="733"/>
      <c r="Q540" s="733"/>
      <c r="R540" s="733"/>
      <c r="S540" s="733"/>
      <c r="T540" s="733"/>
      <c r="U540" s="733"/>
      <c r="V540" s="693"/>
      <c r="W540" s="744"/>
    </row>
    <row r="541" spans="1:23" s="745" customFormat="1" x14ac:dyDescent="0.25">
      <c r="A541" s="693"/>
      <c r="B541" s="693"/>
      <c r="C541" s="693"/>
      <c r="D541" s="696"/>
      <c r="E541" s="696"/>
      <c r="F541" s="697"/>
      <c r="G541" s="697"/>
      <c r="H541" s="728"/>
      <c r="I541" s="728"/>
      <c r="J541" s="728"/>
      <c r="K541" s="728"/>
      <c r="L541" s="728"/>
      <c r="M541" s="728"/>
      <c r="N541" s="728"/>
      <c r="O541" s="733"/>
      <c r="P541" s="733"/>
      <c r="Q541" s="733"/>
      <c r="R541" s="733"/>
      <c r="S541" s="733"/>
      <c r="T541" s="733"/>
      <c r="U541" s="733"/>
      <c r="V541" s="693"/>
      <c r="W541" s="744"/>
    </row>
    <row r="542" spans="1:23" s="745" customFormat="1" x14ac:dyDescent="0.25">
      <c r="A542" s="693"/>
      <c r="B542" s="693"/>
      <c r="C542" s="693"/>
      <c r="D542" s="696"/>
      <c r="E542" s="696"/>
      <c r="F542" s="697"/>
      <c r="G542" s="697"/>
      <c r="H542" s="728"/>
      <c r="I542" s="728"/>
      <c r="J542" s="728"/>
      <c r="K542" s="728"/>
      <c r="L542" s="728"/>
      <c r="M542" s="728"/>
      <c r="N542" s="728"/>
      <c r="O542" s="733"/>
      <c r="P542" s="733"/>
      <c r="Q542" s="733"/>
      <c r="R542" s="733"/>
      <c r="S542" s="733"/>
      <c r="T542" s="733"/>
      <c r="U542" s="733"/>
      <c r="V542" s="693"/>
      <c r="W542" s="744"/>
    </row>
    <row r="543" spans="1:23" s="745" customFormat="1" x14ac:dyDescent="0.25">
      <c r="A543" s="693"/>
      <c r="B543" s="693"/>
      <c r="C543" s="693"/>
      <c r="D543" s="696"/>
      <c r="E543" s="696"/>
      <c r="F543" s="697"/>
      <c r="G543" s="697"/>
      <c r="H543" s="728"/>
      <c r="I543" s="728"/>
      <c r="J543" s="728"/>
      <c r="K543" s="728"/>
      <c r="L543" s="728"/>
      <c r="M543" s="728"/>
      <c r="N543" s="728"/>
      <c r="O543" s="733"/>
      <c r="P543" s="733"/>
      <c r="Q543" s="733"/>
      <c r="R543" s="733"/>
      <c r="S543" s="733"/>
      <c r="T543" s="733"/>
      <c r="U543" s="733"/>
      <c r="V543" s="693"/>
      <c r="W543" s="744"/>
    </row>
    <row r="544" spans="1:23" s="745" customFormat="1" x14ac:dyDescent="0.25">
      <c r="A544" s="693"/>
      <c r="B544" s="693"/>
      <c r="C544" s="693"/>
      <c r="D544" s="696"/>
      <c r="E544" s="696"/>
      <c r="F544" s="697"/>
      <c r="G544" s="697"/>
      <c r="H544" s="728"/>
      <c r="I544" s="728"/>
      <c r="J544" s="728"/>
      <c r="K544" s="728"/>
      <c r="L544" s="728"/>
      <c r="M544" s="728"/>
      <c r="N544" s="728"/>
      <c r="O544" s="733"/>
      <c r="P544" s="733"/>
      <c r="Q544" s="733"/>
      <c r="R544" s="733"/>
      <c r="S544" s="733"/>
      <c r="T544" s="733"/>
      <c r="U544" s="733"/>
      <c r="V544" s="693"/>
      <c r="W544" s="744"/>
    </row>
    <row r="545" spans="1:23" s="745" customFormat="1" x14ac:dyDescent="0.25">
      <c r="A545" s="693"/>
      <c r="B545" s="693"/>
      <c r="C545" s="693"/>
      <c r="D545" s="696"/>
      <c r="E545" s="696"/>
      <c r="F545" s="697"/>
      <c r="G545" s="697"/>
      <c r="H545" s="728"/>
      <c r="I545" s="728"/>
      <c r="J545" s="728"/>
      <c r="K545" s="728"/>
      <c r="L545" s="728"/>
      <c r="M545" s="728"/>
      <c r="N545" s="728"/>
      <c r="O545" s="733"/>
      <c r="P545" s="733"/>
      <c r="Q545" s="733"/>
      <c r="R545" s="733"/>
      <c r="S545" s="733"/>
      <c r="T545" s="733"/>
      <c r="U545" s="733"/>
      <c r="V545" s="693"/>
      <c r="W545" s="744"/>
    </row>
    <row r="546" spans="1:23" s="745" customFormat="1" x14ac:dyDescent="0.25">
      <c r="A546" s="693"/>
      <c r="B546" s="693"/>
      <c r="C546" s="693"/>
      <c r="D546" s="696"/>
      <c r="E546" s="696"/>
      <c r="F546" s="697"/>
      <c r="G546" s="697"/>
      <c r="H546" s="728"/>
      <c r="I546" s="728"/>
      <c r="J546" s="728"/>
      <c r="K546" s="728"/>
      <c r="L546" s="728"/>
      <c r="M546" s="728"/>
      <c r="N546" s="728"/>
      <c r="O546" s="733"/>
      <c r="P546" s="733"/>
      <c r="Q546" s="733"/>
      <c r="R546" s="733"/>
      <c r="S546" s="733"/>
      <c r="T546" s="733"/>
      <c r="U546" s="733"/>
      <c r="V546" s="693"/>
      <c r="W546" s="744"/>
    </row>
    <row r="547" spans="1:23" s="745" customFormat="1" x14ac:dyDescent="0.25">
      <c r="A547" s="693"/>
      <c r="B547" s="693"/>
      <c r="C547" s="693"/>
      <c r="D547" s="696"/>
      <c r="E547" s="696"/>
      <c r="F547" s="697"/>
      <c r="G547" s="697"/>
      <c r="H547" s="728"/>
      <c r="I547" s="728"/>
      <c r="J547" s="728"/>
      <c r="K547" s="728"/>
      <c r="L547" s="728"/>
      <c r="M547" s="728"/>
      <c r="N547" s="728"/>
      <c r="O547" s="733"/>
      <c r="P547" s="733"/>
      <c r="Q547" s="733"/>
      <c r="R547" s="733"/>
      <c r="S547" s="733"/>
      <c r="T547" s="733"/>
      <c r="U547" s="733"/>
      <c r="V547" s="693"/>
      <c r="W547" s="744"/>
    </row>
    <row r="548" spans="1:23" s="745" customFormat="1" x14ac:dyDescent="0.25">
      <c r="A548" s="693"/>
      <c r="B548" s="693"/>
      <c r="C548" s="693"/>
      <c r="D548" s="696"/>
      <c r="E548" s="696"/>
      <c r="F548" s="697"/>
      <c r="G548" s="697"/>
      <c r="H548" s="728"/>
      <c r="I548" s="728"/>
      <c r="J548" s="728"/>
      <c r="K548" s="728"/>
      <c r="L548" s="728"/>
      <c r="M548" s="728"/>
      <c r="N548" s="728"/>
      <c r="O548" s="733"/>
      <c r="P548" s="733"/>
      <c r="Q548" s="733"/>
      <c r="R548" s="733"/>
      <c r="S548" s="733"/>
      <c r="T548" s="733"/>
      <c r="U548" s="733"/>
      <c r="V548" s="693"/>
      <c r="W548" s="744"/>
    </row>
    <row r="549" spans="1:23" s="745" customFormat="1" x14ac:dyDescent="0.25">
      <c r="A549" s="693"/>
      <c r="B549" s="693"/>
      <c r="C549" s="693"/>
      <c r="D549" s="696"/>
      <c r="E549" s="696"/>
      <c r="F549" s="697"/>
      <c r="G549" s="697"/>
      <c r="H549" s="728"/>
      <c r="I549" s="728"/>
      <c r="J549" s="728"/>
      <c r="K549" s="728"/>
      <c r="L549" s="728"/>
      <c r="M549" s="728"/>
      <c r="N549" s="728"/>
      <c r="O549" s="733"/>
      <c r="P549" s="733"/>
      <c r="Q549" s="733"/>
      <c r="R549" s="733"/>
      <c r="S549" s="733"/>
      <c r="T549" s="733"/>
      <c r="U549" s="733"/>
      <c r="V549" s="693"/>
      <c r="W549" s="744"/>
    </row>
    <row r="550" spans="1:23" s="745" customFormat="1" x14ac:dyDescent="0.25">
      <c r="A550" s="693"/>
      <c r="B550" s="693"/>
      <c r="C550" s="693"/>
      <c r="D550" s="696"/>
      <c r="E550" s="696"/>
      <c r="F550" s="697"/>
      <c r="G550" s="697"/>
      <c r="H550" s="728"/>
      <c r="I550" s="728"/>
      <c r="J550" s="728"/>
      <c r="K550" s="728"/>
      <c r="L550" s="728"/>
      <c r="M550" s="728"/>
      <c r="N550" s="728"/>
      <c r="O550" s="733"/>
      <c r="P550" s="733"/>
      <c r="Q550" s="733"/>
      <c r="R550" s="733"/>
      <c r="S550" s="733"/>
      <c r="T550" s="733"/>
      <c r="U550" s="733"/>
      <c r="V550" s="693"/>
      <c r="W550" s="744"/>
    </row>
    <row r="551" spans="1:23" s="745" customFormat="1" x14ac:dyDescent="0.25">
      <c r="A551" s="693"/>
      <c r="B551" s="693"/>
      <c r="C551" s="693"/>
      <c r="D551" s="696"/>
      <c r="E551" s="696"/>
      <c r="F551" s="697"/>
      <c r="G551" s="697"/>
      <c r="H551" s="728"/>
      <c r="I551" s="728"/>
      <c r="J551" s="728"/>
      <c r="K551" s="728"/>
      <c r="L551" s="728"/>
      <c r="M551" s="728"/>
      <c r="N551" s="728"/>
      <c r="O551" s="733"/>
      <c r="P551" s="733"/>
      <c r="Q551" s="733"/>
      <c r="R551" s="733"/>
      <c r="S551" s="733"/>
      <c r="T551" s="733"/>
      <c r="U551" s="733"/>
      <c r="V551" s="693"/>
      <c r="W551" s="744"/>
    </row>
    <row r="552" spans="1:23" s="745" customFormat="1" x14ac:dyDescent="0.25">
      <c r="A552" s="693"/>
      <c r="B552" s="693"/>
      <c r="C552" s="693"/>
      <c r="D552" s="696"/>
      <c r="E552" s="696"/>
      <c r="F552" s="697"/>
      <c r="G552" s="697"/>
      <c r="H552" s="728"/>
      <c r="I552" s="728"/>
      <c r="J552" s="728"/>
      <c r="K552" s="728"/>
      <c r="L552" s="728"/>
      <c r="M552" s="728"/>
      <c r="N552" s="728"/>
      <c r="O552" s="733"/>
      <c r="P552" s="733"/>
      <c r="Q552" s="733"/>
      <c r="R552" s="733"/>
      <c r="S552" s="733"/>
      <c r="T552" s="733"/>
      <c r="U552" s="733"/>
      <c r="V552" s="693"/>
      <c r="W552" s="744"/>
    </row>
    <row r="553" spans="1:23" s="745" customFormat="1" x14ac:dyDescent="0.25">
      <c r="A553" s="693"/>
      <c r="B553" s="693"/>
      <c r="C553" s="693"/>
      <c r="D553" s="696"/>
      <c r="E553" s="696"/>
      <c r="F553" s="697"/>
      <c r="G553" s="697"/>
      <c r="H553" s="728"/>
      <c r="I553" s="728"/>
      <c r="J553" s="728"/>
      <c r="K553" s="728"/>
      <c r="L553" s="728"/>
      <c r="M553" s="728"/>
      <c r="N553" s="728"/>
      <c r="O553" s="733"/>
      <c r="P553" s="733"/>
      <c r="Q553" s="733"/>
      <c r="R553" s="733"/>
      <c r="S553" s="733"/>
      <c r="T553" s="733"/>
      <c r="U553" s="733"/>
      <c r="V553" s="693"/>
      <c r="W553" s="744"/>
    </row>
  </sheetData>
  <sheetProtection algorithmName="SHA-512" hashValue="RWHjuJ25p7wvHwF99BwQBlLuuXbKkrsCMuSWapVvzaNPB18xh8BYBnvZXUS8mLWxex4Gr8/R+YPMdol7Sn6vuA==" saltValue="c+W91+sXHEtCirc26P7LIw==" spinCount="100000" sheet="1" objects="1" scenarios="1"/>
  <mergeCells count="6">
    <mergeCell ref="A1:W1"/>
    <mergeCell ref="H2:J2"/>
    <mergeCell ref="K2:M2"/>
    <mergeCell ref="O2:P2"/>
    <mergeCell ref="Q2:R2"/>
    <mergeCell ref="S2:U2"/>
  </mergeCells>
  <conditionalFormatting sqref="B1:B110 B112:B1048576">
    <cfRule type="duplicateValues" dxfId="3" priority="2"/>
  </conditionalFormatting>
  <conditionalFormatting sqref="B111">
    <cfRule type="duplicateValues" dxfId="2" priority="1"/>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C6596-5162-4729-8127-1D268D5FC417}">
  <sheetPr codeName="Sheet100"/>
  <dimension ref="A1:AE93"/>
  <sheetViews>
    <sheetView workbookViewId="0">
      <selection activeCell="I18" sqref="I18"/>
    </sheetView>
  </sheetViews>
  <sheetFormatPr defaultRowHeight="12.75" x14ac:dyDescent="0.2"/>
  <cols>
    <col min="1" max="1" width="33.28515625" bestFit="1" customWidth="1"/>
    <col min="2" max="2" width="12.42578125" bestFit="1" customWidth="1"/>
    <col min="3" max="3" width="16.42578125" customWidth="1"/>
    <col min="4" max="4" width="8.28515625" style="58" customWidth="1"/>
    <col min="5" max="5" width="10.42578125" style="58" customWidth="1"/>
    <col min="6" max="6" width="9.140625" customWidth="1"/>
    <col min="7" max="7" width="25.7109375" bestFit="1" customWidth="1"/>
    <col min="8" max="8" width="8.7109375" bestFit="1" customWidth="1"/>
    <col min="9" max="9" width="18.7109375" bestFit="1" customWidth="1"/>
  </cols>
  <sheetData>
    <row r="1" spans="1:18" x14ac:dyDescent="0.2">
      <c r="A1" t="s">
        <v>57</v>
      </c>
      <c r="C1" t="str">
        <f>Element1</f>
        <v>Phase Name 1</v>
      </c>
      <c r="G1" t="s">
        <v>62</v>
      </c>
      <c r="H1" s="77">
        <f>DollarG2</f>
        <v>71</v>
      </c>
    </row>
    <row r="2" spans="1:18" x14ac:dyDescent="0.2">
      <c r="H2" s="77"/>
    </row>
    <row r="3" spans="1:18" ht="13.5" thickBot="1" x14ac:dyDescent="0.25">
      <c r="A3" s="57" t="s">
        <v>38</v>
      </c>
      <c r="B3" s="57" t="s">
        <v>1238</v>
      </c>
      <c r="C3" s="57" t="s">
        <v>1239</v>
      </c>
      <c r="D3" s="59" t="s">
        <v>1213</v>
      </c>
      <c r="E3" s="59" t="s">
        <v>1240</v>
      </c>
      <c r="G3" s="60" t="s">
        <v>65</v>
      </c>
      <c r="H3" s="61" t="s">
        <v>66</v>
      </c>
      <c r="I3" s="52"/>
      <c r="J3" s="52"/>
      <c r="K3" s="52"/>
      <c r="L3" s="52"/>
      <c r="M3" s="52"/>
      <c r="N3" s="52"/>
      <c r="O3" s="52"/>
      <c r="P3" s="52"/>
      <c r="Q3" s="52"/>
      <c r="R3" s="52"/>
    </row>
    <row r="4" spans="1:18" x14ac:dyDescent="0.2">
      <c r="A4" s="69"/>
      <c r="B4" s="746"/>
      <c r="C4" s="746"/>
      <c r="D4" s="122"/>
      <c r="E4" s="123"/>
      <c r="H4" s="61" t="s">
        <v>67</v>
      </c>
      <c r="I4" s="52"/>
      <c r="J4" s="52"/>
      <c r="K4" s="52"/>
      <c r="L4" s="52"/>
      <c r="M4" s="52"/>
      <c r="N4" s="52"/>
      <c r="O4" s="52"/>
      <c r="P4" s="52"/>
      <c r="Q4" s="52"/>
      <c r="R4" s="52"/>
    </row>
    <row r="5" spans="1:18" x14ac:dyDescent="0.2">
      <c r="A5" s="70" t="s">
        <v>363</v>
      </c>
      <c r="B5" s="747" t="s">
        <v>1205</v>
      </c>
      <c r="C5" s="747" t="s">
        <v>1207</v>
      </c>
      <c r="D5" s="124">
        <v>70</v>
      </c>
      <c r="E5" s="125">
        <v>350</v>
      </c>
      <c r="G5" s="60" t="s">
        <v>64</v>
      </c>
      <c r="H5" s="62" t="s">
        <v>67</v>
      </c>
      <c r="I5" s="52"/>
      <c r="J5" s="52"/>
      <c r="K5" s="52"/>
      <c r="L5" s="52"/>
      <c r="M5" s="52"/>
      <c r="N5" s="52"/>
      <c r="O5" s="52"/>
      <c r="P5" s="52"/>
      <c r="Q5" s="52"/>
      <c r="R5" s="52"/>
    </row>
    <row r="6" spans="1:18" ht="15" x14ac:dyDescent="0.25">
      <c r="A6" s="70" t="s">
        <v>364</v>
      </c>
      <c r="B6" s="694" t="s">
        <v>1202</v>
      </c>
      <c r="C6" s="747" t="s">
        <v>1204</v>
      </c>
      <c r="D6" s="124">
        <v>60</v>
      </c>
      <c r="E6" s="125">
        <v>300</v>
      </c>
      <c r="G6" s="54"/>
      <c r="H6" s="62" t="s">
        <v>68</v>
      </c>
      <c r="I6" s="52"/>
      <c r="J6" s="52"/>
      <c r="K6" s="52"/>
      <c r="L6" s="52"/>
      <c r="M6" s="52"/>
      <c r="N6" s="52"/>
      <c r="O6" s="52"/>
      <c r="P6" s="52"/>
      <c r="Q6" s="52"/>
      <c r="R6" s="52"/>
    </row>
    <row r="7" spans="1:18" ht="13.5" thickBot="1" x14ac:dyDescent="0.25">
      <c r="A7" s="793" t="s">
        <v>776</v>
      </c>
      <c r="B7" s="794" t="s">
        <v>1208</v>
      </c>
      <c r="C7" s="794" t="s">
        <v>1210</v>
      </c>
      <c r="D7" s="795">
        <v>95</v>
      </c>
      <c r="E7" s="796">
        <f>+D7*5</f>
        <v>475</v>
      </c>
      <c r="G7" s="54"/>
      <c r="H7" s="62"/>
      <c r="I7" s="52"/>
      <c r="J7" s="52"/>
      <c r="K7" s="52"/>
      <c r="L7" s="52"/>
      <c r="M7" s="52"/>
      <c r="N7" s="52"/>
      <c r="O7" s="52"/>
      <c r="P7" s="52"/>
      <c r="Q7" s="52"/>
      <c r="R7" s="52"/>
    </row>
    <row r="8" spans="1:18" x14ac:dyDescent="0.2">
      <c r="G8" s="114" t="s">
        <v>101</v>
      </c>
      <c r="H8" s="115" t="s">
        <v>103</v>
      </c>
      <c r="I8" s="52"/>
      <c r="J8" s="52"/>
      <c r="K8" s="52"/>
      <c r="L8" s="52"/>
      <c r="M8" s="52"/>
      <c r="N8" s="52"/>
      <c r="O8" s="52"/>
      <c r="P8" s="52"/>
      <c r="Q8" s="52"/>
      <c r="R8" s="52"/>
    </row>
    <row r="9" spans="1:18" x14ac:dyDescent="0.2">
      <c r="G9" s="114" t="s">
        <v>102</v>
      </c>
      <c r="H9" s="116" t="s">
        <v>66</v>
      </c>
      <c r="I9" s="52"/>
      <c r="J9" s="52"/>
      <c r="K9" s="52"/>
      <c r="L9" s="52"/>
      <c r="M9" s="52"/>
      <c r="N9" s="52"/>
      <c r="O9" s="52"/>
      <c r="P9" s="52"/>
      <c r="Q9" s="52"/>
      <c r="R9" s="52"/>
    </row>
    <row r="10" spans="1:18" ht="13.5" thickBot="1" x14ac:dyDescent="0.25">
      <c r="A10" s="57" t="s">
        <v>38</v>
      </c>
      <c r="B10" s="57"/>
      <c r="C10" s="57"/>
      <c r="D10" s="59" t="s">
        <v>55</v>
      </c>
      <c r="E10" s="59" t="s">
        <v>42</v>
      </c>
      <c r="G10" s="54"/>
      <c r="H10" s="116" t="s">
        <v>68</v>
      </c>
      <c r="I10" s="52"/>
      <c r="J10" s="52"/>
      <c r="K10" s="52"/>
      <c r="L10" s="52"/>
      <c r="M10" s="52"/>
      <c r="N10" s="52"/>
      <c r="O10" s="52"/>
      <c r="P10" s="52"/>
      <c r="Q10" s="52"/>
      <c r="R10" s="52"/>
    </row>
    <row r="11" spans="1:18" x14ac:dyDescent="0.2">
      <c r="A11" s="194" t="s">
        <v>326</v>
      </c>
      <c r="B11" s="748"/>
      <c r="C11" s="748"/>
      <c r="D11" s="195">
        <v>45</v>
      </c>
      <c r="E11" s="196">
        <v>220</v>
      </c>
      <c r="G11" s="114" t="s">
        <v>104</v>
      </c>
      <c r="H11" s="117" t="s">
        <v>66</v>
      </c>
    </row>
    <row r="12" spans="1:18" x14ac:dyDescent="0.2">
      <c r="A12" s="197" t="s">
        <v>327</v>
      </c>
      <c r="B12" s="4"/>
      <c r="C12" s="4"/>
      <c r="D12" s="198">
        <v>55</v>
      </c>
      <c r="E12" s="199">
        <v>250</v>
      </c>
      <c r="G12" s="233" t="s">
        <v>354</v>
      </c>
      <c r="H12" s="234" t="s">
        <v>66</v>
      </c>
    </row>
    <row r="13" spans="1:18" x14ac:dyDescent="0.2">
      <c r="A13" s="197" t="s">
        <v>351</v>
      </c>
      <c r="B13" s="4"/>
      <c r="C13" s="4"/>
      <c r="D13" s="198">
        <v>65</v>
      </c>
      <c r="E13" s="200">
        <v>300</v>
      </c>
      <c r="G13" s="118"/>
      <c r="H13" s="234" t="s">
        <v>67</v>
      </c>
    </row>
    <row r="14" spans="1:18" x14ac:dyDescent="0.2">
      <c r="A14" s="197" t="s">
        <v>328</v>
      </c>
      <c r="B14" s="4"/>
      <c r="C14" s="4"/>
      <c r="D14" s="198">
        <v>75</v>
      </c>
      <c r="E14" s="200">
        <v>325</v>
      </c>
      <c r="G14" s="53"/>
      <c r="H14" s="234" t="s">
        <v>68</v>
      </c>
    </row>
    <row r="15" spans="1:18" ht="13.5" thickBot="1" x14ac:dyDescent="0.25">
      <c r="A15" s="201" t="s">
        <v>352</v>
      </c>
      <c r="B15" s="749"/>
      <c r="C15" s="749"/>
      <c r="D15" s="202">
        <v>70</v>
      </c>
      <c r="E15" s="203">
        <v>275</v>
      </c>
      <c r="G15" s="53"/>
      <c r="H15" s="56"/>
    </row>
    <row r="16" spans="1:18" x14ac:dyDescent="0.2">
      <c r="G16" s="53"/>
      <c r="H16" s="56"/>
    </row>
    <row r="17" spans="2:8" x14ac:dyDescent="0.2">
      <c r="G17" s="53"/>
      <c r="H17" s="56"/>
    </row>
    <row r="18" spans="2:8" x14ac:dyDescent="0.2">
      <c r="G18" s="53"/>
      <c r="H18" s="56"/>
    </row>
    <row r="19" spans="2:8" x14ac:dyDescent="0.2">
      <c r="G19" s="53"/>
      <c r="H19" s="56"/>
    </row>
    <row r="20" spans="2:8" x14ac:dyDescent="0.2">
      <c r="G20" s="53"/>
      <c r="H20" s="56"/>
    </row>
    <row r="21" spans="2:8" ht="15" x14ac:dyDescent="0.25">
      <c r="B21" s="694"/>
      <c r="G21" s="53"/>
      <c r="H21" s="56"/>
    </row>
    <row r="22" spans="2:8" ht="15" x14ac:dyDescent="0.25">
      <c r="B22" s="694"/>
      <c r="G22" s="53"/>
      <c r="H22" s="56"/>
    </row>
    <row r="23" spans="2:8" ht="15" x14ac:dyDescent="0.25">
      <c r="B23" s="694"/>
      <c r="G23" s="53"/>
      <c r="H23" s="56"/>
    </row>
    <row r="24" spans="2:8" ht="15" x14ac:dyDescent="0.25">
      <c r="B24" s="694"/>
      <c r="G24" s="53"/>
      <c r="H24" s="56"/>
    </row>
    <row r="25" spans="2:8" ht="15" x14ac:dyDescent="0.25">
      <c r="B25" s="694"/>
      <c r="G25" s="53"/>
      <c r="H25" s="56"/>
    </row>
    <row r="26" spans="2:8" x14ac:dyDescent="0.2">
      <c r="G26" s="53"/>
      <c r="H26" s="56"/>
    </row>
    <row r="27" spans="2:8" x14ac:dyDescent="0.2">
      <c r="G27" s="53"/>
      <c r="H27" s="56"/>
    </row>
    <row r="28" spans="2:8" x14ac:dyDescent="0.2">
      <c r="G28" s="53"/>
      <c r="H28" s="56"/>
    </row>
    <row r="29" spans="2:8" x14ac:dyDescent="0.2">
      <c r="G29" s="53"/>
      <c r="H29" s="56"/>
    </row>
    <row r="30" spans="2:8" x14ac:dyDescent="0.2">
      <c r="G30" s="53"/>
      <c r="H30" s="56"/>
    </row>
    <row r="31" spans="2:8" x14ac:dyDescent="0.2">
      <c r="G31" s="53"/>
      <c r="H31" s="56"/>
    </row>
    <row r="32" spans="2:8" ht="21.6" customHeight="1" x14ac:dyDescent="0.2">
      <c r="G32" s="53"/>
      <c r="H32" s="56"/>
    </row>
    <row r="33" spans="4:31" ht="21.6" customHeight="1" x14ac:dyDescent="0.2">
      <c r="G33" s="53"/>
      <c r="H33" s="56"/>
    </row>
    <row r="34" spans="4:31" x14ac:dyDescent="0.2">
      <c r="G34" s="53"/>
      <c r="H34" s="56"/>
    </row>
    <row r="35" spans="4:31" x14ac:dyDescent="0.2">
      <c r="G35" s="53"/>
      <c r="H35" s="56"/>
    </row>
    <row r="36" spans="4:31" x14ac:dyDescent="0.2">
      <c r="G36" s="53"/>
      <c r="H36" s="56"/>
    </row>
    <row r="37" spans="4:31" x14ac:dyDescent="0.2">
      <c r="G37" s="53"/>
      <c r="H37" s="56"/>
    </row>
    <row r="38" spans="4:31" x14ac:dyDescent="0.2">
      <c r="G38" s="53"/>
      <c r="H38" s="56"/>
    </row>
    <row r="39" spans="4:31" x14ac:dyDescent="0.2">
      <c r="G39" s="53"/>
      <c r="H39" s="56"/>
    </row>
    <row r="40" spans="4:31" x14ac:dyDescent="0.2">
      <c r="G40" s="53"/>
      <c r="H40" s="56"/>
    </row>
    <row r="41" spans="4:31" x14ac:dyDescent="0.2">
      <c r="G41" s="53"/>
      <c r="H41" s="56"/>
    </row>
    <row r="42" spans="4:31" x14ac:dyDescent="0.2">
      <c r="G42" s="53"/>
      <c r="H42" s="56"/>
    </row>
    <row r="43" spans="4:31" x14ac:dyDescent="0.2">
      <c r="D43" s="58">
        <f t="shared" ref="D43:AE43" si="0">SUMIF($D$5:$AE$5,D42,$D$27:$AE$27)</f>
        <v>0</v>
      </c>
      <c r="E43" s="58">
        <f t="shared" si="0"/>
        <v>0</v>
      </c>
      <c r="F43">
        <f t="shared" si="0"/>
        <v>0</v>
      </c>
      <c r="G43" s="53">
        <f t="shared" si="0"/>
        <v>0</v>
      </c>
      <c r="H43" s="56">
        <f t="shared" si="0"/>
        <v>0</v>
      </c>
      <c r="I43">
        <f t="shared" si="0"/>
        <v>0</v>
      </c>
      <c r="J43">
        <f t="shared" si="0"/>
        <v>0</v>
      </c>
      <c r="K43">
        <f t="shared" si="0"/>
        <v>0</v>
      </c>
      <c r="L43">
        <f t="shared" si="0"/>
        <v>0</v>
      </c>
      <c r="M43">
        <f t="shared" si="0"/>
        <v>0</v>
      </c>
      <c r="N43">
        <f t="shared" si="0"/>
        <v>0</v>
      </c>
      <c r="O43">
        <f t="shared" si="0"/>
        <v>0</v>
      </c>
      <c r="P43">
        <f t="shared" si="0"/>
        <v>0</v>
      </c>
      <c r="Q43">
        <f t="shared" si="0"/>
        <v>0</v>
      </c>
      <c r="R43">
        <f t="shared" si="0"/>
        <v>0</v>
      </c>
      <c r="S43">
        <f t="shared" si="0"/>
        <v>0</v>
      </c>
      <c r="T43">
        <f t="shared" si="0"/>
        <v>0</v>
      </c>
      <c r="U43">
        <f t="shared" si="0"/>
        <v>0</v>
      </c>
      <c r="V43">
        <f t="shared" si="0"/>
        <v>0</v>
      </c>
      <c r="W43">
        <f t="shared" si="0"/>
        <v>0</v>
      </c>
      <c r="X43">
        <f t="shared" si="0"/>
        <v>0</v>
      </c>
      <c r="Y43">
        <f t="shared" si="0"/>
        <v>0</v>
      </c>
      <c r="Z43">
        <f t="shared" si="0"/>
        <v>0</v>
      </c>
      <c r="AA43">
        <f t="shared" si="0"/>
        <v>0</v>
      </c>
      <c r="AB43">
        <f t="shared" si="0"/>
        <v>0</v>
      </c>
      <c r="AC43">
        <f t="shared" si="0"/>
        <v>0</v>
      </c>
      <c r="AD43">
        <f t="shared" si="0"/>
        <v>0</v>
      </c>
      <c r="AE43">
        <f t="shared" si="0"/>
        <v>0</v>
      </c>
    </row>
    <row r="44" spans="4:31" x14ac:dyDescent="0.2">
      <c r="G44" s="53"/>
      <c r="H44" s="56"/>
    </row>
    <row r="45" spans="4:31" x14ac:dyDescent="0.2">
      <c r="G45" s="53"/>
      <c r="H45" s="56"/>
    </row>
    <row r="46" spans="4:31" x14ac:dyDescent="0.2">
      <c r="G46" s="53"/>
      <c r="H46" s="56"/>
    </row>
    <row r="47" spans="4:31" x14ac:dyDescent="0.2">
      <c r="G47" s="53"/>
      <c r="H47" s="56"/>
    </row>
    <row r="48" spans="4:31" x14ac:dyDescent="0.2">
      <c r="G48" s="53"/>
      <c r="H48" s="56"/>
    </row>
    <row r="49" spans="7:8" x14ac:dyDescent="0.2">
      <c r="G49" s="53"/>
      <c r="H49" s="56"/>
    </row>
    <row r="50" spans="7:8" x14ac:dyDescent="0.2">
      <c r="G50" s="53"/>
      <c r="H50" s="56"/>
    </row>
    <row r="51" spans="7:8" x14ac:dyDescent="0.2">
      <c r="G51" s="53"/>
      <c r="H51" s="56"/>
    </row>
    <row r="52" spans="7:8" x14ac:dyDescent="0.2">
      <c r="G52" s="53"/>
      <c r="H52" s="56"/>
    </row>
    <row r="53" spans="7:8" x14ac:dyDescent="0.2">
      <c r="G53" s="53"/>
      <c r="H53" s="56"/>
    </row>
    <row r="54" spans="7:8" x14ac:dyDescent="0.2">
      <c r="G54" s="53"/>
      <c r="H54" s="56"/>
    </row>
    <row r="55" spans="7:8" x14ac:dyDescent="0.2">
      <c r="G55" s="53"/>
      <c r="H55" s="56"/>
    </row>
    <row r="56" spans="7:8" x14ac:dyDescent="0.2">
      <c r="G56" s="53"/>
      <c r="H56" s="56"/>
    </row>
    <row r="57" spans="7:8" x14ac:dyDescent="0.2">
      <c r="G57" s="53"/>
      <c r="H57" s="56"/>
    </row>
    <row r="58" spans="7:8" x14ac:dyDescent="0.2">
      <c r="G58" s="53"/>
      <c r="H58" s="56"/>
    </row>
    <row r="59" spans="7:8" x14ac:dyDescent="0.2">
      <c r="G59" s="53"/>
      <c r="H59" s="56"/>
    </row>
    <row r="60" spans="7:8" x14ac:dyDescent="0.2">
      <c r="G60" s="53"/>
      <c r="H60" s="56"/>
    </row>
    <row r="61" spans="7:8" x14ac:dyDescent="0.2">
      <c r="G61" s="53"/>
      <c r="H61" s="56"/>
    </row>
    <row r="62" spans="7:8" x14ac:dyDescent="0.2">
      <c r="G62" s="53"/>
      <c r="H62" s="56"/>
    </row>
    <row r="63" spans="7:8" x14ac:dyDescent="0.2">
      <c r="G63" s="53"/>
      <c r="H63" s="56"/>
    </row>
    <row r="64" spans="7:8" x14ac:dyDescent="0.2">
      <c r="G64" s="53"/>
      <c r="H64" s="56"/>
    </row>
    <row r="65" spans="7:9" x14ac:dyDescent="0.2">
      <c r="G65" s="53"/>
      <c r="H65" s="56"/>
    </row>
    <row r="66" spans="7:9" x14ac:dyDescent="0.2">
      <c r="G66" s="53"/>
      <c r="H66" s="56"/>
      <c r="I66" s="55"/>
    </row>
    <row r="67" spans="7:9" x14ac:dyDescent="0.2">
      <c r="G67" s="53"/>
      <c r="H67" s="56"/>
      <c r="I67" s="55"/>
    </row>
    <row r="68" spans="7:9" x14ac:dyDescent="0.2">
      <c r="G68" s="53"/>
      <c r="H68" s="56"/>
      <c r="I68" s="55"/>
    </row>
    <row r="69" spans="7:9" x14ac:dyDescent="0.2">
      <c r="G69" s="53"/>
      <c r="H69" s="56"/>
      <c r="I69" s="55"/>
    </row>
    <row r="70" spans="7:9" x14ac:dyDescent="0.2">
      <c r="G70" s="53"/>
      <c r="H70" s="56"/>
      <c r="I70" s="55"/>
    </row>
    <row r="71" spans="7:9" x14ac:dyDescent="0.2">
      <c r="G71" s="53"/>
      <c r="H71" s="56"/>
      <c r="I71" s="55"/>
    </row>
    <row r="72" spans="7:9" x14ac:dyDescent="0.2">
      <c r="G72" s="53"/>
      <c r="H72" s="56"/>
      <c r="I72" s="55"/>
    </row>
    <row r="73" spans="7:9" x14ac:dyDescent="0.2">
      <c r="G73" s="53"/>
      <c r="H73" s="56"/>
      <c r="I73" s="55"/>
    </row>
    <row r="74" spans="7:9" x14ac:dyDescent="0.2">
      <c r="G74" s="53"/>
      <c r="H74" s="56"/>
      <c r="I74" s="55"/>
    </row>
    <row r="75" spans="7:9" x14ac:dyDescent="0.2">
      <c r="G75" s="53"/>
      <c r="H75" s="56"/>
      <c r="I75" s="55"/>
    </row>
    <row r="76" spans="7:9" x14ac:dyDescent="0.2">
      <c r="G76" s="53"/>
      <c r="H76" s="56"/>
      <c r="I76" s="55"/>
    </row>
    <row r="77" spans="7:9" x14ac:dyDescent="0.2">
      <c r="G77" s="53"/>
      <c r="H77" s="56"/>
      <c r="I77" s="55"/>
    </row>
    <row r="78" spans="7:9" x14ac:dyDescent="0.2">
      <c r="G78" s="53"/>
      <c r="H78" s="56"/>
      <c r="I78" s="55"/>
    </row>
    <row r="79" spans="7:9" x14ac:dyDescent="0.2">
      <c r="G79" s="53"/>
      <c r="H79" s="56"/>
      <c r="I79" s="55"/>
    </row>
    <row r="80" spans="7:9" x14ac:dyDescent="0.2">
      <c r="G80" s="53"/>
      <c r="H80" s="56"/>
      <c r="I80" s="55"/>
    </row>
    <row r="81" spans="7:9" x14ac:dyDescent="0.2">
      <c r="G81" s="53"/>
      <c r="H81" s="56"/>
      <c r="I81" s="55"/>
    </row>
    <row r="86" spans="7:9" x14ac:dyDescent="0.2">
      <c r="I86" s="55"/>
    </row>
    <row r="87" spans="7:9" x14ac:dyDescent="0.2">
      <c r="I87" s="55"/>
    </row>
    <row r="88" spans="7:9" x14ac:dyDescent="0.2">
      <c r="I88" s="55"/>
    </row>
    <row r="89" spans="7:9" x14ac:dyDescent="0.2">
      <c r="I89" s="55"/>
    </row>
    <row r="90" spans="7:9" x14ac:dyDescent="0.2">
      <c r="I90" s="55"/>
    </row>
    <row r="91" spans="7:9" x14ac:dyDescent="0.2">
      <c r="I91" s="55"/>
    </row>
    <row r="92" spans="7:9" x14ac:dyDescent="0.2">
      <c r="I92" s="55"/>
    </row>
    <row r="93" spans="7:9" x14ac:dyDescent="0.2">
      <c r="I93" s="55"/>
    </row>
  </sheetData>
  <sheetProtection algorithmName="SHA-512" hashValue="QW8efDpoN2TRwXj3WyZfP4SIF2hpL8hqpbtV/Me+ycOctnsRAHxDjyZY13H2yl0pq8C2CqvfrMjIEjSEfvUVIQ==" saltValue="k7vWmnEojzY9SHSOPq9+pg==" spinCount="100000" sheet="1" objects="1" scenarios="1"/>
  <conditionalFormatting sqref="B21:B25 B6">
    <cfRule type="duplicateValues" dxfId="1" priority="279"/>
  </conditionalFormatting>
  <pageMargins left="0.75" right="0.75" top="1" bottom="1" header="0.5" footer="0.5"/>
  <pageSetup orientation="portrait" r:id="rId1"/>
  <headerFooter alignWithMargins="0">
    <oddFooter xml:space="preserve">&amp;L&amp;6C:\My Documents\Projects\Budget Spreadsheet\BETA 4 - budget AND workplan template.xls   &amp;D &amp;T&amp;R&amp;8&amp;Z&amp;F   &amp;D_x000D_&amp;7© 2014 RMT, Inc.  All rights reserved.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f0ef7cf0-09e4-4214-bde5-4f47839fa326">YNXMSS56DUWF-652-23</_dlc_DocId>
    <_dlc_DocIdUrl xmlns="f0ef7cf0-09e4-4214-bde5-4f47839fa326">
      <Url>http://trcnet.trcsolutions.com/LOB/Environmental/RMD/RMDP/_layouts/DocIdRedir.aspx?ID=YNXMSS56DUWF-652-23</Url>
      <Description>YNXMSS56DUWF-652-23</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0D6674CDBF72745A64AA176360C5B5E" ma:contentTypeVersion="0" ma:contentTypeDescription="Create a new document." ma:contentTypeScope="" ma:versionID="7469d0fcdd4c1469c3363d145c871261">
  <xsd:schema xmlns:xsd="http://www.w3.org/2001/XMLSchema" xmlns:xs="http://www.w3.org/2001/XMLSchema" xmlns:p="http://schemas.microsoft.com/office/2006/metadata/properties" xmlns:ns2="f0ef7cf0-09e4-4214-bde5-4f47839fa326" targetNamespace="http://schemas.microsoft.com/office/2006/metadata/properties" ma:root="true" ma:fieldsID="0e63b5404d1d8c29c1604235c761f0f1" ns2:_="">
    <xsd:import namespace="f0ef7cf0-09e4-4214-bde5-4f47839fa326"/>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ef7cf0-09e4-4214-bde5-4f47839fa32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415867-FB03-4CF4-9D56-AFEFD96DFEF3}">
  <ds:schemaRefs>
    <ds:schemaRef ds:uri="http://schemas.microsoft.com/sharepoint/events"/>
  </ds:schemaRefs>
</ds:datastoreItem>
</file>

<file path=customXml/itemProps2.xml><?xml version="1.0" encoding="utf-8"?>
<ds:datastoreItem xmlns:ds="http://schemas.openxmlformats.org/officeDocument/2006/customXml" ds:itemID="{5FCB85B9-3D05-4446-8BA1-0759226FAF2F}">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f0ef7cf0-09e4-4214-bde5-4f47839fa326"/>
    <ds:schemaRef ds:uri="http://www.w3.org/XML/1998/namespace"/>
  </ds:schemaRefs>
</ds:datastoreItem>
</file>

<file path=customXml/itemProps3.xml><?xml version="1.0" encoding="utf-8"?>
<ds:datastoreItem xmlns:ds="http://schemas.openxmlformats.org/officeDocument/2006/customXml" ds:itemID="{0F791327-14DB-4E37-A871-1DAD9A7951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0ef7cf0-09e4-4214-bde5-4f47839fa3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4AAF05D-1481-4426-9B09-23FC4B0D3D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5004</vt:i4>
      </vt:variant>
    </vt:vector>
  </HeadingPairs>
  <TitlesOfParts>
    <vt:vector size="5044" baseType="lpstr">
      <vt:lpstr>FormulaLookup</vt:lpstr>
      <vt:lpstr>Phase_Lookup</vt:lpstr>
      <vt:lpstr>Phase_Template</vt:lpstr>
      <vt:lpstr>Instructions</vt:lpstr>
      <vt:lpstr>INPUT</vt:lpstr>
      <vt:lpstr>Budget Summary</vt:lpstr>
      <vt:lpstr>Budget Detail</vt:lpstr>
      <vt:lpstr>Profitability Summary</vt:lpstr>
      <vt:lpstr>Approval Signatures</vt:lpstr>
      <vt:lpstr>Lab Analysis List</vt:lpstr>
      <vt:lpstr>Travel Charges</vt:lpstr>
      <vt:lpstr>Standard Equipment &amp; Supplies</vt:lpstr>
      <vt:lpstr>Other Supplies &amp; Rental List</vt:lpstr>
      <vt:lpstr>Subcontractors List</vt:lpstr>
      <vt:lpstr>Procurement List</vt:lpstr>
      <vt:lpstr>Printable Rate Sheet</vt:lpstr>
      <vt:lpstr>Phase 1</vt:lpstr>
      <vt:lpstr>Phase 2</vt:lpstr>
      <vt:lpstr>Phase 3</vt:lpstr>
      <vt:lpstr>Phase 4</vt:lpstr>
      <vt:lpstr>Phase 5</vt:lpstr>
      <vt:lpstr>Phase 6</vt:lpstr>
      <vt:lpstr>Phase 7</vt:lpstr>
      <vt:lpstr>Phase 8</vt:lpstr>
      <vt:lpstr>Phase 9</vt:lpstr>
      <vt:lpstr>Phase 10</vt:lpstr>
      <vt:lpstr>Phase 11</vt:lpstr>
      <vt:lpstr>Phase 12</vt:lpstr>
      <vt:lpstr>Phase 13</vt:lpstr>
      <vt:lpstr>Phase 14</vt:lpstr>
      <vt:lpstr>Phase 15</vt:lpstr>
      <vt:lpstr>Phase 16</vt:lpstr>
      <vt:lpstr>Phase 17</vt:lpstr>
      <vt:lpstr>Phase 18</vt:lpstr>
      <vt:lpstr>Phase 19</vt:lpstr>
      <vt:lpstr>Phase 20</vt:lpstr>
      <vt:lpstr>RATE Schedules</vt:lpstr>
      <vt:lpstr>Labor &amp; Practice Lookups</vt:lpstr>
      <vt:lpstr>EQUIP RATE SCHEDULE</vt:lpstr>
      <vt:lpstr>VEHICLE RATE SCHEDULE</vt:lpstr>
      <vt:lpstr>_AIR1</vt:lpstr>
      <vt:lpstr>_AIR10</vt:lpstr>
      <vt:lpstr>_AIR11</vt:lpstr>
      <vt:lpstr>_AIR12</vt:lpstr>
      <vt:lpstr>_AIR13</vt:lpstr>
      <vt:lpstr>_AIR14</vt:lpstr>
      <vt:lpstr>_AIR15</vt:lpstr>
      <vt:lpstr>_AIR16</vt:lpstr>
      <vt:lpstr>_AIR17</vt:lpstr>
      <vt:lpstr>_AIR18</vt:lpstr>
      <vt:lpstr>_AIR19</vt:lpstr>
      <vt:lpstr>_AIR2</vt:lpstr>
      <vt:lpstr>_AIR20</vt:lpstr>
      <vt:lpstr>_AIR3</vt:lpstr>
      <vt:lpstr>_AIR4</vt:lpstr>
      <vt:lpstr>_AIR5</vt:lpstr>
      <vt:lpstr>_AIR6</vt:lpstr>
      <vt:lpstr>_AIR7</vt:lpstr>
      <vt:lpstr>_AIR8</vt:lpstr>
      <vt:lpstr>_AIR9</vt:lpstr>
      <vt:lpstr>_GWE1</vt:lpstr>
      <vt:lpstr>_GWE10</vt:lpstr>
      <vt:lpstr>_GWE11</vt:lpstr>
      <vt:lpstr>_GWE12</vt:lpstr>
      <vt:lpstr>_GWE2</vt:lpstr>
      <vt:lpstr>_GWE3</vt:lpstr>
      <vt:lpstr>_GWE4</vt:lpstr>
      <vt:lpstr>_GWE5</vt:lpstr>
      <vt:lpstr>_GWE6</vt:lpstr>
      <vt:lpstr>_GWE7</vt:lpstr>
      <vt:lpstr>_GWE8</vt:lpstr>
      <vt:lpstr>_GWE9</vt:lpstr>
      <vt:lpstr>_SED1</vt:lpstr>
      <vt:lpstr>_SED10</vt:lpstr>
      <vt:lpstr>_SED11</vt:lpstr>
      <vt:lpstr>_SED12</vt:lpstr>
      <vt:lpstr>_SED13</vt:lpstr>
      <vt:lpstr>_SED14</vt:lpstr>
      <vt:lpstr>_SED15</vt:lpstr>
      <vt:lpstr>_SED16</vt:lpstr>
      <vt:lpstr>_SED17</vt:lpstr>
      <vt:lpstr>_SED18</vt:lpstr>
      <vt:lpstr>_SED19</vt:lpstr>
      <vt:lpstr>_SED2</vt:lpstr>
      <vt:lpstr>_SED20</vt:lpstr>
      <vt:lpstr>_SED3</vt:lpstr>
      <vt:lpstr>_SED4</vt:lpstr>
      <vt:lpstr>_SED5</vt:lpstr>
      <vt:lpstr>_SED6</vt:lpstr>
      <vt:lpstr>_SED7</vt:lpstr>
      <vt:lpstr>_SED8</vt:lpstr>
      <vt:lpstr>_SED9</vt:lpstr>
      <vt:lpstr>_SH1</vt:lpstr>
      <vt:lpstr>_SH10</vt:lpstr>
      <vt:lpstr>_SH11</vt:lpstr>
      <vt:lpstr>_SH12</vt:lpstr>
      <vt:lpstr>_SH13</vt:lpstr>
      <vt:lpstr>_SH14</vt:lpstr>
      <vt:lpstr>_SH15</vt:lpstr>
      <vt:lpstr>_SH16</vt:lpstr>
      <vt:lpstr>_SH17</vt:lpstr>
      <vt:lpstr>_SH18</vt:lpstr>
      <vt:lpstr>_SH19</vt:lpstr>
      <vt:lpstr>_SH2</vt:lpstr>
      <vt:lpstr>_SH20</vt:lpstr>
      <vt:lpstr>_SH3</vt:lpstr>
      <vt:lpstr>_SH4</vt:lpstr>
      <vt:lpstr>_SH5</vt:lpstr>
      <vt:lpstr>_SH6</vt:lpstr>
      <vt:lpstr>_SH7</vt:lpstr>
      <vt:lpstr>_SH8</vt:lpstr>
      <vt:lpstr>_SH9</vt:lpstr>
      <vt:lpstr>_SS1</vt:lpstr>
      <vt:lpstr>_SS10</vt:lpstr>
      <vt:lpstr>_SS2</vt:lpstr>
      <vt:lpstr>_SS3</vt:lpstr>
      <vt:lpstr>_SS4</vt:lpstr>
      <vt:lpstr>_SS5</vt:lpstr>
      <vt:lpstr>_SS6</vt:lpstr>
      <vt:lpstr>_SS7</vt:lpstr>
      <vt:lpstr>_SS8</vt:lpstr>
      <vt:lpstr>_SS9</vt:lpstr>
      <vt:lpstr>AddedHours1</vt:lpstr>
      <vt:lpstr>AddedHours2</vt:lpstr>
      <vt:lpstr>AddedHours3</vt:lpstr>
      <vt:lpstr>AddedHours4</vt:lpstr>
      <vt:lpstr>AddedHours5</vt:lpstr>
      <vt:lpstr>AddedHours6</vt:lpstr>
      <vt:lpstr>'Phase 1'!Alias2</vt:lpstr>
      <vt:lpstr>'Phase 10'!Alias2</vt:lpstr>
      <vt:lpstr>'Phase 11'!Alias2</vt:lpstr>
      <vt:lpstr>'Phase 12'!Alias2</vt:lpstr>
      <vt:lpstr>'Phase 13'!Alias2</vt:lpstr>
      <vt:lpstr>'Phase 14'!Alias2</vt:lpstr>
      <vt:lpstr>'Phase 15'!Alias2</vt:lpstr>
      <vt:lpstr>'Phase 16'!Alias2</vt:lpstr>
      <vt:lpstr>'Phase 17'!Alias2</vt:lpstr>
      <vt:lpstr>'Phase 18'!Alias2</vt:lpstr>
      <vt:lpstr>'Phase 19'!Alias2</vt:lpstr>
      <vt:lpstr>'Phase 2'!Alias2</vt:lpstr>
      <vt:lpstr>'Phase 20'!Alias2</vt:lpstr>
      <vt:lpstr>'Phase 3'!Alias2</vt:lpstr>
      <vt:lpstr>'Phase 4'!Alias2</vt:lpstr>
      <vt:lpstr>'Phase 5'!Alias2</vt:lpstr>
      <vt:lpstr>'Phase 6'!Alias2</vt:lpstr>
      <vt:lpstr>'Phase 7'!Alias2</vt:lpstr>
      <vt:lpstr>'Phase 8'!Alias2</vt:lpstr>
      <vt:lpstr>'Phase 9'!Alias2</vt:lpstr>
      <vt:lpstr>Phase_Template!Alias2</vt:lpstr>
      <vt:lpstr>AliasBudget</vt:lpstr>
      <vt:lpstr>AliasLab</vt:lpstr>
      <vt:lpstr>AliasOther</vt:lpstr>
      <vt:lpstr>AliasProcurement</vt:lpstr>
      <vt:lpstr>AliasSubs</vt:lpstr>
      <vt:lpstr>AliasSummary</vt:lpstr>
      <vt:lpstr>AliasTravel</vt:lpstr>
      <vt:lpstr>AllEquipmentTotal</vt:lpstr>
      <vt:lpstr>AllExpenseTotal</vt:lpstr>
      <vt:lpstr>AllLaborTotal</vt:lpstr>
      <vt:lpstr>AllLabTotal</vt:lpstr>
      <vt:lpstr>AllSubsTotal</vt:lpstr>
      <vt:lpstr>AllTotalExpenses</vt:lpstr>
      <vt:lpstr>AllTravelTotal</vt:lpstr>
      <vt:lpstr>ApplyContingencyPhase1</vt:lpstr>
      <vt:lpstr>ApplyContingencyPhase10</vt:lpstr>
      <vt:lpstr>ApplyContingencyPhase11</vt:lpstr>
      <vt:lpstr>ApplyContingencyPhase12</vt:lpstr>
      <vt:lpstr>ApplyContingencyPhase13</vt:lpstr>
      <vt:lpstr>ApplyContingencyPhase14</vt:lpstr>
      <vt:lpstr>ApplyContingencyPhase15</vt:lpstr>
      <vt:lpstr>ApplyContingencyPhase16</vt:lpstr>
      <vt:lpstr>ApplyContingencyPhase17</vt:lpstr>
      <vt:lpstr>ApplyContingencyPhase18</vt:lpstr>
      <vt:lpstr>ApplyContingencyPhase19</vt:lpstr>
      <vt:lpstr>ApplyContingencyPhase2</vt:lpstr>
      <vt:lpstr>ApplyContingencyPhase20</vt:lpstr>
      <vt:lpstr>ApplyContingencyPhase3</vt:lpstr>
      <vt:lpstr>ApplyContingencyPhase4</vt:lpstr>
      <vt:lpstr>ApplyContingencyPhase5</vt:lpstr>
      <vt:lpstr>ApplyContingencyPhase6</vt:lpstr>
      <vt:lpstr>ApplyContingencyPhase7</vt:lpstr>
      <vt:lpstr>ApplyContingencyPhase8</vt:lpstr>
      <vt:lpstr>ApplyContingencyPhase9</vt:lpstr>
      <vt:lpstr>Phase_Lookup!BillCleaning</vt:lpstr>
      <vt:lpstr>'VEHICLE RATE SCHEDULE'!BillCleaning</vt:lpstr>
      <vt:lpstr>budgetdetailPhase10dollar1</vt:lpstr>
      <vt:lpstr>budgetdetailPhase10dollar10</vt:lpstr>
      <vt:lpstr>budgetdetailPhase10dollar11</vt:lpstr>
      <vt:lpstr>budgetdetailPhase10dollar12</vt:lpstr>
      <vt:lpstr>budgetdetailPhase10dollar13</vt:lpstr>
      <vt:lpstr>budgetdetailPhase10dollar14</vt:lpstr>
      <vt:lpstr>budgetdetailPhase10dollar15</vt:lpstr>
      <vt:lpstr>budgetdetailPhase10dollar16</vt:lpstr>
      <vt:lpstr>budgetdetailPhase10dollar17</vt:lpstr>
      <vt:lpstr>budgetdetailPhase10dollar18</vt:lpstr>
      <vt:lpstr>budgetdetailPhase10dollar19</vt:lpstr>
      <vt:lpstr>budgetdetailPhase10dollar2</vt:lpstr>
      <vt:lpstr>budgetdetailPhase10dollar20</vt:lpstr>
      <vt:lpstr>budgetdetailPhase10dollar21</vt:lpstr>
      <vt:lpstr>budgetdetailPhase10dollar22</vt:lpstr>
      <vt:lpstr>budgetdetailPhase10dollar23</vt:lpstr>
      <vt:lpstr>budgetdetailPhase10dollar24</vt:lpstr>
      <vt:lpstr>budgetdetailPhase10dollar25</vt:lpstr>
      <vt:lpstr>budgetdetailPhase10dollar26</vt:lpstr>
      <vt:lpstr>budgetdetailPhase10dollar27</vt:lpstr>
      <vt:lpstr>budgetdetailPhase10dollar28</vt:lpstr>
      <vt:lpstr>budgetdetailPhase10dollar3</vt:lpstr>
      <vt:lpstr>budgetdetailPhase10dollar4</vt:lpstr>
      <vt:lpstr>budgetdetailPhase10dollar5</vt:lpstr>
      <vt:lpstr>budgetdetailPhase10dollar6</vt:lpstr>
      <vt:lpstr>budgetdetailPhase10dollar7</vt:lpstr>
      <vt:lpstr>budgetdetailPhase10dollar8</vt:lpstr>
      <vt:lpstr>budgetdetailPhase10dollar9</vt:lpstr>
      <vt:lpstr>budgetdetailPhase1dollar1</vt:lpstr>
      <vt:lpstr>budgetdetailPhase1dollar10</vt:lpstr>
      <vt:lpstr>budgetdetailPhase1dollar11</vt:lpstr>
      <vt:lpstr>budgetdetailPhase1dollar12</vt:lpstr>
      <vt:lpstr>budgetdetailPhase1dollar13</vt:lpstr>
      <vt:lpstr>budgetdetailPhase1dollar14</vt:lpstr>
      <vt:lpstr>budgetdetailPhase1dollar15</vt:lpstr>
      <vt:lpstr>budgetdetailPhase1dollar16</vt:lpstr>
      <vt:lpstr>budgetdetailPhase1dollar17</vt:lpstr>
      <vt:lpstr>budgetdetailPhase1dollar18</vt:lpstr>
      <vt:lpstr>budgetdetailPhase1dollar19</vt:lpstr>
      <vt:lpstr>budgetdetailPhase1dollar2</vt:lpstr>
      <vt:lpstr>budgetdetailPhase1dollar20</vt:lpstr>
      <vt:lpstr>budgetdetailPhase1dollar21</vt:lpstr>
      <vt:lpstr>budgetdetailPhase1dollar22</vt:lpstr>
      <vt:lpstr>budgetdetailPhase1dollar23</vt:lpstr>
      <vt:lpstr>budgetdetailPhase1dollar24</vt:lpstr>
      <vt:lpstr>budgetdetailPhase1dollar25</vt:lpstr>
      <vt:lpstr>budgetdetailPhase1dollar26</vt:lpstr>
      <vt:lpstr>budgetdetailPhase1dollar27</vt:lpstr>
      <vt:lpstr>budgetdetailPhase1dollar28</vt:lpstr>
      <vt:lpstr>budgetdetailPhase1dollar3</vt:lpstr>
      <vt:lpstr>budgetdetailPhase1dollar4</vt:lpstr>
      <vt:lpstr>budgetdetailPhase1dollar5</vt:lpstr>
      <vt:lpstr>budgetdetailPhase1dollar6</vt:lpstr>
      <vt:lpstr>budgetdetailPhase1dollar7</vt:lpstr>
      <vt:lpstr>budgetdetailPhase1dollar8</vt:lpstr>
      <vt:lpstr>budgetdetailPhase1dollar9</vt:lpstr>
      <vt:lpstr>budgetdetailPhase2dollar1</vt:lpstr>
      <vt:lpstr>budgetdetailPhase2dollar10</vt:lpstr>
      <vt:lpstr>budgetdetailPhase2dollar11</vt:lpstr>
      <vt:lpstr>budgetdetailPhase2dollar12</vt:lpstr>
      <vt:lpstr>budgetdetailPhase2dollar13</vt:lpstr>
      <vt:lpstr>budgetdetailPhase2dollar14</vt:lpstr>
      <vt:lpstr>budgetdetailPhase2dollar15</vt:lpstr>
      <vt:lpstr>budgetdetailPhase2dollar16</vt:lpstr>
      <vt:lpstr>budgetdetailPhase2dollar17</vt:lpstr>
      <vt:lpstr>budgetdetailPhase2dollar18</vt:lpstr>
      <vt:lpstr>budgetdetailPhase2dollar19</vt:lpstr>
      <vt:lpstr>budgetdetailPhase2dollar2</vt:lpstr>
      <vt:lpstr>budgetdetailPhase2dollar20</vt:lpstr>
      <vt:lpstr>budgetdetailPhase2dollar21</vt:lpstr>
      <vt:lpstr>budgetdetailPhase2dollar22</vt:lpstr>
      <vt:lpstr>budgetdetailPhase2dollar23</vt:lpstr>
      <vt:lpstr>budgetdetailPhase2dollar24</vt:lpstr>
      <vt:lpstr>budgetdetailPhase2dollar25</vt:lpstr>
      <vt:lpstr>budgetdetailPhase2dollar26</vt:lpstr>
      <vt:lpstr>budgetdetailPhase2dollar27</vt:lpstr>
      <vt:lpstr>budgetdetailPhase2dollar28</vt:lpstr>
      <vt:lpstr>budgetdetailPhase2dollar3</vt:lpstr>
      <vt:lpstr>budgetdetailPhase2dollar4</vt:lpstr>
      <vt:lpstr>budgetdetailPhase2dollar5</vt:lpstr>
      <vt:lpstr>budgetdetailPhase2dollar6</vt:lpstr>
      <vt:lpstr>budgetdetailPhase2dollar7</vt:lpstr>
      <vt:lpstr>budgetdetailPhase2dollar8</vt:lpstr>
      <vt:lpstr>budgetdetailPhase2dollar9</vt:lpstr>
      <vt:lpstr>budgetdetailPhase3dollar1</vt:lpstr>
      <vt:lpstr>budgetdetailPhase3dollar10</vt:lpstr>
      <vt:lpstr>budgetdetailPhase3dollar11</vt:lpstr>
      <vt:lpstr>budgetdetailPhase3dollar12</vt:lpstr>
      <vt:lpstr>budgetdetailPhase3dollar13</vt:lpstr>
      <vt:lpstr>budgetdetailPhase3dollar14</vt:lpstr>
      <vt:lpstr>budgetdetailPhase3dollar15</vt:lpstr>
      <vt:lpstr>budgetdetailPhase3dollar16</vt:lpstr>
      <vt:lpstr>budgetdetailPhase3dollar17</vt:lpstr>
      <vt:lpstr>budgetdetailPhase3dollar18</vt:lpstr>
      <vt:lpstr>budgetdetailPhase3dollar19</vt:lpstr>
      <vt:lpstr>budgetdetailPhase3dollar2</vt:lpstr>
      <vt:lpstr>budgetdetailPhase3dollar20</vt:lpstr>
      <vt:lpstr>budgetdetailPhase3dollar21</vt:lpstr>
      <vt:lpstr>budgetdetailPhase3dollar22</vt:lpstr>
      <vt:lpstr>budgetdetailPhase3dollar23</vt:lpstr>
      <vt:lpstr>budgetdetailPhase3dollar24</vt:lpstr>
      <vt:lpstr>budgetdetailPhase3dollar25</vt:lpstr>
      <vt:lpstr>budgetdetailPhase3dollar26</vt:lpstr>
      <vt:lpstr>budgetdetailPhase3dollar27</vt:lpstr>
      <vt:lpstr>budgetdetailPhase3dollar28</vt:lpstr>
      <vt:lpstr>budgetdetailPhase3dollar3</vt:lpstr>
      <vt:lpstr>budgetdetailPhase3dollar4</vt:lpstr>
      <vt:lpstr>budgetdetailPhase3dollar5</vt:lpstr>
      <vt:lpstr>budgetdetailPhase3dollar6</vt:lpstr>
      <vt:lpstr>budgetdetailPhase3dollar7</vt:lpstr>
      <vt:lpstr>budgetdetailPhase3dollar8</vt:lpstr>
      <vt:lpstr>budgetdetailPhase3dollar9</vt:lpstr>
      <vt:lpstr>budgetdetailPhase4dollar1</vt:lpstr>
      <vt:lpstr>budgetdetailPhase4dollar10</vt:lpstr>
      <vt:lpstr>budgetdetailPhase4dollar11</vt:lpstr>
      <vt:lpstr>budgetdetailPhase4dollar12</vt:lpstr>
      <vt:lpstr>budgetdetailPhase4dollar13</vt:lpstr>
      <vt:lpstr>budgetdetailPhase4dollar14</vt:lpstr>
      <vt:lpstr>budgetdetailPhase4dollar15</vt:lpstr>
      <vt:lpstr>budgetdetailPhase4dollar16</vt:lpstr>
      <vt:lpstr>budgetdetailPhase4dollar17</vt:lpstr>
      <vt:lpstr>budgetdetailPhase4dollar18</vt:lpstr>
      <vt:lpstr>budgetdetailPhase4dollar19</vt:lpstr>
      <vt:lpstr>budgetdetailPhase4dollar2</vt:lpstr>
      <vt:lpstr>budgetdetailPhase4dollar20</vt:lpstr>
      <vt:lpstr>budgetdetailPhase4dollar21</vt:lpstr>
      <vt:lpstr>budgetdetailPhase4dollar22</vt:lpstr>
      <vt:lpstr>budgetdetailPhase4dollar23</vt:lpstr>
      <vt:lpstr>budgetdetailPhase4dollar24</vt:lpstr>
      <vt:lpstr>budgetdetailPhase4dollar25</vt:lpstr>
      <vt:lpstr>budgetdetailPhase4dollar26</vt:lpstr>
      <vt:lpstr>budgetdetailPhase4dollar27</vt:lpstr>
      <vt:lpstr>budgetdetailPhase4dollar28</vt:lpstr>
      <vt:lpstr>budgetdetailPhase4dollar3</vt:lpstr>
      <vt:lpstr>budgetdetailPhase4dollar4</vt:lpstr>
      <vt:lpstr>budgetdetailPhase4dollar5</vt:lpstr>
      <vt:lpstr>budgetdetailPhase4dollar6</vt:lpstr>
      <vt:lpstr>budgetdetailPhase4dollar7</vt:lpstr>
      <vt:lpstr>budgetdetailPhase4dollar8</vt:lpstr>
      <vt:lpstr>budgetdetailPhase4dollar9</vt:lpstr>
      <vt:lpstr>budgetdetailPhase5dollar1</vt:lpstr>
      <vt:lpstr>budgetdetailPhase5dollar10</vt:lpstr>
      <vt:lpstr>budgetdetailPhase5dollar11</vt:lpstr>
      <vt:lpstr>budgetdetailPhase5dollar12</vt:lpstr>
      <vt:lpstr>budgetdetailPhase5dollar13</vt:lpstr>
      <vt:lpstr>budgetdetailPhase5dollar14</vt:lpstr>
      <vt:lpstr>budgetdetailPhase5dollar15</vt:lpstr>
      <vt:lpstr>budgetdetailPhase5dollar16</vt:lpstr>
      <vt:lpstr>budgetdetailPhase5dollar17</vt:lpstr>
      <vt:lpstr>budgetdetailPhase5dollar18</vt:lpstr>
      <vt:lpstr>budgetdetailPhase5dollar19</vt:lpstr>
      <vt:lpstr>budgetdetailPhase5dollar2</vt:lpstr>
      <vt:lpstr>budgetdetailPhase5dollar20</vt:lpstr>
      <vt:lpstr>budgetdetailPhase5dollar21</vt:lpstr>
      <vt:lpstr>budgetdetailPhase5dollar22</vt:lpstr>
      <vt:lpstr>budgetdetailPhase5dollar23</vt:lpstr>
      <vt:lpstr>budgetdetailPhase5dollar24</vt:lpstr>
      <vt:lpstr>budgetdetailPhase5dollar25</vt:lpstr>
      <vt:lpstr>budgetdetailPhase5dollar26</vt:lpstr>
      <vt:lpstr>budgetdetailPhase5dollar27</vt:lpstr>
      <vt:lpstr>budgetdetailPhase5dollar28</vt:lpstr>
      <vt:lpstr>budgetdetailPhase5dollar3</vt:lpstr>
      <vt:lpstr>budgetdetailPhase5dollar4</vt:lpstr>
      <vt:lpstr>budgetdetailPhase5dollar5</vt:lpstr>
      <vt:lpstr>budgetdetailPhase5dollar6</vt:lpstr>
      <vt:lpstr>budgetdetailPhase5dollar7</vt:lpstr>
      <vt:lpstr>budgetdetailPhase5dollar8</vt:lpstr>
      <vt:lpstr>budgetdetailPhase5dollar9</vt:lpstr>
      <vt:lpstr>budgetdetailPhase6dollar1</vt:lpstr>
      <vt:lpstr>budgetdetailPhase6dollar10</vt:lpstr>
      <vt:lpstr>budgetdetailPhase6dollar11</vt:lpstr>
      <vt:lpstr>budgetdetailPhase6dollar12</vt:lpstr>
      <vt:lpstr>budgetdetailPhase6dollar13</vt:lpstr>
      <vt:lpstr>budgetdetailPhase6dollar14</vt:lpstr>
      <vt:lpstr>budgetdetailPhase6dollar15</vt:lpstr>
      <vt:lpstr>budgetdetailPhase6dollar16</vt:lpstr>
      <vt:lpstr>budgetdetailPhase6dollar17</vt:lpstr>
      <vt:lpstr>budgetdetailPhase6dollar18</vt:lpstr>
      <vt:lpstr>budgetdetailPhase6dollar19</vt:lpstr>
      <vt:lpstr>budgetdetailPhase6dollar2</vt:lpstr>
      <vt:lpstr>budgetdetailPhase6dollar20</vt:lpstr>
      <vt:lpstr>budgetdetailPhase6dollar21</vt:lpstr>
      <vt:lpstr>budgetdetailPhase6dollar22</vt:lpstr>
      <vt:lpstr>budgetdetailPhase6dollar23</vt:lpstr>
      <vt:lpstr>budgetdetailPhase6dollar24</vt:lpstr>
      <vt:lpstr>budgetdetailPhase6dollar25</vt:lpstr>
      <vt:lpstr>budgetdetailPhase6dollar26</vt:lpstr>
      <vt:lpstr>budgetdetailPhase6dollar27</vt:lpstr>
      <vt:lpstr>budgetdetailPhase6dollar28</vt:lpstr>
      <vt:lpstr>budgetdetailPhase6dollar3</vt:lpstr>
      <vt:lpstr>budgetdetailPhase6dollar4</vt:lpstr>
      <vt:lpstr>budgetdetailPhase6dollar5</vt:lpstr>
      <vt:lpstr>budgetdetailPhase6dollar6</vt:lpstr>
      <vt:lpstr>budgetdetailPhase6dollar7</vt:lpstr>
      <vt:lpstr>budgetdetailPhase6dollar8</vt:lpstr>
      <vt:lpstr>budgetdetailPhase6dollar9</vt:lpstr>
      <vt:lpstr>budgetdetailPhase7dollar1</vt:lpstr>
      <vt:lpstr>budgetdetailPhase7dollar10</vt:lpstr>
      <vt:lpstr>budgetdetailPhase7dollar11</vt:lpstr>
      <vt:lpstr>budgetdetailPhase7dollar12</vt:lpstr>
      <vt:lpstr>budgetdetailPhase7dollar13</vt:lpstr>
      <vt:lpstr>budgetdetailPhase7dollar14</vt:lpstr>
      <vt:lpstr>budgetdetailPhase7dollar15</vt:lpstr>
      <vt:lpstr>budgetdetailPhase7dollar16</vt:lpstr>
      <vt:lpstr>budgetdetailPhase7dollar17</vt:lpstr>
      <vt:lpstr>budgetdetailPhase7dollar18</vt:lpstr>
      <vt:lpstr>budgetdetailPhase7dollar19</vt:lpstr>
      <vt:lpstr>budgetdetailPhase7dollar2</vt:lpstr>
      <vt:lpstr>budgetdetailPhase7dollar20</vt:lpstr>
      <vt:lpstr>budgetdetailPhase7dollar21</vt:lpstr>
      <vt:lpstr>budgetdetailPhase7dollar22</vt:lpstr>
      <vt:lpstr>budgetdetailPhase7dollar23</vt:lpstr>
      <vt:lpstr>budgetdetailPhase7dollar24</vt:lpstr>
      <vt:lpstr>budgetdetailPhase7dollar25</vt:lpstr>
      <vt:lpstr>budgetdetailPhase7dollar26</vt:lpstr>
      <vt:lpstr>budgetdetailPhase7dollar27</vt:lpstr>
      <vt:lpstr>budgetdetailPhase7dollar28</vt:lpstr>
      <vt:lpstr>budgetdetailPhase7dollar3</vt:lpstr>
      <vt:lpstr>budgetdetailPhase7dollar4</vt:lpstr>
      <vt:lpstr>budgetdetailPhase7dollar5</vt:lpstr>
      <vt:lpstr>budgetdetailPhase7dollar6</vt:lpstr>
      <vt:lpstr>budgetdetailPhase7dollar7</vt:lpstr>
      <vt:lpstr>budgetdetailPhase7dollar8</vt:lpstr>
      <vt:lpstr>budgetdetailPhase7dollar9</vt:lpstr>
      <vt:lpstr>budgetdetailPhase8dollar1</vt:lpstr>
      <vt:lpstr>budgetdetailPhase8dollar10</vt:lpstr>
      <vt:lpstr>budgetdetailPhase8dollar11</vt:lpstr>
      <vt:lpstr>budgetdetailPhase8dollar12</vt:lpstr>
      <vt:lpstr>budgetdetailPhase8dollar13</vt:lpstr>
      <vt:lpstr>budgetdetailPhase8dollar14</vt:lpstr>
      <vt:lpstr>budgetdetailPhase8dollar15</vt:lpstr>
      <vt:lpstr>budgetdetailPhase8dollar16</vt:lpstr>
      <vt:lpstr>budgetdetailPhase8dollar17</vt:lpstr>
      <vt:lpstr>budgetdetailPhase8dollar18</vt:lpstr>
      <vt:lpstr>budgetdetailPhase8dollar19</vt:lpstr>
      <vt:lpstr>budgetdetailPhase8dollar2</vt:lpstr>
      <vt:lpstr>budgetdetailPhase8dollar20</vt:lpstr>
      <vt:lpstr>budgetdetailPhase8dollar21</vt:lpstr>
      <vt:lpstr>budgetdetailPhase8dollar22</vt:lpstr>
      <vt:lpstr>budgetdetailPhase8dollar23</vt:lpstr>
      <vt:lpstr>budgetdetailPhase8dollar24</vt:lpstr>
      <vt:lpstr>budgetdetailPhase8dollar25</vt:lpstr>
      <vt:lpstr>budgetdetailPhase8dollar26</vt:lpstr>
      <vt:lpstr>budgetdetailPhase8dollar27</vt:lpstr>
      <vt:lpstr>budgetdetailPhase8dollar28</vt:lpstr>
      <vt:lpstr>budgetdetailPhase8dollar3</vt:lpstr>
      <vt:lpstr>budgetdetailPhase8dollar4</vt:lpstr>
      <vt:lpstr>budgetdetailPhase8dollar5</vt:lpstr>
      <vt:lpstr>budgetdetailPhase8dollar6</vt:lpstr>
      <vt:lpstr>budgetdetailPhase8dollar7</vt:lpstr>
      <vt:lpstr>budgetdetailPhase8dollar8</vt:lpstr>
      <vt:lpstr>budgetdetailPhase8dollar9</vt:lpstr>
      <vt:lpstr>budgetdetailPhase9dollar1</vt:lpstr>
      <vt:lpstr>budgetdetailPhase9dollar10</vt:lpstr>
      <vt:lpstr>budgetdetailPhase9dollar11</vt:lpstr>
      <vt:lpstr>budgetdetailPhase9dollar12</vt:lpstr>
      <vt:lpstr>budgetdetailPhase9dollar13</vt:lpstr>
      <vt:lpstr>budgetdetailPhase9dollar14</vt:lpstr>
      <vt:lpstr>budgetdetailPhase9dollar15</vt:lpstr>
      <vt:lpstr>budgetdetailPhase9dollar16</vt:lpstr>
      <vt:lpstr>budgetdetailPhase9dollar17</vt:lpstr>
      <vt:lpstr>budgetdetailPhase9dollar18</vt:lpstr>
      <vt:lpstr>budgetdetailPhase9dollar19</vt:lpstr>
      <vt:lpstr>budgetdetailPhase9dollar2</vt:lpstr>
      <vt:lpstr>budgetdetailPhase9dollar20</vt:lpstr>
      <vt:lpstr>budgetdetailPhase9dollar21</vt:lpstr>
      <vt:lpstr>budgetdetailPhase9dollar22</vt:lpstr>
      <vt:lpstr>budgetdetailPhase9dollar23</vt:lpstr>
      <vt:lpstr>budgetdetailPhase9dollar24</vt:lpstr>
      <vt:lpstr>budgetdetailPhase9dollar25</vt:lpstr>
      <vt:lpstr>budgetdetailPhase9dollar26</vt:lpstr>
      <vt:lpstr>budgetdetailPhase9dollar27</vt:lpstr>
      <vt:lpstr>budgetdetailPhase9dollar28</vt:lpstr>
      <vt:lpstr>budgetdetailPhase9dollar3</vt:lpstr>
      <vt:lpstr>budgetdetailPhase9dollar4</vt:lpstr>
      <vt:lpstr>budgetdetailPhase9dollar5</vt:lpstr>
      <vt:lpstr>budgetdetailPhase9dollar6</vt:lpstr>
      <vt:lpstr>budgetdetailPhase9dollar7</vt:lpstr>
      <vt:lpstr>budgetdetailPhase9dollar8</vt:lpstr>
      <vt:lpstr>budgetdetailPhase9dollar9</vt:lpstr>
      <vt:lpstr>'Budget Summary'!ButtonTrigger</vt:lpstr>
      <vt:lpstr>ButtonTrigger</vt:lpstr>
      <vt:lpstr>CalcRateA1</vt:lpstr>
      <vt:lpstr>CalcRateA2</vt:lpstr>
      <vt:lpstr>CalcRateA3</vt:lpstr>
      <vt:lpstr>CalcRateA4</vt:lpstr>
      <vt:lpstr>CalcRateB1</vt:lpstr>
      <vt:lpstr>CalcRateB2</vt:lpstr>
      <vt:lpstr>CalcRateB3</vt:lpstr>
      <vt:lpstr>CalcRateB4</vt:lpstr>
      <vt:lpstr>CalcRateC1</vt:lpstr>
      <vt:lpstr>CalcRateC2</vt:lpstr>
      <vt:lpstr>CalcRateC3</vt:lpstr>
      <vt:lpstr>CalcRateC4</vt:lpstr>
      <vt:lpstr>CalcRateD1</vt:lpstr>
      <vt:lpstr>CalcRateD2</vt:lpstr>
      <vt:lpstr>CalcRateD3</vt:lpstr>
      <vt:lpstr>CalcRateD4</vt:lpstr>
      <vt:lpstr>CalcRateE1</vt:lpstr>
      <vt:lpstr>CalcRateE2</vt:lpstr>
      <vt:lpstr>CalcRateE3</vt:lpstr>
      <vt:lpstr>CalcRateE4</vt:lpstr>
      <vt:lpstr>CalcRateF1</vt:lpstr>
      <vt:lpstr>CalcRateF2</vt:lpstr>
      <vt:lpstr>CalcRateF3</vt:lpstr>
      <vt:lpstr>CalcRateF4</vt:lpstr>
      <vt:lpstr>CalcRateG1</vt:lpstr>
      <vt:lpstr>CalcRateG2</vt:lpstr>
      <vt:lpstr>CalcRateG3</vt:lpstr>
      <vt:lpstr>CalcRateG4</vt:lpstr>
      <vt:lpstr>ClientFeeSchedule</vt:lpstr>
      <vt:lpstr>ClientFeeScheduleLookup</vt:lpstr>
      <vt:lpstr>ClientFeeTable</vt:lpstr>
      <vt:lpstr>ClientLookupTable</vt:lpstr>
      <vt:lpstr>CodeA1</vt:lpstr>
      <vt:lpstr>CodeA2</vt:lpstr>
      <vt:lpstr>CodeA3</vt:lpstr>
      <vt:lpstr>CodeA4</vt:lpstr>
      <vt:lpstr>CodeB1</vt:lpstr>
      <vt:lpstr>CodeB2</vt:lpstr>
      <vt:lpstr>CodeB3</vt:lpstr>
      <vt:lpstr>CodeB4</vt:lpstr>
      <vt:lpstr>CodeC1</vt:lpstr>
      <vt:lpstr>CodeC2</vt:lpstr>
      <vt:lpstr>CodeC3</vt:lpstr>
      <vt:lpstr>CodeC4</vt:lpstr>
      <vt:lpstr>CodeD1</vt:lpstr>
      <vt:lpstr>CodeD2</vt:lpstr>
      <vt:lpstr>CodeD3</vt:lpstr>
      <vt:lpstr>CodeD4</vt:lpstr>
      <vt:lpstr>CodeE1</vt:lpstr>
      <vt:lpstr>CodeE2</vt:lpstr>
      <vt:lpstr>CodeE3</vt:lpstr>
      <vt:lpstr>CodeE4</vt:lpstr>
      <vt:lpstr>CodeF1</vt:lpstr>
      <vt:lpstr>CodeF2</vt:lpstr>
      <vt:lpstr>CodeF3</vt:lpstr>
      <vt:lpstr>CodeF4</vt:lpstr>
      <vt:lpstr>CodeG1</vt:lpstr>
      <vt:lpstr>CodeG2</vt:lpstr>
      <vt:lpstr>CodeG3</vt:lpstr>
      <vt:lpstr>CodeG4</vt:lpstr>
      <vt:lpstr>Contingency</vt:lpstr>
      <vt:lpstr>'Budget Summary'!ContingencyExpense</vt:lpstr>
      <vt:lpstr>'Budget Summary'!ContingencyLab</vt:lpstr>
      <vt:lpstr>'Budget Summary'!ContingencyLabor</vt:lpstr>
      <vt:lpstr>'Budget Summary'!ContingencyProcurement</vt:lpstr>
      <vt:lpstr>'Budget Summary'!ContingencyRange</vt:lpstr>
      <vt:lpstr>INPUT!ContingencyRange</vt:lpstr>
      <vt:lpstr>ContingencyRange</vt:lpstr>
      <vt:lpstr>'Budget Summary'!ContingencySubs</vt:lpstr>
      <vt:lpstr>Phase_Lookup!DailyTable</vt:lpstr>
      <vt:lpstr>'Budget Summary'!DateField</vt:lpstr>
      <vt:lpstr>DateField</vt:lpstr>
      <vt:lpstr>Phase_Lookup!Day</vt:lpstr>
      <vt:lpstr>'VEHICLE RATE SCHEDULE'!Day</vt:lpstr>
      <vt:lpstr>Phase_Lookup!DayMonth</vt:lpstr>
      <vt:lpstr>'VEHICLE RATE SCHEDULE'!DayMonth</vt:lpstr>
      <vt:lpstr>Phase_Lookup!DayWeek</vt:lpstr>
      <vt:lpstr>'VEHICLE RATE SCHEDULE'!DayWeek</vt:lpstr>
      <vt:lpstr>DayWeek</vt:lpstr>
      <vt:lpstr>Phase_Lookup!DayWeekMonth</vt:lpstr>
      <vt:lpstr>'VEHICLE RATE SCHEDULE'!DayWeekMonth</vt:lpstr>
      <vt:lpstr>DiscountDollarA1</vt:lpstr>
      <vt:lpstr>DiscountDollarA2</vt:lpstr>
      <vt:lpstr>DiscountDollarA3</vt:lpstr>
      <vt:lpstr>DiscountDollarA4</vt:lpstr>
      <vt:lpstr>DiscountDollarB1</vt:lpstr>
      <vt:lpstr>DiscountDollarB2</vt:lpstr>
      <vt:lpstr>DiscountDollarB3</vt:lpstr>
      <vt:lpstr>DiscountDollarB4</vt:lpstr>
      <vt:lpstr>DiscountDollarC1</vt:lpstr>
      <vt:lpstr>DiscountDollarC2</vt:lpstr>
      <vt:lpstr>DiscountDollarC3</vt:lpstr>
      <vt:lpstr>DiscountDollarC4</vt:lpstr>
      <vt:lpstr>DiscountDollarD1</vt:lpstr>
      <vt:lpstr>DiscountDollarD2</vt:lpstr>
      <vt:lpstr>DiscountDollarD3</vt:lpstr>
      <vt:lpstr>DiscountDollarD4</vt:lpstr>
      <vt:lpstr>DiscountDollarE1</vt:lpstr>
      <vt:lpstr>DiscountDollarE2</vt:lpstr>
      <vt:lpstr>DiscountDollarE3</vt:lpstr>
      <vt:lpstr>DiscountDollarE4</vt:lpstr>
      <vt:lpstr>DiscountDollarF1</vt:lpstr>
      <vt:lpstr>DiscountDollarF2</vt:lpstr>
      <vt:lpstr>DiscountDollarF3</vt:lpstr>
      <vt:lpstr>DiscountDollarF4</vt:lpstr>
      <vt:lpstr>DiscountDollarG1</vt:lpstr>
      <vt:lpstr>DiscountDollarG2</vt:lpstr>
      <vt:lpstr>DiscountDollarG3</vt:lpstr>
      <vt:lpstr>DiscountDollarG4</vt:lpstr>
      <vt:lpstr>DollarA1</vt:lpstr>
      <vt:lpstr>DollarA2</vt:lpstr>
      <vt:lpstr>DollarA3</vt:lpstr>
      <vt:lpstr>DollarA4</vt:lpstr>
      <vt:lpstr>DollarB1</vt:lpstr>
      <vt:lpstr>DollarB2</vt:lpstr>
      <vt:lpstr>DollarB3</vt:lpstr>
      <vt:lpstr>DollarB4</vt:lpstr>
      <vt:lpstr>DollarC1</vt:lpstr>
      <vt:lpstr>DollarC2</vt:lpstr>
      <vt:lpstr>DollarC3</vt:lpstr>
      <vt:lpstr>DollarC4</vt:lpstr>
      <vt:lpstr>DollarD1</vt:lpstr>
      <vt:lpstr>DollarD2</vt:lpstr>
      <vt:lpstr>DollarD3</vt:lpstr>
      <vt:lpstr>DollarD4</vt:lpstr>
      <vt:lpstr>DollarE1</vt:lpstr>
      <vt:lpstr>DollarE2</vt:lpstr>
      <vt:lpstr>DollarE3</vt:lpstr>
      <vt:lpstr>DollarE4</vt:lpstr>
      <vt:lpstr>DollarF1</vt:lpstr>
      <vt:lpstr>DollarF2</vt:lpstr>
      <vt:lpstr>DollarF3</vt:lpstr>
      <vt:lpstr>DollarF4</vt:lpstr>
      <vt:lpstr>DollarG1</vt:lpstr>
      <vt:lpstr>DollarG2</vt:lpstr>
      <vt:lpstr>DollarG3</vt:lpstr>
      <vt:lpstr>DollarG4</vt:lpstr>
      <vt:lpstr>E10ADDA1</vt:lpstr>
      <vt:lpstr>E10ADDA2</vt:lpstr>
      <vt:lpstr>E10ADDA3</vt:lpstr>
      <vt:lpstr>E10ADDA4</vt:lpstr>
      <vt:lpstr>E10ADDB1</vt:lpstr>
      <vt:lpstr>E10ADDB2</vt:lpstr>
      <vt:lpstr>E10ADDB3</vt:lpstr>
      <vt:lpstr>E10ADDB4</vt:lpstr>
      <vt:lpstr>E10ADDC1</vt:lpstr>
      <vt:lpstr>E10ADDC2</vt:lpstr>
      <vt:lpstr>E10ADDC3</vt:lpstr>
      <vt:lpstr>E10ADDC4</vt:lpstr>
      <vt:lpstr>E10ADDD1</vt:lpstr>
      <vt:lpstr>E10ADDD2</vt:lpstr>
      <vt:lpstr>E10ADDD3</vt:lpstr>
      <vt:lpstr>E10ADDD4</vt:lpstr>
      <vt:lpstr>E10ADDE1</vt:lpstr>
      <vt:lpstr>E10ADDE2</vt:lpstr>
      <vt:lpstr>E10ADDE3</vt:lpstr>
      <vt:lpstr>E10ADDE4</vt:lpstr>
      <vt:lpstr>E10ADDF1</vt:lpstr>
      <vt:lpstr>E10ADDF2</vt:lpstr>
      <vt:lpstr>E10ADDF3</vt:lpstr>
      <vt:lpstr>E10ADDF4</vt:lpstr>
      <vt:lpstr>E10ADDG1</vt:lpstr>
      <vt:lpstr>E10ADDG2</vt:lpstr>
      <vt:lpstr>E10ADDG3</vt:lpstr>
      <vt:lpstr>E10ADDG4</vt:lpstr>
      <vt:lpstr>E10ATransfer</vt:lpstr>
      <vt:lpstr>E10B</vt:lpstr>
      <vt:lpstr>E10BASEA1</vt:lpstr>
      <vt:lpstr>E10BASEA2</vt:lpstr>
      <vt:lpstr>E10BASEA3</vt:lpstr>
      <vt:lpstr>E10BASEA4</vt:lpstr>
      <vt:lpstr>E10BASEB1</vt:lpstr>
      <vt:lpstr>E10BASEB2</vt:lpstr>
      <vt:lpstr>E10BASEB3</vt:lpstr>
      <vt:lpstr>E10BASEB4</vt:lpstr>
      <vt:lpstr>E10BASEC1</vt:lpstr>
      <vt:lpstr>E10BASEC2</vt:lpstr>
      <vt:lpstr>E10BASEC3</vt:lpstr>
      <vt:lpstr>E10BASEC4</vt:lpstr>
      <vt:lpstr>E10BASED1</vt:lpstr>
      <vt:lpstr>E10BASED2</vt:lpstr>
      <vt:lpstr>E10BASED3</vt:lpstr>
      <vt:lpstr>E10BASED4</vt:lpstr>
      <vt:lpstr>E10BASEE1</vt:lpstr>
      <vt:lpstr>E10BASEE2</vt:lpstr>
      <vt:lpstr>E10BASEE3</vt:lpstr>
      <vt:lpstr>E10BASEE4</vt:lpstr>
      <vt:lpstr>E10BASEF1</vt:lpstr>
      <vt:lpstr>E10BASEF2</vt:lpstr>
      <vt:lpstr>E10BASEF3</vt:lpstr>
      <vt:lpstr>E10BASEF4</vt:lpstr>
      <vt:lpstr>E10BASEG1</vt:lpstr>
      <vt:lpstr>E10BASEG2</vt:lpstr>
      <vt:lpstr>E10BASEG3</vt:lpstr>
      <vt:lpstr>E10BASEG4</vt:lpstr>
      <vt:lpstr>E10C</vt:lpstr>
      <vt:lpstr>E10DirectLaborAA45</vt:lpstr>
      <vt:lpstr>E10DirectLaborAB45</vt:lpstr>
      <vt:lpstr>E10DirectLaborAC45</vt:lpstr>
      <vt:lpstr>E10DirectLaborAD45</vt:lpstr>
      <vt:lpstr>E10DirectLaborAE45</vt:lpstr>
      <vt:lpstr>E10DirectLaborD45</vt:lpstr>
      <vt:lpstr>E10DirectLaborE45</vt:lpstr>
      <vt:lpstr>E10DirectLaborF45</vt:lpstr>
      <vt:lpstr>E10DirectLaborG45</vt:lpstr>
      <vt:lpstr>E10DirectLaborH45</vt:lpstr>
      <vt:lpstr>E10DirectLaborI45</vt:lpstr>
      <vt:lpstr>E10DirectLaborJ45</vt:lpstr>
      <vt:lpstr>E10DirectLaborK45</vt:lpstr>
      <vt:lpstr>E10DirectLaborL45</vt:lpstr>
      <vt:lpstr>E10DirectLaborM45</vt:lpstr>
      <vt:lpstr>E10DirectLaborN45</vt:lpstr>
      <vt:lpstr>E10DirectLaborO45</vt:lpstr>
      <vt:lpstr>E10DirectLaborP45</vt:lpstr>
      <vt:lpstr>E10DirectLaborQ45</vt:lpstr>
      <vt:lpstr>E10DirectLaborR45</vt:lpstr>
      <vt:lpstr>E10DirectLaborS45</vt:lpstr>
      <vt:lpstr>E10DirectLaborT45</vt:lpstr>
      <vt:lpstr>E10DirectLaborTotal</vt:lpstr>
      <vt:lpstr>E10DirectLaborU45</vt:lpstr>
      <vt:lpstr>E10DirectLaborV45</vt:lpstr>
      <vt:lpstr>E10DirectLaborW45</vt:lpstr>
      <vt:lpstr>E10DirectLaborX45</vt:lpstr>
      <vt:lpstr>E10DirectLaborY45</vt:lpstr>
      <vt:lpstr>E10DirectLaborZ45</vt:lpstr>
      <vt:lpstr>E10Dropdown</vt:lpstr>
      <vt:lpstr>E10EquipmentTotal</vt:lpstr>
      <vt:lpstr>E10ETransfer</vt:lpstr>
      <vt:lpstr>E10ExpenseTotal</vt:lpstr>
      <vt:lpstr>E10GEN</vt:lpstr>
      <vt:lpstr>E10IncludeExpenses</vt:lpstr>
      <vt:lpstr>E10IncludeLab</vt:lpstr>
      <vt:lpstr>E10IncludeLabor</vt:lpstr>
      <vt:lpstr>E10IncludeProcure</vt:lpstr>
      <vt:lpstr>E10IncludeSubs</vt:lpstr>
      <vt:lpstr>E10InsuranceFee</vt:lpstr>
      <vt:lpstr>E10LaborTotal</vt:lpstr>
      <vt:lpstr>E10LabTotal</vt:lpstr>
      <vt:lpstr>E10LTransfer</vt:lpstr>
      <vt:lpstr>E10M</vt:lpstr>
      <vt:lpstr>E10MTransfer</vt:lpstr>
      <vt:lpstr>E10O</vt:lpstr>
      <vt:lpstr>E10OTHER</vt:lpstr>
      <vt:lpstr>E10OverheadAA46</vt:lpstr>
      <vt:lpstr>E10OverheadAB46</vt:lpstr>
      <vt:lpstr>E10OverheadAC46</vt:lpstr>
      <vt:lpstr>E10OverheadAD46</vt:lpstr>
      <vt:lpstr>E10OverheadAE46</vt:lpstr>
      <vt:lpstr>E10OverheadD46</vt:lpstr>
      <vt:lpstr>E10OverheadE46</vt:lpstr>
      <vt:lpstr>E10OverheadF46</vt:lpstr>
      <vt:lpstr>E10OverheadG46</vt:lpstr>
      <vt:lpstr>E10OverheadH46</vt:lpstr>
      <vt:lpstr>E10OverheadI46</vt:lpstr>
      <vt:lpstr>E10OverheadJ46</vt:lpstr>
      <vt:lpstr>E10OverheadK46</vt:lpstr>
      <vt:lpstr>E10OverheadL46</vt:lpstr>
      <vt:lpstr>E10OverheadM46</vt:lpstr>
      <vt:lpstr>E10OverheadN46</vt:lpstr>
      <vt:lpstr>E10OverheadO46</vt:lpstr>
      <vt:lpstr>E10OverheadP46</vt:lpstr>
      <vt:lpstr>E10OverheadQ46</vt:lpstr>
      <vt:lpstr>E10OverheadR46</vt:lpstr>
      <vt:lpstr>E10OverheadS46</vt:lpstr>
      <vt:lpstr>E10OverheadT46</vt:lpstr>
      <vt:lpstr>E10OverheadTotal</vt:lpstr>
      <vt:lpstr>E10OverheadU46</vt:lpstr>
      <vt:lpstr>E10OverheadV46</vt:lpstr>
      <vt:lpstr>E10OverheadW46</vt:lpstr>
      <vt:lpstr>E10OverheadX46</vt:lpstr>
      <vt:lpstr>E10OverheadY46</vt:lpstr>
      <vt:lpstr>E10OverheadZ46</vt:lpstr>
      <vt:lpstr>E10OVTransfer</vt:lpstr>
      <vt:lpstr>E10R</vt:lpstr>
      <vt:lpstr>E10RateA1Total</vt:lpstr>
      <vt:lpstr>E10RateA2Total</vt:lpstr>
      <vt:lpstr>E10RateA3Total</vt:lpstr>
      <vt:lpstr>E10RateA4Total</vt:lpstr>
      <vt:lpstr>E10RateB1Total</vt:lpstr>
      <vt:lpstr>E10RateB2Total</vt:lpstr>
      <vt:lpstr>E10RateB3Total</vt:lpstr>
      <vt:lpstr>E10RateB4Total</vt:lpstr>
      <vt:lpstr>E10RateC1Total</vt:lpstr>
      <vt:lpstr>E10RateC2Total</vt:lpstr>
      <vt:lpstr>E10RateC3Total</vt:lpstr>
      <vt:lpstr>E10RateC4Total</vt:lpstr>
      <vt:lpstr>E10RateD1Total</vt:lpstr>
      <vt:lpstr>E10RateD2Total</vt:lpstr>
      <vt:lpstr>E10RateD3Total</vt:lpstr>
      <vt:lpstr>E10RateD4Total</vt:lpstr>
      <vt:lpstr>E10RateE1Total</vt:lpstr>
      <vt:lpstr>E10RateE2Total</vt:lpstr>
      <vt:lpstr>E10RateE3Total</vt:lpstr>
      <vt:lpstr>E10RateE4Total</vt:lpstr>
      <vt:lpstr>E10RateF1Total</vt:lpstr>
      <vt:lpstr>E10RateF2Total</vt:lpstr>
      <vt:lpstr>E10RateF3Total</vt:lpstr>
      <vt:lpstr>E10RateF4Total</vt:lpstr>
      <vt:lpstr>E10RateG1Total</vt:lpstr>
      <vt:lpstr>E10RateG2Total</vt:lpstr>
      <vt:lpstr>E10RateG3Total</vt:lpstr>
      <vt:lpstr>E10RateG4Total</vt:lpstr>
      <vt:lpstr>E10REM</vt:lpstr>
      <vt:lpstr>E10RVTransfer</vt:lpstr>
      <vt:lpstr>E10S</vt:lpstr>
      <vt:lpstr>E10SI</vt:lpstr>
      <vt:lpstr>E10STransfer</vt:lpstr>
      <vt:lpstr>E10SubsTotal</vt:lpstr>
      <vt:lpstr>E10TDropdowns</vt:lpstr>
      <vt:lpstr>E10TravelTotal</vt:lpstr>
      <vt:lpstr>E10UnitsMirror</vt:lpstr>
      <vt:lpstr>E10WH</vt:lpstr>
      <vt:lpstr>E11ADDA1</vt:lpstr>
      <vt:lpstr>E11ADDA2</vt:lpstr>
      <vt:lpstr>E11ADDA3</vt:lpstr>
      <vt:lpstr>E11ADDA4</vt:lpstr>
      <vt:lpstr>E11ADDB1</vt:lpstr>
      <vt:lpstr>E11ADDB2</vt:lpstr>
      <vt:lpstr>E11ADDB3</vt:lpstr>
      <vt:lpstr>E11ADDB4</vt:lpstr>
      <vt:lpstr>E11ADDC1</vt:lpstr>
      <vt:lpstr>E11ADDC2</vt:lpstr>
      <vt:lpstr>E11ADDC3</vt:lpstr>
      <vt:lpstr>E11ADDC4</vt:lpstr>
      <vt:lpstr>E11ADDD1</vt:lpstr>
      <vt:lpstr>E11ADDD2</vt:lpstr>
      <vt:lpstr>E11ADDD3</vt:lpstr>
      <vt:lpstr>E11ADDD4</vt:lpstr>
      <vt:lpstr>E11ADDE1</vt:lpstr>
      <vt:lpstr>E11ADDE2</vt:lpstr>
      <vt:lpstr>E11ADDE3</vt:lpstr>
      <vt:lpstr>E11ADDE4</vt:lpstr>
      <vt:lpstr>E11ADDF1</vt:lpstr>
      <vt:lpstr>E11ADDF2</vt:lpstr>
      <vt:lpstr>E11ADDF3</vt:lpstr>
      <vt:lpstr>E11ADDF4</vt:lpstr>
      <vt:lpstr>E11ADDG1</vt:lpstr>
      <vt:lpstr>E11ADDG2</vt:lpstr>
      <vt:lpstr>E11ADDG3</vt:lpstr>
      <vt:lpstr>E11ADDG4</vt:lpstr>
      <vt:lpstr>E11ATransfer</vt:lpstr>
      <vt:lpstr>E11B</vt:lpstr>
      <vt:lpstr>E11BASEA1</vt:lpstr>
      <vt:lpstr>E11BASEA2</vt:lpstr>
      <vt:lpstr>E11BASEA3</vt:lpstr>
      <vt:lpstr>E11BASEA4</vt:lpstr>
      <vt:lpstr>E11BASEB1</vt:lpstr>
      <vt:lpstr>E11BASEB2</vt:lpstr>
      <vt:lpstr>E11BASEB3</vt:lpstr>
      <vt:lpstr>E11BASEB4</vt:lpstr>
      <vt:lpstr>E11BASEC1</vt:lpstr>
      <vt:lpstr>E11BASEC2</vt:lpstr>
      <vt:lpstr>E11BASEC3</vt:lpstr>
      <vt:lpstr>E11BASEC4</vt:lpstr>
      <vt:lpstr>E11BASED1</vt:lpstr>
      <vt:lpstr>E11BASED2</vt:lpstr>
      <vt:lpstr>E11BASED3</vt:lpstr>
      <vt:lpstr>E11BASED4</vt:lpstr>
      <vt:lpstr>E11BASEE1</vt:lpstr>
      <vt:lpstr>E11BASEE2</vt:lpstr>
      <vt:lpstr>E11BASEE3</vt:lpstr>
      <vt:lpstr>E11BASEE4</vt:lpstr>
      <vt:lpstr>E11BASEF1</vt:lpstr>
      <vt:lpstr>E11BASEF2</vt:lpstr>
      <vt:lpstr>E11BASEF3</vt:lpstr>
      <vt:lpstr>E11BASEF4</vt:lpstr>
      <vt:lpstr>E11BASEG1</vt:lpstr>
      <vt:lpstr>E11BASEG2</vt:lpstr>
      <vt:lpstr>E11BASEG3</vt:lpstr>
      <vt:lpstr>E11BASEG4</vt:lpstr>
      <vt:lpstr>E11C</vt:lpstr>
      <vt:lpstr>E11CommunicationFee</vt:lpstr>
      <vt:lpstr>E11DirectLaborAA45</vt:lpstr>
      <vt:lpstr>E11DirectLaborAB45</vt:lpstr>
      <vt:lpstr>E11DirectLaborAC45</vt:lpstr>
      <vt:lpstr>E11DirectLaborAD45</vt:lpstr>
      <vt:lpstr>E11DirectLaborAE45</vt:lpstr>
      <vt:lpstr>E11DirectLaborD45</vt:lpstr>
      <vt:lpstr>E11DirectLaborE45</vt:lpstr>
      <vt:lpstr>E11DirectLaborF45</vt:lpstr>
      <vt:lpstr>E11DirectLaborG45</vt:lpstr>
      <vt:lpstr>E11DirectLaborH45</vt:lpstr>
      <vt:lpstr>E11DirectLaborI45</vt:lpstr>
      <vt:lpstr>E11DirectLaborJ45</vt:lpstr>
      <vt:lpstr>E11DirectLaborK45</vt:lpstr>
      <vt:lpstr>E11DirectLaborL45</vt:lpstr>
      <vt:lpstr>E11DirectLaborM45</vt:lpstr>
      <vt:lpstr>E11DirectLaborN45</vt:lpstr>
      <vt:lpstr>E11DirectLaborO45</vt:lpstr>
      <vt:lpstr>E11DirectLaborP45</vt:lpstr>
      <vt:lpstr>E11DirectLaborQ45</vt:lpstr>
      <vt:lpstr>E11DirectLaborR45</vt:lpstr>
      <vt:lpstr>E11DirectLaborS45</vt:lpstr>
      <vt:lpstr>E11DirectLaborT45</vt:lpstr>
      <vt:lpstr>E11DirectLaborTotal</vt:lpstr>
      <vt:lpstr>E11DirectLaborU45</vt:lpstr>
      <vt:lpstr>E11DirectLaborV45</vt:lpstr>
      <vt:lpstr>E11DirectLaborW45</vt:lpstr>
      <vt:lpstr>E11DirectLaborX45</vt:lpstr>
      <vt:lpstr>E11DirectLaborY45</vt:lpstr>
      <vt:lpstr>E11DirectLaborZ45</vt:lpstr>
      <vt:lpstr>E11EndTotal</vt:lpstr>
      <vt:lpstr>E11EquipmentTotal</vt:lpstr>
      <vt:lpstr>E11ETransfer</vt:lpstr>
      <vt:lpstr>E11ExpenseTotal</vt:lpstr>
      <vt:lpstr>E11GEN</vt:lpstr>
      <vt:lpstr>E11InsuranceFee</vt:lpstr>
      <vt:lpstr>E11LaborTotal</vt:lpstr>
      <vt:lpstr>E11LabTotal</vt:lpstr>
      <vt:lpstr>E11LTransfer</vt:lpstr>
      <vt:lpstr>E11M</vt:lpstr>
      <vt:lpstr>E11MTransfer</vt:lpstr>
      <vt:lpstr>E11O</vt:lpstr>
      <vt:lpstr>E11OTHER</vt:lpstr>
      <vt:lpstr>E11OverheadAA46</vt:lpstr>
      <vt:lpstr>E11OverheadAB46</vt:lpstr>
      <vt:lpstr>E11OverheadAC46</vt:lpstr>
      <vt:lpstr>E11OverheadAD46</vt:lpstr>
      <vt:lpstr>E11OverheadAE46</vt:lpstr>
      <vt:lpstr>E11OverheadD46</vt:lpstr>
      <vt:lpstr>E11OverheadE46</vt:lpstr>
      <vt:lpstr>E11OverheadF46</vt:lpstr>
      <vt:lpstr>E11OverheadG46</vt:lpstr>
      <vt:lpstr>E11OverheadH46</vt:lpstr>
      <vt:lpstr>E11OverheadI46</vt:lpstr>
      <vt:lpstr>E11OverheadJ46</vt:lpstr>
      <vt:lpstr>E11OverheadK46</vt:lpstr>
      <vt:lpstr>E11OverheadL46</vt:lpstr>
      <vt:lpstr>E11OverheadM46</vt:lpstr>
      <vt:lpstr>E11OverheadN46</vt:lpstr>
      <vt:lpstr>E11OverheadO46</vt:lpstr>
      <vt:lpstr>E11OverheadP46</vt:lpstr>
      <vt:lpstr>E11OverheadQ46</vt:lpstr>
      <vt:lpstr>E11OverheadR46</vt:lpstr>
      <vt:lpstr>E11OverheadS46</vt:lpstr>
      <vt:lpstr>E11OverheadT46</vt:lpstr>
      <vt:lpstr>E11OverheadTotal</vt:lpstr>
      <vt:lpstr>E11OverheadU46</vt:lpstr>
      <vt:lpstr>E11OverheadV46</vt:lpstr>
      <vt:lpstr>E11OverheadW46</vt:lpstr>
      <vt:lpstr>E11OverheadX46</vt:lpstr>
      <vt:lpstr>E11OverheadY46</vt:lpstr>
      <vt:lpstr>E11OverheadZ46</vt:lpstr>
      <vt:lpstr>E11OVTransfer</vt:lpstr>
      <vt:lpstr>E11R</vt:lpstr>
      <vt:lpstr>E11RateA1Total</vt:lpstr>
      <vt:lpstr>E11RateA2Total</vt:lpstr>
      <vt:lpstr>E11RateA3Total</vt:lpstr>
      <vt:lpstr>E11RateA4Total</vt:lpstr>
      <vt:lpstr>E11RateB1Total</vt:lpstr>
      <vt:lpstr>E11RateB2Total</vt:lpstr>
      <vt:lpstr>E11RateB3Total</vt:lpstr>
      <vt:lpstr>E11RateB4Total</vt:lpstr>
      <vt:lpstr>E11RateC1Total</vt:lpstr>
      <vt:lpstr>E11RateC2Total</vt:lpstr>
      <vt:lpstr>E11RateC3Total</vt:lpstr>
      <vt:lpstr>E11RateC4Total</vt:lpstr>
      <vt:lpstr>E11RateD1Total</vt:lpstr>
      <vt:lpstr>E11RateD2Total</vt:lpstr>
      <vt:lpstr>E11RateD3Total</vt:lpstr>
      <vt:lpstr>E11RateD4Total</vt:lpstr>
      <vt:lpstr>E11RateE1Total</vt:lpstr>
      <vt:lpstr>E11RateE2Total</vt:lpstr>
      <vt:lpstr>E11RateE3Total</vt:lpstr>
      <vt:lpstr>E11RateE4Total</vt:lpstr>
      <vt:lpstr>E11RateF1Total</vt:lpstr>
      <vt:lpstr>E11RateF2Total</vt:lpstr>
      <vt:lpstr>E11RateF3Total</vt:lpstr>
      <vt:lpstr>E11RateF4Total</vt:lpstr>
      <vt:lpstr>E11RateG1Total</vt:lpstr>
      <vt:lpstr>E11RateG2Total</vt:lpstr>
      <vt:lpstr>E11RateG3Total</vt:lpstr>
      <vt:lpstr>E11RateG4Total</vt:lpstr>
      <vt:lpstr>E11REM</vt:lpstr>
      <vt:lpstr>E11RVTransfer</vt:lpstr>
      <vt:lpstr>E11S</vt:lpstr>
      <vt:lpstr>E11SI</vt:lpstr>
      <vt:lpstr>E11STransfer</vt:lpstr>
      <vt:lpstr>E11SubsTotal</vt:lpstr>
      <vt:lpstr>E11TravelTotal</vt:lpstr>
      <vt:lpstr>E11WH</vt:lpstr>
      <vt:lpstr>E12ADDA1</vt:lpstr>
      <vt:lpstr>E12ADDA2</vt:lpstr>
      <vt:lpstr>E12ADDA3</vt:lpstr>
      <vt:lpstr>E12ADDA4</vt:lpstr>
      <vt:lpstr>E12ADDB1</vt:lpstr>
      <vt:lpstr>E12ADDB2</vt:lpstr>
      <vt:lpstr>E12ADDB3</vt:lpstr>
      <vt:lpstr>E12ADDB4</vt:lpstr>
      <vt:lpstr>E12ADDC1</vt:lpstr>
      <vt:lpstr>E12ADDC2</vt:lpstr>
      <vt:lpstr>E12ADDC3</vt:lpstr>
      <vt:lpstr>E12ADDC4</vt:lpstr>
      <vt:lpstr>E12ADDD1</vt:lpstr>
      <vt:lpstr>E12ADDD2</vt:lpstr>
      <vt:lpstr>E12ADDD3</vt:lpstr>
      <vt:lpstr>E12ADDD4</vt:lpstr>
      <vt:lpstr>E12ADDE1</vt:lpstr>
      <vt:lpstr>E12ADDE2</vt:lpstr>
      <vt:lpstr>E12ADDE3</vt:lpstr>
      <vt:lpstr>E12ADDE4</vt:lpstr>
      <vt:lpstr>E12ADDF1</vt:lpstr>
      <vt:lpstr>E12ADDF2</vt:lpstr>
      <vt:lpstr>E12ADDF3</vt:lpstr>
      <vt:lpstr>E12ADDF4</vt:lpstr>
      <vt:lpstr>E12ADDG1</vt:lpstr>
      <vt:lpstr>E12ADDG2</vt:lpstr>
      <vt:lpstr>E12ADDG3</vt:lpstr>
      <vt:lpstr>E12ADDG4</vt:lpstr>
      <vt:lpstr>E12ATransfer</vt:lpstr>
      <vt:lpstr>E12B</vt:lpstr>
      <vt:lpstr>E12BASEA1</vt:lpstr>
      <vt:lpstr>E12BASEA2</vt:lpstr>
      <vt:lpstr>E12BASEA3</vt:lpstr>
      <vt:lpstr>E12BASEA4</vt:lpstr>
      <vt:lpstr>E12BASEB1</vt:lpstr>
      <vt:lpstr>E12BASEB2</vt:lpstr>
      <vt:lpstr>E12BASEB3</vt:lpstr>
      <vt:lpstr>E12BASEB4</vt:lpstr>
      <vt:lpstr>E12BASEC1</vt:lpstr>
      <vt:lpstr>E12BASEC2</vt:lpstr>
      <vt:lpstr>E12BASEC3</vt:lpstr>
      <vt:lpstr>E12BASEC4</vt:lpstr>
      <vt:lpstr>E12BASED1</vt:lpstr>
      <vt:lpstr>E12BASED2</vt:lpstr>
      <vt:lpstr>E12BASED3</vt:lpstr>
      <vt:lpstr>E12BASED4</vt:lpstr>
      <vt:lpstr>E12BASEE1</vt:lpstr>
      <vt:lpstr>E12BASEE2</vt:lpstr>
      <vt:lpstr>E12BASEE3</vt:lpstr>
      <vt:lpstr>E12BASEE4</vt:lpstr>
      <vt:lpstr>E12BASEF1</vt:lpstr>
      <vt:lpstr>E12BASEF2</vt:lpstr>
      <vt:lpstr>E12BASEF3</vt:lpstr>
      <vt:lpstr>E12BASEF4</vt:lpstr>
      <vt:lpstr>E12BASEG1</vt:lpstr>
      <vt:lpstr>E12BASEG2</vt:lpstr>
      <vt:lpstr>E12BASEG3</vt:lpstr>
      <vt:lpstr>E12BASEG4</vt:lpstr>
      <vt:lpstr>E12C</vt:lpstr>
      <vt:lpstr>E12CommunicationFee</vt:lpstr>
      <vt:lpstr>E12DirectLaborAA45</vt:lpstr>
      <vt:lpstr>E12DirectLaborAB45</vt:lpstr>
      <vt:lpstr>E12DirectLaborAC45</vt:lpstr>
      <vt:lpstr>E12DirectLaborAD45</vt:lpstr>
      <vt:lpstr>E12DirectLaborAE45</vt:lpstr>
      <vt:lpstr>E12DirectLaborD45</vt:lpstr>
      <vt:lpstr>E12DirectLaborE45</vt:lpstr>
      <vt:lpstr>E12DirectLaborF45</vt:lpstr>
      <vt:lpstr>E12DirectLaborG45</vt:lpstr>
      <vt:lpstr>E12DirectLaborH45</vt:lpstr>
      <vt:lpstr>E12DirectLaborI45</vt:lpstr>
      <vt:lpstr>E12DirectLaborJ45</vt:lpstr>
      <vt:lpstr>E12DirectLaborK45</vt:lpstr>
      <vt:lpstr>E12DirectLaborL45</vt:lpstr>
      <vt:lpstr>E12DirectLaborM45</vt:lpstr>
      <vt:lpstr>E12DirectLaborN45</vt:lpstr>
      <vt:lpstr>E12DirectLaborO45</vt:lpstr>
      <vt:lpstr>E12DirectLaborP45</vt:lpstr>
      <vt:lpstr>E12DirectLaborQ45</vt:lpstr>
      <vt:lpstr>E12DirectLaborR45</vt:lpstr>
      <vt:lpstr>E12DirectLaborS45</vt:lpstr>
      <vt:lpstr>E12DirectLaborT45</vt:lpstr>
      <vt:lpstr>E12DirectLaborTotal</vt:lpstr>
      <vt:lpstr>E12DirectLaborU45</vt:lpstr>
      <vt:lpstr>E12DirectLaborV45</vt:lpstr>
      <vt:lpstr>E12DirectLaborW45</vt:lpstr>
      <vt:lpstr>E12DirectLaborX45</vt:lpstr>
      <vt:lpstr>E12DirectLaborY45</vt:lpstr>
      <vt:lpstr>E12DirectLaborZ45</vt:lpstr>
      <vt:lpstr>E12EndTotal</vt:lpstr>
      <vt:lpstr>E12EquipmentTotal</vt:lpstr>
      <vt:lpstr>E12ETransfer</vt:lpstr>
      <vt:lpstr>E12ExpenseTotal</vt:lpstr>
      <vt:lpstr>E12GEN</vt:lpstr>
      <vt:lpstr>E12InsuranceFee</vt:lpstr>
      <vt:lpstr>E12LaborTotal</vt:lpstr>
      <vt:lpstr>E12LabTotal</vt:lpstr>
      <vt:lpstr>E12LTransfer</vt:lpstr>
      <vt:lpstr>E12M</vt:lpstr>
      <vt:lpstr>E12MTransfer</vt:lpstr>
      <vt:lpstr>E12O</vt:lpstr>
      <vt:lpstr>E12OTHER</vt:lpstr>
      <vt:lpstr>E12OverheadAA46</vt:lpstr>
      <vt:lpstr>E12OverheadAB46</vt:lpstr>
      <vt:lpstr>E12OverheadAC46</vt:lpstr>
      <vt:lpstr>E12OverheadAD46</vt:lpstr>
      <vt:lpstr>E12OverheadAE46</vt:lpstr>
      <vt:lpstr>E12OverheadD46</vt:lpstr>
      <vt:lpstr>E12OverheadE46</vt:lpstr>
      <vt:lpstr>E12OverheadF46</vt:lpstr>
      <vt:lpstr>E12OverheadG46</vt:lpstr>
      <vt:lpstr>E12OverheadH46</vt:lpstr>
      <vt:lpstr>E12OverheadI46</vt:lpstr>
      <vt:lpstr>E12OverheadJ46</vt:lpstr>
      <vt:lpstr>E12OverheadK46</vt:lpstr>
      <vt:lpstr>E12OverheadL46</vt:lpstr>
      <vt:lpstr>E12OverheadM46</vt:lpstr>
      <vt:lpstr>E12OverheadN46</vt:lpstr>
      <vt:lpstr>E12OverheadO46</vt:lpstr>
      <vt:lpstr>E12OverheadP46</vt:lpstr>
      <vt:lpstr>E12OverheadQ46</vt:lpstr>
      <vt:lpstr>E12OverheadR46</vt:lpstr>
      <vt:lpstr>E12OverheadS46</vt:lpstr>
      <vt:lpstr>E12OverheadT46</vt:lpstr>
      <vt:lpstr>E12OverheadTotal</vt:lpstr>
      <vt:lpstr>E12OverheadU46</vt:lpstr>
      <vt:lpstr>E12OverheadV46</vt:lpstr>
      <vt:lpstr>E12OverheadW46</vt:lpstr>
      <vt:lpstr>E12OverheadX46</vt:lpstr>
      <vt:lpstr>E12OverheadY46</vt:lpstr>
      <vt:lpstr>E12OverheadZ46</vt:lpstr>
      <vt:lpstr>E12OVTransfer</vt:lpstr>
      <vt:lpstr>E12R</vt:lpstr>
      <vt:lpstr>E12RateA1Total</vt:lpstr>
      <vt:lpstr>E12RateA2Total</vt:lpstr>
      <vt:lpstr>E12RateA3Total</vt:lpstr>
      <vt:lpstr>E12RateA4Total</vt:lpstr>
      <vt:lpstr>E12RateB1Total</vt:lpstr>
      <vt:lpstr>E12RateB2Total</vt:lpstr>
      <vt:lpstr>E12RateB3Total</vt:lpstr>
      <vt:lpstr>E12RateB4Total</vt:lpstr>
      <vt:lpstr>E12RateC1Total</vt:lpstr>
      <vt:lpstr>E12RateC2Total</vt:lpstr>
      <vt:lpstr>E12RateC3Total</vt:lpstr>
      <vt:lpstr>E12RateC4Total</vt:lpstr>
      <vt:lpstr>E12RateD1Total</vt:lpstr>
      <vt:lpstr>E12RateD2Total</vt:lpstr>
      <vt:lpstr>E12RateD3Total</vt:lpstr>
      <vt:lpstr>E12RateD4Total</vt:lpstr>
      <vt:lpstr>E12RateE1Total</vt:lpstr>
      <vt:lpstr>E12RateE2Total</vt:lpstr>
      <vt:lpstr>E12RateE3Total</vt:lpstr>
      <vt:lpstr>E12RateE4Total</vt:lpstr>
      <vt:lpstr>E12RateF1Total</vt:lpstr>
      <vt:lpstr>E12RateF2Total</vt:lpstr>
      <vt:lpstr>E12RateF3Total</vt:lpstr>
      <vt:lpstr>E12RateF4Total</vt:lpstr>
      <vt:lpstr>E12RateG1Total</vt:lpstr>
      <vt:lpstr>E12RateG2Total</vt:lpstr>
      <vt:lpstr>E12RateG3Total</vt:lpstr>
      <vt:lpstr>E12RateG4Total</vt:lpstr>
      <vt:lpstr>E12REM</vt:lpstr>
      <vt:lpstr>E12RVTransfer</vt:lpstr>
      <vt:lpstr>E12S</vt:lpstr>
      <vt:lpstr>E12SI</vt:lpstr>
      <vt:lpstr>E12STransfer</vt:lpstr>
      <vt:lpstr>E12SubsTotal</vt:lpstr>
      <vt:lpstr>E12TravelTotal</vt:lpstr>
      <vt:lpstr>E12WH</vt:lpstr>
      <vt:lpstr>E13ADDA1</vt:lpstr>
      <vt:lpstr>E13ADDA2</vt:lpstr>
      <vt:lpstr>E13ADDA3</vt:lpstr>
      <vt:lpstr>E13ADDA4</vt:lpstr>
      <vt:lpstr>E13ADDB1</vt:lpstr>
      <vt:lpstr>E13ADDB2</vt:lpstr>
      <vt:lpstr>E13ADDB3</vt:lpstr>
      <vt:lpstr>E13ADDB4</vt:lpstr>
      <vt:lpstr>E13ADDC1</vt:lpstr>
      <vt:lpstr>E13ADDC2</vt:lpstr>
      <vt:lpstr>E13ADDC3</vt:lpstr>
      <vt:lpstr>E13ADDC4</vt:lpstr>
      <vt:lpstr>E13ADDD1</vt:lpstr>
      <vt:lpstr>E13ADDD2</vt:lpstr>
      <vt:lpstr>E13ADDD3</vt:lpstr>
      <vt:lpstr>E13ADDD4</vt:lpstr>
      <vt:lpstr>E13ADDE1</vt:lpstr>
      <vt:lpstr>E13ADDE2</vt:lpstr>
      <vt:lpstr>E13ADDE3</vt:lpstr>
      <vt:lpstr>E13ADDE4</vt:lpstr>
      <vt:lpstr>E13ADDF1</vt:lpstr>
      <vt:lpstr>E13ADDF2</vt:lpstr>
      <vt:lpstr>E13ADDF3</vt:lpstr>
      <vt:lpstr>E13ADDF4</vt:lpstr>
      <vt:lpstr>E13ADDG1</vt:lpstr>
      <vt:lpstr>E13ADDG2</vt:lpstr>
      <vt:lpstr>E13ADDG3</vt:lpstr>
      <vt:lpstr>E13ADDG4</vt:lpstr>
      <vt:lpstr>E13ATransfer</vt:lpstr>
      <vt:lpstr>E13B</vt:lpstr>
      <vt:lpstr>E13BASEA1</vt:lpstr>
      <vt:lpstr>E13BASEA2</vt:lpstr>
      <vt:lpstr>E13BASEA3</vt:lpstr>
      <vt:lpstr>E13BASEA4</vt:lpstr>
      <vt:lpstr>E13BASEB1</vt:lpstr>
      <vt:lpstr>E13BASEB2</vt:lpstr>
      <vt:lpstr>E13BASEB3</vt:lpstr>
      <vt:lpstr>E13BASEB4</vt:lpstr>
      <vt:lpstr>E13BASEC1</vt:lpstr>
      <vt:lpstr>E13BASEC2</vt:lpstr>
      <vt:lpstr>E13BASEC3</vt:lpstr>
      <vt:lpstr>E13BASEC4</vt:lpstr>
      <vt:lpstr>E13BASED1</vt:lpstr>
      <vt:lpstr>E13BASED2</vt:lpstr>
      <vt:lpstr>E13BASED3</vt:lpstr>
      <vt:lpstr>E13BASED4</vt:lpstr>
      <vt:lpstr>E13BASEE1</vt:lpstr>
      <vt:lpstr>E13BASEE2</vt:lpstr>
      <vt:lpstr>E13BASEE3</vt:lpstr>
      <vt:lpstr>E13BASEE4</vt:lpstr>
      <vt:lpstr>E13BASEF1</vt:lpstr>
      <vt:lpstr>E13BASEF2</vt:lpstr>
      <vt:lpstr>E13BASEF3</vt:lpstr>
      <vt:lpstr>E13BASEF4</vt:lpstr>
      <vt:lpstr>E13BASEG1</vt:lpstr>
      <vt:lpstr>E13BASEG2</vt:lpstr>
      <vt:lpstr>E13BASEG3</vt:lpstr>
      <vt:lpstr>E13BASEG4</vt:lpstr>
      <vt:lpstr>E13C</vt:lpstr>
      <vt:lpstr>E13CommunicationFee</vt:lpstr>
      <vt:lpstr>E13DirectLaborAA45</vt:lpstr>
      <vt:lpstr>E13DirectLaborAB45</vt:lpstr>
      <vt:lpstr>E13DirectLaborAC45</vt:lpstr>
      <vt:lpstr>E13DirectLaborAD45</vt:lpstr>
      <vt:lpstr>E13DirectLaborAE45</vt:lpstr>
      <vt:lpstr>E13DirectLaborD45</vt:lpstr>
      <vt:lpstr>E13DirectLaborE45</vt:lpstr>
      <vt:lpstr>E13DirectLaborF45</vt:lpstr>
      <vt:lpstr>E13DirectLaborG45</vt:lpstr>
      <vt:lpstr>E13DirectLaborH45</vt:lpstr>
      <vt:lpstr>E13DirectLaborI45</vt:lpstr>
      <vt:lpstr>E13DirectLaborJ45</vt:lpstr>
      <vt:lpstr>E13DirectLaborK45</vt:lpstr>
      <vt:lpstr>E13DirectLaborL45</vt:lpstr>
      <vt:lpstr>E13DirectLaborM45</vt:lpstr>
      <vt:lpstr>E13DirectLaborN45</vt:lpstr>
      <vt:lpstr>E13DirectLaborO45</vt:lpstr>
      <vt:lpstr>E13DirectLaborP45</vt:lpstr>
      <vt:lpstr>E13DirectLaborQ45</vt:lpstr>
      <vt:lpstr>E13DirectLaborR45</vt:lpstr>
      <vt:lpstr>E13DirectLaborS45</vt:lpstr>
      <vt:lpstr>E13DirectLaborT45</vt:lpstr>
      <vt:lpstr>E13DirectLaborTotal</vt:lpstr>
      <vt:lpstr>E13DirectLaborU45</vt:lpstr>
      <vt:lpstr>E13DirectLaborV45</vt:lpstr>
      <vt:lpstr>E13DirectLaborW45</vt:lpstr>
      <vt:lpstr>E13DirectLaborX45</vt:lpstr>
      <vt:lpstr>E13DirectLaborY45</vt:lpstr>
      <vt:lpstr>E13DirectLaborZ45</vt:lpstr>
      <vt:lpstr>E13EndTotal</vt:lpstr>
      <vt:lpstr>E13EquipmentTotal</vt:lpstr>
      <vt:lpstr>E13ETransfer</vt:lpstr>
      <vt:lpstr>E13ExpenseTotal</vt:lpstr>
      <vt:lpstr>E13GEN</vt:lpstr>
      <vt:lpstr>E13InsuranceFee</vt:lpstr>
      <vt:lpstr>E13LaborTotal</vt:lpstr>
      <vt:lpstr>E13LabTotal</vt:lpstr>
      <vt:lpstr>E13LTransfer</vt:lpstr>
      <vt:lpstr>E13M</vt:lpstr>
      <vt:lpstr>E13MTransfer</vt:lpstr>
      <vt:lpstr>E13O</vt:lpstr>
      <vt:lpstr>E13OTHER</vt:lpstr>
      <vt:lpstr>E13OverheadAA46</vt:lpstr>
      <vt:lpstr>E13OverheadAB46</vt:lpstr>
      <vt:lpstr>E13OverheadAC46</vt:lpstr>
      <vt:lpstr>E13OverheadAD46</vt:lpstr>
      <vt:lpstr>E13OverheadAE46</vt:lpstr>
      <vt:lpstr>E13OverheadD46</vt:lpstr>
      <vt:lpstr>E13OverheadE46</vt:lpstr>
      <vt:lpstr>E13OverheadF46</vt:lpstr>
      <vt:lpstr>E13OverheadG46</vt:lpstr>
      <vt:lpstr>E13OverheadH46</vt:lpstr>
      <vt:lpstr>E13OverheadI46</vt:lpstr>
      <vt:lpstr>E13OverheadJ46</vt:lpstr>
      <vt:lpstr>E13OverheadK46</vt:lpstr>
      <vt:lpstr>E13OverheadL46</vt:lpstr>
      <vt:lpstr>E13OverheadM46</vt:lpstr>
      <vt:lpstr>E13OverheadN46</vt:lpstr>
      <vt:lpstr>E13OverheadO46</vt:lpstr>
      <vt:lpstr>E13OverheadP46</vt:lpstr>
      <vt:lpstr>E13OverheadQ46</vt:lpstr>
      <vt:lpstr>E13OverheadR46</vt:lpstr>
      <vt:lpstr>E13OverheadS46</vt:lpstr>
      <vt:lpstr>E13OverheadT46</vt:lpstr>
      <vt:lpstr>E13OverheadTotal</vt:lpstr>
      <vt:lpstr>E13OverheadU46</vt:lpstr>
      <vt:lpstr>E13OverheadV46</vt:lpstr>
      <vt:lpstr>E13OverheadW46</vt:lpstr>
      <vt:lpstr>E13OverheadX46</vt:lpstr>
      <vt:lpstr>E13OverheadY46</vt:lpstr>
      <vt:lpstr>E13OverheadZ46</vt:lpstr>
      <vt:lpstr>E13OVTransfer</vt:lpstr>
      <vt:lpstr>E13R</vt:lpstr>
      <vt:lpstr>E13RateA1Total</vt:lpstr>
      <vt:lpstr>E13RateA2Total</vt:lpstr>
      <vt:lpstr>E13RateA3Total</vt:lpstr>
      <vt:lpstr>E13RateA4Total</vt:lpstr>
      <vt:lpstr>E13RateB1Total</vt:lpstr>
      <vt:lpstr>E13RateB2Total</vt:lpstr>
      <vt:lpstr>E13RateB3Total</vt:lpstr>
      <vt:lpstr>E13RateB4Total</vt:lpstr>
      <vt:lpstr>E13RateC1Total</vt:lpstr>
      <vt:lpstr>E13RateC2Total</vt:lpstr>
      <vt:lpstr>E13RateC3Total</vt:lpstr>
      <vt:lpstr>E13RateC4Total</vt:lpstr>
      <vt:lpstr>E13RateD1Total</vt:lpstr>
      <vt:lpstr>E13RateD2Total</vt:lpstr>
      <vt:lpstr>E13RateD3Total</vt:lpstr>
      <vt:lpstr>E13RateD4Total</vt:lpstr>
      <vt:lpstr>E13RateE1Total</vt:lpstr>
      <vt:lpstr>E13RateE2Total</vt:lpstr>
      <vt:lpstr>E13RateE3Total</vt:lpstr>
      <vt:lpstr>E13RateE4Total</vt:lpstr>
      <vt:lpstr>E13RateF1Total</vt:lpstr>
      <vt:lpstr>E13RateF2Total</vt:lpstr>
      <vt:lpstr>E13RateF3Total</vt:lpstr>
      <vt:lpstr>E13RateF4Total</vt:lpstr>
      <vt:lpstr>E13RateG1Total</vt:lpstr>
      <vt:lpstr>E13RateG2Total</vt:lpstr>
      <vt:lpstr>E13RateG3Total</vt:lpstr>
      <vt:lpstr>E13RateG4Total</vt:lpstr>
      <vt:lpstr>E13REM</vt:lpstr>
      <vt:lpstr>E13RVTransfer</vt:lpstr>
      <vt:lpstr>E13S</vt:lpstr>
      <vt:lpstr>E13SI</vt:lpstr>
      <vt:lpstr>E13STransfer</vt:lpstr>
      <vt:lpstr>E13SubsTotal</vt:lpstr>
      <vt:lpstr>E13TravelTotal</vt:lpstr>
      <vt:lpstr>E13WH</vt:lpstr>
      <vt:lpstr>E14ADDA1</vt:lpstr>
      <vt:lpstr>E14ADDA2</vt:lpstr>
      <vt:lpstr>E14ADDA3</vt:lpstr>
      <vt:lpstr>E14ADDA4</vt:lpstr>
      <vt:lpstr>E14ADDB1</vt:lpstr>
      <vt:lpstr>E14ADDB2</vt:lpstr>
      <vt:lpstr>E14ADDB3</vt:lpstr>
      <vt:lpstr>E14ADDB4</vt:lpstr>
      <vt:lpstr>E14ADDC1</vt:lpstr>
      <vt:lpstr>E14ADDC2</vt:lpstr>
      <vt:lpstr>E14ADDC3</vt:lpstr>
      <vt:lpstr>E14ADDC4</vt:lpstr>
      <vt:lpstr>E14ADDD1</vt:lpstr>
      <vt:lpstr>E14ADDD2</vt:lpstr>
      <vt:lpstr>E14ADDD3</vt:lpstr>
      <vt:lpstr>E14ADDD4</vt:lpstr>
      <vt:lpstr>E14ADDE1</vt:lpstr>
      <vt:lpstr>E14ADDE2</vt:lpstr>
      <vt:lpstr>E14ADDE3</vt:lpstr>
      <vt:lpstr>E14ADDE4</vt:lpstr>
      <vt:lpstr>E14ADDF1</vt:lpstr>
      <vt:lpstr>E14ADDF2</vt:lpstr>
      <vt:lpstr>E14ADDF3</vt:lpstr>
      <vt:lpstr>E14ADDF4</vt:lpstr>
      <vt:lpstr>E14ADDG1</vt:lpstr>
      <vt:lpstr>E14ADDG2</vt:lpstr>
      <vt:lpstr>E14ADDG3</vt:lpstr>
      <vt:lpstr>E14ADDG4</vt:lpstr>
      <vt:lpstr>E14ATransfer</vt:lpstr>
      <vt:lpstr>E14B</vt:lpstr>
      <vt:lpstr>E14BASEA1</vt:lpstr>
      <vt:lpstr>E14BASEA2</vt:lpstr>
      <vt:lpstr>E14BASEA3</vt:lpstr>
      <vt:lpstr>E14BASEA4</vt:lpstr>
      <vt:lpstr>E14BASEB1</vt:lpstr>
      <vt:lpstr>E14BASEB2</vt:lpstr>
      <vt:lpstr>E14BASEB3</vt:lpstr>
      <vt:lpstr>E14BASEB4</vt:lpstr>
      <vt:lpstr>E14BASEC1</vt:lpstr>
      <vt:lpstr>E14BASEC2</vt:lpstr>
      <vt:lpstr>E14BASEC3</vt:lpstr>
      <vt:lpstr>E14BASEC4</vt:lpstr>
      <vt:lpstr>E14BASED1</vt:lpstr>
      <vt:lpstr>E14BASED2</vt:lpstr>
      <vt:lpstr>E14BASED3</vt:lpstr>
      <vt:lpstr>E14BASED4</vt:lpstr>
      <vt:lpstr>E14BASEE1</vt:lpstr>
      <vt:lpstr>E14BASEE2</vt:lpstr>
      <vt:lpstr>E14BASEE3</vt:lpstr>
      <vt:lpstr>E14BASEE4</vt:lpstr>
      <vt:lpstr>E14BASEF1</vt:lpstr>
      <vt:lpstr>E14BASEF2</vt:lpstr>
      <vt:lpstr>E14BASEF3</vt:lpstr>
      <vt:lpstr>E14BASEF4</vt:lpstr>
      <vt:lpstr>E14BASEG1</vt:lpstr>
      <vt:lpstr>E14BASEG2</vt:lpstr>
      <vt:lpstr>E14BASEG3</vt:lpstr>
      <vt:lpstr>E14BASEG4</vt:lpstr>
      <vt:lpstr>E14C</vt:lpstr>
      <vt:lpstr>E14CommunicationFee</vt:lpstr>
      <vt:lpstr>E14DirectLaborAA45</vt:lpstr>
      <vt:lpstr>E14DirectLaborAB45</vt:lpstr>
      <vt:lpstr>E14DirectLaborAC45</vt:lpstr>
      <vt:lpstr>E14DirectLaborAD45</vt:lpstr>
      <vt:lpstr>E14DirectLaborAE45</vt:lpstr>
      <vt:lpstr>E14DirectLaborD45</vt:lpstr>
      <vt:lpstr>E14DirectLaborE45</vt:lpstr>
      <vt:lpstr>E14DirectLaborF45</vt:lpstr>
      <vt:lpstr>E14DirectLaborG45</vt:lpstr>
      <vt:lpstr>E14DirectLaborH45</vt:lpstr>
      <vt:lpstr>E14DirectLaborI45</vt:lpstr>
      <vt:lpstr>E14DirectLaborJ45</vt:lpstr>
      <vt:lpstr>E14DirectLaborK45</vt:lpstr>
      <vt:lpstr>E14DirectLaborL45</vt:lpstr>
      <vt:lpstr>E14DirectLaborM45</vt:lpstr>
      <vt:lpstr>E14DirectLaborN45</vt:lpstr>
      <vt:lpstr>E14DirectLaborO45</vt:lpstr>
      <vt:lpstr>E14DirectLaborP45</vt:lpstr>
      <vt:lpstr>E14DirectLaborQ45</vt:lpstr>
      <vt:lpstr>E14DirectLaborR45</vt:lpstr>
      <vt:lpstr>E14DirectLaborS45</vt:lpstr>
      <vt:lpstr>E14DirectLaborT45</vt:lpstr>
      <vt:lpstr>E14DirectLaborTotal</vt:lpstr>
      <vt:lpstr>E14DirectLaborU45</vt:lpstr>
      <vt:lpstr>E14DirectLaborV45</vt:lpstr>
      <vt:lpstr>E14DirectLaborW45</vt:lpstr>
      <vt:lpstr>E14DirectLaborX45</vt:lpstr>
      <vt:lpstr>E14DirectLaborY45</vt:lpstr>
      <vt:lpstr>E14DirectLaborZ45</vt:lpstr>
      <vt:lpstr>E14EndTotal</vt:lpstr>
      <vt:lpstr>E14EquipmentTotal</vt:lpstr>
      <vt:lpstr>E14ETransfer</vt:lpstr>
      <vt:lpstr>E14ExpenseTotal</vt:lpstr>
      <vt:lpstr>E14GEN</vt:lpstr>
      <vt:lpstr>E14InsuranceFee</vt:lpstr>
      <vt:lpstr>E14LaborTotal</vt:lpstr>
      <vt:lpstr>E14LabTotal</vt:lpstr>
      <vt:lpstr>E14LTransfer</vt:lpstr>
      <vt:lpstr>E14M</vt:lpstr>
      <vt:lpstr>E14MTransfer</vt:lpstr>
      <vt:lpstr>E14O</vt:lpstr>
      <vt:lpstr>E14OTHER</vt:lpstr>
      <vt:lpstr>E14OverheadAA46</vt:lpstr>
      <vt:lpstr>E14OverheadAB46</vt:lpstr>
      <vt:lpstr>E14OverheadAC46</vt:lpstr>
      <vt:lpstr>E14OverheadAD46</vt:lpstr>
      <vt:lpstr>E14OverheadAE46</vt:lpstr>
      <vt:lpstr>E14OverheadD46</vt:lpstr>
      <vt:lpstr>E14OverheadE46</vt:lpstr>
      <vt:lpstr>E14OverheadF46</vt:lpstr>
      <vt:lpstr>E14OverheadG46</vt:lpstr>
      <vt:lpstr>E14OverheadH46</vt:lpstr>
      <vt:lpstr>E14OverheadI46</vt:lpstr>
      <vt:lpstr>E14OverheadJ46</vt:lpstr>
      <vt:lpstr>E14OverheadK46</vt:lpstr>
      <vt:lpstr>E14OverheadL46</vt:lpstr>
      <vt:lpstr>E14OverheadM46</vt:lpstr>
      <vt:lpstr>E14OverheadN46</vt:lpstr>
      <vt:lpstr>E14OverheadO46</vt:lpstr>
      <vt:lpstr>E14OverheadP46</vt:lpstr>
      <vt:lpstr>E14OverheadQ46</vt:lpstr>
      <vt:lpstr>E14OverheadR46</vt:lpstr>
      <vt:lpstr>E14OverheadS46</vt:lpstr>
      <vt:lpstr>E14OverheadT46</vt:lpstr>
      <vt:lpstr>E14OverheadTotal</vt:lpstr>
      <vt:lpstr>E14OverheadU46</vt:lpstr>
      <vt:lpstr>E14OverheadV46</vt:lpstr>
      <vt:lpstr>E14OverheadW46</vt:lpstr>
      <vt:lpstr>E14OverheadX46</vt:lpstr>
      <vt:lpstr>E14OverheadY46</vt:lpstr>
      <vt:lpstr>E14OverheadZ46</vt:lpstr>
      <vt:lpstr>E14OVTransfer</vt:lpstr>
      <vt:lpstr>E14R</vt:lpstr>
      <vt:lpstr>E14RateA1Total</vt:lpstr>
      <vt:lpstr>E14RateA2Total</vt:lpstr>
      <vt:lpstr>E14RateA3Total</vt:lpstr>
      <vt:lpstr>E14RateA4Total</vt:lpstr>
      <vt:lpstr>E14RateB1Total</vt:lpstr>
      <vt:lpstr>E14RateB2Total</vt:lpstr>
      <vt:lpstr>E14RateB3Total</vt:lpstr>
      <vt:lpstr>E14RateB4Total</vt:lpstr>
      <vt:lpstr>E14RateC1Total</vt:lpstr>
      <vt:lpstr>E14RateC2Total</vt:lpstr>
      <vt:lpstr>E14RateC3Total</vt:lpstr>
      <vt:lpstr>E14RateC4Total</vt:lpstr>
      <vt:lpstr>E14RateD1Total</vt:lpstr>
      <vt:lpstr>E14RateD2Total</vt:lpstr>
      <vt:lpstr>E14RateD3Total</vt:lpstr>
      <vt:lpstr>E14RateD4Total</vt:lpstr>
      <vt:lpstr>E14RateE1Total</vt:lpstr>
      <vt:lpstr>E14RateE2Total</vt:lpstr>
      <vt:lpstr>E14RateE3Total</vt:lpstr>
      <vt:lpstr>E14RateE4Total</vt:lpstr>
      <vt:lpstr>E14RateF1Total</vt:lpstr>
      <vt:lpstr>E14RateF2Total</vt:lpstr>
      <vt:lpstr>E14RateF3Total</vt:lpstr>
      <vt:lpstr>E14RateF4Total</vt:lpstr>
      <vt:lpstr>E14RateG1Total</vt:lpstr>
      <vt:lpstr>E14RateG2Total</vt:lpstr>
      <vt:lpstr>E14RateG3Total</vt:lpstr>
      <vt:lpstr>E14RateG4Total</vt:lpstr>
      <vt:lpstr>E14REM</vt:lpstr>
      <vt:lpstr>E14RVTransfer</vt:lpstr>
      <vt:lpstr>E14S</vt:lpstr>
      <vt:lpstr>E14SI</vt:lpstr>
      <vt:lpstr>E14STransfer</vt:lpstr>
      <vt:lpstr>E14SubsTotal</vt:lpstr>
      <vt:lpstr>E14TravelTotal</vt:lpstr>
      <vt:lpstr>E14WH</vt:lpstr>
      <vt:lpstr>E15ADDA1</vt:lpstr>
      <vt:lpstr>E15ADDA2</vt:lpstr>
      <vt:lpstr>E15ADDA3</vt:lpstr>
      <vt:lpstr>E15ADDA4</vt:lpstr>
      <vt:lpstr>E15ADDB1</vt:lpstr>
      <vt:lpstr>E15ADDB2</vt:lpstr>
      <vt:lpstr>E15ADDB3</vt:lpstr>
      <vt:lpstr>E15ADDB4</vt:lpstr>
      <vt:lpstr>E15ADDC1</vt:lpstr>
      <vt:lpstr>E15ADDC2</vt:lpstr>
      <vt:lpstr>E15ADDC3</vt:lpstr>
      <vt:lpstr>E15ADDC4</vt:lpstr>
      <vt:lpstr>E15ADDD1</vt:lpstr>
      <vt:lpstr>E15ADDD2</vt:lpstr>
      <vt:lpstr>E15ADDD3</vt:lpstr>
      <vt:lpstr>E15ADDD4</vt:lpstr>
      <vt:lpstr>E15ADDE1</vt:lpstr>
      <vt:lpstr>E15ADDE2</vt:lpstr>
      <vt:lpstr>E15ADDE3</vt:lpstr>
      <vt:lpstr>E15ADDE4</vt:lpstr>
      <vt:lpstr>E15ADDF1</vt:lpstr>
      <vt:lpstr>E15ADDF2</vt:lpstr>
      <vt:lpstr>E15ADDF3</vt:lpstr>
      <vt:lpstr>E15ADDF4</vt:lpstr>
      <vt:lpstr>E15ADDG1</vt:lpstr>
      <vt:lpstr>E15ADDG2</vt:lpstr>
      <vt:lpstr>E15ADDG3</vt:lpstr>
      <vt:lpstr>E15ADDG4</vt:lpstr>
      <vt:lpstr>E15ATransfer</vt:lpstr>
      <vt:lpstr>E15B</vt:lpstr>
      <vt:lpstr>E15BASEA1</vt:lpstr>
      <vt:lpstr>E15BASEA2</vt:lpstr>
      <vt:lpstr>E15BASEA3</vt:lpstr>
      <vt:lpstr>E15BASEA4</vt:lpstr>
      <vt:lpstr>E15BASEB1</vt:lpstr>
      <vt:lpstr>E15BASEB2</vt:lpstr>
      <vt:lpstr>E15BASEB3</vt:lpstr>
      <vt:lpstr>E15BASEB4</vt:lpstr>
      <vt:lpstr>E15BASEC1</vt:lpstr>
      <vt:lpstr>E15BASEC2</vt:lpstr>
      <vt:lpstr>E15BASEC3</vt:lpstr>
      <vt:lpstr>E15BASEC4</vt:lpstr>
      <vt:lpstr>E15BASED1</vt:lpstr>
      <vt:lpstr>E15BASED2</vt:lpstr>
      <vt:lpstr>E15BASED3</vt:lpstr>
      <vt:lpstr>E15BASED4</vt:lpstr>
      <vt:lpstr>E15BASEE1</vt:lpstr>
      <vt:lpstr>E15BASEE2</vt:lpstr>
      <vt:lpstr>E15BASEE3</vt:lpstr>
      <vt:lpstr>E15BASEE4</vt:lpstr>
      <vt:lpstr>E15BASEF1</vt:lpstr>
      <vt:lpstr>E15BASEF2</vt:lpstr>
      <vt:lpstr>E15BASEF3</vt:lpstr>
      <vt:lpstr>E15BASEF4</vt:lpstr>
      <vt:lpstr>E15BASEG1</vt:lpstr>
      <vt:lpstr>E15BASEG2</vt:lpstr>
      <vt:lpstr>E15BASEG3</vt:lpstr>
      <vt:lpstr>E15BASEG4</vt:lpstr>
      <vt:lpstr>E15C</vt:lpstr>
      <vt:lpstr>E15CommunicationFee</vt:lpstr>
      <vt:lpstr>E15DirectLaborAA45</vt:lpstr>
      <vt:lpstr>E15DirectLaborAB45</vt:lpstr>
      <vt:lpstr>E15DirectLaborAC45</vt:lpstr>
      <vt:lpstr>E15DirectLaborAD45</vt:lpstr>
      <vt:lpstr>E15DirectLaborAE45</vt:lpstr>
      <vt:lpstr>E15DirectLaborD45</vt:lpstr>
      <vt:lpstr>E15DirectLaborE45</vt:lpstr>
      <vt:lpstr>E15DirectLaborF45</vt:lpstr>
      <vt:lpstr>E15DirectLaborG45</vt:lpstr>
      <vt:lpstr>E15DirectLaborH45</vt:lpstr>
      <vt:lpstr>E15DirectLaborI45</vt:lpstr>
      <vt:lpstr>E15DirectLaborJ45</vt:lpstr>
      <vt:lpstr>E15DirectLaborK45</vt:lpstr>
      <vt:lpstr>E15DirectLaborL45</vt:lpstr>
      <vt:lpstr>E15DirectLaborM45</vt:lpstr>
      <vt:lpstr>E15DirectLaborN45</vt:lpstr>
      <vt:lpstr>E15DirectLaborO45</vt:lpstr>
      <vt:lpstr>E15DirectLaborP45</vt:lpstr>
      <vt:lpstr>E15DirectLaborQ45</vt:lpstr>
      <vt:lpstr>E15DirectLaborR45</vt:lpstr>
      <vt:lpstr>E15DirectLaborS45</vt:lpstr>
      <vt:lpstr>E15DirectLaborT45</vt:lpstr>
      <vt:lpstr>E15DirectLaborTotal</vt:lpstr>
      <vt:lpstr>E15DirectLaborU45</vt:lpstr>
      <vt:lpstr>E15DirectLaborV45</vt:lpstr>
      <vt:lpstr>E15DirectLaborW45</vt:lpstr>
      <vt:lpstr>E15DirectLaborX45</vt:lpstr>
      <vt:lpstr>E15DirectLaborY45</vt:lpstr>
      <vt:lpstr>E15DirectLaborZ45</vt:lpstr>
      <vt:lpstr>E15EndTotal</vt:lpstr>
      <vt:lpstr>E15EquipmentTotal</vt:lpstr>
      <vt:lpstr>E15ETransfer</vt:lpstr>
      <vt:lpstr>E15ExpenseTotal</vt:lpstr>
      <vt:lpstr>E15GEN</vt:lpstr>
      <vt:lpstr>E15InsuranceFee</vt:lpstr>
      <vt:lpstr>E15LaborTotal</vt:lpstr>
      <vt:lpstr>E15LabTotal</vt:lpstr>
      <vt:lpstr>E15LTransfer</vt:lpstr>
      <vt:lpstr>E15M</vt:lpstr>
      <vt:lpstr>E15MTransfer</vt:lpstr>
      <vt:lpstr>E15O</vt:lpstr>
      <vt:lpstr>E15OTHER</vt:lpstr>
      <vt:lpstr>E15OverheadAA46</vt:lpstr>
      <vt:lpstr>E15OverheadAB46</vt:lpstr>
      <vt:lpstr>E15OverheadAC46</vt:lpstr>
      <vt:lpstr>E15OverheadAD46</vt:lpstr>
      <vt:lpstr>E15OverheadAE46</vt:lpstr>
      <vt:lpstr>E15OverheadD46</vt:lpstr>
      <vt:lpstr>E15OverheadE46</vt:lpstr>
      <vt:lpstr>E15OverheadF46</vt:lpstr>
      <vt:lpstr>E15OverheadG46</vt:lpstr>
      <vt:lpstr>E15OverheadH46</vt:lpstr>
      <vt:lpstr>E15OverheadI46</vt:lpstr>
      <vt:lpstr>E15OverheadJ46</vt:lpstr>
      <vt:lpstr>E15OverheadK46</vt:lpstr>
      <vt:lpstr>E15OverheadL46</vt:lpstr>
      <vt:lpstr>E15OverheadM46</vt:lpstr>
      <vt:lpstr>E15OverheadN46</vt:lpstr>
      <vt:lpstr>E15OverheadO46</vt:lpstr>
      <vt:lpstr>E15OverheadP46</vt:lpstr>
      <vt:lpstr>E15OverheadQ46</vt:lpstr>
      <vt:lpstr>E15OverheadR46</vt:lpstr>
      <vt:lpstr>E15OverheadS46</vt:lpstr>
      <vt:lpstr>E15OverheadT46</vt:lpstr>
      <vt:lpstr>E15OverheadTotal</vt:lpstr>
      <vt:lpstr>E15OverheadU46</vt:lpstr>
      <vt:lpstr>E15OverheadV46</vt:lpstr>
      <vt:lpstr>E15OverheadW46</vt:lpstr>
      <vt:lpstr>E15OverheadX46</vt:lpstr>
      <vt:lpstr>E15OverheadY46</vt:lpstr>
      <vt:lpstr>E15OverheadZ46</vt:lpstr>
      <vt:lpstr>E15OVTransfer</vt:lpstr>
      <vt:lpstr>E15R</vt:lpstr>
      <vt:lpstr>E15RateA1Total</vt:lpstr>
      <vt:lpstr>E15RateA2Total</vt:lpstr>
      <vt:lpstr>E15RateA3Total</vt:lpstr>
      <vt:lpstr>E15RateA4Total</vt:lpstr>
      <vt:lpstr>E15RateB1Total</vt:lpstr>
      <vt:lpstr>E15RateB2Total</vt:lpstr>
      <vt:lpstr>E15RateB3Total</vt:lpstr>
      <vt:lpstr>E15RateB4Total</vt:lpstr>
      <vt:lpstr>E15RateC1Total</vt:lpstr>
      <vt:lpstr>E15RateC2Total</vt:lpstr>
      <vt:lpstr>E15RateC3Total</vt:lpstr>
      <vt:lpstr>E15RateC4Total</vt:lpstr>
      <vt:lpstr>E15RateD1Total</vt:lpstr>
      <vt:lpstr>E15RateD2Total</vt:lpstr>
      <vt:lpstr>E15RateD3Total</vt:lpstr>
      <vt:lpstr>E15RateD4Total</vt:lpstr>
      <vt:lpstr>E15RateE1Total</vt:lpstr>
      <vt:lpstr>E15RateE2Total</vt:lpstr>
      <vt:lpstr>E15RateE3Total</vt:lpstr>
      <vt:lpstr>E15RateE4Total</vt:lpstr>
      <vt:lpstr>E15RateF1Total</vt:lpstr>
      <vt:lpstr>E15RateF2Total</vt:lpstr>
      <vt:lpstr>E15RateF3Total</vt:lpstr>
      <vt:lpstr>E15RateF4Total</vt:lpstr>
      <vt:lpstr>E15RateG1Total</vt:lpstr>
      <vt:lpstr>E15RateG2Total</vt:lpstr>
      <vt:lpstr>E15RateG3Total</vt:lpstr>
      <vt:lpstr>E15RateG4Total</vt:lpstr>
      <vt:lpstr>E15REM</vt:lpstr>
      <vt:lpstr>E15RVTransfer</vt:lpstr>
      <vt:lpstr>E15S</vt:lpstr>
      <vt:lpstr>E15SI</vt:lpstr>
      <vt:lpstr>E15STransfer</vt:lpstr>
      <vt:lpstr>E15SubsTotal</vt:lpstr>
      <vt:lpstr>E15TravelTotal</vt:lpstr>
      <vt:lpstr>E15WH</vt:lpstr>
      <vt:lpstr>E16ADDA1</vt:lpstr>
      <vt:lpstr>E16ADDA2</vt:lpstr>
      <vt:lpstr>E16ADDA3</vt:lpstr>
      <vt:lpstr>E16ADDA4</vt:lpstr>
      <vt:lpstr>E16ADDB1</vt:lpstr>
      <vt:lpstr>E16ADDB2</vt:lpstr>
      <vt:lpstr>E16ADDB3</vt:lpstr>
      <vt:lpstr>E16ADDB4</vt:lpstr>
      <vt:lpstr>E16ADDC1</vt:lpstr>
      <vt:lpstr>E16ADDC2</vt:lpstr>
      <vt:lpstr>E16ADDC3</vt:lpstr>
      <vt:lpstr>E16ADDC4</vt:lpstr>
      <vt:lpstr>E16ADDD1</vt:lpstr>
      <vt:lpstr>E16ADDD2</vt:lpstr>
      <vt:lpstr>E16ADDD3</vt:lpstr>
      <vt:lpstr>E16ADDD4</vt:lpstr>
      <vt:lpstr>E16ADDE1</vt:lpstr>
      <vt:lpstr>E16ADDE2</vt:lpstr>
      <vt:lpstr>E16ADDE3</vt:lpstr>
      <vt:lpstr>E16ADDE4</vt:lpstr>
      <vt:lpstr>E16ADDF1</vt:lpstr>
      <vt:lpstr>E16ADDF2</vt:lpstr>
      <vt:lpstr>E16ADDF3</vt:lpstr>
      <vt:lpstr>E16ADDF4</vt:lpstr>
      <vt:lpstr>E16ADDG1</vt:lpstr>
      <vt:lpstr>E16ADDG2</vt:lpstr>
      <vt:lpstr>E16ADDG3</vt:lpstr>
      <vt:lpstr>E16ADDG4</vt:lpstr>
      <vt:lpstr>E16ATransfer</vt:lpstr>
      <vt:lpstr>E16B</vt:lpstr>
      <vt:lpstr>E16BASEA1</vt:lpstr>
      <vt:lpstr>E16BASEA2</vt:lpstr>
      <vt:lpstr>E16BASEA3</vt:lpstr>
      <vt:lpstr>E16BASEA4</vt:lpstr>
      <vt:lpstr>E16BASEB1</vt:lpstr>
      <vt:lpstr>E16BASEB2</vt:lpstr>
      <vt:lpstr>E16BASEB3</vt:lpstr>
      <vt:lpstr>E16BASEB4</vt:lpstr>
      <vt:lpstr>E16BASEC1</vt:lpstr>
      <vt:lpstr>E16BASEC2</vt:lpstr>
      <vt:lpstr>E16BASEC3</vt:lpstr>
      <vt:lpstr>E16BASEC4</vt:lpstr>
      <vt:lpstr>E16BASED1</vt:lpstr>
      <vt:lpstr>E16BASED2</vt:lpstr>
      <vt:lpstr>E16BASED3</vt:lpstr>
      <vt:lpstr>E16BASED4</vt:lpstr>
      <vt:lpstr>E16BASEE1</vt:lpstr>
      <vt:lpstr>E16BASEE2</vt:lpstr>
      <vt:lpstr>E16BASEE3</vt:lpstr>
      <vt:lpstr>E16BASEE4</vt:lpstr>
      <vt:lpstr>E16BASEF1</vt:lpstr>
      <vt:lpstr>E16BASEF2</vt:lpstr>
      <vt:lpstr>E16BASEF3</vt:lpstr>
      <vt:lpstr>E16BASEF4</vt:lpstr>
      <vt:lpstr>E16BASEG1</vt:lpstr>
      <vt:lpstr>E16BASEG2</vt:lpstr>
      <vt:lpstr>E16BASEG3</vt:lpstr>
      <vt:lpstr>E16BASEG4</vt:lpstr>
      <vt:lpstr>E16C</vt:lpstr>
      <vt:lpstr>E16CommunicationFee</vt:lpstr>
      <vt:lpstr>E16DirectLaborAA45</vt:lpstr>
      <vt:lpstr>E16DirectLaborAB45</vt:lpstr>
      <vt:lpstr>E16DirectLaborAC45</vt:lpstr>
      <vt:lpstr>E16DirectLaborAD45</vt:lpstr>
      <vt:lpstr>E16DirectLaborAE45</vt:lpstr>
      <vt:lpstr>E16DirectLaborD45</vt:lpstr>
      <vt:lpstr>E16DirectLaborE45</vt:lpstr>
      <vt:lpstr>E16DirectLaborF45</vt:lpstr>
      <vt:lpstr>E16DirectLaborG45</vt:lpstr>
      <vt:lpstr>E16DirectLaborH45</vt:lpstr>
      <vt:lpstr>E16DirectLaborI45</vt:lpstr>
      <vt:lpstr>E16DirectLaborJ45</vt:lpstr>
      <vt:lpstr>E16DirectLaborK45</vt:lpstr>
      <vt:lpstr>E16DirectLaborL45</vt:lpstr>
      <vt:lpstr>E16DirectLaborM45</vt:lpstr>
      <vt:lpstr>E16DirectLaborN45</vt:lpstr>
      <vt:lpstr>E16DirectLaborO45</vt:lpstr>
      <vt:lpstr>E16DirectLaborP45</vt:lpstr>
      <vt:lpstr>E16DirectLaborQ45</vt:lpstr>
      <vt:lpstr>E16DirectLaborR45</vt:lpstr>
      <vt:lpstr>E16DirectLaborS45</vt:lpstr>
      <vt:lpstr>E16DirectLaborT45</vt:lpstr>
      <vt:lpstr>E16DirectLaborTotal</vt:lpstr>
      <vt:lpstr>E16DirectLaborU45</vt:lpstr>
      <vt:lpstr>E16DirectLaborV45</vt:lpstr>
      <vt:lpstr>E16DirectLaborW45</vt:lpstr>
      <vt:lpstr>E16DirectLaborX45</vt:lpstr>
      <vt:lpstr>E16DirectLaborY45</vt:lpstr>
      <vt:lpstr>E16DirectLaborZ45</vt:lpstr>
      <vt:lpstr>E16EndTotal</vt:lpstr>
      <vt:lpstr>E16EquipmentTotal</vt:lpstr>
      <vt:lpstr>E16ETransfer</vt:lpstr>
      <vt:lpstr>E16ExpenseTotal</vt:lpstr>
      <vt:lpstr>E16GEN</vt:lpstr>
      <vt:lpstr>E16InsuranceFee</vt:lpstr>
      <vt:lpstr>E16LaborTotal</vt:lpstr>
      <vt:lpstr>E16LabTotal</vt:lpstr>
      <vt:lpstr>E16LTransfer</vt:lpstr>
      <vt:lpstr>E16M</vt:lpstr>
      <vt:lpstr>E16MTransfer</vt:lpstr>
      <vt:lpstr>E16O</vt:lpstr>
      <vt:lpstr>E16OTHER</vt:lpstr>
      <vt:lpstr>E16OverheadAA46</vt:lpstr>
      <vt:lpstr>E16OverheadAB46</vt:lpstr>
      <vt:lpstr>E16OverheadAC46</vt:lpstr>
      <vt:lpstr>E16OverheadAD46</vt:lpstr>
      <vt:lpstr>E16OverheadAE46</vt:lpstr>
      <vt:lpstr>E16OverheadD46</vt:lpstr>
      <vt:lpstr>E16OverheadE46</vt:lpstr>
      <vt:lpstr>E16OverheadF46</vt:lpstr>
      <vt:lpstr>E16OverheadG46</vt:lpstr>
      <vt:lpstr>E16OverheadH46</vt:lpstr>
      <vt:lpstr>E16OverheadI46</vt:lpstr>
      <vt:lpstr>E16OverheadJ46</vt:lpstr>
      <vt:lpstr>E16OverheadK46</vt:lpstr>
      <vt:lpstr>E16OverheadL46</vt:lpstr>
      <vt:lpstr>E16OverheadM46</vt:lpstr>
      <vt:lpstr>E16OverheadN46</vt:lpstr>
      <vt:lpstr>E16OverheadO46</vt:lpstr>
      <vt:lpstr>E16OverheadP46</vt:lpstr>
      <vt:lpstr>E16OverheadQ46</vt:lpstr>
      <vt:lpstr>E16OverheadR46</vt:lpstr>
      <vt:lpstr>E16OverheadS46</vt:lpstr>
      <vt:lpstr>E16OverheadT46</vt:lpstr>
      <vt:lpstr>E16OverheadTotal</vt:lpstr>
      <vt:lpstr>E16OverheadU46</vt:lpstr>
      <vt:lpstr>E16OverheadV46</vt:lpstr>
      <vt:lpstr>E16OverheadW46</vt:lpstr>
      <vt:lpstr>E16OverheadX46</vt:lpstr>
      <vt:lpstr>E16OverheadY46</vt:lpstr>
      <vt:lpstr>E16OverheadZ46</vt:lpstr>
      <vt:lpstr>E16OVTransfer</vt:lpstr>
      <vt:lpstr>E16R</vt:lpstr>
      <vt:lpstr>E16RateA1Total</vt:lpstr>
      <vt:lpstr>E16RateA2Total</vt:lpstr>
      <vt:lpstr>E16RateA3Total</vt:lpstr>
      <vt:lpstr>E16RateA4Total</vt:lpstr>
      <vt:lpstr>E16RateB1Total</vt:lpstr>
      <vt:lpstr>E16RateB2Total</vt:lpstr>
      <vt:lpstr>E16RateB3Total</vt:lpstr>
      <vt:lpstr>E16RateB4Total</vt:lpstr>
      <vt:lpstr>E16RateC1Total</vt:lpstr>
      <vt:lpstr>E16RateC2Total</vt:lpstr>
      <vt:lpstr>E16RateC3Total</vt:lpstr>
      <vt:lpstr>E16RateC4Total</vt:lpstr>
      <vt:lpstr>E16RateD1Total</vt:lpstr>
      <vt:lpstr>E16RateD2Total</vt:lpstr>
      <vt:lpstr>E16RateD3Total</vt:lpstr>
      <vt:lpstr>E16RateD4Total</vt:lpstr>
      <vt:lpstr>E16RateE1Total</vt:lpstr>
      <vt:lpstr>E16RateE2Total</vt:lpstr>
      <vt:lpstr>E16RateE3Total</vt:lpstr>
      <vt:lpstr>E16RateE4Total</vt:lpstr>
      <vt:lpstr>E16RateF1Total</vt:lpstr>
      <vt:lpstr>E16RateF2Total</vt:lpstr>
      <vt:lpstr>E16RateF3Total</vt:lpstr>
      <vt:lpstr>E16RateF4Total</vt:lpstr>
      <vt:lpstr>E16RateG1Total</vt:lpstr>
      <vt:lpstr>E16RateG2Total</vt:lpstr>
      <vt:lpstr>E16RateG3Total</vt:lpstr>
      <vt:lpstr>E16RateG4Total</vt:lpstr>
      <vt:lpstr>E16REM</vt:lpstr>
      <vt:lpstr>E16RVTransfer</vt:lpstr>
      <vt:lpstr>E16S</vt:lpstr>
      <vt:lpstr>E16SI</vt:lpstr>
      <vt:lpstr>E16STransfer</vt:lpstr>
      <vt:lpstr>E16SubsTotal</vt:lpstr>
      <vt:lpstr>E16TravelTotal</vt:lpstr>
      <vt:lpstr>E16WH</vt:lpstr>
      <vt:lpstr>E17ADDA1</vt:lpstr>
      <vt:lpstr>E17ADDA2</vt:lpstr>
      <vt:lpstr>E17ADDA3</vt:lpstr>
      <vt:lpstr>E17ADDA4</vt:lpstr>
      <vt:lpstr>E17ADDB1</vt:lpstr>
      <vt:lpstr>E17ADDB2</vt:lpstr>
      <vt:lpstr>E17ADDB3</vt:lpstr>
      <vt:lpstr>E17ADDB4</vt:lpstr>
      <vt:lpstr>E17ADDC1</vt:lpstr>
      <vt:lpstr>E17ADDC2</vt:lpstr>
      <vt:lpstr>E17ADDC3</vt:lpstr>
      <vt:lpstr>E17ADDC4</vt:lpstr>
      <vt:lpstr>E17ADDD1</vt:lpstr>
      <vt:lpstr>E17ADDD2</vt:lpstr>
      <vt:lpstr>E17ADDD3</vt:lpstr>
      <vt:lpstr>E17ADDD4</vt:lpstr>
      <vt:lpstr>E17ADDE1</vt:lpstr>
      <vt:lpstr>E17ADDE2</vt:lpstr>
      <vt:lpstr>E17ADDE3</vt:lpstr>
      <vt:lpstr>E17ADDE4</vt:lpstr>
      <vt:lpstr>E17ADDF1</vt:lpstr>
      <vt:lpstr>E17ADDF2</vt:lpstr>
      <vt:lpstr>E17ADDF3</vt:lpstr>
      <vt:lpstr>E17ADDF4</vt:lpstr>
      <vt:lpstr>E17ADDG1</vt:lpstr>
      <vt:lpstr>E17ADDG2</vt:lpstr>
      <vt:lpstr>E17ADDG3</vt:lpstr>
      <vt:lpstr>E17ADDG4</vt:lpstr>
      <vt:lpstr>E17ATransfer</vt:lpstr>
      <vt:lpstr>E17B</vt:lpstr>
      <vt:lpstr>E17BASEA1</vt:lpstr>
      <vt:lpstr>E17BASEA2</vt:lpstr>
      <vt:lpstr>E17BASEA3</vt:lpstr>
      <vt:lpstr>E17BASEA4</vt:lpstr>
      <vt:lpstr>E17BASEB1</vt:lpstr>
      <vt:lpstr>E17BASEB2</vt:lpstr>
      <vt:lpstr>E17BASEB3</vt:lpstr>
      <vt:lpstr>E17BASEB4</vt:lpstr>
      <vt:lpstr>E17BASEC1</vt:lpstr>
      <vt:lpstr>E17BASEC2</vt:lpstr>
      <vt:lpstr>E17BASEC3</vt:lpstr>
      <vt:lpstr>E17BASEC4</vt:lpstr>
      <vt:lpstr>E17BASED1</vt:lpstr>
      <vt:lpstr>E17BASED2</vt:lpstr>
      <vt:lpstr>E17BASED3</vt:lpstr>
      <vt:lpstr>E17BASED4</vt:lpstr>
      <vt:lpstr>E17BASEE1</vt:lpstr>
      <vt:lpstr>E17BASEE2</vt:lpstr>
      <vt:lpstr>E17BASEE3</vt:lpstr>
      <vt:lpstr>E17BASEE4</vt:lpstr>
      <vt:lpstr>E17BASEF1</vt:lpstr>
      <vt:lpstr>E17BASEF2</vt:lpstr>
      <vt:lpstr>E17BASEF3</vt:lpstr>
      <vt:lpstr>E17BASEF4</vt:lpstr>
      <vt:lpstr>E17BASEG1</vt:lpstr>
      <vt:lpstr>E17BASEG2</vt:lpstr>
      <vt:lpstr>E17BASEG3</vt:lpstr>
      <vt:lpstr>E17BASEG4</vt:lpstr>
      <vt:lpstr>E17C</vt:lpstr>
      <vt:lpstr>E17CommunicationFee</vt:lpstr>
      <vt:lpstr>E17DirectLaborAA45</vt:lpstr>
      <vt:lpstr>E17DirectLaborAB45</vt:lpstr>
      <vt:lpstr>E17DirectLaborAC45</vt:lpstr>
      <vt:lpstr>E17DirectLaborAD45</vt:lpstr>
      <vt:lpstr>E17DirectLaborAE45</vt:lpstr>
      <vt:lpstr>E17DirectLaborD45</vt:lpstr>
      <vt:lpstr>E17DirectLaborE45</vt:lpstr>
      <vt:lpstr>E17DirectLaborF45</vt:lpstr>
      <vt:lpstr>E17DirectLaborG45</vt:lpstr>
      <vt:lpstr>E17DirectLaborH45</vt:lpstr>
      <vt:lpstr>E17DirectLaborI45</vt:lpstr>
      <vt:lpstr>E17DirectLaborJ45</vt:lpstr>
      <vt:lpstr>E17DirectLaborK45</vt:lpstr>
      <vt:lpstr>E17DirectLaborL45</vt:lpstr>
      <vt:lpstr>E17DirectLaborM45</vt:lpstr>
      <vt:lpstr>E17DirectLaborN45</vt:lpstr>
      <vt:lpstr>E17DirectLaborO45</vt:lpstr>
      <vt:lpstr>E17DirectLaborP45</vt:lpstr>
      <vt:lpstr>E17DirectLaborQ45</vt:lpstr>
      <vt:lpstr>E17DirectLaborR45</vt:lpstr>
      <vt:lpstr>E17DirectLaborS45</vt:lpstr>
      <vt:lpstr>E17DirectLaborT45</vt:lpstr>
      <vt:lpstr>E17DirectLaborTotal</vt:lpstr>
      <vt:lpstr>E17DirectLaborU45</vt:lpstr>
      <vt:lpstr>E17DirectLaborV45</vt:lpstr>
      <vt:lpstr>E17DirectLaborW45</vt:lpstr>
      <vt:lpstr>E17DirectLaborX45</vt:lpstr>
      <vt:lpstr>E17DirectLaborY45</vt:lpstr>
      <vt:lpstr>E17DirectLaborZ45</vt:lpstr>
      <vt:lpstr>E17EndTotal</vt:lpstr>
      <vt:lpstr>E17EquipmentTotal</vt:lpstr>
      <vt:lpstr>E17ETransfer</vt:lpstr>
      <vt:lpstr>E17ExpenseTotal</vt:lpstr>
      <vt:lpstr>E17GEN</vt:lpstr>
      <vt:lpstr>E17InsuranceFee</vt:lpstr>
      <vt:lpstr>E17LaborTotal</vt:lpstr>
      <vt:lpstr>E17LabTotal</vt:lpstr>
      <vt:lpstr>E17LTransfer</vt:lpstr>
      <vt:lpstr>E17M</vt:lpstr>
      <vt:lpstr>E17MTransfer</vt:lpstr>
      <vt:lpstr>E17O</vt:lpstr>
      <vt:lpstr>E17OTHER</vt:lpstr>
      <vt:lpstr>E17OverheadAA46</vt:lpstr>
      <vt:lpstr>E17OverheadAB46</vt:lpstr>
      <vt:lpstr>E17OverheadAC46</vt:lpstr>
      <vt:lpstr>E17OverheadAD46</vt:lpstr>
      <vt:lpstr>E17OverheadAE46</vt:lpstr>
      <vt:lpstr>E17OverheadD46</vt:lpstr>
      <vt:lpstr>E17OverheadE46</vt:lpstr>
      <vt:lpstr>E17OverheadF46</vt:lpstr>
      <vt:lpstr>E17OverheadG46</vt:lpstr>
      <vt:lpstr>E17OverheadH46</vt:lpstr>
      <vt:lpstr>E17OverheadI46</vt:lpstr>
      <vt:lpstr>E17OverheadJ46</vt:lpstr>
      <vt:lpstr>E17OverheadK46</vt:lpstr>
      <vt:lpstr>E17OverheadL46</vt:lpstr>
      <vt:lpstr>E17OverheadM46</vt:lpstr>
      <vt:lpstr>E17OverheadN46</vt:lpstr>
      <vt:lpstr>E17OverheadO46</vt:lpstr>
      <vt:lpstr>E17OverheadP46</vt:lpstr>
      <vt:lpstr>E17OverheadQ46</vt:lpstr>
      <vt:lpstr>E17OverheadR46</vt:lpstr>
      <vt:lpstr>E17OverheadS46</vt:lpstr>
      <vt:lpstr>E17OverheadT46</vt:lpstr>
      <vt:lpstr>E17OverheadTotal</vt:lpstr>
      <vt:lpstr>E17OverheadU46</vt:lpstr>
      <vt:lpstr>E17OverheadV46</vt:lpstr>
      <vt:lpstr>E17OverheadW46</vt:lpstr>
      <vt:lpstr>E17OverheadX46</vt:lpstr>
      <vt:lpstr>E17OverheadY46</vt:lpstr>
      <vt:lpstr>E17OverheadZ46</vt:lpstr>
      <vt:lpstr>E17OVTransfer</vt:lpstr>
      <vt:lpstr>E17R</vt:lpstr>
      <vt:lpstr>E17RateA1Total</vt:lpstr>
      <vt:lpstr>E17RateA2Total</vt:lpstr>
      <vt:lpstr>E17RateA3Total</vt:lpstr>
      <vt:lpstr>E17RateA4Total</vt:lpstr>
      <vt:lpstr>E17RateB1Total</vt:lpstr>
      <vt:lpstr>E17RateB2Total</vt:lpstr>
      <vt:lpstr>E17RateB3Total</vt:lpstr>
      <vt:lpstr>E17RateB4Total</vt:lpstr>
      <vt:lpstr>E17RateC1Total</vt:lpstr>
      <vt:lpstr>E17RateC2Total</vt:lpstr>
      <vt:lpstr>E17RateC3Total</vt:lpstr>
      <vt:lpstr>E17RateC4Total</vt:lpstr>
      <vt:lpstr>E17RateD1Total</vt:lpstr>
      <vt:lpstr>E17RateD2Total</vt:lpstr>
      <vt:lpstr>E17RateD3Total</vt:lpstr>
      <vt:lpstr>E17RateD4Total</vt:lpstr>
      <vt:lpstr>E17RateE1Total</vt:lpstr>
      <vt:lpstr>E17RateE2Total</vt:lpstr>
      <vt:lpstr>E17RateE3Total</vt:lpstr>
      <vt:lpstr>E17RateE4Total</vt:lpstr>
      <vt:lpstr>E17RateF1Total</vt:lpstr>
      <vt:lpstr>E17RateF2Total</vt:lpstr>
      <vt:lpstr>E17RateF3Total</vt:lpstr>
      <vt:lpstr>E17RateF4Total</vt:lpstr>
      <vt:lpstr>E17RateG1Total</vt:lpstr>
      <vt:lpstr>E17RateG2Total</vt:lpstr>
      <vt:lpstr>E17RateG3Total</vt:lpstr>
      <vt:lpstr>E17RateG4Total</vt:lpstr>
      <vt:lpstr>E17REM</vt:lpstr>
      <vt:lpstr>E17RVTransfer</vt:lpstr>
      <vt:lpstr>E17S</vt:lpstr>
      <vt:lpstr>E17SI</vt:lpstr>
      <vt:lpstr>E17STransfer</vt:lpstr>
      <vt:lpstr>E17SubsTotal</vt:lpstr>
      <vt:lpstr>E17TravelTotal</vt:lpstr>
      <vt:lpstr>E17WH</vt:lpstr>
      <vt:lpstr>E18ADDA1</vt:lpstr>
      <vt:lpstr>E18ADDA2</vt:lpstr>
      <vt:lpstr>E18ADDA3</vt:lpstr>
      <vt:lpstr>E18ADDA4</vt:lpstr>
      <vt:lpstr>E18ADDB1</vt:lpstr>
      <vt:lpstr>E18ADDB2</vt:lpstr>
      <vt:lpstr>E18ADDB3</vt:lpstr>
      <vt:lpstr>E18ADDB4</vt:lpstr>
      <vt:lpstr>E18ADDC1</vt:lpstr>
      <vt:lpstr>E18ADDC2</vt:lpstr>
      <vt:lpstr>E18ADDC3</vt:lpstr>
      <vt:lpstr>E18ADDC4</vt:lpstr>
      <vt:lpstr>E18ADDD1</vt:lpstr>
      <vt:lpstr>E18ADDD2</vt:lpstr>
      <vt:lpstr>E18ADDD3</vt:lpstr>
      <vt:lpstr>E18ADDD4</vt:lpstr>
      <vt:lpstr>E18ADDE1</vt:lpstr>
      <vt:lpstr>E18ADDE2</vt:lpstr>
      <vt:lpstr>E18ADDE3</vt:lpstr>
      <vt:lpstr>E18ADDE4</vt:lpstr>
      <vt:lpstr>E18ADDF1</vt:lpstr>
      <vt:lpstr>E18ADDF2</vt:lpstr>
      <vt:lpstr>E18ADDF3</vt:lpstr>
      <vt:lpstr>E18ADDF4</vt:lpstr>
      <vt:lpstr>E18ADDG1</vt:lpstr>
      <vt:lpstr>E18ADDG2</vt:lpstr>
      <vt:lpstr>E18ADDG3</vt:lpstr>
      <vt:lpstr>E18ADDG4</vt:lpstr>
      <vt:lpstr>E18ATransfer</vt:lpstr>
      <vt:lpstr>E18B</vt:lpstr>
      <vt:lpstr>E18BASEA1</vt:lpstr>
      <vt:lpstr>E18BASEA2</vt:lpstr>
      <vt:lpstr>E18BASEA3</vt:lpstr>
      <vt:lpstr>E18BASEA4</vt:lpstr>
      <vt:lpstr>E18BASEB1</vt:lpstr>
      <vt:lpstr>E18BASEB2</vt:lpstr>
      <vt:lpstr>E18BASEB3</vt:lpstr>
      <vt:lpstr>E18BASEB4</vt:lpstr>
      <vt:lpstr>E18BASEC1</vt:lpstr>
      <vt:lpstr>E18BASEC2</vt:lpstr>
      <vt:lpstr>E18BASEC3</vt:lpstr>
      <vt:lpstr>E18BASEC4</vt:lpstr>
      <vt:lpstr>E18BASED1</vt:lpstr>
      <vt:lpstr>E18BASED2</vt:lpstr>
      <vt:lpstr>E18BASED3</vt:lpstr>
      <vt:lpstr>E18BASED4</vt:lpstr>
      <vt:lpstr>E18BASEE1</vt:lpstr>
      <vt:lpstr>E18BASEE2</vt:lpstr>
      <vt:lpstr>E18BASEE3</vt:lpstr>
      <vt:lpstr>E18BASEE4</vt:lpstr>
      <vt:lpstr>E18BASEF1</vt:lpstr>
      <vt:lpstr>E18BASEF2</vt:lpstr>
      <vt:lpstr>E18BASEF3</vt:lpstr>
      <vt:lpstr>E18BASEF4</vt:lpstr>
      <vt:lpstr>E18BASEG1</vt:lpstr>
      <vt:lpstr>E18BASEG2</vt:lpstr>
      <vt:lpstr>E18BASEG3</vt:lpstr>
      <vt:lpstr>E18BASEG4</vt:lpstr>
      <vt:lpstr>E18C</vt:lpstr>
      <vt:lpstr>E18CommunicationFee</vt:lpstr>
      <vt:lpstr>E18DirectLaborAA45</vt:lpstr>
      <vt:lpstr>E18DirectLaborAB45</vt:lpstr>
      <vt:lpstr>E18DirectLaborAC45</vt:lpstr>
      <vt:lpstr>E18DirectLaborAD45</vt:lpstr>
      <vt:lpstr>E18DirectLaborAE45</vt:lpstr>
      <vt:lpstr>E18DirectLaborD45</vt:lpstr>
      <vt:lpstr>E18DirectLaborE45</vt:lpstr>
      <vt:lpstr>E18DirectLaborF45</vt:lpstr>
      <vt:lpstr>E18DirectLaborG45</vt:lpstr>
      <vt:lpstr>E18DirectLaborH45</vt:lpstr>
      <vt:lpstr>E18DirectLaborI45</vt:lpstr>
      <vt:lpstr>E18DirectLaborJ45</vt:lpstr>
      <vt:lpstr>E18DirectLaborK45</vt:lpstr>
      <vt:lpstr>E18DirectLaborL45</vt:lpstr>
      <vt:lpstr>E18DirectLaborM45</vt:lpstr>
      <vt:lpstr>E18DirectLaborN45</vt:lpstr>
      <vt:lpstr>E18DirectLaborO45</vt:lpstr>
      <vt:lpstr>E18DirectLaborP45</vt:lpstr>
      <vt:lpstr>E18DirectLaborQ45</vt:lpstr>
      <vt:lpstr>E18DirectLaborR45</vt:lpstr>
      <vt:lpstr>E18DirectLaborS45</vt:lpstr>
      <vt:lpstr>E18DirectLaborT45</vt:lpstr>
      <vt:lpstr>E18DirectLaborTotal</vt:lpstr>
      <vt:lpstr>E18DirectLaborU45</vt:lpstr>
      <vt:lpstr>E18DirectLaborV45</vt:lpstr>
      <vt:lpstr>E18DirectLaborW45</vt:lpstr>
      <vt:lpstr>E18DirectLaborX45</vt:lpstr>
      <vt:lpstr>E18DirectLaborY45</vt:lpstr>
      <vt:lpstr>E18DirectLaborZ45</vt:lpstr>
      <vt:lpstr>E18EndTotal</vt:lpstr>
      <vt:lpstr>E18EquipmentTotal</vt:lpstr>
      <vt:lpstr>E18ETransfer</vt:lpstr>
      <vt:lpstr>E18ExpenseTotal</vt:lpstr>
      <vt:lpstr>E18GEN</vt:lpstr>
      <vt:lpstr>E18InsuranceFee</vt:lpstr>
      <vt:lpstr>E18LaborTotal</vt:lpstr>
      <vt:lpstr>E18LabTotal</vt:lpstr>
      <vt:lpstr>E18LTransfer</vt:lpstr>
      <vt:lpstr>E18M</vt:lpstr>
      <vt:lpstr>E18MTransfer</vt:lpstr>
      <vt:lpstr>E18O</vt:lpstr>
      <vt:lpstr>E18OTHER</vt:lpstr>
      <vt:lpstr>E18OverheadAA46</vt:lpstr>
      <vt:lpstr>E18OverheadAB46</vt:lpstr>
      <vt:lpstr>E18OverheadAC46</vt:lpstr>
      <vt:lpstr>E18OverheadAD46</vt:lpstr>
      <vt:lpstr>E18OverheadAE46</vt:lpstr>
      <vt:lpstr>E18OverheadD46</vt:lpstr>
      <vt:lpstr>E18OverheadE46</vt:lpstr>
      <vt:lpstr>E18OverheadF46</vt:lpstr>
      <vt:lpstr>E18OverheadG46</vt:lpstr>
      <vt:lpstr>E18OverheadH46</vt:lpstr>
      <vt:lpstr>E18OverheadI46</vt:lpstr>
      <vt:lpstr>E18OverheadJ46</vt:lpstr>
      <vt:lpstr>E18OverheadK46</vt:lpstr>
      <vt:lpstr>E18OverheadL46</vt:lpstr>
      <vt:lpstr>E18OverheadM46</vt:lpstr>
      <vt:lpstr>E18OverheadN46</vt:lpstr>
      <vt:lpstr>E18OverheadO46</vt:lpstr>
      <vt:lpstr>E18OverheadP46</vt:lpstr>
      <vt:lpstr>E18OverheadQ46</vt:lpstr>
      <vt:lpstr>E18OverheadR46</vt:lpstr>
      <vt:lpstr>E18OverheadS46</vt:lpstr>
      <vt:lpstr>E18OverheadT46</vt:lpstr>
      <vt:lpstr>E18OverheadTotal</vt:lpstr>
      <vt:lpstr>E18OverheadU46</vt:lpstr>
      <vt:lpstr>E18OverheadV46</vt:lpstr>
      <vt:lpstr>E18OverheadW46</vt:lpstr>
      <vt:lpstr>E18OverheadX46</vt:lpstr>
      <vt:lpstr>E18OverheadY46</vt:lpstr>
      <vt:lpstr>E18OverheadZ46</vt:lpstr>
      <vt:lpstr>E18OVTransfer</vt:lpstr>
      <vt:lpstr>E18R</vt:lpstr>
      <vt:lpstr>E18RateA1Total</vt:lpstr>
      <vt:lpstr>E18RateA2Total</vt:lpstr>
      <vt:lpstr>E18RateA3Total</vt:lpstr>
      <vt:lpstr>E18RateA4Total</vt:lpstr>
      <vt:lpstr>E18RateB1Total</vt:lpstr>
      <vt:lpstr>E18RateB2Total</vt:lpstr>
      <vt:lpstr>E18RateB3Total</vt:lpstr>
      <vt:lpstr>E18RateB4Total</vt:lpstr>
      <vt:lpstr>E18RateC1Total</vt:lpstr>
      <vt:lpstr>E18RateC2Total</vt:lpstr>
      <vt:lpstr>E18RateC3Total</vt:lpstr>
      <vt:lpstr>E18RateC4Total</vt:lpstr>
      <vt:lpstr>E18RateD1Total</vt:lpstr>
      <vt:lpstr>E18RateD2Total</vt:lpstr>
      <vt:lpstr>E18RateD3Total</vt:lpstr>
      <vt:lpstr>E18RateD4Total</vt:lpstr>
      <vt:lpstr>E18RateE1Total</vt:lpstr>
      <vt:lpstr>E18RateE2Total</vt:lpstr>
      <vt:lpstr>E18RateE3Total</vt:lpstr>
      <vt:lpstr>E18RateE4Total</vt:lpstr>
      <vt:lpstr>E18RateF1Total</vt:lpstr>
      <vt:lpstr>E18RateF2Total</vt:lpstr>
      <vt:lpstr>E18RateF3Total</vt:lpstr>
      <vt:lpstr>E18RateF4Total</vt:lpstr>
      <vt:lpstr>E18RateG1Total</vt:lpstr>
      <vt:lpstr>E18RateG2Total</vt:lpstr>
      <vt:lpstr>E18RateG3Total</vt:lpstr>
      <vt:lpstr>E18RateG4Total</vt:lpstr>
      <vt:lpstr>E18REM</vt:lpstr>
      <vt:lpstr>E18RVTransfer</vt:lpstr>
      <vt:lpstr>E18S</vt:lpstr>
      <vt:lpstr>E18SI</vt:lpstr>
      <vt:lpstr>E18STransfer</vt:lpstr>
      <vt:lpstr>E18SubsTotal</vt:lpstr>
      <vt:lpstr>E18TravelTotal</vt:lpstr>
      <vt:lpstr>E18WH</vt:lpstr>
      <vt:lpstr>E19ADDA1</vt:lpstr>
      <vt:lpstr>E19ADDA2</vt:lpstr>
      <vt:lpstr>E19ADDA3</vt:lpstr>
      <vt:lpstr>E19ADDA4</vt:lpstr>
      <vt:lpstr>E19ADDB1</vt:lpstr>
      <vt:lpstr>E19ADDB2</vt:lpstr>
      <vt:lpstr>E19ADDB3</vt:lpstr>
      <vt:lpstr>E19ADDB4</vt:lpstr>
      <vt:lpstr>E19ADDC1</vt:lpstr>
      <vt:lpstr>E19ADDC2</vt:lpstr>
      <vt:lpstr>E19ADDC3</vt:lpstr>
      <vt:lpstr>E19ADDC4</vt:lpstr>
      <vt:lpstr>E19ADDD1</vt:lpstr>
      <vt:lpstr>E19ADDD2</vt:lpstr>
      <vt:lpstr>E19ADDD3</vt:lpstr>
      <vt:lpstr>E19ADDD4</vt:lpstr>
      <vt:lpstr>E19ADDE1</vt:lpstr>
      <vt:lpstr>E19ADDE2</vt:lpstr>
      <vt:lpstr>E19ADDE3</vt:lpstr>
      <vt:lpstr>E19ADDE4</vt:lpstr>
      <vt:lpstr>E19ADDF1</vt:lpstr>
      <vt:lpstr>E19ADDF2</vt:lpstr>
      <vt:lpstr>E19ADDF3</vt:lpstr>
      <vt:lpstr>E19ADDF4</vt:lpstr>
      <vt:lpstr>E19ADDG1</vt:lpstr>
      <vt:lpstr>E19ADDG2</vt:lpstr>
      <vt:lpstr>E19ADDG3</vt:lpstr>
      <vt:lpstr>E19ADDG4</vt:lpstr>
      <vt:lpstr>E19ATransfer</vt:lpstr>
      <vt:lpstr>E19B</vt:lpstr>
      <vt:lpstr>E19BASEA1</vt:lpstr>
      <vt:lpstr>E19BASEA2</vt:lpstr>
      <vt:lpstr>E19BASEA3</vt:lpstr>
      <vt:lpstr>E19BASEA4</vt:lpstr>
      <vt:lpstr>E19BASEB1</vt:lpstr>
      <vt:lpstr>E19BASEB2</vt:lpstr>
      <vt:lpstr>E19BASEB3</vt:lpstr>
      <vt:lpstr>E19BASEB4</vt:lpstr>
      <vt:lpstr>E19BASEC1</vt:lpstr>
      <vt:lpstr>E19BASEC2</vt:lpstr>
      <vt:lpstr>E19BASEC3</vt:lpstr>
      <vt:lpstr>E19BASEC4</vt:lpstr>
      <vt:lpstr>E19BASED1</vt:lpstr>
      <vt:lpstr>E19BASED2</vt:lpstr>
      <vt:lpstr>E19BASED3</vt:lpstr>
      <vt:lpstr>E19BASED4</vt:lpstr>
      <vt:lpstr>E19BASEE1</vt:lpstr>
      <vt:lpstr>E19BASEE2</vt:lpstr>
      <vt:lpstr>E19BASEE3</vt:lpstr>
      <vt:lpstr>E19BASEE4</vt:lpstr>
      <vt:lpstr>E19BASEF1</vt:lpstr>
      <vt:lpstr>E19BASEF2</vt:lpstr>
      <vt:lpstr>E19BASEF3</vt:lpstr>
      <vt:lpstr>E19BASEF4</vt:lpstr>
      <vt:lpstr>E19BASEG1</vt:lpstr>
      <vt:lpstr>E19BASEG2</vt:lpstr>
      <vt:lpstr>E19BASEG3</vt:lpstr>
      <vt:lpstr>E19BASEG4</vt:lpstr>
      <vt:lpstr>E19C</vt:lpstr>
      <vt:lpstr>E19CommunicationFee</vt:lpstr>
      <vt:lpstr>E19DirectLaborAA45</vt:lpstr>
      <vt:lpstr>E19DirectLaborAB45</vt:lpstr>
      <vt:lpstr>E19DirectLaborAC45</vt:lpstr>
      <vt:lpstr>E19DirectLaborAD45</vt:lpstr>
      <vt:lpstr>E19DirectLaborAE45</vt:lpstr>
      <vt:lpstr>E19DirectLaborD45</vt:lpstr>
      <vt:lpstr>E19DirectLaborE45</vt:lpstr>
      <vt:lpstr>E19DirectLaborF45</vt:lpstr>
      <vt:lpstr>E19DirectLaborG45</vt:lpstr>
      <vt:lpstr>E19DirectLaborH45</vt:lpstr>
      <vt:lpstr>E19DirectLaborI45</vt:lpstr>
      <vt:lpstr>E19DirectLaborJ45</vt:lpstr>
      <vt:lpstr>E19DirectLaborK45</vt:lpstr>
      <vt:lpstr>E19DirectLaborL45</vt:lpstr>
      <vt:lpstr>E19DirectLaborM45</vt:lpstr>
      <vt:lpstr>E19DirectLaborN45</vt:lpstr>
      <vt:lpstr>E19DirectLaborO45</vt:lpstr>
      <vt:lpstr>E19DirectLaborP45</vt:lpstr>
      <vt:lpstr>E19DirectLaborQ45</vt:lpstr>
      <vt:lpstr>E19DirectLaborR45</vt:lpstr>
      <vt:lpstr>E19DirectLaborS45</vt:lpstr>
      <vt:lpstr>E19DirectLaborT45</vt:lpstr>
      <vt:lpstr>E19DirectLaborTotal</vt:lpstr>
      <vt:lpstr>E19DirectLaborU45</vt:lpstr>
      <vt:lpstr>E19DirectLaborV45</vt:lpstr>
      <vt:lpstr>E19DirectLaborW45</vt:lpstr>
      <vt:lpstr>E19DirectLaborX45</vt:lpstr>
      <vt:lpstr>E19DirectLaborY45</vt:lpstr>
      <vt:lpstr>E19DirectLaborZ45</vt:lpstr>
      <vt:lpstr>E19EndTotal</vt:lpstr>
      <vt:lpstr>E19EquipmentTotal</vt:lpstr>
      <vt:lpstr>E19ETransfer</vt:lpstr>
      <vt:lpstr>E19ExpenseTotal</vt:lpstr>
      <vt:lpstr>E19GEN</vt:lpstr>
      <vt:lpstr>E19InsuranceFee</vt:lpstr>
      <vt:lpstr>E19LaborTotal</vt:lpstr>
      <vt:lpstr>E19LabTotal</vt:lpstr>
      <vt:lpstr>E19LTransfer</vt:lpstr>
      <vt:lpstr>E19M</vt:lpstr>
      <vt:lpstr>E19MTransfer</vt:lpstr>
      <vt:lpstr>E19O</vt:lpstr>
      <vt:lpstr>E19OTHER</vt:lpstr>
      <vt:lpstr>E19OverheadAA46</vt:lpstr>
      <vt:lpstr>E19OverheadAB46</vt:lpstr>
      <vt:lpstr>E19OverheadAC46</vt:lpstr>
      <vt:lpstr>E19OverheadAD46</vt:lpstr>
      <vt:lpstr>E19OverheadAE46</vt:lpstr>
      <vt:lpstr>E19OverheadD46</vt:lpstr>
      <vt:lpstr>E19OverheadE46</vt:lpstr>
      <vt:lpstr>E19OverheadF46</vt:lpstr>
      <vt:lpstr>E19OverheadG46</vt:lpstr>
      <vt:lpstr>E19OverheadH46</vt:lpstr>
      <vt:lpstr>E19OverheadI46</vt:lpstr>
      <vt:lpstr>E19OverheadJ46</vt:lpstr>
      <vt:lpstr>E19OverheadK46</vt:lpstr>
      <vt:lpstr>E19OverheadL46</vt:lpstr>
      <vt:lpstr>E19OverheadM46</vt:lpstr>
      <vt:lpstr>E19OverheadN46</vt:lpstr>
      <vt:lpstr>E19OverheadO46</vt:lpstr>
      <vt:lpstr>E19OverheadP46</vt:lpstr>
      <vt:lpstr>E19OverheadQ46</vt:lpstr>
      <vt:lpstr>E19OverheadR46</vt:lpstr>
      <vt:lpstr>E19OverheadS46</vt:lpstr>
      <vt:lpstr>E19OverheadT46</vt:lpstr>
      <vt:lpstr>E19OverheadTotal</vt:lpstr>
      <vt:lpstr>E19OverheadU46</vt:lpstr>
      <vt:lpstr>E19OverheadV46</vt:lpstr>
      <vt:lpstr>E19OverheadW46</vt:lpstr>
      <vt:lpstr>E19OverheadX46</vt:lpstr>
      <vt:lpstr>E19OverheadY46</vt:lpstr>
      <vt:lpstr>E19OverheadZ46</vt:lpstr>
      <vt:lpstr>E19OVTransfer</vt:lpstr>
      <vt:lpstr>E19R</vt:lpstr>
      <vt:lpstr>E19RateA1Total</vt:lpstr>
      <vt:lpstr>E19RateA2Total</vt:lpstr>
      <vt:lpstr>E19RateA3Total</vt:lpstr>
      <vt:lpstr>E19RateA4Total</vt:lpstr>
      <vt:lpstr>E19RateB1Total</vt:lpstr>
      <vt:lpstr>E19RateB2Total</vt:lpstr>
      <vt:lpstr>E19RateB3Total</vt:lpstr>
      <vt:lpstr>E19RateB4Total</vt:lpstr>
      <vt:lpstr>E19RateC1Total</vt:lpstr>
      <vt:lpstr>E19RateC2Total</vt:lpstr>
      <vt:lpstr>E19RateC3Total</vt:lpstr>
      <vt:lpstr>E19RateC4Total</vt:lpstr>
      <vt:lpstr>E19RateD1Total</vt:lpstr>
      <vt:lpstr>E19RateD2Total</vt:lpstr>
      <vt:lpstr>E19RateD3Total</vt:lpstr>
      <vt:lpstr>E19RateD4Total</vt:lpstr>
      <vt:lpstr>E19RateE1Total</vt:lpstr>
      <vt:lpstr>E19RateE2Total</vt:lpstr>
      <vt:lpstr>E19RateE3Total</vt:lpstr>
      <vt:lpstr>E19RateE4Total</vt:lpstr>
      <vt:lpstr>E19RateF1Total</vt:lpstr>
      <vt:lpstr>E19RateF2Total</vt:lpstr>
      <vt:lpstr>E19RateF3Total</vt:lpstr>
      <vt:lpstr>E19RateF4Total</vt:lpstr>
      <vt:lpstr>E19RateG1Total</vt:lpstr>
      <vt:lpstr>E19RateG2Total</vt:lpstr>
      <vt:lpstr>E19RateG3Total</vt:lpstr>
      <vt:lpstr>E19RateG4Total</vt:lpstr>
      <vt:lpstr>E19REM</vt:lpstr>
      <vt:lpstr>E19RVTransfer</vt:lpstr>
      <vt:lpstr>E19S</vt:lpstr>
      <vt:lpstr>E19SI</vt:lpstr>
      <vt:lpstr>E19STransfer</vt:lpstr>
      <vt:lpstr>E19SubsTotal</vt:lpstr>
      <vt:lpstr>E19TravelTotal</vt:lpstr>
      <vt:lpstr>E19WH</vt:lpstr>
      <vt:lpstr>E1ADDA1</vt:lpstr>
      <vt:lpstr>E1ADDA2</vt:lpstr>
      <vt:lpstr>E1ADDA3</vt:lpstr>
      <vt:lpstr>E1ADDA4</vt:lpstr>
      <vt:lpstr>E1ADDB1</vt:lpstr>
      <vt:lpstr>E1ADDB2</vt:lpstr>
      <vt:lpstr>E1ADDB3</vt:lpstr>
      <vt:lpstr>E1ADDB4</vt:lpstr>
      <vt:lpstr>E1ADDC1</vt:lpstr>
      <vt:lpstr>E1ADDC2</vt:lpstr>
      <vt:lpstr>E1ADDC3</vt:lpstr>
      <vt:lpstr>E1ADDC4</vt:lpstr>
      <vt:lpstr>E1ADDD1</vt:lpstr>
      <vt:lpstr>E1ADDD2</vt:lpstr>
      <vt:lpstr>E1ADDD3</vt:lpstr>
      <vt:lpstr>E1ADDD4</vt:lpstr>
      <vt:lpstr>E1ADDE1</vt:lpstr>
      <vt:lpstr>E1ADDE2</vt:lpstr>
      <vt:lpstr>E1ADDE3</vt:lpstr>
      <vt:lpstr>E1ADDE4</vt:lpstr>
      <vt:lpstr>E1ADDF1</vt:lpstr>
      <vt:lpstr>E1ADDF2</vt:lpstr>
      <vt:lpstr>E1ADDF3</vt:lpstr>
      <vt:lpstr>E1ADDF4</vt:lpstr>
      <vt:lpstr>E1ADDG1</vt:lpstr>
      <vt:lpstr>E1ADDG2</vt:lpstr>
      <vt:lpstr>E1ADDG3</vt:lpstr>
      <vt:lpstr>E1ADDG4</vt:lpstr>
      <vt:lpstr>E1AllDLProbitabilityTotal</vt:lpstr>
      <vt:lpstr>E1AllExpenses</vt:lpstr>
      <vt:lpstr>E1AllOvProbitabilityTotal</vt:lpstr>
      <vt:lpstr>E1ATransfer</vt:lpstr>
      <vt:lpstr>E1B</vt:lpstr>
      <vt:lpstr>E1BASEA1</vt:lpstr>
      <vt:lpstr>E1BASEA2</vt:lpstr>
      <vt:lpstr>E1BASEA3</vt:lpstr>
      <vt:lpstr>E1BASEA4</vt:lpstr>
      <vt:lpstr>E1BASEB1</vt:lpstr>
      <vt:lpstr>E1BASEB2</vt:lpstr>
      <vt:lpstr>E1BASEB3</vt:lpstr>
      <vt:lpstr>E1BASEB4</vt:lpstr>
      <vt:lpstr>E1BASEC1</vt:lpstr>
      <vt:lpstr>E1BASEC2</vt:lpstr>
      <vt:lpstr>E1BASEC3</vt:lpstr>
      <vt:lpstr>E1BASEC4</vt:lpstr>
      <vt:lpstr>E1BASED1</vt:lpstr>
      <vt:lpstr>E1BASED2</vt:lpstr>
      <vt:lpstr>E1BASED3</vt:lpstr>
      <vt:lpstr>E1BASED4</vt:lpstr>
      <vt:lpstr>E1BASEE1</vt:lpstr>
      <vt:lpstr>E1BASEE2</vt:lpstr>
      <vt:lpstr>E1BASEE3</vt:lpstr>
      <vt:lpstr>E1BASEE4</vt:lpstr>
      <vt:lpstr>E1BASEF1</vt:lpstr>
      <vt:lpstr>E1BASEF2</vt:lpstr>
      <vt:lpstr>E1BASEF3</vt:lpstr>
      <vt:lpstr>E1BASEF4</vt:lpstr>
      <vt:lpstr>E1BASEG1</vt:lpstr>
      <vt:lpstr>E1BASEG2</vt:lpstr>
      <vt:lpstr>E1BASEG3</vt:lpstr>
      <vt:lpstr>E1BASEG4</vt:lpstr>
      <vt:lpstr>E1C</vt:lpstr>
      <vt:lpstr>E1DirectLaborAA48</vt:lpstr>
      <vt:lpstr>E1DirectLaborAB48</vt:lpstr>
      <vt:lpstr>E1DirectLaborAC48</vt:lpstr>
      <vt:lpstr>E1DirectLaborAD48</vt:lpstr>
      <vt:lpstr>E1DirectLaborAE48</vt:lpstr>
      <vt:lpstr>E1DirectLaborD48</vt:lpstr>
      <vt:lpstr>E1DirectLaborE48</vt:lpstr>
      <vt:lpstr>E1DirectLaborF48</vt:lpstr>
      <vt:lpstr>E1DirectLaborG48</vt:lpstr>
      <vt:lpstr>E1DirectLaborH48</vt:lpstr>
      <vt:lpstr>E1DirectLaborI48</vt:lpstr>
      <vt:lpstr>E1DirectLaborJ48</vt:lpstr>
      <vt:lpstr>E1DirectLaborK48</vt:lpstr>
      <vt:lpstr>E1DirectLaborL48</vt:lpstr>
      <vt:lpstr>E1DirectLaborM48</vt:lpstr>
      <vt:lpstr>E1DirectLaborN48</vt:lpstr>
      <vt:lpstr>E1DirectLaborO48</vt:lpstr>
      <vt:lpstr>E1DirectLaborP48</vt:lpstr>
      <vt:lpstr>E1DirectLaborQ48</vt:lpstr>
      <vt:lpstr>E1DirectLaborR48</vt:lpstr>
      <vt:lpstr>E1DirectLaborS48</vt:lpstr>
      <vt:lpstr>E1DirectLaborT48</vt:lpstr>
      <vt:lpstr>E1DirectLaborTotal</vt:lpstr>
      <vt:lpstr>E1DirectLaborU48</vt:lpstr>
      <vt:lpstr>E1DirectLaborV48</vt:lpstr>
      <vt:lpstr>E1DirectLaborW48</vt:lpstr>
      <vt:lpstr>E1DirectLaborX48</vt:lpstr>
      <vt:lpstr>E1DirectLaborY48</vt:lpstr>
      <vt:lpstr>E1DirectLaborZ48</vt:lpstr>
      <vt:lpstr>E1Dropdown</vt:lpstr>
      <vt:lpstr>E1EquipmentTotal</vt:lpstr>
      <vt:lpstr>E1ETransfer</vt:lpstr>
      <vt:lpstr>E1ExpenseTotal</vt:lpstr>
      <vt:lpstr>E1GEN</vt:lpstr>
      <vt:lpstr>E1IncludeExpenses</vt:lpstr>
      <vt:lpstr>E1IncludeLab</vt:lpstr>
      <vt:lpstr>E1IncludeLabor</vt:lpstr>
      <vt:lpstr>E1IncludeProcure</vt:lpstr>
      <vt:lpstr>E1IncludeSubs</vt:lpstr>
      <vt:lpstr>E1LaborTotal</vt:lpstr>
      <vt:lpstr>E1LabTotal</vt:lpstr>
      <vt:lpstr>E1LTransfer</vt:lpstr>
      <vt:lpstr>E1M</vt:lpstr>
      <vt:lpstr>E1MTransfer</vt:lpstr>
      <vt:lpstr>E1O</vt:lpstr>
      <vt:lpstr>E1OTHER</vt:lpstr>
      <vt:lpstr>E1OverheadAA49</vt:lpstr>
      <vt:lpstr>E1OverheadAB49</vt:lpstr>
      <vt:lpstr>E1OverheadAC49</vt:lpstr>
      <vt:lpstr>E1OverheadAD49</vt:lpstr>
      <vt:lpstr>E1OverheadAE49</vt:lpstr>
      <vt:lpstr>E1OverheadD49</vt:lpstr>
      <vt:lpstr>E1OverheadE49</vt:lpstr>
      <vt:lpstr>E1OverheadF49</vt:lpstr>
      <vt:lpstr>E1OverheadG49</vt:lpstr>
      <vt:lpstr>E1OverheadH49</vt:lpstr>
      <vt:lpstr>E1OverheadI49</vt:lpstr>
      <vt:lpstr>E1OverheadJ49</vt:lpstr>
      <vt:lpstr>E1OverheadK49</vt:lpstr>
      <vt:lpstr>E1OverheadL49</vt:lpstr>
      <vt:lpstr>E1OverheadM49</vt:lpstr>
      <vt:lpstr>E1OverheadN49</vt:lpstr>
      <vt:lpstr>E1OverheadO49</vt:lpstr>
      <vt:lpstr>E1OverheadP49</vt:lpstr>
      <vt:lpstr>E1OverheadQ49</vt:lpstr>
      <vt:lpstr>E1OverheadR49</vt:lpstr>
      <vt:lpstr>E1OverheadS49</vt:lpstr>
      <vt:lpstr>E1OverheadT49</vt:lpstr>
      <vt:lpstr>E1OverheadTotal</vt:lpstr>
      <vt:lpstr>E1OverheadU49</vt:lpstr>
      <vt:lpstr>E1OverheadV49</vt:lpstr>
      <vt:lpstr>E1OverheadW49</vt:lpstr>
      <vt:lpstr>E1OverheadX49</vt:lpstr>
      <vt:lpstr>E1OverheadY49</vt:lpstr>
      <vt:lpstr>E1OverheadZ49</vt:lpstr>
      <vt:lpstr>E1OVTransfer</vt:lpstr>
      <vt:lpstr>E1R</vt:lpstr>
      <vt:lpstr>E1RateA1Total</vt:lpstr>
      <vt:lpstr>E1RateA2Total</vt:lpstr>
      <vt:lpstr>E1RateA3Total</vt:lpstr>
      <vt:lpstr>E1RateA4Total</vt:lpstr>
      <vt:lpstr>E1RateB1Total</vt:lpstr>
      <vt:lpstr>E1RateB2Total</vt:lpstr>
      <vt:lpstr>E1RateB3Total</vt:lpstr>
      <vt:lpstr>E1RateB4Total</vt:lpstr>
      <vt:lpstr>E1RateC1Total</vt:lpstr>
      <vt:lpstr>E1RateC2Total</vt:lpstr>
      <vt:lpstr>E1RateC3Total</vt:lpstr>
      <vt:lpstr>E1RateC4Total</vt:lpstr>
      <vt:lpstr>E1RateD1Total</vt:lpstr>
      <vt:lpstr>E1RateD2Total</vt:lpstr>
      <vt:lpstr>E1RateD3Total</vt:lpstr>
      <vt:lpstr>E1RateD4Total</vt:lpstr>
      <vt:lpstr>E1RateE1Total</vt:lpstr>
      <vt:lpstr>E1RateE2Total</vt:lpstr>
      <vt:lpstr>E1RateE3Total</vt:lpstr>
      <vt:lpstr>E1Ratee4Total</vt:lpstr>
      <vt:lpstr>E1RateF1Total</vt:lpstr>
      <vt:lpstr>E1RateF2Total</vt:lpstr>
      <vt:lpstr>E1RateF3Total</vt:lpstr>
      <vt:lpstr>E1Ratef4Total</vt:lpstr>
      <vt:lpstr>E1RateG1Total</vt:lpstr>
      <vt:lpstr>E1RateG2Total</vt:lpstr>
      <vt:lpstr>E1RateG3Total</vt:lpstr>
      <vt:lpstr>E1RateG4Total</vt:lpstr>
      <vt:lpstr>E1REM</vt:lpstr>
      <vt:lpstr>E1RVTransfer</vt:lpstr>
      <vt:lpstr>E1S</vt:lpstr>
      <vt:lpstr>E1SI</vt:lpstr>
      <vt:lpstr>E1STransfer</vt:lpstr>
      <vt:lpstr>E1SubsTotal</vt:lpstr>
      <vt:lpstr>E1TDropdowns</vt:lpstr>
      <vt:lpstr>E1TravelTotal</vt:lpstr>
      <vt:lpstr>E1UnitsMirror</vt:lpstr>
      <vt:lpstr>E1WH</vt:lpstr>
      <vt:lpstr>E20ADDA1</vt:lpstr>
      <vt:lpstr>E20ADDA2</vt:lpstr>
      <vt:lpstr>E20ADDA3</vt:lpstr>
      <vt:lpstr>E20ADDA4</vt:lpstr>
      <vt:lpstr>E20ADDB1</vt:lpstr>
      <vt:lpstr>E20ADDB2</vt:lpstr>
      <vt:lpstr>E20ADDB3</vt:lpstr>
      <vt:lpstr>E20ADDB4</vt:lpstr>
      <vt:lpstr>E20ADDC1</vt:lpstr>
      <vt:lpstr>E20ADDC2</vt:lpstr>
      <vt:lpstr>E20ADDC3</vt:lpstr>
      <vt:lpstr>E20ADDC4</vt:lpstr>
      <vt:lpstr>E20ADDD1</vt:lpstr>
      <vt:lpstr>E20ADDD2</vt:lpstr>
      <vt:lpstr>E20ADDD3</vt:lpstr>
      <vt:lpstr>E20ADDD4</vt:lpstr>
      <vt:lpstr>E20ADDE1</vt:lpstr>
      <vt:lpstr>E20ADDE2</vt:lpstr>
      <vt:lpstr>E20ADDE3</vt:lpstr>
      <vt:lpstr>E20ADDE4</vt:lpstr>
      <vt:lpstr>E20ADDF1</vt:lpstr>
      <vt:lpstr>E20ADDF2</vt:lpstr>
      <vt:lpstr>E20ADDF3</vt:lpstr>
      <vt:lpstr>E20ADDF4</vt:lpstr>
      <vt:lpstr>E20ADDG1</vt:lpstr>
      <vt:lpstr>E20ADDG2</vt:lpstr>
      <vt:lpstr>E20ADDG3</vt:lpstr>
      <vt:lpstr>E20ADDG4</vt:lpstr>
      <vt:lpstr>E20ATransfer</vt:lpstr>
      <vt:lpstr>E20B</vt:lpstr>
      <vt:lpstr>E20BASEA1</vt:lpstr>
      <vt:lpstr>E20BASEA2</vt:lpstr>
      <vt:lpstr>E20BASEA3</vt:lpstr>
      <vt:lpstr>E20BASEA4</vt:lpstr>
      <vt:lpstr>E20BASEB1</vt:lpstr>
      <vt:lpstr>E20BASEB2</vt:lpstr>
      <vt:lpstr>E20BASEB3</vt:lpstr>
      <vt:lpstr>E20BASEB4</vt:lpstr>
      <vt:lpstr>E20BASEC1</vt:lpstr>
      <vt:lpstr>E20BASEC2</vt:lpstr>
      <vt:lpstr>E20BASEC3</vt:lpstr>
      <vt:lpstr>E20BASEC4</vt:lpstr>
      <vt:lpstr>E20BASED1</vt:lpstr>
      <vt:lpstr>E20BASED2</vt:lpstr>
      <vt:lpstr>E20BASED3</vt:lpstr>
      <vt:lpstr>E20BASED4</vt:lpstr>
      <vt:lpstr>E20BASEE1</vt:lpstr>
      <vt:lpstr>E20BASEE2</vt:lpstr>
      <vt:lpstr>E20BASEE3</vt:lpstr>
      <vt:lpstr>E20BASEE4</vt:lpstr>
      <vt:lpstr>E20BASEF1</vt:lpstr>
      <vt:lpstr>E20BASEF2</vt:lpstr>
      <vt:lpstr>E20BASEF3</vt:lpstr>
      <vt:lpstr>E20BASEF4</vt:lpstr>
      <vt:lpstr>E20BASEG1</vt:lpstr>
      <vt:lpstr>E20BASEG2</vt:lpstr>
      <vt:lpstr>E20BASEG3</vt:lpstr>
      <vt:lpstr>E20BASEG4</vt:lpstr>
      <vt:lpstr>E20C</vt:lpstr>
      <vt:lpstr>E20CommunicationFee</vt:lpstr>
      <vt:lpstr>E20DirectLaborAA45</vt:lpstr>
      <vt:lpstr>E20DirectLaborAB45</vt:lpstr>
      <vt:lpstr>E20DirectLaborAC45</vt:lpstr>
      <vt:lpstr>E20DirectLaborAD45</vt:lpstr>
      <vt:lpstr>E20DirectLaborAE45</vt:lpstr>
      <vt:lpstr>E20DirectLaborD45</vt:lpstr>
      <vt:lpstr>E20DirectLaborE45</vt:lpstr>
      <vt:lpstr>E20DirectLaborF45</vt:lpstr>
      <vt:lpstr>E20DirectLaborG45</vt:lpstr>
      <vt:lpstr>E20DirectLaborH45</vt:lpstr>
      <vt:lpstr>E20DirectLaborI45</vt:lpstr>
      <vt:lpstr>E20DirectLaborJ45</vt:lpstr>
      <vt:lpstr>E20DirectLaborK45</vt:lpstr>
      <vt:lpstr>E20DirectLaborL45</vt:lpstr>
      <vt:lpstr>E20DirectLaborM45</vt:lpstr>
      <vt:lpstr>E20DirectLaborN45</vt:lpstr>
      <vt:lpstr>E20DirectLaborO45</vt:lpstr>
      <vt:lpstr>E20DirectLaborP45</vt:lpstr>
      <vt:lpstr>E20DirectLaborQ45</vt:lpstr>
      <vt:lpstr>E20DirectLaborR45</vt:lpstr>
      <vt:lpstr>E20DirectLaborS45</vt:lpstr>
      <vt:lpstr>E20DirectLaborT45</vt:lpstr>
      <vt:lpstr>E20DirectLaborTotal</vt:lpstr>
      <vt:lpstr>E20DirectLaborU45</vt:lpstr>
      <vt:lpstr>E20DirectLaborV45</vt:lpstr>
      <vt:lpstr>E20DirectLaborW45</vt:lpstr>
      <vt:lpstr>E20DirectLaborX45</vt:lpstr>
      <vt:lpstr>E20DirectLaborY45</vt:lpstr>
      <vt:lpstr>E20DirectLaborZ45</vt:lpstr>
      <vt:lpstr>E20EndTotal</vt:lpstr>
      <vt:lpstr>E20EquipmentTotal</vt:lpstr>
      <vt:lpstr>E20ETransfer</vt:lpstr>
      <vt:lpstr>E20ExpenseTotal</vt:lpstr>
      <vt:lpstr>E20GEN</vt:lpstr>
      <vt:lpstr>E20InsuranceFee</vt:lpstr>
      <vt:lpstr>E20LaborTotal</vt:lpstr>
      <vt:lpstr>E20LabTotal</vt:lpstr>
      <vt:lpstr>E20LTransfer</vt:lpstr>
      <vt:lpstr>E20M</vt:lpstr>
      <vt:lpstr>E20MTransfer</vt:lpstr>
      <vt:lpstr>E20O</vt:lpstr>
      <vt:lpstr>E20OTHER</vt:lpstr>
      <vt:lpstr>E20OverheadAA46</vt:lpstr>
      <vt:lpstr>E20OverheadAB46</vt:lpstr>
      <vt:lpstr>E20OverheadAC46</vt:lpstr>
      <vt:lpstr>E20OverheadAD46</vt:lpstr>
      <vt:lpstr>E20OverheadAE46</vt:lpstr>
      <vt:lpstr>E20OverheadD46</vt:lpstr>
      <vt:lpstr>E20OverheadE46</vt:lpstr>
      <vt:lpstr>E20OverheadF46</vt:lpstr>
      <vt:lpstr>E20OverheadG46</vt:lpstr>
      <vt:lpstr>E20OverheadH46</vt:lpstr>
      <vt:lpstr>E20OverheadI46</vt:lpstr>
      <vt:lpstr>E20OverheadJ46</vt:lpstr>
      <vt:lpstr>E20OverheadK46</vt:lpstr>
      <vt:lpstr>E20OverheadL46</vt:lpstr>
      <vt:lpstr>E20OverheadM46</vt:lpstr>
      <vt:lpstr>E20OverheadN46</vt:lpstr>
      <vt:lpstr>E20OverheadO46</vt:lpstr>
      <vt:lpstr>E20OverheadP46</vt:lpstr>
      <vt:lpstr>E20OverheadQ46</vt:lpstr>
      <vt:lpstr>E20OverheadR46</vt:lpstr>
      <vt:lpstr>E20OverheadS46</vt:lpstr>
      <vt:lpstr>E20OverheadT46</vt:lpstr>
      <vt:lpstr>E20OverheadTotal</vt:lpstr>
      <vt:lpstr>E20OverheadU46</vt:lpstr>
      <vt:lpstr>E20OverheadV46</vt:lpstr>
      <vt:lpstr>E20OverheadW46</vt:lpstr>
      <vt:lpstr>E20OverheadX46</vt:lpstr>
      <vt:lpstr>E20OverheadY46</vt:lpstr>
      <vt:lpstr>E20OverheadZ46</vt:lpstr>
      <vt:lpstr>E20OVTransfer</vt:lpstr>
      <vt:lpstr>E20R</vt:lpstr>
      <vt:lpstr>E20RateA1Total</vt:lpstr>
      <vt:lpstr>E20RateA2Total</vt:lpstr>
      <vt:lpstr>E20RateA3Total</vt:lpstr>
      <vt:lpstr>E20RateA4Total</vt:lpstr>
      <vt:lpstr>E20RateB1Total</vt:lpstr>
      <vt:lpstr>E20RateB2Total</vt:lpstr>
      <vt:lpstr>E20RateB3Total</vt:lpstr>
      <vt:lpstr>E20RateB4Total</vt:lpstr>
      <vt:lpstr>E20RateC1Total</vt:lpstr>
      <vt:lpstr>E20RateC2Total</vt:lpstr>
      <vt:lpstr>E20RateC3Total</vt:lpstr>
      <vt:lpstr>E20RateC4Total</vt:lpstr>
      <vt:lpstr>E20RateD1Total</vt:lpstr>
      <vt:lpstr>E20RateD2Total</vt:lpstr>
      <vt:lpstr>E20RateD3Total</vt:lpstr>
      <vt:lpstr>E20RateD4Total</vt:lpstr>
      <vt:lpstr>E20RateE1Total</vt:lpstr>
      <vt:lpstr>E20RateE2Total</vt:lpstr>
      <vt:lpstr>E20RateE3Total</vt:lpstr>
      <vt:lpstr>E20RateE4Total</vt:lpstr>
      <vt:lpstr>E20RateF1Total</vt:lpstr>
      <vt:lpstr>E20RateF2Total</vt:lpstr>
      <vt:lpstr>E20RateF3Total</vt:lpstr>
      <vt:lpstr>E20RateF4Total</vt:lpstr>
      <vt:lpstr>E20RateG1Total</vt:lpstr>
      <vt:lpstr>E20RateG2Total</vt:lpstr>
      <vt:lpstr>E20RateG3Total</vt:lpstr>
      <vt:lpstr>E20RateG4Total</vt:lpstr>
      <vt:lpstr>E20REM</vt:lpstr>
      <vt:lpstr>E20RVTransfer</vt:lpstr>
      <vt:lpstr>E20S</vt:lpstr>
      <vt:lpstr>E20SI</vt:lpstr>
      <vt:lpstr>E20STransfer</vt:lpstr>
      <vt:lpstr>E20SubsTotal</vt:lpstr>
      <vt:lpstr>E20TravelTotal</vt:lpstr>
      <vt:lpstr>E20WH</vt:lpstr>
      <vt:lpstr>E2ADDA1</vt:lpstr>
      <vt:lpstr>E2ADDA2</vt:lpstr>
      <vt:lpstr>E2ADDA3</vt:lpstr>
      <vt:lpstr>E2ADDA4</vt:lpstr>
      <vt:lpstr>E2ADDB1</vt:lpstr>
      <vt:lpstr>E2ADDB2</vt:lpstr>
      <vt:lpstr>E2ADDB3</vt:lpstr>
      <vt:lpstr>E2ADDB4</vt:lpstr>
      <vt:lpstr>E2ADDC1</vt:lpstr>
      <vt:lpstr>E2ADDC2</vt:lpstr>
      <vt:lpstr>E2ADDC3</vt:lpstr>
      <vt:lpstr>E2ADDC4</vt:lpstr>
      <vt:lpstr>E2ADDD1</vt:lpstr>
      <vt:lpstr>E2ADDD2</vt:lpstr>
      <vt:lpstr>E2ADDD3</vt:lpstr>
      <vt:lpstr>E2ADDD4</vt:lpstr>
      <vt:lpstr>E2ADDE1</vt:lpstr>
      <vt:lpstr>E2ADDE2</vt:lpstr>
      <vt:lpstr>E2ADDE3</vt:lpstr>
      <vt:lpstr>E2ADDe4</vt:lpstr>
      <vt:lpstr>E2ADDF1</vt:lpstr>
      <vt:lpstr>E2ADDF2</vt:lpstr>
      <vt:lpstr>E2ADDF3</vt:lpstr>
      <vt:lpstr>E2ADDF4</vt:lpstr>
      <vt:lpstr>E2ADDG1</vt:lpstr>
      <vt:lpstr>E2ADDG2</vt:lpstr>
      <vt:lpstr>E2ADDG3</vt:lpstr>
      <vt:lpstr>E2ADDG4</vt:lpstr>
      <vt:lpstr>E2AllExpenses</vt:lpstr>
      <vt:lpstr>E2ATransfer</vt:lpstr>
      <vt:lpstr>E2B</vt:lpstr>
      <vt:lpstr>E2BASEA1</vt:lpstr>
      <vt:lpstr>E2BASEA2</vt:lpstr>
      <vt:lpstr>E2BASEA3</vt:lpstr>
      <vt:lpstr>E2BASEA4</vt:lpstr>
      <vt:lpstr>E2BASEB1</vt:lpstr>
      <vt:lpstr>E2BASEB2</vt:lpstr>
      <vt:lpstr>E2BASEB3</vt:lpstr>
      <vt:lpstr>E2BASEB4</vt:lpstr>
      <vt:lpstr>E2BASEC1</vt:lpstr>
      <vt:lpstr>E2BASEC2</vt:lpstr>
      <vt:lpstr>E2BASEC3</vt:lpstr>
      <vt:lpstr>E2BASEC4</vt:lpstr>
      <vt:lpstr>E2BASED1</vt:lpstr>
      <vt:lpstr>E2BASED2</vt:lpstr>
      <vt:lpstr>E2BASED3</vt:lpstr>
      <vt:lpstr>E2BASED4</vt:lpstr>
      <vt:lpstr>E2BASEE1</vt:lpstr>
      <vt:lpstr>E2BASEE2</vt:lpstr>
      <vt:lpstr>E2BASEE3</vt:lpstr>
      <vt:lpstr>E2BASEE4</vt:lpstr>
      <vt:lpstr>E2BASEF1</vt:lpstr>
      <vt:lpstr>E2BASEF2</vt:lpstr>
      <vt:lpstr>E2BASEF3</vt:lpstr>
      <vt:lpstr>E2BASEF4</vt:lpstr>
      <vt:lpstr>E2BASEG1</vt:lpstr>
      <vt:lpstr>E2BASEG2</vt:lpstr>
      <vt:lpstr>E2BASEG3</vt:lpstr>
      <vt:lpstr>E2BASEG4</vt:lpstr>
      <vt:lpstr>E2C</vt:lpstr>
      <vt:lpstr>E2DirectLaborAA45</vt:lpstr>
      <vt:lpstr>E2DirectLaborAB45</vt:lpstr>
      <vt:lpstr>E2DirectLaborAC45</vt:lpstr>
      <vt:lpstr>E2DirectLaborAD45</vt:lpstr>
      <vt:lpstr>E2DirectLaborAE45</vt:lpstr>
      <vt:lpstr>E2DirectLaborD45</vt:lpstr>
      <vt:lpstr>E2DirectLaborE45</vt:lpstr>
      <vt:lpstr>E2DirectLaborF45</vt:lpstr>
      <vt:lpstr>E2DirectLaborG45</vt:lpstr>
      <vt:lpstr>E2DirectLaborH45</vt:lpstr>
      <vt:lpstr>E2DirectLaborI45</vt:lpstr>
      <vt:lpstr>E2DirectLaborJ45</vt:lpstr>
      <vt:lpstr>E2DirectLaborK45</vt:lpstr>
      <vt:lpstr>E2DirectLaborL45</vt:lpstr>
      <vt:lpstr>E2DirectLaborM45</vt:lpstr>
      <vt:lpstr>E2DirectLaborN45</vt:lpstr>
      <vt:lpstr>E2DirectLaborO45</vt:lpstr>
      <vt:lpstr>E2DirectLaborP45</vt:lpstr>
      <vt:lpstr>E2DirectLaborQ45</vt:lpstr>
      <vt:lpstr>E2DirectLaborR45</vt:lpstr>
      <vt:lpstr>E2DirectLaborS45</vt:lpstr>
      <vt:lpstr>E2DirectLaborT45</vt:lpstr>
      <vt:lpstr>E2DirectLaborTotal</vt:lpstr>
      <vt:lpstr>E2DirectLaborU45</vt:lpstr>
      <vt:lpstr>E2DirectLaborV45</vt:lpstr>
      <vt:lpstr>E2DirectLaborW45</vt:lpstr>
      <vt:lpstr>E2DirectLaborX45</vt:lpstr>
      <vt:lpstr>E2DirectLaborY45</vt:lpstr>
      <vt:lpstr>E2DirectLaborZ45</vt:lpstr>
      <vt:lpstr>E2Dropdown</vt:lpstr>
      <vt:lpstr>'Phase 1'!E2EndTotal</vt:lpstr>
      <vt:lpstr>'Phase 10'!E2EndTotal</vt:lpstr>
      <vt:lpstr>'Phase 11'!E2EndTotal</vt:lpstr>
      <vt:lpstr>'Phase 12'!E2EndTotal</vt:lpstr>
      <vt:lpstr>'Phase 13'!E2EndTotal</vt:lpstr>
      <vt:lpstr>'Phase 14'!E2EndTotal</vt:lpstr>
      <vt:lpstr>'Phase 15'!E2EndTotal</vt:lpstr>
      <vt:lpstr>'Phase 16'!E2EndTotal</vt:lpstr>
      <vt:lpstr>'Phase 17'!E2EndTotal</vt:lpstr>
      <vt:lpstr>'Phase 18'!E2EndTotal</vt:lpstr>
      <vt:lpstr>'Phase 19'!E2EndTotal</vt:lpstr>
      <vt:lpstr>'Phase 2'!E2EndTotal</vt:lpstr>
      <vt:lpstr>'Phase 20'!E2EndTotal</vt:lpstr>
      <vt:lpstr>'Phase 3'!E2EndTotal</vt:lpstr>
      <vt:lpstr>'Phase 4'!E2EndTotal</vt:lpstr>
      <vt:lpstr>'Phase 5'!E2EndTotal</vt:lpstr>
      <vt:lpstr>'Phase 6'!E2EndTotal</vt:lpstr>
      <vt:lpstr>'Phase 7'!E2EndTotal</vt:lpstr>
      <vt:lpstr>'Phase 8'!E2EndTotal</vt:lpstr>
      <vt:lpstr>'Phase 9'!E2EndTotal</vt:lpstr>
      <vt:lpstr>Phase_Template!E2EndTotal</vt:lpstr>
      <vt:lpstr>E2EquipmentTotal</vt:lpstr>
      <vt:lpstr>E2ETransfer</vt:lpstr>
      <vt:lpstr>E2ExpenseTotal</vt:lpstr>
      <vt:lpstr>E2GEN</vt:lpstr>
      <vt:lpstr>'Phase 1'!E2Hide1</vt:lpstr>
      <vt:lpstr>'Phase 10'!E2Hide1</vt:lpstr>
      <vt:lpstr>'Phase 11'!E2Hide1</vt:lpstr>
      <vt:lpstr>'Phase 12'!E2Hide1</vt:lpstr>
      <vt:lpstr>'Phase 13'!E2Hide1</vt:lpstr>
      <vt:lpstr>'Phase 14'!E2Hide1</vt:lpstr>
      <vt:lpstr>'Phase 15'!E2Hide1</vt:lpstr>
      <vt:lpstr>'Phase 16'!E2Hide1</vt:lpstr>
      <vt:lpstr>'Phase 17'!E2Hide1</vt:lpstr>
      <vt:lpstr>'Phase 18'!E2Hide1</vt:lpstr>
      <vt:lpstr>'Phase 19'!E2Hide1</vt:lpstr>
      <vt:lpstr>'Phase 2'!E2Hide1</vt:lpstr>
      <vt:lpstr>'Phase 20'!E2Hide1</vt:lpstr>
      <vt:lpstr>'Phase 3'!E2Hide1</vt:lpstr>
      <vt:lpstr>'Phase 4'!E2Hide1</vt:lpstr>
      <vt:lpstr>'Phase 5'!E2Hide1</vt:lpstr>
      <vt:lpstr>'Phase 6'!E2Hide1</vt:lpstr>
      <vt:lpstr>'Phase 7'!E2Hide1</vt:lpstr>
      <vt:lpstr>'Phase 8'!E2Hide1</vt:lpstr>
      <vt:lpstr>'Phase 9'!E2Hide1</vt:lpstr>
      <vt:lpstr>Phase_Template!E2Hide1</vt:lpstr>
      <vt:lpstr>'Phase 1'!E2Hide2</vt:lpstr>
      <vt:lpstr>'Phase 10'!E2Hide2</vt:lpstr>
      <vt:lpstr>'Phase 11'!E2Hide2</vt:lpstr>
      <vt:lpstr>'Phase 12'!E2Hide2</vt:lpstr>
      <vt:lpstr>'Phase 13'!E2Hide2</vt:lpstr>
      <vt:lpstr>'Phase 14'!E2Hide2</vt:lpstr>
      <vt:lpstr>'Phase 15'!E2Hide2</vt:lpstr>
      <vt:lpstr>'Phase 16'!E2Hide2</vt:lpstr>
      <vt:lpstr>'Phase 17'!E2Hide2</vt:lpstr>
      <vt:lpstr>'Phase 18'!E2Hide2</vt:lpstr>
      <vt:lpstr>'Phase 19'!E2Hide2</vt:lpstr>
      <vt:lpstr>'Phase 2'!E2Hide2</vt:lpstr>
      <vt:lpstr>'Phase 20'!E2Hide2</vt:lpstr>
      <vt:lpstr>'Phase 3'!E2Hide2</vt:lpstr>
      <vt:lpstr>'Phase 4'!E2Hide2</vt:lpstr>
      <vt:lpstr>'Phase 5'!E2Hide2</vt:lpstr>
      <vt:lpstr>'Phase 6'!E2Hide2</vt:lpstr>
      <vt:lpstr>'Phase 7'!E2Hide2</vt:lpstr>
      <vt:lpstr>'Phase 8'!E2Hide2</vt:lpstr>
      <vt:lpstr>'Phase 9'!E2Hide2</vt:lpstr>
      <vt:lpstr>Phase_Template!E2Hide2</vt:lpstr>
      <vt:lpstr>'Phase 1'!E2Hide3</vt:lpstr>
      <vt:lpstr>'Phase 10'!E2Hide3</vt:lpstr>
      <vt:lpstr>'Phase 11'!E2Hide3</vt:lpstr>
      <vt:lpstr>'Phase 12'!E2Hide3</vt:lpstr>
      <vt:lpstr>'Phase 13'!E2Hide3</vt:lpstr>
      <vt:lpstr>'Phase 14'!E2Hide3</vt:lpstr>
      <vt:lpstr>'Phase 15'!E2Hide3</vt:lpstr>
      <vt:lpstr>'Phase 16'!E2Hide3</vt:lpstr>
      <vt:lpstr>'Phase 17'!E2Hide3</vt:lpstr>
      <vt:lpstr>'Phase 18'!E2Hide3</vt:lpstr>
      <vt:lpstr>'Phase 19'!E2Hide3</vt:lpstr>
      <vt:lpstr>'Phase 2'!E2Hide3</vt:lpstr>
      <vt:lpstr>'Phase 20'!E2Hide3</vt:lpstr>
      <vt:lpstr>'Phase 3'!E2Hide3</vt:lpstr>
      <vt:lpstr>'Phase 4'!E2Hide3</vt:lpstr>
      <vt:lpstr>'Phase 5'!E2Hide3</vt:lpstr>
      <vt:lpstr>'Phase 6'!E2Hide3</vt:lpstr>
      <vt:lpstr>'Phase 7'!E2Hide3</vt:lpstr>
      <vt:lpstr>'Phase 8'!E2Hide3</vt:lpstr>
      <vt:lpstr>'Phase 9'!E2Hide3</vt:lpstr>
      <vt:lpstr>Phase_Template!E2Hide3</vt:lpstr>
      <vt:lpstr>E2IncludeExpenses</vt:lpstr>
      <vt:lpstr>E2IncludeLab</vt:lpstr>
      <vt:lpstr>E2IncludeLabor</vt:lpstr>
      <vt:lpstr>E2IncludeProcure</vt:lpstr>
      <vt:lpstr>E2IncludeSubs</vt:lpstr>
      <vt:lpstr>E2LaborTotal</vt:lpstr>
      <vt:lpstr>E2LabTotal</vt:lpstr>
      <vt:lpstr>'Phase 1'!E2LastRow</vt:lpstr>
      <vt:lpstr>'Phase 10'!E2LastRow</vt:lpstr>
      <vt:lpstr>'Phase 11'!E2LastRow</vt:lpstr>
      <vt:lpstr>'Phase 12'!E2LastRow</vt:lpstr>
      <vt:lpstr>'Phase 13'!E2LastRow</vt:lpstr>
      <vt:lpstr>'Phase 14'!E2LastRow</vt:lpstr>
      <vt:lpstr>'Phase 15'!E2LastRow</vt:lpstr>
      <vt:lpstr>'Phase 16'!E2LastRow</vt:lpstr>
      <vt:lpstr>'Phase 17'!E2LastRow</vt:lpstr>
      <vt:lpstr>'Phase 18'!E2LastRow</vt:lpstr>
      <vt:lpstr>'Phase 19'!E2LastRow</vt:lpstr>
      <vt:lpstr>'Phase 2'!E2LastRow</vt:lpstr>
      <vt:lpstr>'Phase 20'!E2LastRow</vt:lpstr>
      <vt:lpstr>'Phase 3'!E2LastRow</vt:lpstr>
      <vt:lpstr>'Phase 4'!E2LastRow</vt:lpstr>
      <vt:lpstr>'Phase 5'!E2LastRow</vt:lpstr>
      <vt:lpstr>'Phase 6'!E2LastRow</vt:lpstr>
      <vt:lpstr>'Phase 7'!E2LastRow</vt:lpstr>
      <vt:lpstr>'Phase 8'!E2LastRow</vt:lpstr>
      <vt:lpstr>'Phase 9'!E2LastRow</vt:lpstr>
      <vt:lpstr>Phase_Template!E2LastRow</vt:lpstr>
      <vt:lpstr>E2LTransfer</vt:lpstr>
      <vt:lpstr>E2M</vt:lpstr>
      <vt:lpstr>E2MTransfer</vt:lpstr>
      <vt:lpstr>E2O</vt:lpstr>
      <vt:lpstr>E2OTHER</vt:lpstr>
      <vt:lpstr>E2OverheadAA46</vt:lpstr>
      <vt:lpstr>E2OverheadAB46</vt:lpstr>
      <vt:lpstr>E2OverheadAC46</vt:lpstr>
      <vt:lpstr>E2OverheadAD46</vt:lpstr>
      <vt:lpstr>E2OverheadAE46</vt:lpstr>
      <vt:lpstr>E2OverheadD46</vt:lpstr>
      <vt:lpstr>E2OverheadE46</vt:lpstr>
      <vt:lpstr>E2OverheadF46</vt:lpstr>
      <vt:lpstr>E2OverheadG46</vt:lpstr>
      <vt:lpstr>E2OverheadH46</vt:lpstr>
      <vt:lpstr>E2OverheadI46</vt:lpstr>
      <vt:lpstr>E2OverheadJ46</vt:lpstr>
      <vt:lpstr>E2OverheadK46</vt:lpstr>
      <vt:lpstr>E2OverheadL46</vt:lpstr>
      <vt:lpstr>E2OverheadM46</vt:lpstr>
      <vt:lpstr>E2OverheadN46</vt:lpstr>
      <vt:lpstr>E2OverheadO46</vt:lpstr>
      <vt:lpstr>E2OverheadP46</vt:lpstr>
      <vt:lpstr>E2OverheadQ46</vt:lpstr>
      <vt:lpstr>E2OverheadR46</vt:lpstr>
      <vt:lpstr>E2OverheadS46</vt:lpstr>
      <vt:lpstr>E2OverheadT46</vt:lpstr>
      <vt:lpstr>E2OverheadTotal</vt:lpstr>
      <vt:lpstr>E2OverheadU46</vt:lpstr>
      <vt:lpstr>E2OverheadV46</vt:lpstr>
      <vt:lpstr>E2OverheadW46</vt:lpstr>
      <vt:lpstr>E2OverheadX46</vt:lpstr>
      <vt:lpstr>E2OverheadY46</vt:lpstr>
      <vt:lpstr>E2OverheadZ46</vt:lpstr>
      <vt:lpstr>E2OVTransfer</vt:lpstr>
      <vt:lpstr>'Phase 1'!E2PageCount</vt:lpstr>
      <vt:lpstr>'Phase 10'!E2PageCount</vt:lpstr>
      <vt:lpstr>'Phase 11'!E2PageCount</vt:lpstr>
      <vt:lpstr>'Phase 12'!E2PageCount</vt:lpstr>
      <vt:lpstr>'Phase 13'!E2PageCount</vt:lpstr>
      <vt:lpstr>'Phase 14'!E2PageCount</vt:lpstr>
      <vt:lpstr>'Phase 15'!E2PageCount</vt:lpstr>
      <vt:lpstr>'Phase 16'!E2PageCount</vt:lpstr>
      <vt:lpstr>'Phase 17'!E2PageCount</vt:lpstr>
      <vt:lpstr>'Phase 18'!E2PageCount</vt:lpstr>
      <vt:lpstr>'Phase 19'!E2PageCount</vt:lpstr>
      <vt:lpstr>'Phase 2'!E2PageCount</vt:lpstr>
      <vt:lpstr>'Phase 20'!E2PageCount</vt:lpstr>
      <vt:lpstr>'Phase 3'!E2PageCount</vt:lpstr>
      <vt:lpstr>'Phase 4'!E2PageCount</vt:lpstr>
      <vt:lpstr>'Phase 5'!E2PageCount</vt:lpstr>
      <vt:lpstr>'Phase 6'!E2PageCount</vt:lpstr>
      <vt:lpstr>'Phase 7'!E2PageCount</vt:lpstr>
      <vt:lpstr>'Phase 8'!E2PageCount</vt:lpstr>
      <vt:lpstr>'Phase 9'!E2PageCount</vt:lpstr>
      <vt:lpstr>Phase_Template!E2PageCount</vt:lpstr>
      <vt:lpstr>'Phase 1'!E2Pages</vt:lpstr>
      <vt:lpstr>'Phase 10'!E2Pages</vt:lpstr>
      <vt:lpstr>'Phase 11'!E2Pages</vt:lpstr>
      <vt:lpstr>'Phase 12'!E2Pages</vt:lpstr>
      <vt:lpstr>'Phase 13'!E2Pages</vt:lpstr>
      <vt:lpstr>'Phase 14'!E2Pages</vt:lpstr>
      <vt:lpstr>'Phase 15'!E2Pages</vt:lpstr>
      <vt:lpstr>'Phase 16'!E2Pages</vt:lpstr>
      <vt:lpstr>'Phase 17'!E2Pages</vt:lpstr>
      <vt:lpstr>'Phase 18'!E2Pages</vt:lpstr>
      <vt:lpstr>'Phase 19'!E2Pages</vt:lpstr>
      <vt:lpstr>'Phase 2'!E2Pages</vt:lpstr>
      <vt:lpstr>'Phase 20'!E2Pages</vt:lpstr>
      <vt:lpstr>'Phase 3'!E2Pages</vt:lpstr>
      <vt:lpstr>'Phase 4'!E2Pages</vt:lpstr>
      <vt:lpstr>'Phase 5'!E2Pages</vt:lpstr>
      <vt:lpstr>'Phase 6'!E2Pages</vt:lpstr>
      <vt:lpstr>'Phase 7'!E2Pages</vt:lpstr>
      <vt:lpstr>'Phase 8'!E2Pages</vt:lpstr>
      <vt:lpstr>'Phase 9'!E2Pages</vt:lpstr>
      <vt:lpstr>Phase_Template!E2Pages</vt:lpstr>
      <vt:lpstr>E2R</vt:lpstr>
      <vt:lpstr>E2RateA1Total</vt:lpstr>
      <vt:lpstr>E2RateA2Total</vt:lpstr>
      <vt:lpstr>E2RateA3Total</vt:lpstr>
      <vt:lpstr>E2RateA4Total</vt:lpstr>
      <vt:lpstr>E2RateB1Total</vt:lpstr>
      <vt:lpstr>E2RateB2Total</vt:lpstr>
      <vt:lpstr>E2RateB3Total</vt:lpstr>
      <vt:lpstr>E2RateB4Total</vt:lpstr>
      <vt:lpstr>E2RateC1Total</vt:lpstr>
      <vt:lpstr>E2RateC2Total</vt:lpstr>
      <vt:lpstr>E2RateC3Total</vt:lpstr>
      <vt:lpstr>E2RateC4Total</vt:lpstr>
      <vt:lpstr>E2RateD1Total</vt:lpstr>
      <vt:lpstr>E2RateD2Total</vt:lpstr>
      <vt:lpstr>E2RateD3Total</vt:lpstr>
      <vt:lpstr>E2RateD4Total</vt:lpstr>
      <vt:lpstr>E2RateE1Total</vt:lpstr>
      <vt:lpstr>E2RateE2Total</vt:lpstr>
      <vt:lpstr>E2RateE3Total</vt:lpstr>
      <vt:lpstr>E2Ratee4Total</vt:lpstr>
      <vt:lpstr>E2RateF1Total</vt:lpstr>
      <vt:lpstr>E2RateF2Total</vt:lpstr>
      <vt:lpstr>E2RateF3Total</vt:lpstr>
      <vt:lpstr>E2RateF4Total</vt:lpstr>
      <vt:lpstr>E2RateG1Total</vt:lpstr>
      <vt:lpstr>E2RateG2Total</vt:lpstr>
      <vt:lpstr>E2RateG3Total</vt:lpstr>
      <vt:lpstr>E2RateG4Total</vt:lpstr>
      <vt:lpstr>'Phase 1'!E2Reference</vt:lpstr>
      <vt:lpstr>'Phase 10'!E2Reference</vt:lpstr>
      <vt:lpstr>'Phase 11'!E2Reference</vt:lpstr>
      <vt:lpstr>'Phase 12'!E2Reference</vt:lpstr>
      <vt:lpstr>'Phase 13'!E2Reference</vt:lpstr>
      <vt:lpstr>'Phase 14'!E2Reference</vt:lpstr>
      <vt:lpstr>'Phase 15'!E2Reference</vt:lpstr>
      <vt:lpstr>'Phase 16'!E2Reference</vt:lpstr>
      <vt:lpstr>'Phase 17'!E2Reference</vt:lpstr>
      <vt:lpstr>'Phase 18'!E2Reference</vt:lpstr>
      <vt:lpstr>'Phase 19'!E2Reference</vt:lpstr>
      <vt:lpstr>'Phase 2'!E2Reference</vt:lpstr>
      <vt:lpstr>'Phase 20'!E2Reference</vt:lpstr>
      <vt:lpstr>'Phase 3'!E2Reference</vt:lpstr>
      <vt:lpstr>'Phase 4'!E2Reference</vt:lpstr>
      <vt:lpstr>'Phase 5'!E2Reference</vt:lpstr>
      <vt:lpstr>'Phase 6'!E2Reference</vt:lpstr>
      <vt:lpstr>'Phase 7'!E2Reference</vt:lpstr>
      <vt:lpstr>'Phase 8'!E2Reference</vt:lpstr>
      <vt:lpstr>'Phase 9'!E2Reference</vt:lpstr>
      <vt:lpstr>Phase_Template!E2Reference</vt:lpstr>
      <vt:lpstr>E2REM</vt:lpstr>
      <vt:lpstr>'Phase 1'!E2Row1</vt:lpstr>
      <vt:lpstr>'Phase 10'!E2Row1</vt:lpstr>
      <vt:lpstr>'Phase 11'!E2Row1</vt:lpstr>
      <vt:lpstr>'Phase 12'!E2Row1</vt:lpstr>
      <vt:lpstr>'Phase 13'!E2Row1</vt:lpstr>
      <vt:lpstr>'Phase 14'!E2Row1</vt:lpstr>
      <vt:lpstr>'Phase 15'!E2Row1</vt:lpstr>
      <vt:lpstr>'Phase 16'!E2Row1</vt:lpstr>
      <vt:lpstr>'Phase 17'!E2Row1</vt:lpstr>
      <vt:lpstr>'Phase 18'!E2Row1</vt:lpstr>
      <vt:lpstr>'Phase 19'!E2Row1</vt:lpstr>
      <vt:lpstr>'Phase 2'!E2Row1</vt:lpstr>
      <vt:lpstr>'Phase 20'!E2Row1</vt:lpstr>
      <vt:lpstr>'Phase 3'!E2Row1</vt:lpstr>
      <vt:lpstr>'Phase 4'!E2Row1</vt:lpstr>
      <vt:lpstr>'Phase 5'!E2Row1</vt:lpstr>
      <vt:lpstr>'Phase 6'!E2Row1</vt:lpstr>
      <vt:lpstr>'Phase 7'!E2Row1</vt:lpstr>
      <vt:lpstr>'Phase 8'!E2Row1</vt:lpstr>
      <vt:lpstr>'Phase 9'!E2Row1</vt:lpstr>
      <vt:lpstr>Phase_Template!E2Row1</vt:lpstr>
      <vt:lpstr>'Phase 1'!E2Row10</vt:lpstr>
      <vt:lpstr>'Phase 10'!E2Row10</vt:lpstr>
      <vt:lpstr>'Phase 11'!E2Row10</vt:lpstr>
      <vt:lpstr>'Phase 12'!E2Row10</vt:lpstr>
      <vt:lpstr>'Phase 13'!E2Row10</vt:lpstr>
      <vt:lpstr>'Phase 14'!E2Row10</vt:lpstr>
      <vt:lpstr>'Phase 15'!E2Row10</vt:lpstr>
      <vt:lpstr>'Phase 16'!E2Row10</vt:lpstr>
      <vt:lpstr>'Phase 17'!E2Row10</vt:lpstr>
      <vt:lpstr>'Phase 18'!E2Row10</vt:lpstr>
      <vt:lpstr>'Phase 19'!E2Row10</vt:lpstr>
      <vt:lpstr>'Phase 2'!E2Row10</vt:lpstr>
      <vt:lpstr>'Phase 20'!E2Row10</vt:lpstr>
      <vt:lpstr>'Phase 3'!E2Row10</vt:lpstr>
      <vt:lpstr>'Phase 4'!E2Row10</vt:lpstr>
      <vt:lpstr>'Phase 5'!E2Row10</vt:lpstr>
      <vt:lpstr>'Phase 6'!E2Row10</vt:lpstr>
      <vt:lpstr>'Phase 7'!E2Row10</vt:lpstr>
      <vt:lpstr>'Phase 8'!E2Row10</vt:lpstr>
      <vt:lpstr>'Phase 9'!E2Row10</vt:lpstr>
      <vt:lpstr>Phase_Template!E2Row10</vt:lpstr>
      <vt:lpstr>'Phase 1'!E2Row11</vt:lpstr>
      <vt:lpstr>'Phase 10'!E2Row11</vt:lpstr>
      <vt:lpstr>'Phase 11'!E2Row11</vt:lpstr>
      <vt:lpstr>'Phase 12'!E2Row11</vt:lpstr>
      <vt:lpstr>'Phase 13'!E2Row11</vt:lpstr>
      <vt:lpstr>'Phase 14'!E2Row11</vt:lpstr>
      <vt:lpstr>'Phase 15'!E2Row11</vt:lpstr>
      <vt:lpstr>'Phase 16'!E2Row11</vt:lpstr>
      <vt:lpstr>'Phase 17'!E2Row11</vt:lpstr>
      <vt:lpstr>'Phase 18'!E2Row11</vt:lpstr>
      <vt:lpstr>'Phase 19'!E2Row11</vt:lpstr>
      <vt:lpstr>'Phase 2'!E2Row11</vt:lpstr>
      <vt:lpstr>'Phase 20'!E2Row11</vt:lpstr>
      <vt:lpstr>'Phase 3'!E2Row11</vt:lpstr>
      <vt:lpstr>'Phase 4'!E2Row11</vt:lpstr>
      <vt:lpstr>'Phase 5'!E2Row11</vt:lpstr>
      <vt:lpstr>'Phase 6'!E2Row11</vt:lpstr>
      <vt:lpstr>'Phase 7'!E2Row11</vt:lpstr>
      <vt:lpstr>'Phase 8'!E2Row11</vt:lpstr>
      <vt:lpstr>'Phase 9'!E2Row11</vt:lpstr>
      <vt:lpstr>Phase_Template!E2Row11</vt:lpstr>
      <vt:lpstr>'Phase 1'!E2Row12</vt:lpstr>
      <vt:lpstr>'Phase 10'!E2Row12</vt:lpstr>
      <vt:lpstr>'Phase 11'!E2Row12</vt:lpstr>
      <vt:lpstr>'Phase 12'!E2Row12</vt:lpstr>
      <vt:lpstr>'Phase 13'!E2Row12</vt:lpstr>
      <vt:lpstr>'Phase 14'!E2Row12</vt:lpstr>
      <vt:lpstr>'Phase 15'!E2Row12</vt:lpstr>
      <vt:lpstr>'Phase 16'!E2Row12</vt:lpstr>
      <vt:lpstr>'Phase 17'!E2Row12</vt:lpstr>
      <vt:lpstr>'Phase 18'!E2Row12</vt:lpstr>
      <vt:lpstr>'Phase 19'!E2Row12</vt:lpstr>
      <vt:lpstr>'Phase 2'!E2Row12</vt:lpstr>
      <vt:lpstr>'Phase 20'!E2Row12</vt:lpstr>
      <vt:lpstr>'Phase 3'!E2Row12</vt:lpstr>
      <vt:lpstr>'Phase 4'!E2Row12</vt:lpstr>
      <vt:lpstr>'Phase 5'!E2Row12</vt:lpstr>
      <vt:lpstr>'Phase 6'!E2Row12</vt:lpstr>
      <vt:lpstr>'Phase 7'!E2Row12</vt:lpstr>
      <vt:lpstr>'Phase 8'!E2Row12</vt:lpstr>
      <vt:lpstr>'Phase 9'!E2Row12</vt:lpstr>
      <vt:lpstr>Phase_Template!E2Row12</vt:lpstr>
      <vt:lpstr>'Phase 1'!E2Row13</vt:lpstr>
      <vt:lpstr>'Phase 10'!E2Row13</vt:lpstr>
      <vt:lpstr>'Phase 11'!E2Row13</vt:lpstr>
      <vt:lpstr>'Phase 12'!E2Row13</vt:lpstr>
      <vt:lpstr>'Phase 13'!E2Row13</vt:lpstr>
      <vt:lpstr>'Phase 14'!E2Row13</vt:lpstr>
      <vt:lpstr>'Phase 15'!E2Row13</vt:lpstr>
      <vt:lpstr>'Phase 16'!E2Row13</vt:lpstr>
      <vt:lpstr>'Phase 17'!E2Row13</vt:lpstr>
      <vt:lpstr>'Phase 18'!E2Row13</vt:lpstr>
      <vt:lpstr>'Phase 19'!E2Row13</vt:lpstr>
      <vt:lpstr>'Phase 2'!E2Row13</vt:lpstr>
      <vt:lpstr>'Phase 20'!E2Row13</vt:lpstr>
      <vt:lpstr>'Phase 3'!E2Row13</vt:lpstr>
      <vt:lpstr>'Phase 4'!E2Row13</vt:lpstr>
      <vt:lpstr>'Phase 5'!E2Row13</vt:lpstr>
      <vt:lpstr>'Phase 6'!E2Row13</vt:lpstr>
      <vt:lpstr>'Phase 7'!E2Row13</vt:lpstr>
      <vt:lpstr>'Phase 8'!E2Row13</vt:lpstr>
      <vt:lpstr>'Phase 9'!E2Row13</vt:lpstr>
      <vt:lpstr>Phase_Template!E2Row13</vt:lpstr>
      <vt:lpstr>'Phase 1'!E2Row14</vt:lpstr>
      <vt:lpstr>'Phase 10'!E2Row14</vt:lpstr>
      <vt:lpstr>'Phase 11'!E2Row14</vt:lpstr>
      <vt:lpstr>'Phase 12'!E2Row14</vt:lpstr>
      <vt:lpstr>'Phase 13'!E2Row14</vt:lpstr>
      <vt:lpstr>'Phase 14'!E2Row14</vt:lpstr>
      <vt:lpstr>'Phase 15'!E2Row14</vt:lpstr>
      <vt:lpstr>'Phase 16'!E2Row14</vt:lpstr>
      <vt:lpstr>'Phase 17'!E2Row14</vt:lpstr>
      <vt:lpstr>'Phase 18'!E2Row14</vt:lpstr>
      <vt:lpstr>'Phase 19'!E2Row14</vt:lpstr>
      <vt:lpstr>'Phase 2'!E2Row14</vt:lpstr>
      <vt:lpstr>'Phase 20'!E2Row14</vt:lpstr>
      <vt:lpstr>'Phase 3'!E2Row14</vt:lpstr>
      <vt:lpstr>'Phase 4'!E2Row14</vt:lpstr>
      <vt:lpstr>'Phase 5'!E2Row14</vt:lpstr>
      <vt:lpstr>'Phase 6'!E2Row14</vt:lpstr>
      <vt:lpstr>'Phase 7'!E2Row14</vt:lpstr>
      <vt:lpstr>'Phase 8'!E2Row14</vt:lpstr>
      <vt:lpstr>'Phase 9'!E2Row14</vt:lpstr>
      <vt:lpstr>Phase_Template!E2Row14</vt:lpstr>
      <vt:lpstr>'Phase 1'!E2Row15</vt:lpstr>
      <vt:lpstr>'Phase 10'!E2Row15</vt:lpstr>
      <vt:lpstr>'Phase 11'!E2Row15</vt:lpstr>
      <vt:lpstr>'Phase 12'!E2Row15</vt:lpstr>
      <vt:lpstr>'Phase 13'!E2Row15</vt:lpstr>
      <vt:lpstr>'Phase 14'!E2Row15</vt:lpstr>
      <vt:lpstr>'Phase 15'!E2Row15</vt:lpstr>
      <vt:lpstr>'Phase 16'!E2Row15</vt:lpstr>
      <vt:lpstr>'Phase 17'!E2Row15</vt:lpstr>
      <vt:lpstr>'Phase 18'!E2Row15</vt:lpstr>
      <vt:lpstr>'Phase 19'!E2Row15</vt:lpstr>
      <vt:lpstr>'Phase 2'!E2Row15</vt:lpstr>
      <vt:lpstr>'Phase 20'!E2Row15</vt:lpstr>
      <vt:lpstr>'Phase 3'!E2Row15</vt:lpstr>
      <vt:lpstr>'Phase 4'!E2Row15</vt:lpstr>
      <vt:lpstr>'Phase 5'!E2Row15</vt:lpstr>
      <vt:lpstr>'Phase 6'!E2Row15</vt:lpstr>
      <vt:lpstr>'Phase 7'!E2Row15</vt:lpstr>
      <vt:lpstr>'Phase 8'!E2Row15</vt:lpstr>
      <vt:lpstr>'Phase 9'!E2Row15</vt:lpstr>
      <vt:lpstr>Phase_Template!E2Row15</vt:lpstr>
      <vt:lpstr>'Phase 1'!E2Row16</vt:lpstr>
      <vt:lpstr>'Phase 10'!E2Row16</vt:lpstr>
      <vt:lpstr>'Phase 11'!E2Row16</vt:lpstr>
      <vt:lpstr>'Phase 12'!E2Row16</vt:lpstr>
      <vt:lpstr>'Phase 13'!E2Row16</vt:lpstr>
      <vt:lpstr>'Phase 14'!E2Row16</vt:lpstr>
      <vt:lpstr>'Phase 15'!E2Row16</vt:lpstr>
      <vt:lpstr>'Phase 16'!E2Row16</vt:lpstr>
      <vt:lpstr>'Phase 17'!E2Row16</vt:lpstr>
      <vt:lpstr>'Phase 18'!E2Row16</vt:lpstr>
      <vt:lpstr>'Phase 19'!E2Row16</vt:lpstr>
      <vt:lpstr>'Phase 2'!E2Row16</vt:lpstr>
      <vt:lpstr>'Phase 20'!E2Row16</vt:lpstr>
      <vt:lpstr>'Phase 3'!E2Row16</vt:lpstr>
      <vt:lpstr>'Phase 4'!E2Row16</vt:lpstr>
      <vt:lpstr>'Phase 5'!E2Row16</vt:lpstr>
      <vt:lpstr>'Phase 6'!E2Row16</vt:lpstr>
      <vt:lpstr>'Phase 7'!E2Row16</vt:lpstr>
      <vt:lpstr>'Phase 8'!E2Row16</vt:lpstr>
      <vt:lpstr>'Phase 9'!E2Row16</vt:lpstr>
      <vt:lpstr>Phase_Template!E2Row16</vt:lpstr>
      <vt:lpstr>'Phase 1'!E2Row17</vt:lpstr>
      <vt:lpstr>'Phase 10'!E2Row17</vt:lpstr>
      <vt:lpstr>'Phase 11'!E2Row17</vt:lpstr>
      <vt:lpstr>'Phase 12'!E2Row17</vt:lpstr>
      <vt:lpstr>'Phase 13'!E2Row17</vt:lpstr>
      <vt:lpstr>'Phase 14'!E2Row17</vt:lpstr>
      <vt:lpstr>'Phase 15'!E2Row17</vt:lpstr>
      <vt:lpstr>'Phase 16'!E2Row17</vt:lpstr>
      <vt:lpstr>'Phase 17'!E2Row17</vt:lpstr>
      <vt:lpstr>'Phase 18'!E2Row17</vt:lpstr>
      <vt:lpstr>'Phase 19'!E2Row17</vt:lpstr>
      <vt:lpstr>'Phase 2'!E2Row17</vt:lpstr>
      <vt:lpstr>'Phase 20'!E2Row17</vt:lpstr>
      <vt:lpstr>'Phase 3'!E2Row17</vt:lpstr>
      <vt:lpstr>'Phase 4'!E2Row17</vt:lpstr>
      <vt:lpstr>'Phase 5'!E2Row17</vt:lpstr>
      <vt:lpstr>'Phase 6'!E2Row17</vt:lpstr>
      <vt:lpstr>'Phase 7'!E2Row17</vt:lpstr>
      <vt:lpstr>'Phase 8'!E2Row17</vt:lpstr>
      <vt:lpstr>'Phase 9'!E2Row17</vt:lpstr>
      <vt:lpstr>Phase_Template!E2Row17</vt:lpstr>
      <vt:lpstr>'Phase 1'!E2Row18</vt:lpstr>
      <vt:lpstr>'Phase 10'!E2Row18</vt:lpstr>
      <vt:lpstr>'Phase 11'!E2Row18</vt:lpstr>
      <vt:lpstr>'Phase 12'!E2Row18</vt:lpstr>
      <vt:lpstr>'Phase 13'!E2Row18</vt:lpstr>
      <vt:lpstr>'Phase 14'!E2Row18</vt:lpstr>
      <vt:lpstr>'Phase 15'!E2Row18</vt:lpstr>
      <vt:lpstr>'Phase 16'!E2Row18</vt:lpstr>
      <vt:lpstr>'Phase 17'!E2Row18</vt:lpstr>
      <vt:lpstr>'Phase 18'!E2Row18</vt:lpstr>
      <vt:lpstr>'Phase 19'!E2Row18</vt:lpstr>
      <vt:lpstr>'Phase 2'!E2Row18</vt:lpstr>
      <vt:lpstr>'Phase 20'!E2Row18</vt:lpstr>
      <vt:lpstr>'Phase 3'!E2Row18</vt:lpstr>
      <vt:lpstr>'Phase 4'!E2Row18</vt:lpstr>
      <vt:lpstr>'Phase 5'!E2Row18</vt:lpstr>
      <vt:lpstr>'Phase 6'!E2Row18</vt:lpstr>
      <vt:lpstr>'Phase 7'!E2Row18</vt:lpstr>
      <vt:lpstr>'Phase 8'!E2Row18</vt:lpstr>
      <vt:lpstr>'Phase 9'!E2Row18</vt:lpstr>
      <vt:lpstr>Phase_Template!E2Row18</vt:lpstr>
      <vt:lpstr>'Phase 1'!E2Row19</vt:lpstr>
      <vt:lpstr>'Phase 10'!E2Row19</vt:lpstr>
      <vt:lpstr>'Phase 11'!E2Row19</vt:lpstr>
      <vt:lpstr>'Phase 12'!E2Row19</vt:lpstr>
      <vt:lpstr>'Phase 13'!E2Row19</vt:lpstr>
      <vt:lpstr>'Phase 14'!E2Row19</vt:lpstr>
      <vt:lpstr>'Phase 15'!E2Row19</vt:lpstr>
      <vt:lpstr>'Phase 16'!E2Row19</vt:lpstr>
      <vt:lpstr>'Phase 17'!E2Row19</vt:lpstr>
      <vt:lpstr>'Phase 18'!E2Row19</vt:lpstr>
      <vt:lpstr>'Phase 19'!E2Row19</vt:lpstr>
      <vt:lpstr>'Phase 2'!E2Row19</vt:lpstr>
      <vt:lpstr>'Phase 20'!E2Row19</vt:lpstr>
      <vt:lpstr>'Phase 3'!E2Row19</vt:lpstr>
      <vt:lpstr>'Phase 4'!E2Row19</vt:lpstr>
      <vt:lpstr>'Phase 5'!E2Row19</vt:lpstr>
      <vt:lpstr>'Phase 6'!E2Row19</vt:lpstr>
      <vt:lpstr>'Phase 7'!E2Row19</vt:lpstr>
      <vt:lpstr>'Phase 8'!E2Row19</vt:lpstr>
      <vt:lpstr>'Phase 9'!E2Row19</vt:lpstr>
      <vt:lpstr>Phase_Template!E2Row19</vt:lpstr>
      <vt:lpstr>'Phase 1'!E2Row2</vt:lpstr>
      <vt:lpstr>'Phase 10'!E2Row2</vt:lpstr>
      <vt:lpstr>'Phase 11'!E2Row2</vt:lpstr>
      <vt:lpstr>'Phase 12'!E2Row2</vt:lpstr>
      <vt:lpstr>'Phase 13'!E2Row2</vt:lpstr>
      <vt:lpstr>'Phase 14'!E2Row2</vt:lpstr>
      <vt:lpstr>'Phase 15'!E2Row2</vt:lpstr>
      <vt:lpstr>'Phase 16'!E2Row2</vt:lpstr>
      <vt:lpstr>'Phase 17'!E2Row2</vt:lpstr>
      <vt:lpstr>'Phase 18'!E2Row2</vt:lpstr>
      <vt:lpstr>'Phase 19'!E2Row2</vt:lpstr>
      <vt:lpstr>'Phase 2'!E2Row2</vt:lpstr>
      <vt:lpstr>'Phase 20'!E2Row2</vt:lpstr>
      <vt:lpstr>'Phase 3'!E2Row2</vt:lpstr>
      <vt:lpstr>'Phase 4'!E2Row2</vt:lpstr>
      <vt:lpstr>'Phase 5'!E2Row2</vt:lpstr>
      <vt:lpstr>'Phase 6'!E2Row2</vt:lpstr>
      <vt:lpstr>'Phase 7'!E2Row2</vt:lpstr>
      <vt:lpstr>'Phase 8'!E2Row2</vt:lpstr>
      <vt:lpstr>'Phase 9'!E2Row2</vt:lpstr>
      <vt:lpstr>Phase_Template!E2Row2</vt:lpstr>
      <vt:lpstr>'Phase 1'!E2Row20</vt:lpstr>
      <vt:lpstr>'Phase 10'!E2Row20</vt:lpstr>
      <vt:lpstr>'Phase 11'!E2Row20</vt:lpstr>
      <vt:lpstr>'Phase 12'!E2Row20</vt:lpstr>
      <vt:lpstr>'Phase 13'!E2Row20</vt:lpstr>
      <vt:lpstr>'Phase 14'!E2Row20</vt:lpstr>
      <vt:lpstr>'Phase 15'!E2Row20</vt:lpstr>
      <vt:lpstr>'Phase 16'!E2Row20</vt:lpstr>
      <vt:lpstr>'Phase 17'!E2Row20</vt:lpstr>
      <vt:lpstr>'Phase 18'!E2Row20</vt:lpstr>
      <vt:lpstr>'Phase 19'!E2Row20</vt:lpstr>
      <vt:lpstr>'Phase 2'!E2Row20</vt:lpstr>
      <vt:lpstr>'Phase 20'!E2Row20</vt:lpstr>
      <vt:lpstr>'Phase 3'!E2Row20</vt:lpstr>
      <vt:lpstr>'Phase 4'!E2Row20</vt:lpstr>
      <vt:lpstr>'Phase 5'!E2Row20</vt:lpstr>
      <vt:lpstr>'Phase 6'!E2Row20</vt:lpstr>
      <vt:lpstr>'Phase 7'!E2Row20</vt:lpstr>
      <vt:lpstr>'Phase 8'!E2Row20</vt:lpstr>
      <vt:lpstr>'Phase 9'!E2Row20</vt:lpstr>
      <vt:lpstr>Phase_Template!E2Row20</vt:lpstr>
      <vt:lpstr>'Phase 1'!E2Row3</vt:lpstr>
      <vt:lpstr>'Phase 10'!E2Row3</vt:lpstr>
      <vt:lpstr>'Phase 11'!E2Row3</vt:lpstr>
      <vt:lpstr>'Phase 12'!E2Row3</vt:lpstr>
      <vt:lpstr>'Phase 13'!E2Row3</vt:lpstr>
      <vt:lpstr>'Phase 14'!E2Row3</vt:lpstr>
      <vt:lpstr>'Phase 15'!E2Row3</vt:lpstr>
      <vt:lpstr>'Phase 16'!E2Row3</vt:lpstr>
      <vt:lpstr>'Phase 17'!E2Row3</vt:lpstr>
      <vt:lpstr>'Phase 18'!E2Row3</vt:lpstr>
      <vt:lpstr>'Phase 19'!E2Row3</vt:lpstr>
      <vt:lpstr>'Phase 2'!E2Row3</vt:lpstr>
      <vt:lpstr>'Phase 20'!E2Row3</vt:lpstr>
      <vt:lpstr>'Phase 3'!E2Row3</vt:lpstr>
      <vt:lpstr>'Phase 4'!E2Row3</vt:lpstr>
      <vt:lpstr>'Phase 5'!E2Row3</vt:lpstr>
      <vt:lpstr>'Phase 6'!E2Row3</vt:lpstr>
      <vt:lpstr>'Phase 7'!E2Row3</vt:lpstr>
      <vt:lpstr>'Phase 8'!E2Row3</vt:lpstr>
      <vt:lpstr>'Phase 9'!E2Row3</vt:lpstr>
      <vt:lpstr>Phase_Template!E2Row3</vt:lpstr>
      <vt:lpstr>'Phase 1'!E2Row4</vt:lpstr>
      <vt:lpstr>'Phase 10'!E2Row4</vt:lpstr>
      <vt:lpstr>'Phase 11'!E2Row4</vt:lpstr>
      <vt:lpstr>'Phase 12'!E2Row4</vt:lpstr>
      <vt:lpstr>'Phase 13'!E2Row4</vt:lpstr>
      <vt:lpstr>'Phase 14'!E2Row4</vt:lpstr>
      <vt:lpstr>'Phase 15'!E2Row4</vt:lpstr>
      <vt:lpstr>'Phase 16'!E2Row4</vt:lpstr>
      <vt:lpstr>'Phase 17'!E2Row4</vt:lpstr>
      <vt:lpstr>'Phase 18'!E2Row4</vt:lpstr>
      <vt:lpstr>'Phase 19'!E2Row4</vt:lpstr>
      <vt:lpstr>'Phase 2'!E2Row4</vt:lpstr>
      <vt:lpstr>'Phase 20'!E2Row4</vt:lpstr>
      <vt:lpstr>'Phase 3'!E2Row4</vt:lpstr>
      <vt:lpstr>'Phase 4'!E2Row4</vt:lpstr>
      <vt:lpstr>'Phase 5'!E2Row4</vt:lpstr>
      <vt:lpstr>'Phase 6'!E2Row4</vt:lpstr>
      <vt:lpstr>'Phase 7'!E2Row4</vt:lpstr>
      <vt:lpstr>'Phase 8'!E2Row4</vt:lpstr>
      <vt:lpstr>'Phase 9'!E2Row4</vt:lpstr>
      <vt:lpstr>Phase_Template!E2Row4</vt:lpstr>
      <vt:lpstr>'Phase 1'!E2Row5</vt:lpstr>
      <vt:lpstr>'Phase 10'!E2Row5</vt:lpstr>
      <vt:lpstr>'Phase 11'!E2Row5</vt:lpstr>
      <vt:lpstr>'Phase 12'!E2Row5</vt:lpstr>
      <vt:lpstr>'Phase 13'!E2Row5</vt:lpstr>
      <vt:lpstr>'Phase 14'!E2Row5</vt:lpstr>
      <vt:lpstr>'Phase 15'!E2Row5</vt:lpstr>
      <vt:lpstr>'Phase 16'!E2Row5</vt:lpstr>
      <vt:lpstr>'Phase 17'!E2Row5</vt:lpstr>
      <vt:lpstr>'Phase 18'!E2Row5</vt:lpstr>
      <vt:lpstr>'Phase 19'!E2Row5</vt:lpstr>
      <vt:lpstr>'Phase 2'!E2Row5</vt:lpstr>
      <vt:lpstr>'Phase 20'!E2Row5</vt:lpstr>
      <vt:lpstr>'Phase 3'!E2Row5</vt:lpstr>
      <vt:lpstr>'Phase 4'!E2Row5</vt:lpstr>
      <vt:lpstr>'Phase 5'!E2Row5</vt:lpstr>
      <vt:lpstr>'Phase 6'!E2Row5</vt:lpstr>
      <vt:lpstr>'Phase 7'!E2Row5</vt:lpstr>
      <vt:lpstr>'Phase 8'!E2Row5</vt:lpstr>
      <vt:lpstr>'Phase 9'!E2Row5</vt:lpstr>
      <vt:lpstr>Phase_Template!E2Row5</vt:lpstr>
      <vt:lpstr>'Phase 1'!E2Row6</vt:lpstr>
      <vt:lpstr>'Phase 10'!E2Row6</vt:lpstr>
      <vt:lpstr>'Phase 11'!E2Row6</vt:lpstr>
      <vt:lpstr>'Phase 12'!E2Row6</vt:lpstr>
      <vt:lpstr>'Phase 13'!E2Row6</vt:lpstr>
      <vt:lpstr>'Phase 14'!E2Row6</vt:lpstr>
      <vt:lpstr>'Phase 15'!E2Row6</vt:lpstr>
      <vt:lpstr>'Phase 16'!E2Row6</vt:lpstr>
      <vt:lpstr>'Phase 17'!E2Row6</vt:lpstr>
      <vt:lpstr>'Phase 18'!E2Row6</vt:lpstr>
      <vt:lpstr>'Phase 19'!E2Row6</vt:lpstr>
      <vt:lpstr>'Phase 2'!E2Row6</vt:lpstr>
      <vt:lpstr>'Phase 20'!E2Row6</vt:lpstr>
      <vt:lpstr>'Phase 3'!E2Row6</vt:lpstr>
      <vt:lpstr>'Phase 4'!E2Row6</vt:lpstr>
      <vt:lpstr>'Phase 5'!E2Row6</vt:lpstr>
      <vt:lpstr>'Phase 6'!E2Row6</vt:lpstr>
      <vt:lpstr>'Phase 7'!E2Row6</vt:lpstr>
      <vt:lpstr>'Phase 8'!E2Row6</vt:lpstr>
      <vt:lpstr>'Phase 9'!E2Row6</vt:lpstr>
      <vt:lpstr>Phase_Template!E2Row6</vt:lpstr>
      <vt:lpstr>'Phase 1'!E2Row7</vt:lpstr>
      <vt:lpstr>'Phase 10'!E2Row7</vt:lpstr>
      <vt:lpstr>'Phase 11'!E2Row7</vt:lpstr>
      <vt:lpstr>'Phase 12'!E2Row7</vt:lpstr>
      <vt:lpstr>'Phase 13'!E2Row7</vt:lpstr>
      <vt:lpstr>'Phase 14'!E2Row7</vt:lpstr>
      <vt:lpstr>'Phase 15'!E2Row7</vt:lpstr>
      <vt:lpstr>'Phase 16'!E2Row7</vt:lpstr>
      <vt:lpstr>'Phase 17'!E2Row7</vt:lpstr>
      <vt:lpstr>'Phase 18'!E2Row7</vt:lpstr>
      <vt:lpstr>'Phase 19'!E2Row7</vt:lpstr>
      <vt:lpstr>'Phase 2'!E2Row7</vt:lpstr>
      <vt:lpstr>'Phase 20'!E2Row7</vt:lpstr>
      <vt:lpstr>'Phase 3'!E2Row7</vt:lpstr>
      <vt:lpstr>'Phase 4'!E2Row7</vt:lpstr>
      <vt:lpstr>'Phase 5'!E2Row7</vt:lpstr>
      <vt:lpstr>'Phase 6'!E2Row7</vt:lpstr>
      <vt:lpstr>'Phase 7'!E2Row7</vt:lpstr>
      <vt:lpstr>'Phase 8'!E2Row7</vt:lpstr>
      <vt:lpstr>'Phase 9'!E2Row7</vt:lpstr>
      <vt:lpstr>Phase_Template!E2Row7</vt:lpstr>
      <vt:lpstr>'Phase 1'!E2Row8</vt:lpstr>
      <vt:lpstr>'Phase 10'!E2Row8</vt:lpstr>
      <vt:lpstr>'Phase 11'!E2Row8</vt:lpstr>
      <vt:lpstr>'Phase 12'!E2Row8</vt:lpstr>
      <vt:lpstr>'Phase 13'!E2Row8</vt:lpstr>
      <vt:lpstr>'Phase 14'!E2Row8</vt:lpstr>
      <vt:lpstr>'Phase 15'!E2Row8</vt:lpstr>
      <vt:lpstr>'Phase 16'!E2Row8</vt:lpstr>
      <vt:lpstr>'Phase 17'!E2Row8</vt:lpstr>
      <vt:lpstr>'Phase 18'!E2Row8</vt:lpstr>
      <vt:lpstr>'Phase 19'!E2Row8</vt:lpstr>
      <vt:lpstr>'Phase 2'!E2Row8</vt:lpstr>
      <vt:lpstr>'Phase 20'!E2Row8</vt:lpstr>
      <vt:lpstr>'Phase 3'!E2Row8</vt:lpstr>
      <vt:lpstr>'Phase 4'!E2Row8</vt:lpstr>
      <vt:lpstr>'Phase 5'!E2Row8</vt:lpstr>
      <vt:lpstr>'Phase 6'!E2Row8</vt:lpstr>
      <vt:lpstr>'Phase 7'!E2Row8</vt:lpstr>
      <vt:lpstr>'Phase 8'!E2Row8</vt:lpstr>
      <vt:lpstr>'Phase 9'!E2Row8</vt:lpstr>
      <vt:lpstr>Phase_Template!E2Row8</vt:lpstr>
      <vt:lpstr>'Phase 1'!E2Row9</vt:lpstr>
      <vt:lpstr>'Phase 10'!E2Row9</vt:lpstr>
      <vt:lpstr>'Phase 11'!E2Row9</vt:lpstr>
      <vt:lpstr>'Phase 12'!E2Row9</vt:lpstr>
      <vt:lpstr>'Phase 13'!E2Row9</vt:lpstr>
      <vt:lpstr>'Phase 14'!E2Row9</vt:lpstr>
      <vt:lpstr>'Phase 15'!E2Row9</vt:lpstr>
      <vt:lpstr>'Phase 16'!E2Row9</vt:lpstr>
      <vt:lpstr>'Phase 17'!E2Row9</vt:lpstr>
      <vt:lpstr>'Phase 18'!E2Row9</vt:lpstr>
      <vt:lpstr>'Phase 19'!E2Row9</vt:lpstr>
      <vt:lpstr>'Phase 2'!E2Row9</vt:lpstr>
      <vt:lpstr>'Phase 20'!E2Row9</vt:lpstr>
      <vt:lpstr>'Phase 3'!E2Row9</vt:lpstr>
      <vt:lpstr>'Phase 4'!E2Row9</vt:lpstr>
      <vt:lpstr>'Phase 5'!E2Row9</vt:lpstr>
      <vt:lpstr>'Phase 6'!E2Row9</vt:lpstr>
      <vt:lpstr>'Phase 7'!E2Row9</vt:lpstr>
      <vt:lpstr>'Phase 8'!E2Row9</vt:lpstr>
      <vt:lpstr>'Phase 9'!E2Row9</vt:lpstr>
      <vt:lpstr>Phase_Template!E2Row9</vt:lpstr>
      <vt:lpstr>E2RVTransfer</vt:lpstr>
      <vt:lpstr>E2S</vt:lpstr>
      <vt:lpstr>E2SI</vt:lpstr>
      <vt:lpstr>E2STransfer</vt:lpstr>
      <vt:lpstr>E2SubsTotal</vt:lpstr>
      <vt:lpstr>E2TDropdowns</vt:lpstr>
      <vt:lpstr>E2TravelTotal</vt:lpstr>
      <vt:lpstr>E2UnitsMirror</vt:lpstr>
      <vt:lpstr>E2WH</vt:lpstr>
      <vt:lpstr>E3ADDA1</vt:lpstr>
      <vt:lpstr>E3ADDA2</vt:lpstr>
      <vt:lpstr>E3ADDA3</vt:lpstr>
      <vt:lpstr>E3ADDA4</vt:lpstr>
      <vt:lpstr>E3ADDB1</vt:lpstr>
      <vt:lpstr>E3ADDB2</vt:lpstr>
      <vt:lpstr>E3ADDB3</vt:lpstr>
      <vt:lpstr>E3ADDB4</vt:lpstr>
      <vt:lpstr>E3ADDC1</vt:lpstr>
      <vt:lpstr>E3ADDC2</vt:lpstr>
      <vt:lpstr>E3ADDC3</vt:lpstr>
      <vt:lpstr>E3ADDC4</vt:lpstr>
      <vt:lpstr>E3ADDD1</vt:lpstr>
      <vt:lpstr>E3ADDD2</vt:lpstr>
      <vt:lpstr>E3ADDD3</vt:lpstr>
      <vt:lpstr>E3ADDD4</vt:lpstr>
      <vt:lpstr>E3ADDE1</vt:lpstr>
      <vt:lpstr>E3ADDE2</vt:lpstr>
      <vt:lpstr>E3ADDE3</vt:lpstr>
      <vt:lpstr>E3ADDE4</vt:lpstr>
      <vt:lpstr>E3ADDF1</vt:lpstr>
      <vt:lpstr>E3ADDF2</vt:lpstr>
      <vt:lpstr>E3ADDF3</vt:lpstr>
      <vt:lpstr>E3ADDF4</vt:lpstr>
      <vt:lpstr>E3ADDG1</vt:lpstr>
      <vt:lpstr>E3ADDG2</vt:lpstr>
      <vt:lpstr>E3ADDG3</vt:lpstr>
      <vt:lpstr>E3ADDG4</vt:lpstr>
      <vt:lpstr>E3AllExpenses</vt:lpstr>
      <vt:lpstr>E3ATransfer</vt:lpstr>
      <vt:lpstr>E3B</vt:lpstr>
      <vt:lpstr>E3BASEA1</vt:lpstr>
      <vt:lpstr>E3BASEA2</vt:lpstr>
      <vt:lpstr>E3BASEA3</vt:lpstr>
      <vt:lpstr>E3BASEA4</vt:lpstr>
      <vt:lpstr>E3BASEB1</vt:lpstr>
      <vt:lpstr>E3BASEB2</vt:lpstr>
      <vt:lpstr>E3BASEB3</vt:lpstr>
      <vt:lpstr>E3BASEB4</vt:lpstr>
      <vt:lpstr>E3BASEC1</vt:lpstr>
      <vt:lpstr>E3BASEC2</vt:lpstr>
      <vt:lpstr>E3BASEC3</vt:lpstr>
      <vt:lpstr>E3BASEC4</vt:lpstr>
      <vt:lpstr>E3BASED1</vt:lpstr>
      <vt:lpstr>E3BASED2</vt:lpstr>
      <vt:lpstr>E3BASED3</vt:lpstr>
      <vt:lpstr>E3BASED4</vt:lpstr>
      <vt:lpstr>E3BASEE1</vt:lpstr>
      <vt:lpstr>E3BASEE2</vt:lpstr>
      <vt:lpstr>E3BASEE3</vt:lpstr>
      <vt:lpstr>E3BASEE4</vt:lpstr>
      <vt:lpstr>E3BASEF1</vt:lpstr>
      <vt:lpstr>E3BASEF2</vt:lpstr>
      <vt:lpstr>E3BASEF3</vt:lpstr>
      <vt:lpstr>E3BASEF4</vt:lpstr>
      <vt:lpstr>E3BASEG1</vt:lpstr>
      <vt:lpstr>E3BASEG2</vt:lpstr>
      <vt:lpstr>E3BASEG3</vt:lpstr>
      <vt:lpstr>E3BASEG4</vt:lpstr>
      <vt:lpstr>E3C</vt:lpstr>
      <vt:lpstr>E3DirectLaborAA45</vt:lpstr>
      <vt:lpstr>E3DirectLaborAB45</vt:lpstr>
      <vt:lpstr>E3DirectLaborAC45</vt:lpstr>
      <vt:lpstr>E3DirectLaborAD45</vt:lpstr>
      <vt:lpstr>E3DirectLaborAE45</vt:lpstr>
      <vt:lpstr>E3DirectLaborD45</vt:lpstr>
      <vt:lpstr>E3DirectLaborE45</vt:lpstr>
      <vt:lpstr>E3DirectLaborF45</vt:lpstr>
      <vt:lpstr>E3DirectLaborG45</vt:lpstr>
      <vt:lpstr>E3DirectLaborH45</vt:lpstr>
      <vt:lpstr>E3DirectLaborI45</vt:lpstr>
      <vt:lpstr>E3DirectLaborJ45</vt:lpstr>
      <vt:lpstr>E3DirectLaborK45</vt:lpstr>
      <vt:lpstr>E3DirectLaborL45</vt:lpstr>
      <vt:lpstr>E3DirectLaborM45</vt:lpstr>
      <vt:lpstr>E3DirectLaborN45</vt:lpstr>
      <vt:lpstr>E3DirectLaborO45</vt:lpstr>
      <vt:lpstr>E3DirectLaborP45</vt:lpstr>
      <vt:lpstr>E3DirectLaborQ45</vt:lpstr>
      <vt:lpstr>E3DirectLaborR45</vt:lpstr>
      <vt:lpstr>E3DirectLaborS45</vt:lpstr>
      <vt:lpstr>E3DirectLaborT45</vt:lpstr>
      <vt:lpstr>E3DirectLaborTotal</vt:lpstr>
      <vt:lpstr>E3DirectLaborU45</vt:lpstr>
      <vt:lpstr>E3DirectLaborV45</vt:lpstr>
      <vt:lpstr>E3DirectLaborW45</vt:lpstr>
      <vt:lpstr>E3DirectLaborX45</vt:lpstr>
      <vt:lpstr>E3DirectLaborY45</vt:lpstr>
      <vt:lpstr>E3DirectLaborZ45</vt:lpstr>
      <vt:lpstr>E3Dropdown</vt:lpstr>
      <vt:lpstr>E3EquipmentTotal</vt:lpstr>
      <vt:lpstr>E3ETransfer</vt:lpstr>
      <vt:lpstr>E3ExpenseTotal</vt:lpstr>
      <vt:lpstr>E3GEN</vt:lpstr>
      <vt:lpstr>E3IncludeExpenses</vt:lpstr>
      <vt:lpstr>E3IncludeLab</vt:lpstr>
      <vt:lpstr>E3IncludeLabor</vt:lpstr>
      <vt:lpstr>E3IncludeProcure</vt:lpstr>
      <vt:lpstr>E3IncludeSubs</vt:lpstr>
      <vt:lpstr>E3LaborTotal</vt:lpstr>
      <vt:lpstr>E3LabTotal</vt:lpstr>
      <vt:lpstr>E3LTransfer</vt:lpstr>
      <vt:lpstr>E3M</vt:lpstr>
      <vt:lpstr>E3MTransfer</vt:lpstr>
      <vt:lpstr>E3O</vt:lpstr>
      <vt:lpstr>E3OTHER</vt:lpstr>
      <vt:lpstr>E3OverheadAA46</vt:lpstr>
      <vt:lpstr>E3OverheadAB46</vt:lpstr>
      <vt:lpstr>E3OverheadAC46</vt:lpstr>
      <vt:lpstr>E3OverheadAD46</vt:lpstr>
      <vt:lpstr>E3OverheadAE46</vt:lpstr>
      <vt:lpstr>E3OverheadD46</vt:lpstr>
      <vt:lpstr>E3OverheadE46</vt:lpstr>
      <vt:lpstr>E3OverheadF46</vt:lpstr>
      <vt:lpstr>E3OverheadG46</vt:lpstr>
      <vt:lpstr>E3OverheadH46</vt:lpstr>
      <vt:lpstr>E3OverheadI46</vt:lpstr>
      <vt:lpstr>E3OverheadJ46</vt:lpstr>
      <vt:lpstr>E3OverheadK46</vt:lpstr>
      <vt:lpstr>E3OverheadL46</vt:lpstr>
      <vt:lpstr>E3OverheadM46</vt:lpstr>
      <vt:lpstr>E3OverheadN46</vt:lpstr>
      <vt:lpstr>E3OverheadO46</vt:lpstr>
      <vt:lpstr>E3OverheadP46</vt:lpstr>
      <vt:lpstr>E3OverheadQ46</vt:lpstr>
      <vt:lpstr>E3OverheadR46</vt:lpstr>
      <vt:lpstr>E3OverheadS46</vt:lpstr>
      <vt:lpstr>E3OverheadT46</vt:lpstr>
      <vt:lpstr>E3OverheadTotal</vt:lpstr>
      <vt:lpstr>E3OverheadU46</vt:lpstr>
      <vt:lpstr>E3OverheadV46</vt:lpstr>
      <vt:lpstr>E3OverheadW46</vt:lpstr>
      <vt:lpstr>E3OverheadX46</vt:lpstr>
      <vt:lpstr>E3OverheadY46</vt:lpstr>
      <vt:lpstr>E3OverheadZ46</vt:lpstr>
      <vt:lpstr>E3OVTransfer</vt:lpstr>
      <vt:lpstr>E3R</vt:lpstr>
      <vt:lpstr>E3RateA1Total</vt:lpstr>
      <vt:lpstr>E3RateA2Total</vt:lpstr>
      <vt:lpstr>E3RateA3Total</vt:lpstr>
      <vt:lpstr>E3RateA4Total</vt:lpstr>
      <vt:lpstr>E3RateB1Total</vt:lpstr>
      <vt:lpstr>E3RateB2Total</vt:lpstr>
      <vt:lpstr>E3RateB3Total</vt:lpstr>
      <vt:lpstr>E3RateB4Total</vt:lpstr>
      <vt:lpstr>E3RateC1Total</vt:lpstr>
      <vt:lpstr>E3RateC2Total</vt:lpstr>
      <vt:lpstr>E3RateC3Total</vt:lpstr>
      <vt:lpstr>E3RateC4Total</vt:lpstr>
      <vt:lpstr>E3RateD1Total</vt:lpstr>
      <vt:lpstr>E3RateD2Total</vt:lpstr>
      <vt:lpstr>E3RateD3Total</vt:lpstr>
      <vt:lpstr>E3RateD4Total</vt:lpstr>
      <vt:lpstr>E3RateE1Total</vt:lpstr>
      <vt:lpstr>E3RateE2Total</vt:lpstr>
      <vt:lpstr>E3RateE3Total</vt:lpstr>
      <vt:lpstr>E3Ratee4Total</vt:lpstr>
      <vt:lpstr>E3RateF1Total</vt:lpstr>
      <vt:lpstr>E3RateF2Total</vt:lpstr>
      <vt:lpstr>E3RateF3Total</vt:lpstr>
      <vt:lpstr>E3RateF4Total</vt:lpstr>
      <vt:lpstr>E3RateG1Total</vt:lpstr>
      <vt:lpstr>E3RateG2Total</vt:lpstr>
      <vt:lpstr>E3RateG3Total</vt:lpstr>
      <vt:lpstr>E3RateG4Total</vt:lpstr>
      <vt:lpstr>E3REM</vt:lpstr>
      <vt:lpstr>E3RVTransfer</vt:lpstr>
      <vt:lpstr>E3S</vt:lpstr>
      <vt:lpstr>E3SI</vt:lpstr>
      <vt:lpstr>E3STransfer</vt:lpstr>
      <vt:lpstr>E3SubsTotal</vt:lpstr>
      <vt:lpstr>E3TDropdowns</vt:lpstr>
      <vt:lpstr>E3TravelTotal</vt:lpstr>
      <vt:lpstr>E3UnitsMirror</vt:lpstr>
      <vt:lpstr>E3WH</vt:lpstr>
      <vt:lpstr>E4ADDA1</vt:lpstr>
      <vt:lpstr>E4ADDA2</vt:lpstr>
      <vt:lpstr>E4ADDA3</vt:lpstr>
      <vt:lpstr>E4ADDA4</vt:lpstr>
      <vt:lpstr>E4ADDB1</vt:lpstr>
      <vt:lpstr>E4ADDB2</vt:lpstr>
      <vt:lpstr>E4ADDB3</vt:lpstr>
      <vt:lpstr>E4ADDB4</vt:lpstr>
      <vt:lpstr>E4ADDC1</vt:lpstr>
      <vt:lpstr>E4ADDC2</vt:lpstr>
      <vt:lpstr>E4ADDC3</vt:lpstr>
      <vt:lpstr>E4ADDC4</vt:lpstr>
      <vt:lpstr>E4ADDD1</vt:lpstr>
      <vt:lpstr>E4ADDD2</vt:lpstr>
      <vt:lpstr>E4ADDD3</vt:lpstr>
      <vt:lpstr>E4ADDD4</vt:lpstr>
      <vt:lpstr>E4ADDE1</vt:lpstr>
      <vt:lpstr>E4ADDE2</vt:lpstr>
      <vt:lpstr>E4ADDE3</vt:lpstr>
      <vt:lpstr>E4ADDE4</vt:lpstr>
      <vt:lpstr>E4ADDF1</vt:lpstr>
      <vt:lpstr>E4ADDF2</vt:lpstr>
      <vt:lpstr>E4ADDF3</vt:lpstr>
      <vt:lpstr>E4ADDF4</vt:lpstr>
      <vt:lpstr>E4ADDG1</vt:lpstr>
      <vt:lpstr>E4ADDG2</vt:lpstr>
      <vt:lpstr>E4ADDG3</vt:lpstr>
      <vt:lpstr>E4ADDG4</vt:lpstr>
      <vt:lpstr>E4AllExpenses</vt:lpstr>
      <vt:lpstr>E4ATransfer</vt:lpstr>
      <vt:lpstr>E4B</vt:lpstr>
      <vt:lpstr>E4BASEA1</vt:lpstr>
      <vt:lpstr>E4BASEA2</vt:lpstr>
      <vt:lpstr>E4BASEA3</vt:lpstr>
      <vt:lpstr>E4BASEA4</vt:lpstr>
      <vt:lpstr>E4BASEB1</vt:lpstr>
      <vt:lpstr>E4BASEB2</vt:lpstr>
      <vt:lpstr>E4BASEB3</vt:lpstr>
      <vt:lpstr>E4BASEB4</vt:lpstr>
      <vt:lpstr>E4BASEC1</vt:lpstr>
      <vt:lpstr>E4BASEC2</vt:lpstr>
      <vt:lpstr>E4BASEC3</vt:lpstr>
      <vt:lpstr>E4BASEC4</vt:lpstr>
      <vt:lpstr>E4BASED1</vt:lpstr>
      <vt:lpstr>E4BASED2</vt:lpstr>
      <vt:lpstr>E4BASED3</vt:lpstr>
      <vt:lpstr>E4BASED4</vt:lpstr>
      <vt:lpstr>E4BASEE1</vt:lpstr>
      <vt:lpstr>E4BASEE2</vt:lpstr>
      <vt:lpstr>E4BASEE3</vt:lpstr>
      <vt:lpstr>E4BASEE4</vt:lpstr>
      <vt:lpstr>E4BASEF1</vt:lpstr>
      <vt:lpstr>E4BASEF2</vt:lpstr>
      <vt:lpstr>E4BASEF3</vt:lpstr>
      <vt:lpstr>E4BASEF4</vt:lpstr>
      <vt:lpstr>E4BASEG1</vt:lpstr>
      <vt:lpstr>E4BASEG2</vt:lpstr>
      <vt:lpstr>E4BASEG3</vt:lpstr>
      <vt:lpstr>E4BASEG4</vt:lpstr>
      <vt:lpstr>E4C</vt:lpstr>
      <vt:lpstr>E4DirectLaborAA45</vt:lpstr>
      <vt:lpstr>E4DirectLaborAB45</vt:lpstr>
      <vt:lpstr>E4DirectLaborAC45</vt:lpstr>
      <vt:lpstr>E4DirectLaborAD45</vt:lpstr>
      <vt:lpstr>E4DirectLaborAE45</vt:lpstr>
      <vt:lpstr>E4DirectLaborD45</vt:lpstr>
      <vt:lpstr>E4DirectLaborE45</vt:lpstr>
      <vt:lpstr>E4DirectLaborF45</vt:lpstr>
      <vt:lpstr>E4DirectLaborG45</vt:lpstr>
      <vt:lpstr>E4DirectLaborH45</vt:lpstr>
      <vt:lpstr>E4DirectLaborI45</vt:lpstr>
      <vt:lpstr>E4DirectLaborJ45</vt:lpstr>
      <vt:lpstr>E4DirectLaborK45</vt:lpstr>
      <vt:lpstr>E4DirectLaborL45</vt:lpstr>
      <vt:lpstr>E4DirectLaborM45</vt:lpstr>
      <vt:lpstr>E4DirectLaborN45</vt:lpstr>
      <vt:lpstr>E4DirectLaborO45</vt:lpstr>
      <vt:lpstr>E4DirectLaborP45</vt:lpstr>
      <vt:lpstr>E4DirectLaborQ45</vt:lpstr>
      <vt:lpstr>E4DirectLaborR45</vt:lpstr>
      <vt:lpstr>E4DirectLaborS45</vt:lpstr>
      <vt:lpstr>E4DirectLaborT45</vt:lpstr>
      <vt:lpstr>E4DirectLaborTotal</vt:lpstr>
      <vt:lpstr>E4DirectLaborU45</vt:lpstr>
      <vt:lpstr>E4DirectLaborV45</vt:lpstr>
      <vt:lpstr>E4DirectLaborW45</vt:lpstr>
      <vt:lpstr>E4DirectLaborX45</vt:lpstr>
      <vt:lpstr>E4DirectLaborY45</vt:lpstr>
      <vt:lpstr>E4DirectLaborZ45</vt:lpstr>
      <vt:lpstr>E4Dropdown</vt:lpstr>
      <vt:lpstr>E4EquipmentTotal</vt:lpstr>
      <vt:lpstr>E4ETransfer</vt:lpstr>
      <vt:lpstr>E4ExpenseTotal</vt:lpstr>
      <vt:lpstr>E4GEN</vt:lpstr>
      <vt:lpstr>E4IncludeExpenses</vt:lpstr>
      <vt:lpstr>E4IncludeLab</vt:lpstr>
      <vt:lpstr>E4IncludeLabor</vt:lpstr>
      <vt:lpstr>E4IncludeProcure</vt:lpstr>
      <vt:lpstr>E4IncludeSubs</vt:lpstr>
      <vt:lpstr>E4LaborTotal</vt:lpstr>
      <vt:lpstr>E4LabTotal</vt:lpstr>
      <vt:lpstr>E4LTransfer</vt:lpstr>
      <vt:lpstr>E4M</vt:lpstr>
      <vt:lpstr>E4MTransfer</vt:lpstr>
      <vt:lpstr>E4O</vt:lpstr>
      <vt:lpstr>E4OTHER</vt:lpstr>
      <vt:lpstr>E4OverheadAA46</vt:lpstr>
      <vt:lpstr>E4OverheadAB46</vt:lpstr>
      <vt:lpstr>E4OverheadAC46</vt:lpstr>
      <vt:lpstr>E4OverheadAD46</vt:lpstr>
      <vt:lpstr>E4OverheadAE46</vt:lpstr>
      <vt:lpstr>E4OverheadD46</vt:lpstr>
      <vt:lpstr>E4OverheadE46</vt:lpstr>
      <vt:lpstr>E4OverheadF46</vt:lpstr>
      <vt:lpstr>E4OverheadG46</vt:lpstr>
      <vt:lpstr>E4OverheadH46</vt:lpstr>
      <vt:lpstr>E4OverheadI46</vt:lpstr>
      <vt:lpstr>E4OverheadJ46</vt:lpstr>
      <vt:lpstr>E4OverheadK46</vt:lpstr>
      <vt:lpstr>E4OverheadL46</vt:lpstr>
      <vt:lpstr>E4OverheadM46</vt:lpstr>
      <vt:lpstr>E4OverheadN46</vt:lpstr>
      <vt:lpstr>E4OverheadO46</vt:lpstr>
      <vt:lpstr>E4OverheadP46</vt:lpstr>
      <vt:lpstr>E4OverheadQ46</vt:lpstr>
      <vt:lpstr>E4OverheadR46</vt:lpstr>
      <vt:lpstr>E4OverheadS46</vt:lpstr>
      <vt:lpstr>E4OverheadT46</vt:lpstr>
      <vt:lpstr>E4OverheadTotal</vt:lpstr>
      <vt:lpstr>E4OverheadU46</vt:lpstr>
      <vt:lpstr>E4OverheadV46</vt:lpstr>
      <vt:lpstr>E4OverheadW46</vt:lpstr>
      <vt:lpstr>E4OverheadX46</vt:lpstr>
      <vt:lpstr>E4OverheadY46</vt:lpstr>
      <vt:lpstr>E4OverheadZ46</vt:lpstr>
      <vt:lpstr>E4OVTransfer</vt:lpstr>
      <vt:lpstr>E4R</vt:lpstr>
      <vt:lpstr>E4RateA1Total</vt:lpstr>
      <vt:lpstr>E4RateA2Total</vt:lpstr>
      <vt:lpstr>E4RateA3Total</vt:lpstr>
      <vt:lpstr>E4RateA4Total</vt:lpstr>
      <vt:lpstr>E4RateB1Total</vt:lpstr>
      <vt:lpstr>E4RateB2Total</vt:lpstr>
      <vt:lpstr>E4RateB3Total</vt:lpstr>
      <vt:lpstr>E4RateB4Total</vt:lpstr>
      <vt:lpstr>E4RateC1Total</vt:lpstr>
      <vt:lpstr>E4RateC2Total</vt:lpstr>
      <vt:lpstr>E4RateC3Total</vt:lpstr>
      <vt:lpstr>E4RateC4Total</vt:lpstr>
      <vt:lpstr>E4RateD1Total</vt:lpstr>
      <vt:lpstr>E4RateD2Total</vt:lpstr>
      <vt:lpstr>E4RateD3Total</vt:lpstr>
      <vt:lpstr>E4RateD4Total</vt:lpstr>
      <vt:lpstr>E4RateE1Total</vt:lpstr>
      <vt:lpstr>E4RateE2Total</vt:lpstr>
      <vt:lpstr>E4RateE3Total</vt:lpstr>
      <vt:lpstr>E4RateE4Total</vt:lpstr>
      <vt:lpstr>E4RateF1Total</vt:lpstr>
      <vt:lpstr>E4RateF2Total</vt:lpstr>
      <vt:lpstr>E4RateF3Total</vt:lpstr>
      <vt:lpstr>E4RateF4Total</vt:lpstr>
      <vt:lpstr>E4RateG1Total</vt:lpstr>
      <vt:lpstr>E4RateG2Total</vt:lpstr>
      <vt:lpstr>E4RateG3Total</vt:lpstr>
      <vt:lpstr>E4RateG4Total</vt:lpstr>
      <vt:lpstr>E4REM</vt:lpstr>
      <vt:lpstr>E4RVTransfer</vt:lpstr>
      <vt:lpstr>E4S</vt:lpstr>
      <vt:lpstr>E4SI</vt:lpstr>
      <vt:lpstr>E4STransfer</vt:lpstr>
      <vt:lpstr>E4SubsTotal</vt:lpstr>
      <vt:lpstr>E4TDropdowns</vt:lpstr>
      <vt:lpstr>E4TravelTotal</vt:lpstr>
      <vt:lpstr>E4UnitsMirror</vt:lpstr>
      <vt:lpstr>E4WH</vt:lpstr>
      <vt:lpstr>E5ADDA1</vt:lpstr>
      <vt:lpstr>E5ADDA2</vt:lpstr>
      <vt:lpstr>E5ADDA3</vt:lpstr>
      <vt:lpstr>E5ADDA4</vt:lpstr>
      <vt:lpstr>E5ADDB1</vt:lpstr>
      <vt:lpstr>E5ADDB2</vt:lpstr>
      <vt:lpstr>E5ADDB3</vt:lpstr>
      <vt:lpstr>E5ADDB4</vt:lpstr>
      <vt:lpstr>E5ADDC1</vt:lpstr>
      <vt:lpstr>E5ADDC2</vt:lpstr>
      <vt:lpstr>E5ADDC3</vt:lpstr>
      <vt:lpstr>E5ADDC4</vt:lpstr>
      <vt:lpstr>E5ADDD1</vt:lpstr>
      <vt:lpstr>E5ADDD2</vt:lpstr>
      <vt:lpstr>E5ADDD3</vt:lpstr>
      <vt:lpstr>E5ADDD4</vt:lpstr>
      <vt:lpstr>E5ADDE1</vt:lpstr>
      <vt:lpstr>E5ADDE2</vt:lpstr>
      <vt:lpstr>E5ADDE3</vt:lpstr>
      <vt:lpstr>E5ADDE4</vt:lpstr>
      <vt:lpstr>E5ADDF1</vt:lpstr>
      <vt:lpstr>E5ADDF2</vt:lpstr>
      <vt:lpstr>E5ADDF3</vt:lpstr>
      <vt:lpstr>E5ADDF4</vt:lpstr>
      <vt:lpstr>E5ADDG1</vt:lpstr>
      <vt:lpstr>E5ADDG2</vt:lpstr>
      <vt:lpstr>E5ADDG3</vt:lpstr>
      <vt:lpstr>E5ADDG4</vt:lpstr>
      <vt:lpstr>E5AllExpenses</vt:lpstr>
      <vt:lpstr>E5ATransfer</vt:lpstr>
      <vt:lpstr>E5B</vt:lpstr>
      <vt:lpstr>E5BASEA1</vt:lpstr>
      <vt:lpstr>E5BASEA2</vt:lpstr>
      <vt:lpstr>E5BASEA3</vt:lpstr>
      <vt:lpstr>E5BASEA4</vt:lpstr>
      <vt:lpstr>E5BASEB1</vt:lpstr>
      <vt:lpstr>E5BASEB2</vt:lpstr>
      <vt:lpstr>E5BASEB3</vt:lpstr>
      <vt:lpstr>E5BASEB4</vt:lpstr>
      <vt:lpstr>E5BASEC1</vt:lpstr>
      <vt:lpstr>E5BASEC2</vt:lpstr>
      <vt:lpstr>E5BASEC3</vt:lpstr>
      <vt:lpstr>E5BASEC4</vt:lpstr>
      <vt:lpstr>E5BASED1</vt:lpstr>
      <vt:lpstr>E5BASED2</vt:lpstr>
      <vt:lpstr>E5BASED3</vt:lpstr>
      <vt:lpstr>E5BASED4</vt:lpstr>
      <vt:lpstr>E5BASEE1</vt:lpstr>
      <vt:lpstr>E5BASEE2</vt:lpstr>
      <vt:lpstr>E5BASEE3</vt:lpstr>
      <vt:lpstr>E5BASEE4</vt:lpstr>
      <vt:lpstr>E5BASEF1</vt:lpstr>
      <vt:lpstr>E5BASEF2</vt:lpstr>
      <vt:lpstr>E5BASEF3</vt:lpstr>
      <vt:lpstr>E5BASEF4</vt:lpstr>
      <vt:lpstr>E5BASEG1</vt:lpstr>
      <vt:lpstr>E5BASEG2</vt:lpstr>
      <vt:lpstr>E5BASEG3</vt:lpstr>
      <vt:lpstr>E5BASEG4</vt:lpstr>
      <vt:lpstr>E5C</vt:lpstr>
      <vt:lpstr>E5DirectLaborAA45</vt:lpstr>
      <vt:lpstr>E5DirectLaborAB45</vt:lpstr>
      <vt:lpstr>E5DirectLaborAC45</vt:lpstr>
      <vt:lpstr>E5DirectLaborAD45</vt:lpstr>
      <vt:lpstr>E5DirectLaborAE45</vt:lpstr>
      <vt:lpstr>E5DirectLaborD45</vt:lpstr>
      <vt:lpstr>E5DirectLaborE45</vt:lpstr>
      <vt:lpstr>E5DirectLaborF45</vt:lpstr>
      <vt:lpstr>E5DirectLaborG45</vt:lpstr>
      <vt:lpstr>E5DirectLaborH45</vt:lpstr>
      <vt:lpstr>E5DirectLaborI45</vt:lpstr>
      <vt:lpstr>E5DirectLaborJ45</vt:lpstr>
      <vt:lpstr>E5DirectLaborK45</vt:lpstr>
      <vt:lpstr>E5DirectLaborL45</vt:lpstr>
      <vt:lpstr>E5DirectLaborM45</vt:lpstr>
      <vt:lpstr>E5DirectLaborN45</vt:lpstr>
      <vt:lpstr>E5DirectLaborO45</vt:lpstr>
      <vt:lpstr>E5DirectLaborP45</vt:lpstr>
      <vt:lpstr>E5DirectLaborQ45</vt:lpstr>
      <vt:lpstr>E5DirectLaborR45</vt:lpstr>
      <vt:lpstr>E5DirectLaborS45</vt:lpstr>
      <vt:lpstr>E5DirectLaborT45</vt:lpstr>
      <vt:lpstr>E5DirectLaborTotal</vt:lpstr>
      <vt:lpstr>E5DirectLaborU45</vt:lpstr>
      <vt:lpstr>E5DirectLaborV45</vt:lpstr>
      <vt:lpstr>E5DirectLaborW45</vt:lpstr>
      <vt:lpstr>E5DirectLaborX45</vt:lpstr>
      <vt:lpstr>E5DirectLaborY45</vt:lpstr>
      <vt:lpstr>E5DirectLaborZ45</vt:lpstr>
      <vt:lpstr>E5Dropdown</vt:lpstr>
      <vt:lpstr>E5EquipmentTotal</vt:lpstr>
      <vt:lpstr>E5ETransfer</vt:lpstr>
      <vt:lpstr>E5ExpenseTotal</vt:lpstr>
      <vt:lpstr>E5GEN</vt:lpstr>
      <vt:lpstr>E5IncludeExpenses</vt:lpstr>
      <vt:lpstr>E5IncludeLab</vt:lpstr>
      <vt:lpstr>E5IncludeLabor</vt:lpstr>
      <vt:lpstr>E5IncludeProcure</vt:lpstr>
      <vt:lpstr>E5IncludeSubs</vt:lpstr>
      <vt:lpstr>E5LaborTotal</vt:lpstr>
      <vt:lpstr>E5LabTotal</vt:lpstr>
      <vt:lpstr>E5LTransfer</vt:lpstr>
      <vt:lpstr>E5M</vt:lpstr>
      <vt:lpstr>E5MTransfer</vt:lpstr>
      <vt:lpstr>E5O</vt:lpstr>
      <vt:lpstr>E5OTHER</vt:lpstr>
      <vt:lpstr>E5OverheadAA46</vt:lpstr>
      <vt:lpstr>E5OverheadAB46</vt:lpstr>
      <vt:lpstr>E5OverheadAC46</vt:lpstr>
      <vt:lpstr>E5OverheadAD46</vt:lpstr>
      <vt:lpstr>E5OverheadAE46</vt:lpstr>
      <vt:lpstr>E5OverheadD46</vt:lpstr>
      <vt:lpstr>E5OverheadE46</vt:lpstr>
      <vt:lpstr>E5OverheadF46</vt:lpstr>
      <vt:lpstr>E5OverheadG46</vt:lpstr>
      <vt:lpstr>E5OverheadH46</vt:lpstr>
      <vt:lpstr>E5OverheadI46</vt:lpstr>
      <vt:lpstr>E5OverheadJ46</vt:lpstr>
      <vt:lpstr>E5OverheadK46</vt:lpstr>
      <vt:lpstr>E5OverheadL46</vt:lpstr>
      <vt:lpstr>E5OverheadM46</vt:lpstr>
      <vt:lpstr>E5OverheadN46</vt:lpstr>
      <vt:lpstr>E5OverheadO46</vt:lpstr>
      <vt:lpstr>E5OverheadP46</vt:lpstr>
      <vt:lpstr>E5OverheadQ46</vt:lpstr>
      <vt:lpstr>E5OverheadR46</vt:lpstr>
      <vt:lpstr>E5OverheadS46</vt:lpstr>
      <vt:lpstr>E5OverheadT46</vt:lpstr>
      <vt:lpstr>E5OverheadTotal</vt:lpstr>
      <vt:lpstr>E5OverheadU46</vt:lpstr>
      <vt:lpstr>E5OverheadV46</vt:lpstr>
      <vt:lpstr>E5OverheadW46</vt:lpstr>
      <vt:lpstr>E5OverheadX46</vt:lpstr>
      <vt:lpstr>E5OverheadY46</vt:lpstr>
      <vt:lpstr>E5OverheadZ46</vt:lpstr>
      <vt:lpstr>E5OVTransfer</vt:lpstr>
      <vt:lpstr>E5R</vt:lpstr>
      <vt:lpstr>E5RateA1Total</vt:lpstr>
      <vt:lpstr>E5RateA2Total</vt:lpstr>
      <vt:lpstr>E5RateA3Total</vt:lpstr>
      <vt:lpstr>E5RateA4Total</vt:lpstr>
      <vt:lpstr>E5RateB1Total</vt:lpstr>
      <vt:lpstr>E5rateB2Total</vt:lpstr>
      <vt:lpstr>E5RateB3Total</vt:lpstr>
      <vt:lpstr>E5RateB4Total</vt:lpstr>
      <vt:lpstr>E5RateC1Total</vt:lpstr>
      <vt:lpstr>E5RateC2Total</vt:lpstr>
      <vt:lpstr>E5RateC3Total</vt:lpstr>
      <vt:lpstr>E5RateC4Total</vt:lpstr>
      <vt:lpstr>E5RateD1Total</vt:lpstr>
      <vt:lpstr>E5RateD2Total</vt:lpstr>
      <vt:lpstr>E5RateD3Total</vt:lpstr>
      <vt:lpstr>E5RateD4Total</vt:lpstr>
      <vt:lpstr>E5RateE1Total</vt:lpstr>
      <vt:lpstr>E5RateE2Total</vt:lpstr>
      <vt:lpstr>E5RateE3Total</vt:lpstr>
      <vt:lpstr>E5RateE4Total</vt:lpstr>
      <vt:lpstr>E5RateF1Total</vt:lpstr>
      <vt:lpstr>E5RateF2Total</vt:lpstr>
      <vt:lpstr>E5RateF3Total</vt:lpstr>
      <vt:lpstr>E5RateF4Total</vt:lpstr>
      <vt:lpstr>E5RateG1Total</vt:lpstr>
      <vt:lpstr>E5RateG2Total</vt:lpstr>
      <vt:lpstr>E5RateG3Total</vt:lpstr>
      <vt:lpstr>E5RateG4Total</vt:lpstr>
      <vt:lpstr>E5REM</vt:lpstr>
      <vt:lpstr>E5RVTransfer</vt:lpstr>
      <vt:lpstr>E5S</vt:lpstr>
      <vt:lpstr>E5SI</vt:lpstr>
      <vt:lpstr>E5STransfer</vt:lpstr>
      <vt:lpstr>E5SubsTotal</vt:lpstr>
      <vt:lpstr>E5TDropdowns</vt:lpstr>
      <vt:lpstr>E5TravelTotal</vt:lpstr>
      <vt:lpstr>E5UnitsMirror</vt:lpstr>
      <vt:lpstr>E5WH</vt:lpstr>
      <vt:lpstr>E69ADDE3</vt:lpstr>
      <vt:lpstr>E6ADDA1</vt:lpstr>
      <vt:lpstr>E6ADDA2</vt:lpstr>
      <vt:lpstr>E6ADDA3</vt:lpstr>
      <vt:lpstr>E6ADDA4</vt:lpstr>
      <vt:lpstr>E6ADDB1</vt:lpstr>
      <vt:lpstr>E6ADDB2</vt:lpstr>
      <vt:lpstr>E6ADDB3</vt:lpstr>
      <vt:lpstr>E6ADDB4</vt:lpstr>
      <vt:lpstr>E6ADDC1</vt:lpstr>
      <vt:lpstr>E6ADDC2</vt:lpstr>
      <vt:lpstr>E6ADDC3</vt:lpstr>
      <vt:lpstr>E6ADDC4</vt:lpstr>
      <vt:lpstr>E6ADDD1</vt:lpstr>
      <vt:lpstr>E6ADDD2</vt:lpstr>
      <vt:lpstr>E6ADDD3</vt:lpstr>
      <vt:lpstr>E6ADDD4</vt:lpstr>
      <vt:lpstr>E6ADDE1</vt:lpstr>
      <vt:lpstr>E6ADDE2</vt:lpstr>
      <vt:lpstr>E6ADDE3</vt:lpstr>
      <vt:lpstr>E6ADDE4</vt:lpstr>
      <vt:lpstr>E6ADDF1</vt:lpstr>
      <vt:lpstr>E6ADDF2</vt:lpstr>
      <vt:lpstr>E6ADDF3</vt:lpstr>
      <vt:lpstr>E6ADDF4</vt:lpstr>
      <vt:lpstr>E6ADDG1</vt:lpstr>
      <vt:lpstr>E6ADDG2</vt:lpstr>
      <vt:lpstr>E6ADDG3</vt:lpstr>
      <vt:lpstr>E6ADDG4</vt:lpstr>
      <vt:lpstr>E6AllExpenses</vt:lpstr>
      <vt:lpstr>E6ATransfer</vt:lpstr>
      <vt:lpstr>E6B</vt:lpstr>
      <vt:lpstr>E6BASEA1</vt:lpstr>
      <vt:lpstr>E6BASEA2</vt:lpstr>
      <vt:lpstr>E6BASEA3</vt:lpstr>
      <vt:lpstr>E6BASEA4</vt:lpstr>
      <vt:lpstr>E6BASEB1</vt:lpstr>
      <vt:lpstr>E6BASEB2</vt:lpstr>
      <vt:lpstr>E6BASEB3</vt:lpstr>
      <vt:lpstr>E6BASEB4</vt:lpstr>
      <vt:lpstr>E6BASEC1</vt:lpstr>
      <vt:lpstr>E6BASEC2</vt:lpstr>
      <vt:lpstr>E6BASEC3</vt:lpstr>
      <vt:lpstr>E6BASEC4</vt:lpstr>
      <vt:lpstr>E6BASED1</vt:lpstr>
      <vt:lpstr>E6BASED2</vt:lpstr>
      <vt:lpstr>E6BASED3</vt:lpstr>
      <vt:lpstr>E6BASED4</vt:lpstr>
      <vt:lpstr>E6BASEE1</vt:lpstr>
      <vt:lpstr>E6BASEE2</vt:lpstr>
      <vt:lpstr>E6BASEE3</vt:lpstr>
      <vt:lpstr>E6BASEE4</vt:lpstr>
      <vt:lpstr>E6BASEF1</vt:lpstr>
      <vt:lpstr>E6BASEF2</vt:lpstr>
      <vt:lpstr>E6BASEF3</vt:lpstr>
      <vt:lpstr>E6BASEF4</vt:lpstr>
      <vt:lpstr>E6BASEG1</vt:lpstr>
      <vt:lpstr>E6BASEG2</vt:lpstr>
      <vt:lpstr>E6BASEG3</vt:lpstr>
      <vt:lpstr>E6BASEG4</vt:lpstr>
      <vt:lpstr>E6C</vt:lpstr>
      <vt:lpstr>E6DirectLaborAA45</vt:lpstr>
      <vt:lpstr>E6DirectLaborAB45</vt:lpstr>
      <vt:lpstr>E6DirectLaborAC45</vt:lpstr>
      <vt:lpstr>E6DirectLaborAD45</vt:lpstr>
      <vt:lpstr>E6DirectLaborAE45</vt:lpstr>
      <vt:lpstr>E6DirectLaborD45</vt:lpstr>
      <vt:lpstr>E6DirectLaborE45</vt:lpstr>
      <vt:lpstr>E6DirectLaborF45</vt:lpstr>
      <vt:lpstr>E6DirectLaborG45</vt:lpstr>
      <vt:lpstr>E6DirectLaborH45</vt:lpstr>
      <vt:lpstr>E6DirectLaborI45</vt:lpstr>
      <vt:lpstr>E6DirectLaborJ45</vt:lpstr>
      <vt:lpstr>E6DirectLaborK45</vt:lpstr>
      <vt:lpstr>E6DirectLaborL45</vt:lpstr>
      <vt:lpstr>E6DirectLaborM45</vt:lpstr>
      <vt:lpstr>E6DirectLaborN45</vt:lpstr>
      <vt:lpstr>E6DirectLaborO45</vt:lpstr>
      <vt:lpstr>E6DirectLaborP45</vt:lpstr>
      <vt:lpstr>E6DirectLaborQ45</vt:lpstr>
      <vt:lpstr>E6DirectLaborR45</vt:lpstr>
      <vt:lpstr>E6DirectLaborS45</vt:lpstr>
      <vt:lpstr>E6DirectLaborT45</vt:lpstr>
      <vt:lpstr>E6DirectLaborTotal</vt:lpstr>
      <vt:lpstr>E6DirectLaborU45</vt:lpstr>
      <vt:lpstr>E6DirectLaborV45</vt:lpstr>
      <vt:lpstr>E6DirectLaborW45</vt:lpstr>
      <vt:lpstr>E6DirectLaborX45</vt:lpstr>
      <vt:lpstr>E6DirectLaborY45</vt:lpstr>
      <vt:lpstr>E6DirectLaborZ45</vt:lpstr>
      <vt:lpstr>E6Dropdown</vt:lpstr>
      <vt:lpstr>E6EquipmentTotal</vt:lpstr>
      <vt:lpstr>E6ETransfer</vt:lpstr>
      <vt:lpstr>E6ExpenseTotal</vt:lpstr>
      <vt:lpstr>E6GEN</vt:lpstr>
      <vt:lpstr>E6IncludeExpenses</vt:lpstr>
      <vt:lpstr>E6IncludeLab</vt:lpstr>
      <vt:lpstr>E6IncludeLabor</vt:lpstr>
      <vt:lpstr>E6IncludeProcure</vt:lpstr>
      <vt:lpstr>E6IncludeSubs</vt:lpstr>
      <vt:lpstr>E6LaborTotal</vt:lpstr>
      <vt:lpstr>E6LabTotal</vt:lpstr>
      <vt:lpstr>E6LTransfer</vt:lpstr>
      <vt:lpstr>E6M</vt:lpstr>
      <vt:lpstr>E6MTransfer</vt:lpstr>
      <vt:lpstr>E6O</vt:lpstr>
      <vt:lpstr>E6OTHER</vt:lpstr>
      <vt:lpstr>E6OverheadAA46</vt:lpstr>
      <vt:lpstr>E6OverheadAB46</vt:lpstr>
      <vt:lpstr>E6OverheadAC46</vt:lpstr>
      <vt:lpstr>E6OverheadAD46</vt:lpstr>
      <vt:lpstr>E6OverheadAE46</vt:lpstr>
      <vt:lpstr>E6OverheadD46</vt:lpstr>
      <vt:lpstr>E6OverheadE46</vt:lpstr>
      <vt:lpstr>E6OverheadF46</vt:lpstr>
      <vt:lpstr>E6OverheadG46</vt:lpstr>
      <vt:lpstr>E6OverheadH46</vt:lpstr>
      <vt:lpstr>E6OverheadI46</vt:lpstr>
      <vt:lpstr>E6OverheadJ46</vt:lpstr>
      <vt:lpstr>E6OverheadK46</vt:lpstr>
      <vt:lpstr>E6OverheadL46</vt:lpstr>
      <vt:lpstr>E6OverheadM46</vt:lpstr>
      <vt:lpstr>E6OverheadN46</vt:lpstr>
      <vt:lpstr>E6OverheadO46</vt:lpstr>
      <vt:lpstr>E6OverheadP46</vt:lpstr>
      <vt:lpstr>E6OverheadQ46</vt:lpstr>
      <vt:lpstr>E6OverheadR46</vt:lpstr>
      <vt:lpstr>E6OverheadS46</vt:lpstr>
      <vt:lpstr>E6OverheadT46</vt:lpstr>
      <vt:lpstr>E6OverheadTotal</vt:lpstr>
      <vt:lpstr>E6OverheadU46</vt:lpstr>
      <vt:lpstr>E6OverheadV46</vt:lpstr>
      <vt:lpstr>E6OverheadW46</vt:lpstr>
      <vt:lpstr>E6OverheadX46</vt:lpstr>
      <vt:lpstr>E6OverheadY46</vt:lpstr>
      <vt:lpstr>E6OverheadZ46</vt:lpstr>
      <vt:lpstr>E6OVTransfer</vt:lpstr>
      <vt:lpstr>E6R</vt:lpstr>
      <vt:lpstr>E6RateA1Total</vt:lpstr>
      <vt:lpstr>E6RateA2Total</vt:lpstr>
      <vt:lpstr>E6RateA3Total</vt:lpstr>
      <vt:lpstr>E6RateA4Total</vt:lpstr>
      <vt:lpstr>E6RateB1Total</vt:lpstr>
      <vt:lpstr>E6RateB2Total</vt:lpstr>
      <vt:lpstr>E6RateB3Total</vt:lpstr>
      <vt:lpstr>E6RateB4Total</vt:lpstr>
      <vt:lpstr>E6RateC1Total</vt:lpstr>
      <vt:lpstr>E6RateC2Total</vt:lpstr>
      <vt:lpstr>E6RateC3Total</vt:lpstr>
      <vt:lpstr>E6RateC4Total</vt:lpstr>
      <vt:lpstr>E6RateD1Total</vt:lpstr>
      <vt:lpstr>E6RateD2Total</vt:lpstr>
      <vt:lpstr>E6RateD3Total</vt:lpstr>
      <vt:lpstr>E6RateD4Total</vt:lpstr>
      <vt:lpstr>E6RateE1Total</vt:lpstr>
      <vt:lpstr>E6RateE2Total</vt:lpstr>
      <vt:lpstr>E6RateE3Total</vt:lpstr>
      <vt:lpstr>E6RateE4Total</vt:lpstr>
      <vt:lpstr>E6RateF1Total</vt:lpstr>
      <vt:lpstr>E6RateF2Total</vt:lpstr>
      <vt:lpstr>E6RateF3Total</vt:lpstr>
      <vt:lpstr>E6RateF4Total</vt:lpstr>
      <vt:lpstr>E6RateG1Total</vt:lpstr>
      <vt:lpstr>E6RateG2Total</vt:lpstr>
      <vt:lpstr>E6RateG3Total</vt:lpstr>
      <vt:lpstr>E6RateG4Total</vt:lpstr>
      <vt:lpstr>E6REM</vt:lpstr>
      <vt:lpstr>E6RVTransfer</vt:lpstr>
      <vt:lpstr>E6S</vt:lpstr>
      <vt:lpstr>E6SI</vt:lpstr>
      <vt:lpstr>E6STransfer</vt:lpstr>
      <vt:lpstr>E6SubsTotal</vt:lpstr>
      <vt:lpstr>E6TDropdowns</vt:lpstr>
      <vt:lpstr>E6TravelTotal</vt:lpstr>
      <vt:lpstr>E6UnitsMirror</vt:lpstr>
      <vt:lpstr>E6WH</vt:lpstr>
      <vt:lpstr>E7ADDA1</vt:lpstr>
      <vt:lpstr>E7ADDA2</vt:lpstr>
      <vt:lpstr>E7ADDA3</vt:lpstr>
      <vt:lpstr>E7ADDA4</vt:lpstr>
      <vt:lpstr>E7ADDB1</vt:lpstr>
      <vt:lpstr>E7ADDB2</vt:lpstr>
      <vt:lpstr>E7ADDB3</vt:lpstr>
      <vt:lpstr>E7ADDB4</vt:lpstr>
      <vt:lpstr>E7ADDC1</vt:lpstr>
      <vt:lpstr>E7ADDC2</vt:lpstr>
      <vt:lpstr>E7ADDC3</vt:lpstr>
      <vt:lpstr>E7ADDC4</vt:lpstr>
      <vt:lpstr>E7ADDD1</vt:lpstr>
      <vt:lpstr>E7ADDD2</vt:lpstr>
      <vt:lpstr>E7ADDD3</vt:lpstr>
      <vt:lpstr>E7ADDD4</vt:lpstr>
      <vt:lpstr>E7ADDE1</vt:lpstr>
      <vt:lpstr>E7ADDE2</vt:lpstr>
      <vt:lpstr>E7ADDE3</vt:lpstr>
      <vt:lpstr>E7ADDE4</vt:lpstr>
      <vt:lpstr>E7ADDF1</vt:lpstr>
      <vt:lpstr>E7ADDF2</vt:lpstr>
      <vt:lpstr>E7ADDF3</vt:lpstr>
      <vt:lpstr>E7ADDF4</vt:lpstr>
      <vt:lpstr>E7ADDG1</vt:lpstr>
      <vt:lpstr>E7ADDG2</vt:lpstr>
      <vt:lpstr>E7ADDG3</vt:lpstr>
      <vt:lpstr>E7ADDG4</vt:lpstr>
      <vt:lpstr>E7ATransfer</vt:lpstr>
      <vt:lpstr>E7B</vt:lpstr>
      <vt:lpstr>E7BASEA1</vt:lpstr>
      <vt:lpstr>E7BASEA2</vt:lpstr>
      <vt:lpstr>E7BASEA3</vt:lpstr>
      <vt:lpstr>E7BASEA4</vt:lpstr>
      <vt:lpstr>E7BASEB1</vt:lpstr>
      <vt:lpstr>E7BASEB2</vt:lpstr>
      <vt:lpstr>E7BASEB3</vt:lpstr>
      <vt:lpstr>E7BASEB4</vt:lpstr>
      <vt:lpstr>E7BASEC1</vt:lpstr>
      <vt:lpstr>E7BASEC2</vt:lpstr>
      <vt:lpstr>E7BASEC3</vt:lpstr>
      <vt:lpstr>E7BASEC4</vt:lpstr>
      <vt:lpstr>E7BASED1</vt:lpstr>
      <vt:lpstr>E7BASED2</vt:lpstr>
      <vt:lpstr>E7BASED3</vt:lpstr>
      <vt:lpstr>E7BASED4</vt:lpstr>
      <vt:lpstr>E7BASEE1</vt:lpstr>
      <vt:lpstr>E7BASEE2</vt:lpstr>
      <vt:lpstr>E7BASEE3</vt:lpstr>
      <vt:lpstr>E7BASEE4</vt:lpstr>
      <vt:lpstr>E7BASEF1</vt:lpstr>
      <vt:lpstr>E7BASEF2</vt:lpstr>
      <vt:lpstr>E7BASEF3</vt:lpstr>
      <vt:lpstr>E7BASEF4</vt:lpstr>
      <vt:lpstr>E7BASEG1</vt:lpstr>
      <vt:lpstr>E7BASEG2</vt:lpstr>
      <vt:lpstr>E7BASEG3</vt:lpstr>
      <vt:lpstr>E7BASEG4</vt:lpstr>
      <vt:lpstr>E7C</vt:lpstr>
      <vt:lpstr>E7DirectLaborAA45</vt:lpstr>
      <vt:lpstr>E7DirectLaborAB45</vt:lpstr>
      <vt:lpstr>E7DirectLaborAC45</vt:lpstr>
      <vt:lpstr>E7DirectLaborAD45</vt:lpstr>
      <vt:lpstr>E7DirectLaborAE45</vt:lpstr>
      <vt:lpstr>E7DirectLaborD45</vt:lpstr>
      <vt:lpstr>E7DirectLaborE45</vt:lpstr>
      <vt:lpstr>E7DirectLaborF45</vt:lpstr>
      <vt:lpstr>E7DirectLaborG45</vt:lpstr>
      <vt:lpstr>E7DirectLaborH45</vt:lpstr>
      <vt:lpstr>E7DirectLaborI45</vt:lpstr>
      <vt:lpstr>E7DirectLaborJ45</vt:lpstr>
      <vt:lpstr>E7DirectLaborK45</vt:lpstr>
      <vt:lpstr>E7DirectLaborL45</vt:lpstr>
      <vt:lpstr>E7DirectLaborM45</vt:lpstr>
      <vt:lpstr>E7DirectLaborN45</vt:lpstr>
      <vt:lpstr>E7DirectLaborO45</vt:lpstr>
      <vt:lpstr>E7DirectLaborP45</vt:lpstr>
      <vt:lpstr>E7DirectLaborQ45</vt:lpstr>
      <vt:lpstr>E7DirectLaborR45</vt:lpstr>
      <vt:lpstr>E7DirectLaborS45</vt:lpstr>
      <vt:lpstr>E7DirectLaborT45</vt:lpstr>
      <vt:lpstr>E7DirectLaborTotal</vt:lpstr>
      <vt:lpstr>E7DirectLaborU45</vt:lpstr>
      <vt:lpstr>E7DirectLaborV45</vt:lpstr>
      <vt:lpstr>E7DirectLaborW45</vt:lpstr>
      <vt:lpstr>E7DirectLaborX45</vt:lpstr>
      <vt:lpstr>E7DirectLaborY45</vt:lpstr>
      <vt:lpstr>E7DirectLaborZ45</vt:lpstr>
      <vt:lpstr>E7Dropdown</vt:lpstr>
      <vt:lpstr>E7EquipmentTotal</vt:lpstr>
      <vt:lpstr>E7ETransfer</vt:lpstr>
      <vt:lpstr>E7ExpenseTotal</vt:lpstr>
      <vt:lpstr>E7GEN</vt:lpstr>
      <vt:lpstr>E7IncludeExpenses</vt:lpstr>
      <vt:lpstr>E7IncludeLab</vt:lpstr>
      <vt:lpstr>E7IncludeLabor</vt:lpstr>
      <vt:lpstr>E7IncludeProcure</vt:lpstr>
      <vt:lpstr>E7IncludeSubs</vt:lpstr>
      <vt:lpstr>E7InsuranceFee</vt:lpstr>
      <vt:lpstr>E7LaborTotal</vt:lpstr>
      <vt:lpstr>E7LabTotal</vt:lpstr>
      <vt:lpstr>E7LTransfer</vt:lpstr>
      <vt:lpstr>E7M</vt:lpstr>
      <vt:lpstr>E7MTransfer</vt:lpstr>
      <vt:lpstr>E7O</vt:lpstr>
      <vt:lpstr>E7OTHER</vt:lpstr>
      <vt:lpstr>E7OverheadAA46</vt:lpstr>
      <vt:lpstr>E7OverheadAB46</vt:lpstr>
      <vt:lpstr>E7OverheadAC46</vt:lpstr>
      <vt:lpstr>E7OverheadAD46</vt:lpstr>
      <vt:lpstr>E7OverheadAE46</vt:lpstr>
      <vt:lpstr>E7OverheadD46</vt:lpstr>
      <vt:lpstr>E7OverheadE46</vt:lpstr>
      <vt:lpstr>E7OverheadF46</vt:lpstr>
      <vt:lpstr>E7OverheadG46</vt:lpstr>
      <vt:lpstr>E7OverheadH46</vt:lpstr>
      <vt:lpstr>E7OverheadI46</vt:lpstr>
      <vt:lpstr>E7OverheadJ46</vt:lpstr>
      <vt:lpstr>E7OverheadK46</vt:lpstr>
      <vt:lpstr>E7OverheadL46</vt:lpstr>
      <vt:lpstr>E7OverheadM46</vt:lpstr>
      <vt:lpstr>E7OverheadN46</vt:lpstr>
      <vt:lpstr>E7OverheadO46</vt:lpstr>
      <vt:lpstr>E7OverheadP46</vt:lpstr>
      <vt:lpstr>E7OverheadQ46</vt:lpstr>
      <vt:lpstr>E7OverheadR46</vt:lpstr>
      <vt:lpstr>E7OverheadS46</vt:lpstr>
      <vt:lpstr>E7OverheadT46</vt:lpstr>
      <vt:lpstr>E7OverheadTotal</vt:lpstr>
      <vt:lpstr>E7OverheadU46</vt:lpstr>
      <vt:lpstr>E7OverheadV46</vt:lpstr>
      <vt:lpstr>E7OverheadW46</vt:lpstr>
      <vt:lpstr>E7OverheadX46</vt:lpstr>
      <vt:lpstr>E7OverheadY46</vt:lpstr>
      <vt:lpstr>E7OverheadZ46</vt:lpstr>
      <vt:lpstr>E7OVTransfer</vt:lpstr>
      <vt:lpstr>E7R</vt:lpstr>
      <vt:lpstr>E7RateA1Total</vt:lpstr>
      <vt:lpstr>E7RateA2Total</vt:lpstr>
      <vt:lpstr>E7RateA3Total</vt:lpstr>
      <vt:lpstr>E7RateA4Total</vt:lpstr>
      <vt:lpstr>E7RateB1Total</vt:lpstr>
      <vt:lpstr>E7RateB2Total</vt:lpstr>
      <vt:lpstr>E7Rateb3Total</vt:lpstr>
      <vt:lpstr>E7RateB4Total</vt:lpstr>
      <vt:lpstr>E7RateC1Total</vt:lpstr>
      <vt:lpstr>E7RateC2Total</vt:lpstr>
      <vt:lpstr>E7RateC3Total</vt:lpstr>
      <vt:lpstr>E7RateC4Total</vt:lpstr>
      <vt:lpstr>E7RateD1Total</vt:lpstr>
      <vt:lpstr>E7RateD2Total</vt:lpstr>
      <vt:lpstr>E7RateD3Total</vt:lpstr>
      <vt:lpstr>E7RateD4Total</vt:lpstr>
      <vt:lpstr>E7RateE1Total</vt:lpstr>
      <vt:lpstr>E7RateE2Total</vt:lpstr>
      <vt:lpstr>E7RateE3Total</vt:lpstr>
      <vt:lpstr>E7RateE4Total</vt:lpstr>
      <vt:lpstr>E7RateF1Total</vt:lpstr>
      <vt:lpstr>E7RateF2Total</vt:lpstr>
      <vt:lpstr>E7RateF3Total</vt:lpstr>
      <vt:lpstr>E7RateF4Total</vt:lpstr>
      <vt:lpstr>E7RateG1Total</vt:lpstr>
      <vt:lpstr>E7RateG2Total</vt:lpstr>
      <vt:lpstr>E7RateG3Total</vt:lpstr>
      <vt:lpstr>E7RateG4Total</vt:lpstr>
      <vt:lpstr>E7REM</vt:lpstr>
      <vt:lpstr>E7RVTransfer</vt:lpstr>
      <vt:lpstr>E7S</vt:lpstr>
      <vt:lpstr>E7SI</vt:lpstr>
      <vt:lpstr>E7STransfer</vt:lpstr>
      <vt:lpstr>E7SubsTotal</vt:lpstr>
      <vt:lpstr>E7TDropdowns</vt:lpstr>
      <vt:lpstr>E7TravelTotal</vt:lpstr>
      <vt:lpstr>E7UnitsMirror</vt:lpstr>
      <vt:lpstr>E7WH</vt:lpstr>
      <vt:lpstr>E8ADDA1</vt:lpstr>
      <vt:lpstr>E8ADDA2</vt:lpstr>
      <vt:lpstr>E8ADDA3</vt:lpstr>
      <vt:lpstr>E8ADDA4</vt:lpstr>
      <vt:lpstr>E8ADDB1</vt:lpstr>
      <vt:lpstr>E8ADDB2</vt:lpstr>
      <vt:lpstr>E8ADDB3</vt:lpstr>
      <vt:lpstr>E8ADDB4</vt:lpstr>
      <vt:lpstr>E8ADDC1</vt:lpstr>
      <vt:lpstr>E8ADDC2</vt:lpstr>
      <vt:lpstr>E8ADDC3</vt:lpstr>
      <vt:lpstr>E8ADDC4</vt:lpstr>
      <vt:lpstr>E8ADDD1</vt:lpstr>
      <vt:lpstr>E8ADDD2</vt:lpstr>
      <vt:lpstr>E8ADDD3</vt:lpstr>
      <vt:lpstr>E8ADDD4</vt:lpstr>
      <vt:lpstr>E8ADDE1</vt:lpstr>
      <vt:lpstr>E8ADDE2</vt:lpstr>
      <vt:lpstr>E8ADDE3</vt:lpstr>
      <vt:lpstr>E8ADDE4</vt:lpstr>
      <vt:lpstr>E8ADDF1</vt:lpstr>
      <vt:lpstr>E8ADDF2</vt:lpstr>
      <vt:lpstr>E8ADDF3</vt:lpstr>
      <vt:lpstr>E8ADDF4</vt:lpstr>
      <vt:lpstr>E8ADDG1</vt:lpstr>
      <vt:lpstr>E8ADDG2</vt:lpstr>
      <vt:lpstr>E8ADDG3</vt:lpstr>
      <vt:lpstr>E8ADDG4</vt:lpstr>
      <vt:lpstr>E8ATransfer</vt:lpstr>
      <vt:lpstr>E8B</vt:lpstr>
      <vt:lpstr>E8BASEA1</vt:lpstr>
      <vt:lpstr>E8BASEA2</vt:lpstr>
      <vt:lpstr>E8BASEA3</vt:lpstr>
      <vt:lpstr>E8BASEA4</vt:lpstr>
      <vt:lpstr>E8BASEB1</vt:lpstr>
      <vt:lpstr>E8BASEB2</vt:lpstr>
      <vt:lpstr>E8BASEB3</vt:lpstr>
      <vt:lpstr>E8BASEB4</vt:lpstr>
      <vt:lpstr>E8BASEC1</vt:lpstr>
      <vt:lpstr>E8BASEC2</vt:lpstr>
      <vt:lpstr>E8BASEC3</vt:lpstr>
      <vt:lpstr>E8BASEC4</vt:lpstr>
      <vt:lpstr>E8BASED1</vt:lpstr>
      <vt:lpstr>E8BASED2</vt:lpstr>
      <vt:lpstr>E8BASED3</vt:lpstr>
      <vt:lpstr>E8BASED4</vt:lpstr>
      <vt:lpstr>E8BASEE1</vt:lpstr>
      <vt:lpstr>E8BASEE2</vt:lpstr>
      <vt:lpstr>E8BASEE3</vt:lpstr>
      <vt:lpstr>E8BASEE4</vt:lpstr>
      <vt:lpstr>E8BASEF1</vt:lpstr>
      <vt:lpstr>E8BASEF2</vt:lpstr>
      <vt:lpstr>E8BASEF3</vt:lpstr>
      <vt:lpstr>E8BASEF4</vt:lpstr>
      <vt:lpstr>E8BASEG1</vt:lpstr>
      <vt:lpstr>E8BASEG2</vt:lpstr>
      <vt:lpstr>E8BASEG3</vt:lpstr>
      <vt:lpstr>E8BASEG4</vt:lpstr>
      <vt:lpstr>E8C</vt:lpstr>
      <vt:lpstr>E8DirectLaborAA45</vt:lpstr>
      <vt:lpstr>E8DirectLaborAB45</vt:lpstr>
      <vt:lpstr>E8DirectLaborAC45</vt:lpstr>
      <vt:lpstr>E8DirectLaborAD45</vt:lpstr>
      <vt:lpstr>E8DirectLaborAE45</vt:lpstr>
      <vt:lpstr>E8DirectLaborD45</vt:lpstr>
      <vt:lpstr>E8DirectLaborE45</vt:lpstr>
      <vt:lpstr>E8DirectLaborF45</vt:lpstr>
      <vt:lpstr>E8DirectLaborG45</vt:lpstr>
      <vt:lpstr>E8DirectLaborH45</vt:lpstr>
      <vt:lpstr>E8DirectLaborI45</vt:lpstr>
      <vt:lpstr>E8DirectLaborJ45</vt:lpstr>
      <vt:lpstr>E8DirectLaborK45</vt:lpstr>
      <vt:lpstr>E8DirectLaborL45</vt:lpstr>
      <vt:lpstr>E8DirectLaborM45</vt:lpstr>
      <vt:lpstr>E8DirectLaborN45</vt:lpstr>
      <vt:lpstr>E8DirectLaborO45</vt:lpstr>
      <vt:lpstr>E8DirectLaborP45</vt:lpstr>
      <vt:lpstr>E8DirectLaborQ45</vt:lpstr>
      <vt:lpstr>E8DirectLaborR45</vt:lpstr>
      <vt:lpstr>E8DirectLaborS45</vt:lpstr>
      <vt:lpstr>E8DirectLaborT45</vt:lpstr>
      <vt:lpstr>E8DirectLaborTotal</vt:lpstr>
      <vt:lpstr>E8DirectLaborU45</vt:lpstr>
      <vt:lpstr>E8DirectLaborV45</vt:lpstr>
      <vt:lpstr>E8DirectLaborW45</vt:lpstr>
      <vt:lpstr>E8DirectLaborX45</vt:lpstr>
      <vt:lpstr>E8DirectLaborY45</vt:lpstr>
      <vt:lpstr>E8DirectLaborZ45</vt:lpstr>
      <vt:lpstr>E8Dropdown</vt:lpstr>
      <vt:lpstr>E8EquipmentTotal</vt:lpstr>
      <vt:lpstr>E8ETransfer</vt:lpstr>
      <vt:lpstr>E8ExpenseTotal</vt:lpstr>
      <vt:lpstr>E8GEN</vt:lpstr>
      <vt:lpstr>E8IncludeExpenses</vt:lpstr>
      <vt:lpstr>E8IncludeLab</vt:lpstr>
      <vt:lpstr>E8IncludeLabor</vt:lpstr>
      <vt:lpstr>E8IncludeProcure</vt:lpstr>
      <vt:lpstr>E8IncludeSubs</vt:lpstr>
      <vt:lpstr>E8InsuranceFee</vt:lpstr>
      <vt:lpstr>E8LaborTotal</vt:lpstr>
      <vt:lpstr>E8LabTotal</vt:lpstr>
      <vt:lpstr>E8LTransfer</vt:lpstr>
      <vt:lpstr>E8M</vt:lpstr>
      <vt:lpstr>E8MTransfer</vt:lpstr>
      <vt:lpstr>E8O</vt:lpstr>
      <vt:lpstr>E8OTHER</vt:lpstr>
      <vt:lpstr>E8OverheadAA46</vt:lpstr>
      <vt:lpstr>E8OverheadAB46</vt:lpstr>
      <vt:lpstr>E8OverheadAC46</vt:lpstr>
      <vt:lpstr>E8OverheadAD46</vt:lpstr>
      <vt:lpstr>E8OverheadAE46</vt:lpstr>
      <vt:lpstr>E8OverheadD46</vt:lpstr>
      <vt:lpstr>E8OverheadE46</vt:lpstr>
      <vt:lpstr>E8OverheadF46</vt:lpstr>
      <vt:lpstr>E8OverheadG46</vt:lpstr>
      <vt:lpstr>E8OverheadH46</vt:lpstr>
      <vt:lpstr>E8OverheadI46</vt:lpstr>
      <vt:lpstr>E8OverheadJ46</vt:lpstr>
      <vt:lpstr>E8OverheadK46</vt:lpstr>
      <vt:lpstr>E8OverheadL46</vt:lpstr>
      <vt:lpstr>E8OverheadM46</vt:lpstr>
      <vt:lpstr>E8OverheadN46</vt:lpstr>
      <vt:lpstr>E8OverheadO46</vt:lpstr>
      <vt:lpstr>E8OverheadP46</vt:lpstr>
      <vt:lpstr>E8OverheadQ46</vt:lpstr>
      <vt:lpstr>E8OverheadR46</vt:lpstr>
      <vt:lpstr>E8OverheadS46</vt:lpstr>
      <vt:lpstr>E8OverheadT46</vt:lpstr>
      <vt:lpstr>E8OverheadTotal</vt:lpstr>
      <vt:lpstr>E8OverheadU46</vt:lpstr>
      <vt:lpstr>E8OverheadV46</vt:lpstr>
      <vt:lpstr>E8OverheadW46</vt:lpstr>
      <vt:lpstr>E8OverheadX46</vt:lpstr>
      <vt:lpstr>E8OverheadY46</vt:lpstr>
      <vt:lpstr>E8OverheadZ46</vt:lpstr>
      <vt:lpstr>E8OVTransfer</vt:lpstr>
      <vt:lpstr>E8R</vt:lpstr>
      <vt:lpstr>E8RateA1Total</vt:lpstr>
      <vt:lpstr>E8RateA2Total</vt:lpstr>
      <vt:lpstr>E8RateA3Total</vt:lpstr>
      <vt:lpstr>E8RateA4Total</vt:lpstr>
      <vt:lpstr>E8RateB1Total</vt:lpstr>
      <vt:lpstr>E8RateB2Total</vt:lpstr>
      <vt:lpstr>E8RateB3Total</vt:lpstr>
      <vt:lpstr>E8RateB4Total</vt:lpstr>
      <vt:lpstr>E8RateC1Total</vt:lpstr>
      <vt:lpstr>E8RateC2Total</vt:lpstr>
      <vt:lpstr>E8RateC3Total</vt:lpstr>
      <vt:lpstr>E8RateC4Total</vt:lpstr>
      <vt:lpstr>E8RateD1Total</vt:lpstr>
      <vt:lpstr>E8RateD2Total</vt:lpstr>
      <vt:lpstr>E8RateD3Total</vt:lpstr>
      <vt:lpstr>E8RateD4Total</vt:lpstr>
      <vt:lpstr>E8RateE1Total</vt:lpstr>
      <vt:lpstr>E8RateE2Total</vt:lpstr>
      <vt:lpstr>E8RateE3Total</vt:lpstr>
      <vt:lpstr>E8RateE4Total</vt:lpstr>
      <vt:lpstr>E8RateF1Total</vt:lpstr>
      <vt:lpstr>E8RateF2Total</vt:lpstr>
      <vt:lpstr>E8RateF3Total</vt:lpstr>
      <vt:lpstr>E8RateF4Total</vt:lpstr>
      <vt:lpstr>E8RateG1Total</vt:lpstr>
      <vt:lpstr>E8RateG2Total</vt:lpstr>
      <vt:lpstr>E8RateG3Total</vt:lpstr>
      <vt:lpstr>E8RateG4Total</vt:lpstr>
      <vt:lpstr>E8REM</vt:lpstr>
      <vt:lpstr>E8RVTransfer</vt:lpstr>
      <vt:lpstr>E8S</vt:lpstr>
      <vt:lpstr>E8SI</vt:lpstr>
      <vt:lpstr>E8STransfer</vt:lpstr>
      <vt:lpstr>E8SubsTotal</vt:lpstr>
      <vt:lpstr>E8TDropdowns</vt:lpstr>
      <vt:lpstr>E8TravelTotal</vt:lpstr>
      <vt:lpstr>E8UnitsMirror</vt:lpstr>
      <vt:lpstr>E8WH</vt:lpstr>
      <vt:lpstr>E9ADDA1</vt:lpstr>
      <vt:lpstr>E9ADDA2</vt:lpstr>
      <vt:lpstr>E9ADDA3</vt:lpstr>
      <vt:lpstr>E9ADDA4</vt:lpstr>
      <vt:lpstr>E9ADDB1</vt:lpstr>
      <vt:lpstr>E9ADDB2</vt:lpstr>
      <vt:lpstr>E9ADDB3</vt:lpstr>
      <vt:lpstr>E9ADDB4</vt:lpstr>
      <vt:lpstr>E9ADDC1</vt:lpstr>
      <vt:lpstr>E9ADDC2</vt:lpstr>
      <vt:lpstr>E9ADDC3</vt:lpstr>
      <vt:lpstr>E9ADDC4</vt:lpstr>
      <vt:lpstr>E9ADDD1</vt:lpstr>
      <vt:lpstr>E9ADDD2</vt:lpstr>
      <vt:lpstr>E9ADDD3</vt:lpstr>
      <vt:lpstr>E9ADDD4</vt:lpstr>
      <vt:lpstr>E9ADDE1</vt:lpstr>
      <vt:lpstr>E9ADDE2</vt:lpstr>
      <vt:lpstr>E9ADDE4</vt:lpstr>
      <vt:lpstr>E9ADDF1</vt:lpstr>
      <vt:lpstr>E9ADDF2</vt:lpstr>
      <vt:lpstr>E9ADDF3</vt:lpstr>
      <vt:lpstr>E9ADDF4</vt:lpstr>
      <vt:lpstr>E9ADDG1</vt:lpstr>
      <vt:lpstr>E9ADDG2</vt:lpstr>
      <vt:lpstr>E9ADDG3</vt:lpstr>
      <vt:lpstr>E9ADDG4</vt:lpstr>
      <vt:lpstr>E9ATransfer</vt:lpstr>
      <vt:lpstr>E9B</vt:lpstr>
      <vt:lpstr>E9BASEA1</vt:lpstr>
      <vt:lpstr>E9BASEA2</vt:lpstr>
      <vt:lpstr>E9BASEA3</vt:lpstr>
      <vt:lpstr>E9BASEA4</vt:lpstr>
      <vt:lpstr>E9BASEB1</vt:lpstr>
      <vt:lpstr>E9BASEB2</vt:lpstr>
      <vt:lpstr>E9BASEB3</vt:lpstr>
      <vt:lpstr>E9BASEB4</vt:lpstr>
      <vt:lpstr>E9BASEC1</vt:lpstr>
      <vt:lpstr>E9BASEC2</vt:lpstr>
      <vt:lpstr>E9BASEC3</vt:lpstr>
      <vt:lpstr>E9BASEC4</vt:lpstr>
      <vt:lpstr>E9BASED1</vt:lpstr>
      <vt:lpstr>E9BASED2</vt:lpstr>
      <vt:lpstr>E9BASED3</vt:lpstr>
      <vt:lpstr>E9BASED4</vt:lpstr>
      <vt:lpstr>E9BASEE1</vt:lpstr>
      <vt:lpstr>E9BASEE2</vt:lpstr>
      <vt:lpstr>E9BASEE3</vt:lpstr>
      <vt:lpstr>E9BASEE4</vt:lpstr>
      <vt:lpstr>E9BASEF1</vt:lpstr>
      <vt:lpstr>E9BASEF2</vt:lpstr>
      <vt:lpstr>E9BASEF3</vt:lpstr>
      <vt:lpstr>E9BASEF4</vt:lpstr>
      <vt:lpstr>E9BASEG1</vt:lpstr>
      <vt:lpstr>E9BASEG2</vt:lpstr>
      <vt:lpstr>E9BASEG3</vt:lpstr>
      <vt:lpstr>E9BASEG4</vt:lpstr>
      <vt:lpstr>E9C</vt:lpstr>
      <vt:lpstr>E9DirectLaborAA45</vt:lpstr>
      <vt:lpstr>E9DirectLaborAB45</vt:lpstr>
      <vt:lpstr>E9DirectLaborAC45</vt:lpstr>
      <vt:lpstr>E9DirectLaborAD45</vt:lpstr>
      <vt:lpstr>E9DirectLaborAE45</vt:lpstr>
      <vt:lpstr>E9DirectLaborD45</vt:lpstr>
      <vt:lpstr>E9DirectLaborE45</vt:lpstr>
      <vt:lpstr>E9DirectLaborF45</vt:lpstr>
      <vt:lpstr>E9DirectLaborG45</vt:lpstr>
      <vt:lpstr>E9DirectLaborH45</vt:lpstr>
      <vt:lpstr>E9DirectLaborI45</vt:lpstr>
      <vt:lpstr>E9DirectLaborJ45</vt:lpstr>
      <vt:lpstr>E9DirectLaborK45</vt:lpstr>
      <vt:lpstr>E9DirectLaborL45</vt:lpstr>
      <vt:lpstr>E9DirectLaborM45</vt:lpstr>
      <vt:lpstr>E9DirectLaborN45</vt:lpstr>
      <vt:lpstr>E9DirectLaborO45</vt:lpstr>
      <vt:lpstr>E9DirectLaborP45</vt:lpstr>
      <vt:lpstr>E9DirectLaborQ45</vt:lpstr>
      <vt:lpstr>E9DirectLaborR45</vt:lpstr>
      <vt:lpstr>E9DirectLaborS45</vt:lpstr>
      <vt:lpstr>E9DirectLaborT45</vt:lpstr>
      <vt:lpstr>E9DirectLaborTotal</vt:lpstr>
      <vt:lpstr>E9DirectLaborU45</vt:lpstr>
      <vt:lpstr>E9DirectLaborV45</vt:lpstr>
      <vt:lpstr>E9DirectLaborW45</vt:lpstr>
      <vt:lpstr>E9DirectLaborX45</vt:lpstr>
      <vt:lpstr>E9DirectLaborY45</vt:lpstr>
      <vt:lpstr>E9DirectLaborZ45</vt:lpstr>
      <vt:lpstr>E9Dropdown</vt:lpstr>
      <vt:lpstr>E9EquipmentTotal</vt:lpstr>
      <vt:lpstr>E9ETransfer</vt:lpstr>
      <vt:lpstr>E9ExpenseTotal</vt:lpstr>
      <vt:lpstr>E9GEN</vt:lpstr>
      <vt:lpstr>E9IncludeExpenses</vt:lpstr>
      <vt:lpstr>E9IncludeLab</vt:lpstr>
      <vt:lpstr>E9IncludeLabor</vt:lpstr>
      <vt:lpstr>E9IncludeProcure</vt:lpstr>
      <vt:lpstr>E9IncludeSubs</vt:lpstr>
      <vt:lpstr>E9InsuranceFee</vt:lpstr>
      <vt:lpstr>E9LaborTotal</vt:lpstr>
      <vt:lpstr>E9LabTotal</vt:lpstr>
      <vt:lpstr>E9LTransfer</vt:lpstr>
      <vt:lpstr>E9M</vt:lpstr>
      <vt:lpstr>E9MTransfer</vt:lpstr>
      <vt:lpstr>E9O</vt:lpstr>
      <vt:lpstr>E9OTHER</vt:lpstr>
      <vt:lpstr>E9OverheadAA46</vt:lpstr>
      <vt:lpstr>E9OverheadAB46</vt:lpstr>
      <vt:lpstr>E9OverheadAC46</vt:lpstr>
      <vt:lpstr>E9OverheadAD46</vt:lpstr>
      <vt:lpstr>E9OverheadAE46</vt:lpstr>
      <vt:lpstr>E9OverheadD46</vt:lpstr>
      <vt:lpstr>E9OverheadE46</vt:lpstr>
      <vt:lpstr>E9OverheadF46</vt:lpstr>
      <vt:lpstr>E9OverheadG46</vt:lpstr>
      <vt:lpstr>E9OverheadH46</vt:lpstr>
      <vt:lpstr>E9OverheadI46</vt:lpstr>
      <vt:lpstr>E9OverheadJ46</vt:lpstr>
      <vt:lpstr>E9OverheadK46</vt:lpstr>
      <vt:lpstr>E9OverheadL46</vt:lpstr>
      <vt:lpstr>E9OverheadM46</vt:lpstr>
      <vt:lpstr>E9OverheadN46</vt:lpstr>
      <vt:lpstr>E9OverheadO46</vt:lpstr>
      <vt:lpstr>E9OverheadP46</vt:lpstr>
      <vt:lpstr>E9OverheadQ46</vt:lpstr>
      <vt:lpstr>E9OverheadR46</vt:lpstr>
      <vt:lpstr>E9OverheadS46</vt:lpstr>
      <vt:lpstr>E9OverheadT46</vt:lpstr>
      <vt:lpstr>E9OverheadTotal</vt:lpstr>
      <vt:lpstr>E9OverheadU46</vt:lpstr>
      <vt:lpstr>E9OverheadV46</vt:lpstr>
      <vt:lpstr>E9OverheadW46</vt:lpstr>
      <vt:lpstr>E9OverheadX46</vt:lpstr>
      <vt:lpstr>E9OverheadY46</vt:lpstr>
      <vt:lpstr>E9OverheadZ46</vt:lpstr>
      <vt:lpstr>E9OVTransfer</vt:lpstr>
      <vt:lpstr>E9R</vt:lpstr>
      <vt:lpstr>E9RateA1Total</vt:lpstr>
      <vt:lpstr>E9RateA2Total</vt:lpstr>
      <vt:lpstr>E9RateA3Total</vt:lpstr>
      <vt:lpstr>E9RateA4Total</vt:lpstr>
      <vt:lpstr>E9RateB1Total</vt:lpstr>
      <vt:lpstr>E9RateB2Total</vt:lpstr>
      <vt:lpstr>E9RateB3Total</vt:lpstr>
      <vt:lpstr>E9RateB4Total</vt:lpstr>
      <vt:lpstr>E9RateC1Total</vt:lpstr>
      <vt:lpstr>E9RateC2Total</vt:lpstr>
      <vt:lpstr>E9RateC3Total</vt:lpstr>
      <vt:lpstr>E9RateC4Total</vt:lpstr>
      <vt:lpstr>E9RateD1Total</vt:lpstr>
      <vt:lpstr>E9RateD2Total</vt:lpstr>
      <vt:lpstr>E9RateD3Total</vt:lpstr>
      <vt:lpstr>E9RateD4Total</vt:lpstr>
      <vt:lpstr>E9RateE1Total</vt:lpstr>
      <vt:lpstr>E9RateE2Total</vt:lpstr>
      <vt:lpstr>E9RateE3Total</vt:lpstr>
      <vt:lpstr>E9RateE4Total</vt:lpstr>
      <vt:lpstr>E9RateF1Total</vt:lpstr>
      <vt:lpstr>E9RateF2Total</vt:lpstr>
      <vt:lpstr>E9RateF3Total</vt:lpstr>
      <vt:lpstr>E9RateF4Total</vt:lpstr>
      <vt:lpstr>E9RateG1Total</vt:lpstr>
      <vt:lpstr>E9RateG2Total</vt:lpstr>
      <vt:lpstr>E9RateG3Total</vt:lpstr>
      <vt:lpstr>E9RateG4Total</vt:lpstr>
      <vt:lpstr>E9REM</vt:lpstr>
      <vt:lpstr>E9RVTransfer</vt:lpstr>
      <vt:lpstr>E9S</vt:lpstr>
      <vt:lpstr>E9SI</vt:lpstr>
      <vt:lpstr>E9STransfer</vt:lpstr>
      <vt:lpstr>E9SubsTotal</vt:lpstr>
      <vt:lpstr>E9TDropdowns</vt:lpstr>
      <vt:lpstr>E9TravelTotal</vt:lpstr>
      <vt:lpstr>E9UnitsMirror</vt:lpstr>
      <vt:lpstr>E9WH</vt:lpstr>
      <vt:lpstr>Element1</vt:lpstr>
      <vt:lpstr>Element10</vt:lpstr>
      <vt:lpstr>'Budget Summary'!Element10Expenses</vt:lpstr>
      <vt:lpstr>'Budget Summary'!Element10LabCosts</vt:lpstr>
      <vt:lpstr>Element10LabCosts</vt:lpstr>
      <vt:lpstr>'Budget Summary'!Element10Labor</vt:lpstr>
      <vt:lpstr>'Budget Summary'!Element10Procurement</vt:lpstr>
      <vt:lpstr>'Budget Summary'!Element10SubCosts</vt:lpstr>
      <vt:lpstr>Element11</vt:lpstr>
      <vt:lpstr>Element11Expenses</vt:lpstr>
      <vt:lpstr>Element11LabCosts</vt:lpstr>
      <vt:lpstr>Element11Labor</vt:lpstr>
      <vt:lpstr>Element11Procurement</vt:lpstr>
      <vt:lpstr>Element11SubCosts</vt:lpstr>
      <vt:lpstr>Element12</vt:lpstr>
      <vt:lpstr>Element12Expenses</vt:lpstr>
      <vt:lpstr>Element12LabCosts</vt:lpstr>
      <vt:lpstr>Element12Labor</vt:lpstr>
      <vt:lpstr>Element12Procurement</vt:lpstr>
      <vt:lpstr>Element12SubCosts</vt:lpstr>
      <vt:lpstr>Element13</vt:lpstr>
      <vt:lpstr>Element13Expenses</vt:lpstr>
      <vt:lpstr>Element13LabCosts</vt:lpstr>
      <vt:lpstr>Element13Labor</vt:lpstr>
      <vt:lpstr>Element13Procurement</vt:lpstr>
      <vt:lpstr>Element13SubCosts</vt:lpstr>
      <vt:lpstr>Element14</vt:lpstr>
      <vt:lpstr>Element14Expenses</vt:lpstr>
      <vt:lpstr>Element14LabCosts</vt:lpstr>
      <vt:lpstr>Element14Labor</vt:lpstr>
      <vt:lpstr>Element14Procurement</vt:lpstr>
      <vt:lpstr>Element14SubCosts</vt:lpstr>
      <vt:lpstr>Element15</vt:lpstr>
      <vt:lpstr>Element15Expenses</vt:lpstr>
      <vt:lpstr>Element15LabCosts</vt:lpstr>
      <vt:lpstr>Element15Labor</vt:lpstr>
      <vt:lpstr>Element15Procurement</vt:lpstr>
      <vt:lpstr>Element15SubCosts</vt:lpstr>
      <vt:lpstr>Element16</vt:lpstr>
      <vt:lpstr>Element16Expenses</vt:lpstr>
      <vt:lpstr>Element16LabCosts</vt:lpstr>
      <vt:lpstr>Element16Labor</vt:lpstr>
      <vt:lpstr>Element16Procurement</vt:lpstr>
      <vt:lpstr>Element16SubCosts</vt:lpstr>
      <vt:lpstr>Element17</vt:lpstr>
      <vt:lpstr>Element17Expenses</vt:lpstr>
      <vt:lpstr>Element17LabCosts</vt:lpstr>
      <vt:lpstr>Element17Labor</vt:lpstr>
      <vt:lpstr>Element17Procurement</vt:lpstr>
      <vt:lpstr>Element17SubCosts</vt:lpstr>
      <vt:lpstr>Element18</vt:lpstr>
      <vt:lpstr>Element18Expenses</vt:lpstr>
      <vt:lpstr>Element18LabCosts</vt:lpstr>
      <vt:lpstr>Element18Labor</vt:lpstr>
      <vt:lpstr>Element18Procurement</vt:lpstr>
      <vt:lpstr>Element18SubCosts</vt:lpstr>
      <vt:lpstr>Element19</vt:lpstr>
      <vt:lpstr>Element19Expenses</vt:lpstr>
      <vt:lpstr>Element19LabCosts</vt:lpstr>
      <vt:lpstr>Element19Labor</vt:lpstr>
      <vt:lpstr>Element19Procurement</vt:lpstr>
      <vt:lpstr>Element19SubCosts</vt:lpstr>
      <vt:lpstr>'Budget Summary'!Element1Expenses</vt:lpstr>
      <vt:lpstr>'Budget Summary'!Element1LabCosts</vt:lpstr>
      <vt:lpstr>'Budget Summary'!Element1Labor</vt:lpstr>
      <vt:lpstr>'Budget Summary'!Element1Procurement</vt:lpstr>
      <vt:lpstr>'Budget Summary'!Element1SubCosts</vt:lpstr>
      <vt:lpstr>Element2</vt:lpstr>
      <vt:lpstr>Element20</vt:lpstr>
      <vt:lpstr>Element20Expenses</vt:lpstr>
      <vt:lpstr>Element20LabCosts</vt:lpstr>
      <vt:lpstr>Element20Labor</vt:lpstr>
      <vt:lpstr>Element20Procurement</vt:lpstr>
      <vt:lpstr>Element20SubCosts</vt:lpstr>
      <vt:lpstr>'Budget Summary'!Element2Expenses</vt:lpstr>
      <vt:lpstr>'Budget Summary'!Element2LabCosts</vt:lpstr>
      <vt:lpstr>'Budget Summary'!Element2Labor</vt:lpstr>
      <vt:lpstr>'Budget Summary'!Element2Procurement</vt:lpstr>
      <vt:lpstr>'Budget Summary'!Element2SubCosts</vt:lpstr>
      <vt:lpstr>Element3</vt:lpstr>
      <vt:lpstr>'Budget Summary'!Element3Expenses</vt:lpstr>
      <vt:lpstr>'Budget Summary'!Element3LabCosts</vt:lpstr>
      <vt:lpstr>'Budget Summary'!Element3Labor</vt:lpstr>
      <vt:lpstr>'Budget Summary'!Element3Procurement</vt:lpstr>
      <vt:lpstr>'Budget Summary'!Element3SubCosts</vt:lpstr>
      <vt:lpstr>Element4</vt:lpstr>
      <vt:lpstr>'Budget Summary'!Element4Expenses</vt:lpstr>
      <vt:lpstr>'Budget Summary'!Element4LabCosts</vt:lpstr>
      <vt:lpstr>'Budget Summary'!Element4Labor</vt:lpstr>
      <vt:lpstr>'Budget Summary'!Element4Procurement</vt:lpstr>
      <vt:lpstr>'Budget Summary'!Element4SubCosts</vt:lpstr>
      <vt:lpstr>Element5</vt:lpstr>
      <vt:lpstr>'Budget Summary'!Element5Expenses</vt:lpstr>
      <vt:lpstr>'Budget Summary'!Element5LabCosts</vt:lpstr>
      <vt:lpstr>'Budget Summary'!Element5Labor</vt:lpstr>
      <vt:lpstr>'Budget Summary'!Element5Procurement</vt:lpstr>
      <vt:lpstr>'Budget Summary'!Element5SubCosts</vt:lpstr>
      <vt:lpstr>Element6</vt:lpstr>
      <vt:lpstr>'Budget Summary'!Element6Expenses</vt:lpstr>
      <vt:lpstr>'Budget Summary'!Element6LabCosts</vt:lpstr>
      <vt:lpstr>'Budget Summary'!Element6Labor</vt:lpstr>
      <vt:lpstr>'Budget Summary'!Element6Procurement</vt:lpstr>
      <vt:lpstr>'Budget Summary'!Element6SubCosts</vt:lpstr>
      <vt:lpstr>Element7</vt:lpstr>
      <vt:lpstr>'Budget Summary'!Element7Expenses</vt:lpstr>
      <vt:lpstr>'Budget Summary'!Element7LabCosts</vt:lpstr>
      <vt:lpstr>'Budget Summary'!Element7Labor</vt:lpstr>
      <vt:lpstr>'Budget Summary'!Element7Procurement</vt:lpstr>
      <vt:lpstr>'Budget Summary'!Element7SubCosts</vt:lpstr>
      <vt:lpstr>Element8</vt:lpstr>
      <vt:lpstr>'Budget Summary'!Element8Expenses</vt:lpstr>
      <vt:lpstr>'Budget Summary'!Element8LabCosts</vt:lpstr>
      <vt:lpstr>'Budget Summary'!Element8Labor</vt:lpstr>
      <vt:lpstr>'Budget Summary'!Element8Procurement</vt:lpstr>
      <vt:lpstr>'Budget Summary'!Element8SubCosts</vt:lpstr>
      <vt:lpstr>Element9</vt:lpstr>
      <vt:lpstr>'Budget Summary'!Element9Expenses</vt:lpstr>
      <vt:lpstr>'Budget Summary'!Element9LabCosts</vt:lpstr>
      <vt:lpstr>'Budget Summary'!Element9Labor</vt:lpstr>
      <vt:lpstr>'Budget Summary'!Element9Procurement</vt:lpstr>
      <vt:lpstr>'Budget Summary'!Element9SubCosts</vt:lpstr>
      <vt:lpstr>ElementNames</vt:lpstr>
      <vt:lpstr>Phase_Lookup!EquipmentTable</vt:lpstr>
      <vt:lpstr>Expmarkup</vt:lpstr>
      <vt:lpstr>ExpMarkupRate</vt:lpstr>
      <vt:lpstr>FeeTable</vt:lpstr>
      <vt:lpstr>FleetVehiclelist</vt:lpstr>
      <vt:lpstr>IC_1</vt:lpstr>
      <vt:lpstr>IC_10</vt:lpstr>
      <vt:lpstr>IC_11</vt:lpstr>
      <vt:lpstr>IC_12</vt:lpstr>
      <vt:lpstr>IC_13</vt:lpstr>
      <vt:lpstr>IC_14</vt:lpstr>
      <vt:lpstr>IC_15</vt:lpstr>
      <vt:lpstr>IC_16</vt:lpstr>
      <vt:lpstr>IC_17</vt:lpstr>
      <vt:lpstr>IC_18</vt:lpstr>
      <vt:lpstr>IC_19</vt:lpstr>
      <vt:lpstr>IC_2</vt:lpstr>
      <vt:lpstr>IC_20</vt:lpstr>
      <vt:lpstr>IC_3</vt:lpstr>
      <vt:lpstr>IC_4</vt:lpstr>
      <vt:lpstr>IC_5</vt:lpstr>
      <vt:lpstr>IC_6</vt:lpstr>
      <vt:lpstr>IC_7</vt:lpstr>
      <vt:lpstr>IC_8</vt:lpstr>
      <vt:lpstr>IC_9</vt:lpstr>
      <vt:lpstr>'Budget Summary'!Include1</vt:lpstr>
      <vt:lpstr>'Budget Summary'!Include10</vt:lpstr>
      <vt:lpstr>Include11</vt:lpstr>
      <vt:lpstr>Include12</vt:lpstr>
      <vt:lpstr>Include13</vt:lpstr>
      <vt:lpstr>Include14</vt:lpstr>
      <vt:lpstr>Include15</vt:lpstr>
      <vt:lpstr>Include16</vt:lpstr>
      <vt:lpstr>Include17</vt:lpstr>
      <vt:lpstr>Include18</vt:lpstr>
      <vt:lpstr>Include19</vt:lpstr>
      <vt:lpstr>'Budget Summary'!Include2</vt:lpstr>
      <vt:lpstr>Include20</vt:lpstr>
      <vt:lpstr>'Budget Summary'!Include3</vt:lpstr>
      <vt:lpstr>'Budget Summary'!Include4</vt:lpstr>
      <vt:lpstr>'Budget Summary'!Include5</vt:lpstr>
      <vt:lpstr>'Budget Summary'!Include6</vt:lpstr>
      <vt:lpstr>'Budget Summary'!Include7</vt:lpstr>
      <vt:lpstr>'Budget Summary'!Include8</vt:lpstr>
      <vt:lpstr>'Budget Summary'!Include9</vt:lpstr>
      <vt:lpstr>InsuranceMarkup</vt:lpstr>
      <vt:lpstr>InsuranceMarkupMirror</vt:lpstr>
      <vt:lpstr>IS_1</vt:lpstr>
      <vt:lpstr>IS_10</vt:lpstr>
      <vt:lpstr>IS_11</vt:lpstr>
      <vt:lpstr>IS_12</vt:lpstr>
      <vt:lpstr>IS_13</vt:lpstr>
      <vt:lpstr>IS_14</vt:lpstr>
      <vt:lpstr>IS_15</vt:lpstr>
      <vt:lpstr>IS_16</vt:lpstr>
      <vt:lpstr>IS_17</vt:lpstr>
      <vt:lpstr>IS_18</vt:lpstr>
      <vt:lpstr>IS_19</vt:lpstr>
      <vt:lpstr>IS_2</vt:lpstr>
      <vt:lpstr>IS_20</vt:lpstr>
      <vt:lpstr>IS_3</vt:lpstr>
      <vt:lpstr>IS_4</vt:lpstr>
      <vt:lpstr>IS_5</vt:lpstr>
      <vt:lpstr>IS_6</vt:lpstr>
      <vt:lpstr>IS_7</vt:lpstr>
      <vt:lpstr>IS_8</vt:lpstr>
      <vt:lpstr>IS_9</vt:lpstr>
      <vt:lpstr>LaborDiscountRate</vt:lpstr>
      <vt:lpstr>LABSTART</vt:lpstr>
      <vt:lpstr>LabTotal</vt:lpstr>
      <vt:lpstr>LabValidation</vt:lpstr>
      <vt:lpstr>LookupColumn1</vt:lpstr>
      <vt:lpstr>LookupColumn2</vt:lpstr>
      <vt:lpstr>LRDiscount</vt:lpstr>
      <vt:lpstr>Markup</vt:lpstr>
      <vt:lpstr>MarkupRate</vt:lpstr>
      <vt:lpstr>Phase_Lookup!MonthlyTable</vt:lpstr>
      <vt:lpstr>Multiplier</vt:lpstr>
      <vt:lpstr>MultiplierRate</vt:lpstr>
      <vt:lpstr>Phase_Lookup!PilotTest</vt:lpstr>
      <vt:lpstr>'VEHICLE RATE SCHEDULE'!PilotTest</vt:lpstr>
      <vt:lpstr>PreparedBy</vt:lpstr>
      <vt:lpstr>'Budget Detail'!Print_Area</vt:lpstr>
      <vt:lpstr>'Budget Summary'!Print_Area</vt:lpstr>
      <vt:lpstr>'EQUIP RATE SCHEDULE'!Print_Area</vt:lpstr>
      <vt:lpstr>INPUT!Print_Area</vt:lpstr>
      <vt:lpstr>'Lab Analysis List'!Print_Area</vt:lpstr>
      <vt:lpstr>'Other Supplies &amp; Rental List'!Print_Area</vt:lpstr>
      <vt:lpstr>'Phase 1'!Print_Area</vt:lpstr>
      <vt:lpstr>'Phase 10'!Print_Area</vt:lpstr>
      <vt:lpstr>'Phase 11'!Print_Area</vt:lpstr>
      <vt:lpstr>'Phase 12'!Print_Area</vt:lpstr>
      <vt:lpstr>'Phase 13'!Print_Area</vt:lpstr>
      <vt:lpstr>'Phase 14'!Print_Area</vt:lpstr>
      <vt:lpstr>'Phase 15'!Print_Area</vt:lpstr>
      <vt:lpstr>'Phase 16'!Print_Area</vt:lpstr>
      <vt:lpstr>'Phase 17'!Print_Area</vt:lpstr>
      <vt:lpstr>'Phase 18'!Print_Area</vt:lpstr>
      <vt:lpstr>'Phase 19'!Print_Area</vt:lpstr>
      <vt:lpstr>'Phase 2'!Print_Area</vt:lpstr>
      <vt:lpstr>'Phase 20'!Print_Area</vt:lpstr>
      <vt:lpstr>'Phase 3'!Print_Area</vt:lpstr>
      <vt:lpstr>'Phase 4'!Print_Area</vt:lpstr>
      <vt:lpstr>'Phase 5'!Print_Area</vt:lpstr>
      <vt:lpstr>'Phase 6'!Print_Area</vt:lpstr>
      <vt:lpstr>'Phase 7'!Print_Area</vt:lpstr>
      <vt:lpstr>'Phase 8'!Print_Area</vt:lpstr>
      <vt:lpstr>'Phase 9'!Print_Area</vt:lpstr>
      <vt:lpstr>Phase_Template!Print_Area</vt:lpstr>
      <vt:lpstr>'Procurement List'!Print_Area</vt:lpstr>
      <vt:lpstr>'RATE Schedules'!Print_Area</vt:lpstr>
      <vt:lpstr>'Subcontractors List'!Print_Area</vt:lpstr>
      <vt:lpstr>'Travel Charges'!Print_Area</vt:lpstr>
      <vt:lpstr>Instructions!Print_Titles</vt:lpstr>
      <vt:lpstr>'Phase 1'!Print_Titles</vt:lpstr>
      <vt:lpstr>'Phase 10'!Print_Titles</vt:lpstr>
      <vt:lpstr>'Phase 11'!Print_Titles</vt:lpstr>
      <vt:lpstr>'Phase 12'!Print_Titles</vt:lpstr>
      <vt:lpstr>'Phase 13'!Print_Titles</vt:lpstr>
      <vt:lpstr>'Phase 14'!Print_Titles</vt:lpstr>
      <vt:lpstr>'Phase 15'!Print_Titles</vt:lpstr>
      <vt:lpstr>'Phase 16'!Print_Titles</vt:lpstr>
      <vt:lpstr>'Phase 17'!Print_Titles</vt:lpstr>
      <vt:lpstr>'Phase 18'!Print_Titles</vt:lpstr>
      <vt:lpstr>'Phase 19'!Print_Titles</vt:lpstr>
      <vt:lpstr>'Phase 2'!Print_Titles</vt:lpstr>
      <vt:lpstr>'Phase 20'!Print_Titles</vt:lpstr>
      <vt:lpstr>'Phase 3'!Print_Titles</vt:lpstr>
      <vt:lpstr>'Phase 4'!Print_Titles</vt:lpstr>
      <vt:lpstr>'Phase 5'!Print_Titles</vt:lpstr>
      <vt:lpstr>'Phase 6'!Print_Titles</vt:lpstr>
      <vt:lpstr>'Phase 7'!Print_Titles</vt:lpstr>
      <vt:lpstr>'Phase 8'!Print_Titles</vt:lpstr>
      <vt:lpstr>'Phase 9'!Print_Titles</vt:lpstr>
      <vt:lpstr>Phase_Template!Print_Titles</vt:lpstr>
      <vt:lpstr>'RATE Schedules'!Print_Titles</vt:lpstr>
      <vt:lpstr>ProcureE1</vt:lpstr>
      <vt:lpstr>ProcureE10</vt:lpstr>
      <vt:lpstr>ProcureE11</vt:lpstr>
      <vt:lpstr>ProcureE12</vt:lpstr>
      <vt:lpstr>ProcureE13</vt:lpstr>
      <vt:lpstr>ProcureE14</vt:lpstr>
      <vt:lpstr>ProcureE15</vt:lpstr>
      <vt:lpstr>ProcureE16</vt:lpstr>
      <vt:lpstr>ProcureE17</vt:lpstr>
      <vt:lpstr>ProcureE18</vt:lpstr>
      <vt:lpstr>ProcureE19</vt:lpstr>
      <vt:lpstr>ProcureE2</vt:lpstr>
      <vt:lpstr>ProcureE20</vt:lpstr>
      <vt:lpstr>ProcureE3</vt:lpstr>
      <vt:lpstr>ProcureE4</vt:lpstr>
      <vt:lpstr>ProcureE5</vt:lpstr>
      <vt:lpstr>ProcureE6</vt:lpstr>
      <vt:lpstr>ProcureE7</vt:lpstr>
      <vt:lpstr>ProcureE8</vt:lpstr>
      <vt:lpstr>ProcureE9</vt:lpstr>
      <vt:lpstr>ProcurementStart</vt:lpstr>
      <vt:lpstr>'Procurement List'!ProcurementTotal</vt:lpstr>
      <vt:lpstr>ProjectName</vt:lpstr>
      <vt:lpstr>ProjectNumber</vt:lpstr>
      <vt:lpstr>RateMirror</vt:lpstr>
      <vt:lpstr>RateSchedule</vt:lpstr>
      <vt:lpstr>RateScheduleMirror</vt:lpstr>
      <vt:lpstr>RateTableNew</vt:lpstr>
      <vt:lpstr>RateTitleUnhide</vt:lpstr>
      <vt:lpstr>RateTotal</vt:lpstr>
      <vt:lpstr>RentalTable</vt:lpstr>
      <vt:lpstr>SOIL1</vt:lpstr>
      <vt:lpstr>SOIL10</vt:lpstr>
      <vt:lpstr>SOIL11</vt:lpstr>
      <vt:lpstr>SOIL12</vt:lpstr>
      <vt:lpstr>SOIL13</vt:lpstr>
      <vt:lpstr>SOIL14</vt:lpstr>
      <vt:lpstr>SOIL15</vt:lpstr>
      <vt:lpstr>SOIL16</vt:lpstr>
      <vt:lpstr>SOIL17</vt:lpstr>
      <vt:lpstr>SOIL18</vt:lpstr>
      <vt:lpstr>SOIL19</vt:lpstr>
      <vt:lpstr>SOIL2</vt:lpstr>
      <vt:lpstr>SOIL20</vt:lpstr>
      <vt:lpstr>SOIL3</vt:lpstr>
      <vt:lpstr>SOIL4</vt:lpstr>
      <vt:lpstr>SOIL5</vt:lpstr>
      <vt:lpstr>SOIL6</vt:lpstr>
      <vt:lpstr>SOIL7</vt:lpstr>
      <vt:lpstr>SOIL8</vt:lpstr>
      <vt:lpstr>SOIL9</vt:lpstr>
      <vt:lpstr>'Procurement List'!StateTax</vt:lpstr>
      <vt:lpstr>StateTaxLab</vt:lpstr>
      <vt:lpstr>StateTaxProcure</vt:lpstr>
      <vt:lpstr>StateTaxSR</vt:lpstr>
      <vt:lpstr>StateTaxSRL</vt:lpstr>
      <vt:lpstr>StateTaxSub</vt:lpstr>
      <vt:lpstr>SubcontractorStart</vt:lpstr>
      <vt:lpstr>SubcontractorsTotal</vt:lpstr>
      <vt:lpstr>SubcontractorValidation</vt:lpstr>
      <vt:lpstr>SuppliesStart</vt:lpstr>
      <vt:lpstr>SuppliesTotal</vt:lpstr>
      <vt:lpstr>SupplyValidate</vt:lpstr>
      <vt:lpstr>Surcharge</vt:lpstr>
      <vt:lpstr>SurchargeMirror</vt:lpstr>
      <vt:lpstr>SurchargeRate</vt:lpstr>
      <vt:lpstr>TabName1</vt:lpstr>
      <vt:lpstr>tabname10</vt:lpstr>
      <vt:lpstr>TabName11</vt:lpstr>
      <vt:lpstr>TabName12</vt:lpstr>
      <vt:lpstr>TabName13</vt:lpstr>
      <vt:lpstr>TabName14</vt:lpstr>
      <vt:lpstr>TabName15</vt:lpstr>
      <vt:lpstr>TabName16</vt:lpstr>
      <vt:lpstr>TabName17</vt:lpstr>
      <vt:lpstr>TabName18</vt:lpstr>
      <vt:lpstr>TabName19</vt:lpstr>
      <vt:lpstr>TabName2</vt:lpstr>
      <vt:lpstr>TabName20</vt:lpstr>
      <vt:lpstr>TabName3</vt:lpstr>
      <vt:lpstr>TabName4</vt:lpstr>
      <vt:lpstr>TabName5</vt:lpstr>
      <vt:lpstr>TabName6</vt:lpstr>
      <vt:lpstr>TabName7</vt:lpstr>
      <vt:lpstr>TabName8</vt:lpstr>
      <vt:lpstr>TabName9</vt:lpstr>
      <vt:lpstr>TabTitles</vt:lpstr>
      <vt:lpstr>TitleA1</vt:lpstr>
      <vt:lpstr>TitleA2</vt:lpstr>
      <vt:lpstr>TitleA3</vt:lpstr>
      <vt:lpstr>TitleA4</vt:lpstr>
      <vt:lpstr>TitleB1</vt:lpstr>
      <vt:lpstr>TitleB2</vt:lpstr>
      <vt:lpstr>TitleB3</vt:lpstr>
      <vt:lpstr>TitleB4</vt:lpstr>
      <vt:lpstr>TitleC1</vt:lpstr>
      <vt:lpstr>TitleC2</vt:lpstr>
      <vt:lpstr>TitleC3</vt:lpstr>
      <vt:lpstr>TitleC4</vt:lpstr>
      <vt:lpstr>TitleD1</vt:lpstr>
      <vt:lpstr>TitleD2</vt:lpstr>
      <vt:lpstr>TitleD3</vt:lpstr>
      <vt:lpstr>TitleD4</vt:lpstr>
      <vt:lpstr>TitleE1</vt:lpstr>
      <vt:lpstr>TitleE2</vt:lpstr>
      <vt:lpstr>TitleE3</vt:lpstr>
      <vt:lpstr>TitleE4</vt:lpstr>
      <vt:lpstr>TitleF1</vt:lpstr>
      <vt:lpstr>TitleF2</vt:lpstr>
      <vt:lpstr>TitleF3</vt:lpstr>
      <vt:lpstr>TitleF4</vt:lpstr>
      <vt:lpstr>TitleG1</vt:lpstr>
      <vt:lpstr>TitleG2</vt:lpstr>
      <vt:lpstr>TitleG3</vt:lpstr>
      <vt:lpstr>TitleG4</vt:lpstr>
      <vt:lpstr>TotalCommFee</vt:lpstr>
      <vt:lpstr>'Budget Summary'!TotalExpenses</vt:lpstr>
      <vt:lpstr>'Budget Summary'!TotalLabCosts</vt:lpstr>
      <vt:lpstr>'Budget Summary'!TotalLabor</vt:lpstr>
      <vt:lpstr>'Budget Summary'!TotalProcurement</vt:lpstr>
      <vt:lpstr>'Budget Summary'!TotalSubCosts</vt:lpstr>
      <vt:lpstr>TravelMarkup</vt:lpstr>
      <vt:lpstr>TravelMarkupRate</vt:lpstr>
      <vt:lpstr>TravelUnits1</vt:lpstr>
      <vt:lpstr>TravelUnits10Mirror</vt:lpstr>
      <vt:lpstr>TravelUnits1Mirror</vt:lpstr>
      <vt:lpstr>TravelUnits2</vt:lpstr>
      <vt:lpstr>TravelUnits2Mirror</vt:lpstr>
      <vt:lpstr>TravelUnits3</vt:lpstr>
      <vt:lpstr>TravelUnits3Mirror</vt:lpstr>
      <vt:lpstr>TravelUnits4</vt:lpstr>
      <vt:lpstr>TravelUnits4Mirror</vt:lpstr>
      <vt:lpstr>TravelUnits5</vt:lpstr>
      <vt:lpstr>TravelUnits5Mirror</vt:lpstr>
      <vt:lpstr>TravelUnits6</vt:lpstr>
      <vt:lpstr>TravelUnits6Mirror</vt:lpstr>
      <vt:lpstr>TravelUnits7Mirror</vt:lpstr>
      <vt:lpstr>TravelUnits8Mirror</vt:lpstr>
      <vt:lpstr>TravelUnits9Mirror</vt:lpstr>
      <vt:lpstr>Unit</vt:lpstr>
      <vt:lpstr>UserExpMarkupRate</vt:lpstr>
      <vt:lpstr>UserInsuranceMarkup</vt:lpstr>
      <vt:lpstr>UserLaborDiscountRate</vt:lpstr>
      <vt:lpstr>UserMarkupRate</vt:lpstr>
      <vt:lpstr>UserSurchargeRate</vt:lpstr>
      <vt:lpstr>UserTravelMarkupRate</vt:lpstr>
      <vt:lpstr>ValidateTable</vt:lpstr>
      <vt:lpstr>VehicleList</vt:lpstr>
      <vt:lpstr>VehicleTable</vt:lpstr>
      <vt:lpstr>VehicleTableDaily</vt:lpstr>
      <vt:lpstr>VehicleTableWeekly</vt:lpstr>
      <vt:lpstr>VersionInfo</vt:lpstr>
    </vt:vector>
  </TitlesOfParts>
  <Company>TRC Environmental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EV Sector Estimator and PPW</dc:title>
  <dc:creator>admin</dc:creator>
  <cp:lastModifiedBy>Periasamy Pitchaimani</cp:lastModifiedBy>
  <cp:lastPrinted>2018-11-20T21:19:37Z</cp:lastPrinted>
  <dcterms:created xsi:type="dcterms:W3CDTF">1998-12-01T16:46:10Z</dcterms:created>
  <dcterms:modified xsi:type="dcterms:W3CDTF">2024-08-12T16:09:20Z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intSummary">
    <vt:bool>false</vt:bool>
  </property>
  <property fmtid="{D5CDD505-2E9C-101B-9397-08002B2CF9AE}" pid="3" name="PrintBudget">
    <vt:bool>false</vt:bool>
  </property>
  <property fmtid="{D5CDD505-2E9C-101B-9397-08002B2CF9AE}" pid="4" name="PrintLab">
    <vt:bool>false</vt:bool>
  </property>
  <property fmtid="{D5CDD505-2E9C-101B-9397-08002B2CF9AE}" pid="5" name="PrintTravel">
    <vt:bool>false</vt:bool>
  </property>
  <property fmtid="{D5CDD505-2E9C-101B-9397-08002B2CF9AE}" pid="6" name="PrintRMTEquipment">
    <vt:bool>true</vt:bool>
  </property>
  <property fmtid="{D5CDD505-2E9C-101B-9397-08002B2CF9AE}" pid="7" name="PrintProcurement">
    <vt:bool>false</vt:bool>
  </property>
  <property fmtid="{D5CDD505-2E9C-101B-9397-08002B2CF9AE}" pid="8" name="PrintSubcontractors">
    <vt:bool>false</vt:bool>
  </property>
  <property fmtid="{D5CDD505-2E9C-101B-9397-08002B2CF9AE}" pid="9" name="PrintSupplies">
    <vt:bool>false</vt:bool>
  </property>
  <property fmtid="{D5CDD505-2E9C-101B-9397-08002B2CF9AE}" pid="10" name="PrintAllElements">
    <vt:bool>false</vt:bool>
  </property>
  <property fmtid="{D5CDD505-2E9C-101B-9397-08002B2CF9AE}" pid="11" name="PrintEverything">
    <vt:bool>false</vt:bool>
  </property>
  <property fmtid="{D5CDD505-2E9C-101B-9397-08002B2CF9AE}" pid="12" name="PrintE1">
    <vt:bool>false</vt:bool>
  </property>
  <property fmtid="{D5CDD505-2E9C-101B-9397-08002B2CF9AE}" pid="13" name="PrintE2">
    <vt:bool>false</vt:bool>
  </property>
  <property fmtid="{D5CDD505-2E9C-101B-9397-08002B2CF9AE}" pid="14" name="PrintE3">
    <vt:bool>false</vt:bool>
  </property>
  <property fmtid="{D5CDD505-2E9C-101B-9397-08002B2CF9AE}" pid="15" name="PrintE4">
    <vt:bool>false</vt:bool>
  </property>
  <property fmtid="{D5CDD505-2E9C-101B-9397-08002B2CF9AE}" pid="16" name="PrintE5">
    <vt:bool>false</vt:bool>
  </property>
  <property fmtid="{D5CDD505-2E9C-101B-9397-08002B2CF9AE}" pid="17" name="PrintE6">
    <vt:bool>false</vt:bool>
  </property>
  <property fmtid="{D5CDD505-2E9C-101B-9397-08002B2CF9AE}" pid="18" name="ContentTypeId">
    <vt:lpwstr>0x01010030D6674CDBF72745A64AA176360C5B5E</vt:lpwstr>
  </property>
  <property fmtid="{D5CDD505-2E9C-101B-9397-08002B2CF9AE}" pid="19" name="_dlc_DocIdItemGuid">
    <vt:lpwstr>93f11191-bb18-4cc4-93a3-9ef16072b5a2</vt:lpwstr>
  </property>
</Properties>
</file>